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<sst xmlns="http://schemas.openxmlformats.org/spreadsheetml/2006/main" count="24950" uniqueCount="8335">
  <si>
    <t>三类行业工伤保险费率浮动表</t>
  </si>
  <si>
    <t>单位编号</t>
  </si>
  <si>
    <t>单位名称</t>
  </si>
  <si>
    <t>行业风险类别</t>
  </si>
  <si>
    <t>年度</t>
  </si>
  <si>
    <t>上年度缴费金额</t>
  </si>
  <si>
    <t>上年度支出金额</t>
  </si>
  <si>
    <t>上年度免于考核支出金额</t>
  </si>
  <si>
    <t>上年度拖欠工伤保险费用</t>
  </si>
  <si>
    <t>上年度工伤保险支缴率</t>
  </si>
  <si>
    <t>上年度平均缴费人数</t>
  </si>
  <si>
    <t>上年度认定工伤人数</t>
  </si>
  <si>
    <t>上年度免于考核工伤人次</t>
  </si>
  <si>
    <t>工伤发生率</t>
  </si>
  <si>
    <t>一至四级伤残人数</t>
  </si>
  <si>
    <t>因公死亡人数</t>
  </si>
  <si>
    <t>上年度职业病人数</t>
  </si>
  <si>
    <t>行业基准费率</t>
  </si>
  <si>
    <t>费率浮动档次</t>
  </si>
  <si>
    <t>本年度费率浮动</t>
  </si>
  <si>
    <t>上年度费率</t>
  </si>
  <si>
    <t>本年度费率</t>
  </si>
  <si>
    <t>修改原因</t>
  </si>
  <si>
    <t>海口市城市规划综合技术服务中心</t>
  </si>
  <si>
    <t>三类（0.7%）</t>
  </si>
  <si>
    <t>不参与浮动</t>
  </si>
  <si>
    <t>海口合众实业有限公司</t>
  </si>
  <si>
    <t>海南洋浦海发面粉有限公司</t>
  </si>
  <si>
    <t>海口美兰万寿食品加工厂</t>
  </si>
  <si>
    <t>下浮一档</t>
  </si>
  <si>
    <t>海南天程科技有限公司</t>
  </si>
  <si>
    <t>海南超力电器有限公司</t>
  </si>
  <si>
    <t>海口红松装饰材料厂</t>
  </si>
  <si>
    <t>海南金海马酒业有限公司</t>
  </si>
  <si>
    <t>海口群众科技计算机有限公司</t>
  </si>
  <si>
    <t>海南海富椰维股份有限公司</t>
  </si>
  <si>
    <t>海南志红园林艺术有限公司</t>
  </si>
  <si>
    <t>海口中元装饰园林工程公司</t>
  </si>
  <si>
    <t>海口灵星包装制品有限公司</t>
  </si>
  <si>
    <t>海口蔚蓝塑钢门窗有限公司</t>
  </si>
  <si>
    <t>海南瑞博丰装饰工程有限公司</t>
  </si>
  <si>
    <t>海南柯瑞恩建材有限公司</t>
  </si>
  <si>
    <t>海南普林实业有限公司</t>
  </si>
  <si>
    <t>海口南新鞋业有限公司</t>
  </si>
  <si>
    <t>海南白蚁防治中心</t>
  </si>
  <si>
    <t>海南兴水城乡供水有限公司</t>
  </si>
  <si>
    <t>海口千叶兽药厂</t>
  </si>
  <si>
    <t>海口美兰新时代美容美发休闲广场</t>
  </si>
  <si>
    <t>海口南方家俱有限公司</t>
  </si>
  <si>
    <t>海口兰梦床垫有限公司</t>
  </si>
  <si>
    <t>海南世纪盈通网络科技有限公司</t>
  </si>
  <si>
    <t>海南佰秀服装有限公司</t>
  </si>
  <si>
    <t>海南安福智能科技有限公司</t>
  </si>
  <si>
    <t>海口健雅制衣有限公司</t>
  </si>
  <si>
    <t>海口保税区东岳精细化工有限公司</t>
  </si>
  <si>
    <t>海口恒昌厨具设备厂</t>
  </si>
  <si>
    <t>海口保税区潮民八彩食品有限公司</t>
  </si>
  <si>
    <t>海口市教育服装厂</t>
  </si>
  <si>
    <t>海口继瑶贸易有限公司</t>
  </si>
  <si>
    <t>海口保税区柏基彩砖有限公司</t>
  </si>
  <si>
    <t>海南通用三洋药业有限公司</t>
  </si>
  <si>
    <t>海口华太交通标志厂</t>
  </si>
  <si>
    <t>海南金希来药业有限公司</t>
  </si>
  <si>
    <t>海南六合环保催化剂有限公司</t>
  </si>
  <si>
    <t>海口方达实业有限公司</t>
  </si>
  <si>
    <t>地方国营海口市社会福利工厂</t>
  </si>
  <si>
    <t>海口顺铃汽车销售有限公司</t>
  </si>
  <si>
    <t>海口市火柴厂</t>
  </si>
  <si>
    <t>海口力神企业股份有限公司</t>
  </si>
  <si>
    <t>上浮一档</t>
  </si>
  <si>
    <t>海口腾飞港龙金属工程有限公司</t>
  </si>
  <si>
    <t>海口上岛咖啡食品有限公司</t>
  </si>
  <si>
    <t>海南椰岛（集团）股份有限公司</t>
  </si>
  <si>
    <t>海口市啤酒厂</t>
  </si>
  <si>
    <t>海口欣宏洋实业有限公司</t>
  </si>
  <si>
    <t>海口海明电器有限公司</t>
  </si>
  <si>
    <t>海南凯辉制衣厂有限公司</t>
  </si>
  <si>
    <t>海口椰树精细化工实业有限公司</t>
  </si>
  <si>
    <t>海南威昌汽车配件有限公司</t>
  </si>
  <si>
    <t>海南明芳机械有限公司</t>
  </si>
  <si>
    <t>海南富士嘉建筑材料有限公司</t>
  </si>
  <si>
    <t>中社联（北京）科技发展有限公司海南分公司</t>
  </si>
  <si>
    <t>海南通用康力制药有限公司</t>
  </si>
  <si>
    <t>海南嘉美图彩色印刷有限公司</t>
  </si>
  <si>
    <t>海南贵丰珠宝有限公司</t>
  </si>
  <si>
    <t>海口市园林绿化工程有限公司</t>
  </si>
  <si>
    <t>海口迪洋纳时装有限公司</t>
  </si>
  <si>
    <t>海口绮丽雕刻工艺技术有限公司</t>
  </si>
  <si>
    <t>海口健群实业有限公司</t>
  </si>
  <si>
    <t>地方国营海口市塑料厂</t>
  </si>
  <si>
    <t>海口新明实业有限公司</t>
  </si>
  <si>
    <t>北控水务集团(海南)有限公司</t>
  </si>
  <si>
    <t>海南世知印刷工业有限公司</t>
  </si>
  <si>
    <t>海南一洲药业有限公司</t>
  </si>
  <si>
    <t>海南金盘饮料有限公司</t>
  </si>
  <si>
    <t>海口市新华区化工厂</t>
  </si>
  <si>
    <t>海口市针织厂</t>
  </si>
  <si>
    <t>海口华之春园艺景观有限公司</t>
  </si>
  <si>
    <t>海口市龙华区文具厂</t>
  </si>
  <si>
    <t>海口琼山旺椰美佳服装加工店</t>
  </si>
  <si>
    <t>海口晟亿数码家居配置有限公司</t>
  </si>
  <si>
    <t>海南中彩日用化工产品有限公司</t>
  </si>
  <si>
    <t>海口南茂银晶特种工艺玻璃有限公司</t>
  </si>
  <si>
    <t>海口市环保技术工程实业开发公司</t>
  </si>
  <si>
    <t>海口安捷汽车检测服务有限公司</t>
  </si>
  <si>
    <t>海口绿好实业发展有限公司</t>
  </si>
  <si>
    <t>海口亨生服装厂</t>
  </si>
  <si>
    <t>海口市麻纺织厂</t>
  </si>
  <si>
    <t>海口凯顺塑料制品有限公司</t>
  </si>
  <si>
    <t>海口山麓实业有限公司</t>
  </si>
  <si>
    <t>海南椰马床垫有限公司</t>
  </si>
  <si>
    <t>海口通达排气系统有限公司</t>
  </si>
  <si>
    <t>海口神骑汽车维修有限公司</t>
  </si>
  <si>
    <t>椰树集团海口罐头厂有限公司</t>
  </si>
  <si>
    <t>海口立升饮料设备有限公司</t>
  </si>
  <si>
    <t>海南高钛科技股份有限公司</t>
  </si>
  <si>
    <t>海口利达床垫有限公司</t>
  </si>
  <si>
    <t>海南兴源景观工程有限公司</t>
  </si>
  <si>
    <t>海南奥瑞电子商务有限公司</t>
  </si>
  <si>
    <t>海口新椰城工艺有限公司</t>
  </si>
  <si>
    <t>海口永建机械加工厂</t>
  </si>
  <si>
    <t>海口兆丰木业设备有限公司</t>
  </si>
  <si>
    <t>海口光通光电子研究所（普通合伙）</t>
  </si>
  <si>
    <t>海口庆林卡拉胶加工有限公司</t>
  </si>
  <si>
    <t>海口美光包装厂</t>
  </si>
  <si>
    <t>海南泉溢食品有限公司</t>
  </si>
  <si>
    <t>海口食品有限公司</t>
  </si>
  <si>
    <t>海口海培尼斯实业有限公司</t>
  </si>
  <si>
    <t>海南吉吉娱乐有限公司</t>
  </si>
  <si>
    <t>海口市路桥建设投资有限公司</t>
  </si>
  <si>
    <t>海口恒远信科技有限公司</t>
  </si>
  <si>
    <t>海南乾明电控成套设备有限公司</t>
  </si>
  <si>
    <t>海口海德堡印刷物资有限公司</t>
  </si>
  <si>
    <t>海口市红岛食品厂</t>
  </si>
  <si>
    <t>海口红玉达明体育用品有限公司</t>
  </si>
  <si>
    <t>海南黄灯笼食品有限公司</t>
  </si>
  <si>
    <t>海口市石料综合厂</t>
  </si>
  <si>
    <t>海口市上游农械厂</t>
  </si>
  <si>
    <t>海口成兴塑胶有限公司</t>
  </si>
  <si>
    <t>海口美威铝铁型材有限公司</t>
  </si>
  <si>
    <t>海口市制钉厂</t>
  </si>
  <si>
    <t>海南新和铸管厂</t>
  </si>
  <si>
    <t>海南甘林房地产开发有限公司</t>
  </si>
  <si>
    <t>海南大西洋制药厂有限公司</t>
  </si>
  <si>
    <t>海口市利器衡具厂</t>
  </si>
  <si>
    <t>海口市电工器材厂</t>
  </si>
  <si>
    <t>海南渝生机械电子科技工程有限公司</t>
  </si>
  <si>
    <t>海口市服装总厂</t>
  </si>
  <si>
    <t>海南一代佳人娱乐有限公司</t>
  </si>
  <si>
    <t>海口市五一紧固件厂</t>
  </si>
  <si>
    <t>海口可然家居有限责任公司</t>
  </si>
  <si>
    <t>海口鑫华悦计算机网络有限公司</t>
  </si>
  <si>
    <t>海南水晶之恋娱乐有限公司</t>
  </si>
  <si>
    <t>海口椰吉实业有限公司</t>
  </si>
  <si>
    <t>海口金立人商贸有限公司</t>
  </si>
  <si>
    <t>海南力创模具有限公司</t>
  </si>
  <si>
    <t>海口佳诚昌制罐有限公司</t>
  </si>
  <si>
    <t>海口缤彩服饰有限公司</t>
  </si>
  <si>
    <t>海口大银盘汽车营销维修服务有限公司</t>
  </si>
  <si>
    <t>海南金莱特照明工程有限公司</t>
  </si>
  <si>
    <t>海南怡天环保科技有限公司</t>
  </si>
  <si>
    <t>海口丹江汽车减振器有限公司</t>
  </si>
  <si>
    <t>深圳市艺园园林绿化有限公司海南分公司</t>
  </si>
  <si>
    <t>海口鑫明创科技有限公司</t>
  </si>
  <si>
    <t>海口康力德输变电设备有限公司</t>
  </si>
  <si>
    <t>海口酷动数码有限公司</t>
  </si>
  <si>
    <t>海南慧泰世纪科技有限公司</t>
  </si>
  <si>
    <t>海南环岛易购超市有限公司</t>
  </si>
  <si>
    <t>海南安视智能科技工程有限公司</t>
  </si>
  <si>
    <t>海南中亚铝业有限公司</t>
  </si>
  <si>
    <t>海口美狮装饰广告有限公司</t>
  </si>
  <si>
    <t>海南省红岭水利工程建设有限公司红岭灌区项目部</t>
  </si>
  <si>
    <t>海口荣华格家私有限公司</t>
  </si>
  <si>
    <t>海南呀喏哒餐饮娱乐管理有限公司</t>
  </si>
  <si>
    <t>广州宏原汽车配件有限公司海口分公司</t>
  </si>
  <si>
    <t>海口冠桥电脑有限公司</t>
  </si>
  <si>
    <t>海南鑫森淼园林工程有限公司</t>
  </si>
  <si>
    <t>海南天赏安防科技有限公司</t>
  </si>
  <si>
    <t>海口人生米防水工程有限公司</t>
  </si>
  <si>
    <t>海口盟凯数码科技有限公司</t>
  </si>
  <si>
    <t>海口诚新建筑材料有限公司</t>
  </si>
  <si>
    <t>海口普德瑞科技有限公司</t>
  </si>
  <si>
    <t>海南乐来佳电器技术服务有限公司</t>
  </si>
  <si>
    <t>海南维煌汽车销售有限公司</t>
  </si>
  <si>
    <t>海南艺宝物业有限公司</t>
  </si>
  <si>
    <t>海口琼山东门一恺移动专营店</t>
  </si>
  <si>
    <t>海南三叶制药厂有限公司</t>
  </si>
  <si>
    <t>海口新安洁环境工程有限公司</t>
  </si>
  <si>
    <t>海口鑫视电视器材有限公司</t>
  </si>
  <si>
    <t>海口正邦联合汽车服务有限公司</t>
  </si>
  <si>
    <t>海口秀英川嵘汽车配件部</t>
  </si>
  <si>
    <t>海口中正华科技有限公司</t>
  </si>
  <si>
    <t>海南省新供销天润农产品有限公司</t>
  </si>
  <si>
    <t>海南臣宝贸易有限公司</t>
  </si>
  <si>
    <t>海口一宇电子工程有限公司</t>
  </si>
  <si>
    <t>深圳中航信息科技产业股份有限公司海南分公司</t>
  </si>
  <si>
    <t>海口琼山宇达电动工具维修部</t>
  </si>
  <si>
    <t>海南圣康元食品有限公司</t>
  </si>
  <si>
    <t>海口永源鑫贸易有限公司</t>
  </si>
  <si>
    <t>海口聚联网络科技有限公司</t>
  </si>
  <si>
    <t>海南仙盾科技开发有限公司</t>
  </si>
  <si>
    <t>海口万水测绘科技有限公司</t>
  </si>
  <si>
    <t>海南森江沅船舶工程有限公司</t>
  </si>
  <si>
    <t>海口安捷美灵汽车检测有限责任公司</t>
  </si>
  <si>
    <t>海口声色数码有限公司</t>
  </si>
  <si>
    <t>海口一棠工艺美术制品有限公司</t>
  </si>
  <si>
    <t>新东网科技有限公司海南分公司</t>
  </si>
  <si>
    <t>海南正和居工业品有限公司</t>
  </si>
  <si>
    <t>海南瑞达通贸易有限公司</t>
  </si>
  <si>
    <t>海南泓途网络科技有限公司</t>
  </si>
  <si>
    <t>海口联信特种设备职业培训学校</t>
  </si>
  <si>
    <t>海口秀英旺旺汽车空调修理部</t>
  </si>
  <si>
    <t>海南鑫中水环境工程有限公司</t>
  </si>
  <si>
    <t>海南旅行季网络科技有限公司</t>
  </si>
  <si>
    <t>海口椰庄冰粒有限公司</t>
  </si>
  <si>
    <t>海口灵犀创意文化传播有限公司</t>
  </si>
  <si>
    <t>海南云端环境咨询有限公司</t>
  </si>
  <si>
    <t>海南创协信息科技有限公司</t>
  </si>
  <si>
    <t>海口芳甸园林景观工程有限公司</t>
  </si>
  <si>
    <t>海口焱诚电子科技有限公司</t>
  </si>
  <si>
    <t>海口秀英佑建五金加工厂</t>
  </si>
  <si>
    <t>海南洋嘉文化传媒有限公司</t>
  </si>
  <si>
    <t>海南水秀环保工程有限公司</t>
  </si>
  <si>
    <t>海口绿森峰园林景观有限公司</t>
  </si>
  <si>
    <t>海口迎喜红贸易有限公司</t>
  </si>
  <si>
    <t>海口创美贝忆工艺品有限公司</t>
  </si>
  <si>
    <t>海南国幸环保科技有限公司</t>
  </si>
  <si>
    <t>海口雪原泽南艺术品有限公司</t>
  </si>
  <si>
    <t>博天环境集团股份有限公司海南分公司</t>
  </si>
  <si>
    <t>海口谷宸计算机网络工程有限公司</t>
  </si>
  <si>
    <t>海南万丛网络科技有限公司</t>
  </si>
  <si>
    <t>振东橡化厂</t>
  </si>
  <si>
    <t>海口市美兰区橡胶制品厂</t>
  </si>
  <si>
    <t>海口市美兰区轻工机械厂</t>
  </si>
  <si>
    <t>振东皮鞋厂</t>
  </si>
  <si>
    <t>海口市美兰区博爱五金综合厂</t>
  </si>
  <si>
    <t>海口博爱机械有限公司</t>
  </si>
  <si>
    <t>海口市美兰区日什制品厂</t>
  </si>
  <si>
    <t>海口欧化印染有限公司</t>
  </si>
  <si>
    <t>海口南方制罐有限公司</t>
  </si>
  <si>
    <t>海口市医疗器械厂</t>
  </si>
  <si>
    <t>海口市博爱织造厂</t>
  </si>
  <si>
    <t>海口市美兰区五金厂</t>
  </si>
  <si>
    <t>海口市博爱消防综合厂</t>
  </si>
  <si>
    <t>海口金鹿氟塑制品有限公司</t>
  </si>
  <si>
    <t>海口市美兰区金属加工铸造厂</t>
  </si>
  <si>
    <t>海口纺织综合材料厂</t>
  </si>
  <si>
    <t>海口金鸿城出租汽车有限公司</t>
  </si>
  <si>
    <t>海口第一砖厂有限公司</t>
  </si>
  <si>
    <t>海口卡奇尔投资咨询有限公司</t>
  </si>
  <si>
    <t>海口华丰计量电子衡器有限公司</t>
  </si>
  <si>
    <t>海口威士威营养食品有限公司</t>
  </si>
  <si>
    <t>海口滨海公园管理发展有限公司</t>
  </si>
  <si>
    <t>海南德朗科技有限公司</t>
  </si>
  <si>
    <t>海南亚洲制药股份有限公司</t>
  </si>
  <si>
    <t>海口龙隆电力线路器材设备有限公司</t>
  </si>
  <si>
    <t>海口市金属加工厂</t>
  </si>
  <si>
    <t>海口胶帆布厂</t>
  </si>
  <si>
    <t>海口市前进铁工厂</t>
  </si>
  <si>
    <t>海口长久电器控制设备有限公司</t>
  </si>
  <si>
    <t>海口市橡胶四厂</t>
  </si>
  <si>
    <t>海口市红星食品厂</t>
  </si>
  <si>
    <t>海口龙华日用塑料厂</t>
  </si>
  <si>
    <t>海口康乐卫生巾厂</t>
  </si>
  <si>
    <t>海口全丰纸业有限公司</t>
  </si>
  <si>
    <t>地方国营海口汽车修理厂</t>
  </si>
  <si>
    <t>海口京海水泥制品厂</t>
  </si>
  <si>
    <t>海南金鹿投资集团有限公司</t>
  </si>
  <si>
    <t>海南成丰种业有限公司</t>
  </si>
  <si>
    <t>海口市家用电器厂</t>
  </si>
  <si>
    <t>海南木曜实业有限公司海口分公司</t>
  </si>
  <si>
    <t>海南广鑫印务股份有限公司</t>
  </si>
  <si>
    <t>海口市美兰区振东塑料厂</t>
  </si>
  <si>
    <t>海口市胶帆布厂</t>
  </si>
  <si>
    <t>美安镇水利水电管理服务站</t>
  </si>
  <si>
    <t>海口欣奇食品有限公司</t>
  </si>
  <si>
    <t>海南天源康泽医药科技有限公司</t>
  </si>
  <si>
    <t>海口演丰热带作物场</t>
  </si>
  <si>
    <t>琼山市永兴手工业社</t>
  </si>
  <si>
    <t>海南宝亨房地产开发有限公司</t>
  </si>
  <si>
    <t>海南新大力机械工业有限公司</t>
  </si>
  <si>
    <t>海南晶辉盐业有限公司</t>
  </si>
  <si>
    <t>海口达诺贸易有限公司</t>
  </si>
  <si>
    <t>海口鑫顺通计算机网络有限公司</t>
  </si>
  <si>
    <t>海口厨宝商贸有限公司</t>
  </si>
  <si>
    <t>海口海华轮胎有限公司破产清算组</t>
  </si>
  <si>
    <t>海口鸿运农机二厂有限公司</t>
  </si>
  <si>
    <t>海口水星玻璃钢实业有限公司</t>
  </si>
  <si>
    <t>海口吾田农资有限公司</t>
  </si>
  <si>
    <t>海口金鹿矿泉饮料有限公司</t>
  </si>
  <si>
    <t>海口绿嘉园贸易有限公司</t>
  </si>
  <si>
    <t>海口博聚纸箱制品有限公司</t>
  </si>
  <si>
    <t>海口秀英利源石料厂</t>
  </si>
  <si>
    <t>浙江万向系统有限公司海南分公司</t>
  </si>
  <si>
    <t>海南钧达汽车饰件股份有限公司</t>
  </si>
  <si>
    <t>海口塔市盐场</t>
  </si>
  <si>
    <t>海口龙塘砖瓦综合加工厂</t>
  </si>
  <si>
    <t>海口龙华辉升机械加工厂</t>
  </si>
  <si>
    <t>海口汇晟厨房设备有限公司</t>
  </si>
  <si>
    <t>海口龙塘陶瓷厂</t>
  </si>
  <si>
    <t>海口龙华鑫金誉汽车维修厂</t>
  </si>
  <si>
    <t>海口美伦美奂网络科技有限公司</t>
  </si>
  <si>
    <t>海口捷飞汽车维修有限公司</t>
  </si>
  <si>
    <t>海口长安电子有限公司</t>
  </si>
  <si>
    <t>海口芦荟缘食品有限公司</t>
  </si>
  <si>
    <t>海口宝铁龙金属制品有限公司</t>
  </si>
  <si>
    <t>海南万达包装制造有限公司</t>
  </si>
  <si>
    <t>海南新狮食品有限公司</t>
  </si>
  <si>
    <t>海南精瑞汽车零部件有限公司</t>
  </si>
  <si>
    <t>海口秀英超越石场</t>
  </si>
  <si>
    <t>琼山水泥厂</t>
  </si>
  <si>
    <t>海南路华石油有限公司</t>
  </si>
  <si>
    <t>海口琼山东门六点半食品饮料厂</t>
  </si>
  <si>
    <t>海口市新海造船厂</t>
  </si>
  <si>
    <t>海口美盛药业加工有限公司</t>
  </si>
  <si>
    <t>琼山市十字路镇水利水电管理服务站</t>
  </si>
  <si>
    <t>海口美安糖业有限公司（方妹）</t>
  </si>
  <si>
    <t>海口佳日实业有限公司</t>
  </si>
  <si>
    <t>海口美兰通达金属厂</t>
  </si>
  <si>
    <t>海口西宏钢化玻璃有限公司</t>
  </si>
  <si>
    <t>海南宇傲汽车配件有限公司</t>
  </si>
  <si>
    <t>海口牧禾生物科技有限公司</t>
  </si>
  <si>
    <t>海南北电开关有限公司</t>
  </si>
  <si>
    <t>海南陇海压铸厂</t>
  </si>
  <si>
    <t>海南红牛饮料有限公司</t>
  </si>
  <si>
    <t>海南台圆木器实业有限公司</t>
  </si>
  <si>
    <t>海南南国食品实业有限公司</t>
  </si>
  <si>
    <t>海南翰锋商用科技有限公司</t>
  </si>
  <si>
    <t>海南华夏消声器有限公司</t>
  </si>
  <si>
    <t>海口威铭汽车用品装饰有限公司</t>
  </si>
  <si>
    <t>海口保税区明和汽车消声器有限公司</t>
  </si>
  <si>
    <t>海南集瑞贸易有限公司</t>
  </si>
  <si>
    <t>海南三叶印刷工业有限公司</t>
  </si>
  <si>
    <t>海南太盟资讯科技有限公司国贸专营店</t>
  </si>
  <si>
    <t>海南鸿声信息技术有限公司</t>
  </si>
  <si>
    <t>海南睿丰光纤光缆有限公司</t>
  </si>
  <si>
    <t>海口铭海印务文化有限公司</t>
  </si>
  <si>
    <t>海南塑光工程塑料有限公司</t>
  </si>
  <si>
    <t>海口雲之轩贸易有限公司</t>
  </si>
  <si>
    <t>海南正强超越生化技术开发有限公司</t>
  </si>
  <si>
    <t>海南跃腾汽车销售服务有限公司</t>
  </si>
  <si>
    <t>海南天怡生物科技有限公司</t>
  </si>
  <si>
    <t>海南省琼山市水政监察大队</t>
  </si>
  <si>
    <t>海南道建停车经营管理有限公司</t>
  </si>
  <si>
    <t>海口尚亿包装有限公司</t>
  </si>
  <si>
    <t>海口琼山社会福利事业工厂</t>
  </si>
  <si>
    <t>中国电波传播研究所海南电波观测站</t>
  </si>
  <si>
    <t>海口中南瓶胚有限公司</t>
  </si>
  <si>
    <t>海南三汇轻质建筑材料有限公司</t>
  </si>
  <si>
    <t>海南瑞利工业有限公司</t>
  </si>
  <si>
    <t>海口金凤油气综合利用有限公司</t>
  </si>
  <si>
    <t>海口美华电器有限公司</t>
  </si>
  <si>
    <t>海南金鹿农机发展股份有限公司</t>
  </si>
  <si>
    <t>海口恒先工贸有限公司</t>
  </si>
  <si>
    <t>海南双成金属结构制品有限公司</t>
  </si>
  <si>
    <t>海口香香腊味食品有限公司</t>
  </si>
  <si>
    <t>海口旭海酒店用品有限公司</t>
  </si>
  <si>
    <t>海口海香源食品有限公司</t>
  </si>
  <si>
    <t>海口富利食品有限公司</t>
  </si>
  <si>
    <t>海口乐洋生化科技有限公司</t>
  </si>
  <si>
    <t>海南海旭科技发展有限公司</t>
  </si>
  <si>
    <t>德林义肢矫型康复器材（深圳）有限公司海口分公司</t>
  </si>
  <si>
    <t>海口广源汽车维修有限公司</t>
  </si>
  <si>
    <t>海口碧海旅游工艺品有限公司</t>
  </si>
  <si>
    <t>海口丹源实业有限公司</t>
  </si>
  <si>
    <t>海口安博兴橡塑制品有限公司</t>
  </si>
  <si>
    <t>海口明亮安格科技开发有限公司</t>
  </si>
  <si>
    <t>海南潮安机械有限公司</t>
  </si>
  <si>
    <t>海口市秀英区东山镇人民政府</t>
  </si>
  <si>
    <t>海口源茂园林工程有限公司</t>
  </si>
  <si>
    <t>海口益沣糖酒有限公司食品厂</t>
  </si>
  <si>
    <t>海口中鑫制胶有限公司</t>
  </si>
  <si>
    <t>海南赛雪天然澳精油有限公司</t>
  </si>
  <si>
    <t>海南欣欣娱乐有限公司</t>
  </si>
  <si>
    <t>海南禾一机动车配件有限公司</t>
  </si>
  <si>
    <t>海南盛科天然药物研究院有限公司</t>
  </si>
  <si>
    <t>海口众华汽车维修有限公司</t>
  </si>
  <si>
    <t>海南兰地高新科技有限公司</t>
  </si>
  <si>
    <t>海南宏海东升包装有限公司</t>
  </si>
  <si>
    <t>广州市飞腾世纪泳池设备有限公司海口分公司</t>
  </si>
  <si>
    <t>海口益诺环境工程管理有限公司</t>
  </si>
  <si>
    <t>海南恒日柳工机械销售服务有限公司</t>
  </si>
  <si>
    <t>海南罗牛山面粉有限公司</t>
  </si>
  <si>
    <t>海口市粮食局甲子粮食储备库</t>
  </si>
  <si>
    <t>海南斯力特机动车配件有限公司</t>
  </si>
  <si>
    <t>海口鲁亚包装有限公司</t>
  </si>
  <si>
    <t>海口华瑞电子有限公司</t>
  </si>
  <si>
    <t>海南三箭科技开发有限公司</t>
  </si>
  <si>
    <t>海南天人降解塑料股份有限公司</t>
  </si>
  <si>
    <t>海口金佰利服饰有限公司</t>
  </si>
  <si>
    <t>海南赛诺德家具有限公司</t>
  </si>
  <si>
    <t>海南恒安华汽车检测服务有限公司</t>
  </si>
  <si>
    <t>大连五星测绘科技有限公司海南分公司</t>
  </si>
  <si>
    <t>海南环岛阳光太阳能工程有限公司</t>
  </si>
  <si>
    <t>海南久隆酒店用品有限公司</t>
  </si>
  <si>
    <t>海口硕捷科技有限公司</t>
  </si>
  <si>
    <t>海南鑫达门电梯销售有限公司</t>
  </si>
  <si>
    <t>海南江和源工程监理有限公司</t>
  </si>
  <si>
    <t>荆州市天宇汽车配件有限公司海口分公司</t>
  </si>
  <si>
    <t>海口绿洁邦环保有限公司</t>
  </si>
  <si>
    <t>海南邦博印象实业有限公司</t>
  </si>
  <si>
    <t>海口龙华万佳索菲亚衣柜专营店</t>
  </si>
  <si>
    <t>海口鑫丰玥通信设备有限公司</t>
  </si>
  <si>
    <t>海口帝沃医药用品有限公司</t>
  </si>
  <si>
    <t>海口龙华怡美养颜生活馆</t>
  </si>
  <si>
    <t>海南美兰天宇通信有限公司</t>
  </si>
  <si>
    <t>天津市金牛钉业有限公司海南分公司</t>
  </si>
  <si>
    <t>海口倚能美林物业服务有限公司</t>
  </si>
  <si>
    <t>海口德腾工程设备有限公司</t>
  </si>
  <si>
    <t>海口长实塑料家倶有限公司</t>
  </si>
  <si>
    <t>海南绿起环境技术工程有限公司</t>
  </si>
  <si>
    <t>天津市顺达汽车零部件有限公司海南分公司</t>
  </si>
  <si>
    <t>海口盛裕恒贸易有限公司</t>
  </si>
  <si>
    <t>海口超达成工贸有限公司</t>
  </si>
  <si>
    <t>海口明一环境工程有限公司</t>
  </si>
  <si>
    <t>海口琼山杨氏格雅实木家具加工厂</t>
  </si>
  <si>
    <t>海口承成新型建筑材料有限公司</t>
  </si>
  <si>
    <t>海南鲁科信息技术有限公司</t>
  </si>
  <si>
    <t>海南东进航空科技有限公司</t>
  </si>
  <si>
    <t>海南鑫尚华物业服务有限公司</t>
  </si>
  <si>
    <t>海口溢利贸易有限公司</t>
  </si>
  <si>
    <t>海口千臣佳亿科技发展有限公司</t>
  </si>
  <si>
    <t>海南金湛农资有限公司</t>
  </si>
  <si>
    <t>陕西浦思金融网络科技有限公司海南分公司</t>
  </si>
  <si>
    <t>海南禾粒科技有限公司</t>
  </si>
  <si>
    <t>海南捷盛汽车服务有限公司</t>
  </si>
  <si>
    <t>海南经旅盛世广告有限公司</t>
  </si>
  <si>
    <t>海南华泽安实业有限公司</t>
  </si>
  <si>
    <t>海南吉菱电梯工程有限公司</t>
  </si>
  <si>
    <t>海南环林生态资源管理有限公司</t>
  </si>
  <si>
    <t>海南舶酒汇商业管理有限公司</t>
  </si>
  <si>
    <t>海口美兰陈云服装加工店</t>
  </si>
  <si>
    <t>海南华韵艺术教育开发有限公司</t>
  </si>
  <si>
    <t>海南淼龙实业有限公司</t>
  </si>
  <si>
    <t>海南新湖园林绿化有限公司</t>
  </si>
  <si>
    <t>海口予恒电子科技有限公司</t>
  </si>
  <si>
    <t>海口龙华鑫天宇广告设计中心</t>
  </si>
  <si>
    <t>海南通达保网络科技有限公司</t>
  </si>
  <si>
    <t>福州六度伯乐信息技术有限公司海南分公司</t>
  </si>
  <si>
    <t>海南中恒安实业有限公司</t>
  </si>
  <si>
    <t>海口国瑞洋贸易有限公司</t>
  </si>
  <si>
    <t>海口方信达智能工程有限公司</t>
  </si>
  <si>
    <t>海口恒锐翔电子科技有限公司</t>
  </si>
  <si>
    <t>海南恒粒实业有限公司</t>
  </si>
  <si>
    <t>海口龙华咿呀叽娱乐会所</t>
  </si>
  <si>
    <t>海南福骏泰安生物科技有限公司</t>
  </si>
  <si>
    <t>海口文华捷盛汽车服务有限公司</t>
  </si>
  <si>
    <t>海南艳阳下农业发展有限公司</t>
  </si>
  <si>
    <t>海口美兰新昌源铁艺制品厂</t>
  </si>
  <si>
    <t>海口龙华昱鑫通信服务中心</t>
  </si>
  <si>
    <t>海口医技网络有限公司</t>
  </si>
  <si>
    <t>海南阳光伟业节能工程有限公司</t>
  </si>
  <si>
    <t>海口南方中德控制系统有限公司</t>
  </si>
  <si>
    <t>海口龙华信康装饰材料加工店</t>
  </si>
  <si>
    <t>海南海铂机电工程有限公司</t>
  </si>
  <si>
    <t>海南慧翼科技有限公司</t>
  </si>
  <si>
    <t>海南正诚立世科技有限公司</t>
  </si>
  <si>
    <t>海口中化联合咨询服务有限公司</t>
  </si>
  <si>
    <t>海口尼佳电子科技有限公司</t>
  </si>
  <si>
    <t>海口信建物业管理有限公司</t>
  </si>
  <si>
    <t>海南信杰通软件科技有限公司</t>
  </si>
  <si>
    <t>海南泽和贸易有限公司</t>
  </si>
  <si>
    <t>海南顺海科技有限公司</t>
  </si>
  <si>
    <t>海南益泰隆实业有限公司</t>
  </si>
  <si>
    <t>海南海沁天诚技术检测服务有限公司</t>
  </si>
  <si>
    <t>海口翔弘工艺品制作有限公司</t>
  </si>
  <si>
    <t>海口秀英旺运旺汽车维修部</t>
  </si>
  <si>
    <t>海南方盾实业有限公司</t>
  </si>
  <si>
    <t>海南明泽医疗器械有限公司</t>
  </si>
  <si>
    <t>海南荣辉广告有限公司</t>
  </si>
  <si>
    <t>海南中科海创科技发展有限公司</t>
  </si>
  <si>
    <t>海南立强测绘有限公司</t>
  </si>
  <si>
    <t>海南合鑫和机电工程有限公司</t>
  </si>
  <si>
    <t>海南吗哪投资管理有限公司</t>
  </si>
  <si>
    <t>海南南浦奥玥科技有限公司</t>
  </si>
  <si>
    <t>海口琼山千润装卸服务中心</t>
  </si>
  <si>
    <t>海南大洲燕窝实业有限公司</t>
  </si>
  <si>
    <t>海口天虹生物科技有限公司</t>
  </si>
  <si>
    <t>海口亿雄动力科技有限公司</t>
  </si>
  <si>
    <t>海南北航玻璃有限公司</t>
  </si>
  <si>
    <t>海口大川机器人科技有限公司</t>
  </si>
  <si>
    <t>福建实邑科技信息股份有限公司海南分公司</t>
  </si>
  <si>
    <t>海口琼山翔誉好运来汽车用品店</t>
  </si>
  <si>
    <t>海口路通通物流有限公司</t>
  </si>
  <si>
    <t>海南隆胜实业有限公司</t>
  </si>
  <si>
    <t>海南汉斯顿净水设备有限公司</t>
  </si>
  <si>
    <t>海口欢渔生物技术有限公司</t>
  </si>
  <si>
    <t>安徽烽火台卫星监控科技有限公司海南分公司</t>
  </si>
  <si>
    <t>海南北斗星服饰礼品有限公司</t>
  </si>
  <si>
    <t>海南德智车联网络科技有限公司</t>
  </si>
  <si>
    <t>海南禾心园智能电子科技有限公司</t>
  </si>
  <si>
    <t>海口市地下综合管廊投资管理有限公司</t>
  </si>
  <si>
    <t>海口盈新和科技有限公司</t>
  </si>
  <si>
    <t>海口秀英辉杰冷冻食品厂</t>
  </si>
  <si>
    <t>海南玖兴通信工程有限公司</t>
  </si>
  <si>
    <t>海南鑫畅网络科技有限公司</t>
  </si>
  <si>
    <t>海口长丰水务投资有限公司</t>
  </si>
  <si>
    <t>海南恒佳信达科技有限公司</t>
  </si>
  <si>
    <t>海南均海电气成套设备有限公司</t>
  </si>
  <si>
    <t>海南亨特信博建材有限公司</t>
  </si>
  <si>
    <t>海南晟宇优甫科技发展有限公司</t>
  </si>
  <si>
    <t>海南金恒立通信设备有限公司</t>
  </si>
  <si>
    <t>海口菜市通投资有限公司</t>
  </si>
  <si>
    <t>海口鑫超翔电子科技有限公司</t>
  </si>
  <si>
    <t>海南海岛绿能科技有限公司</t>
  </si>
  <si>
    <t>海口琼卫洁服务有限公司</t>
  </si>
  <si>
    <t>海南蓝奥实业有限公司</t>
  </si>
  <si>
    <t>海南智睿联创教育科技有限公司</t>
  </si>
  <si>
    <t>海口瑞航机电有限公司</t>
  </si>
  <si>
    <t>海南俏姑娘电子商务有限公司</t>
  </si>
  <si>
    <t>广东天亿马信息产业股份有限公司海南分公司</t>
  </si>
  <si>
    <t>海口柏澜音响设备工程有限公司</t>
  </si>
  <si>
    <t>海南今盛广告有限公司</t>
  </si>
  <si>
    <t>海南嘉新广告传媒有限公司</t>
  </si>
  <si>
    <t>海南圣德斯科技有限公司</t>
  </si>
  <si>
    <t>成都远大创新物业管理有限责任公司海南分公司</t>
  </si>
  <si>
    <t>海南信延科技有限公司</t>
  </si>
  <si>
    <t>海南绿象科技有限公司</t>
  </si>
  <si>
    <t>海南省福道汽车服务有限公司</t>
  </si>
  <si>
    <t>海南坤氏实业有限公司</t>
  </si>
  <si>
    <t>海口兄弟创新科技发展有限公司</t>
  </si>
  <si>
    <t>海南新庭智能科技有限公司</t>
  </si>
  <si>
    <t>海南蓝动陌陌文化娱乐有限公司</t>
  </si>
  <si>
    <t>海南蓝色印象服饰有限公司</t>
  </si>
  <si>
    <t>海南鸿海泉设备工程有限公司</t>
  </si>
  <si>
    <t>海南华鑫然食品有限公司</t>
  </si>
  <si>
    <t>海口秀英金康通讯商行</t>
  </si>
  <si>
    <t>海南琼茶科技有限公司</t>
  </si>
  <si>
    <t>海口美兰鑫文辉汽修万华厂</t>
  </si>
  <si>
    <t>海南雄盛科技有限公司</t>
  </si>
  <si>
    <t>海南豪爵摩托车销售有限公司</t>
  </si>
  <si>
    <t>海南辰辉科技有限公司</t>
  </si>
  <si>
    <t>海口龙华万佳润塑料制品厂</t>
  </si>
  <si>
    <t>海南聚祥诚贸易有限公司</t>
  </si>
  <si>
    <t>海南华思泰科技有限公司</t>
  </si>
  <si>
    <t>海南百荟香文化传播有限公司</t>
  </si>
  <si>
    <t>海南智动科技有限公司</t>
  </si>
  <si>
    <t>海口美新欧机电设备有限公司</t>
  </si>
  <si>
    <t>海口上水源广告传媒有限公司</t>
  </si>
  <si>
    <t>海口赛恩特科技有限公司</t>
  </si>
  <si>
    <t>海口日昌升塑料制品有限公司</t>
  </si>
  <si>
    <t>海口福旦贸易有限公司</t>
  </si>
  <si>
    <t>海南易达通贸易有限公司</t>
  </si>
  <si>
    <t>智印（海南）教育科技有限公司</t>
  </si>
  <si>
    <t>海南人驰环境咨询有限公司</t>
  </si>
  <si>
    <t>海南胜凯建材有限公司</t>
  </si>
  <si>
    <t>海口老椰工艺品有限公司</t>
  </si>
  <si>
    <t>海南航冠电子科技有限公司</t>
  </si>
  <si>
    <t>海南城基投资有限公司</t>
  </si>
  <si>
    <t>海口顺铃汽车维修服务有限公司</t>
  </si>
  <si>
    <t>海口蓝雅家具有限公司</t>
  </si>
  <si>
    <t>海南华安金电子工程有限公司</t>
  </si>
  <si>
    <t>海南美亚电线电缆有限公司</t>
  </si>
  <si>
    <t>海口琼文酒厂</t>
  </si>
  <si>
    <t>海口嘉泰木业有限公司</t>
  </si>
  <si>
    <t>海口中富容器有限公司</t>
  </si>
  <si>
    <t>海南新苏模塑工贸有限公司</t>
  </si>
  <si>
    <t>海南省水利电力发展有限公司</t>
  </si>
  <si>
    <t>广东龙粤通信设备集团有限公司海南分公司</t>
  </si>
  <si>
    <t>海口信禾园林绿化有限公司</t>
  </si>
  <si>
    <t>海口琳琅食品有限公司</t>
  </si>
  <si>
    <t>海南华之林矿业有限公司</t>
  </si>
  <si>
    <t>琼山市水资源管理所</t>
  </si>
  <si>
    <t>海口雨美洁环境美护有限公司</t>
  </si>
  <si>
    <t>海口琼山红城日用厂</t>
  </si>
  <si>
    <t>海口大江机器有限公司</t>
  </si>
  <si>
    <t>海口南堡木业有限公司</t>
  </si>
  <si>
    <t>海口航标工程公司</t>
  </si>
  <si>
    <t>海口奇力制药股份有限公司</t>
  </si>
  <si>
    <t>海口神驰实业有限公司</t>
  </si>
  <si>
    <t>海口数康生物科技有限公司</t>
  </si>
  <si>
    <t>海南佐藤环保工程有限公司</t>
  </si>
  <si>
    <t>海口金龙羽电工产品贸易有限公司</t>
  </si>
  <si>
    <t>海南广胜新型建材有限公司</t>
  </si>
  <si>
    <t>海南佰艺音响工程有限公司</t>
  </si>
  <si>
    <t>海南湘琼图书销售有限公司</t>
  </si>
  <si>
    <t>海口壮家福饲料有限责任公司</t>
  </si>
  <si>
    <t>海口永新泉水务咨询有限公司</t>
  </si>
  <si>
    <t>海口东意科技仪器有限公司</t>
  </si>
  <si>
    <t>海口秀英湖湘汽车电器经营部</t>
  </si>
  <si>
    <t>海口龙业科技有限公司</t>
  </si>
  <si>
    <t>海口旺昇汽车维修服务有限公司</t>
  </si>
  <si>
    <t>海南格得欣发电机有限公司</t>
  </si>
  <si>
    <t>海口鑫铭都贸易有限公司</t>
  </si>
  <si>
    <t>海南零壹信息科技有限公司</t>
  </si>
  <si>
    <t>江苏绿洲建筑园林设计院有限公司海南分公司</t>
  </si>
  <si>
    <t>海口椰芝岛热带果蔬食品加工有限公司</t>
  </si>
  <si>
    <t>海南信天源科技开发有限公司</t>
  </si>
  <si>
    <t>海口市琼山区府城镇市政服务中心</t>
  </si>
  <si>
    <t>海口百汇丰贸易有限公司</t>
  </si>
  <si>
    <t>海南微博科技有限公司</t>
  </si>
  <si>
    <t>海南金联通信有限公司</t>
  </si>
  <si>
    <t>海口海慎机械设备有限公司</t>
  </si>
  <si>
    <t>海口莫氏兄弟制冷设备工程有限公司</t>
  </si>
  <si>
    <t>海南普德实业有限公司</t>
  </si>
  <si>
    <t>海南绿信达环保科技有限公司</t>
  </si>
  <si>
    <t>海口世纪鼎诚通讯设备有限公司</t>
  </si>
  <si>
    <t>海南菁科设备贸易有限公司</t>
  </si>
  <si>
    <t>海口龙华水晶之恋卡拉OK厅（海垦西岭分店）</t>
  </si>
  <si>
    <t>海南希诺动力技术股份有限公司</t>
  </si>
  <si>
    <t>海口奕颂文化传媒有限公司</t>
  </si>
  <si>
    <t>海口市琼山区云龙镇环卫站</t>
  </si>
  <si>
    <t>海口艺美卓家具有限公司</t>
  </si>
  <si>
    <t>海口屹美彩印有限公司</t>
  </si>
  <si>
    <t>海南科柏景观设计有限公司</t>
  </si>
  <si>
    <t>海南海科源实业有限公司</t>
  </si>
  <si>
    <t>海口登鼎木业有限公司</t>
  </si>
  <si>
    <t>海南水电工程项目管理咨询有限公司</t>
  </si>
  <si>
    <t>海口南正塑料制品有限公司</t>
  </si>
  <si>
    <t>海口开源鸿环境工程有限公司</t>
  </si>
  <si>
    <t>海口元亿物业管理有限公司</t>
  </si>
  <si>
    <t>海南中升环保科技有限公司</t>
  </si>
  <si>
    <t>海口继瑶贸易有限公司义龙路电讯分店</t>
  </si>
  <si>
    <t>海南椰岛酒业发展有限公司</t>
  </si>
  <si>
    <t>海口金锐恒昌厨具有限公司</t>
  </si>
  <si>
    <t>海口菱风机电设备有限公司</t>
  </si>
  <si>
    <t>海口龙华蓝天印刷厂</t>
  </si>
  <si>
    <t>海口俊诚贸易有限公司</t>
  </si>
  <si>
    <t>海南南洋恒泰橡胶有限公司</t>
  </si>
  <si>
    <t>海南德信康环卫机械设备有限公司</t>
  </si>
  <si>
    <t>海南兴德阳工程有限公司</t>
  </si>
  <si>
    <t>海口文翔林办公用品有限公司</t>
  </si>
  <si>
    <t>海口美兰加加纳服装设计中心</t>
  </si>
  <si>
    <t>海南世纪飞扬旅行社有限公司</t>
  </si>
  <si>
    <t>海南森瑞谱生物科技有限公司</t>
  </si>
  <si>
    <t>海口莉姿服饰有限公司</t>
  </si>
  <si>
    <t>海口明嘉电子科技有限公司</t>
  </si>
  <si>
    <t>海南易鼎天成电子科技有限公司</t>
  </si>
  <si>
    <t>海口举信物业管理有限公司</t>
  </si>
  <si>
    <t>海口信联智通包装容器有限公司</t>
  </si>
  <si>
    <t>海口哇哦商贸有限公司</t>
  </si>
  <si>
    <t>海南金蓝领工程有限公司</t>
  </si>
  <si>
    <t>海南现代汽车轮胎厂有限公司</t>
  </si>
  <si>
    <t>海口中朗通讯设备有限公司</t>
  </si>
  <si>
    <t>海口民创塑料制品有限公司</t>
  </si>
  <si>
    <t>海口神机软件有限公司</t>
  </si>
  <si>
    <t>海南誉辉网络科技有限公司</t>
  </si>
  <si>
    <t>贵州华昌汽车电器有限公司海口分公司</t>
  </si>
  <si>
    <t>海口怀人科技有限公司</t>
  </si>
  <si>
    <t>海南瑞克科技发展有限公司</t>
  </si>
  <si>
    <t>海口椰黎雅服饰有限公司</t>
  </si>
  <si>
    <t>海南邦顿木业有限公司</t>
  </si>
  <si>
    <t>海南海华诺医疗科技有限公司</t>
  </si>
  <si>
    <t>海南俊能环保工程设备有限公司</t>
  </si>
  <si>
    <t>海南科缘办公设备有限公司</t>
  </si>
  <si>
    <t>海口淘岛网络技术有限公司</t>
  </si>
  <si>
    <t>蜂巢生活（海南）移动互联技术有限公司海口分公司</t>
  </si>
  <si>
    <t>海口科维得科技有限公司</t>
  </si>
  <si>
    <t>海口海环科环境咨询有限公司</t>
  </si>
  <si>
    <t>海口旺佳美灵汽修有限公司</t>
  </si>
  <si>
    <t>海南新本乐商业有限公司</t>
  </si>
  <si>
    <t>海南惠风网络工程有限公司</t>
  </si>
  <si>
    <t>海南爱恩泽信息技术有限公司</t>
  </si>
  <si>
    <t>苏州园林营造工程有限公司海南分公司</t>
  </si>
  <si>
    <t>海南国环清华环境服务有限公司</t>
  </si>
  <si>
    <t>海南中臣环卫保洁有限公司</t>
  </si>
  <si>
    <t>海南德沣环保建材科技股份有限公司</t>
  </si>
  <si>
    <t>海南禄兴通汽车服务有限公司</t>
  </si>
  <si>
    <t>海南民生广播有限公司</t>
  </si>
  <si>
    <t>海南恒盛投资管理有限公司</t>
  </si>
  <si>
    <t>海南龙翔伟业汽车销售服务有限公司</t>
  </si>
  <si>
    <t>海南安纳检测技术有限公司</t>
  </si>
  <si>
    <t>海南明棠红树林研究有限公司</t>
  </si>
  <si>
    <t>海南太通消防检测有限公司</t>
  </si>
  <si>
    <t>海南田园大地生态环境工程有限公司</t>
  </si>
  <si>
    <t>海口琼山万丽濠城歌城</t>
  </si>
  <si>
    <t>海南逸海佳晟汽车零部件制造有限公司</t>
  </si>
  <si>
    <t>海口康锦荣农资有限公司</t>
  </si>
  <si>
    <t>海口网云科技有限公司</t>
  </si>
  <si>
    <t xml:space="preserve">海南兆煌船务有限公司 </t>
  </si>
  <si>
    <t>海口龙华名豪商务会所</t>
  </si>
  <si>
    <t>海南辉能药业有限公司</t>
  </si>
  <si>
    <t>海南嘉裕医疗器械有限公司</t>
  </si>
  <si>
    <t>海口星玉翠缘珠宝有限公司</t>
  </si>
  <si>
    <t>海口瑾鹏实业有限公司</t>
  </si>
  <si>
    <t>海南印衣科技有限公司</t>
  </si>
  <si>
    <t>海南中环能检测技术有限公司</t>
  </si>
  <si>
    <t>成都久信信息技术股份有限公司海南分公司</t>
  </si>
  <si>
    <t>海南玉晟园林景观工程有限公司</t>
  </si>
  <si>
    <t>海南天际食品有限公司</t>
  </si>
  <si>
    <t>海口雄伟科技有限公司</t>
  </si>
  <si>
    <t>海口扬程酒业有限公司</t>
  </si>
  <si>
    <t>海南鼎源木业有限公司</t>
  </si>
  <si>
    <t>海口鑫铃汽车销售有限公司</t>
  </si>
  <si>
    <t>海南鸿昇生物药械有限公司</t>
  </si>
  <si>
    <t>海南威腾网络技术有限公司</t>
  </si>
  <si>
    <t>海南鑫康医疗器械有限公司</t>
  </si>
  <si>
    <t>海南昂为环境科技有限公司</t>
  </si>
  <si>
    <t>海南超跑赛车运动管理有限公司</t>
  </si>
  <si>
    <t>海南云海民生信息工程有限公司</t>
  </si>
  <si>
    <t>海南盛美科技有限公司</t>
  </si>
  <si>
    <t>海南椰多多科技有限公司</t>
  </si>
  <si>
    <t>海南和盛行科技有限公司</t>
  </si>
  <si>
    <t>海南铭冠电子科技有限公司</t>
  </si>
  <si>
    <t>海南爱卓强科技有限公司</t>
  </si>
  <si>
    <t>海口远洋开华生物科技有限公司</t>
  </si>
  <si>
    <t>海口欣派酒业贸易有限公司</t>
  </si>
  <si>
    <t>海南达卡摩托车有限公司</t>
  </si>
  <si>
    <t>海南鑫元源广告装饰工程有限公司</t>
  </si>
  <si>
    <t>海南万德龙木业有限公司</t>
  </si>
  <si>
    <t>海南众乐互联科技有限公司</t>
  </si>
  <si>
    <t>海南广田达实业有限公司</t>
  </si>
  <si>
    <t>海南智网联合科技有限公司</t>
  </si>
  <si>
    <t>海南乐美健医疗科技有限公司</t>
  </si>
  <si>
    <t>海南海富通农业科技有限公司</t>
  </si>
  <si>
    <t>海南臻精贸易有限公司</t>
  </si>
  <si>
    <t>海南布林科技有限公司</t>
  </si>
  <si>
    <t>海南盛华昌瑞贸易有限公司</t>
  </si>
  <si>
    <t>海口建良南极虾食品科技有限公司</t>
  </si>
  <si>
    <t>海南洪升实业有限公司</t>
  </si>
  <si>
    <t>海南晶顺数码有限公司</t>
  </si>
  <si>
    <t>北京喜乐航科技股份有限公司海口分公司</t>
  </si>
  <si>
    <t>海口龙华诚俊汽车维修中心</t>
  </si>
  <si>
    <t>海南万群制冷设备工程有限公司</t>
  </si>
  <si>
    <t>广东尚景捷讯数码科技有限公司海南分公司</t>
  </si>
  <si>
    <t>海南赛迪克智能科技有限公司</t>
  </si>
  <si>
    <t>海南翊鸿自动化设备有限公司</t>
  </si>
  <si>
    <t>海口泓誉计算机网络科技有限公司</t>
  </si>
  <si>
    <t>海口龙华年捷消防器材服务部</t>
  </si>
  <si>
    <t>海口文腾新型建材有限公司</t>
  </si>
  <si>
    <t>海南翔宇阳光新能源有限公司</t>
  </si>
  <si>
    <t>海南椰坊酒业有限公司</t>
  </si>
  <si>
    <t>海南悦车汽车服务有限公司</t>
  </si>
  <si>
    <t>海南特美佳公共安全技术有限公司</t>
  </si>
  <si>
    <t>海南续日信息科技有限公司</t>
  </si>
  <si>
    <t>重庆市悦城物业管理有限公司海南分公司</t>
  </si>
  <si>
    <t>康力电梯股份有限公司海南分公司</t>
  </si>
  <si>
    <t>海南祥瑞阳光汽车服务有限公司</t>
  </si>
  <si>
    <t>海南丰众华长安汽车销售有限公司</t>
  </si>
  <si>
    <t>海南利民出行网科技有限公司</t>
  </si>
  <si>
    <t>海口保康三信蔬菜配送有限公司</t>
  </si>
  <si>
    <t>中科恒源（海南）新能源科技有限公司</t>
  </si>
  <si>
    <t>海口永群机动车驾驶培训有限公司</t>
  </si>
  <si>
    <t>海口依恒网络科技有限公司</t>
  </si>
  <si>
    <t>海南擎天联合信息科技有限公司</t>
  </si>
  <si>
    <t>海南千昊体育文化有限公司</t>
  </si>
  <si>
    <t>海南美尚佳文化传媒有限公司</t>
  </si>
  <si>
    <t>海南禾翔信息工程有限公司</t>
  </si>
  <si>
    <t>海南立特信息技术有限公司</t>
  </si>
  <si>
    <t>海南双展智能科技有限公司</t>
  </si>
  <si>
    <t>海南创成科技有限公司</t>
  </si>
  <si>
    <t>海口笛威汽车服务有限公司</t>
  </si>
  <si>
    <t>海口恒福旺汽车贸易有限公司</t>
  </si>
  <si>
    <t>海南蓝深环境工程有限公司</t>
  </si>
  <si>
    <t>海南瑞沃机械设备有限公司</t>
  </si>
  <si>
    <t>海南铭座实业有限公司</t>
  </si>
  <si>
    <t>海南裕福康食品有限公司</t>
  </si>
  <si>
    <t>海南兴利通多媒体电教设备有限公司</t>
  </si>
  <si>
    <t>海南红方格计算机网络科技有限公司</t>
  </si>
  <si>
    <t>海口安车科技有限公司</t>
  </si>
  <si>
    <t>海南锐泽餐饮管理有限公司</t>
  </si>
  <si>
    <t>海口恒科检测技术有限公司</t>
  </si>
  <si>
    <t>海南海捷通电子科技有限公司</t>
  </si>
  <si>
    <t>海口王传棋动漫有限公司</t>
  </si>
  <si>
    <t>海南鑫国英贸易有限公司</t>
  </si>
  <si>
    <t>海南南园珍果电子商务有限公司</t>
  </si>
  <si>
    <t>海南进保勘测有限公司</t>
  </si>
  <si>
    <t>海口彗心科技有限公司</t>
  </si>
  <si>
    <t>海口雨水文化传媒有限公司</t>
  </si>
  <si>
    <t>海南莫记商贸有限公司</t>
  </si>
  <si>
    <t>海南浩捷多媒体电教设备有限公司</t>
  </si>
  <si>
    <t>海南汇众网络传媒有限公司</t>
  </si>
  <si>
    <t>海南肽美生物科技有限公司</t>
  </si>
  <si>
    <t>海南滋然香实业有限公司</t>
  </si>
  <si>
    <t>海南鑫叁玖智能科技有限公司</t>
  </si>
  <si>
    <t>海南美信捷科技有限公司</t>
  </si>
  <si>
    <t>深圳智慧空间物业管理服务有限公司海南分公司</t>
  </si>
  <si>
    <t>海口雅木斋工艺品有限公司</t>
  </si>
  <si>
    <t>海南欣远东电脑有限公司</t>
  </si>
  <si>
    <t>海南鑫鸿达网络科技有限公司</t>
  </si>
  <si>
    <t>海南成弛贸易有限公司</t>
  </si>
  <si>
    <t>飞普越网络科技（北京）有限公司海南分公司</t>
  </si>
  <si>
    <t>海口琼山一新时代汽车维修中心</t>
  </si>
  <si>
    <t>海口伟圣科技有限公司</t>
  </si>
  <si>
    <t>海南马良师傅网络科技有限公司</t>
  </si>
  <si>
    <t>陕西天润科技股份有限公司海南分公司</t>
  </si>
  <si>
    <t>海南康大纵横国际影城有限公司</t>
  </si>
  <si>
    <t>海南万和圣商贸有限公司</t>
  </si>
  <si>
    <t>海南恒升实业有限公司</t>
  </si>
  <si>
    <t>武汉引航世纪金融信息服务有限公司海口分公司</t>
  </si>
  <si>
    <t>海口琼山新车之源汽车养护中心</t>
  </si>
  <si>
    <t>海口海力通汽车维修设备有限公司</t>
  </si>
  <si>
    <t>海南贞诚网络科技有限公司</t>
  </si>
  <si>
    <t>海南宝惠实业有限公司</t>
  </si>
  <si>
    <t>海南大顺发水产有限公司</t>
  </si>
  <si>
    <t>海口阳飞电力工程有限公司</t>
  </si>
  <si>
    <t>海南铭耀实业有限公司</t>
  </si>
  <si>
    <t>海口惮佛实业有限公司</t>
  </si>
  <si>
    <t>海南鸿图能源科技有限公司</t>
  </si>
  <si>
    <t>海南创创科技有限公司</t>
  </si>
  <si>
    <t>海南大嫂家政服务有限公司</t>
  </si>
  <si>
    <t>海南正义文化传媒有限公司</t>
  </si>
  <si>
    <t>海南海龙汇贸易有限公司</t>
  </si>
  <si>
    <t>海南卡诺节能科技有限公司</t>
  </si>
  <si>
    <t>海南宝源昌科贸有限公司</t>
  </si>
  <si>
    <t>海南金福琳通讯设备有限公司</t>
  </si>
  <si>
    <t>海南宇创数码科技有限公司</t>
  </si>
  <si>
    <t>海南艾美迪电器有限公司</t>
  </si>
  <si>
    <t>海南德瑞通科技有限公司</t>
  </si>
  <si>
    <t>海口市京兰城市环境服务有限公司</t>
  </si>
  <si>
    <t>海口车宝汽车维修有限公司</t>
  </si>
  <si>
    <t>海口秀英韦达装饰工程部</t>
  </si>
  <si>
    <t>海口美兰君容电子产品经营部</t>
  </si>
  <si>
    <t>海南财至君财务咨询有限公司</t>
  </si>
  <si>
    <t>海口玉禾田环境服务有限公司</t>
  </si>
  <si>
    <t>海口市京环城市环境服务有限公司</t>
  </si>
  <si>
    <t>海南西兆贸易有限公司</t>
  </si>
  <si>
    <t>海口市滕器厂</t>
  </si>
  <si>
    <t>海南锦亿实业有限公司</t>
  </si>
  <si>
    <t>海口鼎盛民生科技有限公司</t>
  </si>
  <si>
    <t>海南盛莲科技有限公司</t>
  </si>
  <si>
    <t>海口龙马环卫环境工程有限公司</t>
  </si>
  <si>
    <t>海南飞行者科技有限公司</t>
  </si>
  <si>
    <t>海口粤盛海汕包装制品有限公司</t>
  </si>
  <si>
    <t>海南鑫诚信废旧物资回收有限公司</t>
  </si>
  <si>
    <t>海南荣恒科技有限公司</t>
  </si>
  <si>
    <t>海口龙华零距离数码产品经营中心</t>
  </si>
  <si>
    <t>海口泽朗机电制冷有限公司</t>
  </si>
  <si>
    <t>海南宏远达科技有限公司</t>
  </si>
  <si>
    <t>海南豫海宏源供水设备工程有限公司</t>
  </si>
  <si>
    <t>海口众星汽车服务有限公司</t>
  </si>
  <si>
    <t>康迪电动汽车（海南）有限公司</t>
  </si>
  <si>
    <t>海南海垦胡椒产业股份有限公司</t>
  </si>
  <si>
    <t>海南美鸿泰园林有限公司</t>
  </si>
  <si>
    <t>海南北斗思壮科技开发有限公司</t>
  </si>
  <si>
    <t>海南大兵海洋文化产业有限公司</t>
  </si>
  <si>
    <t>海南南讯网络科技有限公司</t>
  </si>
  <si>
    <t>海口龙华赛达汽车修理厂</t>
  </si>
  <si>
    <t>黑龙江国强凯泰通信技术开发有限公司海南分公司</t>
  </si>
  <si>
    <t>海南恒瑞兴贸易有限公司</t>
  </si>
  <si>
    <t>海南普康药业有限公司</t>
  </si>
  <si>
    <t>海南华亿安防科技有限公司</t>
  </si>
  <si>
    <t>海南金池工程监理有限公司</t>
  </si>
  <si>
    <t>海南平行进口汽车贸易有限公司</t>
  </si>
  <si>
    <t>海南高科铭实业有限公司</t>
  </si>
  <si>
    <t>北京鑫三源世纪清洗有限公司海南分公司</t>
  </si>
  <si>
    <t>海口海晋启弘贸易有限公司</t>
  </si>
  <si>
    <t>海口永新达科技有限公司</t>
  </si>
  <si>
    <t>海南皇守铭实业有限公司</t>
  </si>
  <si>
    <t>海南旭东实业有限公司</t>
  </si>
  <si>
    <t>北汽银建易乐（海口）智慧出行科技有限公司</t>
  </si>
  <si>
    <t>海南大粤汽车服务有限公司</t>
  </si>
  <si>
    <t>三亚大华食品有限公司海口分公司</t>
  </si>
  <si>
    <t>海南鑫天信科技有限公司</t>
  </si>
  <si>
    <t>海口凯吉网络通信工程有限公司</t>
  </si>
  <si>
    <t>海南佰诚明辉实业有限公司</t>
  </si>
  <si>
    <t>海口泓元保洁服务有限公司</t>
  </si>
  <si>
    <t>海南龙福翔汽车销售服务有限公司</t>
  </si>
  <si>
    <t>海南博乙商贸有限公司</t>
  </si>
  <si>
    <t>海口辰峰信息科技有限公司</t>
  </si>
  <si>
    <t>海口南风茂贸易有限公司</t>
  </si>
  <si>
    <t>海南百变空间网络科技有限公司</t>
  </si>
  <si>
    <t>海口市轻工机械厂</t>
  </si>
  <si>
    <t>海口抱团网络科技有限公司</t>
  </si>
  <si>
    <t>海南众易汇文化发展有限公司</t>
  </si>
  <si>
    <t>海南马到功成科技信息服务有限公司</t>
  </si>
  <si>
    <t>海口零壹杰光电有限公司</t>
  </si>
  <si>
    <t>海南纽盾科技有限公司</t>
  </si>
  <si>
    <t>海南源鑫汽车销售服务有限公司</t>
  </si>
  <si>
    <t>海南源康医疗科技有限公司</t>
  </si>
  <si>
    <t>海南福之源房地产营销策划有限公司</t>
  </si>
  <si>
    <t>海南创业梦想创业投资管理有限公司</t>
  </si>
  <si>
    <t>海南飞凡汽车销售服务有限公司</t>
  </si>
  <si>
    <t>海口市秀英区东山镇岭北水库管理所</t>
  </si>
  <si>
    <t>海南启成科技工程有限公司</t>
  </si>
  <si>
    <t>海口鑫友冠厨具设备有限公司</t>
  </si>
  <si>
    <t>海南宇恒达科技有限公司</t>
  </si>
  <si>
    <t>海南百耀贸易有限公司</t>
  </si>
  <si>
    <t>海南明兴隆商贸有限公司</t>
  </si>
  <si>
    <t>海南水伊方环境科技有限公司</t>
  </si>
  <si>
    <t>海南鼎旭辉实业有限公司</t>
  </si>
  <si>
    <t>海南味味美食品有限公司</t>
  </si>
  <si>
    <t>海南广天恒科技发展有限公司</t>
  </si>
  <si>
    <t>海口红众科技有限公司</t>
  </si>
  <si>
    <t>海口兴胜达电子科技有限公司</t>
  </si>
  <si>
    <t>海南大堡礁海洋科技有限公司</t>
  </si>
  <si>
    <t>海南国海房地产营销策划有限公司海口分公司</t>
  </si>
  <si>
    <t>海南华胜行汽车服务有限公司</t>
  </si>
  <si>
    <t>海南骏宏科技有限公司</t>
  </si>
  <si>
    <t>海口维恒环境工程有限公司</t>
  </si>
  <si>
    <t>海南芯源软件有限公司</t>
  </si>
  <si>
    <t>海口兴之利贸易有限公司</t>
  </si>
  <si>
    <t>海口桑德美沙环保工程有限公司</t>
  </si>
  <si>
    <t>海口桑德五源环保工程有限公司</t>
  </si>
  <si>
    <t>海南金合天宇环境服务有限公司</t>
  </si>
  <si>
    <t>海南鑫洋机电设备工程有限公司</t>
  </si>
  <si>
    <t>海口健保空气检测有限公司</t>
  </si>
  <si>
    <t>天意科技（海南）有限公司</t>
  </si>
  <si>
    <t>海南鹏健智能工程有限公司</t>
  </si>
  <si>
    <t>海南荣丰祥电子科技有限公司</t>
  </si>
  <si>
    <t>海南泽禾实业有限公司</t>
  </si>
  <si>
    <t>海南游创网络科技有限公司</t>
  </si>
  <si>
    <t>海南众亿兴装饰设计工程有限公司</t>
  </si>
  <si>
    <t>海南科康达医疗器械有限公司</t>
  </si>
  <si>
    <t>海口鸿尔泰医疗设备有限公司</t>
  </si>
  <si>
    <t>海口星昱机械维修有限公司</t>
  </si>
  <si>
    <t>海南北排博创水务有限公司</t>
  </si>
  <si>
    <t>海南云图伟业网络科技有限公司</t>
  </si>
  <si>
    <t>海南博为科技有限公司</t>
  </si>
  <si>
    <t>海南渝康机电设备有限公司</t>
  </si>
  <si>
    <t>海南乾鸿科技有限公司</t>
  </si>
  <si>
    <t>海南西格玛自动化科技有限公司</t>
  </si>
  <si>
    <t>海南盛誉品味装饰设计工程有限公司</t>
  </si>
  <si>
    <t>海南腾兴科技有限公司</t>
  </si>
  <si>
    <t>北京拓普丰联信息工程有限公司海南分公司</t>
  </si>
  <si>
    <t>海口美兰盈盛基础投资有限公司</t>
  </si>
  <si>
    <t>海口创洁技术工程有限公司</t>
  </si>
  <si>
    <t>海南山里宝农产品有限公司</t>
  </si>
  <si>
    <t>海口美兰盈达基础投资有限公司</t>
  </si>
  <si>
    <t>海南国椰食品有限公司</t>
  </si>
  <si>
    <t>海口市五金工具厂</t>
  </si>
  <si>
    <t>海口美兰振城办公设备经营部</t>
  </si>
  <si>
    <t>海南天标科技股份有限公司</t>
  </si>
  <si>
    <t>海南厚城实业有限公司</t>
  </si>
  <si>
    <t>海南南塑高新科技有限公司</t>
  </si>
  <si>
    <t>海南乐骑实业有限公司</t>
  </si>
  <si>
    <t>海南玖玖玖网络科技服务有限公司</t>
  </si>
  <si>
    <t>海南圣兴源医疗器械有限公司</t>
  </si>
  <si>
    <t>海南瑞兆能源科技有限公司</t>
  </si>
  <si>
    <t>海南朗腾投资控股有限公司</t>
  </si>
  <si>
    <t>海南爱蓝环境科技有限公司</t>
  </si>
  <si>
    <t>海南安信通达科技有限公司</t>
  </si>
  <si>
    <t>海南椰城昌茂绿色食品股份公司</t>
  </si>
  <si>
    <t>海南燕如意实业有限公司</t>
  </si>
  <si>
    <t>海南广侨实业公司</t>
  </si>
  <si>
    <t>北京爱尔斯生态环境工程有限公司海南分公司</t>
  </si>
  <si>
    <t>SEW-传动设备（广州）有限公司海口分公司</t>
  </si>
  <si>
    <t>海南世杰科技有限公司</t>
  </si>
  <si>
    <t>海南伟事达贸易有限公司</t>
  </si>
  <si>
    <t>海口秀英易速通装卸服务部</t>
  </si>
  <si>
    <t>海南智德网贸易有限公司</t>
  </si>
  <si>
    <t>海南真心隆实业有限公司</t>
  </si>
  <si>
    <t>上海盛高物业服务有限公司海口分公司</t>
  </si>
  <si>
    <t>海南海利食品有限公司</t>
  </si>
  <si>
    <t>海口捷润达制冷设备有限公司</t>
  </si>
  <si>
    <t>海南新一代实业有限公司</t>
  </si>
  <si>
    <t>海南西点科技有限公司</t>
  </si>
  <si>
    <t>海口秀英绿保保涂料厂</t>
  </si>
  <si>
    <t>海南泽承天屹贸易有限公司</t>
  </si>
  <si>
    <t>海南新德文农业开发有限公司</t>
  </si>
  <si>
    <t>北京康铭医院管理有限公司海南分公司</t>
  </si>
  <si>
    <t>海南新华飞信息产业有限公司</t>
  </si>
  <si>
    <t>海南圣兰妮生物科技有限公司</t>
  </si>
  <si>
    <t>海南西德电梯有限公司</t>
  </si>
  <si>
    <t>海南大邦互联科技有限公司</t>
  </si>
  <si>
    <t>海南冉阳网络科技有限公司</t>
  </si>
  <si>
    <t>海南华林创新网络科技有限公司</t>
  </si>
  <si>
    <t>海口明海彩砖有限公司</t>
  </si>
  <si>
    <t>海口西唯嘉电子商务有限公司</t>
  </si>
  <si>
    <t>河南候鸟旅居网络科技有限公司海口分公司</t>
  </si>
  <si>
    <t>海南康明斯发电设备有限公司</t>
  </si>
  <si>
    <t>海南昶逸盛实验贸易有限公司</t>
  </si>
  <si>
    <t>海南陈福木业有限公司</t>
  </si>
  <si>
    <t>海南汉普管家信息科技有限公司</t>
  </si>
  <si>
    <t>海南博鼎航星实业有限公司</t>
  </si>
  <si>
    <t>海口深福科技有限公司</t>
  </si>
  <si>
    <t>海南凡科电子科技有限公司</t>
  </si>
  <si>
    <t>海南惠农田园电子商务有限公司</t>
  </si>
  <si>
    <t>海口凌云志教育咨询有限公司</t>
  </si>
  <si>
    <t>海口叁陆伍机械设备租赁有限公司</t>
  </si>
  <si>
    <t>海口净文水处理科技有限公司</t>
  </si>
  <si>
    <t>海南天和源环境工程有限公司</t>
  </si>
  <si>
    <t>海南即富网络科技服务有限公司</t>
  </si>
  <si>
    <t>海口捷恒科技有限公司</t>
  </si>
  <si>
    <t>海南妙音春制药有限公司</t>
  </si>
  <si>
    <t>海南康园生态茶业有限公司</t>
  </si>
  <si>
    <t>海南森烨汽车维修有限公司</t>
  </si>
  <si>
    <t>海南固泽环保科技有限公司</t>
  </si>
  <si>
    <t>海南水至蓝生物科技有限公司</t>
  </si>
  <si>
    <t>海南绿科生态环保有限公司</t>
  </si>
  <si>
    <t>海南瑞蓝科技有限公司</t>
  </si>
  <si>
    <t>海南智领环保科技有限公司</t>
  </si>
  <si>
    <t>海南中智康弘精工技术有限公司</t>
  </si>
  <si>
    <t>海口瑞佳鑫机电制冷工程有限公司</t>
  </si>
  <si>
    <t>海南玮科机电设备有限公司</t>
  </si>
  <si>
    <t>深圳市友信汽车服务有限公司海口分公司</t>
  </si>
  <si>
    <t>海南光华伟业实业有限公司</t>
  </si>
  <si>
    <t>海南衡晨园林工程有限公司</t>
  </si>
  <si>
    <t>海南博汇生物医学技术有限公司</t>
  </si>
  <si>
    <t>海南美恒网络科技有限公司</t>
  </si>
  <si>
    <t>海南禾粉食品有限公司</t>
  </si>
  <si>
    <t>永州市科平保安服务有限公司海口分公司</t>
  </si>
  <si>
    <t>海南蓝波食品有限公司</t>
  </si>
  <si>
    <t>海南芯浩科技有限公司</t>
  </si>
  <si>
    <t>海南恒隆茂农业食品开发有限公司</t>
  </si>
  <si>
    <t>海南小丫网络科技有限公司</t>
  </si>
  <si>
    <t>海南办公伙伴商贸有限公司</t>
  </si>
  <si>
    <t>海口辛工农农资有限公司</t>
  </si>
  <si>
    <t>海南中泰博工程机械有限公司</t>
  </si>
  <si>
    <t>海南惠三农农业开发有限公司</t>
  </si>
  <si>
    <t>海南链康生物科技有限公司</t>
  </si>
  <si>
    <t>海南特朗蹦床体育有限公司</t>
  </si>
  <si>
    <t>海南普绿生实业有限公司</t>
  </si>
  <si>
    <t>海南鑫天和汽车维修服务有限公司</t>
  </si>
  <si>
    <t>海南杼禾实业有限公司</t>
  </si>
  <si>
    <t>海南中亚星和食品有限公司</t>
  </si>
  <si>
    <t>海口市億禾医疗器械有限公司</t>
  </si>
  <si>
    <t>海口锦绣亿家房地产营销策划有限公司</t>
  </si>
  <si>
    <t>海南立正招标有限公司</t>
  </si>
  <si>
    <t>海南光大食品股份有限公司</t>
  </si>
  <si>
    <t>海南鑫兴能科技有限公司</t>
  </si>
  <si>
    <t>海南顺泽农业开发有限公司</t>
  </si>
  <si>
    <t>海口龙华玉峰怡达维修中心</t>
  </si>
  <si>
    <t>海口市琼山区园林绿化管理所</t>
  </si>
  <si>
    <t>海南玻尔生物技术有限公司</t>
  </si>
  <si>
    <t>海口魁星物业发展有限公司</t>
  </si>
  <si>
    <t>海口椰林阁餐饮管理有限公司</t>
  </si>
  <si>
    <t>海口新南宝数码网络有限公司</t>
  </si>
  <si>
    <t>海口市琼山区园林管理局</t>
  </si>
  <si>
    <t>海南驿马汽车服务有限公司</t>
  </si>
  <si>
    <t>海南昇贵星实业有限公司</t>
  </si>
  <si>
    <t>海南特胜汽车维修有限公司</t>
  </si>
  <si>
    <t>海南昂生现代科技有限公司</t>
  </si>
  <si>
    <t>多与少（海南）数字科技有限公司</t>
  </si>
  <si>
    <t>海口琼山保利昌汽车美容服务中心</t>
  </si>
  <si>
    <t>海南景合园艺服务有限公司</t>
  </si>
  <si>
    <t>海南蓝海岛市政景观工程有限公司</t>
  </si>
  <si>
    <t>海口金宏鑫机械设备有限公司</t>
  </si>
  <si>
    <t>海南顺和盈汽车销售服务有限公司</t>
  </si>
  <si>
    <t>海口恒峰炜业数码电子科技有限公司</t>
  </si>
  <si>
    <t>海南嘉禾盛世装饰工程有限公司</t>
  </si>
  <si>
    <t>海口翰威科技有限公司</t>
  </si>
  <si>
    <t>深圳市水务技术服务有限公司海南分公司</t>
  </si>
  <si>
    <t>海南翔越科技有限公司</t>
  </si>
  <si>
    <t>容海川城乡规划设计有限公司海南分公司</t>
  </si>
  <si>
    <t>海口旅游文化投资控股集团有限公司</t>
  </si>
  <si>
    <t>海南海优壹号水产种苗有限公司</t>
  </si>
  <si>
    <t>海南博加药业有限责任公司</t>
  </si>
  <si>
    <t>海口永发印刷股份有限公司</t>
  </si>
  <si>
    <t>海南恒凯畜牧有限公司</t>
  </si>
  <si>
    <t>海南领创科技有限公司</t>
  </si>
  <si>
    <t>海南多我科技有限公司</t>
  </si>
  <si>
    <t>海南老男孩摩托车销售服务有限公司</t>
  </si>
  <si>
    <t>海南众寻实业有限公司</t>
  </si>
  <si>
    <t>海口龙华弗雷西餐酒吧</t>
  </si>
  <si>
    <t>海南逸洁环境服务有限公司</t>
  </si>
  <si>
    <t>海南中陆物联网科技有限公司</t>
  </si>
  <si>
    <t>海南腾龙电子电讯工程有限公司</t>
  </si>
  <si>
    <t>海南国为亿科环保服务有限公司</t>
  </si>
  <si>
    <t>海口新顺通福迪汽车服务有限公司</t>
  </si>
  <si>
    <t>海口清阳科技有限公司</t>
  </si>
  <si>
    <t>海南义本实业有限公司</t>
  </si>
  <si>
    <t>海南一品沉香堂文化发展有限公司</t>
  </si>
  <si>
    <t>海南金科达环境绿化工程有限公司</t>
  </si>
  <si>
    <t>海南诚和源水务工程质量检测有限公司</t>
  </si>
  <si>
    <t>海南绘绿环保科技有限公司</t>
  </si>
  <si>
    <t>海口龙华夜秀酒吧</t>
  </si>
  <si>
    <t>海南天嘉制冷设备有限公司</t>
  </si>
  <si>
    <t xml:space="preserve">海南路明实业有限公司 </t>
  </si>
  <si>
    <t>海南海岭工程管理有限公司</t>
  </si>
  <si>
    <t>海南雅洁生物科技服务有限公司</t>
  </si>
  <si>
    <t>海南金合精诚物业服务有限公司</t>
  </si>
  <si>
    <t>海南绿昆环岛害虫防治有限公司</t>
  </si>
  <si>
    <t>海南粤建三和智能科技有限公司</t>
  </si>
  <si>
    <t>深圳市阳光三环生态环境股份有限公司海南分公司</t>
  </si>
  <si>
    <t>海南旺景源绿化工程有限公司</t>
  </si>
  <si>
    <t>海南蓝天农业发展有限公司</t>
  </si>
  <si>
    <t>海口金汇佳汽车检测有限公司</t>
  </si>
  <si>
    <t>热带匠欣生态果业科技服务（海南）有限公司</t>
  </si>
  <si>
    <t>海南恒渲医疗设备有限公司</t>
  </si>
  <si>
    <t>海口新生环宇经贸有限公司</t>
  </si>
  <si>
    <t>工大工程设计（海南）有限公司</t>
  </si>
  <si>
    <t>海南进达科技有限公司</t>
  </si>
  <si>
    <t>海南天络通信技术有限公司</t>
  </si>
  <si>
    <t>海南盛嘉运图文广告有限公司</t>
  </si>
  <si>
    <t>海南力天林跃汽车销售服务有限公司</t>
  </si>
  <si>
    <t>海南心悦联盟传播有限公司</t>
  </si>
  <si>
    <t>海南云峰睿智科技有限公司</t>
  </si>
  <si>
    <t>海南鸭梨信息科技有限公司</t>
  </si>
  <si>
    <t>海南步多健全息智能医疗器械有限公司</t>
  </si>
  <si>
    <t>海南三友环境与生态修复有限公司</t>
  </si>
  <si>
    <t>海南顺吉森农牧业开发有限公司</t>
  </si>
  <si>
    <t>海南牧歌林装饰工程有限公司</t>
  </si>
  <si>
    <t>海南华联海测绘科技有限公司</t>
  </si>
  <si>
    <t>海口鑫圭电器有限公司</t>
  </si>
  <si>
    <t>海南德天力实业有限公司</t>
  </si>
  <si>
    <t>海南扬帆汽车服务有限公司</t>
  </si>
  <si>
    <t>海南大洋巨人实业有限公司</t>
  </si>
  <si>
    <t>海南嘉豪椰城彩印包装有限公司</t>
  </si>
  <si>
    <t>海南晓霖食品有限公司</t>
  </si>
  <si>
    <t>海南诗博丽生物科技有限公司</t>
  </si>
  <si>
    <t>海口市公共交通新能源汽车技术有限责任公司</t>
  </si>
  <si>
    <t>海口美兰奏悦食尚烘焙坊</t>
  </si>
  <si>
    <t>海口红烨服饰有限公司</t>
  </si>
  <si>
    <t>海南兆廷工程管理有限公司</t>
  </si>
  <si>
    <t>海南江和东环境卫生工程有限公司</t>
  </si>
  <si>
    <t>海南省奥群体育产业有限公司</t>
  </si>
  <si>
    <t>海口美金龙照明电气有限公司</t>
  </si>
  <si>
    <t>海南长恒房产营销策划有限公司</t>
  </si>
  <si>
    <t>海口美兰思龙五金店</t>
  </si>
  <si>
    <t>海南科林环境科技有限公司</t>
  </si>
  <si>
    <t>海南鑫创利贸易有限公司</t>
  </si>
  <si>
    <t>海南宇佳欣贸易有限公司</t>
  </si>
  <si>
    <t>海南上雅餐饮管理有限公司</t>
  </si>
  <si>
    <t>海南一百云科技有限公司</t>
  </si>
  <si>
    <t>海南蓝城环保技术咨询有限公司</t>
  </si>
  <si>
    <t>成都悦诚有害生物防制有限公司海南分公司</t>
  </si>
  <si>
    <t>海口协德测绘工程有限公司</t>
  </si>
  <si>
    <t>海南力勤实业有限公司</t>
  </si>
  <si>
    <t>海口清安生物科技有限公司</t>
  </si>
  <si>
    <t>海口美兰投资管理有限公司</t>
  </si>
  <si>
    <t>海南海旭物联网科技有限公司</t>
  </si>
  <si>
    <t>海口龙华欢乐故事室内电子游艺乐园</t>
  </si>
  <si>
    <t>海南立信邦劳务有限公司</t>
  </si>
  <si>
    <t>海南腾林机电设备工程有限公司</t>
  </si>
  <si>
    <t>海南冰雪冷链快运有限公司</t>
  </si>
  <si>
    <t>海南雷泷消防科技有限公司</t>
  </si>
  <si>
    <t>海南陌蒽玛科技有限公司</t>
  </si>
  <si>
    <t>海口统发水务有限公司</t>
  </si>
  <si>
    <t>海南远洋仓网络科技有限公司</t>
  </si>
  <si>
    <t>海口杰栋科技开发有限公司</t>
  </si>
  <si>
    <t>海口秀英司索衣柜店</t>
  </si>
  <si>
    <t>海南宝艺影视文化有限公司</t>
  </si>
  <si>
    <t>海口龙华司菲亚衣橱店</t>
  </si>
  <si>
    <t>海南民望高科股份有限公司</t>
  </si>
  <si>
    <t>海口椰树矿泉水有限公司</t>
  </si>
  <si>
    <t>海南康蒙斯贸易有限公司</t>
  </si>
  <si>
    <t>海南超越飞翔网络科技有限公司</t>
  </si>
  <si>
    <t>海南鸿亿建材有限公司</t>
  </si>
  <si>
    <t>海南保绿实业发展有限公司</t>
  </si>
  <si>
    <t>海南金茂源电气有限公司</t>
  </si>
  <si>
    <t>海南利康环保科技有限公司</t>
  </si>
  <si>
    <t>海南鑫立德聚科技有限公司</t>
  </si>
  <si>
    <t>海南万盛达电梯有限公司</t>
  </si>
  <si>
    <t>海口鑫得雷信息技术有限公司</t>
  </si>
  <si>
    <t>海口市龙华区生态环境保护局</t>
  </si>
  <si>
    <t>海口芯植害虫防治有限公司</t>
  </si>
  <si>
    <t>海口龙华博鑫亿汽修厂</t>
  </si>
  <si>
    <t>海南中商良友膳食管理服务有限公司</t>
  </si>
  <si>
    <t>海南中农联市场投资有限公司</t>
  </si>
  <si>
    <t>上海中环陆家嘴物业管理有限公司海南分公司</t>
  </si>
  <si>
    <t>海南顺合泰汽车销售有限公司</t>
  </si>
  <si>
    <t>海南众力鑫工程机械有限公司</t>
  </si>
  <si>
    <t>海南景诚创新科技有限公司</t>
  </si>
  <si>
    <t>海南极度网络科技有限公司</t>
  </si>
  <si>
    <t>海南金土地阳光科技有限公司</t>
  </si>
  <si>
    <t>海口春禾茂通讯服务有限公司</t>
  </si>
  <si>
    <t>海南华宜康医院管理有限公司</t>
  </si>
  <si>
    <t>海口市市政工程维修公司</t>
  </si>
  <si>
    <t>海南华通海源信息技术有限公司</t>
  </si>
  <si>
    <t>海口南泰润达贸易有限公司</t>
  </si>
  <si>
    <t>海南慧点科技有限公司</t>
  </si>
  <si>
    <t>海南三元宏图教育咨询有限公司</t>
  </si>
  <si>
    <t>海口鑫得旺汽车维修服务有限公司</t>
  </si>
  <si>
    <t>海南比德环境治理有限责任公司</t>
  </si>
  <si>
    <t>海口恒兴达汽车综合服务有限公司</t>
  </si>
  <si>
    <t>海南昂然电子科技有限公司</t>
  </si>
  <si>
    <t>海口述凯通讯服务有限公司</t>
  </si>
  <si>
    <t>海南琼水表业有限公司</t>
  </si>
  <si>
    <t>海口金翼云通讯设备有限公司</t>
  </si>
  <si>
    <t>海口君悦通信服务有限公司</t>
  </si>
  <si>
    <t>海口龙飞翼通信工程有限公司</t>
  </si>
  <si>
    <t>海南省食乐健康产业股份有限公司</t>
  </si>
  <si>
    <t>海南羽宸汽车租赁有限公司</t>
  </si>
  <si>
    <t>海南中纬南瑞实业有限公司</t>
  </si>
  <si>
    <t>海南光讯电力工程有限公司</t>
  </si>
  <si>
    <t>海南海研新型建材有限公司</t>
  </si>
  <si>
    <t>海南赢海通科技发展有限公司</t>
  </si>
  <si>
    <t>海口市新苗豆业有限责任公司</t>
  </si>
  <si>
    <t>海南普利华电力技术有限公司</t>
  </si>
  <si>
    <t>海口兴宇海商贸有限公司</t>
  </si>
  <si>
    <t>广东格维泰装饰设计股份有限公司海南分公司</t>
  </si>
  <si>
    <t>海南凯铭网络技术有限公司</t>
  </si>
  <si>
    <t>海南嘉威科技有限公司</t>
  </si>
  <si>
    <t>海南雅葆天维实业股份有限公司</t>
  </si>
  <si>
    <t>海南澳卓建材有限公司</t>
  </si>
  <si>
    <t>海南大白康健医药股份有限公司</t>
  </si>
  <si>
    <t>海南康汇科技有限公司</t>
  </si>
  <si>
    <t>海口明昊远通讯服务有限公司</t>
  </si>
  <si>
    <t>海口港澳添翼通信工程有限公司</t>
  </si>
  <si>
    <t>海口翼沙时代通信服务有限公司</t>
  </si>
  <si>
    <t>海口市松涛灌区水利工程管理处</t>
  </si>
  <si>
    <t>海口翼速通通信服务有限公司</t>
  </si>
  <si>
    <t>海口彩恒通讯服务有限公司</t>
  </si>
  <si>
    <t>海口顺福通通讯服务有限公司</t>
  </si>
  <si>
    <t>海南晶润节能玻璃有限公司</t>
  </si>
  <si>
    <t>海口普达通电子有限公司</t>
  </si>
  <si>
    <t>海南中测计量仪器检测有限公司</t>
  </si>
  <si>
    <t>海南金汇福贸易有限公司</t>
  </si>
  <si>
    <t>海南龙腾达爆破效应检测有限公司</t>
  </si>
  <si>
    <t>海南耀荣地产有限公司</t>
  </si>
  <si>
    <t>上海唯美景观设计工程有限公司海南分公司</t>
  </si>
  <si>
    <t>海南华佑物业服务有限公司</t>
  </si>
  <si>
    <t>海南敦善文化艺术有限公司</t>
  </si>
  <si>
    <t>海口龙华生达茂汽配商行</t>
  </si>
  <si>
    <t>海南奥西数码快印有限公司</t>
  </si>
  <si>
    <t>海南前屋后院房地产营销策划有限公司</t>
  </si>
  <si>
    <t>海南申鑫金话筒娱乐有限公司</t>
  </si>
  <si>
    <t>海口彩嘉印刷包装有限公司</t>
  </si>
  <si>
    <t>海南精英特卫服务有限公司海口分公司</t>
  </si>
  <si>
    <t>海口保税区星力包装设备有限公司</t>
  </si>
  <si>
    <t>海南滨海实业（集团）有限公司</t>
  </si>
  <si>
    <t>深圳市三瑞兴业科技有限公司海口分公司</t>
  </si>
  <si>
    <t>海口东升汽车拖车救援有限公司</t>
  </si>
  <si>
    <t>海南鸿昌鑫来科技发展有限公司</t>
  </si>
  <si>
    <t>海南鑫开泰贸易有限公司</t>
  </si>
  <si>
    <t>海南航众科技有限公司</t>
  </si>
  <si>
    <t>海口好歌声娱乐有限公司</t>
  </si>
  <si>
    <t>海南火石科技有限公司</t>
  </si>
  <si>
    <t>海南天地联科技有限公司</t>
  </si>
  <si>
    <t>海口美百特汽车服务有限公司</t>
  </si>
  <si>
    <t>海南天意美农业开发有限公司</t>
  </si>
  <si>
    <t>海口惠航船舶配套设备有限公司</t>
  </si>
  <si>
    <t>海南和恒达物流有限公司</t>
  </si>
  <si>
    <t>海南健务生物科技有限公司</t>
  </si>
  <si>
    <t>海南大可文化服务有限公司</t>
  </si>
  <si>
    <t>海南绿智装饰设计工程有限公司</t>
  </si>
  <si>
    <t>海南益元食品有限公司</t>
  </si>
  <si>
    <t>海口圣合园景观规划设计有限公司</t>
  </si>
  <si>
    <t>海口美兰孔雀开屏电动车行</t>
  </si>
  <si>
    <t>海口鑫华农商贸有限公司</t>
  </si>
  <si>
    <t>海南住友富士电梯有限公司</t>
  </si>
  <si>
    <t>海口吉十工艺礼品有限公司</t>
  </si>
  <si>
    <t>海南清华显示器科技开发有限公司</t>
  </si>
  <si>
    <t>海南鼎盾实业有限公司</t>
  </si>
  <si>
    <t>海南广利民农业发展有限公司</t>
  </si>
  <si>
    <t>海南穹源科技有限公司</t>
  </si>
  <si>
    <t>海南驰优实业有限公司</t>
  </si>
  <si>
    <t>海南海锐众创科技有限公司</t>
  </si>
  <si>
    <t>海南良泉供水设备有限公司</t>
  </si>
  <si>
    <t>海南绿工坊生态农业开发有限公司</t>
  </si>
  <si>
    <t>海南鼎鼎红科技有限公司</t>
  </si>
  <si>
    <t>海南腾爱健康管理有限公司</t>
  </si>
  <si>
    <t>海南米果贸易有限公司</t>
  </si>
  <si>
    <t>海口龙华陵和米粉加工厂</t>
  </si>
  <si>
    <t>海南锐普科技有限公司</t>
  </si>
  <si>
    <t>海口绿康叶子环保科技有限公司</t>
  </si>
  <si>
    <t>海南友发实业有限公司</t>
  </si>
  <si>
    <t>海口龙华金驰手机维修部</t>
  </si>
  <si>
    <t>海南世纪星缘多媒体电子科技有限公司</t>
  </si>
  <si>
    <t>海口福犁医疗器械服务有限公司</t>
  </si>
  <si>
    <t>海南翔顺意贸易有限公司</t>
  </si>
  <si>
    <t>海口中胜达通信服务有限公司</t>
  </si>
  <si>
    <t>海南美绿上地园林生态景观工程有限公司</t>
  </si>
  <si>
    <t>海南金元通讯科技有限公司</t>
  </si>
  <si>
    <t>海南待君网络科技有限公司</t>
  </si>
  <si>
    <t>海南云房网络科技有限公司</t>
  </si>
  <si>
    <t>海南骏马腾达汽车服务有限公司</t>
  </si>
  <si>
    <t>海南九之源汽车贸易有限公司</t>
  </si>
  <si>
    <t>海南祥诺实业有限公司</t>
  </si>
  <si>
    <t>海南冠鹏办公文化用品有限公司</t>
  </si>
  <si>
    <t>海口美兰富迪装饰商行</t>
  </si>
  <si>
    <t>软银网络竞技（海南）有限公司</t>
  </si>
  <si>
    <t>海南国脉科技有限公司</t>
  </si>
  <si>
    <t>海口美兰金龙腾达汽车道路救援服务中心</t>
  </si>
  <si>
    <t>海南党小旗餐饮文化咨询管理有限公司</t>
  </si>
  <si>
    <t>海南车时达实业有限公司</t>
  </si>
  <si>
    <t>海南华天科创软件开发有限公司</t>
  </si>
  <si>
    <t>海南科雅园艺有限公司</t>
  </si>
  <si>
    <t>海南合力润杰建筑劳务有限公司</t>
  </si>
  <si>
    <t>海南康普多医疗科技有限公司</t>
  </si>
  <si>
    <t>海南易联众信息技术有限公司海口分公司</t>
  </si>
  <si>
    <t>海口速亦佳电器服务有限公司</t>
  </si>
  <si>
    <t>海南万能通物流有限公司</t>
  </si>
  <si>
    <t>海口市博爱汽车配件厂</t>
  </si>
  <si>
    <t>海口卡斯哈善生物光合反应器有限公司</t>
  </si>
  <si>
    <t>海南神盾货的信息科技有限公司</t>
  </si>
  <si>
    <t>海南车易融信息技术有限公司</t>
  </si>
  <si>
    <t>海口龙华晟龙家私厂</t>
  </si>
  <si>
    <t>海南迈思越科技有限公司</t>
  </si>
  <si>
    <t>海南速云网络科技有限公司</t>
  </si>
  <si>
    <t>海南霖杨科技有限公司</t>
  </si>
  <si>
    <t>海南优格厨电家居有限公司</t>
  </si>
  <si>
    <t>海南易卡库汽车销售服务有限公司</t>
  </si>
  <si>
    <t>海南深车安科技发展有限公司</t>
  </si>
  <si>
    <t>云车惠（海南）汽车服务有限公司</t>
  </si>
  <si>
    <t>海南橄榄枝实业有限公司</t>
  </si>
  <si>
    <t>海南丰源盛世机电工程有限公司</t>
  </si>
  <si>
    <t>海南和盛合实业有限公司</t>
  </si>
  <si>
    <t>海南圣华科技有限公司</t>
  </si>
  <si>
    <t>海南义合丰农业科技有限公司</t>
  </si>
  <si>
    <t>海口中升裕丰汽车销售服务有限公司</t>
  </si>
  <si>
    <t>海口铁海管廊投资发展有限公司</t>
  </si>
  <si>
    <t>海口什马商务信息咨询有限公司</t>
  </si>
  <si>
    <t>海口博大汽车服务有限公司</t>
  </si>
  <si>
    <t>华夏易能（海南）新能源科技有限公司</t>
  </si>
  <si>
    <t>海南宏萱商务咨询服务有限公司</t>
  </si>
  <si>
    <t>海南宏湘源装饰工程有限公司</t>
  </si>
  <si>
    <t>海南永兆丰建筑材料有限公司</t>
  </si>
  <si>
    <t>海南福运物业服务有限公司</t>
  </si>
  <si>
    <t>海南创升实业有限公司</t>
  </si>
  <si>
    <t>海口鑫景明通信工程有限公司</t>
  </si>
  <si>
    <t>海南万力德生物科技有限公司</t>
  </si>
  <si>
    <t>海南卓越高科农业有限公司</t>
  </si>
  <si>
    <t>海南轩艺广告传媒有限公司</t>
  </si>
  <si>
    <t>海南宇信科技实业有限公司</t>
  </si>
  <si>
    <t>海南品鸿科技有限公司</t>
  </si>
  <si>
    <t>海南羲和电子科技有限公司</t>
  </si>
  <si>
    <t>海口龙华七仙好乐迪会所</t>
  </si>
  <si>
    <t>海口云联商贸有限公司</t>
  </si>
  <si>
    <t>海南东方世纪设计有限公司</t>
  </si>
  <si>
    <t>海南盛则利实业有限公司</t>
  </si>
  <si>
    <t>海南威特电力设备有限公司</t>
  </si>
  <si>
    <t>海南晨瑞清洁服务有限公司</t>
  </si>
  <si>
    <t>海南海之维安防科技有限公司</t>
  </si>
  <si>
    <t>海南姚顿资产管理有限公司</t>
  </si>
  <si>
    <t>海南小球藻餐饮管理有限公司</t>
  </si>
  <si>
    <t>海南信安机动车驾驶员培训有限公司</t>
  </si>
  <si>
    <t>海南于飞文玩工艺品有限公司</t>
  </si>
  <si>
    <t>海南嘉科环保咨询有限公司</t>
  </si>
  <si>
    <t>海南满格网络科技有限公司</t>
  </si>
  <si>
    <t>海南谢谢农夫农产品有限公司</t>
  </si>
  <si>
    <t>海口硕捷科技有限公司第一分公司</t>
  </si>
  <si>
    <t>海南帝豪科工农业有限公司</t>
  </si>
  <si>
    <t>海南青投电子商务有限公司</t>
  </si>
  <si>
    <t>海南九云天科技投资控股有限公司</t>
  </si>
  <si>
    <t>海口飞马科技有限公司</t>
  </si>
  <si>
    <t>海口越海商贸有限公司</t>
  </si>
  <si>
    <t>海南麦瑞克科技有限公司</t>
  </si>
  <si>
    <t>海南鑫安和环保工程有限公司</t>
  </si>
  <si>
    <t>海口市菜生鲜超市管理有限公司</t>
  </si>
  <si>
    <t>海南昊思科技贸易有限公司</t>
  </si>
  <si>
    <t>海南天中马环保能源有限公司</t>
  </si>
  <si>
    <t>海南服众汽车服务有限公司</t>
  </si>
  <si>
    <t>海南京润珍珠科技有限公司</t>
  </si>
  <si>
    <t>海南诣博商贸有限公司</t>
  </si>
  <si>
    <t>海南天虹酒店设备有限公司</t>
  </si>
  <si>
    <t>海口禹森科技有限公司</t>
  </si>
  <si>
    <t>海南创点广告传媒有限公司</t>
  </si>
  <si>
    <t>海南旺楚领梦科技有限公司</t>
  </si>
  <si>
    <t>海南保绿德环保科技有限公司</t>
  </si>
  <si>
    <t>海南瑞富安校车服务有限公司</t>
  </si>
  <si>
    <t>海南海岛伟云贸易有限公司</t>
  </si>
  <si>
    <t>海口良明包装材料有限公司</t>
  </si>
  <si>
    <t>海南昕鲜佳品贸易有限公司</t>
  </si>
  <si>
    <t>海南千星之城科技有限公司</t>
  </si>
  <si>
    <t>海南映静贸易有限公司</t>
  </si>
  <si>
    <t>海口鑫鹏胜汽车服务有限公司</t>
  </si>
  <si>
    <t>海南新远诚信息科技有限公司</t>
  </si>
  <si>
    <t>海南智宏信息技术有限公司</t>
  </si>
  <si>
    <t>海南椰乡千佰汇贸易有限公司</t>
  </si>
  <si>
    <t>海南中昌信达投资有限公司</t>
  </si>
  <si>
    <t>海南红三月商贸有限公司</t>
  </si>
  <si>
    <t>海口美兰淑云卷闸门加工店</t>
  </si>
  <si>
    <t>河南省交通规划设计研究院股份有限公司海南分公司</t>
  </si>
  <si>
    <t>海口兄弟创想科技有限公司</t>
  </si>
  <si>
    <t>海南盛世泰达农业有限公司</t>
  </si>
  <si>
    <t>海南小岛渔家渔业有限公司</t>
  </si>
  <si>
    <t>海南东燊贸易有限公司</t>
  </si>
  <si>
    <t>海南校通汽车服务有限公司</t>
  </si>
  <si>
    <t>海南迈凯伦科技有限公司</t>
  </si>
  <si>
    <t>米小粒生态农业科技发展（海南）有限公司</t>
  </si>
  <si>
    <t>海南中鑫天机械设备有限公司</t>
  </si>
  <si>
    <t>海南技诚网络科技有限公司</t>
  </si>
  <si>
    <t>海南山里郎山茶油有限公司</t>
  </si>
  <si>
    <t>海南博盛农业有限公司</t>
  </si>
  <si>
    <t>海南九条礼鱼科技有限公司</t>
  </si>
  <si>
    <t>海南拓普网络科技有限公司</t>
  </si>
  <si>
    <t>海南姜佳兄弟汽车销售服务有限公司</t>
  </si>
  <si>
    <t>海南联视电子科技有限公司</t>
  </si>
  <si>
    <t>海南久宏信息咨询有限公司</t>
  </si>
  <si>
    <t>海南云联大数据软件有限公司</t>
  </si>
  <si>
    <t>海口润康源贸易有限公司</t>
  </si>
  <si>
    <t>海南秋林海玛实业有限公司</t>
  </si>
  <si>
    <t>海南朗昇实业有限公司</t>
  </si>
  <si>
    <t>海南众宇通消防有限公司</t>
  </si>
  <si>
    <t>海南歌莎乐食品有限公司</t>
  </si>
  <si>
    <t>海南致高工程机械有限公司</t>
  </si>
  <si>
    <t>海南俊腾实业有限公司</t>
  </si>
  <si>
    <t>海南鱼仆生物科技有限公司</t>
  </si>
  <si>
    <t>海南冰虫环保科技有限公司</t>
  </si>
  <si>
    <t>海南睿晨信息科技有限公司</t>
  </si>
  <si>
    <t>海南成元光电科技有限公司</t>
  </si>
  <si>
    <t>海口车伯乐汽车销售服务有限公司</t>
  </si>
  <si>
    <t>海南祥多环保科技有限公司</t>
  </si>
  <si>
    <t>海口淇澳通风设备有限公司</t>
  </si>
  <si>
    <t>海南福满溢环保科技有限公司</t>
  </si>
  <si>
    <t>海口亿胜达电脑有限公司</t>
  </si>
  <si>
    <t>海南德赢汽车销售服务有限公司</t>
  </si>
  <si>
    <t>东方永得雪茄有限公司海口分公司</t>
  </si>
  <si>
    <t>海南全科宇恒实业有限公司</t>
  </si>
  <si>
    <t>海南优万科技有限公司</t>
  </si>
  <si>
    <t>海南能国电子商务有限公司</t>
  </si>
  <si>
    <t>海南如画生态环保有限公司</t>
  </si>
  <si>
    <t>海南傲腾制冷科技有限公司</t>
  </si>
  <si>
    <t>海南林欣服饰有限公司</t>
  </si>
  <si>
    <t>海南泰恒安培教育设备有限公司</t>
  </si>
  <si>
    <t>海南图茗测绘科技有限公司</t>
  </si>
  <si>
    <t>海南合叉机械设备有限公司</t>
  </si>
  <si>
    <t>海口信展汽车服务有限公司</t>
  </si>
  <si>
    <t>海南椰米食品有限公司</t>
  </si>
  <si>
    <t>海南红众门科技有限公司</t>
  </si>
  <si>
    <t>广东顺协工程勘察有限公司海口分公司</t>
  </si>
  <si>
    <t>海口收得多农业生产资料有限公司</t>
  </si>
  <si>
    <t>海南大唐和维网络科技有限公司</t>
  </si>
  <si>
    <t>海南驰轩汽车贸易有限公司</t>
  </si>
  <si>
    <t>海南百厨厨房设备有限公司</t>
  </si>
  <si>
    <t>海口盛大源金属制品有限公司</t>
  </si>
  <si>
    <t>海南世纪乐居房地产经纪有限公司</t>
  </si>
  <si>
    <t>海南老本行环保科技有限公司</t>
  </si>
  <si>
    <t>海南经典房产营销策划有限公司</t>
  </si>
  <si>
    <t>海南神马汽车贸易服务有限公司</t>
  </si>
  <si>
    <t>海南华颖网络科技有限公司</t>
  </si>
  <si>
    <t>海南柳驰实业有限公司</t>
  </si>
  <si>
    <t>海南尚玩网络文化传媒有限公司</t>
  </si>
  <si>
    <t>海南红满源农业开发有限公司</t>
  </si>
  <si>
    <t>海南问鼎互娱网络传媒有限公司</t>
  </si>
  <si>
    <t>海南一品堂网络科技有限公司</t>
  </si>
  <si>
    <t>海南鼎丰晟食品有限公司</t>
  </si>
  <si>
    <t>海南麦田环境管理服务有限公司</t>
  </si>
  <si>
    <t>海南木山环保科技有限公司</t>
  </si>
  <si>
    <t>海南乔天科技有限公司</t>
  </si>
  <si>
    <t>宸宇建设集团有限公司海南分公司</t>
  </si>
  <si>
    <t>海口蓝平科技开发有限公司</t>
  </si>
  <si>
    <t>海口帝一物业管理有限公司</t>
  </si>
  <si>
    <t>海南鑫隆胜达汽车服务有限公司</t>
  </si>
  <si>
    <t>海南欧力乐环保科技有限公司</t>
  </si>
  <si>
    <t>海南佳信捷科技有限公司</t>
  </si>
  <si>
    <t>海南玖洲汽车贸易有限公司</t>
  </si>
  <si>
    <t>海南掌泡科技有限公司</t>
  </si>
  <si>
    <t>海南世嘉伟业汽车销售有限公司</t>
  </si>
  <si>
    <t>海口禾邑贸易有限公司</t>
  </si>
  <si>
    <t>海南讴椰实业有限公司</t>
  </si>
  <si>
    <t>海口畓榃湿地研究所</t>
  </si>
  <si>
    <t>海南腾源科技有限公司</t>
  </si>
  <si>
    <t>海南博尊房地产有限公司</t>
  </si>
  <si>
    <t>创想天空（海南）科技有限公司</t>
  </si>
  <si>
    <t>海口秀英亿晟机械维修店</t>
  </si>
  <si>
    <t>海南德宏大兴田园实业有限公司</t>
  </si>
  <si>
    <t>海口宏达顺油料有限公司永兴加油站</t>
  </si>
  <si>
    <t>海口杰又杰商务服务有限公司</t>
  </si>
  <si>
    <t>海南风蓝信息科技有限公司</t>
  </si>
  <si>
    <t>海南匠鑫电子商务有限公司</t>
  </si>
  <si>
    <t>海南春之声文化传播有限公司</t>
  </si>
  <si>
    <t>海口百川润城管业设备有限公司</t>
  </si>
  <si>
    <t>海南谷讯网络科技有限公司</t>
  </si>
  <si>
    <t>海口美兰裕军金属门窗店</t>
  </si>
  <si>
    <t>海口衡升隆实业有限公司</t>
  </si>
  <si>
    <t>海南鸿铭轩文化科技有限公司</t>
  </si>
  <si>
    <t>海南鑫天海水电工程有限公司</t>
  </si>
  <si>
    <t>海南盛华成实业有限公司</t>
  </si>
  <si>
    <t>海口昭之源汽车服务有限公司</t>
  </si>
  <si>
    <t>海口美兰茂茂摄影器材经销部</t>
  </si>
  <si>
    <t>海南鑫红雷科技有限公司</t>
  </si>
  <si>
    <t>海南盛世鸿飞装饰工程有限公司</t>
  </si>
  <si>
    <t>海南月盛房地产营销策划有限公司</t>
  </si>
  <si>
    <t>海南益中消消防器材总汇有限公司</t>
  </si>
  <si>
    <t>海南我度假公寓管理有限公司</t>
  </si>
  <si>
    <t>海南鑫国清环境服务有限公司</t>
  </si>
  <si>
    <t>海南普瑞达送变电工程有限公司</t>
  </si>
  <si>
    <t>海南艾乐顿智能科技有限公司</t>
  </si>
  <si>
    <t>海南金岭橡胶工业有限公司</t>
  </si>
  <si>
    <t>海口龙华恒德泰汽车技术服务中心</t>
  </si>
  <si>
    <t>海南歆洋材料网络销售股份有限公司</t>
  </si>
  <si>
    <t>海口市龙华区新坡镇手工业社</t>
  </si>
  <si>
    <t>河北路通监理咨询有限公司海南分公司</t>
  </si>
  <si>
    <t>海南鼎力达能源产业发展有限公司</t>
  </si>
  <si>
    <t>海南智车友实业有限公司</t>
  </si>
  <si>
    <t>海南金航信诺节能科技有限公司</t>
  </si>
  <si>
    <t>海南正永生态工程技术有限公司</t>
  </si>
  <si>
    <t>海南佳凌科技有限责任公司</t>
  </si>
  <si>
    <t>海南掌心网络科技有限公司</t>
  </si>
  <si>
    <t>海南微印途云智能科技有限公司</t>
  </si>
  <si>
    <t>海南美印星办公设备有限公司</t>
  </si>
  <si>
    <t>海南天创熙攘网络科技有限公司</t>
  </si>
  <si>
    <t>海南雷电网络科技有限公司</t>
  </si>
  <si>
    <t>海南润博环保工程有限公司</t>
  </si>
  <si>
    <t>海南视娱文化传媒科技有限公司</t>
  </si>
  <si>
    <t>海口市海洋经济发展促进会</t>
  </si>
  <si>
    <t>海南程新汽车租赁有限公司</t>
  </si>
  <si>
    <t>海南轩达检验检测服务有限公司</t>
  </si>
  <si>
    <t>海口龙华晖鑫名车维修行</t>
  </si>
  <si>
    <t>海口沃顺通通讯服务有限公司</t>
  </si>
  <si>
    <t>海南澳蓝汽车销售服务有限公司</t>
  </si>
  <si>
    <t>海口宝欣数码快印有限公司</t>
  </si>
  <si>
    <t>海口一崖网络有限公司</t>
  </si>
  <si>
    <t>海南英瀚环保科技有限责任公司</t>
  </si>
  <si>
    <t>海口汇华上盛科技有限公司</t>
  </si>
  <si>
    <t>海口今明文化科技有限公司</t>
  </si>
  <si>
    <t>海南椰仑工程材料有限公司</t>
  </si>
  <si>
    <t>海南轩旺贸易有限公司</t>
  </si>
  <si>
    <t>海南中正仁和实业有限公司</t>
  </si>
  <si>
    <t>海口展飞商贸有限公司</t>
  </si>
  <si>
    <t>海南鼎杰医疗器械有限公司</t>
  </si>
  <si>
    <t>海南寅辰网络信息科技有限公司</t>
  </si>
  <si>
    <t>中盐榆林盐化有限公司海南分公司</t>
  </si>
  <si>
    <t>海南云耕实业有限公司</t>
  </si>
  <si>
    <t>北京清华同衡规划设计研究院有限公司海南分公司</t>
  </si>
  <si>
    <t>海口艳艳网络科技有限公司</t>
  </si>
  <si>
    <t>海南弘桥置业有限公司</t>
  </si>
  <si>
    <t>海口永兴祥瑞置业有限公司</t>
  </si>
  <si>
    <t>海南君之声贸易有限公司</t>
  </si>
  <si>
    <t>海南等闲网络科技有限公司</t>
  </si>
  <si>
    <t>海南连顺汽车维修服务有限公司</t>
  </si>
  <si>
    <t>海南君盛汽车销售服务有限公司</t>
  </si>
  <si>
    <t>海南鑫源动力汽配销售服务有限公司</t>
  </si>
  <si>
    <t>海南斯德瑞汽车服务有限公司</t>
  </si>
  <si>
    <t>海南燕子环保科技有限公司</t>
  </si>
  <si>
    <t>海南御茶缘茶文化传播有限公司</t>
  </si>
  <si>
    <t>海南宏信友鹏汽车销售有限公司</t>
  </si>
  <si>
    <t>海口琼山海星电信点</t>
  </si>
  <si>
    <t>海南中诚信源网络科技有限公司</t>
  </si>
  <si>
    <t>海南苏南聚宝园林工程有限公司</t>
  </si>
  <si>
    <t>海南洪都商业管理有限公司</t>
  </si>
  <si>
    <t>海南朗逸汽车服务有限公司</t>
  </si>
  <si>
    <t>海南润昌保洁服务有限公司</t>
  </si>
  <si>
    <t>海南领讯科技有限公司</t>
  </si>
  <si>
    <t>海南融伟招标代理有限公司</t>
  </si>
  <si>
    <t>海口志晟远环境咨询有限公司</t>
  </si>
  <si>
    <t>海南天之润博生物科技有限公司</t>
  </si>
  <si>
    <t>海南卓晟达环保科技有限公司</t>
  </si>
  <si>
    <t>海南蓝骏科技工程有限公司</t>
  </si>
  <si>
    <t>海南合维科技有限公司</t>
  </si>
  <si>
    <t>海南联铭电子科技有限公司</t>
  </si>
  <si>
    <t>海南亿星资讯有限公司</t>
  </si>
  <si>
    <t>海口合力源汽车服务有限公司</t>
  </si>
  <si>
    <t>海口九拍文化传播有限公司</t>
  </si>
  <si>
    <t>海口秀英顺开源汽车维修中心</t>
  </si>
  <si>
    <t>海南佳创兴伟商贸有限公司</t>
  </si>
  <si>
    <t>海口鸿福景秀殡葬服务有限公司</t>
  </si>
  <si>
    <t>海南众兴跃汽车贸易有限公司</t>
  </si>
  <si>
    <t>海南椰海燕群贸易有限公司</t>
  </si>
  <si>
    <t>海南纽徕特汽车销售服务有限公司</t>
  </si>
  <si>
    <t>海南陆酷勘测工程有限公司</t>
  </si>
  <si>
    <t>海南友博信息技术有限公司</t>
  </si>
  <si>
    <t>海南焕坤计量检测有限公司</t>
  </si>
  <si>
    <t>海口润东鑫耀通讯服务有限公司</t>
  </si>
  <si>
    <t>海南阮氏鹏辉电子有限公司</t>
  </si>
  <si>
    <t>海南木槿昔年网络科技有限公司</t>
  </si>
  <si>
    <t>海口香香福食品有限公司</t>
  </si>
  <si>
    <t>海南海亿汇实业有限公司</t>
  </si>
  <si>
    <t>海口明晟物流有限公司</t>
  </si>
  <si>
    <t>海口合贵通通讯服务有限公司</t>
  </si>
  <si>
    <t>海南拓展园通信服务有限公司</t>
  </si>
  <si>
    <t>海南宇瑞通通讯科技有限公司</t>
  </si>
  <si>
    <t>海南鑫顺开源汽车维修有限公司</t>
  </si>
  <si>
    <t>海南车品汇汽车服务有限公司</t>
  </si>
  <si>
    <t>海南省一辉节能玻璃有限公司</t>
  </si>
  <si>
    <t>海南新日兴实业有限公司</t>
  </si>
  <si>
    <t>海南博淏环境科技有限公司</t>
  </si>
  <si>
    <t>海口华湄鸿通贸易有限公司</t>
  </si>
  <si>
    <t>海南正翔科技发展有限公司</t>
  </si>
  <si>
    <t>海南宏盛源酒店设备用品有限公司</t>
  </si>
  <si>
    <t>海南德众平行汽车销售服务有限公司</t>
  </si>
  <si>
    <t>海南捷泓汇科技通讯有限公司</t>
  </si>
  <si>
    <t>海南铭易科技有限公司</t>
  </si>
  <si>
    <t>海南骏视听演艺设备有限公司</t>
  </si>
  <si>
    <t>海南亿胜骏达文化传播有限公司</t>
  </si>
  <si>
    <t>海南恒标安保服务有限公司</t>
  </si>
  <si>
    <t>海南斌豪家具有限公司</t>
  </si>
  <si>
    <t>海口亿泓盛电子科技有限公司</t>
  </si>
  <si>
    <t>海口金盾王防水建筑材料有限公司</t>
  </si>
  <si>
    <t>海南观海文化传媒有限公司</t>
  </si>
  <si>
    <t>海南瑞琼医疗器械科技有限公司</t>
  </si>
  <si>
    <t>海南创智惠装饰工程有限公司</t>
  </si>
  <si>
    <t>海口权利豪家电贸易有限公司</t>
  </si>
  <si>
    <t>海南世丰中汽国际贸易有限公司</t>
  </si>
  <si>
    <t>海南华声光电科技有限公司</t>
  </si>
  <si>
    <t>海南美丽源汽车服务有限公司</t>
  </si>
  <si>
    <t>海南林秀农业科技有限公司</t>
  </si>
  <si>
    <t>海口龙华鑫隆云电动车维修店</t>
  </si>
  <si>
    <t>海南合睿贸易有限公司</t>
  </si>
  <si>
    <t>海口秀英舒心门窗店</t>
  </si>
  <si>
    <t>海南鑫汇达机械设备有限公司</t>
  </si>
  <si>
    <t>海南恒立汽车租赁有限公司</t>
  </si>
  <si>
    <t>万达信息股份有限公司海口分公司</t>
  </si>
  <si>
    <t>海口博亚天缘电气制造有限公司</t>
  </si>
  <si>
    <t>北京艺华通电信工程有限责任公司海南分公司</t>
  </si>
  <si>
    <t>海南金鹏东宜通信工程有限公司国贸电信营业厅</t>
  </si>
  <si>
    <t>海南新联达科技有限公司</t>
  </si>
  <si>
    <t>海南力拓广告有限公司</t>
  </si>
  <si>
    <t>海南恒飞科技有限公司</t>
  </si>
  <si>
    <t>海南鑫正亿信息科技有限公司</t>
  </si>
  <si>
    <t>海南伟铭达网络科技有限公司</t>
  </si>
  <si>
    <t>海口华椰贸易有限公司</t>
  </si>
  <si>
    <t>海南环岛送子汽车租赁有限公司</t>
  </si>
  <si>
    <t>海南鑫兆辉工程咨询有限公司</t>
  </si>
  <si>
    <t>海南伏都机电设备有限公司</t>
  </si>
  <si>
    <t>海口鸿意明扬科技有限公司</t>
  </si>
  <si>
    <t>海南轩艺装饰装修工程有限公司</t>
  </si>
  <si>
    <t>海南绿能科技有限公司</t>
  </si>
  <si>
    <t>海南大运建设工程有限公司</t>
  </si>
  <si>
    <t>海南神农云信息技术有限公司</t>
  </si>
  <si>
    <t>海口龙华欣雄达汽车修理厂</t>
  </si>
  <si>
    <t>海口超跑之星汽车服务有限公司</t>
  </si>
  <si>
    <t>海口市河长制办公室</t>
  </si>
  <si>
    <t>海南宏顺木材有限公司</t>
  </si>
  <si>
    <t>海口秀英兴胜旺汽修店</t>
  </si>
  <si>
    <t>海南跃迁科技有限公司</t>
  </si>
  <si>
    <t>海口威雅世纪贸易有限公司</t>
  </si>
  <si>
    <t>中南金尚环境工程有限公司海南分公司</t>
  </si>
  <si>
    <t>海口家家用锁匠服务有限公司</t>
  </si>
  <si>
    <t>海南铭图地理科技有限公司</t>
  </si>
  <si>
    <t>海南昱鑫科技有限公司</t>
  </si>
  <si>
    <t>海南荣联智能科技有限公司</t>
  </si>
  <si>
    <t>海口联耀腾飞科技有限公司</t>
  </si>
  <si>
    <t>海口百川海洋生物科技有限公司</t>
  </si>
  <si>
    <t>海口中麦实业有限公司</t>
  </si>
  <si>
    <t>海口美兰豪星行名车服务中心</t>
  </si>
  <si>
    <t>海南清澄环保科技有限公司</t>
  </si>
  <si>
    <t>海口禾顺餐饮管理有限公司大同店</t>
  </si>
  <si>
    <t>海南杭开环保科技有限公司</t>
  </si>
  <si>
    <t>海口禾顺餐饮管理有限公司海垦店</t>
  </si>
  <si>
    <t>海南祥景佳环保科技有限公司</t>
  </si>
  <si>
    <t>海南雅成实业有限公司</t>
  </si>
  <si>
    <t>海南安诺食品检测科技有限公司</t>
  </si>
  <si>
    <t>海南康厨之星餐饮管理有限公司</t>
  </si>
  <si>
    <t>海南富如农业科技有限公司</t>
  </si>
  <si>
    <t>海南美能物业服务有限公司</t>
  </si>
  <si>
    <t>海南众晔实业有限公司</t>
  </si>
  <si>
    <t>海南海防联应急技术服务有限公司</t>
  </si>
  <si>
    <t>中外建华诚（北京）工程项目管理有限公司海南分公司</t>
  </si>
  <si>
    <t>海口鑫广恒实业有限公司</t>
  </si>
  <si>
    <t>海口哗楠茶庄</t>
  </si>
  <si>
    <t>海口鑫郭大盛贸易有限公司</t>
  </si>
  <si>
    <t>海口佳源泰电气设备有限公司</t>
  </si>
  <si>
    <t>海南桑度空调工程有限公司</t>
  </si>
  <si>
    <t>海南瑞邦盛实业有限公司</t>
  </si>
  <si>
    <t>海南和信汽车租赁有限公司</t>
  </si>
  <si>
    <t>海口佳味园食品有限公司</t>
  </si>
  <si>
    <t>海南宜乐网络文化传媒有限公司</t>
  </si>
  <si>
    <t>海口源动力商旅服务有限公司</t>
  </si>
  <si>
    <t>海南龙德勘测技术有限公司</t>
  </si>
  <si>
    <t>海南一家心实业有限公司</t>
  </si>
  <si>
    <t>海南中观实业有限公司</t>
  </si>
  <si>
    <t>海口金峰岩茶叶有限公司</t>
  </si>
  <si>
    <t>海南冠航通信建设有限公司</t>
  </si>
  <si>
    <t>海南旗航打捞服务有限公司</t>
  </si>
  <si>
    <t>海南尚品轩贸易有限公司</t>
  </si>
  <si>
    <t>海南云烽实业有限公司</t>
  </si>
  <si>
    <t>海南云图管家软件服务有限公司</t>
  </si>
  <si>
    <t>海南惠朋消防技术服务有限公司</t>
  </si>
  <si>
    <t>海南南岛医药贸易有限公司</t>
  </si>
  <si>
    <t>海南鸿欣工程机械有限公司</t>
  </si>
  <si>
    <t>海南烨华家具有限公司</t>
  </si>
  <si>
    <t>海口市堤防工程建设管理中心</t>
  </si>
  <si>
    <t>海南万家馨宁物业服务有限公司</t>
  </si>
  <si>
    <t>海南宝竹科技有限公司</t>
  </si>
  <si>
    <t>海口渝宗文化传媒有限公司</t>
  </si>
  <si>
    <t>海南胜致图文广告有限公司</t>
  </si>
  <si>
    <t>海南绿聚仁农牧有限公司</t>
  </si>
  <si>
    <t>海南合盟网络科技有限公司</t>
  </si>
  <si>
    <t>海南齐富祥贸易有限公司</t>
  </si>
  <si>
    <t>海南杰铖装饰工程有限公司</t>
  </si>
  <si>
    <t>海南盛世博沃建筑劳务有限公司</t>
  </si>
  <si>
    <t>海口耀源汽车服务有限公司</t>
  </si>
  <si>
    <t>海南骏兴医疗器械有限公司</t>
  </si>
  <si>
    <t>海南艺滴文化传播有限公司</t>
  </si>
  <si>
    <t>海口苏舍建筑工程有限公司</t>
  </si>
  <si>
    <t>海南牧尘体育文化发展有限公司</t>
  </si>
  <si>
    <t>海南食乐中央厨房管理有限公司</t>
  </si>
  <si>
    <t>海口琼山金达通电讯服务部</t>
  </si>
  <si>
    <t>海南华商供应链服务有限公司</t>
  </si>
  <si>
    <t>海南民安应急物资装备有限公司</t>
  </si>
  <si>
    <t>海南设绘教育科技有限公司</t>
  </si>
  <si>
    <t>海南晁彩科技有限公司</t>
  </si>
  <si>
    <t>海口久方家具有限公司</t>
  </si>
  <si>
    <t>海南绿素生物科技有限公司</t>
  </si>
  <si>
    <t>海南皓烨机电设备有限公司</t>
  </si>
  <si>
    <t>海南智慧城科技有限公司</t>
  </si>
  <si>
    <t>海南玖魅网络服务有限公司</t>
  </si>
  <si>
    <t>海南尚品设会广告有限公司</t>
  </si>
  <si>
    <t>海南金明旺照明工程有限公司</t>
  </si>
  <si>
    <t>海口龙华安驰达拖车服务部</t>
  </si>
  <si>
    <t>海口友联网络科技有限公司</t>
  </si>
  <si>
    <t>海南隅花原旅业发展有限公司海口分公司</t>
  </si>
  <si>
    <t>海口豫宏源汽修有限公司</t>
  </si>
  <si>
    <t>海口富达琳汽车维修有限公司</t>
  </si>
  <si>
    <t>海口傅达林汽车服务有限公司</t>
  </si>
  <si>
    <t>海口创惠纸箱包装有限公司</t>
  </si>
  <si>
    <t>海口华彩轩文化传媒有限公司</t>
  </si>
  <si>
    <t>海南聚和信医疗科技有限公司</t>
  </si>
  <si>
    <t>海南国视佳电子科技有限公司</t>
  </si>
  <si>
    <t>海南南丰天天快递有限公司海口南联路分部</t>
  </si>
  <si>
    <t>海口美兰建宇电脑商行</t>
  </si>
  <si>
    <t>海南丰雅尚装饰工程有限公司</t>
  </si>
  <si>
    <t>海南铭本实业有限公司</t>
  </si>
  <si>
    <t>海口美兰润恒米粉加工厂</t>
  </si>
  <si>
    <t>海口根胜清洁服务有限公司</t>
  </si>
  <si>
    <t>海南众渝汽车维修有限公司</t>
  </si>
  <si>
    <t>海南国测测绘科技有限公司</t>
  </si>
  <si>
    <t>海南省贝万尼环保科技有限公司</t>
  </si>
  <si>
    <t>海南金来福实业有限公司</t>
  </si>
  <si>
    <t>海南华炫实业发展有限公司</t>
  </si>
  <si>
    <t>海口同创辉煌科技有限公司</t>
  </si>
  <si>
    <t>海口龙华维多丽亚假日酒店</t>
  </si>
  <si>
    <t>海南万胜达电气有限公司</t>
  </si>
  <si>
    <t>海南北山出行科技有限公司</t>
  </si>
  <si>
    <t>洋浦晨星药业有限公司海口分公司</t>
  </si>
  <si>
    <t>海口爱果生鲜农业开发有限公司</t>
  </si>
  <si>
    <t>海口保多佳白蚁防治有限公司</t>
  </si>
  <si>
    <t>海南华惠晟科技有限责任公司</t>
  </si>
  <si>
    <t>海南谷之腾贸易有限公司</t>
  </si>
  <si>
    <t>海南星辰体育设备有限公司</t>
  </si>
  <si>
    <t>海口龙华鑫昌宏汽车装饰店</t>
  </si>
  <si>
    <t>海口志宏汽车维修服务有限公司</t>
  </si>
  <si>
    <t>海口易博泳池管理有限公司</t>
  </si>
  <si>
    <t>海口顺传汽车维修服务有限公司</t>
  </si>
  <si>
    <t>祥雨（海南）农业发展有限公司</t>
  </si>
  <si>
    <t>海南创思美物业管理有限公司</t>
  </si>
  <si>
    <t>海口龙华鑫佳鑫石材中心</t>
  </si>
  <si>
    <t>海南昂迪医疗科技有限公司</t>
  </si>
  <si>
    <t>海南联合创鑫科技有限公司</t>
  </si>
  <si>
    <t>海口金东升钢化玻璃有限公司</t>
  </si>
  <si>
    <t>海南一五一十网络科技有限公司</t>
  </si>
  <si>
    <t>海南丸子网络科技有限公司</t>
  </si>
  <si>
    <t>海南乐不思蜀网络科技有限公司</t>
  </si>
  <si>
    <t>海南琼鼎教育培训有限公司</t>
  </si>
  <si>
    <t>海南初五网络科技有限公司</t>
  </si>
  <si>
    <t>海南华威有害生物防治有限公司</t>
  </si>
  <si>
    <t>海南德利海贸易有限公司</t>
  </si>
  <si>
    <t>海南哟哟游网络科技有限公司</t>
  </si>
  <si>
    <t>海南茗晟汽车贸易有限公司</t>
  </si>
  <si>
    <t>海口怡馨园艺有限公司</t>
  </si>
  <si>
    <t>海南蚂蚁游网络科技有限公司</t>
  </si>
  <si>
    <t>海口申琼钢实业有限公司</t>
  </si>
  <si>
    <t>海南世嘉鸿程汽车租赁有限公司</t>
  </si>
  <si>
    <t>海南艺百纳园林环卫建设有限公司</t>
  </si>
  <si>
    <t>海南德丰硕食品有限公司</t>
  </si>
  <si>
    <t>海口秀英鑫源发门窗加工厂</t>
  </si>
  <si>
    <t>海之源环境科技（海南）有限公司</t>
  </si>
  <si>
    <t>海南宏杰数码科技有限公司</t>
  </si>
  <si>
    <t>海南博晟贸易有限公司</t>
  </si>
  <si>
    <t>海南鑫百嘉汽车租赁有限公司</t>
  </si>
  <si>
    <t>海南方向盘汽车服务有限公司</t>
  </si>
  <si>
    <t>海南竞泰科技有限公司</t>
  </si>
  <si>
    <t>海南法彩装饰工程有限公司</t>
  </si>
  <si>
    <t>海口柯博杨家具制造有限公司</t>
  </si>
  <si>
    <t>海南晨奕低碳环境服务有限公司</t>
  </si>
  <si>
    <t>海南途易科技股份有限公司</t>
  </si>
  <si>
    <t>海南绿湾生态环境科技有限公司</t>
  </si>
  <si>
    <t>海口安胜汽车销售有限公司</t>
  </si>
  <si>
    <t>海南方知资产评估有限公司</t>
  </si>
  <si>
    <t>海南卓德文化旅游开发有限公司</t>
  </si>
  <si>
    <t>海南能为厨具工程有限公司</t>
  </si>
  <si>
    <t>海南新骏汽车销售服务有限公司</t>
  </si>
  <si>
    <t>海口益之源网络科技有限公司</t>
  </si>
  <si>
    <t>海口探奇乐园文旅股份有限公司</t>
  </si>
  <si>
    <t>海南车保诚二手车交易市场有限公司</t>
  </si>
  <si>
    <t>海南民生公用管道检验有限公司</t>
  </si>
  <si>
    <t>海南谚鑫龙仕汽车服务有限公司</t>
  </si>
  <si>
    <t>海南瑞禾工程设计有限公司</t>
  </si>
  <si>
    <t>海口鑫海泰达实业有限责任公司</t>
  </si>
  <si>
    <t>海南翼家欢通信有限公司</t>
  </si>
  <si>
    <t>海南鸿鑫海智能护栏有限公司</t>
  </si>
  <si>
    <t>海南互维信息产业有限公司</t>
  </si>
  <si>
    <t>海南合联硕实业有限公司</t>
  </si>
  <si>
    <t>海南华坚实业有限公司</t>
  </si>
  <si>
    <t>海南智取科技有限公司</t>
  </si>
  <si>
    <t>海南沐和健康管理有限公司</t>
  </si>
  <si>
    <t>海口穆信环保技术咨询合伙企业（有限合伙）</t>
  </si>
  <si>
    <t>北京北控物业管理有限责任公司海南分公司</t>
  </si>
  <si>
    <t>海南七颗椰文化传媒有限公司</t>
  </si>
  <si>
    <t>海南卓安泰网络科技有限公司</t>
  </si>
  <si>
    <t>海南尚枫建筑装饰设计有限公司</t>
  </si>
  <si>
    <t>海南咏盛汽车租赁有限公司</t>
  </si>
  <si>
    <t>海南天弘亮化工程有限公司</t>
  </si>
  <si>
    <t>海南地是泥实业有限公司</t>
  </si>
  <si>
    <t>武汉市安泰合电子科技工程有限公司海南分公司</t>
  </si>
  <si>
    <t>海南三源网络科技有限公司</t>
  </si>
  <si>
    <t>海口未来伙伴教育科技有限公司</t>
  </si>
  <si>
    <t>海口秀英廖培业门窗加工店</t>
  </si>
  <si>
    <t>海南蓝远梦文化传媒有限公司</t>
  </si>
  <si>
    <t>海南耕海建设工程有限公司</t>
  </si>
  <si>
    <t>湖南新中天防雷检测中心有限公司海口分公司</t>
  </si>
  <si>
    <t>海口华诺广告传媒有限公司</t>
  </si>
  <si>
    <t>海南鑫鑫华泰实业有限公司</t>
  </si>
  <si>
    <t>海南慧高仁信息技术有限公司</t>
  </si>
  <si>
    <t>海南嘉博货运报关代理有限公司</t>
  </si>
  <si>
    <t>海南波华机电设备有限公司</t>
  </si>
  <si>
    <t>海口琼山锦铧修理厂</t>
  </si>
  <si>
    <t>海南博奕教育科技有限公司</t>
  </si>
  <si>
    <t>海口秀英车谊源汽车养护维修服务中心</t>
  </si>
  <si>
    <t>海南衡沣能源科技有限公司</t>
  </si>
  <si>
    <t>海南和善源药业有限公司</t>
  </si>
  <si>
    <t>海南星族网络科技有限公司</t>
  </si>
  <si>
    <t>海南汉拓科技有限公司</t>
  </si>
  <si>
    <t>海南鑫锐达医疗科技发展有限公司</t>
  </si>
  <si>
    <t>诸城市宏利圣得环境科技有限公司海南分公司</t>
  </si>
  <si>
    <t>海口程博科技有限公司</t>
  </si>
  <si>
    <t>海南海商椰网传媒科技有限公司</t>
  </si>
  <si>
    <t>海南湘邦红木家具有限公司</t>
  </si>
  <si>
    <t>海南校安伟业投资管理有限公司</t>
  </si>
  <si>
    <t>海口龙华玲英商行</t>
  </si>
  <si>
    <t>海南连海港航科技有限公司</t>
  </si>
  <si>
    <t>海南普适智能科技有限公司</t>
  </si>
  <si>
    <t>海南明朋环境工程有限公司</t>
  </si>
  <si>
    <t>海口才博广告传媒有限公司</t>
  </si>
  <si>
    <t>海南裕达珠宝品牌管理有限公司</t>
  </si>
  <si>
    <t>海南亚希清洁能源有限公司</t>
  </si>
  <si>
    <t>珠海诚光电力工程有限公司海南分公司</t>
  </si>
  <si>
    <t>海口康沃发电设备有限公司</t>
  </si>
  <si>
    <t>海南创兴高科技有限公司</t>
  </si>
  <si>
    <t>北京立兴创联科技服务有限公司海口分公司</t>
  </si>
  <si>
    <t>海口锐铧鑫钢铁贸易有限公司</t>
  </si>
  <si>
    <t>海南三度文化传播有限公司</t>
  </si>
  <si>
    <t>海南金逸祥科技有限公司</t>
  </si>
  <si>
    <t>海口龙华金祥瑞汽车用品服务中心</t>
  </si>
  <si>
    <t>海南品农汽车服务有限公司</t>
  </si>
  <si>
    <t>海南朴诺科技有限公司</t>
  </si>
  <si>
    <t>海南昌盛计算机科技有限公司</t>
  </si>
  <si>
    <t>海南安世德科技有限公司</t>
  </si>
  <si>
    <t>海南加健生物科技有限公司</t>
  </si>
  <si>
    <t>海南欣恒大实业有限公司</t>
  </si>
  <si>
    <t>海南丰恒环保科技开发有限公司</t>
  </si>
  <si>
    <t>海南康姆帕斯海丁信息技术有限公司</t>
  </si>
  <si>
    <t>海南鑫汇来商贸有限公司</t>
  </si>
  <si>
    <t>海南瑞博电讯服务有限公司</t>
  </si>
  <si>
    <t>海口龙华阳光川崎通用设备经营部</t>
  </si>
  <si>
    <t>海南鑫福宏石业有限公司</t>
  </si>
  <si>
    <t>海南绿生态生物科技有限公司</t>
  </si>
  <si>
    <t>海南正铠实业有限公司</t>
  </si>
  <si>
    <t>海南德信霖教学设备有限公司</t>
  </si>
  <si>
    <t>海南润泽丰农业科技有限公司</t>
  </si>
  <si>
    <t>海口铭之达文化教育设备有限公司</t>
  </si>
  <si>
    <t>海南润心堂文化传播有限公司</t>
  </si>
  <si>
    <t>海南禹泽生态科技发展有限公司</t>
  </si>
  <si>
    <t>祥瑞汽车管理（海南）有限公司</t>
  </si>
  <si>
    <t>海口美兰郭晓手表维修店</t>
  </si>
  <si>
    <t>海南建克房地产营销策划有限公司</t>
  </si>
  <si>
    <t>海口福润德科技有限公司</t>
  </si>
  <si>
    <t>海南臣宇三力士机电设备有限公司</t>
  </si>
  <si>
    <t>海南正兴百利实业有限公司</t>
  </si>
  <si>
    <t>海南巨盛广告有限公司</t>
  </si>
  <si>
    <t>海南逸诚新型建材有限公司</t>
  </si>
  <si>
    <t>海南可玩网络科技有限公司</t>
  </si>
  <si>
    <t>海南美如美意建设工程有限公司</t>
  </si>
  <si>
    <t>海南泰恩斯机电工程有限公司</t>
  </si>
  <si>
    <t>魔豆时代(海口)网络科技有限公司</t>
  </si>
  <si>
    <t>海南煊锋电力工程有限公司</t>
  </si>
  <si>
    <t>海南惠普环境科技有限公司</t>
  </si>
  <si>
    <t>海口市美兰区演丰镇综合行政执法中队</t>
  </si>
  <si>
    <t>海口秉胜科技工程有限公司</t>
  </si>
  <si>
    <t>海南鑫盛维科技有限公司</t>
  </si>
  <si>
    <t>海南腾秀科技有限公司</t>
  </si>
  <si>
    <t>海南邑享酒业有限公司</t>
  </si>
  <si>
    <t>海口龙华帝王园艺</t>
  </si>
  <si>
    <t>海南正兴达网络工程有限公司</t>
  </si>
  <si>
    <t>海南姚之韵园林有限公司</t>
  </si>
  <si>
    <t>海南金泰元贸易有限公司</t>
  </si>
  <si>
    <t>海南车途汽车服务有限公司</t>
  </si>
  <si>
    <t>海南跨通国际贸易有限公司</t>
  </si>
  <si>
    <t>海南政顺通招标代理有限公司</t>
  </si>
  <si>
    <t>海南义正招标代理有限公司</t>
  </si>
  <si>
    <t>海南车聚惠汽车销售有限公司</t>
  </si>
  <si>
    <t>海口君通物流有限公司</t>
  </si>
  <si>
    <t>海南力拓远工程机械有限公司</t>
  </si>
  <si>
    <t>海南城宏伟置业发展有限公司</t>
  </si>
  <si>
    <t>海口龙华滨涯誉万里汽车维修中心</t>
  </si>
  <si>
    <t>海南衡弈汽车发展有限公司</t>
  </si>
  <si>
    <t>海南丰谷农业科技有限公司</t>
  </si>
  <si>
    <t>海南思集网络科技有限公司</t>
  </si>
  <si>
    <t>海南爱妃尔文化传媒有限公司</t>
  </si>
  <si>
    <t>海南思明达计算机网络有限公司</t>
  </si>
  <si>
    <t>海南金禽农业发展有限公司</t>
  </si>
  <si>
    <t>海南九思网络科技有限公司</t>
  </si>
  <si>
    <t>海口美兰满园装饰材料店</t>
  </si>
  <si>
    <t>湖北地信科技集团股份有限公司海南分公司</t>
  </si>
  <si>
    <t>海南嘉蔚医疗器材有限公司</t>
  </si>
  <si>
    <t>海口微帮电器服务有限公司</t>
  </si>
  <si>
    <t>海南中久鼎浩科技有限公司</t>
  </si>
  <si>
    <t>海南超晟地理信息科技有限公司</t>
  </si>
  <si>
    <t>海南欧瑞科斯电子科技有限公司</t>
  </si>
  <si>
    <t>海口金诚意国际贸易有限公司</t>
  </si>
  <si>
    <t>海口永懋装饰工程有限公司</t>
  </si>
  <si>
    <t>海南陈睿印刷有限公司</t>
  </si>
  <si>
    <t>海南大瑜行房地产经纪有限公司</t>
  </si>
  <si>
    <t>重庆大江本大工程机械有限责任公司海南分公司</t>
  </si>
  <si>
    <t>海南星吉源科技有限公司</t>
  </si>
  <si>
    <t>海南悦活旅居服务有限公司</t>
  </si>
  <si>
    <t>海南鲍勃盖力体育产业管理有限公司</t>
  </si>
  <si>
    <t>海南晨宝文具有限公司</t>
  </si>
  <si>
    <t>海口粤洁能环保建材有限公司</t>
  </si>
  <si>
    <t>梦之星体育产业（海南）有限公司</t>
  </si>
  <si>
    <t>海南华南岛物资贸易有限公司</t>
  </si>
  <si>
    <t>海南阳光启航体育发展有限公司</t>
  </si>
  <si>
    <t>海南美丽岛建筑装饰工程有限公司</t>
  </si>
  <si>
    <t>海南安淏源环境科技开发有限公司</t>
  </si>
  <si>
    <t>海南旗骏工程技术服务有限公司</t>
  </si>
  <si>
    <t>海南八圆汽车服务有限公司</t>
  </si>
  <si>
    <t>海口威迩福实业有限公司</t>
  </si>
  <si>
    <t>海南伟联中道路交通设施有限公司</t>
  </si>
  <si>
    <t>海南大娃信息科技有限公司</t>
  </si>
  <si>
    <t>海南清洁之家互联网科技有限公司</t>
  </si>
  <si>
    <t>中物联规划设计研究院有限公司海南分公司</t>
  </si>
  <si>
    <t>海口秀英王宏霞钣金油漆中心</t>
  </si>
  <si>
    <t>海南驰悦科技有限公司</t>
  </si>
  <si>
    <t>海南小松鼠电动车有限公司</t>
  </si>
  <si>
    <t>海南恭喜发财电动科技有限公司</t>
  </si>
  <si>
    <t>海南水漪叶茂园林工程有限公司</t>
  </si>
  <si>
    <t>海南盒马网络科技有限公司</t>
  </si>
  <si>
    <t>海南滨迪家居有限公司</t>
  </si>
  <si>
    <t>海南光量投资有限公司</t>
  </si>
  <si>
    <t>海口琼山高顺发汽车修理厂</t>
  </si>
  <si>
    <t>海南伍仕科技有限公司</t>
  </si>
  <si>
    <t>海南森普装饰建材有限公司</t>
  </si>
  <si>
    <t>海南热岛制冷设备工程有限公司</t>
  </si>
  <si>
    <t>海南弘奇祥通信工程有限公司</t>
  </si>
  <si>
    <t>海南新城邦拆迁工程有限公司</t>
  </si>
  <si>
    <t>海南鑫绿奥环保科技有限公司</t>
  </si>
  <si>
    <t>海南合成科技有限公司</t>
  </si>
  <si>
    <t>海口佳麒美广告有限公司</t>
  </si>
  <si>
    <t>海南易成汽车贸易服务有限公司</t>
  </si>
  <si>
    <t>海南源创环境工程有限公司</t>
  </si>
  <si>
    <t>海口蓝金盾消防工程有限公司</t>
  </si>
  <si>
    <t>海南三大壮林业开发有限公司</t>
  </si>
  <si>
    <t>北京人天书店有限公司海口分公司</t>
  </si>
  <si>
    <t>海南宏海润实业发展有限公司</t>
  </si>
  <si>
    <t>海南沃菲斯家具有限公司</t>
  </si>
  <si>
    <t>海南腾达精工汽车维修养护有限公司</t>
  </si>
  <si>
    <t>海南通泰达洋电器有限公司</t>
  </si>
  <si>
    <t>海口紫贝银通商务服务有限公司</t>
  </si>
  <si>
    <t>中电科海洋信息技术研究院有限公司海口分公司</t>
  </si>
  <si>
    <t>海口正谷米业有限公司</t>
  </si>
  <si>
    <t>海南南方尖端制冷工程有限公司</t>
  </si>
  <si>
    <t>海南蜂星事达电讯有限公司海口客户服务中心</t>
  </si>
  <si>
    <t>海南安居乐环保科技有限公司</t>
  </si>
  <si>
    <t>海南米创科技有限公司</t>
  </si>
  <si>
    <t>海口思铭实业有限公司</t>
  </si>
  <si>
    <t>海口白加黑豆制品有限公司</t>
  </si>
  <si>
    <t>海口芬芬达汽车服务有限公司</t>
  </si>
  <si>
    <t>海南鹏铭制冷设备工程有限公司</t>
  </si>
  <si>
    <t>海南中科通航产业园投资有限公司</t>
  </si>
  <si>
    <t>海南兴扬琦财务咨询有限公司</t>
  </si>
  <si>
    <t>海口律声乐器有限公司</t>
  </si>
  <si>
    <t>海南秀彩信息技术有限公司</t>
  </si>
  <si>
    <t>海南泰克机电设备有限公司</t>
  </si>
  <si>
    <t>海南韦艾克国际贸易有限公司</t>
  </si>
  <si>
    <t>海南美域文化传媒有限公司</t>
  </si>
  <si>
    <t>海南珩盛合科技有限公司</t>
  </si>
  <si>
    <t>海南露雪园艺有限公司</t>
  </si>
  <si>
    <t>中航长城大地建工集团南亚建设有限公司</t>
  </si>
  <si>
    <t>海南靓尔雅服饰有限公司</t>
  </si>
  <si>
    <t>海口君上网络科技有限公司</t>
  </si>
  <si>
    <t>海南盛世大有物业服务有限公司</t>
  </si>
  <si>
    <t>海南省创启中小企业服务有限公司</t>
  </si>
  <si>
    <t>海南省福道汽车服务有限公司天英店</t>
  </si>
  <si>
    <t>海南富士多机电设备工程有限公司</t>
  </si>
  <si>
    <t>海南环岛农夫实业有限公司</t>
  </si>
  <si>
    <t>海南乡域花田农业项目开发有限公司</t>
  </si>
  <si>
    <t>海南海合天装饰设计工程有限公司</t>
  </si>
  <si>
    <t>海南润喜汽车销售服务有限公司</t>
  </si>
  <si>
    <t>海南宇东乾信息科技有限公司</t>
  </si>
  <si>
    <t>江苏文博建筑设计有限公司海南分公司</t>
  </si>
  <si>
    <t>四川永鸿测绘有限公司海南分公司</t>
  </si>
  <si>
    <t>海南知书达多媒体电教设备有限公司</t>
  </si>
  <si>
    <t>海南知凡贸易有限公司</t>
  </si>
  <si>
    <t>海南宏衍达消防工程有限公司</t>
  </si>
  <si>
    <t>海口博熙信息科技有限公司</t>
  </si>
  <si>
    <t>海南青柚文化发展有限公司</t>
  </si>
  <si>
    <t>海南海府鸽肴生态鸽业有限公司</t>
  </si>
  <si>
    <t>海南达联电力工程有限公司</t>
  </si>
  <si>
    <t>海南双梦再生资源有限公司</t>
  </si>
  <si>
    <t>海南帕伽索斯艺术文化网络传播有限公司</t>
  </si>
  <si>
    <t>海南澳唯医疗器械有限公司</t>
  </si>
  <si>
    <t>海南康丞贸易有限公司</t>
  </si>
  <si>
    <t>海南微闪电子科技开发有限公司</t>
  </si>
  <si>
    <t>海南颂艺信息科技有限公司</t>
  </si>
  <si>
    <t>海南悦瀚景养殖有限公司</t>
  </si>
  <si>
    <t>海南宥怡电气设备有限公司</t>
  </si>
  <si>
    <t>海口圆坤装修工程有限公司</t>
  </si>
  <si>
    <t>海南岳翔网络信息科技有限公司</t>
  </si>
  <si>
    <t>海南力艮贸易有限公司</t>
  </si>
  <si>
    <t>海南晶创实业有限公司</t>
  </si>
  <si>
    <t>海南敏敏科技有限公司</t>
  </si>
  <si>
    <t>海口琼山秀秀天下服装店</t>
  </si>
  <si>
    <t>海南依芙丽科技有限公司</t>
  </si>
  <si>
    <t>海南驰骏实业有限公司</t>
  </si>
  <si>
    <t>海南长和福实业有限公司</t>
  </si>
  <si>
    <t>海南帕菲特环保科技有限公司</t>
  </si>
  <si>
    <t>海南瑞龙智能科技有限公司</t>
  </si>
  <si>
    <t>海南琼莱生物科技有限公司</t>
  </si>
  <si>
    <t>海南这里有味实业有限公司</t>
  </si>
  <si>
    <t>海南泉湘实业有限公司</t>
  </si>
  <si>
    <t>广州市适然环境工程技术有限公司海南分公司</t>
  </si>
  <si>
    <t>海南烽华通迅网络设备有限公司</t>
  </si>
  <si>
    <t>海南皓牛实业发展集团有限公司</t>
  </si>
  <si>
    <t>海南万富嘉实业有限公司</t>
  </si>
  <si>
    <t>华阳禾风（海南）农业开发有限公司</t>
  </si>
  <si>
    <t>海口恒升食品有限公司</t>
  </si>
  <si>
    <t>海南丰邦地坪工程有限公司</t>
  </si>
  <si>
    <t>海南丰邦建材科技有限公司</t>
  </si>
  <si>
    <t>海南腾远科技有限公司</t>
  </si>
  <si>
    <t>海口飞旺贸易有限公司</t>
  </si>
  <si>
    <t>海口黄卓建材贸易有限公司</t>
  </si>
  <si>
    <t>海南通联创科技有限公司</t>
  </si>
  <si>
    <t>海南鑫华联科技有限公司</t>
  </si>
  <si>
    <t>海口兴美达信息科技有限公司</t>
  </si>
  <si>
    <t>海南云帮科技有限公司</t>
  </si>
  <si>
    <t>海口雨辰保洁服务有限公司</t>
  </si>
  <si>
    <t>海南亚晨网络科技有限公司</t>
  </si>
  <si>
    <t>海南德林科技有限公司</t>
  </si>
  <si>
    <t>海南凤鸣谷植保科技有限公司</t>
  </si>
  <si>
    <t>世诺集团有限公司</t>
  </si>
  <si>
    <t>海南聚匠网网络科技有限公司</t>
  </si>
  <si>
    <t>海南在荣实业有限公司</t>
  </si>
  <si>
    <t>龙图腾（海南）网络竞技有限公司</t>
  </si>
  <si>
    <t>海口车百捷汽车维修服务有限公司</t>
  </si>
  <si>
    <t>海口锐鹰汽车服务有限公司</t>
  </si>
  <si>
    <t>海口德真建材贸易有限公司</t>
  </si>
  <si>
    <t>海南浩诚电器配套工程有限公司</t>
  </si>
  <si>
    <t>海南裕大钢结构有限公司</t>
  </si>
  <si>
    <t>山东儒房融科网络科技股份有限公司海南分公司</t>
  </si>
  <si>
    <t>海南鑫华瑞达贸易有限公司</t>
  </si>
  <si>
    <t>海南吉乐新能源有限公司</t>
  </si>
  <si>
    <t>海南品宏幕墙工程有限公司</t>
  </si>
  <si>
    <t>海口美兰讯富汽修中心</t>
  </si>
  <si>
    <t>海南菲尔伯特进出口贸易有限公司</t>
  </si>
  <si>
    <t>海南均诚信玻璃钢制品有限公司</t>
  </si>
  <si>
    <t>贝仕特（海南）中医药投资管理有限公司</t>
  </si>
  <si>
    <t>海南张平兄弟汽车服务有限公司</t>
  </si>
  <si>
    <t>海南宝创建筑装饰工程有限公司</t>
  </si>
  <si>
    <t>格律药业有限公司</t>
  </si>
  <si>
    <t>海口龙华安定堂不锈钢门窗加工部</t>
  </si>
  <si>
    <t>海口顺心机电设备有限公司</t>
  </si>
  <si>
    <t>海南艾特信息科技有限公司</t>
  </si>
  <si>
    <t>海南欣祥丰贸易有限公司</t>
  </si>
  <si>
    <t>海南海帆网络科技有限公司</t>
  </si>
  <si>
    <t>海口澎渤生物科技有限公司</t>
  </si>
  <si>
    <t>海南昌喜装饰工程有限公司</t>
  </si>
  <si>
    <t>海南山湖物业服务有限公司</t>
  </si>
  <si>
    <t>海口凌晨网络科技有限公司</t>
  </si>
  <si>
    <t>海南鑫信翔二手车交易有限公司</t>
  </si>
  <si>
    <t>海口市华师京城网络有限公司</t>
  </si>
  <si>
    <t>海南奉民生态环保科技有限公司</t>
  </si>
  <si>
    <t>海口艺超放射防护工程技术有限公司</t>
  </si>
  <si>
    <t>海南建晟科技有限公司</t>
  </si>
  <si>
    <t>海南斯美乐汽车服务有限公司</t>
  </si>
  <si>
    <t>海南金益鑫建筑劳务有限公司</t>
  </si>
  <si>
    <t>海南车易道贸易有限公司</t>
  </si>
  <si>
    <t>海南富怡物业管理有限公司</t>
  </si>
  <si>
    <t>海南鑫沌技术服务开发有限公司</t>
  </si>
  <si>
    <t>海南优米良贸易有限公司</t>
  </si>
  <si>
    <t>海南碧瑞生化科技有限公司</t>
  </si>
  <si>
    <t>海南行迈文化体育发展有限公司</t>
  </si>
  <si>
    <t>海南卓越生活农业科技发展有限公司</t>
  </si>
  <si>
    <t>海口秉泰贸易有限公司</t>
  </si>
  <si>
    <t>中菲（海南）海洋实业有限公司</t>
  </si>
  <si>
    <t>海南聚理群贸易有限公司</t>
  </si>
  <si>
    <t>海南皖峰建材有限公司</t>
  </si>
  <si>
    <t>海口鑫理佳图文广告有限公司</t>
  </si>
  <si>
    <t>广州市海奕电子科技有限公司海南分公司</t>
  </si>
  <si>
    <t>海南昶皓贸易有限公司</t>
  </si>
  <si>
    <t>海南仡良科技有限公司</t>
  </si>
  <si>
    <t>海口琼山友邦汽车维修中心</t>
  </si>
  <si>
    <t>海南立锐电气管材有限公司</t>
  </si>
  <si>
    <t>广州中海达测绘科技有限公司海南分公司</t>
  </si>
  <si>
    <t>海口方圆海洋生物科技有限公司</t>
  </si>
  <si>
    <t>海南省博测计量检测技术有限公司</t>
  </si>
  <si>
    <t>海南金沃辰新型建材有限公司</t>
  </si>
  <si>
    <t>海口美兰幸福西饼坊</t>
  </si>
  <si>
    <t>海口豪谊科技有限公司</t>
  </si>
  <si>
    <t>海南元正兴新能源科技有限公司</t>
  </si>
  <si>
    <t>海南三营兴汽修有限公司</t>
  </si>
  <si>
    <t>海南宝德金属制品有限公司</t>
  </si>
  <si>
    <t>海口溢捷文化传播有限公司</t>
  </si>
  <si>
    <t>海南米希餐饮管理有限公司</t>
  </si>
  <si>
    <t>海口汇尚源广告有限公司</t>
  </si>
  <si>
    <t>海南驿驰乐汽车服务有限公司滨江帝景分公司</t>
  </si>
  <si>
    <t>海南好享信息技术有限公司</t>
  </si>
  <si>
    <t>海南天弘伟业信息咨询有限公司</t>
  </si>
  <si>
    <t>海口秀英新新雄汽车修理厂</t>
  </si>
  <si>
    <t>瀚景项目管理有限公司海南瑞旭分公司</t>
  </si>
  <si>
    <t>海南首创设计装饰有限公司</t>
  </si>
  <si>
    <t>海南来创科技信息有限公司</t>
  </si>
  <si>
    <t>海南乐群实业有限公司</t>
  </si>
  <si>
    <t>海南中盛园林绿化工程有限公司</t>
  </si>
  <si>
    <t>海南宏升钢构广告有限公司</t>
  </si>
  <si>
    <t>海南省融中兴华网络科技有限公司</t>
  </si>
  <si>
    <t>海口福满垚服饰贸易有限公司</t>
  </si>
  <si>
    <t>海南昊晨装饰装修工程有限公司</t>
  </si>
  <si>
    <t>海口美兰思辉通讯服务部</t>
  </si>
  <si>
    <t>海南琼狮鼎盛影视文化传媒有限公司</t>
  </si>
  <si>
    <t>海南中顺瀚海文化传播有限公司</t>
  </si>
  <si>
    <t>海南宸翰汽车服务有限公司</t>
  </si>
  <si>
    <t>海口莉庭餐饮管理有限公司</t>
  </si>
  <si>
    <t>海口洲际食品有限公司</t>
  </si>
  <si>
    <t>海南雷公马广告有限公司</t>
  </si>
  <si>
    <t>海口安盾网络科技有限公司</t>
  </si>
  <si>
    <t>海南合展汽车销售有限公司</t>
  </si>
  <si>
    <t>海南冰纷畅意贸易有限公司</t>
  </si>
  <si>
    <t>海南长果农业开发有限公司</t>
  </si>
  <si>
    <t>海南奇璞贸易有限公司</t>
  </si>
  <si>
    <t>海南坦程智能网络科技有限公司</t>
  </si>
  <si>
    <t>海南科越网络科技有限公司</t>
  </si>
  <si>
    <t>海南宏发源医疗设备维修服务有限公司</t>
  </si>
  <si>
    <t>海南腾寅文化传媒有限公司</t>
  </si>
  <si>
    <t>海南君邑实业有限公司</t>
  </si>
  <si>
    <t>海南友久久胶粘带制品有限公司</t>
  </si>
  <si>
    <t>海南崖香文化传播有限公司</t>
  </si>
  <si>
    <t>海南军长源液压机电设备有限公司</t>
  </si>
  <si>
    <t>海南悦景科技有限公司</t>
  </si>
  <si>
    <t>海南鑫椎隆园林有限公司</t>
  </si>
  <si>
    <t>海南技创广告有限公司</t>
  </si>
  <si>
    <t>海南兴成泰科技有限公司</t>
  </si>
  <si>
    <t>海南盈智科技有限公司</t>
  </si>
  <si>
    <t>海南广翌隆科贸有限公司</t>
  </si>
  <si>
    <t>海南盒马网络科技有限公司海口国贸分公司</t>
  </si>
  <si>
    <t>海南速星网络科技有限公司</t>
  </si>
  <si>
    <t>海南瑞沁网络传媒有限公司</t>
  </si>
  <si>
    <t>海南春语联萌房地产营销策划有限公司</t>
  </si>
  <si>
    <t>海南余香食品有限公司</t>
  </si>
  <si>
    <t>海南红三维装饰设计工程有限公司</t>
  </si>
  <si>
    <t>海口亨大轮胎贸易有限公司</t>
  </si>
  <si>
    <t>海南椰屿坊食品有限公司</t>
  </si>
  <si>
    <t>海南易挖宝科技有限公司</t>
  </si>
  <si>
    <t>海南铂隆通信工程有限公司</t>
  </si>
  <si>
    <t>海南微旅网络科技有限公司</t>
  </si>
  <si>
    <t>河南省铁山起重设备有限公司海口分公司</t>
  </si>
  <si>
    <t>海南鑫华丽彩色印刷有限公司</t>
  </si>
  <si>
    <t>海南时代兴能源科技有限公司</t>
  </si>
  <si>
    <t>海口秀英达乙汽车修理厂</t>
  </si>
  <si>
    <t>海口保税区园昊贸易有限公司</t>
  </si>
  <si>
    <t>海南梦之家酒店管理有限公司</t>
  </si>
  <si>
    <t>海南海供农村综合服务运营管理有限公司</t>
  </si>
  <si>
    <t>万颂壹（海南）食品科技有限公司</t>
  </si>
  <si>
    <t>海南逍遥行汽车维修服务有限公司</t>
  </si>
  <si>
    <t>海南正德龙环保科技有限公司</t>
  </si>
  <si>
    <t>海南煜鼎贸易有限公司</t>
  </si>
  <si>
    <t>葛洲坝（海口）水环境治理投资有限公司</t>
  </si>
  <si>
    <t>海南乾多多贸易有限公司</t>
  </si>
  <si>
    <t>海南巴豆荚医疗科技有限公司</t>
  </si>
  <si>
    <t>海口中鼎信贸易有限公司</t>
  </si>
  <si>
    <t>海南磐基置业有限公司</t>
  </si>
  <si>
    <t>海南聚火教育咨询服务有限公司</t>
  </si>
  <si>
    <t>海南海顺利网络科技有限公司</t>
  </si>
  <si>
    <t>海南和而不同品牌策划有限公司</t>
  </si>
  <si>
    <t>海南雄原源水产养殖有限公司</t>
  </si>
  <si>
    <t>海南晟宸得实网络科技有限公司</t>
  </si>
  <si>
    <t>海口美兰文志通讯商行</t>
  </si>
  <si>
    <t>海南梅兰日兰电气有限公司</t>
  </si>
  <si>
    <t>千千世界（海南）科技有限公司</t>
  </si>
  <si>
    <t>海口众杰汽车维修服务有限公司</t>
  </si>
  <si>
    <t>海南翔天联志网络工程有限公司</t>
  </si>
  <si>
    <t>海南有棵树农业有限公司</t>
  </si>
  <si>
    <t>海南鑫异华科技有限公司</t>
  </si>
  <si>
    <t>海南聚众盈通科技有限公司</t>
  </si>
  <si>
    <t>海南俊丰汽车服务有限公司</t>
  </si>
  <si>
    <t>海南合顺汽车租赁有限公司</t>
  </si>
  <si>
    <t>海南方联项目管理有限公司</t>
  </si>
  <si>
    <t>舞尖（海南）艺术培训有限公司</t>
  </si>
  <si>
    <t>海南钟楼电线电缆有限公司</t>
  </si>
  <si>
    <t>海南智悦幕墙门窗工程有限公司</t>
  </si>
  <si>
    <t>海南科振物流有限公司</t>
  </si>
  <si>
    <t>海南千马新能源科技有限公司</t>
  </si>
  <si>
    <t>海南蓝美翼新能源汽车销售有限公司</t>
  </si>
  <si>
    <t>海南领途汽车销售服务有限公司</t>
  </si>
  <si>
    <t>海南万吉隆家具有限公司</t>
  </si>
  <si>
    <t>海口源丰泰电器维修有限公司</t>
  </si>
  <si>
    <t>海南恒镇实业有限公司</t>
  </si>
  <si>
    <t>海南奥创企业管理集团有限公司</t>
  </si>
  <si>
    <t>海南正修堂健康管理有限公司</t>
  </si>
  <si>
    <t>海口李佳养殖业有限公司</t>
  </si>
  <si>
    <t>海南富邦伟业汽车销售有限公司</t>
  </si>
  <si>
    <t>海口飞歌废旧物资回收有限公司</t>
  </si>
  <si>
    <t>海南雁龙生物医药科技有限公司</t>
  </si>
  <si>
    <t>海南爽飒飒制冷设备安装维修有限公司</t>
  </si>
  <si>
    <t>海南筑家机电设备有限公司</t>
  </si>
  <si>
    <t>海南迪威弗消防设备有限公司</t>
  </si>
  <si>
    <t>海南唐华区块链有限公司</t>
  </si>
  <si>
    <t>海南博泰信通科技有限公司</t>
  </si>
  <si>
    <t>海南鹰诺消防设备有限公司</t>
  </si>
  <si>
    <t>海南鑫纳特商务服务有限公司</t>
  </si>
  <si>
    <t>海南科瑞特教育科技有限公司</t>
  </si>
  <si>
    <t>海南辉成木业有限公司</t>
  </si>
  <si>
    <t>海口伽德宝汽车修理服务有限公司</t>
  </si>
  <si>
    <t>海南聚信盛康医疗信息技术服务有限公司</t>
  </si>
  <si>
    <t>海南峻锦锅炉维护服务有限公司</t>
  </si>
  <si>
    <t>海南唯康企业管理有限公司</t>
  </si>
  <si>
    <t>海南君安万福汽车服务有限公司</t>
  </si>
  <si>
    <t>海南华视卫星电视广播服务有限公司</t>
  </si>
  <si>
    <t>海南南滴网约车服务有限公司</t>
  </si>
  <si>
    <t>海南富制御电梯有限公司</t>
  </si>
  <si>
    <t>海南润佳源实业有限公司</t>
  </si>
  <si>
    <t>海南荣创环境科技有限公司</t>
  </si>
  <si>
    <t>海口启澄鑫科技有限公司</t>
  </si>
  <si>
    <t>海口市富民汽车服务有限公司</t>
  </si>
  <si>
    <t>海南骅美汽车销售服务有限公司</t>
  </si>
  <si>
    <t>海南蓝冰酒庄有限公司</t>
  </si>
  <si>
    <t>海南皓然贸易有限公司</t>
  </si>
  <si>
    <t>海南东君朗姆酒有限公司</t>
  </si>
  <si>
    <t>海南天然智慧生物科技有限公司</t>
  </si>
  <si>
    <t>海南倍莹通信技术有限公司</t>
  </si>
  <si>
    <t>海南香府香成文化传播有限公司</t>
  </si>
  <si>
    <t>海南中场体育科技有限公司</t>
  </si>
  <si>
    <t>海南华荣大药房连锁有限公司</t>
  </si>
  <si>
    <t>海南明昌云贸易有限公司</t>
  </si>
  <si>
    <t>海南联达通汽车销售服务有限公司</t>
  </si>
  <si>
    <t>海南安意家网络科技有限公司</t>
  </si>
  <si>
    <t>海南大南农生物工程研究所（普通合伙）</t>
  </si>
  <si>
    <t>海南羿彩家政服务有限公司</t>
  </si>
  <si>
    <t>海口花甜喜事婚庆策划有限公司</t>
  </si>
  <si>
    <t>海口广一泵机电设备有限公司</t>
  </si>
  <si>
    <t>海南湘泉太阳能水塔工程有限公司</t>
  </si>
  <si>
    <t>海南轩然汽车用品有限公司</t>
  </si>
  <si>
    <t>海南利友假肢矫形有限公司</t>
  </si>
  <si>
    <t>海南钟堡木业有限公司</t>
  </si>
  <si>
    <t>海南圣才科技有限公司</t>
  </si>
  <si>
    <t>海南华智信医疗科技服务有限公司</t>
  </si>
  <si>
    <t>海南宝柯马网络科技有限公司</t>
  </si>
  <si>
    <t>海南富冠医疗科技有限公司</t>
  </si>
  <si>
    <t>海南绿知蔓保洁服务有限公司</t>
  </si>
  <si>
    <t>海南鑫荣盛贸易有限公司</t>
  </si>
  <si>
    <t>海口安策汽车检测服务有限公司</t>
  </si>
  <si>
    <t>海口道衍实业有限公司</t>
  </si>
  <si>
    <t>海南风无行网络科技有限公司</t>
  </si>
  <si>
    <t>海南人和聚鑫源工贸有限公司</t>
  </si>
  <si>
    <t>海南梦亚农业科技投资有限公司</t>
  </si>
  <si>
    <t>海口龙华美兰斯特家具沙发翻新厂</t>
  </si>
  <si>
    <t>海南振申物业服务有限公司</t>
  </si>
  <si>
    <t>海南好吃帝网络科技有限公司</t>
  </si>
  <si>
    <t>海南弘鑫盛景电子科技有限公司</t>
  </si>
  <si>
    <t>海口鑫盛佳装饰工程有限公司</t>
  </si>
  <si>
    <t>海口市康乐食品有限公司</t>
  </si>
  <si>
    <t>海南天釉广告传媒有限公司</t>
  </si>
  <si>
    <t>海南广利科技发展有限公司</t>
  </si>
  <si>
    <t>海南盛之捷信息工程有限公司</t>
  </si>
  <si>
    <t>海南丰益德新型环保建材有限公司</t>
  </si>
  <si>
    <t>海南后顾无忧网络科技有限公司</t>
  </si>
  <si>
    <t>海口道义盛绿化养护服务有限公司</t>
  </si>
  <si>
    <t>海南港享区块链技术有限公司</t>
  </si>
  <si>
    <t>海南格誉科技有限公司</t>
  </si>
  <si>
    <t>海南旭辉体育设施有限公司</t>
  </si>
  <si>
    <t>鲸准应急科技（海南）有限公司</t>
  </si>
  <si>
    <t>海南自贸区赛罗比雅生物科技有限公司</t>
  </si>
  <si>
    <t>海南海霞工贸有限公司海口分公司</t>
  </si>
  <si>
    <t>海南华量测绘仪器有限公司</t>
  </si>
  <si>
    <t>海南众点文体产业有限公司</t>
  </si>
  <si>
    <t>海南铭澜安防科技有限公司</t>
  </si>
  <si>
    <t>海南乐典艺术文化有限公司</t>
  </si>
  <si>
    <t>海南水润诗环保科技有限公司</t>
  </si>
  <si>
    <t>海南金米环境科技有限公司</t>
  </si>
  <si>
    <t>筑力（福建）建设发展有限公司海南分公司</t>
  </si>
  <si>
    <t>海口天安之家健康咨询服务有限公司</t>
  </si>
  <si>
    <t>海南树诚信达食品有限公司</t>
  </si>
  <si>
    <t>海南慢点茶业有限公司</t>
  </si>
  <si>
    <t>海南熙保实业有限公司</t>
  </si>
  <si>
    <t>海南苏泰文教实业有限公司</t>
  </si>
  <si>
    <t>海口源慧信息科技有限公司</t>
  </si>
  <si>
    <t>海南森润沉香生物科技有限公司</t>
  </si>
  <si>
    <t>海南万钧食品有限公司</t>
  </si>
  <si>
    <t>海南晟图测绘有限公司</t>
  </si>
  <si>
    <t>海口虹湾电器有限公司</t>
  </si>
  <si>
    <t>海南悦然环保科技有限公司</t>
  </si>
  <si>
    <t>海南省中喜乐电子竞技有限公司</t>
  </si>
  <si>
    <t>海南冰点在线贸易有限公司</t>
  </si>
  <si>
    <t>海口许氏嘉业五金机电有限公司</t>
  </si>
  <si>
    <t>海南乾元物语文化传媒有限公司</t>
  </si>
  <si>
    <t>海南俊豪农业开发有限公司</t>
  </si>
  <si>
    <t>海南昱轩农业科技有限公司</t>
  </si>
  <si>
    <t>海南追牛国际旅行社有限公司</t>
  </si>
  <si>
    <t>海口明康晋实业有限公司</t>
  </si>
  <si>
    <t>海南禾创网络传媒有限公司</t>
  </si>
  <si>
    <t>海口三利海船舶工程有限公司</t>
  </si>
  <si>
    <t>海南高科达实业有限公司</t>
  </si>
  <si>
    <t>海口熙戊计算机网络科技有限公司</t>
  </si>
  <si>
    <t>海口奥希特计算机网络科技有限公司</t>
  </si>
  <si>
    <t>野牛创意（海南）文化传媒有限公司</t>
  </si>
  <si>
    <t>野牛互动（海南）数字营销有限公司</t>
  </si>
  <si>
    <t>海南中子达汽车租赁有限公司</t>
  </si>
  <si>
    <t>海南丹青文化传媒有限公司</t>
  </si>
  <si>
    <t>海南步阳忠兴科技工程有限公司</t>
  </si>
  <si>
    <t>海南正东雄科技有限公司</t>
  </si>
  <si>
    <t>海南金锐声音响设备有限公司</t>
  </si>
  <si>
    <t>海南黑豹汽车销售有限公司</t>
  </si>
  <si>
    <t>海口家宝康环保科技有限公司</t>
  </si>
  <si>
    <t>海南椰城汇网络科技有限公司</t>
  </si>
  <si>
    <t>海南创莱科技发展有限公司</t>
  </si>
  <si>
    <t>海南祺宾网络科技有限公司</t>
  </si>
  <si>
    <t>海南海想特种装备有限公司</t>
  </si>
  <si>
    <t>海南磐远环保科技有限公司</t>
  </si>
  <si>
    <t>海南九道生物科技有限公司</t>
  </si>
  <si>
    <t>海南富丽多农副产品有限公司</t>
  </si>
  <si>
    <t>海南富尼数字科技有限公司</t>
  </si>
  <si>
    <t>海南鸥椰科技有限公司</t>
  </si>
  <si>
    <t>海南隆海国创环保科技有限公司</t>
  </si>
  <si>
    <t>海口中奇意技术服务有限公司</t>
  </si>
  <si>
    <t>海南倬和缘实业有限公司</t>
  </si>
  <si>
    <t>海南以洁科技有限公司</t>
  </si>
  <si>
    <t>海口元兴广告有限公司</t>
  </si>
  <si>
    <t>海南杰德特种汽车科技有限公司</t>
  </si>
  <si>
    <t>海南康勋医疗器械有限公司</t>
  </si>
  <si>
    <t>海南百泰江东科技有限公司</t>
  </si>
  <si>
    <t>海南轻拭界科技有限公司</t>
  </si>
  <si>
    <t>海口祥真汽车贸易服务有限公司</t>
  </si>
  <si>
    <t>海南联森文化传媒有限公司</t>
  </si>
  <si>
    <t>海南西沙诺丽生物科技有限公司海口分公司</t>
  </si>
  <si>
    <t>海南车品惠汽车服务有限公司</t>
  </si>
  <si>
    <t>海南好管家家政服务有限公司</t>
  </si>
  <si>
    <t>海南海岛千寻网络科技有限公司</t>
  </si>
  <si>
    <t>海南蚂蚁力士起重设备有限公司</t>
  </si>
  <si>
    <t>海南兴盛易购商贸有限公司</t>
  </si>
  <si>
    <t>海南德兆农林开发有限公司</t>
  </si>
  <si>
    <t>海南椰牛食品有限公司</t>
  </si>
  <si>
    <t>海南昌园昌绿化苗木有限公司</t>
  </si>
  <si>
    <t>海口润康鸿达实业有限公司</t>
  </si>
  <si>
    <t>海南鑫虎牙网络传媒有限公司</t>
  </si>
  <si>
    <t>国老健（海南）康养产业有限公司</t>
  </si>
  <si>
    <t>海南永亿塑业有限公司</t>
  </si>
  <si>
    <t>海南阳光能量食品有限公司</t>
  </si>
  <si>
    <t>海口峡江源园林工程有限公司</t>
  </si>
  <si>
    <t>海南骄子鼎天体育文化发展有限公司</t>
  </si>
  <si>
    <t>海南宗能粮油进出口贸易有限公司</t>
  </si>
  <si>
    <t>海南锦珀利酒店管理有限公司</t>
  </si>
  <si>
    <t>海口市海秀综合加工厂</t>
  </si>
  <si>
    <t>海南正崇信息技术有限公司</t>
  </si>
  <si>
    <t>海口如启木业有限公司</t>
  </si>
  <si>
    <t>壹美健康产业投资（海南）有限公司</t>
  </si>
  <si>
    <t>海南聚升德贸易有限公司</t>
  </si>
  <si>
    <t>海南舒洁纸业有限公司</t>
  </si>
  <si>
    <t>海口全意服物业服务有限公司</t>
  </si>
  <si>
    <t>海南和易健康科技有限公司</t>
  </si>
  <si>
    <t>海口秀英集之美家具加工厂</t>
  </si>
  <si>
    <t>海口秀英白师付门窗加工店</t>
  </si>
  <si>
    <t>海南佳圣信息科技有限公司</t>
  </si>
  <si>
    <t>海南宣影文化传媒有限公司</t>
  </si>
  <si>
    <t>海口保税区信达泰富贸易有限公司</t>
  </si>
  <si>
    <t>海南水元素体育文化服务有限公司</t>
  </si>
  <si>
    <t>海南万雄实业发展有限公司</t>
  </si>
  <si>
    <t>海南汽车小镇经营管理有限公司</t>
  </si>
  <si>
    <t>海南新肥码头农业发展有限公司</t>
  </si>
  <si>
    <t>海南虎拜汽车服务连锁有限公司秀英店</t>
  </si>
  <si>
    <t>海口美兰和风江岸车宏汽车服务中心</t>
  </si>
  <si>
    <t>海南千同科技有限公司</t>
  </si>
  <si>
    <t>海南南晖社会经济咨询有限公司</t>
  </si>
  <si>
    <t>海南绿境高科环保有限公司</t>
  </si>
  <si>
    <t>海南马业文化发展有限公司</t>
  </si>
  <si>
    <t>海口裕福隆贸易有限公司</t>
  </si>
  <si>
    <t>海南迪奥普科技有限公司</t>
  </si>
  <si>
    <t>海南慧可达科技有限公司</t>
  </si>
  <si>
    <t>海南民生城乡燃气有限公司</t>
  </si>
  <si>
    <t>海南立泛家居配套材料有限公司</t>
  </si>
  <si>
    <t>海南思维云智能科技有限公司</t>
  </si>
  <si>
    <t>盟邦文化传播（海南）有限公司</t>
  </si>
  <si>
    <t>海南纽卡科技有限公司</t>
  </si>
  <si>
    <t>海南云锦信息技术有限公司</t>
  </si>
  <si>
    <t>海南汀罗山绿色农业发展有限公司</t>
  </si>
  <si>
    <t>海南瑞丰源餐饮管理有限公司</t>
  </si>
  <si>
    <t>海南青元安防科技有限公司</t>
  </si>
  <si>
    <t>海口德盈金厢式移动板房有限公司</t>
  </si>
  <si>
    <t>海南顺翊贸易有限公司</t>
  </si>
  <si>
    <t>海南美誉沣达文化传播有限公司</t>
  </si>
  <si>
    <t>海南自贸区寿宇物联网科技有限公司</t>
  </si>
  <si>
    <t>海口君宝宇实业有限公司</t>
  </si>
  <si>
    <t>海南丁当软件科技有限公司</t>
  </si>
  <si>
    <t>海南仁源环境科技有限公司</t>
  </si>
  <si>
    <t>海口豪日锋汽车服务有限公司</t>
  </si>
  <si>
    <t>海南纳福人力资源服务有限公司</t>
  </si>
  <si>
    <t>海口金鹿矿泉饮料有限公司海玻分公司</t>
  </si>
  <si>
    <t>溧阳顺达电梯安装有限公司海南分公司</t>
  </si>
  <si>
    <t>海南万众家园生物防治有限公司</t>
  </si>
  <si>
    <t>海南汇亚电缆有限公司</t>
  </si>
  <si>
    <t>海南汇安科技有限公司</t>
  </si>
  <si>
    <t>海南鑫森域实业有限公司</t>
  </si>
  <si>
    <t>海南云海粤林业有限公司</t>
  </si>
  <si>
    <t>海口鸿焱贸易有限公司</t>
  </si>
  <si>
    <t>海南联界未来科技有限公司</t>
  </si>
  <si>
    <t>海南杨甲食品有限公司</t>
  </si>
  <si>
    <t>海南惠宏民健康咨询有限公司</t>
  </si>
  <si>
    <t>海南力拓医疗设备有限公司</t>
  </si>
  <si>
    <t>海南五洲天际实业有限公司</t>
  </si>
  <si>
    <t>海南多维智能科技有限公司</t>
  </si>
  <si>
    <t>海南绿川环保科技有限公司</t>
  </si>
  <si>
    <t>海南拼食代电子商务有限公司</t>
  </si>
  <si>
    <t>海南辉霆投资有限公司</t>
  </si>
  <si>
    <t>海南幸福岛物业服务有限公司</t>
  </si>
  <si>
    <t>海南德懋贸易有限公司</t>
  </si>
  <si>
    <t>海口日丽万禾计算机科技有限公司</t>
  </si>
  <si>
    <t>海南启辰教育有限公司</t>
  </si>
  <si>
    <t>海南兴绿保新型建材有限公司</t>
  </si>
  <si>
    <t>海口固达机械设备租赁有限公司</t>
  </si>
  <si>
    <t>海南德裕福祥贸易有限公司</t>
  </si>
  <si>
    <t>海口苏易电器设备有限公司</t>
  </si>
  <si>
    <t>海口众方源科技有限公司</t>
  </si>
  <si>
    <t>海口市新岚屿科技有限公司</t>
  </si>
  <si>
    <t>海南一岛通科技有限公司</t>
  </si>
  <si>
    <t>海南互帮网络科技有限公司</t>
  </si>
  <si>
    <t>海南拓普森自动化科技有限公司</t>
  </si>
  <si>
    <t>海南唯佳物业服务有限公司</t>
  </si>
  <si>
    <t>海南泽近医疗咨询服务有限公司</t>
  </si>
  <si>
    <t>广州远正智能科技股份有限公司海南分公司</t>
  </si>
  <si>
    <t>海南致星祥电子竞技有限公司</t>
  </si>
  <si>
    <t>海南文炳汽车租赁有限公司</t>
  </si>
  <si>
    <t>海口美兰车宏汽车服务中心</t>
  </si>
  <si>
    <t>海南元加元房地产置业有限公司</t>
  </si>
  <si>
    <t>江苏兴特教学设备有限公司海南分公司</t>
  </si>
  <si>
    <t>海南环石同创科技有限公司</t>
  </si>
  <si>
    <t>海南普净环保科技有限公司</t>
  </si>
  <si>
    <t>海口飞恒达电子科技有限公司</t>
  </si>
  <si>
    <t>海南卫蓝环境检测有限公司</t>
  </si>
  <si>
    <t>海南浩远路面工程有限公司</t>
  </si>
  <si>
    <t>海南琼洲环保工程有限公司</t>
  </si>
  <si>
    <t>海南享悦文化传播有限公司</t>
  </si>
  <si>
    <t>中奇乐（海南）电子竞技有限公司</t>
  </si>
  <si>
    <t>海南同辉钢结构有限公司</t>
  </si>
  <si>
    <t>海南华诚至宏新能源汽车销售服务有限公司</t>
  </si>
  <si>
    <t>海南道众堂生物科技开发有限公司</t>
  </si>
  <si>
    <t>海口东盛华鸿贸易有限公司</t>
  </si>
  <si>
    <t>海南中天宇不锈钢制品有限公司</t>
  </si>
  <si>
    <t>海南自贸区彩动天下科技有限公司</t>
  </si>
  <si>
    <t>海南安尚文教设备有限公司</t>
  </si>
  <si>
    <t>海南物宝再生资源有限公司</t>
  </si>
  <si>
    <t>海南爱维系电子科技有限公司</t>
  </si>
  <si>
    <t>海口微米科技有限公司</t>
  </si>
  <si>
    <t>海南省熙阳文化传媒有限公司</t>
  </si>
  <si>
    <t>海口宝志达汽车美容服务有限公司</t>
  </si>
  <si>
    <t>海南楠木先森室内空气治理有限公司</t>
  </si>
  <si>
    <t>海口运可来设备维修服务有限公司</t>
  </si>
  <si>
    <t>海南锐科玻璃有限公司</t>
  </si>
  <si>
    <t>海南路捷之星汽车维修有限公司</t>
  </si>
  <si>
    <t>海南企滕科技有限公司</t>
  </si>
  <si>
    <t>海口欣瑜然贸易有限公司</t>
  </si>
  <si>
    <t>海南树派环保科技有限公司</t>
  </si>
  <si>
    <t>海南喜居房地产营销策划有限公司</t>
  </si>
  <si>
    <t>海南省舜腾项目管理有限公司</t>
  </si>
  <si>
    <t>海口焱盾消防工程有限公司</t>
  </si>
  <si>
    <t>海南镜界光影文化传媒有限公司</t>
  </si>
  <si>
    <t>海南九品功坊工艺有限公司</t>
  </si>
  <si>
    <t>海南自贸区豪仕医疗科技有限公司</t>
  </si>
  <si>
    <t>海南凯迪森数码科技有限公司</t>
  </si>
  <si>
    <t>海南汇涌鑫科技有限公司</t>
  </si>
  <si>
    <t>海南天中环保设备有限公司</t>
  </si>
  <si>
    <t>海南车时代汽车销售有限公司</t>
  </si>
  <si>
    <t>海南智想家科技有限公司</t>
  </si>
  <si>
    <t>海南中材铭铨机电设备有限公司</t>
  </si>
  <si>
    <t>海南澄丰贸易有限公司</t>
  </si>
  <si>
    <t>海口天成亨财务咨询有限公司</t>
  </si>
  <si>
    <t>海口美文前沿教育科技有限公司</t>
  </si>
  <si>
    <t>海南翔泰渔业股份有限公司海口分公司</t>
  </si>
  <si>
    <t>海南星宇清洁服务有限公司</t>
  </si>
  <si>
    <t>海南语捷科技有限公司</t>
  </si>
  <si>
    <t>海南孺子牛建筑材料有限公司</t>
  </si>
  <si>
    <t>海南涛奥汽车服务有限公司</t>
  </si>
  <si>
    <t>海南好哒科技有限公司</t>
  </si>
  <si>
    <t>海南酷可车服汽车服务有限公司</t>
  </si>
  <si>
    <t>海南中辰梦建材有限公司</t>
  </si>
  <si>
    <t>海南云落劳务服务有限公司</t>
  </si>
  <si>
    <t>海南自贸区星才科技有限公司</t>
  </si>
  <si>
    <t>海南毅泰贸易有限公司</t>
  </si>
  <si>
    <t>赛贝电子竞技（海南）有限公司</t>
  </si>
  <si>
    <t>新安洁环境卫生股份有限公司海口分公司</t>
  </si>
  <si>
    <t>海口华越胜家具贸易有限公司</t>
  </si>
  <si>
    <t>海南东盛华鸿网络科技有限公司</t>
  </si>
  <si>
    <t>海口美兰时空雨通讯器材店</t>
  </si>
  <si>
    <t>海口睿沃教育信息咨询有限公司</t>
  </si>
  <si>
    <t>海南自贸区微海天科技有限公司</t>
  </si>
  <si>
    <t>海南海亮塑钢有限责任公司</t>
  </si>
  <si>
    <t>海南兴铭旺贸易有限公司</t>
  </si>
  <si>
    <t>广州市安淼汽车维修有限公司海口分公司</t>
  </si>
  <si>
    <t>海南乐活岛旅行科技有限公司</t>
  </si>
  <si>
    <t>海口尚恒餐饮服务有限公司</t>
  </si>
  <si>
    <t>海南梦达科技有限公司</t>
  </si>
  <si>
    <t>海南品盛和商贸有限公司</t>
  </si>
  <si>
    <t>海南习将军酒业管理有限公司</t>
  </si>
  <si>
    <t>海南潭牛食品有限公司</t>
  </si>
  <si>
    <t>海南指月网络科技有限公司</t>
  </si>
  <si>
    <t>海口启诚文化传媒有限公司</t>
  </si>
  <si>
    <t>海南彩王彩钢有限公司</t>
  </si>
  <si>
    <t>北京森旺林业工程设计有限公司海南分公司</t>
  </si>
  <si>
    <t>海南浩富科技信息有限公司</t>
  </si>
  <si>
    <t>海南达斯琪数字科技有限公司</t>
  </si>
  <si>
    <t>海南晨辰旭网络科技有限公司</t>
  </si>
  <si>
    <t>海南楠鑫贸易有限公司</t>
  </si>
  <si>
    <t>海南鑫智尚贸易有限公司</t>
  </si>
  <si>
    <t>海南泽锦汽车租赁有限公司</t>
  </si>
  <si>
    <t>海南萨米时光商贸有限公司</t>
  </si>
  <si>
    <t>海南京华民百盛进出口贸易有限公司</t>
  </si>
  <si>
    <t>海南丽亳商贸有限公司</t>
  </si>
  <si>
    <t>海口鑫鑫荣海洋生物科技有限公司</t>
  </si>
  <si>
    <t>海南冠和机电设备贸易有限公司</t>
  </si>
  <si>
    <t>海南自贸区译田贸易有限公司</t>
  </si>
  <si>
    <t>海南龙佑生物科技有限公司</t>
  </si>
  <si>
    <t>海南合锦物联技术有限公司</t>
  </si>
  <si>
    <t>海口龙华渝捷消防器材服务中心</t>
  </si>
  <si>
    <t>海口辰扬科技有限公司</t>
  </si>
  <si>
    <t>海南自贸区恒义康科技发展有限公司</t>
  </si>
  <si>
    <t>海南艺君商贸有限公司</t>
  </si>
  <si>
    <t>海南卓纳人力资源服务有限公司</t>
  </si>
  <si>
    <t>海南富嘉霖食品配送有限公司</t>
  </si>
  <si>
    <t>海南自贸区老杨会客厅传媒有限公司</t>
  </si>
  <si>
    <t>海南旺晟元食品有限公司</t>
  </si>
  <si>
    <t>海口瑞轩丹食品有限公司</t>
  </si>
  <si>
    <t>海南海贝公寓管理有限公司</t>
  </si>
  <si>
    <t>海南成悦铭豪汽车销售服务有限公司</t>
  </si>
  <si>
    <t>海南万佳诚科技有限公司</t>
  </si>
  <si>
    <t>海南海隆生海洋电子有限公司</t>
  </si>
  <si>
    <t>海口辉煌之星汽车服务有限公司</t>
  </si>
  <si>
    <t>海南景阳辉石业有限公司</t>
  </si>
  <si>
    <t>海口恒迅达汽车维修有限公司</t>
  </si>
  <si>
    <t>海南速易检测技术研究院有限公司</t>
  </si>
  <si>
    <t>海口正通达贸易有限公司</t>
  </si>
  <si>
    <t>四川盘房网络科技有限公司海南分公司</t>
  </si>
  <si>
    <t>海南海成大海洋生物科技有限公司</t>
  </si>
  <si>
    <t>海南秦盾科技有限公司</t>
  </si>
  <si>
    <t>海口弘信达贸易有限公司</t>
  </si>
  <si>
    <t>海南廷邦文化传媒有限公司</t>
  </si>
  <si>
    <t>海南星燎源暖通设备有限公司</t>
  </si>
  <si>
    <t>海南循本文化发展有限公司</t>
  </si>
  <si>
    <t>海南八方之旅实业有限公司</t>
  </si>
  <si>
    <t>海南德丽贸易有限公司</t>
  </si>
  <si>
    <t>海口恒中茗服装有限公司</t>
  </si>
  <si>
    <t>海口冠山信达物流有限公司</t>
  </si>
  <si>
    <t>海南伟裕健康管理有限公司</t>
  </si>
  <si>
    <t>海南海之鲜水产品有限公司</t>
  </si>
  <si>
    <t>海南万家和美实业有限公司</t>
  </si>
  <si>
    <t>海南巴涤环保科技有限公司</t>
  </si>
  <si>
    <t>海南长松科技有限公司</t>
  </si>
  <si>
    <t>海南淼之森通信器材有限公司</t>
  </si>
  <si>
    <t>海南湘信职业健康研究院（有限合伙）</t>
  </si>
  <si>
    <t>海南骏凯特文化传媒有限公司</t>
  </si>
  <si>
    <t>海口微点客网络科技有限公司</t>
  </si>
  <si>
    <t>海南亿恒电气科技有限公司</t>
  </si>
  <si>
    <t>海南融合融通信息科技（集团）有限公司</t>
  </si>
  <si>
    <t>海口昊业汽车配件有限公司</t>
  </si>
  <si>
    <t>海南森禾信息科技有限公司</t>
  </si>
  <si>
    <t>海南恒焱餐饮投资有限公司</t>
  </si>
  <si>
    <t>海南高杰智能网络工程有限公司</t>
  </si>
  <si>
    <t>海南鸿兴盛大贸易有限公司</t>
  </si>
  <si>
    <t>海南品腾文化传媒有限公司</t>
  </si>
  <si>
    <t>海南石香苑贸易有限公司</t>
  </si>
  <si>
    <t>海口金友顺电脑科技有限公司</t>
  </si>
  <si>
    <t>海南忠富船舶服务有限公司海口分公司</t>
  </si>
  <si>
    <t>海南省宝德行汽车贸易有限公司</t>
  </si>
  <si>
    <t>海南三多堂文化传媒有限公司</t>
  </si>
  <si>
    <t>海南源骏汽车销售有限公司</t>
  </si>
  <si>
    <t>海南海泽顺电器服务有限公司</t>
  </si>
  <si>
    <t>海南引众文化传媒有限公司</t>
  </si>
  <si>
    <t>海口海易博生物科技有限公司</t>
  </si>
  <si>
    <t>海口旌旗商旅服务有限公司</t>
  </si>
  <si>
    <t>海南鑫腾信科技有限公司</t>
  </si>
  <si>
    <t>海口听雨轩服装有限公司</t>
  </si>
  <si>
    <t>海南蓝禾环保科技有限公司</t>
  </si>
  <si>
    <t>北京天海飞行体育发展有限公司海南分公司</t>
  </si>
  <si>
    <t>海口泮边旅游度假有限公司</t>
  </si>
  <si>
    <t>海口琼翔建材有限公司</t>
  </si>
  <si>
    <t>海南炫瑞测绘有限公司</t>
  </si>
  <si>
    <t>海南和尧智能科技有限公司</t>
  </si>
  <si>
    <t>海南铮信市政工程有限公司</t>
  </si>
  <si>
    <t>海南孟思罗贸易有限公司</t>
  </si>
  <si>
    <t>海南浮图影像艺术有限公司</t>
  </si>
  <si>
    <t>海南鹄锋汽车销售有限公司</t>
  </si>
  <si>
    <t>海南康伯斯体育产业有限公司</t>
  </si>
  <si>
    <t>海南东翔汽车销售服务有限公司</t>
  </si>
  <si>
    <t>海南天涯醇浆酒业有限公司</t>
  </si>
  <si>
    <t>海口唯远广告传媒有限公司</t>
  </si>
  <si>
    <t>海南福华机电设备有限公司</t>
  </si>
  <si>
    <t>海南东方启泰工业设备有限责任公司</t>
  </si>
  <si>
    <t>深圳小蜜蜂汽车服务有限公司海南分公司</t>
  </si>
  <si>
    <t>海南华仁颐居信息科技有限公司</t>
  </si>
  <si>
    <t>海南七山科技有限公司</t>
  </si>
  <si>
    <t>海口市众奥达贸易有限公司</t>
  </si>
  <si>
    <t>海南云新网络科技有限公司</t>
  </si>
  <si>
    <t>海南海冉装饰工程有限公司</t>
  </si>
  <si>
    <t>海口菲特尔科技有限公司</t>
  </si>
  <si>
    <t>海南高品新能源汽车销售服务有限公司</t>
  </si>
  <si>
    <t>海南望轩图文广告有限公司</t>
  </si>
  <si>
    <t>海南广高电气设备有限公司</t>
  </si>
  <si>
    <t>海口秀英泰源印刷厂</t>
  </si>
  <si>
    <t>海南灏源汽车服务有限公司</t>
  </si>
  <si>
    <t>海南丰伟实业有限公司</t>
  </si>
  <si>
    <t>海南仲信骏阳实业有限公司</t>
  </si>
  <si>
    <t>海南翔宏达节水设备工程有限公司</t>
  </si>
  <si>
    <t>海南诺信金信息科技有限公司</t>
  </si>
  <si>
    <t>海南宏原升食品科技有限公司</t>
  </si>
  <si>
    <t>海口瀚朋科技有限公司</t>
  </si>
  <si>
    <t>海南裕达房地产经纪有限公司</t>
  </si>
  <si>
    <t>海口创友高尔夫设备有限公司</t>
  </si>
  <si>
    <t>海南利达威机电设备有限公司</t>
  </si>
  <si>
    <t>海南蔚蓝汽车管理有限公司</t>
  </si>
  <si>
    <t>海南椰姿商贸科技有限公司</t>
  </si>
  <si>
    <t>海口秀英新江特机电维修部</t>
  </si>
  <si>
    <t>海口瑞驰装饰材料工程有限公司</t>
  </si>
  <si>
    <t>海口金鑫泰科技工程有限公司</t>
  </si>
  <si>
    <t>海南奥尔斯建材有限公司</t>
  </si>
  <si>
    <t>海南一心安科科技有限公司</t>
  </si>
  <si>
    <t>海南谷润阳光园林绿化有限公司</t>
  </si>
  <si>
    <t>海南海长毓机电维修有限公司</t>
  </si>
  <si>
    <t>海口吉庆电子通信服务有限公司</t>
  </si>
  <si>
    <t>海南鑫仁昌置业有限公司</t>
  </si>
  <si>
    <t>海口业承广告传媒有限公司</t>
  </si>
  <si>
    <t>海南得宏大兴生态环保科技有限公司</t>
  </si>
  <si>
    <t>海口田源兄弟农业服务中心（有限合伙）</t>
  </si>
  <si>
    <t>海南趣多游网络科技有限公司</t>
  </si>
  <si>
    <t>海南德杰租赁有限公司</t>
  </si>
  <si>
    <t>海南万维艾利克斯健身服务有限公司</t>
  </si>
  <si>
    <t>海南众拓通信科技有限公司</t>
  </si>
  <si>
    <t>海南国香坊实业有限公司</t>
  </si>
  <si>
    <t>海南依然家政服务有限公司</t>
  </si>
  <si>
    <t>海口市合信辉信息咨询服务有限公司</t>
  </si>
  <si>
    <t>海南景元和润文化投资有限公司</t>
  </si>
  <si>
    <t>海南车杰睿汽车服务有限公司</t>
  </si>
  <si>
    <t>海南鑫和诚矿业有限公司</t>
  </si>
  <si>
    <t>海口展鑫铭商贸有限公司</t>
  </si>
  <si>
    <t>海南桥和汽车文化有限公司</t>
  </si>
  <si>
    <t>海口美兰安家乐门窗装饰店</t>
  </si>
  <si>
    <t>海南天之狼拓展运动有限公司</t>
  </si>
  <si>
    <t>海南上乘科技有限公司</t>
  </si>
  <si>
    <t>海口龙华枰源电器商行</t>
  </si>
  <si>
    <t>海口市三江农场发展控股有限公司</t>
  </si>
  <si>
    <t>海口正佳科技有限公司</t>
  </si>
  <si>
    <t>海南丰田汽车销售服务有限公司海口维修部</t>
  </si>
  <si>
    <t>海口王厨食品有限公司</t>
  </si>
  <si>
    <t>海南月光盒智能科技有限公司</t>
  </si>
  <si>
    <t>海口德品香餐饮管理有限公司</t>
  </si>
  <si>
    <t>海南升农实业有限公司</t>
  </si>
  <si>
    <t>广州市共能企业管理咨询有限公司海口分公司</t>
  </si>
  <si>
    <t>海口众越计算机科技有限公司</t>
  </si>
  <si>
    <t>海南圣天祥交通设施有限公司</t>
  </si>
  <si>
    <t>海南嘉玉华机电设备工程有限公司</t>
  </si>
  <si>
    <t>海南震源石业有限公司</t>
  </si>
  <si>
    <t>海南益辉网络科技有限公司</t>
  </si>
  <si>
    <t>海南正好体育文化有限公司</t>
  </si>
  <si>
    <t>海口粤昌海家电有限公司</t>
  </si>
  <si>
    <t>海口纵凯物业服务有限公司</t>
  </si>
  <si>
    <t>北京龙城兴业物业管理有限公司海南分公司</t>
  </si>
  <si>
    <t>海南自贸区龙城兴业物业管理有限公司</t>
  </si>
  <si>
    <t>海口鑫芮贸易有限公司</t>
  </si>
  <si>
    <t>瑞本国际物联网科技(海南)有限公司</t>
  </si>
  <si>
    <t>海南艾合贸易有限公司</t>
  </si>
  <si>
    <t>海南合日升科技有限公司</t>
  </si>
  <si>
    <t>海南海睿智科技有限公司</t>
  </si>
  <si>
    <t>广东翰诠实业股份有限公司海南分公司</t>
  </si>
  <si>
    <t>海口圣东互联网科技有限公司</t>
  </si>
  <si>
    <t>海口鑫腾达医疗器械服务有限公司</t>
  </si>
  <si>
    <t>海南星奇传媒有限公司</t>
  </si>
  <si>
    <t>海口奇飞商贸有限公司</t>
  </si>
  <si>
    <t>海口豪华斯特科技有限公司</t>
  </si>
  <si>
    <t>海口晋鸿达汽车修理修配有限公司</t>
  </si>
  <si>
    <t>海口益方网络科技有限公司</t>
  </si>
  <si>
    <t>海南酵老师生物科技有限公司</t>
  </si>
  <si>
    <t>海南童心会教育服务有限公司</t>
  </si>
  <si>
    <t>海南辰方科技有限公司</t>
  </si>
  <si>
    <t>海南上官食品有限公司</t>
  </si>
  <si>
    <t>海南美邦园制冷设备工程有限公司</t>
  </si>
  <si>
    <t>海南金灿汽车服务有限公司</t>
  </si>
  <si>
    <t>海南梓瀚贸易有限公司</t>
  </si>
  <si>
    <t>海南朗润投资有限公司</t>
  </si>
  <si>
    <t>海南腾澳网络科技有限公司</t>
  </si>
  <si>
    <t>海口金彪汽车维修有限公司</t>
  </si>
  <si>
    <t>海南置延网络科技有限公司</t>
  </si>
  <si>
    <t>海南碧坤沁有害生物防治有限公司</t>
  </si>
  <si>
    <t>麦肯西生物科技（海南）有限公司</t>
  </si>
  <si>
    <t>海南特尤宠物用品有限公司</t>
  </si>
  <si>
    <t>海南金福聚汽车服务有限公司</t>
  </si>
  <si>
    <t>海南万水家政服务有限责任公司</t>
  </si>
  <si>
    <t>海口玉松商贸有限公司</t>
  </si>
  <si>
    <t>海南康邦科技有限公司</t>
  </si>
  <si>
    <t>海口环铁商业管理有限公司</t>
  </si>
  <si>
    <t>海南葫芦轩茶叶有限公司</t>
  </si>
  <si>
    <t>海南耕海牧渔贸易有限公司</t>
  </si>
  <si>
    <t>海南万宇环保科技有限公司</t>
  </si>
  <si>
    <t>海南利昕有害生物防治服务有限公司</t>
  </si>
  <si>
    <t>海口宝利元塑业有限公司</t>
  </si>
  <si>
    <t>海口信望爱清洁环保有限公司</t>
  </si>
  <si>
    <t>海口龙合盛美民宿休闲专业合作社</t>
  </si>
  <si>
    <t>海南自贸区融上旅游文化产业开发有限公司</t>
  </si>
  <si>
    <t>海口兴恒运汽车租赁有限公司</t>
  </si>
  <si>
    <t>海南海泉汽车租赁有限公司</t>
  </si>
  <si>
    <t>海南休休乐健康科技有限公司</t>
  </si>
  <si>
    <t>海口迪康汽车销售服务有限公司</t>
  </si>
  <si>
    <t>海口华天安信装饰工程有限公司</t>
  </si>
  <si>
    <t>海口同心圆科技有限公司</t>
  </si>
  <si>
    <t>海南省尚味佳贸易有限公司</t>
  </si>
  <si>
    <t>海南渔道科技有限公司</t>
  </si>
  <si>
    <t>海口万有引力科技有限公司</t>
  </si>
  <si>
    <t>海口中升东本汽车销售服务有限公司</t>
  </si>
  <si>
    <t>海南腾祥通信科技有限公司</t>
  </si>
  <si>
    <t>海南纳美电子商务有限公司</t>
  </si>
  <si>
    <t>海口佳联捷网络科技有限公司</t>
  </si>
  <si>
    <t>海口佰锐科技有限公司</t>
  </si>
  <si>
    <t>海南瑞亿欧贸易有限公司</t>
  </si>
  <si>
    <t>海口雄狮贸易有限公司</t>
  </si>
  <si>
    <t>海南正联水产种苗有限公司</t>
  </si>
  <si>
    <t>海南瑞仑生物科技有限公司</t>
  </si>
  <si>
    <t>海南佳士能科技有限公司</t>
  </si>
  <si>
    <t>海南置帮房产营销策划有限公司</t>
  </si>
  <si>
    <t>海口正山岩食品有限公司</t>
  </si>
  <si>
    <t>海南安臣生物科技有限公司</t>
  </si>
  <si>
    <t>海口茗茶屋茶叶有限公司</t>
  </si>
  <si>
    <t>海南奇鼎科技有限公司</t>
  </si>
  <si>
    <t>海口鑫世隆家具有限公司</t>
  </si>
  <si>
    <t>海南岩润食品有限公司</t>
  </si>
  <si>
    <t>海南机缘会数码科技有限公司</t>
  </si>
  <si>
    <t>海口友聚联电子商务有限公司</t>
  </si>
  <si>
    <t>海南宏飞翔木业有限公司</t>
  </si>
  <si>
    <t>海口嘉佰丽汽车服务有限公司</t>
  </si>
  <si>
    <t>海南诚信汽车租赁有限公司</t>
  </si>
  <si>
    <t>海南金点子营销策划有限公司</t>
  </si>
  <si>
    <t>海南蓝海舟教育科技有限公司</t>
  </si>
  <si>
    <t>海口天忆文化传播有限公司</t>
  </si>
  <si>
    <t>海口筠畅科技有限公司</t>
  </si>
  <si>
    <t>海口琼山慧肖海林汽车修理店</t>
  </si>
  <si>
    <t>海南和南盛众文化传播有限公司</t>
  </si>
  <si>
    <t>浙江安邦护卫安全服务有限公司海南分公司</t>
  </si>
  <si>
    <t>安正汽车试验技术服务（海南）有限公司</t>
  </si>
  <si>
    <t>海南现代电缆有限公司</t>
  </si>
  <si>
    <t>海南贝尔大数据园区开发有限公司</t>
  </si>
  <si>
    <t>海南企事通电子商务有限公司</t>
  </si>
  <si>
    <t>海口霖铠图文制作有限公司</t>
  </si>
  <si>
    <t>海口亿成旺电子科技有限公司</t>
  </si>
  <si>
    <t>海南智融电子设备有限公司</t>
  </si>
  <si>
    <t>海口福乐鑫物流有限公司</t>
  </si>
  <si>
    <t>海南会招汽车维修有限公司</t>
  </si>
  <si>
    <t>海南福源糖餐饮管理有限公司</t>
  </si>
  <si>
    <t>海南合众好兄弟贸易有限公司</t>
  </si>
  <si>
    <t>海南启明星高企科技孵化器有限公司</t>
  </si>
  <si>
    <t>海南控客科技有限公司</t>
  </si>
  <si>
    <t>海南博正雅贸易有限公司</t>
  </si>
  <si>
    <t>海南金文昊成网络科技有限公司</t>
  </si>
  <si>
    <t>海南火山玫瑰庄园投资发展有限公司</t>
  </si>
  <si>
    <t>海南捷派汽车贸易有限公司</t>
  </si>
  <si>
    <t>海南库诺克网络科技有限公司</t>
  </si>
  <si>
    <t>海南上古科技有限公司</t>
  </si>
  <si>
    <t>海南世世高实业有限公司</t>
  </si>
  <si>
    <t>海南佳富盛投资有限公司</t>
  </si>
  <si>
    <t>海南众运汽车服务有限公司</t>
  </si>
  <si>
    <t>海南优之美生物科技有限公司</t>
  </si>
  <si>
    <t>海南智创行远广告有限公司</t>
  </si>
  <si>
    <t>河南省发达起重机有限公司海南分公司</t>
  </si>
  <si>
    <t>海南鼎泰丰医疗科技有限公司</t>
  </si>
  <si>
    <t>海南智因医疗设备维修服务有限公司</t>
  </si>
  <si>
    <t>海口高玛科技发展有限公司</t>
  </si>
  <si>
    <t>海口联天下科技开发有限公司</t>
  </si>
  <si>
    <t>海南国岛矿业开发有限公司</t>
  </si>
  <si>
    <t>海南自贸区佩齐文化传播有限公司</t>
  </si>
  <si>
    <t>海南海福里贸易有限公司</t>
  </si>
  <si>
    <t>海口诺佰仕工程机械租赁有限公司</t>
  </si>
  <si>
    <t>海南海济堂贸易有限公司</t>
  </si>
  <si>
    <t>海南锐广校准技术服务有限公司</t>
  </si>
  <si>
    <t>海口国泰鸿运科技有限公司</t>
  </si>
  <si>
    <t>海口市龙华区园林管理局</t>
  </si>
  <si>
    <t>海南唐冠静仁信息科技有限公司</t>
  </si>
  <si>
    <t>海口中升汇达汽车销售服务有限公司</t>
  </si>
  <si>
    <t>海南永绿能源环保工程有限公司</t>
  </si>
  <si>
    <t>海南辉隆生物科技有限公司</t>
  </si>
  <si>
    <t>海南京华民商贸有限公司</t>
  </si>
  <si>
    <t>海南信霖农业科技有限公司</t>
  </si>
  <si>
    <t>海南文道影视文化传播有限公司</t>
  </si>
  <si>
    <t>海南酷鸟文化传播有限公司</t>
  </si>
  <si>
    <t>海南旭通实业有限公司</t>
  </si>
  <si>
    <t>华势酒店管理（海南自贸区）有限公司</t>
  </si>
  <si>
    <t>海南酷比特儿童教育管理有限公司</t>
  </si>
  <si>
    <t>海南鑫鹭发建材贸易有限公司</t>
  </si>
  <si>
    <t>海口乐嘉办公用品有限公司</t>
  </si>
  <si>
    <t>海南琼之安电子科技有限公司</t>
  </si>
  <si>
    <t>海南豚熊熊互联网科技有限公司</t>
  </si>
  <si>
    <t>海南诺佳信门业有限公司</t>
  </si>
  <si>
    <t>海南绘宇地理信息有限公司</t>
  </si>
  <si>
    <t>海南勃达网络有限公司</t>
  </si>
  <si>
    <t>海口龙华世贸豪星行名车服务中心</t>
  </si>
  <si>
    <t>海口美兰车诚行汽车维修服务中心</t>
  </si>
  <si>
    <t>海南颐达旅游开发有限公司</t>
  </si>
  <si>
    <t>海南方润实业有限公司</t>
  </si>
  <si>
    <t>海南房安网科技有限公司</t>
  </si>
  <si>
    <t>海南心立通电子科技有限公司</t>
  </si>
  <si>
    <t>海南铨永红木家私有限公司</t>
  </si>
  <si>
    <t>海口新裕和冰制品有限公司</t>
  </si>
  <si>
    <t>海南波塞顿游艇管理有限公司</t>
  </si>
  <si>
    <t>海口市智收通科技有限公司</t>
  </si>
  <si>
    <t>海南蓬翔机电科技工程有限公司</t>
  </si>
  <si>
    <t>海南拓泉科技有限公司</t>
  </si>
  <si>
    <t>海南南寻机械设备有限公司</t>
  </si>
  <si>
    <t>海南德鑫诚汽车维修服务有限公司</t>
  </si>
  <si>
    <t>海南双轩电子科技有限公司</t>
  </si>
  <si>
    <t>阿里云计算（海南）有限公司</t>
  </si>
  <si>
    <t>海南亨乐文化传媒有限公司</t>
  </si>
  <si>
    <t>海南宏耀城租赁有限公司</t>
  </si>
  <si>
    <t>海南鑫好友家具有限公司</t>
  </si>
  <si>
    <t>海南天佰嘉汽车维修有限公司</t>
  </si>
  <si>
    <t>海南华信南兴智能科技有限公司</t>
  </si>
  <si>
    <t>海口金诺蓝环保设备有限公司</t>
  </si>
  <si>
    <t>海口耐磨王模具有限公司</t>
  </si>
  <si>
    <t>海南星冉物业服务有限公司</t>
  </si>
  <si>
    <t>海南众诚油脂科技有限公司</t>
  </si>
  <si>
    <t>海南龙哥哥创客实业有限公司</t>
  </si>
  <si>
    <t>海口鑫共达家电服务有限公司</t>
  </si>
  <si>
    <t>海口宏新达电子科技有限公司</t>
  </si>
  <si>
    <t>海南华普高科科技有限公司</t>
  </si>
  <si>
    <t>海南德尚车辆服务有限公司</t>
  </si>
  <si>
    <t>海口龙达霖贸易有限公司</t>
  </si>
  <si>
    <t>海南恩熙汽车服务有限公司</t>
  </si>
  <si>
    <t>海南佩盛科技有限公司</t>
  </si>
  <si>
    <t>海南杰光洁环境建设服务有限公司</t>
  </si>
  <si>
    <t>海南天坤拓展训练有限公司</t>
  </si>
  <si>
    <t>海口兴尔净化设备维修有限公司</t>
  </si>
  <si>
    <t>海南佳易电脑有限公司</t>
  </si>
  <si>
    <t>海南黎母天香生态农林有限公司</t>
  </si>
  <si>
    <t>海南鲜美时达食材速配有限公司</t>
  </si>
  <si>
    <t>海南嘉能生物科技有限公司</t>
  </si>
  <si>
    <t>海南郑冠文体科技有限公司</t>
  </si>
  <si>
    <t>海南超品汽车销售服务有限公司</t>
  </si>
  <si>
    <t>海口南来汽车维修服务有限公司</t>
  </si>
  <si>
    <t>海南锦利华实业有限公司</t>
  </si>
  <si>
    <t>海南觉森电子商务有限公司</t>
  </si>
  <si>
    <t>海南星达测绘科技有限公司</t>
  </si>
  <si>
    <t>海口东茂贸易有限公司</t>
  </si>
  <si>
    <t>海南百亿劳务服务有限公司</t>
  </si>
  <si>
    <t>海南骏海汽车服务有限公司</t>
  </si>
  <si>
    <t>海南银电达电力开发有限公司</t>
  </si>
  <si>
    <t>北汽鹏龙领航汽车文化产业（海南）有限公司</t>
  </si>
  <si>
    <t>海南四方联盈电子科技有限公司</t>
  </si>
  <si>
    <t>海南冠铃科技有限公司</t>
  </si>
  <si>
    <t>海南游邦商旅服务有限公司</t>
  </si>
  <si>
    <t>海口创美特实验设备科技有限公司</t>
  </si>
  <si>
    <t>海南铂宸商务信息咨询有限公司</t>
  </si>
  <si>
    <t>海南开泰贸易有限公司</t>
  </si>
  <si>
    <t>海南向前一步文化传播有限公司</t>
  </si>
  <si>
    <t>海南多闻网络科技有限公司</t>
  </si>
  <si>
    <t>海南口袋汽车销售服务有限公司</t>
  </si>
  <si>
    <t>海南灰狗网络科技有限公司</t>
  </si>
  <si>
    <t>泉州纵横保安服务有限公司海南分公司</t>
  </si>
  <si>
    <t>海南椰城电缆有限公司</t>
  </si>
  <si>
    <t>海口市浩宾建筑防水材料有限公司</t>
  </si>
  <si>
    <t>海口安家环保除甲醛有限公司</t>
  </si>
  <si>
    <t>海南乐成智能科技发展有限公司</t>
  </si>
  <si>
    <t>海南莱测检测技术有限公司</t>
  </si>
  <si>
    <t>江苏国衡土地房地产资产评估咨询有限公司海南分公司</t>
  </si>
  <si>
    <t>深圳分期乐信息技术服务有限公司海南分公司</t>
  </si>
  <si>
    <t>海口秀英盈知顺印刷厂</t>
  </si>
  <si>
    <t>海南一道科技有限公司</t>
  </si>
  <si>
    <t>海南鑫广润汽车服务有限公司</t>
  </si>
  <si>
    <t>海口镕津航标工程有限公司</t>
  </si>
  <si>
    <t>海南全学互联教育科技有限公司</t>
  </si>
  <si>
    <t>海南万仟通信设备有限公司</t>
  </si>
  <si>
    <t>海南车巨惠汽车服务有限公司</t>
  </si>
  <si>
    <t>海南立久信科技有限公司</t>
  </si>
  <si>
    <t>海南忠居安防火工程有限公司</t>
  </si>
  <si>
    <t>海口博加图乐器有限公司</t>
  </si>
  <si>
    <t>海口市天韧汽车服务有限公司</t>
  </si>
  <si>
    <t>海南禹行尧智教育咨询有限公司</t>
  </si>
  <si>
    <t>海口龙华精华汽车维修部</t>
  </si>
  <si>
    <t>海南究启极网络科技有限责任公司</t>
  </si>
  <si>
    <t>海口兴佰源汽车维修服务有限公司</t>
  </si>
  <si>
    <t>海口龙华呙中丽汽车维修厂</t>
  </si>
  <si>
    <t>海口永祺环保设备技术有限公司</t>
  </si>
  <si>
    <t>海南九昊农业科技有限公司</t>
  </si>
  <si>
    <t>海南萧卤仙餐饮管理有限公司</t>
  </si>
  <si>
    <t>海口领越天渡汽车服务有限公司</t>
  </si>
  <si>
    <t>海南琼华圣洁生态环保科技有限公司</t>
  </si>
  <si>
    <t>海南尚尚新网络科技有限公司</t>
  </si>
  <si>
    <t>海口惠益工程项目管理有限公司</t>
  </si>
  <si>
    <t>海南超安消防设备有限公司</t>
  </si>
  <si>
    <t>海南缘海黄原木坊有限公司</t>
  </si>
  <si>
    <t>海南雅蔓园林景观工程有限公司</t>
  </si>
  <si>
    <t>海口格林斯贝科技服务有限公司</t>
  </si>
  <si>
    <t>海口金高德汽车服务有限公司</t>
  </si>
  <si>
    <t>海南恒速盛通竞技有限公司</t>
  </si>
  <si>
    <t>昌强电子竞技（海南）有限公司</t>
  </si>
  <si>
    <t>海口龙华珈熠珠宝商行</t>
  </si>
  <si>
    <t>萨罗（海南）科技信息有限公司</t>
  </si>
  <si>
    <t>海南省云力达环境科技有限公司</t>
  </si>
  <si>
    <t>海南环新环保有限公司</t>
  </si>
  <si>
    <t>中晋圣裕投资股份有限公司</t>
  </si>
  <si>
    <t>海南好意来食品有限公司</t>
  </si>
  <si>
    <t>海南恒美创艺广告传媒有限公司</t>
  </si>
  <si>
    <t>海口志云汽车服务有限公司</t>
  </si>
  <si>
    <t>海南维谷信息技术有限公司</t>
  </si>
  <si>
    <t>海南馨诚意家政信息服务有限公司</t>
  </si>
  <si>
    <t>海南天时利节能建筑材料有限公司</t>
  </si>
  <si>
    <t>海口居嘉汇建材贸易有限公司</t>
  </si>
  <si>
    <t>海南初雨文化传媒有限公司</t>
  </si>
  <si>
    <t>海口万瑞丰贸易有限公司</t>
  </si>
  <si>
    <t>海南自贸区成杰汽车科技有限公司</t>
  </si>
  <si>
    <t>海南恒衍隆医疗器械有限公司</t>
  </si>
  <si>
    <t>海南绿之源环保工程咨询有限公司</t>
  </si>
  <si>
    <t>海南征程体育管理有限公司</t>
  </si>
  <si>
    <t>海南汤瓷御品国际贸易有限公司</t>
  </si>
  <si>
    <t>海南海汽出行科技有限公司</t>
  </si>
  <si>
    <t>海南天籁合声音响设备有限公司</t>
  </si>
  <si>
    <t>海南永诚信息科技工程有限公司</t>
  </si>
  <si>
    <t>海南雄裕贸易有限公司</t>
  </si>
  <si>
    <t>海南鑫昌捷科技有限公司</t>
  </si>
  <si>
    <t>海南最挑剔网络有限公司</t>
  </si>
  <si>
    <t>海南尚品朋友圈餐饮有限公司</t>
  </si>
  <si>
    <t>海南千亿堂广告有限公司</t>
  </si>
  <si>
    <t>海南晨皓科技有限公司</t>
  </si>
  <si>
    <t>海口汇鼎文办公用品有限公司</t>
  </si>
  <si>
    <t>无限可能网络科技有限公司</t>
  </si>
  <si>
    <t>海南自贸区田源创科农旅产业研究院有限公司</t>
  </si>
  <si>
    <t>海南中升之星汽车销售服务有限公司</t>
  </si>
  <si>
    <t>海南尼罗科技有限责任公司</t>
  </si>
  <si>
    <t>海口市被服一厂</t>
  </si>
  <si>
    <t>海南玖缘汽车服务有限公司</t>
  </si>
  <si>
    <t>海南中顺项目管理有限公司</t>
  </si>
  <si>
    <t>海口风上广告创意设计有限公司</t>
  </si>
  <si>
    <t>海口美骑汽车服务有限公司</t>
  </si>
  <si>
    <t>海南品味黎家饮料有限责任公司</t>
  </si>
  <si>
    <t>海口永顺市政工程有限公司</t>
  </si>
  <si>
    <t>海南耐奇自控设备有限公司</t>
  </si>
  <si>
    <t>北斗瞰景科技海南有限公司</t>
  </si>
  <si>
    <t>海口风华瓦业建材有限公司</t>
  </si>
  <si>
    <t>海南时时爱马仕汽车服务有限公司</t>
  </si>
  <si>
    <t>海南德奥汽车服务有限公司</t>
  </si>
  <si>
    <t>海口佳锐电子科技有限公司</t>
  </si>
  <si>
    <t>海南松叶科技有限公司</t>
  </si>
  <si>
    <t>海南金成百川商贸有限公司</t>
  </si>
  <si>
    <t>云南今禹生态工程咨询有限公司海南分公司</t>
  </si>
  <si>
    <t>海口蓓金电子商务有限公司</t>
  </si>
  <si>
    <t>海口市聚森农副产品贸易有限公司</t>
  </si>
  <si>
    <t>海南巧大姐家政有限公司</t>
  </si>
  <si>
    <t>海南博盾网络信息工程有限公司</t>
  </si>
  <si>
    <t>海南广惠物业管理有限公司</t>
  </si>
  <si>
    <t>海口市乐意久久工艺品有限公司</t>
  </si>
  <si>
    <t>海口琼山燕记车行</t>
  </si>
  <si>
    <t>海南众智诚档案服务有限公司</t>
  </si>
  <si>
    <t>海南君鑫聚缘科技有限公司</t>
  </si>
  <si>
    <t>海南优悦汽车服务有限公司</t>
  </si>
  <si>
    <t>海口臻之隆酒店用品有限公司</t>
  </si>
  <si>
    <t>海南得鑫鑫汽车维修有限公司</t>
  </si>
  <si>
    <t>海南万通畅游科技有限公司</t>
  </si>
  <si>
    <t>海南冠恒房地产投资有限公司</t>
  </si>
  <si>
    <t>海南澳盛体育有限公司</t>
  </si>
  <si>
    <t>海南幻象时空科技有限公司</t>
  </si>
  <si>
    <t>海南正宏机电工程有限公司</t>
  </si>
  <si>
    <t>盛世华保（海南）保安服务有限公司</t>
  </si>
  <si>
    <t>海南华莘农业发展有限公司</t>
  </si>
  <si>
    <t>海南双联汽车智能科技有限公司</t>
  </si>
  <si>
    <t>海南智博科技有限公司</t>
  </si>
  <si>
    <t>海南宏量环保科技有限公司</t>
  </si>
  <si>
    <t>海南顺时针物流有限公司</t>
  </si>
  <si>
    <t>海南泰隆山建材贸易有限公司</t>
  </si>
  <si>
    <t>海口美兰瑞和祥汽配商行群上路店</t>
  </si>
  <si>
    <t>海南合鑫行汽车贸易有限公司</t>
  </si>
  <si>
    <t>海南来米商业服务有限公司</t>
  </si>
  <si>
    <t>海南深联体育发展有限公司</t>
  </si>
  <si>
    <t>汇宸源网络科技（海南）有限公司</t>
  </si>
  <si>
    <t>海南自贸区隆崛汽车销售服务有限公司</t>
  </si>
  <si>
    <t>海南鑫恒泰丰科技有限公司</t>
  </si>
  <si>
    <t>海南云合智能科技有限公司</t>
  </si>
  <si>
    <t>海南李罕诵经文化传播有限公司</t>
  </si>
  <si>
    <t>海南盛鑫达物流有限公司</t>
  </si>
  <si>
    <t>海南哈鑫教育科技有限公司</t>
  </si>
  <si>
    <t>海口康斯科技开发有限公司</t>
  </si>
  <si>
    <t>海南达泰新机电设备有限公司</t>
  </si>
  <si>
    <t>海南聚享新材料科技有限公司</t>
  </si>
  <si>
    <t>海口星建网络科技有限公司</t>
  </si>
  <si>
    <t>海南悦理贸易有限公司</t>
  </si>
  <si>
    <t>海口市鑫建华机械服务有限公司</t>
  </si>
  <si>
    <t>海口鑫同舟餐饮服务有限公司</t>
  </si>
  <si>
    <t>重庆迅驰电气有限公司海南分公司</t>
  </si>
  <si>
    <t>海南驰讯网络科技有限公司</t>
  </si>
  <si>
    <t>海南车安达信息科技有限公司</t>
  </si>
  <si>
    <t>海南广图通信科技有限公司</t>
  </si>
  <si>
    <t>海南舞冀通信科技有限公司</t>
  </si>
  <si>
    <t>海口美兰风庄家政服务中心</t>
  </si>
  <si>
    <t>海南众瑞堂药业有限公司</t>
  </si>
  <si>
    <t>海南谦泰轮胎有限公司</t>
  </si>
  <si>
    <t>海南乐维信息技术有限公司</t>
  </si>
  <si>
    <t>海南礼达建材贸易有限公司</t>
  </si>
  <si>
    <t>海南百晟荟贸易有限公司</t>
  </si>
  <si>
    <t>海南盛世泓创文化产业股份有限公司</t>
  </si>
  <si>
    <t>海口市凯新达再生资源回收有限公司</t>
  </si>
  <si>
    <t>海南诺晰科技有限公司</t>
  </si>
  <si>
    <t>海南天宇行汽车销售服务有限公司</t>
  </si>
  <si>
    <t>海口秀英电盾电子商行</t>
  </si>
  <si>
    <t>海南安路通交通科技有限公司</t>
  </si>
  <si>
    <t>海南赛福汇电子竞技有限公司</t>
  </si>
  <si>
    <t>睿融（海南）电子竞技有限公司</t>
  </si>
  <si>
    <t>海南俣廷科技有限公司</t>
  </si>
  <si>
    <t>海南忻页思信息科技有限公司</t>
  </si>
  <si>
    <t>海南中深建信息技术有限公司</t>
  </si>
  <si>
    <t>海南凯健制药有限公司</t>
  </si>
  <si>
    <t>海口数宏网络科技有限公司</t>
  </si>
  <si>
    <t>海南鑫天盛汽车服务有限公司</t>
  </si>
  <si>
    <t>海口浩轩图文广告有限公司</t>
  </si>
  <si>
    <t>海南集码贸易有限公司</t>
  </si>
  <si>
    <t>海口龙华骏江智能电气商行</t>
  </si>
  <si>
    <t>海南鸿蕴汽车陪练有限公司</t>
  </si>
  <si>
    <t>海口瑞玛家电维修服务有限公司</t>
  </si>
  <si>
    <t>海南索发时代影视科技有限公司</t>
  </si>
  <si>
    <t>海南古今生物科技有限公司</t>
  </si>
  <si>
    <t>海南点亮网络科技有限公司</t>
  </si>
  <si>
    <t>海南自贸区港钰实业有限公司</t>
  </si>
  <si>
    <t>海南爱格乐贸易有限公司</t>
  </si>
  <si>
    <t>海南兴韬智能科技有限公司</t>
  </si>
  <si>
    <t>江苏荣华实验器材有限公司海南分公司</t>
  </si>
  <si>
    <t>海南亚海农业科技有限公司</t>
  </si>
  <si>
    <t>海南枫蓝科技有限公司</t>
  </si>
  <si>
    <t>海口食得客餐饮管理有限公司</t>
  </si>
  <si>
    <t>海口市水资源管理中心</t>
  </si>
  <si>
    <t>海南艺达轩家具有限公司</t>
  </si>
  <si>
    <t>海南睿通电梯工程有限公司</t>
  </si>
  <si>
    <t>海南帕鲁狐文化传播有限公司</t>
  </si>
  <si>
    <t>海南三诚科技有限公司</t>
  </si>
  <si>
    <t>海南胜于蓝信息技术有限公司</t>
  </si>
  <si>
    <t>海南宸兴建设项目管理有限公司</t>
  </si>
  <si>
    <t>信义光能（海口）有限公司</t>
  </si>
  <si>
    <t>海南众联重工工程设备有限公司</t>
  </si>
  <si>
    <t>海南格未科技有限公司</t>
  </si>
  <si>
    <t>海口秀英锐锋达门窗加工店</t>
  </si>
  <si>
    <t>三沙昌岛科技有限公司</t>
  </si>
  <si>
    <t>海南熹润食品有限公司</t>
  </si>
  <si>
    <t>海口龙华鸿源江信息咨询服务中心</t>
  </si>
  <si>
    <t>海南旭麟旸生物科技有限公司</t>
  </si>
  <si>
    <t>海南恒源昌管业有限公司</t>
  </si>
  <si>
    <t>海南好客食餐饮管理有限公司</t>
  </si>
  <si>
    <t>海南康志达科技有限公司</t>
  </si>
  <si>
    <t>海南鲜渔邦餐饮有限公司</t>
  </si>
  <si>
    <t>海南佰骏汽车服务有限公司</t>
  </si>
  <si>
    <t>海口创目艺术培训学校有限公司</t>
  </si>
  <si>
    <t>海口美兰彬广装饰商行</t>
  </si>
  <si>
    <t>海口桐蕊贸易有限公司</t>
  </si>
  <si>
    <t>海南特别特生鲜贸易有限公司</t>
  </si>
  <si>
    <t>海南金屹鑫贸易有限公司</t>
  </si>
  <si>
    <t>海南红舵实业有限公司</t>
  </si>
  <si>
    <t>海南素子生物科技有限公司</t>
  </si>
  <si>
    <t>海南聪日达净水设备有限公司</t>
  </si>
  <si>
    <t>海南长亚音频科技有限公司</t>
  </si>
  <si>
    <t>海南智慧正安科技有限公司</t>
  </si>
  <si>
    <t>海南茜茜里商业管理有限公司</t>
  </si>
  <si>
    <t>海口托肯建材有限公司</t>
  </si>
  <si>
    <t>海南省肉丝珠宝定制有限责任公司</t>
  </si>
  <si>
    <t>海南诺德邦泰健康发展有限公司</t>
  </si>
  <si>
    <t>海口华晟业电脑科技有限公司</t>
  </si>
  <si>
    <t>海南晟诺能源科技有限公司</t>
  </si>
  <si>
    <t>海南云淼智能科技服务有限公司</t>
  </si>
  <si>
    <t>海南泰精典广告装饰有限公司</t>
  </si>
  <si>
    <t>海南海宏翔电子科技有限公司</t>
  </si>
  <si>
    <t>海南平安岛实业有限公司</t>
  </si>
  <si>
    <t>海南嘉德网络通讯服务有限公司</t>
  </si>
  <si>
    <t>海南金岳生物科技有限公司</t>
  </si>
  <si>
    <t>海南诚敬汽车服务有限公司</t>
  </si>
  <si>
    <t>海南佳佰锐科技有限公司</t>
  </si>
  <si>
    <t>海南华昌万佳科技有限公司</t>
  </si>
  <si>
    <t>海口柏利洁清洁服务有限公司</t>
  </si>
  <si>
    <t>海南聚进长弘网络科技有限公司</t>
  </si>
  <si>
    <t>海口繁昌顺贸易有限公司</t>
  </si>
  <si>
    <t>海南省绿之源食品有限公司</t>
  </si>
  <si>
    <t>海南淳研学科技有限公司</t>
  </si>
  <si>
    <t>海南六甲盈仓农业科技有限公司</t>
  </si>
  <si>
    <t>海南海嘉惠科技有限公司</t>
  </si>
  <si>
    <t>海口怡美心通信网络有限公司</t>
  </si>
  <si>
    <t>海南合丰纸业有限公司</t>
  </si>
  <si>
    <t>海南昌佳科技有限公司</t>
  </si>
  <si>
    <t>海南鸿道网络科技有限公司</t>
  </si>
  <si>
    <t>海口翼顺通信服务有限公司</t>
  </si>
  <si>
    <t>海南壹鑫成套设备租赁有限公司</t>
  </si>
  <si>
    <t>海南企叮咚信息科技有限公司</t>
  </si>
  <si>
    <t>海南中宇智联通讯科技有限公司</t>
  </si>
  <si>
    <t>海南鑫路建仪器设备有限公司</t>
  </si>
  <si>
    <t>海口华振翔扬汽车美容服务有限公司</t>
  </si>
  <si>
    <t>海南翼威通讯服务有限公司</t>
  </si>
  <si>
    <t>海口诺鼎人力资源有限公司</t>
  </si>
  <si>
    <t>海口津华地产管理有限公司</t>
  </si>
  <si>
    <t>海南德龙昌盛汽车销售有限公司</t>
  </si>
  <si>
    <t>海南耀邦生物科技有限公司</t>
  </si>
  <si>
    <t>海南云凡东厨酒店用品有限公司</t>
  </si>
  <si>
    <t>海南鑫旭康生物科技有限公司</t>
  </si>
  <si>
    <t>海南聚桓汽车销售服务有限公司</t>
  </si>
  <si>
    <t>海南顶苹广告有限公司</t>
  </si>
  <si>
    <t>海南建安华晟项目管理有限公司</t>
  </si>
  <si>
    <t>海南普润杰科技有限公司</t>
  </si>
  <si>
    <t>海南明思环境有限公司</t>
  </si>
  <si>
    <t>海南卓达环境科技有限公司</t>
  </si>
  <si>
    <t>海南凡游网络科技有限公司</t>
  </si>
  <si>
    <t>海南省奥科环境科技有限公司</t>
  </si>
  <si>
    <t>海南合禄盛科贸有限责任公司</t>
  </si>
  <si>
    <t>海南中颐管理咨询有限公司</t>
  </si>
  <si>
    <t>海南天润工程检测中心有限公司海口分公司</t>
  </si>
  <si>
    <t>海南扬风科技有限公司</t>
  </si>
  <si>
    <t>海南铂亿科技有限公司</t>
  </si>
  <si>
    <t>内蒙古广伟消防工程有限责任公司海口分公司</t>
  </si>
  <si>
    <t>海南澳伽生物科技有限公司</t>
  </si>
  <si>
    <t>海口中和雅居钢结构有限公司</t>
  </si>
  <si>
    <t>海南翼青春通讯服务有限公司</t>
  </si>
  <si>
    <t>海南柏腾科技有限公司</t>
  </si>
  <si>
    <t>海南晨曦云通讯科技有限公司</t>
  </si>
  <si>
    <t>海南格瑞斯通医药科技发展有限公司</t>
  </si>
  <si>
    <t>海口辉耀人力资源服务有限公司</t>
  </si>
  <si>
    <t>海南银丰缘信息科技有限公司</t>
  </si>
  <si>
    <t>海南壹凡伟业网络信息技术有限公司</t>
  </si>
  <si>
    <t>海口志隆自动化科技有限公司</t>
  </si>
  <si>
    <t>海南持禾信息科技有限公司</t>
  </si>
  <si>
    <t>海南火度文化传媒有限公司</t>
  </si>
  <si>
    <t>海岛生活（海南）电子商务有限公司</t>
  </si>
  <si>
    <t>海南瓯盟网络科技有限公司</t>
  </si>
  <si>
    <t>海南燊辉保安服务有限公司</t>
  </si>
  <si>
    <t>海口凤香淳食品有限公司</t>
  </si>
  <si>
    <t>海口豪门优选旧机动车服务有限公司</t>
  </si>
  <si>
    <t>海南德泉汽车服务有限公司</t>
  </si>
  <si>
    <t>海南恩泽机电工程有限公司</t>
  </si>
  <si>
    <t>海南晗宇文化发展有限公司</t>
  </si>
  <si>
    <t>海南世迪创新教育有限公司</t>
  </si>
  <si>
    <t>海南迪牛实业有限公司</t>
  </si>
  <si>
    <t>海南蓝洁公共设施有限公司</t>
  </si>
  <si>
    <t>海南邦彦文化传播有限公司</t>
  </si>
  <si>
    <t>海南风书影贸易有限公司</t>
  </si>
  <si>
    <t>海南自贸区如航科技有限公司</t>
  </si>
  <si>
    <t>海南时代风采影视文化传媒有限公司</t>
  </si>
  <si>
    <t>海南福瑞成汽车服务有限责任公司</t>
  </si>
  <si>
    <t>海口振鸿帆布制品有限公司</t>
  </si>
  <si>
    <t>海口伊信化工贸易有限公司</t>
  </si>
  <si>
    <t>海南泉联盟信息科技有限公司</t>
  </si>
  <si>
    <t>海口洁利达洁具贸易有限公司</t>
  </si>
  <si>
    <t>海南易农网科技发展有限公司</t>
  </si>
  <si>
    <t>海南德永源清环境科技有限公司</t>
  </si>
  <si>
    <t>兄弟文仪电子商务（海南）有限公司</t>
  </si>
  <si>
    <t>海南安守再生资源回收有限公司</t>
  </si>
  <si>
    <t>海南郡锦机电工程有限公司</t>
  </si>
  <si>
    <t>海南兴佳旺贸易有限公司</t>
  </si>
  <si>
    <t>海口永卓项目管理咨询有限公司</t>
  </si>
  <si>
    <t>海南正创测绘有限公司</t>
  </si>
  <si>
    <t>海口中升捷丰汽车销售服务有限公司</t>
  </si>
  <si>
    <t>海南省源生园环保有限责任公司</t>
  </si>
  <si>
    <t>浙江浙大水业有限公司海南分公司</t>
  </si>
  <si>
    <t>海南绿动力环保有限公司</t>
  </si>
  <si>
    <t>海口景辉塑料制品有限公司</t>
  </si>
  <si>
    <t>海南凹凸车保科技有限公司</t>
  </si>
  <si>
    <t>海口康之诚商贸有限公司</t>
  </si>
  <si>
    <t>海口幸谷餐饮管理有限公司</t>
  </si>
  <si>
    <t>果果家（海南自贸区）农业科技有限责任公司</t>
  </si>
  <si>
    <t>海南中琰物流有限公司</t>
  </si>
  <si>
    <t>海南龙湖休闲农业有限公司</t>
  </si>
  <si>
    <t>海南方能科技有限公司</t>
  </si>
  <si>
    <t>海南海胆文化传媒有限公司</t>
  </si>
  <si>
    <t>海南卓凡航空俱乐部有限公司</t>
  </si>
  <si>
    <t>四季森林（海南）环保科技有限公司</t>
  </si>
  <si>
    <t>海南同光传达质量检测有限公司</t>
  </si>
  <si>
    <t>海南其兮网络科技有限公司</t>
  </si>
  <si>
    <t>海南自贸区金都电子商务有限公司</t>
  </si>
  <si>
    <t>海南鑫伟广汽车用品有限公司</t>
  </si>
  <si>
    <t>海南韵嘉美容科技有限公司</t>
  </si>
  <si>
    <t>海口鑫大海电脑科技有限公司第一营业部</t>
  </si>
  <si>
    <t>海口美兰艾米佳办公服务中心</t>
  </si>
  <si>
    <t>海南优康网络科技有限公司</t>
  </si>
  <si>
    <t>海南鑫岛汽车贸易有限公司</t>
  </si>
  <si>
    <t>海南至尊宝灵芝产业开发有限公司</t>
  </si>
  <si>
    <t>海南优之原科技有限公司</t>
  </si>
  <si>
    <t>海南华阳世悦颐和酒店管理有限公司</t>
  </si>
  <si>
    <t>海南凤凰树农业有限公司</t>
  </si>
  <si>
    <t>海南网农信息科技有限公司</t>
  </si>
  <si>
    <t>海口颜碧实业有限公司</t>
  </si>
  <si>
    <t>海南温润贸易有限公司</t>
  </si>
  <si>
    <t>海口生生教育培训有限公司</t>
  </si>
  <si>
    <t>海南雨同文化有限公司</t>
  </si>
  <si>
    <t>海南自贸区中盾迅安科技有限公司</t>
  </si>
  <si>
    <t>海口创悦健身服务有限公司海甸岛分店</t>
  </si>
  <si>
    <t>海南核桃汽车销售有限公司</t>
  </si>
  <si>
    <t>海南腾飞高尔夫发展有限公司</t>
  </si>
  <si>
    <t>海南金沃集装箱服务有限公司</t>
  </si>
  <si>
    <t>海南鸿畅信息科技有限公司</t>
  </si>
  <si>
    <t>海口中惠华普电脑有限公司</t>
  </si>
  <si>
    <t>海南昊翔通信科技有限公司</t>
  </si>
  <si>
    <t>中所科技（海南）有限公司</t>
  </si>
  <si>
    <t>海南金拾凤健康养生管理有限公司</t>
  </si>
  <si>
    <t>海南易动科技有限公司</t>
  </si>
  <si>
    <t>海南宝惠汽车服务有限公司</t>
  </si>
  <si>
    <t>海口塑加实业有限公司</t>
  </si>
  <si>
    <t>海口乐章网络科技有限公司</t>
  </si>
  <si>
    <t>巴斯特尔（海南）咨询服务有限公司</t>
  </si>
  <si>
    <t>中科正德（海南）智能科技有限公司</t>
  </si>
  <si>
    <t>海南鸿承医疗科技有限公司</t>
  </si>
  <si>
    <t>海南鸿之杰舞蹈服装贸易有限公司</t>
  </si>
  <si>
    <t>海南红盛实业有限公司</t>
  </si>
  <si>
    <t>海南诚恩名车专修服务有限公司</t>
  </si>
  <si>
    <t>海南沅康浩文体用品贸易有限公司</t>
  </si>
  <si>
    <t>海南朝燕婉平贸易有限公司</t>
  </si>
  <si>
    <t>海南智崃浍科技有限公司</t>
  </si>
  <si>
    <t>海口昆创网咖</t>
  </si>
  <si>
    <t>海南乾海新能源科技有限公司</t>
  </si>
  <si>
    <t>海南隐谷农业开发有限公司</t>
  </si>
  <si>
    <t>海南铭诚新能源汽车销售有限公司</t>
  </si>
  <si>
    <t>海南中科环亚电子科技有限公司</t>
  </si>
  <si>
    <t>海口华徕测绘仪器有限公司</t>
  </si>
  <si>
    <t>海口易仕岩科技有限公司</t>
  </si>
  <si>
    <t>海南日昌贸易有限公司</t>
  </si>
  <si>
    <t>海南鼎盛源投资管理有限公司</t>
  </si>
  <si>
    <t>海南锦鑫龙汽车服务有限公司</t>
  </si>
  <si>
    <t>海南闽灿实业有限公司</t>
  </si>
  <si>
    <t>海口市好快充科技有限公司</t>
  </si>
  <si>
    <t>广东今日合作办公用品有限公司海南分公司</t>
  </si>
  <si>
    <t>海南嘉鸿映画影视文化传媒有限公司</t>
  </si>
  <si>
    <t>海口音乐靴子文化艺术有限公司</t>
  </si>
  <si>
    <t>海口龙华弘沅汽车真皮装饰服务中心</t>
  </si>
  <si>
    <t>海南长通大通信有限公司</t>
  </si>
  <si>
    <t>海南粤广通科技有限公司</t>
  </si>
  <si>
    <t>海南美乾包装制品有限公司</t>
  </si>
  <si>
    <t>喜乐赢电子竞技（海南）有限公司</t>
  </si>
  <si>
    <t>海南睿意盛达实业有限公司</t>
  </si>
  <si>
    <t>海口骏马机动车检测有限公司</t>
  </si>
  <si>
    <t>海南环信贸易有限公司</t>
  </si>
  <si>
    <t>弗林医疗科技（海南）有限公司</t>
  </si>
  <si>
    <t>海融信盛（海南）科技有限公司</t>
  </si>
  <si>
    <t>海南庄呈信息技术有限公司</t>
  </si>
  <si>
    <t>海南徽艺阁文化发展有限公司</t>
  </si>
  <si>
    <t>海南智爱科技有限公司</t>
  </si>
  <si>
    <t>海南清春科技有限公司</t>
  </si>
  <si>
    <t>海南蓄能发电有限公司</t>
  </si>
  <si>
    <t>海南京唐系置业投资有限公司</t>
  </si>
  <si>
    <t>海南金鼎瑞装饰工程有限公司</t>
  </si>
  <si>
    <t>海口世赛科技有限公司</t>
  </si>
  <si>
    <t>海南先策实业有限公司</t>
  </si>
  <si>
    <t>润建股份有限公司海南分公司</t>
  </si>
  <si>
    <t>海南金益为商贸有限公司</t>
  </si>
  <si>
    <t>海派新能源（海南）有限公司</t>
  </si>
  <si>
    <t>海南瑞华福信医疗科技有限公司</t>
  </si>
  <si>
    <t>海南红明中信瑞银旅游地产投资开发有限公司</t>
  </si>
  <si>
    <t>海南一站到家科技有限公司高新区分公司</t>
  </si>
  <si>
    <t>海口辉胜达汽车维修有限公司</t>
  </si>
  <si>
    <t>海南佳惠欣食品有限公司</t>
  </si>
  <si>
    <t>海口美兰亨得誉商行</t>
  </si>
  <si>
    <t>海口启程汽修服务有限公司</t>
  </si>
  <si>
    <t>中房（海南）康养产业发展有限公司</t>
  </si>
  <si>
    <t>海南星正商贸有限公司</t>
  </si>
  <si>
    <t>海南欣禾天臣贸易有限公司</t>
  </si>
  <si>
    <t>海口美兰鑫金诚兴商行</t>
  </si>
  <si>
    <t>海南龙联管业有限公司</t>
  </si>
  <si>
    <t>海南律动荧屏传媒有限公司</t>
  </si>
  <si>
    <t>海南金兴达汽车租赁有限公司</t>
  </si>
  <si>
    <t>海口杰熙珠宝有限公司</t>
  </si>
  <si>
    <t>海南锦诚食品有限公司</t>
  </si>
  <si>
    <t>海南聚珑废旧物资回收有限公司</t>
  </si>
  <si>
    <t>海口一点通通讯服务有限公司</t>
  </si>
  <si>
    <t>海南果果生缘农业科技有限公司</t>
  </si>
  <si>
    <t>海南雅斯达服饰有限责任公司</t>
  </si>
  <si>
    <t>海南洁伴美美保洁服务有限公司</t>
  </si>
  <si>
    <t>海南百富莱控股有限公司</t>
  </si>
  <si>
    <t>海南宇海通智能科技有限公司</t>
  </si>
  <si>
    <t>海口市琼山区铁炉水库管理中心</t>
  </si>
  <si>
    <t>海南成宇建材有限公司</t>
  </si>
  <si>
    <t>海口美兰馨欣通讯器材商行</t>
  </si>
  <si>
    <t>海南顺通行汽车销售服务有限公司</t>
  </si>
  <si>
    <t>海南卡萌漫克餐饮管理有限公司</t>
  </si>
  <si>
    <t>海南吉塑科技有限公司</t>
  </si>
  <si>
    <t>海南至德安能物流有限公司</t>
  </si>
  <si>
    <t>海南欣城生态环保有限公司</t>
  </si>
  <si>
    <t>海南嘉谦餐饮管理服务有限公司</t>
  </si>
  <si>
    <t>海南六和敬酒店管理有限公司</t>
  </si>
  <si>
    <t>海南万睿城物业服务有限公司</t>
  </si>
  <si>
    <t>海口精诚搏亿科技有限公司美兰分公司</t>
  </si>
  <si>
    <t>海南齐德盛服饰有限公司</t>
  </si>
  <si>
    <t>海南自贸区乙城新能源机电科技有限公司</t>
  </si>
  <si>
    <t>海南博微网络科技有限公司</t>
  </si>
  <si>
    <t>海南海之沁科技有限公司</t>
  </si>
  <si>
    <t>海口联合力拓科技有限公司</t>
  </si>
  <si>
    <t>海南德郁盛农业发展有限公司</t>
  </si>
  <si>
    <t>海南一家人保洁服务有限公司</t>
  </si>
  <si>
    <t>海南弘思贸易有限公司</t>
  </si>
  <si>
    <t>白城市工程建设咨询有限责任公司海南分公司</t>
  </si>
  <si>
    <t>海南康煦恒医疗科技有限公司</t>
  </si>
  <si>
    <t>海南双韵新能源环保有限公司</t>
  </si>
  <si>
    <t>海南海呈网络科技有限公司</t>
  </si>
  <si>
    <t>海南泰扬科技有限公司</t>
  </si>
  <si>
    <t>海南创视佳商贸有限公司</t>
  </si>
  <si>
    <t>海南亿瑞电气有限公司</t>
  </si>
  <si>
    <t>海南匠小二贸易有限公司</t>
  </si>
  <si>
    <t>海口百年嘉美骑楼文化传媒有限责任公司</t>
  </si>
  <si>
    <t>海南宏益体育文化有限公司</t>
  </si>
  <si>
    <t>海口龙华清泉木雕工作室</t>
  </si>
  <si>
    <t>海口兴博电子制冷有限公司</t>
  </si>
  <si>
    <t>海口秀英豫中家电制冷维修部</t>
  </si>
  <si>
    <t>海口市戈拉斯汽配有限责任公司</t>
  </si>
  <si>
    <t>海南舒安汽车租赁有限公司</t>
  </si>
  <si>
    <t>海口旭英贸易有限公司</t>
  </si>
  <si>
    <t>海南庆佳味商业管理有限公司</t>
  </si>
  <si>
    <t>海口市长拓新能源有限公司</t>
  </si>
  <si>
    <t>海南默耕作物营养有限公司</t>
  </si>
  <si>
    <t>海南亿慧实业有限公司</t>
  </si>
  <si>
    <t>海口秀英鑫顺宝汽车修理行</t>
  </si>
  <si>
    <t>海南领翔汽车服务有限公司</t>
  </si>
  <si>
    <t>海南浙城商贸有限公司</t>
  </si>
  <si>
    <t>海南华语科技有限公司</t>
  </si>
  <si>
    <t>海口琼创区块链技术有限公司</t>
  </si>
  <si>
    <t>海南界一科技有限公司</t>
  </si>
  <si>
    <t>海南富跃商贸有限公司</t>
  </si>
  <si>
    <t>海南文氏汽车租赁服务有限公司</t>
  </si>
  <si>
    <t>海南英曼诺恩教育有限公司</t>
  </si>
  <si>
    <t>海南华禹天源酒店用品有限公司</t>
  </si>
  <si>
    <t>海口醛晟环保科技有限公司</t>
  </si>
  <si>
    <t>海南壹夏贸易有限公司</t>
  </si>
  <si>
    <t>海南玖加网络科技有限公司</t>
  </si>
  <si>
    <t>海南宏懿网络电子科技有限公司</t>
  </si>
  <si>
    <t>海南飞华网络图文有限公司</t>
  </si>
  <si>
    <t>海南明程酒店配套设备有限公司</t>
  </si>
  <si>
    <t>海南简微科技有限公司</t>
  </si>
  <si>
    <t>海口聚诚测绘有限公司</t>
  </si>
  <si>
    <t>海口朋达商贸有限公司</t>
  </si>
  <si>
    <t>海南宇旭食品贸易有限公司</t>
  </si>
  <si>
    <t>深圳市拓迈科技有限公司海南分公司</t>
  </si>
  <si>
    <t>海南点速科技有限公司</t>
  </si>
  <si>
    <t>海南原树派环保科技有限公司</t>
  </si>
  <si>
    <t>海南贡果农业科技有限公司</t>
  </si>
  <si>
    <t>海南京珩贸易有限公司</t>
  </si>
  <si>
    <t>海南杰思翰贸易有限公司</t>
  </si>
  <si>
    <t>海南初一十二烘焙有限公司</t>
  </si>
  <si>
    <t>海口龙华甜薯妹糖水小吃店</t>
  </si>
  <si>
    <t>海南纯野灵芝开发有限公司</t>
  </si>
  <si>
    <t>海口鑫超凡电脑科技有限公司</t>
  </si>
  <si>
    <t>海口迅铃汽车维修服务有限公司</t>
  </si>
  <si>
    <t>海南佳易洁清洁服务有限公司</t>
  </si>
  <si>
    <t>海南保驾护航游艇俱乐部有限公司</t>
  </si>
  <si>
    <t>海南源安隆物业管理有限公司</t>
  </si>
  <si>
    <t>海南亿周科技有限公司</t>
  </si>
  <si>
    <t>海南中海港务物流有限公司</t>
  </si>
  <si>
    <t>海口秀英退伍老兵汽车服务中心</t>
  </si>
  <si>
    <t>海南塞北粮仓农业发展有限公司</t>
  </si>
  <si>
    <t>电游世家科技（海南）有限公司</t>
  </si>
  <si>
    <t>海南立迪汽车销售服务有限公司</t>
  </si>
  <si>
    <t>海南丰正华投资有限公司</t>
  </si>
  <si>
    <t>海南海岛合众检测科技有限公司</t>
  </si>
  <si>
    <t>海南归园客居文旅运营管理有限公司</t>
  </si>
  <si>
    <t>中福华康（海南）农业开发有限公司</t>
  </si>
  <si>
    <t>海南自贸区柒壹投资发展有限公司</t>
  </si>
  <si>
    <t>海南环泰检测技术有限公司</t>
  </si>
  <si>
    <t>海南巨贤生物科技有限公司</t>
  </si>
  <si>
    <t>海口龙华琼菱南通风设备部</t>
  </si>
  <si>
    <t>海南省智慧环境投资控股有限公司</t>
  </si>
  <si>
    <t>海南智联合创水务设备工程有限公司</t>
  </si>
  <si>
    <t>海南欧维尔科技有限公司</t>
  </si>
  <si>
    <t>海南嘉胜联合网络工程有限公司</t>
  </si>
  <si>
    <t>海南蓝冠矿泉水有限公司</t>
  </si>
  <si>
    <t>海南浩方知识产权服务有限公司</t>
  </si>
  <si>
    <t>海南金海湾珠宝有限公司</t>
  </si>
  <si>
    <t>海南拓昌体育产业有限公司</t>
  </si>
  <si>
    <t xml:space="preserve"> 海南祥慧缘贸易有限公司 </t>
  </si>
  <si>
    <t>海南欧锋科技有限公司</t>
  </si>
  <si>
    <t>海口万顺通商贸有限公司</t>
  </si>
  <si>
    <t>海南环宇农业科技有限公司</t>
  </si>
  <si>
    <t>海口众唐科技有限公司</t>
  </si>
  <si>
    <t>海南方沽科技有限公司</t>
  </si>
  <si>
    <t>海南腾耀汇木艺有限公司</t>
  </si>
  <si>
    <t>海南天工龙腾智能科技有限公司</t>
  </si>
  <si>
    <t>海口鑫盛华印刷有限公司</t>
  </si>
  <si>
    <t>海南八个六家政服务有限公司</t>
  </si>
  <si>
    <t>海南斌腾石斛酒业有限公司</t>
  </si>
  <si>
    <t>海南云虹生活健康管理有限公司</t>
  </si>
  <si>
    <t>海南信和缘汽车服务有限公司</t>
  </si>
  <si>
    <t>海南昌盟木业开发有限公司</t>
  </si>
  <si>
    <t>海南安寓环保科技有限公司</t>
  </si>
  <si>
    <t>海南艾尚佳家政服务有限公司</t>
  </si>
  <si>
    <t>海南条东其保洁服务有限公司</t>
  </si>
  <si>
    <t>海南烁泰环保科技有限公司</t>
  </si>
  <si>
    <t>海南思潼体育文化传播有限公司</t>
  </si>
  <si>
    <t>海南耳道世家养生保健服务有限公司</t>
  </si>
  <si>
    <t>海南芒果色彩科技有限公司</t>
  </si>
  <si>
    <t>酥鲜生（海南）食品有限公司</t>
  </si>
  <si>
    <t>海南华庭智能科技有限公司</t>
  </si>
  <si>
    <t>海南壁啪已体育中介代理服务有限公司</t>
  </si>
  <si>
    <t>海南广易智慧新营销有限公司</t>
  </si>
  <si>
    <t>海南福迪源农业发展有限公司</t>
  </si>
  <si>
    <t>海南柏希美容服务咨询有限公司</t>
  </si>
  <si>
    <t>海南省芳香世家美容美业有限责任公司</t>
  </si>
  <si>
    <t>海南朴灵健身管理有限公司</t>
  </si>
  <si>
    <t>海口福华美农业综合开发有限公司</t>
  </si>
  <si>
    <t>海口市湿地保护管理中心</t>
  </si>
  <si>
    <t>海南鸿熙科技有限公司</t>
  </si>
  <si>
    <t>海口市长城堵海工程管理所</t>
  </si>
  <si>
    <t>海南鑫海汇贸易有限公司</t>
  </si>
  <si>
    <t>海南综联汇食品有限公司</t>
  </si>
  <si>
    <t>海南雅德利实业有限公司</t>
  </si>
  <si>
    <t>海口奋达环卫设备有限公司</t>
  </si>
  <si>
    <t>海南海蔚蓝新能源汽车销售服务有限公司</t>
  </si>
  <si>
    <t>海南伟奕铝业有限公司</t>
  </si>
  <si>
    <t>海口德远信汽车服务有限公司</t>
  </si>
  <si>
    <t>海南亮鹏科技有限公司</t>
  </si>
  <si>
    <t>海南华东翔瑞物业管理有限公司</t>
  </si>
  <si>
    <t>海口龙华鑫顺隆汽配中心</t>
  </si>
  <si>
    <t>海南用得顺信息科技有限公司</t>
  </si>
  <si>
    <t>海南蒙之量食品有限公司</t>
  </si>
  <si>
    <t>海南噢呀啦旅游管理有限公司</t>
  </si>
  <si>
    <t>广东岩迪机械设备有限公司海口分公司</t>
  </si>
  <si>
    <t>海口汇杰信息科技有限公司</t>
  </si>
  <si>
    <t>海南海岛贝贝母婴用品有限公司</t>
  </si>
  <si>
    <t>海南晟泰机电有限公司</t>
  </si>
  <si>
    <t>海南翊升环保科技有限责任公司</t>
  </si>
  <si>
    <t>海口宏万贸易有限公司</t>
  </si>
  <si>
    <t>海南湘水泉贸易有限公司</t>
  </si>
  <si>
    <t>海南玩石德珠宝有限公司</t>
  </si>
  <si>
    <t>海南向日葵汽车租赁有限公司</t>
  </si>
  <si>
    <t>海南鑫盛和印务有限公司</t>
  </si>
  <si>
    <t>海南甬江建材科技有限公司</t>
  </si>
  <si>
    <t>海南天昂汽车销售有限公司</t>
  </si>
  <si>
    <t>海南睿诚酒店用品有限公司</t>
  </si>
  <si>
    <t>海南水立德科技有限公司</t>
  </si>
  <si>
    <t>海南佳盛欣医疗科技有限公司</t>
  </si>
  <si>
    <t>海口世亿名山商贸有限公司</t>
  </si>
  <si>
    <t>海南新淡水进出口贸易有限公司</t>
  </si>
  <si>
    <t>海口龙华车旋风领航汽车维修养护中心</t>
  </si>
  <si>
    <t>明宇天华（海南）科技有限公司</t>
  </si>
  <si>
    <t>广州赛姆科技资讯股份有限公司海南分公司</t>
  </si>
  <si>
    <t>海口琼山玛沅昇汽车维修服务中心</t>
  </si>
  <si>
    <t>佩洛西（海南）食品科技有限公司</t>
  </si>
  <si>
    <t>海南廉茂石材装饰材料有限公司</t>
  </si>
  <si>
    <t>海南谟宇贸易有限公司</t>
  </si>
  <si>
    <t>海南鑫福源健康产业有限公司</t>
  </si>
  <si>
    <t>海南中房云车贸易有限公司</t>
  </si>
  <si>
    <t>广东合力叉车有限公司海南分公司</t>
  </si>
  <si>
    <t>海口金泽汽车配件有限公司</t>
  </si>
  <si>
    <t>海南钰良汽保设备销售有限公司</t>
  </si>
  <si>
    <t>海南义和科技有限公司</t>
  </si>
  <si>
    <t>海南诚丰汽车有限公司</t>
  </si>
  <si>
    <t>卜蜂（海南）农业发展有限公司</t>
  </si>
  <si>
    <t>海南车骋饰界汽车服务有限公司</t>
  </si>
  <si>
    <t>海南林一方林业调查规划咨询有限公司</t>
  </si>
  <si>
    <t>海口车之超汽车维修服务有限公司</t>
  </si>
  <si>
    <t>海南易朗行科技有限公司</t>
  </si>
  <si>
    <t>氧之岛（海南）健康咨询管理技术有限公司</t>
  </si>
  <si>
    <t>海南仁孚行科技有限公司</t>
  </si>
  <si>
    <t>海南万路达汽车服务有限公司</t>
  </si>
  <si>
    <t>海南逸站电子商务有限公司</t>
  </si>
  <si>
    <t>海南绿野鲜送农业有限公司</t>
  </si>
  <si>
    <t>海口理想阳光眼镜有限公司</t>
  </si>
  <si>
    <t>海南联合京瓷科技有限公司</t>
  </si>
  <si>
    <t>海南和光喜舍商务服务有限公司</t>
  </si>
  <si>
    <t>海南呈奇建筑器材租赁有限公司</t>
  </si>
  <si>
    <t>海口晶花贸易有限公司</t>
  </si>
  <si>
    <t>海口市琼山区新民林场</t>
  </si>
  <si>
    <t>海口市琼山区云龙水库管理中心</t>
  </si>
  <si>
    <t>海南鸿筑交通建设有限公司</t>
  </si>
  <si>
    <t>海南速诚贸易有限公司</t>
  </si>
  <si>
    <t>海南瀚然兄弟建设工程有限公司</t>
  </si>
  <si>
    <t>海南驰航实业有限公司</t>
  </si>
  <si>
    <t>海口市永庄水库管理所</t>
  </si>
  <si>
    <t>海南聚禧汽车销售服务有限公司</t>
  </si>
  <si>
    <t>海南文友办公用品有限公司</t>
  </si>
  <si>
    <t>海南自贸区柜匠家居有限公司</t>
  </si>
  <si>
    <t>海南翔哲轩贸易有限公司</t>
  </si>
  <si>
    <t>海南未来生物科技有限公司</t>
  </si>
  <si>
    <t>海南商惠彩之虹商业管理有限公司</t>
  </si>
  <si>
    <t>湖南凯诚机电工程有限公司海南分公司</t>
  </si>
  <si>
    <t>海南世嘉亮科技有限公司</t>
  </si>
  <si>
    <t>海南易配速达科技有限公司</t>
  </si>
  <si>
    <t>海口磐泰医疗器械有限公司</t>
  </si>
  <si>
    <t>海南易宏商贸有限公司</t>
  </si>
  <si>
    <t>北京星震同源数字系统股份有限公司海南分公司</t>
  </si>
  <si>
    <t>海南浩宇网络科技有限公司</t>
  </si>
  <si>
    <t>海口巨势广告传媒有限公司</t>
  </si>
  <si>
    <t>海南东健业网络科技有限公司</t>
  </si>
  <si>
    <t>海南骏贤信息科技有限公司</t>
  </si>
  <si>
    <t>海南铭捷电器贸易有限公司</t>
  </si>
  <si>
    <t>海南和厚道路运输有限公司</t>
  </si>
  <si>
    <t>海南连通达汽车销售服务有限公司</t>
  </si>
  <si>
    <t>海南中升星辉汽车销售服务有限公司</t>
  </si>
  <si>
    <t>海南珠玑文化体育产业发展有限公司</t>
  </si>
  <si>
    <t>北京正诚蓝视科技有限公司海南研发中心</t>
  </si>
  <si>
    <t>海南鸿英信息科技有限公司</t>
  </si>
  <si>
    <t>海南耀晟贸易有限公司</t>
  </si>
  <si>
    <t>海南梁花姐餐饮有限公司</t>
  </si>
  <si>
    <t>海口龙华煌利防盗门专卖店</t>
  </si>
  <si>
    <t>海南啸寅商贸有限公司</t>
  </si>
  <si>
    <t>海南车瑞诚汽车服务有限公司</t>
  </si>
  <si>
    <t>海南狄锐图智能科技有限公司</t>
  </si>
  <si>
    <t>海南巨艳网络科技有限公司</t>
  </si>
  <si>
    <t>中博鑫鼎信息工程有限公司</t>
  </si>
  <si>
    <t>四川融锦创汇商贸有限公司海南分公司</t>
  </si>
  <si>
    <t>海南京腾百里科技有限公司</t>
  </si>
  <si>
    <t>海南兴晖百合家俱有限公司</t>
  </si>
  <si>
    <t>海南粤浪汽车服务有限公司</t>
  </si>
  <si>
    <t>大酺光合文化（海南）有限责任公司</t>
  </si>
  <si>
    <t>海南青屿婚纱摄影有限公司</t>
  </si>
  <si>
    <t>海口易融鑫商务信息咨询服务有限公司</t>
  </si>
  <si>
    <t>九州鼎盛（海南）体育文化发展有限公司</t>
  </si>
  <si>
    <t>中云国际体育文化传播有限公司</t>
  </si>
  <si>
    <t>海南美诚健康咨询服务有限公司</t>
  </si>
  <si>
    <t>海口维度养生美容美发有限公司</t>
  </si>
  <si>
    <t>海南海岛味道商贸有限公司</t>
  </si>
  <si>
    <t>海南禾枫环境发展有限公司</t>
  </si>
  <si>
    <t>海南正跃体育服务有限公司</t>
  </si>
  <si>
    <t>海南蝉一健康管理有限公司</t>
  </si>
  <si>
    <t>海南迈镁锐大健康管理有限公司</t>
  </si>
  <si>
    <t>海南太好吃食品有限公司</t>
  </si>
  <si>
    <t>海南爱尚宝贝健康服务有限公司</t>
  </si>
  <si>
    <t>海南竹绿健康养生有限公司</t>
  </si>
  <si>
    <t>深浅（海南）贸易有限公司</t>
  </si>
  <si>
    <t>海口玖佰美容美发有限公司</t>
  </si>
  <si>
    <t>海南卓越风行汽车销售服务有限公司</t>
  </si>
  <si>
    <t>海南同轩乐文化传媒有限公司</t>
  </si>
  <si>
    <t>海口玖捌美容美发有限公司</t>
  </si>
  <si>
    <t>海南小码奔腾科技有限公司</t>
  </si>
  <si>
    <t>海口萱梓物业配套服务有限公司</t>
  </si>
  <si>
    <t>海南允升汽车服务有限公司</t>
  </si>
  <si>
    <t>海南奇祥伊恩汽车销售服务有限公司</t>
  </si>
  <si>
    <t>北京元速科技有限公司海南分公司</t>
  </si>
  <si>
    <t>中明互联网平台（海南）有限公司</t>
  </si>
  <si>
    <t>海南鑫信诺食品有限公司</t>
  </si>
  <si>
    <t>海南佳铭办公设备有限公司</t>
  </si>
  <si>
    <t>海南伟创科技有限公司</t>
  </si>
  <si>
    <t>城市猎人射击俱乐部（海南自贸区）有限公司</t>
  </si>
  <si>
    <t>海南鸭小侠餐饮有限公司</t>
  </si>
  <si>
    <t>海南鹰卓尚体育有限公司</t>
  </si>
  <si>
    <t>海口兴铄网络科技有限公司</t>
  </si>
  <si>
    <t>海南宏昇科技有限公司</t>
  </si>
  <si>
    <t>海南悦发机械设备有限公司</t>
  </si>
  <si>
    <t>海南维方科技有限公司</t>
  </si>
  <si>
    <t>海南铭桐锐实业有限公司</t>
  </si>
  <si>
    <t>海口众壹体育文化有限公司</t>
  </si>
  <si>
    <t>海南弘瑞鼎企业咨询有限公司</t>
  </si>
  <si>
    <t>海南圣顺图文快印有限公司</t>
  </si>
  <si>
    <t>海南正超贸易有限公司</t>
  </si>
  <si>
    <t>海南希铬金属门窗有限公司</t>
  </si>
  <si>
    <t>海南欣鑫山贸易有限公司</t>
  </si>
  <si>
    <t>海南励智体育文化有限公司</t>
  </si>
  <si>
    <t>海南舒美服饰有限公司</t>
  </si>
  <si>
    <t>海南踏海海洋科技有限公司</t>
  </si>
  <si>
    <t>海口远通驾驶员培训有限公司</t>
  </si>
  <si>
    <t>海南悦达创亿汽车服务有限公司</t>
  </si>
  <si>
    <t>海南瑞祥美源能源科技有限公司</t>
  </si>
  <si>
    <t>海南艾尚文化传媒有限公司</t>
  </si>
  <si>
    <t>海口优格瑜伽健身有限公司</t>
  </si>
  <si>
    <t>海南凯俪健康管理有限公司</t>
  </si>
  <si>
    <t>海南英联神精节苷脂科技有限公司</t>
  </si>
  <si>
    <t>国为环境工程（海南）有限公司</t>
  </si>
  <si>
    <t>海南闲乡田食品科技有限公司</t>
  </si>
  <si>
    <t>海南恒润翔建材有限公司</t>
  </si>
  <si>
    <t>海口奇奕体育有限公司</t>
  </si>
  <si>
    <t>海南天籁之声音响科技有限公司</t>
  </si>
  <si>
    <t>海南众富生物科技有限公司</t>
  </si>
  <si>
    <t>海南美略展览有限公司</t>
  </si>
  <si>
    <t>海南美日农业科技有限公司</t>
  </si>
  <si>
    <t>海南鸿正新材料科技有限公司</t>
  </si>
  <si>
    <t>海南窨征欣健康管理有限公司</t>
  </si>
  <si>
    <t>海南自贸区昱日盛实业有限公司</t>
  </si>
  <si>
    <t>沐梵天（海南）瑜伽有限公司</t>
  </si>
  <si>
    <t>海南帝俊网络科技有限公司</t>
  </si>
  <si>
    <t>馨猫美业（海口）有限公司</t>
  </si>
  <si>
    <t>海口美人鱼旅拍婚纱摄影有限公司</t>
  </si>
  <si>
    <t>海南曼伽文化传媒有限公司</t>
  </si>
  <si>
    <t>海南城溪智能科技有限公司</t>
  </si>
  <si>
    <t>海南兵团农业发展有限公司</t>
  </si>
  <si>
    <t>海南福瑞堂健康养生有限公司</t>
  </si>
  <si>
    <t>海口昌宝纸业有限公司</t>
  </si>
  <si>
    <t>容磁（中国）有限公司</t>
  </si>
  <si>
    <t>海南鲜知信息科技有限公司</t>
  </si>
  <si>
    <t>海南格子农业科技有限公司</t>
  </si>
  <si>
    <t>海南无感网络科技有限公司</t>
  </si>
  <si>
    <t>海口润百业广告制作部</t>
  </si>
  <si>
    <t>深圳市长途汽车客运有限公司海口维修厂</t>
  </si>
  <si>
    <t>海南众联智能科技有限公司</t>
  </si>
  <si>
    <t>海南鑫通环保工程服务有限公司</t>
  </si>
  <si>
    <t>海南莲韵环境治理管理有限公司</t>
  </si>
  <si>
    <t>海口秀英洋葱小郡肝串串香火锅店</t>
  </si>
  <si>
    <t>腾米商务服务（海南自贸区）有限公司</t>
  </si>
  <si>
    <t>海口秀英优莎蜜尔食品店</t>
  </si>
  <si>
    <t>海南博盛仪器设备有限公司</t>
  </si>
  <si>
    <t>海南斌果汽车租赁有限公司</t>
  </si>
  <si>
    <t>汉唐熙泽（海南）国际贸易有限公司</t>
  </si>
  <si>
    <t>海南启点丰联网络科技有限公司</t>
  </si>
  <si>
    <t>海口荣星工程机械有限公司</t>
  </si>
  <si>
    <t>海南国展智能光电科技有限公司</t>
  </si>
  <si>
    <t>海南万顺贸易有限公司</t>
  </si>
  <si>
    <t>海口美兰畅发商行</t>
  </si>
  <si>
    <t>海口龙华健信车易坊汽车服务中心</t>
  </si>
  <si>
    <t>海南椰岛创新旅游投资有限公司</t>
  </si>
  <si>
    <t>海南畅家盈科技有限公司</t>
  </si>
  <si>
    <t>海南青成汽车销售有限公司</t>
  </si>
  <si>
    <t>海口赛百思贸易有限公司</t>
  </si>
  <si>
    <t>海口林秋塑料制品有限公司</t>
  </si>
  <si>
    <t>海南明鑫联盟网络科技有限公司</t>
  </si>
  <si>
    <t>海南通伟华环保科技有限公司</t>
  </si>
  <si>
    <t>海口星星之火办公设备有限公司</t>
  </si>
  <si>
    <t>海南道兴隆实业有限公司</t>
  </si>
  <si>
    <t>海口琼山万杰通家电维修店</t>
  </si>
  <si>
    <t>海口美兰鑫意龙汽车美容维修中心</t>
  </si>
  <si>
    <t>海南艺果果蔬贸易有限公司</t>
  </si>
  <si>
    <t>海南大简贸易有限公司</t>
  </si>
  <si>
    <t>杭州新宇盛时钟表维修有限公司海口分公司</t>
  </si>
  <si>
    <t>海南信立汽车服务有限公司</t>
  </si>
  <si>
    <t>农乡牧（海口市）农产品有限责任公司</t>
  </si>
  <si>
    <t>海南云梦科技有限公司</t>
  </si>
  <si>
    <t>海南健坤光电科技有限公司</t>
  </si>
  <si>
    <t>海南珍润生物工程有限公司</t>
  </si>
  <si>
    <t>海南优诺美生物科技有限公司</t>
  </si>
  <si>
    <t>海口汇紫椰食品有限公司</t>
  </si>
  <si>
    <t>海南思宇商贸有限公司</t>
  </si>
  <si>
    <t>海南立达玻璃有限公司</t>
  </si>
  <si>
    <t>海口华宇全通物流有限公司</t>
  </si>
  <si>
    <t>海南翔越贸易有限公司</t>
  </si>
  <si>
    <t>海南琼雀互动网络科技有限公司</t>
  </si>
  <si>
    <t>海南富麒物流有限公司</t>
  </si>
  <si>
    <t>海南云端无人机科技服务有限公司</t>
  </si>
  <si>
    <t>海南红橙时代科技有限公司</t>
  </si>
  <si>
    <t>海南米家网络科技有限公司</t>
  </si>
  <si>
    <t>海南航冠智能科技有限公司</t>
  </si>
  <si>
    <t>海南金誉科技有限公司</t>
  </si>
  <si>
    <t>海南易发信息科技有限公司</t>
  </si>
  <si>
    <t>海南粤佳园贸易有限公司</t>
  </si>
  <si>
    <t>海南渔翔生物科技有限公司</t>
  </si>
  <si>
    <t>海南硕博科技信息有限公司</t>
  </si>
  <si>
    <t>广东省冶金建筑设计研究院有限公司海南分公司</t>
  </si>
  <si>
    <t>海口优贝贝超市运营有限公司</t>
  </si>
  <si>
    <t>海南一婉红茶业销售管理有限公司</t>
  </si>
  <si>
    <t>海南万宁嘉园物业管理服务有限公司海口分公司</t>
  </si>
  <si>
    <t>海南子不语文化传媒有限公司</t>
  </si>
  <si>
    <t>海南车驰汽车服务有限公司</t>
  </si>
  <si>
    <t>海口龙华鑫羽专业汽车空调店</t>
  </si>
  <si>
    <t>海口市钢实五金制品有限公司</t>
  </si>
  <si>
    <t>海南唯菘轩食品有限公司</t>
  </si>
  <si>
    <t>海南多特教育咨询有限公司</t>
  </si>
  <si>
    <t>海南飞杨建材有限公司</t>
  </si>
  <si>
    <t>海南玉桂汽车配件有限公司</t>
  </si>
  <si>
    <t>海南宜之顺环保科技有限公司</t>
  </si>
  <si>
    <t>海口市米其禾医疗科技有限公司</t>
  </si>
  <si>
    <t>海口郭记三晋餐饮服务有限公司</t>
  </si>
  <si>
    <t>河北毅臻保安服务有限公司海口分公司</t>
  </si>
  <si>
    <t>海南谷菲电子竞技有限公司</t>
  </si>
  <si>
    <t>海南奥体通体育文化发展有限公司</t>
  </si>
  <si>
    <t>海口莱鑫水利管理业有限公司</t>
  </si>
  <si>
    <t>海南大江体育文化发展有限公司</t>
  </si>
  <si>
    <t>海南健兴健康服务有限公司</t>
  </si>
  <si>
    <t>海南净氧环保科技有限公司</t>
  </si>
  <si>
    <t>海南磅礴体育赛事服务有限公司</t>
  </si>
  <si>
    <t>海口零零妖汽车服务有限公司</t>
  </si>
  <si>
    <t>海南旭诺废旧物资回收有限公司</t>
  </si>
  <si>
    <t>海南迅悦信息技术有限公司</t>
  </si>
  <si>
    <t>菁品会（海南自贸区）科技有限公司</t>
  </si>
  <si>
    <t>海南蜡笔网络科技有限公司</t>
  </si>
  <si>
    <t>海南五方聚善餐饮管理服务有限公司</t>
  </si>
  <si>
    <t>浙江中合工程管理有限公司海口分公司</t>
  </si>
  <si>
    <t>海南宝帅实业有限公司</t>
  </si>
  <si>
    <t>海南祥凯园林绿化工程有限公司</t>
  </si>
  <si>
    <t>海南范后生物科技有限公司</t>
  </si>
  <si>
    <t>海南乾一文化传媒有限公司</t>
  </si>
  <si>
    <t>海南鹏源水环境治理科技有限公司</t>
  </si>
  <si>
    <t>海南常间书局文化传播有限公司万绿园分店</t>
  </si>
  <si>
    <t>海南傲世体育文化发展有限公司</t>
  </si>
  <si>
    <t>海口洋曌金宏装璜有限公司</t>
  </si>
  <si>
    <t>海南三晋体育文化有限公司</t>
  </si>
  <si>
    <t>海南省椰童体育组织有限责任公司</t>
  </si>
  <si>
    <t>海南悦目家电清洗有限公司</t>
  </si>
  <si>
    <t>海南黔酒贸易发展有限公司</t>
  </si>
  <si>
    <t>海南田田久久健康产业有限公司</t>
  </si>
  <si>
    <t>海南海口世巷计算机制造有限责任公司</t>
  </si>
  <si>
    <t>海南商源旅游投资有限公司</t>
  </si>
  <si>
    <t>海南兴众鑫贸易有限公司</t>
  </si>
  <si>
    <t>海南小手印儿童摄影有限公司</t>
  </si>
  <si>
    <t>海南铭城锦轩家具有限公司</t>
  </si>
  <si>
    <t>海南艾威客体育有限公司</t>
  </si>
  <si>
    <t>海南绿岩景观工程有限公司</t>
  </si>
  <si>
    <t>海南沐慈美容养生有限公司</t>
  </si>
  <si>
    <t>弘成（海南）体育文化发展有限公司</t>
  </si>
  <si>
    <t>海南翌顺通健康服务有限公司</t>
  </si>
  <si>
    <t>海南金五体育发展有限公司</t>
  </si>
  <si>
    <t>海南广益环境工程有限公司</t>
  </si>
  <si>
    <t>海南精创网络科技有限公司</t>
  </si>
  <si>
    <t>海南易通达实业有限公司</t>
  </si>
  <si>
    <t>海南盈盛元商务咨询有限公司</t>
  </si>
  <si>
    <t>海南宇廷文宪科技有限公司</t>
  </si>
  <si>
    <t>海南显东科技有限公司</t>
  </si>
  <si>
    <t>海南元立人工智能科技有限公司</t>
  </si>
  <si>
    <t>海南宏昌汽车服务有限公司</t>
  </si>
  <si>
    <t>海南保丰农业有限公司</t>
  </si>
  <si>
    <t>海南联诚交通安全防护装备科技有限公司</t>
  </si>
  <si>
    <t>海南中景房地产营销策划有限公司</t>
  </si>
  <si>
    <t>海南邓发顺贸易有限公司</t>
  </si>
  <si>
    <t>海南捷翔广告传媒有限公司</t>
  </si>
  <si>
    <t>海南时利和贸易有限公司</t>
  </si>
  <si>
    <t>海南盛盛缘科技有限公司</t>
  </si>
  <si>
    <t>海南鸿鑫创想科技有限公司</t>
  </si>
  <si>
    <t>海口日之星汽车驾驶培训有限公司</t>
  </si>
  <si>
    <t>海南得众信汽车租赁有限公司</t>
  </si>
  <si>
    <t>海口海蓝蓝研学旅行咨询服务有限公司</t>
  </si>
  <si>
    <t>海南优电快充智能科技有限公司</t>
  </si>
  <si>
    <t>聚心（海南）供应链管理有限公司</t>
  </si>
  <si>
    <t>海口瑞雪达制冷工程有限公司</t>
  </si>
  <si>
    <t>海南速鸿合网络科技有限公司</t>
  </si>
  <si>
    <t>海口鹏慧商贸有限公司</t>
  </si>
  <si>
    <t>海南汽车管家汽车销售服务有限公司</t>
  </si>
  <si>
    <t>海南易栖旅游项目开发有限公司</t>
  </si>
  <si>
    <t>海南晨香源汽车贸易有限公司</t>
  </si>
  <si>
    <t>海南家裕贸易有限公司</t>
  </si>
  <si>
    <t>海南乐天国际旅行社有限公司</t>
  </si>
  <si>
    <t>海南伴手礼文化发展有限公司</t>
  </si>
  <si>
    <t>海南城交金码科技有限公司</t>
  </si>
  <si>
    <t>海南恒城兴实业有限公司</t>
  </si>
  <si>
    <t>盛昌眼镜（海南）有限公司</t>
  </si>
  <si>
    <t>海南旺俊再生资源有限公司</t>
  </si>
  <si>
    <t>海南亮焰科技有限公司</t>
  </si>
  <si>
    <t>海南首欧贸易有限公司</t>
  </si>
  <si>
    <t>海南寰泰农林科技有限公司</t>
  </si>
  <si>
    <t>海南凌讯通信设备有限公司</t>
  </si>
  <si>
    <t>海口亚洲人家园电子商务有限公司</t>
  </si>
  <si>
    <t>海南思瑞科技有限公司</t>
  </si>
  <si>
    <t>海南广德源水产品有限公司</t>
  </si>
  <si>
    <t>海南口袋科技有限公司</t>
  </si>
  <si>
    <t>海南喜荟缘商贸有限公司</t>
  </si>
  <si>
    <t>海口三禾体育文化有限公司</t>
  </si>
  <si>
    <t>海南瑞妍熙医疗美容有限公司</t>
  </si>
  <si>
    <t>海南宗南环境工程有限公司</t>
  </si>
  <si>
    <t>海南祥万道源科技有限公司</t>
  </si>
  <si>
    <t>海南宏凯医疗设备有限公司</t>
  </si>
  <si>
    <t>海口汇广源食品加工有限公司</t>
  </si>
  <si>
    <t>穗芳工艺（海南）有限公司</t>
  </si>
  <si>
    <t>海南德龙食品有限公司</t>
  </si>
  <si>
    <t>海南青木映像摄影有限公司</t>
  </si>
  <si>
    <t>海南德中体育文化传播有限公司</t>
  </si>
  <si>
    <t>浩盛体育（海南）有限公司</t>
  </si>
  <si>
    <t>中科仪器（海南自贸区）有限公司</t>
  </si>
  <si>
    <t>海南九木体育文化有限公司</t>
  </si>
  <si>
    <t>海口三在堂医药科技有限公司</t>
  </si>
  <si>
    <t>海南奇佳工程材料有限公司</t>
  </si>
  <si>
    <t>海南若克梅文化传播有限公司</t>
  </si>
  <si>
    <t>海口源之凯工程设备有限公司</t>
  </si>
  <si>
    <t>海南三润木业有限公司</t>
  </si>
  <si>
    <t>海口宇欣民机动车检测有限公司</t>
  </si>
  <si>
    <t>海南深厚创举影视科技有限公司</t>
  </si>
  <si>
    <t>海南鸿盛安科技有限公司</t>
  </si>
  <si>
    <t>海南省海途蔚来教育培训有限公司</t>
  </si>
  <si>
    <t>海南金元优品贸易有限公司</t>
  </si>
  <si>
    <t>海南晨欣家居家居定制有限公司</t>
  </si>
  <si>
    <t>海口秀英刘玉铎豆制品加工店</t>
  </si>
  <si>
    <t>海南卓视科技有限公司</t>
  </si>
  <si>
    <t>海南卓顺环保科技有限公司</t>
  </si>
  <si>
    <t>广东绘宇智能勘测科技有限公司海南分公司</t>
  </si>
  <si>
    <t>海南兴顺隆汽车维修有限公司</t>
  </si>
  <si>
    <t>海口美兰戴源电脑维修中心</t>
  </si>
  <si>
    <t>海南豪事杰实业有限公司</t>
  </si>
  <si>
    <t>海南云领创新科技有限公司</t>
  </si>
  <si>
    <t>海南南恩实业有限公司</t>
  </si>
  <si>
    <t>海南名康益元健康管理有限公司</t>
  </si>
  <si>
    <t>海南易正科技有限公司</t>
  </si>
  <si>
    <t>自产自销（海南省）贸易有限责任公司</t>
  </si>
  <si>
    <t>深圳市宏业基投资有限公司海南分公司</t>
  </si>
  <si>
    <t>海南吉品尊享汽车销售服务有限公司</t>
  </si>
  <si>
    <t>海南寻乡农业信息科技有限公司</t>
  </si>
  <si>
    <t>海口市税睡税计算机制造有限公司</t>
  </si>
  <si>
    <t>海南仁道实业有限公司</t>
  </si>
  <si>
    <t>海南清大润邦教育培训有限公司</t>
  </si>
  <si>
    <t>海南环城通文化传媒有限公司</t>
  </si>
  <si>
    <t>海南恒晟远丰图文设备有限公司</t>
  </si>
  <si>
    <t>海南鑫与诚汽车销售服务有限公司</t>
  </si>
  <si>
    <t>海口琼山焊研五金电动工具商行</t>
  </si>
  <si>
    <t>海南迪泉供水设备有限公司</t>
  </si>
  <si>
    <t>海口龙华兴易电子服务中心</t>
  </si>
  <si>
    <t>海南柒柒数据网络科技有限公司</t>
  </si>
  <si>
    <t>海南欣乐奇科技有限公司</t>
  </si>
  <si>
    <t>海南中体体育有限责任公司</t>
  </si>
  <si>
    <t>海南青青门业有限公司</t>
  </si>
  <si>
    <t>海南心思维网络科技有限公司</t>
  </si>
  <si>
    <t>海南爱赛得体育文化产业有限公司</t>
  </si>
  <si>
    <t>海南绿霖林业规划设计有限公司</t>
  </si>
  <si>
    <t>海南聚元食品有限公司</t>
  </si>
  <si>
    <t>海南生涯教育研究院有限公司</t>
  </si>
  <si>
    <t>海南淘车汇汽车贸易有限公司</t>
  </si>
  <si>
    <t>海口军达汽车服务有限公司</t>
  </si>
  <si>
    <t>海南顺康贸易有限责任公司</t>
  </si>
  <si>
    <t>海南帝九天珠宝有限公司</t>
  </si>
  <si>
    <t>海南圣世佳人美容服务有限公司</t>
  </si>
  <si>
    <t>海南铭宸实业有限公司</t>
  </si>
  <si>
    <t>海南绿园鲜食品有限公司</t>
  </si>
  <si>
    <t>海口艾琪叁嘉美发服务有限公司</t>
  </si>
  <si>
    <t>海南汾昵窗帘有限公司</t>
  </si>
  <si>
    <t>海南媄妍美容服务有限公司</t>
  </si>
  <si>
    <t>海南垦材美妆有限公司</t>
  </si>
  <si>
    <t>海南叁佳窗帘有限公司</t>
  </si>
  <si>
    <t>海南塑逸窗帘有限公司</t>
  </si>
  <si>
    <t>海南渺远窗帘有限公司</t>
  </si>
  <si>
    <t>海南赫本婚纱摄影有限公司</t>
  </si>
  <si>
    <t>海南逸涂窗帘有限公司</t>
  </si>
  <si>
    <t>海南祁郄窗帘有限公司</t>
  </si>
  <si>
    <t>海南皓诰窗帘有限公司</t>
  </si>
  <si>
    <t>海南季珊窗帘有限公司</t>
  </si>
  <si>
    <t>海南伴月窗帘有限公司</t>
  </si>
  <si>
    <t>海南尚品佳家政服务有限公司</t>
  </si>
  <si>
    <t>海南远福隆医学科技有限公司</t>
  </si>
  <si>
    <t>海南祁蔷窗帘有限公司</t>
  </si>
  <si>
    <t>海南衣二三实业有限公司</t>
  </si>
  <si>
    <t>海南传炫保健有限公司</t>
  </si>
  <si>
    <t>海南侬姚窗帘有限公司</t>
  </si>
  <si>
    <t>海控农村环境产业（海南）有限公司</t>
  </si>
  <si>
    <t>海口市市政管理局</t>
  </si>
  <si>
    <t>海南巧阿姨家政服务有限公司</t>
  </si>
  <si>
    <t>海南俊杉窗帘有限公司</t>
  </si>
  <si>
    <t>海南博瑞窗帘有限公司</t>
  </si>
  <si>
    <t>广东俊瑞防水工程有限公司海南分公司</t>
  </si>
  <si>
    <t>海南甸利窗帘有限公司</t>
  </si>
  <si>
    <t>海南巧媳妇食品贸易有限公司</t>
  </si>
  <si>
    <t>海南有容茶饮有限公司</t>
  </si>
  <si>
    <t>海南跃达体育文化有限公司</t>
  </si>
  <si>
    <t>海南逸咚窗帘有限公司</t>
  </si>
  <si>
    <t>海南布靓窗帘有限公司</t>
  </si>
  <si>
    <t>海南涂啼窗帘有限公司</t>
  </si>
  <si>
    <t>海南趴洛窗帘有限公司</t>
  </si>
  <si>
    <t>海南凝婕窗帘有限公司</t>
  </si>
  <si>
    <t>海南屋托帮家庭服务有限公司</t>
  </si>
  <si>
    <t>海南当堂窗帘有限公司</t>
  </si>
  <si>
    <t>海南诰皓窗帘有限公司</t>
  </si>
  <si>
    <t>海南沛汐窗帘有限公司</t>
  </si>
  <si>
    <t>海南盈利率广告有限公司</t>
  </si>
  <si>
    <t>海南茴琪窗帘有限公司</t>
  </si>
  <si>
    <t>海南璜璟窗帘有限公司</t>
  </si>
  <si>
    <t>海南轻昕如窗帘有限公司</t>
  </si>
  <si>
    <t>海南奎裁窗帘有限公司</t>
  </si>
  <si>
    <t>海南琶篱窗帘有限公司</t>
  </si>
  <si>
    <t>海南涓岩窗帘有限公司</t>
  </si>
  <si>
    <t>海南过人体育文化有限公司</t>
  </si>
  <si>
    <t>海南亚朵医疗美容有限公司</t>
  </si>
  <si>
    <t>海南恺逸窗帘有限公司</t>
  </si>
  <si>
    <t>海南哇欧窗帘有限公司</t>
  </si>
  <si>
    <t>海南飘晴窗帘有限公司</t>
  </si>
  <si>
    <t>海南恰然窗帘有限公司</t>
  </si>
  <si>
    <t>海南沐啼窗帘有限公司</t>
  </si>
  <si>
    <t>海南鼎畅实业有限公司</t>
  </si>
  <si>
    <t>海南旭娟窗帘有限公司</t>
  </si>
  <si>
    <t>海南鼎诚利信商业投资股份有限公司</t>
  </si>
  <si>
    <t>海南鼎宏达实业有限公司</t>
  </si>
  <si>
    <t>海南盖宝房地产经纪有限公司</t>
  </si>
  <si>
    <t>海南风尚美居布业有限公司</t>
  </si>
  <si>
    <t>海南丰雷汽车服务有限公司</t>
  </si>
  <si>
    <t>海南鼎好创艺园林景观工程有限公司</t>
  </si>
  <si>
    <t>海南豪冠厨房设备工程有限公司</t>
  </si>
  <si>
    <t>海南涵舍环境艺术工程有限公司</t>
  </si>
  <si>
    <t>海南更路簿杯国际帆船赛运营有限公司</t>
  </si>
  <si>
    <t>海南好易通市政工程有限公司</t>
  </si>
  <si>
    <t>海南皋特汽车维修服务有限公司</t>
  </si>
  <si>
    <t>海南高鑫达汽车维修服务有限公司</t>
  </si>
  <si>
    <t>海南共利信达商业投资股份有限公司</t>
  </si>
  <si>
    <t>海南高博户外拓展有限公司</t>
  </si>
  <si>
    <t>海南东方鹏程文化发展有限公司</t>
  </si>
  <si>
    <t>海南共龙雕塑艺术有限公司</t>
  </si>
  <si>
    <t>海南福旺万家实业有限公司</t>
  </si>
  <si>
    <t>海南东风汽车技术服务中心</t>
  </si>
  <si>
    <t>海南富玺营销策划有限公司</t>
  </si>
  <si>
    <t>海南凡鑫源网络信息工程有限公司</t>
  </si>
  <si>
    <t>海南福瑞道汽车服务有限公司</t>
  </si>
  <si>
    <t>安徽春的园林景观建设有限公司海南分公司</t>
  </si>
  <si>
    <t>海南富民达实业有限公司</t>
  </si>
  <si>
    <t>布鲁凯茂医疗服务（海南）有限公司</t>
  </si>
  <si>
    <t>北京捷越联合信息咨询有限公司海口第二营业部</t>
  </si>
  <si>
    <t>北京捷越联合信息咨询有限公司海口第一营业部</t>
  </si>
  <si>
    <t>车维仕汽车服务（海南）有限公司</t>
  </si>
  <si>
    <t>北京敬业建设监理有限公司海南分公司</t>
  </si>
  <si>
    <t>北京首汽（集团）股份有限公司海口汽车维修分公司</t>
  </si>
  <si>
    <t>北控水务集团（海南）有限公司</t>
  </si>
  <si>
    <t>蜂鸟实业（海南）有限公司</t>
  </si>
  <si>
    <t>本木云空间设计（海南）有限公司</t>
  </si>
  <si>
    <t>海口邦诺通信工程有限公司</t>
  </si>
  <si>
    <t>海口安泰达汽车维修有限公司</t>
  </si>
  <si>
    <t>海口安路驰汽车养护有限公司</t>
  </si>
  <si>
    <t>海口安旭升家电制冷有限公司</t>
  </si>
  <si>
    <t>海口宝润绿园林有限公司</t>
  </si>
  <si>
    <t>海口奥创文化传播有限公司</t>
  </si>
  <si>
    <t>海口德艺美灯光音响有限公司</t>
  </si>
  <si>
    <t>海口德跃汽车服务有限公司</t>
  </si>
  <si>
    <t>海口安力达汽车维修服务有限公司</t>
  </si>
  <si>
    <t>海口昌盛源园林有限公司</t>
  </si>
  <si>
    <t>海口德宇顺汽车服务有限公司</t>
  </si>
  <si>
    <t>海口川武阳光水泥制品有限公司</t>
  </si>
  <si>
    <t>海口迪嘉会展服务有限公司</t>
  </si>
  <si>
    <t>海口长风盛德文化有限公司</t>
  </si>
  <si>
    <t>海口雕宝工艺品有限公司</t>
  </si>
  <si>
    <t>海口宾德利汽车服务有限公司</t>
  </si>
  <si>
    <t>海口车诚达汽车维修厂</t>
  </si>
  <si>
    <t>海口车道汽车维修养护有限公司保税区分公司</t>
  </si>
  <si>
    <t>海口车道汽车维修养护有限公司龙华分公司</t>
  </si>
  <si>
    <t>海口潮天地汽车服务有限公司</t>
  </si>
  <si>
    <t>海口车道汽车维修养护有限公司琼山分公司</t>
  </si>
  <si>
    <t>海口车丰达汽车美容有限公司</t>
  </si>
  <si>
    <t>海口车胜汽车服务有限公司</t>
  </si>
  <si>
    <t>海口车小二汽车维修服务有限公司</t>
  </si>
  <si>
    <t>海口车一鑫汽车美容养护服务有限公司</t>
  </si>
  <si>
    <t>海口东石科技发展有限公司</t>
  </si>
  <si>
    <t>海口海经会计咨询有限公司</t>
  </si>
  <si>
    <t>海口浩勇汽车服务有限公司</t>
  </si>
  <si>
    <t>海口东本旺汽车维修有限公司</t>
  </si>
  <si>
    <t>海口哈哈儿童娱乐有限公司</t>
  </si>
  <si>
    <t>海口海琼篷勃汽车维修有限公司</t>
  </si>
  <si>
    <t>海口和信鑫实业有限公司</t>
  </si>
  <si>
    <t>海口飞驰车壹家汽车服务有限公司</t>
  </si>
  <si>
    <t>海口冠天下娱乐有限公司</t>
  </si>
  <si>
    <t>海口丰昌信汽车维修有限公司</t>
  </si>
  <si>
    <t>海口翰沐林文化传播有限公司</t>
  </si>
  <si>
    <t>海口福传汽车维修服务有限公司</t>
  </si>
  <si>
    <t>海口豪科电器维修有限公司</t>
  </si>
  <si>
    <t>海口佳洁汽车服务有限公司</t>
  </si>
  <si>
    <t>海口护车使者汽车维修服务有限公司</t>
  </si>
  <si>
    <t>海口华奔汽车服务有限公司</t>
  </si>
  <si>
    <t>海口汇金商务咨询有限公司</t>
  </si>
  <si>
    <t>海口佳一泵业有限公司</t>
  </si>
  <si>
    <t>海口鸿美汽车维修服务有限公司</t>
  </si>
  <si>
    <t>海口家洁士环保科技有限公司</t>
  </si>
  <si>
    <t>海口华瑞浩汽车销售有限公司</t>
  </si>
  <si>
    <t>海口吉旺吉贸易有限公司</t>
  </si>
  <si>
    <t>海口华兴老友记汽车服务有限公司</t>
  </si>
  <si>
    <t>海口华雅园布艺有限公司</t>
  </si>
  <si>
    <t>海口华艺鑫鹏机电工程有限公司</t>
  </si>
  <si>
    <t>海口嘉亿龙贸易有限公司</t>
  </si>
  <si>
    <t>海口宏屹窗饰贸易有限公司</t>
  </si>
  <si>
    <t>海口佳厨酒店用品有限公司</t>
  </si>
  <si>
    <t>海口辉源盛水泥制品有限公司</t>
  </si>
  <si>
    <t>海口金诚通亚汽车服务有限公司</t>
  </si>
  <si>
    <t>海口佳宏万里汽车空调服务有限公司</t>
  </si>
  <si>
    <t>海口金特金信息技术有限公司</t>
  </si>
  <si>
    <t>海口科迪展览有限公司</t>
  </si>
  <si>
    <t>海口佳和项目管理有限公司</t>
  </si>
  <si>
    <t>海口金文恬丽健康咨询有限公司</t>
  </si>
  <si>
    <t>海口金永明路灯工程有限公司</t>
  </si>
  <si>
    <t>海口科宇电器维修有限公司</t>
  </si>
  <si>
    <t>海口快乐跑汽车服务有限公司</t>
  </si>
  <si>
    <t>海口金旺达机电有限公司</t>
  </si>
  <si>
    <t>海口金昊通汽车用品有限公司</t>
  </si>
  <si>
    <t>海口凯越达重型汽车维修有限公司</t>
  </si>
  <si>
    <t>海口凯皇星汽车服务有限公司</t>
  </si>
  <si>
    <t>海口睫飞汽车维修有限公司</t>
  </si>
  <si>
    <t>海口快益修电器维修服务有限公司</t>
  </si>
  <si>
    <t>海口明泉水塔有限公司</t>
  </si>
  <si>
    <t>海口铭琇装饰装潢有限公司</t>
  </si>
  <si>
    <t>海口立欣科技清洁环保有限公司</t>
  </si>
  <si>
    <t>海口莫迪文化传播有限公司</t>
  </si>
  <si>
    <t>海口来胜周氏雕刻经营部</t>
  </si>
  <si>
    <t>海口立品科技工程有限公司</t>
  </si>
  <si>
    <t>海口兰航伟业测控技术有限公司</t>
  </si>
  <si>
    <t>海口孟源达汽车修理有限公司</t>
  </si>
  <si>
    <t>海口良胜达信息科技有限公司</t>
  </si>
  <si>
    <t>海口绿银装修装饰有限公司</t>
  </si>
  <si>
    <t>海口诺互汽车维修服务有限公司第一分公司</t>
  </si>
  <si>
    <t>海口乐巢娱乐有限公司</t>
  </si>
  <si>
    <t>海口麦普汽车维修有限公司</t>
  </si>
  <si>
    <t>海口诺互汽车维修服务有限公司</t>
  </si>
  <si>
    <t>海口奇力健康食品有限公司</t>
  </si>
  <si>
    <t>海口漆情画意墙绘艺术有限公司</t>
  </si>
  <si>
    <t>海口日红电器售后服务有限公司</t>
  </si>
  <si>
    <t>海口齐联丰办公用品有限公司</t>
  </si>
  <si>
    <t>海口善文轩文化传播有限公司</t>
  </si>
  <si>
    <t>海口泉德木业有限公司</t>
  </si>
  <si>
    <t>海口山谷绿景景观工程有限公司</t>
  </si>
  <si>
    <t>海口黔宏达汽车维修有限公司</t>
  </si>
  <si>
    <t>海口那加桥汽车服务有限公司</t>
  </si>
  <si>
    <t>海口热岛镜语影视文化传播有限公司</t>
  </si>
  <si>
    <t>海口群杰汽车修理有限公司</t>
  </si>
  <si>
    <t>海口南岛包装印刷有限公司</t>
  </si>
  <si>
    <t>海口品渡文化传媒有限公司龙华分公司</t>
  </si>
  <si>
    <t>海口普蒂亚花艺设计有限公司</t>
  </si>
  <si>
    <t>海口赛美嘉模型制作有限公司</t>
  </si>
  <si>
    <t>海口三德友木业有限公司</t>
  </si>
  <si>
    <t>海口普修斯汽车服务有限公司</t>
  </si>
  <si>
    <t>海口市鼎信汽车技术服务有限公司</t>
  </si>
  <si>
    <t>海口市二轻工业(集团)总公司</t>
  </si>
  <si>
    <t>海口市水务集团海口振兴工程有限公司</t>
  </si>
  <si>
    <t>海口市宏博仕汽车维修养护有限公司</t>
  </si>
  <si>
    <t>海口盛誉汽车维修有限公司</t>
  </si>
  <si>
    <t>海口市小林体育文化发展有限公司</t>
  </si>
  <si>
    <t>海口顺佳弘实业有限公司</t>
  </si>
  <si>
    <t>海口市椰泉饮料有限公司</t>
  </si>
  <si>
    <t>海口市品拓园林景观工程有限公司</t>
  </si>
  <si>
    <t>海口首创网络科技有限公司</t>
  </si>
  <si>
    <t>海口尚食实业有限公司</t>
  </si>
  <si>
    <t>海口绅蓝汽车服务有限公司</t>
  </si>
  <si>
    <t>海口市润诚达电力科技有限责任公司</t>
  </si>
  <si>
    <t>海口先创达贸易有限公司</t>
  </si>
  <si>
    <t>海口伟业餐饮有限公司</t>
  </si>
  <si>
    <t>海口铁阳实业有限公司</t>
  </si>
  <si>
    <t>海口淘淘汽车服务有限公司</t>
  </si>
  <si>
    <t>海口威而信通讯设备有限公司</t>
  </si>
  <si>
    <t>海口沃德卡汽车养护服务有限公司</t>
  </si>
  <si>
    <t>海口万海达体育俱乐部有限公司</t>
  </si>
  <si>
    <t>海口添添美园林景观工程有限公司</t>
  </si>
  <si>
    <t>海口万华达汽车维修有限公司</t>
  </si>
  <si>
    <t>海口万嘉豪酒店用品有限公司灵山厨具制造厂</t>
  </si>
  <si>
    <t>海口兴旺丁汽车服务有限公司</t>
  </si>
  <si>
    <t>海口兴祥达电器服务有限公司</t>
  </si>
  <si>
    <t>海口万顺和实业有限公司</t>
  </si>
  <si>
    <t>海口新福满居装饰材料有限公司</t>
  </si>
  <si>
    <t>海口吴兰信息咨询有限公司</t>
  </si>
  <si>
    <t>海口兴星达汽配有限公司</t>
  </si>
  <si>
    <t>海口易威汽车美容有限公司</t>
  </si>
  <si>
    <t>海口雄伟佳艺工程设计咨询有限公司</t>
  </si>
  <si>
    <t>海口享信景观工程有限公司</t>
  </si>
  <si>
    <t>海口雄博信嘉网络科技有限公司</t>
  </si>
  <si>
    <t>海口享誉餐饮文化有限公司</t>
  </si>
  <si>
    <t>海口学乐赢文化传播有限责任公司</t>
  </si>
  <si>
    <t>海口信湛源汽车服务有限公司</t>
  </si>
  <si>
    <t>海口星鹏通信有限公司</t>
  </si>
  <si>
    <t>海口星泰华贸易有限公司</t>
  </si>
  <si>
    <t>海口壹零赛事服务有限公司</t>
  </si>
  <si>
    <t>海口永兴食品站</t>
  </si>
  <si>
    <t>海口欣海泰达汽车服务有限公司</t>
  </si>
  <si>
    <t>海口正之道汽车服务有限公司</t>
  </si>
  <si>
    <t>海口悦林汽车养护有限公司</t>
  </si>
  <si>
    <t>海口源诚和广告工程有限公司</t>
  </si>
  <si>
    <t>海口银翔影视传媒有限公司</t>
  </si>
  <si>
    <t>海口粤天汽车维修有限公司</t>
  </si>
  <si>
    <t>海口亿顺达汽车维修服务有限公司第一分公司</t>
  </si>
  <si>
    <t>海口英桥景观工程有限公司</t>
  </si>
  <si>
    <t>海口永才达空调售后服务有限公司</t>
  </si>
  <si>
    <t>海口英爵娱乐服务有限公司</t>
  </si>
  <si>
    <t>海口鑫金钻矿山机械配件有限公司</t>
  </si>
  <si>
    <t>海口鑫金鸿成汽车维修有限公司</t>
  </si>
  <si>
    <t>海口永合隆贸易有限公司</t>
  </si>
  <si>
    <t>海口鑫酷睿网络科技有限公司</t>
  </si>
  <si>
    <t>海口胤创智能工程有限公司</t>
  </si>
  <si>
    <t>海口煜易晟汽车维修有限公司</t>
  </si>
  <si>
    <t>海口忠谣水泥制品有限公司</t>
  </si>
  <si>
    <t>海口皎月贸易商行</t>
  </si>
  <si>
    <t>海口弈茗汽车维修服务有限公司</t>
  </si>
  <si>
    <t>海口鑫四方汽车服务有限公司</t>
  </si>
  <si>
    <t>海口鑫腾飞汽车维修有限公司</t>
  </si>
  <si>
    <t>海口鑫宝顺汽车服务有限公司</t>
  </si>
  <si>
    <t>海口智绘传媒有限公司</t>
  </si>
  <si>
    <t>海口鑫诚汽车修理有限公司</t>
  </si>
  <si>
    <t>海口鑫工电子有限公司</t>
  </si>
  <si>
    <t>海口鑫洪源汽车维修有限公司</t>
  </si>
  <si>
    <t>海口樾莹文化传媒有限公司</t>
  </si>
  <si>
    <t>海口左岸印象婚庆服务有限公司</t>
  </si>
  <si>
    <t>海南爱车汇汽车美容俱乐部有限公司</t>
  </si>
  <si>
    <t>海南艾米娱乐传媒文化有限公司</t>
  </si>
  <si>
    <t>海口鑫宇通办公设备有限公司</t>
  </si>
  <si>
    <t>海南安鸿兴拆迁工程有限公司</t>
  </si>
  <si>
    <t>海南爱我车汽车服务有限公司</t>
  </si>
  <si>
    <t>海口鑫雄汽车维修有限公司</t>
  </si>
  <si>
    <t>海口鑫跃飞电器维修服务有限公司</t>
  </si>
  <si>
    <t>海南艾凯尔电动设备服务有限公司</t>
  </si>
  <si>
    <t>海南巴厘文化艺术有限公司</t>
  </si>
  <si>
    <t>海南百花爱心琼剧有限公司</t>
  </si>
  <si>
    <t>海南奥力博机电工程有限公司</t>
  </si>
  <si>
    <t>海南柏霖凯智能科技有限公司</t>
  </si>
  <si>
    <t>海南柏生华南文化艺术传播有限公司</t>
  </si>
  <si>
    <t>海南保绿园林绿化工程有限公司</t>
  </si>
  <si>
    <t>海南佰世工艺品有限公司</t>
  </si>
  <si>
    <t>海南宝驰耐普汽车维修有限公司</t>
  </si>
  <si>
    <t>海南宝奋汽车维修有限公司</t>
  </si>
  <si>
    <t>海南薄利保洁服务有限公司</t>
  </si>
  <si>
    <t>海南柏友时代文化传媒有限公司</t>
  </si>
  <si>
    <t>海南必高实业有限公司</t>
  </si>
  <si>
    <t>海南博立新规划咨询有限公司</t>
  </si>
  <si>
    <t>海南博成印刷有限公司</t>
  </si>
  <si>
    <t>海南博亨管理咨询有限公司</t>
  </si>
  <si>
    <t>海南博华测绘有限公司</t>
  </si>
  <si>
    <t>海南焙焙乐食品有限公司</t>
  </si>
  <si>
    <t>海南彩亿文化传播有限公司</t>
  </si>
  <si>
    <t>海南财兴茶果有限公司</t>
  </si>
  <si>
    <t>海南博瑞思营销策划有限公司</t>
  </si>
  <si>
    <t>海南贝斯特包装材料有限公司</t>
  </si>
  <si>
    <t>海南草木生园林绿化有限公司</t>
  </si>
  <si>
    <t>海南车咖汽车服务有限公司</t>
  </si>
  <si>
    <t>海南车马盈门汽车服务有限公司</t>
  </si>
  <si>
    <t>海南车好汇汽车维修服务有限公司</t>
  </si>
  <si>
    <t>海南车耀美汽车服务有限公司</t>
  </si>
  <si>
    <t>海南车与轮汽车服务有限公司兴丹路分公司</t>
  </si>
  <si>
    <t>海南晨睿科技工程有限公司</t>
  </si>
  <si>
    <t>海南陈梦达水产有限公司</t>
  </si>
  <si>
    <t>海南车之快汽车服务有限公司</t>
  </si>
  <si>
    <t>海南辰发清洁环保服务有限公司</t>
  </si>
  <si>
    <t>海南超翔商务信息咨询有限公司</t>
  </si>
  <si>
    <t>海南晨立格办公家具有限公司</t>
  </si>
  <si>
    <t>海南诚信园林绿化工程有限公司</t>
  </si>
  <si>
    <t>海南朝宁电子科技有限公司</t>
  </si>
  <si>
    <t>海南诚亿达纺织优质品有限公司</t>
  </si>
  <si>
    <t>海南诚信辉煌实业有限公司</t>
  </si>
  <si>
    <t>海南传速汽车维修有限公司</t>
  </si>
  <si>
    <t>海南创熙投资管理有限公司</t>
  </si>
  <si>
    <t>海南椿朝石业有限公司</t>
  </si>
  <si>
    <t>海南大韵广告有限公司</t>
  </si>
  <si>
    <t>海南道达建设工程有限公司</t>
  </si>
  <si>
    <t>海南创联汽车服务有限公司</t>
  </si>
  <si>
    <t>海南德亿鑫科技有限公司</t>
  </si>
  <si>
    <t>海南桂洋园林有限公司</t>
  </si>
  <si>
    <t>海南光大食品股份有限公司日月广场店</t>
  </si>
  <si>
    <t>海南光华景晨钢化玻璃有限公司</t>
  </si>
  <si>
    <t>海南广晋市政工程有限公司</t>
  </si>
  <si>
    <t>海南海之泰水处理有限公司</t>
  </si>
  <si>
    <t>海南海信缘地坪工程有限公司</t>
  </si>
  <si>
    <t>海南海蓝达航海科技有限公司</t>
  </si>
  <si>
    <t>海南国美商业有限公司</t>
  </si>
  <si>
    <t>海南海立净虫害防治有限公司</t>
  </si>
  <si>
    <t>海南海黄缘实业有限公司</t>
  </si>
  <si>
    <t>海南海元文化体育发展有限公司</t>
  </si>
  <si>
    <t>海南海汽旅游汽车租赁有限公司秀英汽车维修厂</t>
  </si>
  <si>
    <t>海南海涂实业有限公司</t>
  </si>
  <si>
    <t>海南海垦缘天然乳业发展有限公司</t>
  </si>
  <si>
    <t>海南恒品商业投资股份有限公司</t>
  </si>
  <si>
    <t>海南鸿领绿化工程有限公司</t>
  </si>
  <si>
    <t>海南恒业环境工程有限公司</t>
  </si>
  <si>
    <t>海南和云泰工程有限公司</t>
  </si>
  <si>
    <t>海南合力体育设施工程有限公司</t>
  </si>
  <si>
    <t>海南黑马道路救援服务有限公司</t>
  </si>
  <si>
    <t>海南华俊实业有限公司</t>
  </si>
  <si>
    <t>海南轰动汽车服务有限公司</t>
  </si>
  <si>
    <t>海南华利能智能集成有限公司</t>
  </si>
  <si>
    <t>海南花木兰园林绿化苗木有限公司</t>
  </si>
  <si>
    <t>海南华海体育设施有限公司</t>
  </si>
  <si>
    <t>海南宏强新型材料有限公司</t>
  </si>
  <si>
    <t>海南洪强绿色食品有限公司</t>
  </si>
  <si>
    <t>海南宏盛美商贸有限公司</t>
  </si>
  <si>
    <t>海南鸿兴旺旺食品有限公司</t>
  </si>
  <si>
    <t>海南宏用汽车维修服务有限公司</t>
  </si>
  <si>
    <t>海南慧爱文化传播有限公司</t>
  </si>
  <si>
    <t>海南汇致景观工程有限公司</t>
  </si>
  <si>
    <t>海南辉灿实业有限公司</t>
  </si>
  <si>
    <t>海南幻彩文化传播有限公司</t>
  </si>
  <si>
    <t>海南汇立计算机系统有限公司</t>
  </si>
  <si>
    <t>海南皇海艺创艺术工程有限公司</t>
  </si>
  <si>
    <t>海南华懿中医健康产业有限公司</t>
  </si>
  <si>
    <t>海南惠农健鸿果蔬信息科技有限公司</t>
  </si>
  <si>
    <t>海南华麦联科信息技术有限公司</t>
  </si>
  <si>
    <t>海南华升创驰建材有限公司</t>
  </si>
  <si>
    <t>海南华源丰网络信息工程有限公司</t>
  </si>
  <si>
    <t>海南华人体育文化有限公司</t>
  </si>
  <si>
    <t>海南华味食品有限公司</t>
  </si>
  <si>
    <t>海南华闻体育文化发展有限公司</t>
  </si>
  <si>
    <t>海南家美阳光新能源科技有限公司</t>
  </si>
  <si>
    <t>海南健鑫汽车修理服务有限公司</t>
  </si>
  <si>
    <t>海南佳禾程基础工程有限公司</t>
  </si>
  <si>
    <t>海南佳悦环卫保洁服务有限公司</t>
  </si>
  <si>
    <t>海南积鑫汽车维修服务有限公司</t>
  </si>
  <si>
    <t>海南嘉瑶景观设计有限公司</t>
  </si>
  <si>
    <t>海南嘉尔嘉汽车维修服务有限公司</t>
  </si>
  <si>
    <t>海南冀建绿化工程有限公司</t>
  </si>
  <si>
    <t>海南吉旺机电技术有限公司</t>
  </si>
  <si>
    <t>海南金盛峰钢结构有限公司</t>
  </si>
  <si>
    <t>海南金隆成通信技术工程有限公司</t>
  </si>
  <si>
    <t>海南金飞扬通讯设备有限公司</t>
  </si>
  <si>
    <t>海南金豪博艺园林绿化工程有限公司</t>
  </si>
  <si>
    <t>海南金爽食品加工有限公司</t>
  </si>
  <si>
    <t>海南金铭盛包装材料有限公司</t>
  </si>
  <si>
    <t>海南金盘万通实业有限公司</t>
  </si>
  <si>
    <t>海南金阳光节能科技有限公司</t>
  </si>
  <si>
    <t>海南金椰林文化传媒有限公司</t>
  </si>
  <si>
    <t>海南江东万兴实业有限公司</t>
  </si>
  <si>
    <t>海南洁万家环保科技有限公司</t>
  </si>
  <si>
    <t>海南捷益家电维修有限公司</t>
  </si>
  <si>
    <t>海南建科机电有限公司</t>
  </si>
  <si>
    <t>海南匠宸规划建筑设计有限公司</t>
  </si>
  <si>
    <t>海南杰瑞林生态环境有限公司</t>
  </si>
  <si>
    <t>海南捷承安机动车鉴定评估有限公司</t>
  </si>
  <si>
    <t>海南久立方文化传媒有限公司</t>
  </si>
  <si>
    <t>海南九峰山机电工程有限公司</t>
  </si>
  <si>
    <t>海南竞信发电工程有限公司</t>
  </si>
  <si>
    <t>海南九鼎茶开茶文化传播有限公司</t>
  </si>
  <si>
    <t>海南九色鹿营养保健食品有限公司</t>
  </si>
  <si>
    <t>海南九重葛旅居服务有限公司</t>
  </si>
  <si>
    <t>海南九宝门业有限公司</t>
  </si>
  <si>
    <t>海南景芝园林工程有限公司</t>
  </si>
  <si>
    <t>海南九州航海发展有限公司</t>
  </si>
  <si>
    <t>海南玖星建筑工程有限公司</t>
  </si>
  <si>
    <t>海南久汉文化传播有限公司</t>
  </si>
  <si>
    <t>海南锦兴实业有限公司</t>
  </si>
  <si>
    <t>海南金鳄海洋生物科技有限公司</t>
  </si>
  <si>
    <t>海南锦洋文化传媒有限公司</t>
  </si>
  <si>
    <t>海南精科机械自动化设备有限公司</t>
  </si>
  <si>
    <t>海南锦泽商用车服务有限公司</t>
  </si>
  <si>
    <t>海南金鳌园林雕塑艺术有限公司</t>
  </si>
  <si>
    <t>海南锦和园生态环境工程有限公司</t>
  </si>
  <si>
    <t>海南金治包装有限公司</t>
  </si>
  <si>
    <t>海南精科网络科技有限公司</t>
  </si>
  <si>
    <t>海南晋华洛实业有限公司</t>
  </si>
  <si>
    <t>海南金棕美生物科技有限公司</t>
  </si>
  <si>
    <t>海南凯英蓝天能源科技有限公司</t>
  </si>
  <si>
    <t>海南均源再生资源有限公司</t>
  </si>
  <si>
    <t>海南俊观园林绿化有限公司</t>
  </si>
  <si>
    <t>海南京易实业有限公司</t>
  </si>
  <si>
    <t>海南康福来环保工程有限公司</t>
  </si>
  <si>
    <t>海南君禾汽车服务有限公司</t>
  </si>
  <si>
    <t>海南乐通管道工程有限责任公司</t>
  </si>
  <si>
    <t>海南快捷力汽车维修服务有限公司白驹大道汽车维修分公司</t>
  </si>
  <si>
    <t>海南快捷力汽车维修服务有限公司振兴南路汽车维修分公司</t>
  </si>
  <si>
    <t>海南科普电子计算机贸易有限公司</t>
  </si>
  <si>
    <t>海南乐贝尔游乐园有限公司</t>
  </si>
  <si>
    <t>海南跨越旅行者车友俱乐部有限公司</t>
  </si>
  <si>
    <t>海南亮泰实业有限公司</t>
  </si>
  <si>
    <t>海南联奕信息科技有限公司</t>
  </si>
  <si>
    <t>海南力生环保科技有限公司</t>
  </si>
  <si>
    <t>海南利荣印刷有限公司</t>
  </si>
  <si>
    <t>海南力宜农业开发有限公司</t>
  </si>
  <si>
    <t>海南李氏兄弟工艺坊有限公司</t>
  </si>
  <si>
    <t>海南立博文化传媒集团有限公司</t>
  </si>
  <si>
    <t>海南立嘉环境工程有限公司</t>
  </si>
  <si>
    <t>海南绿天泰环保工程有限公司</t>
  </si>
  <si>
    <t>海南绿地绿园林工程有限公司</t>
  </si>
  <si>
    <t>海南绿晟园林景观工程有限公司</t>
  </si>
  <si>
    <t>海南马力克环保服务有限公司</t>
  </si>
  <si>
    <t>海南马斯特科技发展有限公司</t>
  </si>
  <si>
    <t>海南隆安达汽车服务有限公司</t>
  </si>
  <si>
    <t>海南罗曼达实业有限公司</t>
  </si>
  <si>
    <t>海南路易仕汽车服务有限公司</t>
  </si>
  <si>
    <t>海南龙文尚德文化艺术有限公司</t>
  </si>
  <si>
    <t>海南龙宝宝汽车服务有限公司</t>
  </si>
  <si>
    <t>海南龙城实业有限公司</t>
  </si>
  <si>
    <t>海南岭泉景观园林工程有限公司</t>
  </si>
  <si>
    <t>海南闽光照明灯饰工程有限公司</t>
  </si>
  <si>
    <t>海南龙康环保科技有限公司</t>
  </si>
  <si>
    <t>海南妙自然环保工程有限公司</t>
  </si>
  <si>
    <t>海南民升园林景观工程有限公司</t>
  </si>
  <si>
    <t>海南明威环保工程有限公司</t>
  </si>
  <si>
    <t>海南萌达生酒店管理有限公司</t>
  </si>
  <si>
    <t>海南蜜香树沉香生物科技有限公司</t>
  </si>
  <si>
    <t>海南梦途旅游文化有限公司</t>
  </si>
  <si>
    <t>海南美捷隆汽车美容服务有限公司</t>
  </si>
  <si>
    <t>海南美在中视文化传媒有限公司</t>
  </si>
  <si>
    <t>海南美创亿实业有限公司</t>
  </si>
  <si>
    <t>海南茂鑫广告装饰有限公司</t>
  </si>
  <si>
    <t>海南慢食食品有限公司</t>
  </si>
  <si>
    <t>海南南溟文化传媒有限公司</t>
  </si>
  <si>
    <t>海南麦科罗贸易有限公司</t>
  </si>
  <si>
    <t>海南木森新型建材有限公司</t>
  </si>
  <si>
    <t>海南莫陌房地产信息咨询有限公司</t>
  </si>
  <si>
    <t>海南名度健康用品有限公司</t>
  </si>
  <si>
    <t>海南千里安汽车服务有限公司</t>
  </si>
  <si>
    <t>海南纳凉制冷技术有限公司</t>
  </si>
  <si>
    <t>海南千里达拖车服务有限公司</t>
  </si>
  <si>
    <t>海南千川勘测工程有限公司</t>
  </si>
  <si>
    <t>海南启汇维修有限公司</t>
  </si>
  <si>
    <t>海南平土实业有限公司</t>
  </si>
  <si>
    <t>海南鹏硕景观工程有限公司</t>
  </si>
  <si>
    <t>海南普瑞商业投资股份有限公司</t>
  </si>
  <si>
    <t>海南日达贸易有限公司</t>
  </si>
  <si>
    <t>海南品康环保科技有限公司</t>
  </si>
  <si>
    <t>海南泉昌盛水产有限公司</t>
  </si>
  <si>
    <t>海南戎域文化体育发展有限公司</t>
  </si>
  <si>
    <t>海南仁航日鑫汽车维修有限公司</t>
  </si>
  <si>
    <t>海南勤工建材有限公司</t>
  </si>
  <si>
    <t>海南人和旺食品有限公司</t>
  </si>
  <si>
    <t>海南清辉水泥制品有限公司</t>
  </si>
  <si>
    <t>海南乔宇贸易有限公司</t>
  </si>
  <si>
    <t>海南青来园林工程有限公司</t>
  </si>
  <si>
    <t>海南润欣洁环境清洁服务有限公司</t>
  </si>
  <si>
    <t>海南全岛鸿厨具有限公司</t>
  </si>
  <si>
    <t>海南秦宇装饰工程有限公司</t>
  </si>
  <si>
    <t>海南润兴鼎生态环境工程有限公司</t>
  </si>
  <si>
    <t>海南润玥实业有限公司</t>
  </si>
  <si>
    <t>海南润恒投资股份有限公司</t>
  </si>
  <si>
    <t>海南润扬汽车维修有限公司</t>
  </si>
  <si>
    <t>海南润景园林工程有限公司</t>
  </si>
  <si>
    <t>海南容源水务工程有限公司</t>
  </si>
  <si>
    <t>海南融京实业有限公司</t>
  </si>
  <si>
    <t>海南瑞洁生物科技能源有限公司</t>
  </si>
  <si>
    <t>海南申鑫娱乐有限公司</t>
  </si>
  <si>
    <t>海南深装润景建筑装饰有限公司</t>
  </si>
  <si>
    <t>海南生晖生物科技有限公司</t>
  </si>
  <si>
    <t>海南省奔跑的蜗牛汽车露营俱乐部有限公司</t>
  </si>
  <si>
    <t>海南尚尚美装饰工程有限公司</t>
  </si>
  <si>
    <t>海南森林之家木业有限公司</t>
  </si>
  <si>
    <t>海南山和水规划设计咨询有限公司</t>
  </si>
  <si>
    <t>海南森广娱乐投资有限公司</t>
  </si>
  <si>
    <t>海南山水逸景园林景观工程有限公司</t>
  </si>
  <si>
    <t>海南善建实业有限公司</t>
  </si>
  <si>
    <t>海南盛世宏图网络科技有限责任公司</t>
  </si>
  <si>
    <t>海南盛木园林工程有限公司</t>
  </si>
  <si>
    <t>海南胜瑞通信工程有限公司</t>
  </si>
  <si>
    <t>海南盛宁地坪工程有限公司</t>
  </si>
  <si>
    <t>海南盛赢机械设备有限公司</t>
  </si>
  <si>
    <t>海南胜世体育发展有限公司蓝天路分公司</t>
  </si>
  <si>
    <t>海南省农垦青云无线电厂</t>
  </si>
  <si>
    <t>海南省天骄琼剧演艺有限公司</t>
  </si>
  <si>
    <t>海南省儒诚家电维修服务有限公司</t>
  </si>
  <si>
    <t>海南思杰汽车服务有限公司</t>
  </si>
  <si>
    <t>海南双同动力科技有限公司</t>
  </si>
  <si>
    <t>海南时光雨广告传媒有限公司</t>
  </si>
  <si>
    <t>海南腾云科技有限公司</t>
  </si>
  <si>
    <t>海南天合泰景园林绿化有限公司</t>
  </si>
  <si>
    <t>海南双源盛汽车服务有限公司</t>
  </si>
  <si>
    <t>海南腾瀚文化传媒有限公司</t>
  </si>
  <si>
    <t>海南太恒达实业有限公司</t>
  </si>
  <si>
    <t>海南唐枫文化传媒有限公司</t>
  </si>
  <si>
    <t>海南太美渔业有限公司</t>
  </si>
  <si>
    <t>海南天富源实业有限公司</t>
  </si>
  <si>
    <t>海南苏易文化传媒有限公司</t>
  </si>
  <si>
    <t>海南泰烁景观绿化工程有限公司</t>
  </si>
  <si>
    <t>海南泰盛鸿建材有限公司</t>
  </si>
  <si>
    <t>海南苏兴艺创园林绿化工程有限公司</t>
  </si>
  <si>
    <t>海南途顺汽车服务有限公司</t>
  </si>
  <si>
    <t>海南同心晟实业有限公司</t>
  </si>
  <si>
    <t>海南天泽通达汽车服务有限公司</t>
  </si>
  <si>
    <t>海南桐森机电工程设备有限公司</t>
  </si>
  <si>
    <t>海南天天赐车厢维修有限公司</t>
  </si>
  <si>
    <t>海南同心悦供水工程有限公司</t>
  </si>
  <si>
    <t>海南天享科技有限公司</t>
  </si>
  <si>
    <t>海南唯安交通工程有限公司</t>
  </si>
  <si>
    <t>海南田品供应链管理有限公司</t>
  </si>
  <si>
    <t>海南万至电动车服务有限公司</t>
  </si>
  <si>
    <t>海南万州汇实业有限公司</t>
  </si>
  <si>
    <t>海南旺亿实业发展有限公司</t>
  </si>
  <si>
    <t>海南王朝胜世雕塑艺术工程有限公司</t>
  </si>
  <si>
    <t>海南万伟贸易有限公司</t>
  </si>
  <si>
    <t>海南网格创意文化有限公司</t>
  </si>
  <si>
    <t>海南网维科技有限公司</t>
  </si>
  <si>
    <t>海南万叶民族文化产业有限公司</t>
  </si>
  <si>
    <t>海南祥源汽修服务有限公司</t>
  </si>
  <si>
    <t>海南湘园园林绿化工程有限公司</t>
  </si>
  <si>
    <t>海南现代欣怡园林景观工程有限公司</t>
  </si>
  <si>
    <t>海南喜雅布艺有限公司</t>
  </si>
  <si>
    <t>海南熙瀛文化传播有限公司</t>
  </si>
  <si>
    <t>海南伍兴实业有限公司</t>
  </si>
  <si>
    <t>海南吴越文化传播有限公司</t>
  </si>
  <si>
    <t>海南星璨文化发展有限公司</t>
  </si>
  <si>
    <t>海南星昱机电有限公司</t>
  </si>
  <si>
    <t>海南星地河森环保科技有限公司</t>
  </si>
  <si>
    <t>海南星之洋石膏制品有限公司</t>
  </si>
  <si>
    <t>海南星空野营全域旅游文化有限公司</t>
  </si>
  <si>
    <t>海南星鑫建材有限公司</t>
  </si>
  <si>
    <t>海南新瀚影视服务有限公司</t>
  </si>
  <si>
    <t>海南星脉文化传媒有限公司</t>
  </si>
  <si>
    <t>海南小小鸟健康医疗投资管理有限公司</t>
  </si>
  <si>
    <t>海南新纪元电脑有限公司</t>
  </si>
  <si>
    <t>海南欣奇妙游乐设备有限公司</t>
  </si>
  <si>
    <t>海南新飞扬汽车服务有限公司</t>
  </si>
  <si>
    <t>海南新邻昌实业有限公司</t>
  </si>
  <si>
    <t>海南亚武汽车维修服务有限公司</t>
  </si>
  <si>
    <t>海南杨家园林绿化工程有限公司</t>
  </si>
  <si>
    <t>海南驯马汽车维修服务有限公司</t>
  </si>
  <si>
    <t>海南雄骏生态环境有限公司</t>
  </si>
  <si>
    <t>海南学而易德商旅服务有限公司</t>
  </si>
  <si>
    <t>海南修养美汽车服务有限公司</t>
  </si>
  <si>
    <t>海南雄狮雕刻有限公司</t>
  </si>
  <si>
    <t>海南徐工众磊工程机械有限公司</t>
  </si>
  <si>
    <t>海南颐静园林工程有限公司</t>
  </si>
  <si>
    <t>海南一嗨自驾车服务有限公司第六分公司</t>
  </si>
  <si>
    <t>海南一指间文化传媒有限公司</t>
  </si>
  <si>
    <t>海南艺桥园林工程有限公司</t>
  </si>
  <si>
    <t>海南一嗨自驾车服务有限公司第五分公司</t>
  </si>
  <si>
    <t>海南壹居房地产营销策划有限公司</t>
  </si>
  <si>
    <t>海南壹俱舍实业有限公司</t>
  </si>
  <si>
    <t>海南壹马汽车服务有限公司</t>
  </si>
  <si>
    <t>海南乙木文化传媒有限公司</t>
  </si>
  <si>
    <t>海南一马生态旅游开发有限公司</t>
  </si>
  <si>
    <t>海南一帆文化有限公司</t>
  </si>
  <si>
    <t>海南以琳环境工程有限公司</t>
  </si>
  <si>
    <t>海南一米阳光文化传媒有限公司</t>
  </si>
  <si>
    <t>海南一禾康胜设备工程有限公司</t>
  </si>
  <si>
    <t>海南椰家豆食品饮料有限公司</t>
  </si>
  <si>
    <t>海南椰家乐食品饮料有限公司</t>
  </si>
  <si>
    <t>海南椰家爽食品饮料有限公司</t>
  </si>
  <si>
    <t>海南椰家香饮料技术咨询服务有限公司</t>
  </si>
  <si>
    <t>海南椰林岛园林工程有限公司</t>
  </si>
  <si>
    <t>海南椰树制罐工业有限公司</t>
  </si>
  <si>
    <t>海南椰速贸易有限公司</t>
  </si>
  <si>
    <t>海南耀兴运输集团有限公司汽车维修厂</t>
  </si>
  <si>
    <t>海南椰之泉工业有限公司</t>
  </si>
  <si>
    <t>海南英佳教学设备有限公司</t>
  </si>
  <si>
    <t>海南盈方数码科技有限公司</t>
  </si>
  <si>
    <t>海南益智捷汽车服务有限公司</t>
  </si>
  <si>
    <t>海南易美轩汽车服务有限公司</t>
  </si>
  <si>
    <t>海南益达园林景观工程有限公司</t>
  </si>
  <si>
    <t>海南逸源环境设备工程有限公司</t>
  </si>
  <si>
    <t>海南亦希文化传媒有限公司</t>
  </si>
  <si>
    <t>海南亿隆兴汽车服务有限公司</t>
  </si>
  <si>
    <t>海南亿品商业投资股份有限公司</t>
  </si>
  <si>
    <t>海南裕泰华环保工程有限公司</t>
  </si>
  <si>
    <t>海南玉佳清洁环保服务有限公司</t>
  </si>
  <si>
    <t>海南育品企业管理培训有限公司</t>
  </si>
  <si>
    <t>海南易赢汽车服务有限公司</t>
  </si>
  <si>
    <t>海南寓安白蚁虫害防治科技有限公司</t>
  </si>
  <si>
    <t>海南有帮木业有限公司</t>
  </si>
  <si>
    <t>海南优制娱乐有限公司</t>
  </si>
  <si>
    <t>海南运道管理咨询有限公司</t>
  </si>
  <si>
    <t>海南悦丰盛钢结构工程有限公司</t>
  </si>
  <si>
    <t>海南云中殿舞美工程有限公司</t>
  </si>
  <si>
    <t>海南源达新型建材有限公司</t>
  </si>
  <si>
    <t>海南源润人力资源有限公司</t>
  </si>
  <si>
    <t>海南致远广汇汽车服务有限公司</t>
  </si>
  <si>
    <t>海南织网智能科技有限公司</t>
  </si>
  <si>
    <t>海南正新通汽车美容服务有限公司</t>
  </si>
  <si>
    <t>海南中资博纳园林绿化有限公司</t>
  </si>
  <si>
    <t>海南中雄生态园林工程有限公司</t>
  </si>
  <si>
    <t>海南中榈园林绿化工程有限公司</t>
  </si>
  <si>
    <t>海南重汽广锋汽车维修服务有限公司</t>
  </si>
  <si>
    <t>海南众兴汽车维修有限公司</t>
  </si>
  <si>
    <t>海南众腾园林景观工程有限公司</t>
  </si>
  <si>
    <t>海南中亿景园林绿化工程有限公司</t>
  </si>
  <si>
    <t>海南众矗环境工程有限公司</t>
  </si>
  <si>
    <t>海南中恒太汽车维修服务有限公司</t>
  </si>
  <si>
    <t>海南中通瑞翔汽车服务有限公司</t>
  </si>
  <si>
    <t>海南中升颐园林工程有限公司</t>
  </si>
  <si>
    <t>海南中旅控股有限公司</t>
  </si>
  <si>
    <t>海南中电城市园林绿化工程有限公司</t>
  </si>
  <si>
    <t>海南自贸区椰港生态建设有限公司</t>
  </si>
  <si>
    <t>海南中诚大猫文化传播有限公司</t>
  </si>
  <si>
    <t>海南自在汽车服务有限公司</t>
  </si>
  <si>
    <t>海南珠江源汽车维修有限公司金盘分公司</t>
  </si>
  <si>
    <t>海南珠江源汽车维修有限公司白龙路分公司</t>
  </si>
  <si>
    <t>海南珠江源汽车维修有限公司青年路分公司</t>
  </si>
  <si>
    <t>海南自然美丽建筑材料有限公司</t>
  </si>
  <si>
    <t>海南卓众汽车服务有限公司</t>
  </si>
  <si>
    <t>海南瀛州人家餐饮服务有限公司</t>
  </si>
  <si>
    <t>海南骓风汽车维修服务有限公司</t>
  </si>
  <si>
    <t>海南孚易文化传媒有限公司</t>
  </si>
  <si>
    <t>海南骁阳实业有限公司</t>
  </si>
  <si>
    <t>海南泓恺航海科技有限公司</t>
  </si>
  <si>
    <t>海南卓诚环保科技有限公司</t>
  </si>
  <si>
    <t>海南奕涛设备工程有限公司</t>
  </si>
  <si>
    <t>海南奕麒生态产业发展有限公司</t>
  </si>
  <si>
    <t>海南祺玮建材贸易有限公司</t>
  </si>
  <si>
    <t>海南芸绿园林工程有限公司</t>
  </si>
  <si>
    <t>海南鑫碧贵园木业有限公司</t>
  </si>
  <si>
    <t>海南睿成实业有限公司</t>
  </si>
  <si>
    <t>海南睿品信通商业投资股份有限公司</t>
  </si>
  <si>
    <t>海南昊月龙景观雕塑工程有限公司</t>
  </si>
  <si>
    <t>海南昶远商务信息咨询有限公司</t>
  </si>
  <si>
    <t>海南璨诺汽车服务有限公司</t>
  </si>
  <si>
    <t>海南晟益体育文化有限公司</t>
  </si>
  <si>
    <t>海南鑫宇恒达实业有限公司</t>
  </si>
  <si>
    <t>河南田野文化艺术有限公司海南分公司</t>
  </si>
  <si>
    <t>河南省华北重型起重设备有限公司海南分公司</t>
  </si>
  <si>
    <t>海南鑫铖汽车服务有限公司</t>
  </si>
  <si>
    <t>海南鑫运通市政工程有限公司</t>
  </si>
  <si>
    <t>湖北旺大江彩铝门窗装饰有限公司海南分公司</t>
  </si>
  <si>
    <t>海南魅力高尔夫管理有限公司</t>
  </si>
  <si>
    <t>海南鑫景亮工程有限公司</t>
  </si>
  <si>
    <t>海南鑫泉环保工程有限公司</t>
  </si>
  <si>
    <t>海南鑫瑞杰文化传媒有限公司</t>
  </si>
  <si>
    <t>海南鑫锡城汽车服务有限公司</t>
  </si>
  <si>
    <t>海南鑫海裕泰科技有限公司</t>
  </si>
  <si>
    <t>海南鑫成胜实业有限公司</t>
  </si>
  <si>
    <t>海南鑫恒耀钢化玻璃有限公司</t>
  </si>
  <si>
    <t>海南鑫亚辉汽车服务有限公司</t>
  </si>
  <si>
    <t>海南鑫程环境工程有限公司</t>
  </si>
  <si>
    <t>海南鑫诚源园林工程有限公司</t>
  </si>
  <si>
    <t>海南鑫宏玮实业有限公司</t>
  </si>
  <si>
    <t>海南鑫雏鹰文化用品有限公司</t>
  </si>
  <si>
    <t>海南鑫特电力工程有限公司</t>
  </si>
  <si>
    <t>海南鑫伟绿化工程有限公司</t>
  </si>
  <si>
    <t>海南鑫鼎信实业有限公司</t>
  </si>
  <si>
    <t>辽宁光电电子股份有限公司海南分公司</t>
  </si>
  <si>
    <t>江西广润新能源有限公司海南分公司</t>
  </si>
  <si>
    <t>佳印坊（海南）印务有限公司</t>
  </si>
  <si>
    <t>琼海武记农产品工贸有限公司海口分公司</t>
  </si>
  <si>
    <t>普莱克斯（上海）半导体气体有限公司海口保税区分公司</t>
  </si>
  <si>
    <t>深圳珉丰集装箱服务有限公司海口分公司</t>
  </si>
  <si>
    <t>习艺空间（海南）教育培训有限公司</t>
  </si>
  <si>
    <t>颐乐实业集团有限公司</t>
  </si>
  <si>
    <t>原石商业管理（海南）有限公司</t>
  </si>
  <si>
    <t>椰树集团海南椰汁饮料有限公司</t>
  </si>
  <si>
    <t>深圳市国艺园林建设有限公司海南分公司</t>
  </si>
  <si>
    <t>椰树集团有限公司</t>
  </si>
  <si>
    <t>中汽租赁(海南)有限公司</t>
  </si>
  <si>
    <t>珠海经济特区鸿苑园林工程有限公司海南分公司</t>
  </si>
  <si>
    <t>鑫汇通达（海南）科技有限公司</t>
  </si>
  <si>
    <t>中联盟城镇发展规划有限公司</t>
  </si>
  <si>
    <t>海南东城装饰工程有限公司</t>
  </si>
  <si>
    <t>海南省姜妹琼剧演艺有限公司</t>
  </si>
  <si>
    <t>海南豪利汽车维修服务有限公司</t>
  </si>
  <si>
    <t>海南国实电力科技有限公司</t>
  </si>
  <si>
    <t>海南兆科科技工程有限公司</t>
  </si>
  <si>
    <t>海口鑫星达汽车维修服务有限公司</t>
  </si>
  <si>
    <t>海口安力达汽车维修服务有限公司第一营业部</t>
  </si>
  <si>
    <t>海南珠江源汽车维修有限公司金牛路分公司</t>
  </si>
  <si>
    <t>海口代坪工贸有限公司</t>
  </si>
  <si>
    <t>海口旺福旺门窗装饰工程部</t>
  </si>
  <si>
    <t>海口腾辉汽车维修有限公司</t>
  </si>
  <si>
    <t>海口舞美阁会展服务有限公司</t>
  </si>
  <si>
    <t>海南汇伟贸易有限公司</t>
  </si>
  <si>
    <t>海口彦亚文化传播有限公司</t>
  </si>
  <si>
    <t>海南咱家保洁服务有限公司</t>
  </si>
  <si>
    <t>海南赛事汇科技有限公司</t>
  </si>
  <si>
    <t>海南华明乐实业有限公司</t>
  </si>
  <si>
    <t>海南眭梧窗帘有限公司</t>
  </si>
  <si>
    <t>海南全球行环保科技有限公司</t>
  </si>
  <si>
    <t>海南小飞侠体育产业发展有限公司</t>
  </si>
  <si>
    <t>海南芬朗窗帘有限公司</t>
  </si>
  <si>
    <t>兴华托儿服务（海南）有限公司</t>
  </si>
  <si>
    <t>海南逸清窗帘有限公司</t>
  </si>
  <si>
    <t>海南白鹤医养产业有限公司</t>
  </si>
  <si>
    <t>北京优信丰顺路宝机动车拍卖有限公司海口分公司</t>
  </si>
  <si>
    <t>海南欣欣树健康管理有限责任公司</t>
  </si>
  <si>
    <t>海南阿祥珍材雕艺有限公司</t>
  </si>
  <si>
    <t>海口琼山泳铧顺汽车服务中心</t>
  </si>
  <si>
    <t>海南宏润来贸易有限公司</t>
  </si>
  <si>
    <t>海南定安南博万农牧有限公司海口分公司</t>
  </si>
  <si>
    <t>海南陨星科技有限公司</t>
  </si>
  <si>
    <t>海南枫悦实业有限公司</t>
  </si>
  <si>
    <t>中科一局控股集团（海南）有限公司</t>
  </si>
  <si>
    <t>海南水神话科技有限公司</t>
  </si>
  <si>
    <t>海南明净环保科技有限公司</t>
  </si>
  <si>
    <t>海南艺恒窗饰有限公司</t>
  </si>
  <si>
    <t>海南森家保洁服务有限公司</t>
  </si>
  <si>
    <t>海南美家顺汽车服务有限公司</t>
  </si>
  <si>
    <t>海南吉胜和贸易有限公司</t>
  </si>
  <si>
    <t>海口达耀五金机电有限公司</t>
  </si>
  <si>
    <t>海南硕果信息科技有限公司</t>
  </si>
  <si>
    <t>海口班泰贸易有限公司</t>
  </si>
  <si>
    <t>海南惠鑫贷贸易有限公司</t>
  </si>
  <si>
    <t>海口宏誉科技有限公司</t>
  </si>
  <si>
    <t>海南怡文窗帘有限公司</t>
  </si>
  <si>
    <t>海南甜源果庄贸易有限公司</t>
  </si>
  <si>
    <t>海南懿美熹贸易有限公司</t>
  </si>
  <si>
    <t>海南海星体育文化发展有限公司</t>
  </si>
  <si>
    <t>海南米斯网络科技有限公司</t>
  </si>
  <si>
    <t>海南永鸿文昌鸡有限公司</t>
  </si>
  <si>
    <t>海南忠铭安保服务有限公司</t>
  </si>
  <si>
    <t>海口龙华汪竹清家电维修店</t>
  </si>
  <si>
    <t>海口龙华畅源汽车修理厂</t>
  </si>
  <si>
    <t>海南光轮网络科技有限公司</t>
  </si>
  <si>
    <t>海南世成物业服务有限公司</t>
  </si>
  <si>
    <t>海口琼山弘诚电器经营部</t>
  </si>
  <si>
    <t>海南蕙苁窗帘有限公司</t>
  </si>
  <si>
    <t>海南鲜果味贸易有限公司</t>
  </si>
  <si>
    <t>海南鑫凯源贸易有限公司</t>
  </si>
  <si>
    <t>海南零柒果批发有限责任公司</t>
  </si>
  <si>
    <t>海南迈卡汽车服务有限公司</t>
  </si>
  <si>
    <t>海南哪咋窗帘有限公司</t>
  </si>
  <si>
    <t>海南强泾窗帘有限公司</t>
  </si>
  <si>
    <t>海南浩嘉农业科技有限公司</t>
  </si>
  <si>
    <t>海南百源环境治理服务有限公司</t>
  </si>
  <si>
    <t>海南降真香旅游产业有限公司</t>
  </si>
  <si>
    <t>海南自贸区南萍商务服务有限公司</t>
  </si>
  <si>
    <t>海口秀英圣荣商行</t>
  </si>
  <si>
    <t>海南如倾窗帘有限公司</t>
  </si>
  <si>
    <t>海南雨林引力文化体育产业有限公司</t>
  </si>
  <si>
    <t>海南东风南方汽车销售服务有限公司海秀分公司</t>
  </si>
  <si>
    <t>海南理一理法律咨询服务有限公司</t>
  </si>
  <si>
    <t>海南决琳窗帘有限公司</t>
  </si>
  <si>
    <t>海南泓仁商贸有限公司</t>
  </si>
  <si>
    <t>海口唐卫福珠宝有限公司</t>
  </si>
  <si>
    <t>海南捏嘉窗帘有限公司</t>
  </si>
  <si>
    <t>海南六八鸿昌兴科技股份有限公司</t>
  </si>
  <si>
    <t>海南布易窗帘有限公司</t>
  </si>
  <si>
    <t>海南一拾草榭贸易有限公司</t>
  </si>
  <si>
    <t>海南海上泉设备工程有限公司</t>
  </si>
  <si>
    <t>海口原气康健康咨询服务有限公司</t>
  </si>
  <si>
    <t>海口秀英海华鑫钢管经销部</t>
  </si>
  <si>
    <t>海南红亿贸易有限公司</t>
  </si>
  <si>
    <t>海南一享通科技有限公司</t>
  </si>
  <si>
    <t>海南会一心广告有限公司</t>
  </si>
  <si>
    <t>海南楚城夹芯彩板有限公司</t>
  </si>
  <si>
    <t>海南正宏图文广告有限公司</t>
  </si>
  <si>
    <t>海南心怡家政服务有限公司</t>
  </si>
  <si>
    <t>海口乐创云科技有限公司</t>
  </si>
  <si>
    <t>海口泓华通信有限公司</t>
  </si>
  <si>
    <t>绿色方向盘（海南）汽车租赁有限公司</t>
  </si>
  <si>
    <t>天物华乐餐饮（海南）有限公司</t>
  </si>
  <si>
    <t>海南中农和盛科技有限公司</t>
  </si>
  <si>
    <t>海南锦鸿食品有限公司</t>
  </si>
  <si>
    <t>海口普瑞达锁业有限公司</t>
  </si>
  <si>
    <t>海南首欧集团有限公司</t>
  </si>
  <si>
    <t>海南科隆网络科技有限公司</t>
  </si>
  <si>
    <t>海南南溟科技有限公司</t>
  </si>
  <si>
    <t>广东韩德工程机械设备有限公司海南分公司</t>
  </si>
  <si>
    <t>海南棋楠沉香产业开发有限公司</t>
  </si>
  <si>
    <t>海南智多德电子科技有限公司</t>
  </si>
  <si>
    <t>海南香甜果业有限公司</t>
  </si>
  <si>
    <t>海南畔横广告有限公司</t>
  </si>
  <si>
    <t>海南太乙网络科技有限公司</t>
  </si>
  <si>
    <t>海南钰颜美容服务有限公司</t>
  </si>
  <si>
    <t>海南泓发实业有限公司</t>
  </si>
  <si>
    <t>海口琼山符方华盛电脑五金商行</t>
  </si>
  <si>
    <t>海南清泰医疗科技有限公司</t>
  </si>
  <si>
    <t>海南捷卓科技有限公司</t>
  </si>
  <si>
    <t>海南绯促窗帘有限公司</t>
  </si>
  <si>
    <t>海南希望电广房地产营销策划有限公司</t>
  </si>
  <si>
    <t>海南育源贸易有限公司</t>
  </si>
  <si>
    <t>海口中豪体育有限公司</t>
  </si>
  <si>
    <t>海南瑞欧汽车销售服务有限公司</t>
  </si>
  <si>
    <t>海南冉瞬窗帘有限公司</t>
  </si>
  <si>
    <t>海口美兰速帮清洁服务中心</t>
  </si>
  <si>
    <t>海南光景文化传媒有限公司</t>
  </si>
  <si>
    <t>海口欣智慧汽车服务有限公司</t>
  </si>
  <si>
    <t>海南汇禾文化传媒有限公司</t>
  </si>
  <si>
    <t>海南昵沐窗帘有限公司</t>
  </si>
  <si>
    <t>海南泽凯电子科技有限公司</t>
  </si>
  <si>
    <t>海口亿旺汽车服务有限公司</t>
  </si>
  <si>
    <t>中环洁（海口）城市环境服务有限公司</t>
  </si>
  <si>
    <t>海南崇铭电子科技有限公司</t>
  </si>
  <si>
    <t>海口叁陆零保洁服务有限公司</t>
  </si>
  <si>
    <t>海南政鹏联盟科技有限公司</t>
  </si>
  <si>
    <t>海口龙华祥丰裕胶粘带厂</t>
  </si>
  <si>
    <t>海南云弈科技有限公司</t>
  </si>
  <si>
    <t>三沙乐氏船用产品销售有限公司</t>
  </si>
  <si>
    <t>赛华（海南）水产养殖有限责任公司</t>
  </si>
  <si>
    <t>海南初见食品有限公司</t>
  </si>
  <si>
    <t>海南窗维窗帘有限公司</t>
  </si>
  <si>
    <t>海南太好吃食品有限公司民声西路分公司</t>
  </si>
  <si>
    <t>海南遇际窗帘有限公司</t>
  </si>
  <si>
    <t>海南甘昊窗帘有限公司</t>
  </si>
  <si>
    <t>海南晓溪窗帘有限公司</t>
  </si>
  <si>
    <t>海南宜美环境科技有限公司</t>
  </si>
  <si>
    <t>海南岁酒酒业有限公司</t>
  </si>
  <si>
    <t>海南茂逸窗帘有限公司</t>
  </si>
  <si>
    <t>海南雷尼广告有限公司</t>
  </si>
  <si>
    <t>海南化肤白美容美发有限公司</t>
  </si>
  <si>
    <t>海南彦钰窗帘有限公司</t>
  </si>
  <si>
    <t>海南谐和家政服务有限公司</t>
  </si>
  <si>
    <t>中交控股集团（海南）有限公司</t>
  </si>
  <si>
    <t>海南众志体育管理有限公司</t>
  </si>
  <si>
    <t>海南绣茵窗帘有限公司</t>
  </si>
  <si>
    <t>海南陇旦窗帘有限公司</t>
  </si>
  <si>
    <t>候鸟公社（海南）康养产业有限公司</t>
  </si>
  <si>
    <t>海南成芬专业采耳健康管理有限公司</t>
  </si>
  <si>
    <t>海口宜佳家政服务有限公司</t>
  </si>
  <si>
    <t>海南弘志达科技有限公司</t>
  </si>
  <si>
    <t>海南媚徕电子科技有限公司</t>
  </si>
  <si>
    <t>海南盛济广告有限公司</t>
  </si>
  <si>
    <t>海南深咖和广告有限公司</t>
  </si>
  <si>
    <t>海南伊娜德文化传播有限公司</t>
  </si>
  <si>
    <t>海南盛洁环保科技有限公司</t>
  </si>
  <si>
    <t>海南贝崇广告有限公司</t>
  </si>
  <si>
    <t>海南智警数据服务有限公司</t>
  </si>
  <si>
    <t>海口市军粮配送有限公司</t>
  </si>
  <si>
    <t>康斯宝电商科技（海南）有限公司</t>
  </si>
  <si>
    <t>海口京玉环境服务有限公司</t>
  </si>
  <si>
    <t>海南茗佑广告有限公司</t>
  </si>
  <si>
    <t>海南渔港船夫海洋科技有限公司</t>
  </si>
  <si>
    <t>海南众信配送有限公司</t>
  </si>
  <si>
    <t>旺旺佳健康管理（海南）有限公司</t>
  </si>
  <si>
    <t>海南颖敏广告有限公司</t>
  </si>
  <si>
    <t>海口玖鼎嘉元绿化管理有限公司</t>
  </si>
  <si>
    <t>海口整木木业服务有限公司</t>
  </si>
  <si>
    <t>海南浦奋窗帘有限公司</t>
  </si>
  <si>
    <t>海南喜喜于飞信息技术有限公司</t>
  </si>
  <si>
    <t>海南馨博配送有限公司</t>
  </si>
  <si>
    <t>海南多咪咪美容有限公司</t>
  </si>
  <si>
    <t>海南华弘环保再生资源有限公司</t>
  </si>
  <si>
    <t>海口京美环境服务有限公司</t>
  </si>
  <si>
    <t>海南沃德机电设备有限公司</t>
  </si>
  <si>
    <t>海南成理科技有限公司</t>
  </si>
  <si>
    <t>李杰（海南）酒业集团有限公司</t>
  </si>
  <si>
    <t>广州华宇信息技术有限公司海南分公司</t>
  </si>
  <si>
    <t>海南二十六度文化科技有限公司</t>
  </si>
  <si>
    <t>海口垚安区块链技术有限公司</t>
  </si>
  <si>
    <t>海南铺铺秀网络科技有限公司</t>
  </si>
  <si>
    <t>深层海水（海南）科技有限公司</t>
  </si>
  <si>
    <t>海南泽穗科技有限公司</t>
  </si>
  <si>
    <t>中储科技（海南）有限公司</t>
  </si>
  <si>
    <t>海南轩之杰环保科技服务有限公司</t>
  </si>
  <si>
    <t>海口美兰老表汽修店</t>
  </si>
  <si>
    <t>海南中业化工有限公司</t>
  </si>
  <si>
    <t>海南胜隆源生态农业有限公司</t>
  </si>
  <si>
    <t>数字海南有限公司</t>
  </si>
  <si>
    <t>海南华昇科技有限公司</t>
  </si>
  <si>
    <t>海口康正百合汽车销售股份有限公司</t>
  </si>
  <si>
    <t>海南赤道会创服网络科技有限公司</t>
  </si>
  <si>
    <t>海南际游岛贸易有限公司</t>
  </si>
  <si>
    <t>海南一米阳光物业管理有限公司</t>
  </si>
  <si>
    <t>海南玖联汽车服务有限公司</t>
  </si>
  <si>
    <t>凯乐汽车服务（海南海口）有限责任公司</t>
  </si>
  <si>
    <t>海南西游汽车销售服务有限公司</t>
  </si>
  <si>
    <t>海南海垦生物科技有限公司</t>
  </si>
  <si>
    <t>海口龙华珉安居流体处理设备服务中心</t>
  </si>
  <si>
    <t>海口煜琳凤果蔬贸易有限公司</t>
  </si>
  <si>
    <t>海南乐享健康产业有限公司</t>
  </si>
  <si>
    <t>海口龙华莲饼小吃店</t>
  </si>
  <si>
    <t>海南北斗烽星科技集团有限公司</t>
  </si>
  <si>
    <t>海南奥动新能源科技有限公司</t>
  </si>
  <si>
    <t>海口欣梦圆网络科技有限公司</t>
  </si>
  <si>
    <t>海南车致诚汽车服务有限公司</t>
  </si>
  <si>
    <t>海口秀英风之铃电动车行</t>
  </si>
  <si>
    <t>海南富诚新能源科技有限公司</t>
  </si>
  <si>
    <t>李杰（海南）信息科技有限公司</t>
  </si>
  <si>
    <t>海南悦文屿贸易有限公司</t>
  </si>
  <si>
    <t>海南邦宁商贸有限公司</t>
  </si>
  <si>
    <t>海口美兰铮泰安防器材经销部</t>
  </si>
  <si>
    <t>海南省华睿橡胶有限公司</t>
  </si>
  <si>
    <t>海口秀英奔飞汽车美容养护中心</t>
  </si>
  <si>
    <t>海南金园橡胶有限公司</t>
  </si>
  <si>
    <t>远望通信（海南）有限公司</t>
  </si>
  <si>
    <t>海南岭秀酒业有限公司</t>
  </si>
  <si>
    <t>海南未济健康管理有限公司</t>
  </si>
  <si>
    <t>海南瓯网美容有限公司</t>
  </si>
  <si>
    <t>海口维度慕北护肤造型有限公司</t>
  </si>
  <si>
    <t>海南柠觅美容有限公司</t>
  </si>
  <si>
    <t>海南创莎窗帘有限公司</t>
  </si>
  <si>
    <t>海南启芳美容有限公司</t>
  </si>
  <si>
    <t>海南厉连美容有限公司</t>
  </si>
  <si>
    <t>海南翰鼎亨科技有限公司</t>
  </si>
  <si>
    <t>海口車惠宝汽车服务有限责任公司</t>
  </si>
  <si>
    <t>海南珂何美容有限公司</t>
  </si>
  <si>
    <t>海南海钓国际俱乐部有限公司</t>
  </si>
  <si>
    <t>澳美华国际贸易（海南省）有限公司</t>
  </si>
  <si>
    <t>海南煜敏广告有限公司</t>
  </si>
  <si>
    <t>海南彩摘窗帘有限公司</t>
  </si>
  <si>
    <t>海南珍旻美容有限公司</t>
  </si>
  <si>
    <t>海南旭峰水泥制品有限公司</t>
  </si>
  <si>
    <t>海南篱奕美容有限公司</t>
  </si>
  <si>
    <t>海南梵乐儿童有限公司</t>
  </si>
  <si>
    <t>海南威阳玛卡实业有限公司</t>
  </si>
  <si>
    <t>海南泰悦健康管理有限公司</t>
  </si>
  <si>
    <t>海南三木生态环保有限公司</t>
  </si>
  <si>
    <t>海南椰纯贸易有限公司</t>
  </si>
  <si>
    <t>海南至蒙美容有限公司</t>
  </si>
  <si>
    <t>车保镖（海南）汽车服务有限公司</t>
  </si>
  <si>
    <t>海口青鸟体育文化有限公司</t>
  </si>
  <si>
    <t>海南新埠基础投资有限公司</t>
  </si>
  <si>
    <t>海南楚风慧慈医旅康养有限责任公司</t>
  </si>
  <si>
    <t>海南茗蜃美容有限公司</t>
  </si>
  <si>
    <t>海口讯慈美业有限公司</t>
  </si>
  <si>
    <t>海南乏志广告有限公司</t>
  </si>
  <si>
    <t>海口文河体育发展有限责任公司</t>
  </si>
  <si>
    <t>海南铭博健康管理有限公司</t>
  </si>
  <si>
    <t>海南框凝广告有限公司</t>
  </si>
  <si>
    <t>海南史谧美容有限公司</t>
  </si>
  <si>
    <t>海南铵渺美容有限公司</t>
  </si>
  <si>
    <t>海南省格调美容美发用品有限公司</t>
  </si>
  <si>
    <t>海口优乐儿体育有限责任公司</t>
  </si>
  <si>
    <t>海南拧靖美容有限公司</t>
  </si>
  <si>
    <t>海口佳友体育文化有限公司</t>
  </si>
  <si>
    <t>海南拳酷体育有限公司</t>
  </si>
  <si>
    <t>海南徘徊美容有限公司</t>
  </si>
  <si>
    <t>海南栅彬美容有限公司</t>
  </si>
  <si>
    <t>海南星辉配送有限公司</t>
  </si>
  <si>
    <t>海南壹彩秀美业有限公司</t>
  </si>
  <si>
    <t>海南绿色景阳园林工程有限公司</t>
  </si>
  <si>
    <t>海南九胜文旅体育产业发展有限公司</t>
  </si>
  <si>
    <t>海南原拓网络科技有限公司</t>
  </si>
  <si>
    <t>海南精功眼科医院有限公司</t>
  </si>
  <si>
    <t>海南省奋斗贸易有限责任公司</t>
  </si>
  <si>
    <t>海南创航病媒生物防制有限公司</t>
  </si>
  <si>
    <t>海口龙华骏捷汽车服务中心</t>
  </si>
  <si>
    <t>海口美兰米身米酒加工坊</t>
  </si>
  <si>
    <t>海南库里体育有限公司</t>
  </si>
  <si>
    <t>海南臻房网信息科技有限公司</t>
  </si>
  <si>
    <t>海南先楚科技有限公司</t>
  </si>
  <si>
    <t>海南顾家环保科技有限公司</t>
  </si>
  <si>
    <t>海之南旅租（海南）有限公司</t>
  </si>
  <si>
    <t>巳井合（海南）健康养生有限责任公司</t>
  </si>
  <si>
    <t>海南香秘普拉提瘦身有限公司</t>
  </si>
  <si>
    <t>海南杜涯美容有限公司</t>
  </si>
  <si>
    <t>爱心家政有限公司</t>
  </si>
  <si>
    <t>海南华肽瑞溪食品有限公司</t>
  </si>
  <si>
    <t>海口瑞鑫美业有限公司</t>
  </si>
  <si>
    <t>海口艾爱家政服务有限公司</t>
  </si>
  <si>
    <t>海南骏瑞汽车租赁有限公司</t>
  </si>
  <si>
    <t>海口琼山圣源汽车空调维修部</t>
  </si>
  <si>
    <t>海南省量心环保科技有限公司</t>
  </si>
  <si>
    <t>海南润睿植保科技有限公司</t>
  </si>
  <si>
    <t>王家大院（海南）文化旅游有限公司</t>
  </si>
  <si>
    <t>海南时语文化有限公司</t>
  </si>
  <si>
    <t>海南森展贸易有限公司</t>
  </si>
  <si>
    <t>肆拾玖坊（海口）贸易代理有限公司</t>
  </si>
  <si>
    <t>海口秀英睿晟咨询服务工作室</t>
  </si>
  <si>
    <t>海口龙华辉之飞家用电器维修部</t>
  </si>
  <si>
    <t>海南省好乐惠餐饮管理服务有限公司</t>
  </si>
  <si>
    <t>海南鑫豹汽车服务有限公司</t>
  </si>
  <si>
    <t>海南麒喆科技有限公司</t>
  </si>
  <si>
    <t>海南好车舫汽车服务有限公司</t>
  </si>
  <si>
    <t>海口锦久美辰实业有限公司</t>
  </si>
  <si>
    <t>海南森泽农旅有限公司</t>
  </si>
  <si>
    <t>海南鼎豪科技有限公司</t>
  </si>
  <si>
    <t>海口北昌建材科技有限公司</t>
  </si>
  <si>
    <t>海南鑫伊建建材有限公司</t>
  </si>
  <si>
    <t>海南徽展贸易有限公司</t>
  </si>
  <si>
    <t>海南艾翁人力资源综合服务有限公司</t>
  </si>
  <si>
    <t>海南鹤轩网电科技有限公司</t>
  </si>
  <si>
    <t>海南信石医疗科技有限公司</t>
  </si>
  <si>
    <t>海南咏盛虫控防治服务有限公司</t>
  </si>
  <si>
    <t>海南迪信科技有限公司</t>
  </si>
  <si>
    <t>海口美兰莫书宝有线电视维修服务点</t>
  </si>
  <si>
    <t>海南启成汽车租赁有限公司</t>
  </si>
  <si>
    <t>海南桑洋河畔酒庄有限公司</t>
  </si>
  <si>
    <t>海南惠丰餐饮管理有限公司</t>
  </si>
  <si>
    <t>海口秀英利众机油批发门市部</t>
  </si>
  <si>
    <t>海南美慧达汽车租赁有限公司</t>
  </si>
  <si>
    <t>中环瑞德（海南）勘测设计有限公司</t>
  </si>
  <si>
    <t>海南中天椰岛实业发展有限公司</t>
  </si>
  <si>
    <t>海南翔睿德科技有限公司</t>
  </si>
  <si>
    <t>海南宏政零玖贸易有限公司</t>
  </si>
  <si>
    <t>海南经济特区头脑风暴游艇帆船运动有限公司</t>
  </si>
  <si>
    <t>海南福畅裕贸易有限公司</t>
  </si>
  <si>
    <t>海口金色海岛体育文化有限公司</t>
  </si>
  <si>
    <t>海南三泉岩矿泉水有限公司</t>
  </si>
  <si>
    <t>广东华信服务集团有限公司海南分公司</t>
  </si>
  <si>
    <t>海南省中升环保服务有限公司</t>
  </si>
  <si>
    <t>海南飞腾瑜伽健身培训有限公司</t>
  </si>
  <si>
    <t>海南中赢德润水务有限公司</t>
  </si>
  <si>
    <t>海南饼立方食品有限公司</t>
  </si>
  <si>
    <t>海南花照水养生有限公司</t>
  </si>
  <si>
    <t>海南鑫博鑫环境治理业有限公司</t>
  </si>
  <si>
    <t>海南锦祥园林工程有限公司</t>
  </si>
  <si>
    <t>海南妈咪悦健康管理有限公司</t>
  </si>
  <si>
    <t>海南麦栗工坊集团有限公司</t>
  </si>
  <si>
    <t>海南一帆家庭服务有限公司</t>
  </si>
  <si>
    <t>海南中辰环保技术有限公司</t>
  </si>
  <si>
    <t>海口新益才商务服务有限公司</t>
  </si>
  <si>
    <t>海南虎青广告有限公司</t>
  </si>
  <si>
    <t>海南纷趣小栈饮料有限公司</t>
  </si>
  <si>
    <t>上南置业（海南）有限公司</t>
  </si>
  <si>
    <t>海口喜喜形体康复健康管理中心有限公司</t>
  </si>
  <si>
    <t>海南时代环保科技有限公司</t>
  </si>
  <si>
    <t>海南省未来海科技有限责任公司</t>
  </si>
  <si>
    <t>海南康萨疗养院综合服务中心有限公司</t>
  </si>
  <si>
    <t>海南美丽工场健康管理有限公司</t>
  </si>
  <si>
    <t>海南搏速体育有限公司</t>
  </si>
  <si>
    <t>海南人工智能科技有限公司</t>
  </si>
  <si>
    <t>海南蜕变体育文化有限公司</t>
  </si>
  <si>
    <t>海南华慧家庭服务有限公司</t>
  </si>
  <si>
    <t>海南亿昌环境工程有限公司</t>
  </si>
  <si>
    <t>海南中恒环境工程有限公司</t>
  </si>
  <si>
    <t>海南凤林泰旅游开发有限公司</t>
  </si>
  <si>
    <t>海南三通环保科技有限公司</t>
  </si>
  <si>
    <t>海南白蒲广告有限公司</t>
  </si>
  <si>
    <t>海南渡岸康养有限公司</t>
  </si>
  <si>
    <t>海口鸿裕德家政服务有限公司</t>
  </si>
  <si>
    <t>海南华源生态环境治理有限公司</t>
  </si>
  <si>
    <t>海南壹优科技有限公司</t>
  </si>
  <si>
    <t>海口佳颜医疗美容有限公司</t>
  </si>
  <si>
    <t>海口魔颜美容美发有限公司</t>
  </si>
  <si>
    <t>海口鑫星珠宝有限公司</t>
  </si>
  <si>
    <t>海口纽艺约艺术文化传媒有限公司</t>
  </si>
  <si>
    <t>预小护（海南）健康管理有限责任公司</t>
  </si>
  <si>
    <t>海南北岸风筝冲浪体育文化有限公司</t>
  </si>
  <si>
    <t>海口针艾效健康管理有限公司</t>
  </si>
  <si>
    <t>海南逸和保洁服务有限公司</t>
  </si>
  <si>
    <t>海口维慕斯美容美发有限公司</t>
  </si>
  <si>
    <t>海南互利家政服务有限公司</t>
  </si>
  <si>
    <t>广丰源（海南）食品有限公司</t>
  </si>
  <si>
    <t>海南泰享健康管理有限公司</t>
  </si>
  <si>
    <t>海南森兰文化传媒有限公司</t>
  </si>
  <si>
    <t>海南聚燃体育文化有限公司</t>
  </si>
  <si>
    <t>海南民安家政服务有限责任公司</t>
  </si>
  <si>
    <t>海口缇娅迪美容美发有限公司</t>
  </si>
  <si>
    <t>海口梦丝美容美发有限公司</t>
  </si>
  <si>
    <t>海南怡心居美容服务有限公司</t>
  </si>
  <si>
    <t>开心农夫健康产业科技（海南）有限公司</t>
  </si>
  <si>
    <t>海口美蓓乐美容美发有限公司</t>
  </si>
  <si>
    <t>海南柏广之美图文广告有限公司</t>
  </si>
  <si>
    <t>海南宏林环保科技有限公司</t>
  </si>
  <si>
    <t>海南辉创科技有限公司</t>
  </si>
  <si>
    <t>海南金纳斯健康养生有限公司</t>
  </si>
  <si>
    <t>海口市瑞棋健康管理咨询服务有限责任公司</t>
  </si>
  <si>
    <t>海南靓顶美容美发有限公司</t>
  </si>
  <si>
    <t xml:space="preserve">海南养清脍健康服务有限公司 </t>
  </si>
  <si>
    <t>海南智能荣平科技有限公司</t>
  </si>
  <si>
    <t>海口秀英华力印章服务部</t>
  </si>
  <si>
    <t>海南一视科技有限公司</t>
  </si>
  <si>
    <t>海南筷乐姐妹食品有限公司</t>
  </si>
  <si>
    <t>海口秀英红桃窗帘布艺加工店</t>
  </si>
  <si>
    <t>海口龙华利德鑫玻璃门窗店</t>
  </si>
  <si>
    <t>海南弘宇科技开发有限公司</t>
  </si>
  <si>
    <t>海南恩驰汽车服务有限公司</t>
  </si>
  <si>
    <t>海南岩佳水保工程有限公司</t>
  </si>
  <si>
    <t>海口普呈康实验设备有限公司</t>
  </si>
  <si>
    <t>海南爱邦家政服务有限公司</t>
  </si>
  <si>
    <t>海南鑫常隆安全系统监控服务有限公司</t>
  </si>
  <si>
    <t>海南宿商实业有限公司</t>
  </si>
  <si>
    <t>海口秘汁道餐饮管理有限公司</t>
  </si>
  <si>
    <t>海南清睿贸易有限公司</t>
  </si>
  <si>
    <t>海口日群科技有限公司</t>
  </si>
  <si>
    <t>海南渔佬玖食品有限公司</t>
  </si>
  <si>
    <t>海口菩泰养生有限公司</t>
  </si>
  <si>
    <t>海南佐佑手财务咨询有限公司</t>
  </si>
  <si>
    <t>海南和中易道养生文化传播有限公司</t>
  </si>
  <si>
    <t>海南精英体育文化有限公司</t>
  </si>
  <si>
    <t>海口泰和医疗保健康复服务有限公司</t>
  </si>
  <si>
    <t>海南长赢科技有限公司</t>
  </si>
  <si>
    <t>海南峪城健康管理有限公司</t>
  </si>
  <si>
    <t>海南巨鑫咨询服务有限公司</t>
  </si>
  <si>
    <t>海南巨成电子竞技有限公司</t>
  </si>
  <si>
    <t>海南合新生态环保有限公司</t>
  </si>
  <si>
    <t>海口洁润恒家政有限公司</t>
  </si>
  <si>
    <t>欧美派日用品（海南省）有限公司</t>
  </si>
  <si>
    <t>海南加美海外家政服务有限公司</t>
  </si>
  <si>
    <t>澳美派生活用品（海南省）有限公司</t>
  </si>
  <si>
    <t>海口市昌茂布谷鸟托育中心有限责任公司</t>
  </si>
  <si>
    <t>海南万众体育文化有限公司</t>
  </si>
  <si>
    <t>合泰商贸（海南）有限公司</t>
  </si>
  <si>
    <t>海口龙华刘卫丰加工坊</t>
  </si>
  <si>
    <t>海南靓源环保科技有限公司</t>
  </si>
  <si>
    <t>海南鹰驰新能源装备开发有限公司</t>
  </si>
  <si>
    <t>极智电竞（海南）有限公司</t>
  </si>
  <si>
    <t>沿海体育（海南）有限公司</t>
  </si>
  <si>
    <t>海南盛为置业有限公司</t>
  </si>
  <si>
    <t>海南竞赛体育文化有限责任公司</t>
  </si>
  <si>
    <t>海南昌木林钢木结构有限公司</t>
  </si>
  <si>
    <t>海南佰佳环境检测技术有限公司</t>
  </si>
  <si>
    <t>海口领地美容美发有限公司</t>
  </si>
  <si>
    <t>海口市海岸佳鑫家政服务有限公司</t>
  </si>
  <si>
    <t>海南福佳母婴服务有限公司</t>
  </si>
  <si>
    <t>海南诺尔医疗美容有限公司</t>
  </si>
  <si>
    <t>海口力作软装工程有限公司</t>
  </si>
  <si>
    <t>海南海之恋健康养生有限公司</t>
  </si>
  <si>
    <t>海南冬皓医疗美容有限公司</t>
  </si>
  <si>
    <t>海南省玛尔斯体育文化有限公司</t>
  </si>
  <si>
    <t>海南明信金属回收有限公司</t>
  </si>
  <si>
    <t>海南泰玺悦健康养生有限公司</t>
  </si>
  <si>
    <t>海南大唐西市文旅健康产业集团有限公司</t>
  </si>
  <si>
    <t>海南五源河康养中心健康服务有限责任公司</t>
  </si>
  <si>
    <t>海南九洲文旅产业投资管理有限公司</t>
  </si>
  <si>
    <t>樊茂电子竞技（海南经济特区）有限公司</t>
  </si>
  <si>
    <t>海南双龙足球俱乐部有限公司</t>
  </si>
  <si>
    <t>海南童伴文化传媒有限公司</t>
  </si>
  <si>
    <t>海口蒂凡希美容美发有限公司</t>
  </si>
  <si>
    <t>海口环禹体育运动投资有限公司</t>
  </si>
  <si>
    <t>海南名森汽车服务有限公司</t>
  </si>
  <si>
    <t>海南省海联水产食品有限公司</t>
  </si>
  <si>
    <t>海口琼山广民门窗加工店</t>
  </si>
  <si>
    <t>海南琼粥一品餐饮管理有限公司</t>
  </si>
  <si>
    <t>海南诚友广告有限公司</t>
  </si>
  <si>
    <t>海南海耀充电桩服务有限公司</t>
  </si>
  <si>
    <t>海南矩鸣实业有限公司</t>
  </si>
  <si>
    <t>海南龙昂文化传媒有限公司</t>
  </si>
  <si>
    <t>海南上通弘禹汽车销售服务有限公司</t>
  </si>
  <si>
    <t>海南龙翔文化传媒有限公司</t>
  </si>
  <si>
    <t>海南格声科技有限公司</t>
  </si>
  <si>
    <t>海南佳域天成贸易有限公司</t>
  </si>
  <si>
    <t>海口龙华龙桥大家兴铝合金加工店</t>
  </si>
  <si>
    <t>深圳市善清保洁服务有限公司海南分公司</t>
  </si>
  <si>
    <t>海口汇锦通讯有限公司</t>
  </si>
  <si>
    <t>海南金时光旅游发展有限公司</t>
  </si>
  <si>
    <t>金海螺（海南）电子竞技有限公司</t>
  </si>
  <si>
    <t>海南森祺营养工程有限公司</t>
  </si>
  <si>
    <t>海南鑫拓海实业有限公司</t>
  </si>
  <si>
    <t>海南昊驰科技有限公司</t>
  </si>
  <si>
    <t>海南飞马腾汽车服务有限公司</t>
  </si>
  <si>
    <t>海南省爱丽歌美业管理有限公司</t>
  </si>
  <si>
    <t>中创电子竞技（海南经济特区）有限公司</t>
  </si>
  <si>
    <t>海口冠之心健身服务有限公司</t>
  </si>
  <si>
    <t>海南天之然生态环境技术有限公司</t>
  </si>
  <si>
    <t>海南玫瑰园康养旅居服务有限公司</t>
  </si>
  <si>
    <t>海南鹏龙汽车销售服务有限公司</t>
  </si>
  <si>
    <t>海南蓝海隆水产养殖有限公司</t>
  </si>
  <si>
    <t>海南省景和体育文化发展有限公司</t>
  </si>
  <si>
    <t>海南植华生物科技有限公司</t>
  </si>
  <si>
    <t>海南文芳智能农旅科技发展有限公司</t>
  </si>
  <si>
    <t>海口开耀网络科技有限公司</t>
  </si>
  <si>
    <t>海南瑞承体育文化有限公司</t>
  </si>
  <si>
    <t>海南会神科技有限公司</t>
  </si>
  <si>
    <t>海南华科康美生物技术有限公司</t>
  </si>
  <si>
    <t>海南以理健康咨询有限公司</t>
  </si>
  <si>
    <t>海南容耀广告业有限公司</t>
  </si>
  <si>
    <t>深圳市天雨给排水设备有限公司海南分公司</t>
  </si>
  <si>
    <t>海口鑫烁餐饮服务有限公司</t>
  </si>
  <si>
    <t>海南初格工程设计有限公司</t>
  </si>
  <si>
    <t>海南日鑫贸易有限公司</t>
  </si>
  <si>
    <t>海南幸福桥网络科技有限公司</t>
  </si>
  <si>
    <t>海南益祥佰川汽车销售服务有限公司</t>
  </si>
  <si>
    <t>海南合启彻网络科技有限公司</t>
  </si>
  <si>
    <t>海南一鸣自驾车租赁有限公司</t>
  </si>
  <si>
    <t>海南良林电器维修有限公司</t>
  </si>
  <si>
    <t>海南源诚环境科技有限公司</t>
  </si>
  <si>
    <t>海南华视传骑教育管理有限公司</t>
  </si>
  <si>
    <t>海南天壮营养工程有限公司</t>
  </si>
  <si>
    <t>海南嘉果缘食品科技开发有限公司</t>
  </si>
  <si>
    <t>海口天诚园园林工程有限公司</t>
  </si>
  <si>
    <t>海南天荣体育管理有限公司</t>
  </si>
  <si>
    <t>海南思晗科技有限责任公司</t>
  </si>
  <si>
    <t>海南万邦家政服务有限公司</t>
  </si>
  <si>
    <t>凰金决（海口）体育文化有限公司</t>
  </si>
  <si>
    <t>海南北纬十八饮品有限公司</t>
  </si>
  <si>
    <t>海口百户综合农业专业合作社</t>
  </si>
  <si>
    <t>海口龙美水电工程有限公司</t>
  </si>
  <si>
    <t>海南金都通信研究所</t>
  </si>
  <si>
    <t>海口安琪计算机服务有限公司</t>
  </si>
  <si>
    <t>海南现代高科实业有限公司</t>
  </si>
  <si>
    <t>海南曼克星制药厂</t>
  </si>
  <si>
    <t>海口龙华舒妆阁美容美甲店</t>
  </si>
  <si>
    <t>海南虹昕美蓝环境工程有限公司</t>
  </si>
  <si>
    <t>海口海农协蔬菜产销专业合作社</t>
  </si>
  <si>
    <t>海口盛泰热带作物有限公司</t>
  </si>
  <si>
    <t>海口美兰美丽舒屋养生馆</t>
  </si>
  <si>
    <t>海口龙华斯源广告服务中心</t>
  </si>
  <si>
    <t>海口琼山永之顺汽车维修中心</t>
  </si>
  <si>
    <t>海口东山德盛行食品加工厂</t>
  </si>
  <si>
    <t>海口美兰熊记车行汽车美容养护中心</t>
  </si>
  <si>
    <t>海口美兰开颂家电维修店</t>
  </si>
  <si>
    <t>海口龙华永利汽配修理厂</t>
  </si>
  <si>
    <t>海口美兰鑫金声汽车维修中心</t>
  </si>
  <si>
    <t>海口秀英英发发汽车维修部</t>
  </si>
  <si>
    <t>海口龙华岱之源蛋糕坊</t>
  </si>
  <si>
    <t>海口秀英香香汽修部</t>
  </si>
  <si>
    <t>海口美兰睿美养发馆</t>
  </si>
  <si>
    <t>海口龙华金俊香腊味加工厂</t>
  </si>
  <si>
    <t>海口秀英菲司亚全屋定制衣橱店</t>
  </si>
  <si>
    <t>海口龙华维棉造型美发工作室</t>
  </si>
  <si>
    <t>海口龙华菲格尔地板商行</t>
  </si>
  <si>
    <t>海南乐游文化科技有限公司</t>
  </si>
  <si>
    <t>海口秀英联禾汽车维修设备经营部</t>
  </si>
  <si>
    <t>海口龙华闫明雷花梨阁工艺品店</t>
  </si>
  <si>
    <t>海口市多美滋计算机制造有限公司</t>
  </si>
  <si>
    <t>海南鑫叶食品有限公司</t>
  </si>
  <si>
    <t>海南云台国原始生态健康事业研发有限公司</t>
  </si>
  <si>
    <t>海南火南轻钢智能科技有限公司</t>
  </si>
  <si>
    <t>海控友砂再生资源（海口）有限公司</t>
  </si>
  <si>
    <t>海南广烨隆实业集团有限公司</t>
  </si>
  <si>
    <t>美天（海南）环境科技有限公司</t>
  </si>
  <si>
    <t>海南蔚澜体育文化发展有限公司</t>
  </si>
  <si>
    <t>海南鑫都环境投资有限公司</t>
  </si>
  <si>
    <t>海南荣骁投资咨询有限公司</t>
  </si>
  <si>
    <t>海南济仁堂健康管理有限公司</t>
  </si>
  <si>
    <t>海南金达信通信工程有限公司</t>
  </si>
  <si>
    <t>国营海口市琼山区农业机械站</t>
  </si>
  <si>
    <t>海口龙华万博家电维修部</t>
  </si>
  <si>
    <t>海南鑫顺制冷设备有限公司</t>
  </si>
  <si>
    <t>山西新太阳科技有限公司海南分公司</t>
  </si>
  <si>
    <t>海南吉立贸易有限公司</t>
  </si>
  <si>
    <t>海南鑫之亿汽车销售服务有限公司</t>
  </si>
  <si>
    <t>格局肆玖（海南自贸区）科技有限公司</t>
  </si>
  <si>
    <t>海南天开博展有限公司</t>
  </si>
  <si>
    <t>海南锁师傅开锁服务有限公司</t>
  </si>
  <si>
    <t>海口繁盛源商贸有限公司</t>
  </si>
  <si>
    <t>海南铭城汇二手车交易有限公司</t>
  </si>
  <si>
    <t>海口车联盟汽车用品有限公司</t>
  </si>
  <si>
    <t>海口秀英星和汽车销售服务所</t>
  </si>
  <si>
    <t>海南通达信息科技有限公司</t>
  </si>
  <si>
    <t>海南苏生生物科技有限公司</t>
  </si>
  <si>
    <t>海南文臣武将网络信息技术有限公司</t>
  </si>
  <si>
    <t>海口亦民农机作业服务专业合作社</t>
  </si>
  <si>
    <t>海南伍建科技有限公司</t>
  </si>
  <si>
    <t>海南博翔实业有限公司</t>
  </si>
  <si>
    <t>海南木之香建材贸易有限公司</t>
  </si>
  <si>
    <t>海口琼山启机装卸搬运站</t>
  </si>
  <si>
    <t>海南乐驰智能科技有限公司</t>
  </si>
  <si>
    <t>海口龙华幸福城窗帘店</t>
  </si>
  <si>
    <t>海南西柚科技有限责任公司</t>
  </si>
  <si>
    <t>海南義元汽车服务有限公司</t>
  </si>
  <si>
    <t>海口浙建劳务有限公司</t>
  </si>
  <si>
    <t>海南鳌梦贸易有限公司</t>
  </si>
  <si>
    <t>海口椰子传媒有限公司</t>
  </si>
  <si>
    <t>海南欢乐世界电子竞技有限公司</t>
  </si>
  <si>
    <t>海南百年简尚智能门窗科技有限公司</t>
  </si>
  <si>
    <t>海南蜜西柚果业有限公司</t>
  </si>
  <si>
    <t>海口龙华建得利涂料厂</t>
  </si>
  <si>
    <t>海南海利广告有限公司</t>
  </si>
  <si>
    <t>海南埃尔法汽车租赁有限公司</t>
  </si>
  <si>
    <t>海口慧志嘉华信息技术有限责任公司</t>
  </si>
  <si>
    <t>海南特区爱和健康管理有限公司</t>
  </si>
  <si>
    <t>海口杰视眼镜有限公司</t>
  </si>
  <si>
    <t>海南铭记电子科技有限公司</t>
  </si>
  <si>
    <t>海南神州瑞霖环境技术研究院有限公司</t>
  </si>
  <si>
    <t>海南正天健康管理有限公司</t>
  </si>
  <si>
    <t>海南御尚珍坊食品有限公司</t>
  </si>
  <si>
    <t>海南宗博体育文化发展有限责任公司</t>
  </si>
  <si>
    <t>海南方园医药信息咨询服务有限公司</t>
  </si>
  <si>
    <t>海南旭福烘焙有限责任公司</t>
  </si>
  <si>
    <t>海南榛莲斋食品运营有限公司</t>
  </si>
  <si>
    <t>海控烨照建材（海口）有限公司</t>
  </si>
  <si>
    <t>行家风创新（海南岛）体育运动有限公司</t>
  </si>
  <si>
    <t>一果一鲜农业科技（海南）有限公司</t>
  </si>
  <si>
    <t>海南信佳网络技术服务有限公司</t>
  </si>
  <si>
    <t>海南亿卷源档案数字化服务有限公司</t>
  </si>
  <si>
    <t>海南暖安嘉物业服务有限公司</t>
  </si>
  <si>
    <t>海南峰凯廉友网络科技有限公司</t>
  </si>
  <si>
    <t>海南众弘体育文化发展有限公司</t>
  </si>
  <si>
    <t>海南抚理健康管理咨询有限公司</t>
  </si>
  <si>
    <t>海南仙人康酒的制造有限公司</t>
  </si>
  <si>
    <t>海口兴欣荣家政服务有限公司</t>
  </si>
  <si>
    <t>海南云科仪表有限公司</t>
  </si>
  <si>
    <t>海南泰邦医疗科技有限公司</t>
  </si>
  <si>
    <t>海南谛道国际贸易有限公司</t>
  </si>
  <si>
    <t>海南农智科技有限公司</t>
  </si>
  <si>
    <t>海南三叶投资有限公司消毒剂厂</t>
  </si>
  <si>
    <t>海南三鲜美贸易有限公司</t>
  </si>
  <si>
    <t>海南椰彩广告传媒有限公司</t>
  </si>
  <si>
    <t>海口秀英金鼎程汽车修厂</t>
  </si>
  <si>
    <t>海南诺如金科技有限公司</t>
  </si>
  <si>
    <t>海南酷盟科技有限公司</t>
  </si>
  <si>
    <t>海南立腾鑫办公设备有限公司</t>
  </si>
  <si>
    <t>海南睿翼科技服务有限公司</t>
  </si>
  <si>
    <t>海南乙乙科技有限公司</t>
  </si>
  <si>
    <t>海南博瑞康生物科技有限公司</t>
  </si>
  <si>
    <t>海口琼山远振汽车维修中心</t>
  </si>
  <si>
    <t>长春建工勘测规划设计有限公司海口分公司</t>
  </si>
  <si>
    <t>海南丽海振兴工程有限公司</t>
  </si>
  <si>
    <t>海南黎锦实业有限公司</t>
  </si>
  <si>
    <t>华宿信息技术（海南）有限公司</t>
  </si>
  <si>
    <t>桐叶网络科技有限公司海口分公司</t>
  </si>
  <si>
    <t>海口龙华百佳味食品店</t>
  </si>
  <si>
    <t>中合动能（海南）新材料有限公司</t>
  </si>
  <si>
    <t>海南加佳旺合家欢汽车服务有限公司</t>
  </si>
  <si>
    <t>会领科技（海口）有限公司</t>
  </si>
  <si>
    <t>海南长奕农业生态科技有限公司</t>
  </si>
  <si>
    <t>海南喜福盛实业有限公司</t>
  </si>
  <si>
    <t>海南壹号派对娱乐管理有限公司</t>
  </si>
  <si>
    <t>海南嗨本体育文化有限责任公司</t>
  </si>
  <si>
    <t>海南乐文通信有限公司</t>
  </si>
  <si>
    <t>海南润鸿贸易有限公司</t>
  </si>
  <si>
    <t>海南博宇同创网络科技有限公司</t>
  </si>
  <si>
    <t>海口秀英翼鹏之家通讯店</t>
  </si>
  <si>
    <t>海口蓝精灵游乐设备销售有限公司</t>
  </si>
  <si>
    <t>海口辉杰食品有限公司</t>
  </si>
  <si>
    <t>海南微盟智联信息科技有限公司</t>
  </si>
  <si>
    <t>海南卫廷贸易有限公司</t>
  </si>
  <si>
    <t>海南车本色汽车服务有限公司</t>
  </si>
  <si>
    <t>海南绿艺雕塑进出口贸易有限公司</t>
  </si>
  <si>
    <t>海南博斐物业管理有限公司</t>
  </si>
  <si>
    <t>海南颐龄四海旅居养老集团有限责任公司</t>
  </si>
  <si>
    <t>海南中宏勘测有限公司</t>
  </si>
  <si>
    <t>海南英伦快客电梯有限公司</t>
  </si>
  <si>
    <t>海南中艺影业有限公司</t>
  </si>
  <si>
    <t>海南禾众汽车销售服务有限公司</t>
  </si>
  <si>
    <t>海南君玮商贸有限公司</t>
  </si>
  <si>
    <t>海南林润科技有限公司</t>
  </si>
  <si>
    <t>海南启昇新环保科技有限公司</t>
  </si>
  <si>
    <t>海南吉宇贸易有限公司</t>
  </si>
  <si>
    <t>海南海控智慧能源有限公司</t>
  </si>
  <si>
    <t>六百田餐饮文化（海南）有限责任公司</t>
  </si>
  <si>
    <t>海南海派象景观规划设计有限公司</t>
  </si>
  <si>
    <t>海南八月文化传媒有限公司</t>
  </si>
  <si>
    <t>海口琼山鸿运来红木家具馆</t>
  </si>
  <si>
    <t>海口琼山洪文铎家私经销店</t>
  </si>
  <si>
    <t>海口琼山家传印记家具馆</t>
  </si>
  <si>
    <t>海口琼山利安居家具经销店</t>
  </si>
  <si>
    <t>海口琼山吕氏红木家具馆</t>
  </si>
  <si>
    <t>海口开源水务有限公司</t>
  </si>
  <si>
    <t>海口琼山瑰宝家传红木家具馆</t>
  </si>
  <si>
    <t>海口琼山源民缘红木家具店</t>
  </si>
  <si>
    <t>海口琼山御品木皇红木家具馆</t>
  </si>
  <si>
    <t>海南梅丽莎商贸有限公司</t>
  </si>
  <si>
    <t>爱玛客服务产业（中国）有限公司海南分公司</t>
  </si>
  <si>
    <t>海南创客咨询管理有限公司</t>
  </si>
  <si>
    <t>百姓网络科技（海南）有限公司</t>
  </si>
  <si>
    <t>一九八五（海南）投资发展有限公司</t>
  </si>
  <si>
    <t>海南中昊开鑫贸易有限公司</t>
  </si>
  <si>
    <t>海南游玩科技有限公司</t>
  </si>
  <si>
    <t>易联融盛信息科技（海南自贸区）有限公司</t>
  </si>
  <si>
    <t>易联微服（海南）投资有限公司</t>
  </si>
  <si>
    <t>海口源生物语文化传播有限公司</t>
  </si>
  <si>
    <t>海口海元鑫科技有限公司</t>
  </si>
  <si>
    <t>海南志和贸易有限公司</t>
  </si>
  <si>
    <t>海南鑫开源医药科技有限公司</t>
  </si>
  <si>
    <t>海南海之信工程咨询有限公司</t>
  </si>
  <si>
    <t>海南漫达建材有限公司</t>
  </si>
  <si>
    <t>海南鑫蔚来环保科技有限公司</t>
  </si>
  <si>
    <t>海南大户网络科技有限公司</t>
  </si>
  <si>
    <t>海南英驰汽车租赁有限公司</t>
  </si>
  <si>
    <t>海南誉学教育培训有限公司</t>
  </si>
  <si>
    <t>海南宜信通信技术有限公司</t>
  </si>
  <si>
    <t>海口华之丰汽车有限责任公司</t>
  </si>
  <si>
    <t>海南中移飞越光年通信有限公司</t>
  </si>
  <si>
    <t>海南中移开拓者通信有限公司</t>
  </si>
  <si>
    <t>海南中移和天下通信有限公司</t>
  </si>
  <si>
    <t>海南中移利森通信有限公司</t>
  </si>
  <si>
    <t>海南中移跃辉通信有限公司</t>
  </si>
  <si>
    <t>海南福硒山糖业有限公司</t>
  </si>
  <si>
    <t>海南宏羽旅游管理有限公司</t>
  </si>
  <si>
    <t>海南圆规环保科技有限公司</t>
  </si>
  <si>
    <t>海口龙华鑫鸿跃玻璃商行</t>
  </si>
  <si>
    <t>北京仪线连天防雷检测有限公司海南分公司</t>
  </si>
  <si>
    <t>海南运鑫来贸易有限公司</t>
  </si>
  <si>
    <t>海口龙华鑫宏源顺车厢厂</t>
  </si>
  <si>
    <t>海南沃之鑫汽车销售服务有限公司</t>
  </si>
  <si>
    <t>海南雅正房地产营销策划有限公司</t>
  </si>
  <si>
    <t>海口佳华宏网络科技有限公司</t>
  </si>
  <si>
    <t>海南惠施食品有限公司</t>
  </si>
  <si>
    <t>海南九方泰禾农业装备有限公司</t>
  </si>
  <si>
    <t>海口闪电达科技有限公司</t>
  </si>
  <si>
    <t>海南农正品牌发展有限公司</t>
  </si>
  <si>
    <t>海南意畅达图文广告有限公司</t>
  </si>
  <si>
    <t>海口龙华奥众汽车维修服务中心</t>
  </si>
  <si>
    <t>海南强陶贸易有限公司</t>
  </si>
  <si>
    <t>海口政睿祥汽车配件有限公司</t>
  </si>
  <si>
    <t>辣木网（海南自贸区）科技有限公司</t>
  </si>
  <si>
    <t>海口美兰妙迈水果商行</t>
  </si>
  <si>
    <t>海南奇智胜科技有限公司</t>
  </si>
  <si>
    <t>海南建资信息科技有限公司</t>
  </si>
  <si>
    <t>海南锦维网络科技有限公司</t>
  </si>
  <si>
    <t>海南太极链实业有限公司</t>
  </si>
  <si>
    <t>海口龙华吾悦朵以服装店</t>
  </si>
  <si>
    <t>海南名仕汽车销售服务有限公司</t>
  </si>
  <si>
    <t>海南经济特区宏程木材加工有限公司</t>
  </si>
  <si>
    <t>三沙江鹏海洋科技股份有限公司</t>
  </si>
  <si>
    <t>思创照明设计（海南）有限公司</t>
  </si>
  <si>
    <t>海南中图能源投资管理有限公司</t>
  </si>
  <si>
    <t>海口雷霆动力汽车服务有限公司</t>
  </si>
  <si>
    <t>海口绿点园林设备有限公司</t>
  </si>
  <si>
    <t>海南一叶妖美美业投资有限公司</t>
  </si>
  <si>
    <t>海口市焯烨汽车服务有限公司</t>
  </si>
  <si>
    <t>海南康王民族中医有限公司</t>
  </si>
  <si>
    <t>海南蔚蓝科技有限公司</t>
  </si>
  <si>
    <t>海口腾骏汽车服务有限公司美兰分公司</t>
  </si>
  <si>
    <t>海南德捷汽车维修服务有限公司</t>
  </si>
  <si>
    <t>海口琼山恒升通信商店</t>
  </si>
  <si>
    <t>海南邦本汽车服务有限公司</t>
  </si>
  <si>
    <t>海南南乔文化传媒有限公司</t>
  </si>
  <si>
    <t>海南兴云科技有限责任公司</t>
  </si>
  <si>
    <t>海南好盈好贸易有限公司</t>
  </si>
  <si>
    <t>海南省图浩科技有限公司</t>
  </si>
  <si>
    <t>海南科格维多媒体电教设备有限公司</t>
  </si>
  <si>
    <t>海南威晟电器售后服务有限公司</t>
  </si>
  <si>
    <t>佰鸿科技发展（海南）有限公司</t>
  </si>
  <si>
    <t>海南壹玖汽车维修服务有限公司</t>
  </si>
  <si>
    <t>海南世青英联体育文化发展有限公司</t>
  </si>
  <si>
    <t>海南醇美文化科技有限公司</t>
  </si>
  <si>
    <t>海南启恒博诚网络科技有限公司</t>
  </si>
  <si>
    <t>海南兆炳科技有限公司</t>
  </si>
  <si>
    <t>海南格曼煌网络科技有限公司</t>
  </si>
  <si>
    <t>海口巨头木业有限公司</t>
  </si>
  <si>
    <t>海南有车科技有限责任公司</t>
  </si>
  <si>
    <t>爱玛客服务产业（中国）有限公司海南第一分公司</t>
  </si>
  <si>
    <t>海南金润林贸易有限公司</t>
  </si>
  <si>
    <t>壹拳（海南）文化传媒有限责任公司</t>
  </si>
  <si>
    <t>海口讯鹏通信有限公司</t>
  </si>
  <si>
    <t>海南济安应急产业发展有限公司</t>
  </si>
  <si>
    <t>海口欧德汽车维修服务有限责任公司</t>
  </si>
  <si>
    <t>海南五土佳品商贸有限公司</t>
  </si>
  <si>
    <t>海口牧原农牧有限公司</t>
  </si>
  <si>
    <t>海南博智通科技有限公司</t>
  </si>
  <si>
    <t>海南远顺汽车租赁有限公司</t>
  </si>
  <si>
    <t>海南净植坊生物科技有限公司</t>
  </si>
  <si>
    <t>海南以创网络科技有限公司</t>
  </si>
  <si>
    <t>海南鲜达家贸易有限公司</t>
  </si>
  <si>
    <t>海南欧麦自动化科技有限公司</t>
  </si>
  <si>
    <t>京海（海南省）餐饮有限责任公司</t>
  </si>
  <si>
    <t>爱玛客服务产业（中国）有限公司海南第二分公司</t>
  </si>
  <si>
    <t>海南博畅信息科技有限公司</t>
  </si>
  <si>
    <t>海南为先实业有限公司</t>
  </si>
  <si>
    <t>海南瑞徕汽车销售服务有限公司</t>
  </si>
  <si>
    <t>海南杰瑞新能源科技有限公司</t>
  </si>
  <si>
    <t>海南淘米餐饮有限公司</t>
  </si>
  <si>
    <t>海南百高达高尔夫管理有限公司</t>
  </si>
  <si>
    <t>海口办公顺科技有限公司</t>
  </si>
  <si>
    <t>海南格尚文化传媒有限公司</t>
  </si>
  <si>
    <t>海南省劳阿母食品制造业有限责任公司</t>
  </si>
  <si>
    <t>海口镁鑫金属制品科技有限公司</t>
  </si>
  <si>
    <t>海南众亿文化传媒有限公司</t>
  </si>
  <si>
    <t>海南玖壹叁火苗文化有限公司</t>
  </si>
  <si>
    <t>海南嘉能文旅运营管理有限公司</t>
  </si>
  <si>
    <t>海南瀚海云听文化传媒有限公司</t>
  </si>
  <si>
    <t>海南君圣之君文化有限公司</t>
  </si>
  <si>
    <t>海南寻光文化传媒有限公司</t>
  </si>
  <si>
    <t>海南发射基地文化传媒有限公司</t>
  </si>
  <si>
    <t>海口市中捷通汽车技术服务有限公司</t>
  </si>
  <si>
    <t>福安（海南）旅游开发有限公司</t>
  </si>
  <si>
    <t>海口市桥隧管理有限公司</t>
  </si>
  <si>
    <t>海南鑫宝康旅游开发有限公司</t>
  </si>
  <si>
    <t>海南锦玺堂文化传媒有限公司</t>
  </si>
  <si>
    <t>海南向曹阳进出口贸易有限公司</t>
  </si>
  <si>
    <t>海南鑫佳诚汽车检测服务有限公司</t>
  </si>
  <si>
    <t>海口暗涌咨询有限公司</t>
  </si>
  <si>
    <t>海南立创科技有限公司</t>
  </si>
  <si>
    <t>海口车之明汽车美容服务有限公司</t>
  </si>
  <si>
    <t>海南福馨实业有限公司</t>
  </si>
  <si>
    <t>澜天环境治理（海南）有限公司</t>
  </si>
  <si>
    <t>海南金匠科技有限公司</t>
  </si>
  <si>
    <t>海南通博汽车养护服务有限公司</t>
  </si>
  <si>
    <t>海南牛大力饮料有限公司</t>
  </si>
  <si>
    <t>海南喜梦互娱文化传媒有限公司</t>
  </si>
  <si>
    <t>海南天奥实业有限公司</t>
  </si>
  <si>
    <t>海南热作南药黎药健康产业集团有限责任公司</t>
  </si>
  <si>
    <t>海南晟乐实业有限公司</t>
  </si>
  <si>
    <t>黎你不远（海南）影视传媒有限公司</t>
  </si>
  <si>
    <t>海口十三礼文化传播有限责任公司</t>
  </si>
  <si>
    <t>海南精臻食品有限公司</t>
  </si>
  <si>
    <t>信通（海南）投资发展有限公司</t>
  </si>
  <si>
    <t>海南润泽生态环保有限公司</t>
  </si>
  <si>
    <t>海口康成食品有限公司</t>
  </si>
  <si>
    <t>海南加福林汽车综合服务有限公司</t>
  </si>
  <si>
    <t>海南放金文旅产业发展有限公司</t>
  </si>
  <si>
    <t>海南德龙贸易有限公司</t>
  </si>
  <si>
    <t>海南歆娱文化传媒有限责任公司</t>
  </si>
  <si>
    <t>中铁海发（海南）建设发展有限公司</t>
  </si>
  <si>
    <t>海口陆陆陆汽车美容有限公司</t>
  </si>
  <si>
    <t>海南鑫启辰实业有限公司</t>
  </si>
  <si>
    <t>海南叁汐文化传媒有限公司</t>
  </si>
  <si>
    <t>海南启点汽车设备维修服务有限公司</t>
  </si>
  <si>
    <t>东卫颐泰（海南）文化传媒有限公司</t>
  </si>
  <si>
    <t>海南璞钰珠宝有限公司</t>
  </si>
  <si>
    <t>海南衍丰商贸有限公司</t>
  </si>
  <si>
    <t>海南豪诚车行服务有限公司</t>
  </si>
  <si>
    <t>海南泽理文具耗材制造有限公司</t>
  </si>
  <si>
    <t>聚鼎智盛（海南）农特产品有限公司</t>
  </si>
  <si>
    <t>海南鑫晟源食品有限公司</t>
  </si>
  <si>
    <t>海南飞艳家装有限公司</t>
  </si>
  <si>
    <t>海口市乐芭文化传媒有限公司</t>
  </si>
  <si>
    <t>海南驾个游旅游开发有限公司</t>
  </si>
  <si>
    <t>海南怡景园林工程有限公司</t>
  </si>
  <si>
    <t>海南乐艺文化传媒有限公司</t>
  </si>
  <si>
    <t>海南经济特区桃落文化传媒有限公司</t>
  </si>
  <si>
    <t>海南广丰环保服务有限公司</t>
  </si>
  <si>
    <t>海口金继车保汽车服务有限公司</t>
  </si>
  <si>
    <t>海南九号车酷汽车服务有限公司</t>
  </si>
  <si>
    <t>海南简粟文化传媒有限公司</t>
  </si>
  <si>
    <t>佳铭高科（海南经济特区）环境工程有限公司</t>
  </si>
  <si>
    <t>海南骏达生态园林绿化有限公司</t>
  </si>
  <si>
    <t>劲草（海南）文化传播有限责任公司</t>
  </si>
  <si>
    <t>海南美丽新世界旅游管理集团有限公司</t>
  </si>
  <si>
    <t>海南一恋环球文化活动策划有限公司</t>
  </si>
  <si>
    <t>海南金田盛汽车维修服务有限公司</t>
  </si>
  <si>
    <t>海南升腾正耀研学文化传播有限公司</t>
  </si>
  <si>
    <t>海口隆亨汽车维修中心（有限合伙）</t>
  </si>
  <si>
    <t>海南东锦食品科技有限公司</t>
  </si>
  <si>
    <t>海口欣城海悦文化传媒有限公司</t>
  </si>
  <si>
    <t>海南顺嘉科技服务有限公司</t>
  </si>
  <si>
    <t>海南老如金金品文化传媒有限公司</t>
  </si>
  <si>
    <t>海南诚明文化有限公司</t>
  </si>
  <si>
    <t>海南仓州汽车维修有限公司</t>
  </si>
  <si>
    <t>海南晟铭屠宰机械有限公司</t>
  </si>
  <si>
    <t>海南尹馨实业有限公司</t>
  </si>
  <si>
    <t>海南广亚智能门窗科技有限公司</t>
  </si>
  <si>
    <t>海南亿景文化传媒有限公司</t>
  </si>
  <si>
    <t>海南未来生态建设有限公司</t>
  </si>
  <si>
    <t>海南毕计划文化传媒有限公司</t>
  </si>
  <si>
    <t>海南舒心乐食品有限公司</t>
  </si>
  <si>
    <t>海南海草文化有限公司</t>
  </si>
  <si>
    <t>海口市睿步贸易有限责任公司</t>
  </si>
  <si>
    <t>海南省绿芽虫控家政服务有限公司</t>
  </si>
  <si>
    <t>海南放肆玩文化传播有限公司</t>
  </si>
  <si>
    <t>海南索菲文化传媒有限公司</t>
  </si>
  <si>
    <t>海南江恒环保科技有限公司</t>
  </si>
  <si>
    <t>海南云程文化传媒有限公司</t>
  </si>
  <si>
    <t>海南桑叶汽车技术服务有限公司</t>
  </si>
  <si>
    <t>中青游（海南）文旅开发有限公司</t>
  </si>
  <si>
    <t>海南泰么么进出口贸易有限公司</t>
  </si>
  <si>
    <t>海南省珍柱实业有限责任公司</t>
  </si>
  <si>
    <t>海南华金食品有限公司</t>
  </si>
  <si>
    <t>中帛（海南）生态环境有限公司</t>
  </si>
  <si>
    <t>海南意中贝娱乐传媒有限公司</t>
  </si>
  <si>
    <t>海南辰叶经济发展有限公司</t>
  </si>
  <si>
    <t>海南宏昇文化传播有限公司</t>
  </si>
  <si>
    <t>海南宝路驰汽车服务有限公司</t>
  </si>
  <si>
    <t>海口剑腾汽车服务中心</t>
  </si>
  <si>
    <t>海口达索智优商务服务有限公司</t>
  </si>
  <si>
    <t>海南豪方电子竞技有限公司</t>
  </si>
  <si>
    <t>海南车皇朝汽车服务有限公司红城湖分公司</t>
  </si>
  <si>
    <t>海南诚方圆包装材料有限公司</t>
  </si>
  <si>
    <t>海口良驹欢驰汽车销售服务有限公司</t>
  </si>
  <si>
    <t>海南火离科技有限公司</t>
  </si>
  <si>
    <t>海口椰乡香贸易有限公司</t>
  </si>
  <si>
    <t>海南峻驿科技有限公司</t>
  </si>
  <si>
    <t>海南迪旺达贸易有限公司</t>
  </si>
  <si>
    <t>海口龙华雅涂汽车美容养护俱乐部</t>
  </si>
  <si>
    <t>海南省飞成广告传媒有限公司</t>
  </si>
  <si>
    <t>海南舒然服饰有限公司</t>
  </si>
  <si>
    <t>海南森帅能源有限公司</t>
  </si>
  <si>
    <t>海南越秀企业管理有限公司</t>
  </si>
  <si>
    <t>海南哪里吃网络科技有限公司</t>
  </si>
  <si>
    <t>海南南软智能科技有限公司</t>
  </si>
  <si>
    <t>海南三鑫发二手车行有限公司</t>
  </si>
  <si>
    <t>海口秀英瑞秀云车床加工部</t>
  </si>
  <si>
    <t>海南永旺装饰工程有限公司</t>
  </si>
  <si>
    <t>海南耐帘智能窗帘有限公司</t>
  </si>
  <si>
    <t>海南壹米田电子商务有限公司</t>
  </si>
  <si>
    <t>海南省谭丰旅游开发有限公司</t>
  </si>
  <si>
    <t>海南赤兔汽车服务有限公司</t>
  </si>
  <si>
    <t>乐喜（海南）环境工程有限公司</t>
  </si>
  <si>
    <t>东珠生态环保（海南）有限公司</t>
  </si>
  <si>
    <t>海南吉米食品有限公司</t>
  </si>
  <si>
    <t>海南万泰合众实业有限公司</t>
  </si>
  <si>
    <t>海口晶晨网络科技有限公司</t>
  </si>
  <si>
    <t>海南嘉盛汽车服务有限公司</t>
  </si>
  <si>
    <t>海南梓里餐饮服务管理有限公司</t>
  </si>
  <si>
    <t>海口坤萌实业有限公司</t>
  </si>
  <si>
    <t>海南椰雨堂生物科技有限公司</t>
  </si>
  <si>
    <t>海南星游互娱文化传媒有限公司</t>
  </si>
  <si>
    <t>海南睿德感知物联科技有限公司</t>
  </si>
  <si>
    <t>海南众鑫食品有限公司</t>
  </si>
  <si>
    <t>海南大中文化传播有限公司</t>
  </si>
  <si>
    <t>碧桂园生活服务集团股份有限公司海口分公司</t>
  </si>
  <si>
    <t>海南驭川智慧水务有限公司</t>
  </si>
  <si>
    <t>海南奥尔玛电子有限公司</t>
  </si>
  <si>
    <t>海南邦皓工贸有限公司</t>
  </si>
  <si>
    <t>海南椰辉食品有限责任公司</t>
  </si>
  <si>
    <t>海南昊炜电气工程有限公司</t>
  </si>
  <si>
    <t>闽恒有限公司</t>
  </si>
  <si>
    <t>海南博因电子商务有限公司</t>
  </si>
  <si>
    <t>海南淘车乐汽车销售服务有限公司</t>
  </si>
  <si>
    <t>海南新一统新能源有限公司</t>
  </si>
  <si>
    <t>海南五爸农产品经营有限公司</t>
  </si>
  <si>
    <t>匠心必新（海南）家政服务有限公司</t>
  </si>
  <si>
    <t>海南顶烽阻燃科技有限公司</t>
  </si>
  <si>
    <t>海南慕尚名仕汇娱乐有限公司</t>
  </si>
  <si>
    <t>海南爱茶人商贸有限公司</t>
  </si>
  <si>
    <t>海南智云达科技有限公司</t>
  </si>
  <si>
    <t>海南友蒙电动车有限责任公司</t>
  </si>
  <si>
    <t>海南康利博贸易有限公司</t>
  </si>
  <si>
    <t>海南创智科技有限公司</t>
  </si>
  <si>
    <t>海南鑫东铭石材有限公司</t>
  </si>
  <si>
    <t>海口仟佰盛建材有限公司</t>
  </si>
  <si>
    <t>海南宏图贸易有限公司</t>
  </si>
  <si>
    <t>海南睿姿工程项目咨询有限公司</t>
  </si>
  <si>
    <t>问达（海南）科技有限公司</t>
  </si>
  <si>
    <t>海口龙恒大眼镜有限公司</t>
  </si>
  <si>
    <t>海南昭凯电力物资有限公司</t>
  </si>
  <si>
    <t>海南源群汽车贸易有限公司</t>
  </si>
  <si>
    <t>海南万紫信息技术有限公司</t>
  </si>
  <si>
    <t>海南福睿能源科技有限公司</t>
  </si>
  <si>
    <t>海南省祥晟信息技术有限公司</t>
  </si>
  <si>
    <t>海口果派影视制作有限公司</t>
  </si>
  <si>
    <t>海南致腾汽车维修有限公司</t>
  </si>
  <si>
    <t>海口秀英永莹汽车修理厂</t>
  </si>
  <si>
    <t>三沙甘泉岛悠然渔民专业合作社</t>
  </si>
  <si>
    <t>海南凯宁消防技术有限公司</t>
  </si>
  <si>
    <t>海南普尔顿环境科技有限公司</t>
  </si>
  <si>
    <t>海南亿仟和食品有限公司</t>
  </si>
  <si>
    <t>海口金振兴水暖洁具有限公司</t>
  </si>
  <si>
    <t>海南春笋电子商务有限公司</t>
  </si>
  <si>
    <t>海口龙华泓洋电力设备商行</t>
  </si>
  <si>
    <t>海南瑞可富农业科技集团有限公司</t>
  </si>
  <si>
    <t>海南顺之途汽车租赁服务有限公司</t>
  </si>
  <si>
    <t>海南泰信科技有限公司</t>
  </si>
  <si>
    <t>海南思缤体育有限责任公司</t>
  </si>
  <si>
    <t>海南天科顺旺商贸有限公司</t>
  </si>
  <si>
    <t>海南艺鼎先锋文化发展有限公司</t>
  </si>
  <si>
    <t>海南雅东实业有限公司</t>
  </si>
  <si>
    <t>海口松果贸易有限公司</t>
  </si>
  <si>
    <t>海南品创文旅文化传播有限公司</t>
  </si>
  <si>
    <t>海口普众利科技有限公司</t>
  </si>
  <si>
    <t>海南远景汽车服务有限公司</t>
  </si>
  <si>
    <t>海南云祺果业有限公司</t>
  </si>
  <si>
    <t>海南德运信息科技有限公司</t>
  </si>
  <si>
    <t>海口秀英志成制冰厂</t>
  </si>
  <si>
    <t>海口奕超图文广告有限公司</t>
  </si>
  <si>
    <t>海南谷丰食品有限公司</t>
  </si>
  <si>
    <t>天骥爱行（海南）体育文化发展有限公司</t>
  </si>
  <si>
    <t>海口中科绿汇生物科技有限公司</t>
  </si>
  <si>
    <t>海南麦得伙餐饮有限公司</t>
  </si>
  <si>
    <t>海口涯人文化传媒有限公司</t>
  </si>
  <si>
    <t>海口蜜色食品有限公司</t>
  </si>
  <si>
    <t>海南锔元科技有限公司</t>
  </si>
  <si>
    <t>海南自贸区一丹商贸有限公司</t>
  </si>
  <si>
    <t>海南互联智能科技有限公司</t>
  </si>
  <si>
    <t>海南蓝曼龙文化传媒有限公司</t>
  </si>
  <si>
    <t>海南椰乡泉食品有限公司</t>
  </si>
  <si>
    <t>海南贝乐思食品贸易有限公司</t>
  </si>
  <si>
    <t>海口市星太空星聚文化传媒有限责任公司</t>
  </si>
  <si>
    <t>海南红浒酒庄有限公司</t>
  </si>
  <si>
    <t>海口光堇文化有限责任公司</t>
  </si>
  <si>
    <t>海南乐水酿造有限公司</t>
  </si>
  <si>
    <t>海口琼淳酒业有限公司</t>
  </si>
  <si>
    <t>海口华狮汽车服务有限公司</t>
  </si>
  <si>
    <t>海南维斯汽车服务有限公司</t>
  </si>
  <si>
    <t>海南心光扑门农场有限公司</t>
  </si>
  <si>
    <t>海南渝成信息工程有限公司</t>
  </si>
  <si>
    <t>海南蚂蚁汽车服务有限公司</t>
  </si>
  <si>
    <t>领创产业发展集团（海南）有限公司</t>
  </si>
  <si>
    <t>海南优尼为科技有限公司</t>
  </si>
  <si>
    <t>深港（海南）生态环境科技有限公司</t>
  </si>
  <si>
    <t>海南百家智能生态农场有限公司</t>
  </si>
  <si>
    <t>海南金永盛汽车服务有限公司</t>
  </si>
  <si>
    <t>海南煜通顺电器维修服务有限公司</t>
  </si>
  <si>
    <t>海南桓顺实业有限公司</t>
  </si>
  <si>
    <t>海南中益植保服务有限公司</t>
  </si>
  <si>
    <t>泷海食品集团（海南）有限公司</t>
  </si>
  <si>
    <t>海南宝兰珠宝有限公司</t>
  </si>
  <si>
    <t>海南齐宏环保科技有限公司</t>
  </si>
  <si>
    <t>海南车美美汽车服务有限公司</t>
  </si>
  <si>
    <t>海南椰好呷食品有限公司</t>
  </si>
  <si>
    <t>海南玖珑阁文化传媒有限公司</t>
  </si>
  <si>
    <t>海南精通汽车服务有限公司</t>
  </si>
  <si>
    <t>海南枫笛科技有限公司</t>
  </si>
  <si>
    <t>海口乐尚网咖休闲所</t>
  </si>
  <si>
    <t>海南皇冠木业科技有限公司</t>
  </si>
  <si>
    <t>大泽泉教育科技（海南）有限公司</t>
  </si>
  <si>
    <t>海南邦尼印象文化传媒有限公司</t>
  </si>
  <si>
    <t>海南金旋律娱乐有限公司</t>
  </si>
  <si>
    <t>海南椰海宏岛实业有限公司</t>
  </si>
  <si>
    <t>海南西岸研学旅行发展有限公司</t>
  </si>
  <si>
    <t>海南捷思远文化有限公司</t>
  </si>
  <si>
    <t>海南弘彩照明工程有限公司</t>
  </si>
  <si>
    <t>海南泓辰实业有限公司</t>
  </si>
  <si>
    <t>中发控（海南）投资发展有限公司</t>
  </si>
  <si>
    <t>海南小岛心意食品有限公司</t>
  </si>
  <si>
    <t>海南盛世辉煌科技有限公司</t>
  </si>
  <si>
    <t>海南元始亨通文化有限公司</t>
  </si>
  <si>
    <t>艾威格林智能制造（海南）有限公司</t>
  </si>
  <si>
    <t>海南晟睿熙汽车服务有限公司</t>
  </si>
  <si>
    <t>一牛模特经纪（海南）有限公司</t>
  </si>
  <si>
    <t>海南鑫能海电子科技有限公司</t>
  </si>
  <si>
    <t>海口太空猫网咖店</t>
  </si>
  <si>
    <t>海南佳盈文化有限公司</t>
  </si>
  <si>
    <t>海南布莱欧文化传播有限公司</t>
  </si>
  <si>
    <t>中城一局（海南）建设集团有限公司</t>
  </si>
  <si>
    <t>海南省众安信息安全设备制造有限公司</t>
  </si>
  <si>
    <t>海南心魂映画文化有限公司</t>
  </si>
  <si>
    <t>中筑一局（海南）建设集团有限公司</t>
  </si>
  <si>
    <t>上新（海南）国际贸易有限公司</t>
  </si>
  <si>
    <t>海南中轴一局建设集团有限公司</t>
  </si>
  <si>
    <t>海南佳加蔬菜加工有限公司</t>
  </si>
  <si>
    <t>久禾文化传媒（海南）有限公司</t>
  </si>
  <si>
    <t>芃麦文化传媒（海南）有限公司</t>
  </si>
  <si>
    <t>海南独角兽文娱有限公司</t>
  </si>
  <si>
    <t>海南海丽绅文化传播有限责任公司</t>
  </si>
  <si>
    <t>海南同盛汇广告传媒有限公司</t>
  </si>
  <si>
    <t>海南省新型产业投资有限公司</t>
  </si>
  <si>
    <t>海南辛巴娱乐传媒有限公司</t>
  </si>
  <si>
    <t>善行国际食品有限公司</t>
  </si>
  <si>
    <t>财富产业投资集团（海南）有限公司</t>
  </si>
  <si>
    <t>海南宏铭起亮实业有限公司</t>
  </si>
  <si>
    <t>海口美兰车动力汽车维修中心</t>
  </si>
  <si>
    <t>海南万畅科技有限公司</t>
  </si>
  <si>
    <t>海南省交控服务区投资有限公司</t>
  </si>
  <si>
    <t>海南老铁实业有限公司</t>
  </si>
  <si>
    <t>海南省安家坊陶瓷有限公司</t>
  </si>
  <si>
    <t>海南鸿运达进出口贸易有限公司</t>
  </si>
  <si>
    <t>海南忠迹汽车服务有限公司</t>
  </si>
  <si>
    <t>海南车在线汽车服务有限公司</t>
  </si>
  <si>
    <t>海南道图文化传媒有限公司</t>
  </si>
  <si>
    <t>海南富久通进出口贸易有限公司</t>
  </si>
  <si>
    <t>海南水晶宫饼业有限公司</t>
  </si>
  <si>
    <t>海南雷音互娱网络科技有限责任公司</t>
  </si>
  <si>
    <t>海南环源环保科技有限公司</t>
  </si>
  <si>
    <t>海南连兴汽车服务有限公司</t>
  </si>
  <si>
    <t>海南育博体育文化传播有限公司</t>
  </si>
  <si>
    <t>海南海导汽车租赁有限公司</t>
  </si>
  <si>
    <t>海南匡缇姆网络科技有限公司</t>
  </si>
  <si>
    <t>海南鑫昌海园区运营管理有限公司</t>
  </si>
  <si>
    <t>海南兆丰恒业科技发展有限公司</t>
  </si>
  <si>
    <t>海南铭盈服装有限公司</t>
  </si>
  <si>
    <t>海南向晴文化传媒有限公司</t>
  </si>
  <si>
    <t>海南自由畅行汽车销售服务有限公司</t>
  </si>
  <si>
    <t>海南御居缘生态农庄开发有限公司</t>
  </si>
  <si>
    <t>华佗国医堂（海南）健康产业有限公司</t>
  </si>
  <si>
    <t>海南国强汽车服务有限公司</t>
  </si>
  <si>
    <t>海南颂华文化传播有限公司</t>
  </si>
  <si>
    <t>永利红电子竞技（海南自贸区）有限公司</t>
  </si>
  <si>
    <t>海南华耀万邦文化有限公司</t>
  </si>
  <si>
    <t>海南小牛袋袋信息科技有限公司</t>
  </si>
  <si>
    <t>海口琼山和家美家电维修部</t>
  </si>
  <si>
    <t>海南鑫之源汽车销售服务有限公司</t>
  </si>
  <si>
    <t>海南净净农业合伙企业（有限合伙）</t>
  </si>
  <si>
    <t>宝利隆（海口）汽车维修服务有限公司</t>
  </si>
  <si>
    <t>海口秀英正好废旧物资回收站</t>
  </si>
  <si>
    <t>海南同锐贸易有限公司</t>
  </si>
  <si>
    <t>海南自贸区善融科技服务有限公司</t>
  </si>
  <si>
    <t>海南棒棒堂乐园休闲有限责任公司</t>
  </si>
  <si>
    <t>海南润森信息咨询有限公司</t>
  </si>
  <si>
    <t>海南庆衍科技有限公司</t>
  </si>
  <si>
    <t>海南盛业银安科技有限公司</t>
  </si>
  <si>
    <t>海口龙华星之捷汽车美容养护中心</t>
  </si>
  <si>
    <t>海南亿家华维科技有限公司</t>
  </si>
  <si>
    <t>海南耀川文化传媒有限责任公司</t>
  </si>
  <si>
    <t>海口美兰铂诺门窗店</t>
  </si>
  <si>
    <t>海南群勤贸易有限公司</t>
  </si>
  <si>
    <t>海口琼山永顺达汽修行</t>
  </si>
  <si>
    <t>海南虎盟科技有限公司</t>
  </si>
  <si>
    <t>海南丰瑞康科技有限公司</t>
  </si>
  <si>
    <t>海口乐吃电子商务有限责任公司</t>
  </si>
  <si>
    <t>深圳市吉英荣科技有限公司海南分公司</t>
  </si>
  <si>
    <t>海口华健华荣康众大药房</t>
  </si>
  <si>
    <t>海南粮巢饲料有限公司</t>
  </si>
  <si>
    <t>海南福达商贸有限公司</t>
  </si>
  <si>
    <t>海南科维机械工程有限公司</t>
  </si>
  <si>
    <t>海南门里营销策划有限公司</t>
  </si>
  <si>
    <t>永健（海南）中医药有限公司</t>
  </si>
  <si>
    <t>海南福众国际贸易有限公司</t>
  </si>
  <si>
    <t>海南爱视眼科医院有限公司</t>
  </si>
  <si>
    <t>海口美兰路捷汽车修理厂</t>
  </si>
  <si>
    <t>海南达凯汽车租赁有限公司</t>
  </si>
  <si>
    <t>海南搜电科技有限公司</t>
  </si>
  <si>
    <t>海南粤秀贸易有限公司</t>
  </si>
  <si>
    <t>海南创拓汽车销售服务有限公司</t>
  </si>
  <si>
    <t>海南凯利超建设工程有限公司</t>
  </si>
  <si>
    <t>海南济世科技有限公司</t>
  </si>
  <si>
    <t>海南荣俊贸易有限公司</t>
  </si>
  <si>
    <t>海南鲁海教学设备有限公司</t>
  </si>
  <si>
    <t>海南新科以仁医疗科技有限公司</t>
  </si>
  <si>
    <t>海南中楚盛建材贸易有限公司</t>
  </si>
  <si>
    <t>海南海鸿新材科技有限公司</t>
  </si>
  <si>
    <t>两山学堂（海南）有限公司</t>
  </si>
  <si>
    <t>海南谦牧贸易有限公司</t>
  </si>
  <si>
    <t>海南鑫吾信息科技有限公司</t>
  </si>
  <si>
    <t>海南元年信息科技有限公司</t>
  </si>
  <si>
    <t>海南蔚然众信汽车服务有限公司</t>
  </si>
  <si>
    <t>海南盛九龄科技有限公司</t>
  </si>
  <si>
    <t>海口美兰鑫德全机电维修部</t>
  </si>
  <si>
    <t>海口炸王炸餐饮管理有限公司</t>
  </si>
  <si>
    <t>易惠宝网络科技（海南）有限公司</t>
  </si>
  <si>
    <t>万家（海南）腰果产业发展有限公司</t>
  </si>
  <si>
    <t>海南南音艺术培训中心有限公司</t>
  </si>
  <si>
    <t>海南以太汽车俱乐部有限公司</t>
  </si>
  <si>
    <t>海南龙耀琼洲通信有限责任公司</t>
  </si>
  <si>
    <t>海南潮经传文化科技有限公司</t>
  </si>
  <si>
    <t>海南金源供应链管理有限公司</t>
  </si>
  <si>
    <t>海南聚鑫传利进出口贸易有限公司</t>
  </si>
  <si>
    <t>海口胜缘商务咨询有限公司</t>
  </si>
  <si>
    <t>海南德欧汇贸易有限公司</t>
  </si>
  <si>
    <t>海南悦之丰汽车销售服务有限公司</t>
  </si>
  <si>
    <t>海口龙华卓平电动车维修店</t>
  </si>
  <si>
    <t>海南孝恩殡葬服务有限公司</t>
  </si>
  <si>
    <t>诚正（海南）企业管理咨询有限公司</t>
  </si>
  <si>
    <t>海口琼山健丹电动车维修店</t>
  </si>
  <si>
    <t>海南全璟数智科技集团有限公司</t>
  </si>
  <si>
    <t>海南擎海杏泰医疗器械有限责任公司</t>
  </si>
  <si>
    <t>北京国脉互联信息顾问有限公司海南分公司</t>
  </si>
  <si>
    <t>海南创利科技有限公司</t>
  </si>
  <si>
    <t>国投科锐（海南）人力科技有限公司</t>
  </si>
  <si>
    <t>海南盛清禾贸易有限公司</t>
  </si>
  <si>
    <t>海南省南华鼎盛信息技术有限公司</t>
  </si>
  <si>
    <t>海南波尔通信技术有限公司</t>
  </si>
  <si>
    <t>海南晋媛有害生物防治管理有限公司</t>
  </si>
  <si>
    <t>海南上潘投资有限公司</t>
  </si>
  <si>
    <t>海南玮邦建材有限公司</t>
  </si>
  <si>
    <t>海南省联信特种设备检测有限公司</t>
  </si>
  <si>
    <t>海口柏喜信息科技有限公司</t>
  </si>
  <si>
    <t>培文国际教育（海南）有限公司</t>
  </si>
  <si>
    <t>海南若翼国际贸易有限公司</t>
  </si>
  <si>
    <t>海口鑫新光制罐有限公司</t>
  </si>
  <si>
    <t>海南吉鸿生物科技有限公司</t>
  </si>
  <si>
    <t>海南文普科技发展有限公司</t>
  </si>
  <si>
    <t>海南金莲世纪旅游服务有限公司</t>
  </si>
  <si>
    <t>海口美兰春之工坊百货零售经营部</t>
  </si>
  <si>
    <t>海南翼智慧信息科技有限公司</t>
  </si>
  <si>
    <t>海南远通物联科技有限公司</t>
  </si>
  <si>
    <t>海南南椰文化创意有限公司</t>
  </si>
  <si>
    <t>海南嘉恒世纪冰业有限公司</t>
  </si>
  <si>
    <t>海南省芬华国际贸易有限公司</t>
  </si>
  <si>
    <t>海口玉禾田城市公共服务有限公司</t>
  </si>
  <si>
    <t>海南久久见国际贸易有限公司</t>
  </si>
  <si>
    <t>海口美兰李记电动车修理店</t>
  </si>
  <si>
    <t>海南弘凯体育文化有限公司</t>
  </si>
  <si>
    <t>海口琼山车品杰汽修厂</t>
  </si>
  <si>
    <t>沃森云（海南自贸区）智能科技有限公司</t>
  </si>
  <si>
    <t>贵州天保生态股份有限公司海南分公司</t>
  </si>
  <si>
    <t>海口佳禾职业培训学校</t>
  </si>
  <si>
    <t>海口龙华顺逸电器商行</t>
  </si>
  <si>
    <t>海口龙华茂宏家用电器经营部</t>
  </si>
  <si>
    <t>海南澎皓翼商贸有限公司</t>
  </si>
  <si>
    <t>海南华旅智慧管理科技有限公司</t>
  </si>
  <si>
    <t>海口秀英新福隆汽车服务有限公司</t>
  </si>
  <si>
    <t>海南经济特区智顿贸易有限公司</t>
  </si>
  <si>
    <t>海口琼山蜂巢酒吧</t>
  </si>
  <si>
    <t>海南昊锦创业园服务有限公司</t>
  </si>
  <si>
    <t>海口龙华艾艾音乐酒吧</t>
  </si>
  <si>
    <t>海南海豫派房屋托管有限公司</t>
  </si>
  <si>
    <t>海南成翔科技有限公司</t>
  </si>
  <si>
    <t>海口龙华易博通讯店</t>
  </si>
  <si>
    <t>海口龙华雄猫酒吧</t>
  </si>
  <si>
    <t>海口龙华润源池零售店</t>
  </si>
  <si>
    <t>云歌畅文化传播（海南）有限公司</t>
  </si>
  <si>
    <t>海口龙华浩浩电器维修部</t>
  </si>
  <si>
    <t>海南邦尼投资有限公司</t>
  </si>
  <si>
    <t>海口龙华众兴激光刀模厂</t>
  </si>
  <si>
    <t>海南今东帮电器有限公司</t>
  </si>
  <si>
    <t>海南天芾科技有限公司</t>
  </si>
  <si>
    <t>海南慧轩医药科技有限公司</t>
  </si>
  <si>
    <t>海南海通达汽车贸易有限公司</t>
  </si>
  <si>
    <t>海口华鑫商务服务有限公司</t>
  </si>
  <si>
    <t>云上智慧（海南）电子商务有限公司</t>
  </si>
  <si>
    <t>海南万普投资合伙企业（有限合伙）</t>
  </si>
  <si>
    <t>海南省浩瀚星空影视文化传播有限公司</t>
  </si>
  <si>
    <t>海南万普科技有限公司</t>
  </si>
  <si>
    <t>海口龙华车美加程汽车养护中心</t>
  </si>
  <si>
    <t>海南信德信息系统有限公司</t>
  </si>
  <si>
    <t>海口秀英斌峰汽修厂</t>
  </si>
  <si>
    <t>海南登尼特企业服务有限公司</t>
  </si>
  <si>
    <t>浙江诺特健康科技股份有限公司海口分公司</t>
  </si>
  <si>
    <t>海南祥旅文化传媒有限公司</t>
  </si>
  <si>
    <t>海口龙华王焕茂工艺品店</t>
  </si>
  <si>
    <t>广东创易科技有限公司海口分公司</t>
  </si>
  <si>
    <t>海南海韵乐器有限公司</t>
  </si>
  <si>
    <t>海南手礼网电子商务有限公司</t>
  </si>
  <si>
    <t>海口云朵儿艺术培训中心有限公司</t>
  </si>
  <si>
    <t>海南迈拓科技有限公司</t>
  </si>
  <si>
    <t>海南粤湛劳保用品有限公司</t>
  </si>
  <si>
    <t>海南高敦菲尔健康产业有限公司</t>
  </si>
  <si>
    <t>海南广菱制冷工程有限公司</t>
  </si>
  <si>
    <t>中路北斗（海南）供应链管理有限公司</t>
  </si>
  <si>
    <t>海口赛果网络科技有限公司</t>
  </si>
  <si>
    <t>海口龙华大咖小座咖啡厅</t>
  </si>
  <si>
    <t>熵基科技股份有限公司海南分公司</t>
  </si>
  <si>
    <t>海南七彩晨熙印刷有限公司</t>
  </si>
  <si>
    <t>高登君（海南）投资有限公司</t>
  </si>
  <si>
    <t>海口龙华二十一咖啡馆</t>
  </si>
  <si>
    <t>海南粤食得香餐饮管理有限公司</t>
  </si>
  <si>
    <t>海口乐斯商务信息咨询有限公司</t>
  </si>
  <si>
    <t>海口琼山嘉家美家具店</t>
  </si>
  <si>
    <t>海南省海润万家豆制品有限公司</t>
  </si>
  <si>
    <t>上海儿童营养中心（海南）有限公司</t>
  </si>
  <si>
    <t>海南中睿贸易有限公司</t>
  </si>
  <si>
    <t>海南共赢链电子商务有限公司</t>
  </si>
  <si>
    <t>海南卓翊网络科技有限公司</t>
  </si>
  <si>
    <t>海口艺超网络科技有限公司</t>
  </si>
  <si>
    <t>海南相子道科技发展有限公司</t>
  </si>
  <si>
    <t>麦可旺志（海南）科技有限公司</t>
  </si>
  <si>
    <t>海南郡唐美育科技有限公司</t>
  </si>
  <si>
    <t>海南白泽网络传媒有限公司</t>
  </si>
  <si>
    <t>海南天苍科技有限公司</t>
  </si>
  <si>
    <t>如是挚爱（海南）国际贸易有限公司</t>
  </si>
  <si>
    <t>杭州天复禾润信息技术有限公司海南分公司</t>
  </si>
  <si>
    <t>海南南旅之家网络科技有限公司</t>
  </si>
  <si>
    <t>海口龙华昌宇家具部</t>
  </si>
  <si>
    <t>海口嘉得龙贸易有限公司</t>
  </si>
  <si>
    <t>海南兴博创汽车租赁有限公司</t>
  </si>
  <si>
    <t>海南琼榕家居服务有限公司</t>
  </si>
  <si>
    <t>海南虻虫生物科技有限公司</t>
  </si>
  <si>
    <t>海南亿胜家制冷电器有限公司</t>
  </si>
  <si>
    <t>海口秀英西海岸洗染服务馆</t>
  </si>
  <si>
    <t>蛋壳机器人科技（海南）有限公司</t>
  </si>
  <si>
    <t>深圳市贝赛尔展示设备有限公司海口分公司</t>
  </si>
  <si>
    <t>海南省易特精工贸易有限公司</t>
  </si>
  <si>
    <t>海南点腾网络科技有限公司</t>
  </si>
  <si>
    <t>海口琼山钱佳佳窗帘加工店</t>
  </si>
  <si>
    <t>海南天泉致晟科技有限公司</t>
  </si>
  <si>
    <t>海南棕冠汽车服务有限公司</t>
  </si>
  <si>
    <t>海南易通金珠宝有限公司</t>
  </si>
  <si>
    <t>海南昌盟文化传媒有限公司</t>
  </si>
  <si>
    <t>海南经济特区乘势环保有限公司</t>
  </si>
  <si>
    <t>海口米斯特娱乐有限公司</t>
  </si>
  <si>
    <t>海南热岛文化发展集团有限公司</t>
  </si>
  <si>
    <t>海南省徽音文化传媒有限公司</t>
  </si>
  <si>
    <t>海口通泰森林娱乐酒吧</t>
  </si>
  <si>
    <t>海口市娅龙跃兴珠宝有限责任公司</t>
  </si>
  <si>
    <t>汇海集团（海南）有限公司</t>
  </si>
  <si>
    <t>海口潘朵拉星网吧网咖</t>
  </si>
  <si>
    <t>海南景朗生态环保有限公司</t>
  </si>
  <si>
    <t>国信投资集团（海南）有限公司</t>
  </si>
  <si>
    <t>郡临天下（海南）娱乐有限责任公司</t>
  </si>
  <si>
    <t>海口市公共交通集团有限公司维修分公司</t>
  </si>
  <si>
    <t>海南熙穆传媒有限公司</t>
  </si>
  <si>
    <t>海南广源行农业旅游开发有限公司</t>
  </si>
  <si>
    <t>海南科卫机器人科技有限公司</t>
  </si>
  <si>
    <t>海南宏信珠宝有限公司</t>
  </si>
  <si>
    <t>海南椰礼食品有限公司</t>
  </si>
  <si>
    <t>海口大森林娱乐有限公司</t>
  </si>
  <si>
    <t>中轨投资集团（海南）有限公司</t>
  </si>
  <si>
    <t>海南瑞兴旅游开发有限公司</t>
  </si>
  <si>
    <t>中天戎安（海南）科技防务有限公司</t>
  </si>
  <si>
    <t>海南瑜悦珠宝有限公司</t>
  </si>
  <si>
    <t>中护航（海南）传媒集团有限公司</t>
  </si>
  <si>
    <t>海南谛珑文化传媒有限责任公司</t>
  </si>
  <si>
    <t>海南三艾尔环境监测技术有限公司</t>
  </si>
  <si>
    <t>海口制美达设备服务有限公司</t>
  </si>
  <si>
    <t>中天军威（海南）技术装备有限公司</t>
  </si>
  <si>
    <t>海南省城乡建设集团有限公司</t>
  </si>
  <si>
    <t>苗麦容大进出口贸易（海南）有限公司</t>
  </si>
  <si>
    <t>海南新金乐门娱乐有限公司</t>
  </si>
  <si>
    <t>海南阿逸多实业有限公司</t>
  </si>
  <si>
    <t>海南宜净环保科技有限公司</t>
  </si>
  <si>
    <t>海南禾畔光音文化传媒有限公司</t>
  </si>
  <si>
    <t>海南捷茂绿源环保有限公司</t>
  </si>
  <si>
    <t>海南胖椰食品有限公司</t>
  </si>
  <si>
    <t>海南鑫盛信息技术有限公司</t>
  </si>
  <si>
    <t>海南荤心素视文化传媒有限公司</t>
  </si>
  <si>
    <t>易腾世纪文化传媒（海南）有限公司</t>
  </si>
  <si>
    <t>冲天小牛（海南）文化投资有限公司</t>
  </si>
  <si>
    <t>海南盛世鸿涯生态环境资源产业有限公司</t>
  </si>
  <si>
    <t>海南川流实业集团有限公司</t>
  </si>
  <si>
    <t>海南盛发雨蓬工程有限公司</t>
  </si>
  <si>
    <t>海南荣业食品科技有限公司</t>
  </si>
  <si>
    <t>海南鑫宝骋汽车服务有限公司</t>
  </si>
  <si>
    <t>海南乐创文化传播有限公司</t>
  </si>
  <si>
    <t>维斯丹智能科技（海南）有限公司</t>
  </si>
  <si>
    <t>海口致顺汽车服务有限公司</t>
  </si>
  <si>
    <t>海南军拓文化传播有限公司</t>
  </si>
  <si>
    <t>海南春江科畅水处理研究中心（有限合伙）</t>
  </si>
  <si>
    <t>海南泽理废弃资源综合利用有限责任公司</t>
  </si>
  <si>
    <t>国安控股集团（海南）有限公司</t>
  </si>
  <si>
    <t>海南新世嘉儿童场馆运营有限公司</t>
  </si>
  <si>
    <t>海南液光市容环境服务有限公司</t>
  </si>
  <si>
    <t>海南海蓝宝农业发展有限公司</t>
  </si>
  <si>
    <t>海南博昌建设工程有限公司</t>
  </si>
  <si>
    <t>海南盛赢电子竞技有限公司</t>
  </si>
  <si>
    <t>海南晓蓝白蚁防治有限公司</t>
  </si>
  <si>
    <t>海南新仪环境科技合伙企业（有限合伙）</t>
  </si>
  <si>
    <t>海南鑫洋实业集团有限公司</t>
  </si>
  <si>
    <t>海南燊荣实业有限公司</t>
  </si>
  <si>
    <t>海南慧海贞元文化传播有限公司</t>
  </si>
  <si>
    <t>富海纺织业（海南）有限公司</t>
  </si>
  <si>
    <t>海口胡贝儿文化传播有限公司</t>
  </si>
  <si>
    <t>海南省高光智控科技有限责任公司</t>
  </si>
  <si>
    <t>海南省国学文化中心</t>
  </si>
  <si>
    <t>海南省财富联合产业发展有限公司</t>
  </si>
  <si>
    <t>海南茂贵食品加工有限公司</t>
  </si>
  <si>
    <t>国开产业发展集团（海南）有限公司</t>
  </si>
  <si>
    <t>星球方舟娱乐管理有限公司</t>
  </si>
  <si>
    <t>海口壹恒文化传媒有限公司</t>
  </si>
  <si>
    <t>海南汇和生物科技有限公司</t>
  </si>
  <si>
    <t>海南昂多威工贸有限公司</t>
  </si>
  <si>
    <t>海南润佳生态科技有限公司</t>
  </si>
  <si>
    <t>海口佳和文化传媒有限公司</t>
  </si>
  <si>
    <t>海南芃蓁木业有限公司</t>
  </si>
  <si>
    <t>海南玉流珍肴食品贸易有限公司</t>
  </si>
  <si>
    <t>岛民科技集团（海南）有限公司</t>
  </si>
  <si>
    <t>海南芊伊文化传媒有限公司</t>
  </si>
  <si>
    <t>天贺（海南省）环保科技有限责任公司</t>
  </si>
  <si>
    <t>中交产业发展集团（海南）有限公司</t>
  </si>
  <si>
    <t>海口鑫德利汽车养护有限公司</t>
  </si>
  <si>
    <t>中椰食品（海南）有限公司</t>
  </si>
  <si>
    <t>海南炫滟文化娱乐经纪有限公司</t>
  </si>
  <si>
    <t>海南和曲食品厂</t>
  </si>
  <si>
    <t>海口美育学府文化传播有限公司</t>
  </si>
  <si>
    <t>海南省合信康养产业发展有限公司</t>
  </si>
  <si>
    <t>京粮投资集团（海南）有限公司</t>
  </si>
  <si>
    <t>华勋集团（海南）有限公司</t>
  </si>
  <si>
    <t>海南美诚雕塑艺术有限公司</t>
  </si>
  <si>
    <t>星源立升（海南）环境系统有限公司</t>
  </si>
  <si>
    <t>海南老宾营地汽车服务有限公司</t>
  </si>
  <si>
    <t>海口正品汽车服务有限公司</t>
  </si>
  <si>
    <t>海南万洁环保科技有限公司</t>
  </si>
  <si>
    <t>海南启航建设有限公司</t>
  </si>
  <si>
    <t>国开建设集团（海南）有限公司</t>
  </si>
  <si>
    <t>海南松之蓝酒业有限公司</t>
  </si>
  <si>
    <t>海南真嘉诚市政工程有限公司</t>
  </si>
  <si>
    <t>海南莘诚科技有限公司</t>
  </si>
  <si>
    <t>海南林鹏茶业有限公司</t>
  </si>
  <si>
    <t>海南淮文环境工程有限公司</t>
  </si>
  <si>
    <t>海南创蔚来环保科技有限公司</t>
  </si>
  <si>
    <t>一九零零文化传播（海口）有限公司</t>
  </si>
  <si>
    <t>海口灵泽标本制作有限公司</t>
  </si>
  <si>
    <t>星之日（海南）文化传播有限公司</t>
  </si>
  <si>
    <t>海南童年之家教育设备有限公司</t>
  </si>
  <si>
    <t>海南群贤文化传媒有限公司</t>
  </si>
  <si>
    <t>海南和就食品厂</t>
  </si>
  <si>
    <t>海南唛嘎啦文化传媒有限公司</t>
  </si>
  <si>
    <t>海南海升智能科技有限责任公司</t>
  </si>
  <si>
    <t>海南黑桃壹文化传媒有限公司</t>
  </si>
  <si>
    <t>海南中马文化传媒有限公司</t>
  </si>
  <si>
    <t>海南瑞达盛木业有限公司</t>
  </si>
  <si>
    <t>海南奥驰汽车维修服务有限公司</t>
  </si>
  <si>
    <t>海南敖明休闲渔业旅游发展有限公司</t>
  </si>
  <si>
    <t>海南金雪源投资有限公司</t>
  </si>
  <si>
    <t>海南城熙市政工程有限公司</t>
  </si>
  <si>
    <t>海口雯杉娱乐有限责任公司</t>
  </si>
  <si>
    <t>海南英森台球俱乐部有限公司</t>
  </si>
  <si>
    <t>海南火山文化旅游开发有限公司</t>
  </si>
  <si>
    <t>海南车之顺汽车维修服务有限公司</t>
  </si>
  <si>
    <t>海南星秀文化传媒有限公司</t>
  </si>
  <si>
    <t>海口昶顺实业有限公司</t>
  </si>
  <si>
    <t>海南雅颂家道文化传播有限公司</t>
  </si>
  <si>
    <t>海南途诺实业有限公司</t>
  </si>
  <si>
    <t>海南虫洞网咖网吧</t>
  </si>
  <si>
    <t>三禾实业（海南）有限公司</t>
  </si>
  <si>
    <t>海南贝舒热环保节能科技有限公司</t>
  </si>
  <si>
    <t>海口齐栋文化传播有限公司</t>
  </si>
  <si>
    <t>海南润弘茂汽车维修服务有限公司</t>
  </si>
  <si>
    <t>还我山河（海南）娱乐有限公司</t>
  </si>
  <si>
    <t>中交工程局集团（海南）有限公司</t>
  </si>
  <si>
    <t>中铁交通建设集团（海南）有限公司</t>
  </si>
  <si>
    <t>海口广众建设实业有限公司</t>
  </si>
  <si>
    <t>中车交通建设集团（海南）有限公司</t>
  </si>
  <si>
    <t>海南硕哲环境技术有限公司</t>
  </si>
  <si>
    <t>海南海内绿帆再生资源科技有限公司</t>
  </si>
  <si>
    <t>海南强哥汽车服务有限公司</t>
  </si>
  <si>
    <t>海南新地力生态科技有限公司</t>
  </si>
  <si>
    <t>海南阳春美园林景观雕塑有限公司</t>
  </si>
  <si>
    <t>中投建设发展集团（海南）有限公司</t>
  </si>
  <si>
    <t>海南浩天体育文化传播有限公司</t>
  </si>
  <si>
    <t>海口希菲电器有限公司</t>
  </si>
  <si>
    <t>海南阳驰汽车服务有限公司</t>
  </si>
  <si>
    <t>海南晟铭文化传播有限公司</t>
  </si>
  <si>
    <t>中铁商业投资集团（海南）有限公司</t>
  </si>
  <si>
    <t>海南海口嗨拼摩尔文旅有限公司</t>
  </si>
  <si>
    <t>海南宇通顺达环境科技有限公司</t>
  </si>
  <si>
    <t>海南万鼎汽车服务有限公司</t>
  </si>
  <si>
    <t>海南劲藤文化传播有限责任公司</t>
  </si>
  <si>
    <t>海口辰泽电器有限公司</t>
  </si>
  <si>
    <t>海南鼎速科技有限公司</t>
  </si>
  <si>
    <t>海南广诚技术网络科技有限公司</t>
  </si>
  <si>
    <t>海南魔方娱乐有限公司</t>
  </si>
  <si>
    <t>海南天涯香市文化有限公司</t>
  </si>
  <si>
    <t>海南漫悦时光文化传媒有限公司</t>
  </si>
  <si>
    <t>海南众信达仁汽车服务有限公司</t>
  </si>
  <si>
    <t>海南千翔一易文化有限公司</t>
  </si>
  <si>
    <t>海口佰伦仕文化传媒有限公司</t>
  </si>
  <si>
    <t>海南杰帝奇体育用品科技有限公司</t>
  </si>
  <si>
    <t>海口欣风隐形安全通风门窗有限公司</t>
  </si>
  <si>
    <t>海南藏宝图娱乐有限责任公司</t>
  </si>
  <si>
    <t>海南省匠铭汽车服务有限公司</t>
  </si>
  <si>
    <t>海南省朗家汽车维修服务有限公司</t>
  </si>
  <si>
    <t>海口龙华万胜车行</t>
  </si>
  <si>
    <t>魔方数字科技（海口）有限公司</t>
  </si>
  <si>
    <t>海南投木控股有限公司</t>
  </si>
  <si>
    <t>百腾（海南）科技有限公司</t>
  </si>
  <si>
    <t>海南九康健康产业合伙企业（有限合伙）</t>
  </si>
  <si>
    <t>海南林鸿信息科技有限责任公司</t>
  </si>
  <si>
    <t>海南怀志教育科技有限公司</t>
  </si>
  <si>
    <t>海南学成教育咨询服务有限公司</t>
  </si>
  <si>
    <t>海口吉客优创文化娱乐有限公司</t>
  </si>
  <si>
    <t>海南新游信息技术有限公司</t>
  </si>
  <si>
    <t>海南优莎蜜尔烘焙食品有限公司</t>
  </si>
  <si>
    <t>海南千沣财务咨询服务有限公司</t>
  </si>
  <si>
    <t>海南南森贸易有限公司</t>
  </si>
  <si>
    <t>海南全誉文化传媒有限公司</t>
  </si>
  <si>
    <t>海南海药销售有限公司</t>
  </si>
  <si>
    <t>海南天缘国际文化教育有限公司</t>
  </si>
  <si>
    <t>海南华飞智诺科技有限公司</t>
  </si>
  <si>
    <t>海南自贸区锦鸿森贸易有限公司</t>
  </si>
  <si>
    <t>海南熙重电子科技有限公司</t>
  </si>
  <si>
    <t>海口普利安医疗科技有限公司</t>
  </si>
  <si>
    <t>雨嘉影视文化传媒（海南）有限公司</t>
  </si>
  <si>
    <t>海南立梵巡途娱乐传媒有限公司</t>
  </si>
  <si>
    <t>海口诗锦沅文化传媒有限公司</t>
  </si>
  <si>
    <t>海口琼山粤恒丰米面制品厂</t>
  </si>
  <si>
    <t>海南神采之翼文化传播有限责任公司</t>
  </si>
  <si>
    <t>海南沃克斯科技有限公司</t>
  </si>
  <si>
    <t>海南开门见杉文化传播有限公司</t>
  </si>
  <si>
    <t>梅斯智能科技（深圳）有限公司海南分公司</t>
  </si>
  <si>
    <t>海南音皇艺术教育有限公司</t>
  </si>
  <si>
    <t>海南协弘医疗器械有限公司</t>
  </si>
  <si>
    <t>海南正群汽车销售有限公司</t>
  </si>
  <si>
    <t>海口龙华金山创美快印中心</t>
  </si>
  <si>
    <t>海南南讯电子商务有限公司</t>
  </si>
  <si>
    <t>海南中传投文化传媒有限公司</t>
  </si>
  <si>
    <t>海南碧尔香茶业有限公司</t>
  </si>
  <si>
    <t>海南高季再生资源回收有限公司</t>
  </si>
  <si>
    <t>海南鑫车汽车服务有限公司</t>
  </si>
  <si>
    <t>海南望港进出口贸易有限公司</t>
  </si>
  <si>
    <t>海南自贸区八六六名车销售有限公司</t>
  </si>
  <si>
    <t>海南辰巳文化发展咨询有限公司</t>
  </si>
  <si>
    <t>海口琼山安珍电动车维修店</t>
  </si>
  <si>
    <t>海口琼山梁红丽门窗加工店</t>
  </si>
  <si>
    <t>海南能莹教育科技有限公司</t>
  </si>
  <si>
    <t>海南壹卓实业有限公司</t>
  </si>
  <si>
    <t>海南自贸区佰圣文化传媒有限公司</t>
  </si>
  <si>
    <t>海南新车铺间汽车用品有限公司</t>
  </si>
  <si>
    <t>海口车易友二手车经纪有限公司</t>
  </si>
  <si>
    <t>海南金艺厨具有限公司</t>
  </si>
  <si>
    <t>海口厚德载物健康管理服务有限公司</t>
  </si>
  <si>
    <t>海南合华源科技有限公司</t>
  </si>
  <si>
    <t>海南省数字化城市娱乐有限公司</t>
  </si>
  <si>
    <t>海南省资本管理服务有限公司</t>
  </si>
  <si>
    <t>欧艾斯设施管理服务（上海）有限公司海南分公司</t>
  </si>
  <si>
    <t>海南鹏飛网络科技有限公司</t>
  </si>
  <si>
    <t>海南创讯科技有限公司</t>
  </si>
  <si>
    <t>海南玖道豪车汇汽车销售有限公司</t>
  </si>
  <si>
    <t>海口美兰福海银潮餐饮饭店</t>
  </si>
  <si>
    <t>海南新润影业有限公司</t>
  </si>
  <si>
    <t>中洲互动娱乐（海南）有限公司</t>
  </si>
  <si>
    <t>海南华蒙科技有限公司</t>
  </si>
  <si>
    <t>海南多彩岁月酒业有限公司</t>
  </si>
  <si>
    <t>海南美盛贸易有限公司</t>
  </si>
  <si>
    <t>长石星空实业（海南）有限公司</t>
  </si>
  <si>
    <t>海口琼山福地香业坊</t>
  </si>
  <si>
    <t>海口汇利贸易有限公司</t>
  </si>
  <si>
    <t>海南繁瑶电子商务有限公司</t>
  </si>
  <si>
    <t>海南友程旅游集团有限公司</t>
  </si>
  <si>
    <t>海南兆鸿新包装环保材料科技有限公司</t>
  </si>
  <si>
    <t>海南正旭达贸易有限公司</t>
  </si>
  <si>
    <t>海口龙华金强石材商行</t>
  </si>
  <si>
    <t>海口秀英文利盛汽车维修部</t>
  </si>
  <si>
    <t>海南东青科技有限公司</t>
  </si>
  <si>
    <t>海南宏佳电器有限公司</t>
  </si>
  <si>
    <t>忠良酒业（海南）有限公司</t>
  </si>
  <si>
    <t>海南悦心坊实业有限公司</t>
  </si>
  <si>
    <t>海南文峰力通汽车检测服务有限公司</t>
  </si>
  <si>
    <t>海南省渔旅休闲投资有限公司</t>
  </si>
  <si>
    <t>海口鲸喜玩家投资有限公司</t>
  </si>
  <si>
    <t>海南鑫金谷商贸有限公司</t>
  </si>
  <si>
    <t>瓦的农庄旅游开发（海南经济特区）有限责任公司</t>
  </si>
  <si>
    <t>海南省智能科技研究院</t>
  </si>
  <si>
    <t>海南琼斛电子商务有限公司</t>
  </si>
  <si>
    <t>海南逍遥文体产业有限公司</t>
  </si>
  <si>
    <t>中交城市建设集团（海南）有限公司</t>
  </si>
  <si>
    <t>海南九拍鸣飞文化传播有限公司</t>
  </si>
  <si>
    <t>海南豪杰电子有限公司</t>
  </si>
  <si>
    <t>海南佳奥巨家具有限公司</t>
  </si>
  <si>
    <t>海口微朗互联科技有限公司</t>
  </si>
  <si>
    <t>海口考拉冒险家乐园科技有限公司</t>
  </si>
  <si>
    <t>海口启拓物业服务有限公司</t>
  </si>
  <si>
    <t>海南金垠电子竞技有限公司</t>
  </si>
  <si>
    <t>海南澎宇工程机械贸易有限公司</t>
  </si>
  <si>
    <t>海南鸿码科技有限公司</t>
  </si>
  <si>
    <t>海南仲仟文化传媒有限公司</t>
  </si>
  <si>
    <t>海南富邦达木材加工有限公司</t>
  </si>
  <si>
    <t>海南福益添贸易有限公司</t>
  </si>
  <si>
    <t>海口秀英祥盛和建材商行</t>
  </si>
  <si>
    <t>海南茁愿教育有限公司</t>
  </si>
  <si>
    <t>北京世纪同舟文化发展有限责任公司海南分公司</t>
  </si>
  <si>
    <t>海口琼山领航手机卖场</t>
  </si>
  <si>
    <t>海南咸水鸭先生餐饮有限公司</t>
  </si>
  <si>
    <t>海南联弘地产顾问有限公司</t>
  </si>
  <si>
    <t>柒晨家族办公室（海南）有限公司</t>
  </si>
  <si>
    <t>海南虹中虹素肉食品有限公司</t>
  </si>
  <si>
    <t>海南海巨科技有限公司</t>
  </si>
  <si>
    <t>海南融汇环境科技有限公司</t>
  </si>
  <si>
    <t>佛山市天晟农产品有限公司海口分公司</t>
  </si>
  <si>
    <t>海南道中道文化影视有限公司</t>
  </si>
  <si>
    <t>海口美兰友福电器维修部</t>
  </si>
  <si>
    <t>海南省袋王实业有限公司</t>
  </si>
  <si>
    <t>海南齐尚汽车服务有限公司</t>
  </si>
  <si>
    <t>海南隆臣科技开发有限公司</t>
  </si>
  <si>
    <t>海口琼山华招电动自行车维修店</t>
  </si>
  <si>
    <t>星诺（海南）娱乐文化有限公司</t>
  </si>
  <si>
    <t>海口龙华优莎蜜尔食品店</t>
  </si>
  <si>
    <t>海南亿淼贸易有限公司</t>
  </si>
  <si>
    <t>海南嘉怡环保设备有限公司</t>
  </si>
  <si>
    <t>海南云木合富投资有限公司</t>
  </si>
  <si>
    <t>海口龙华杰鑫名门铝合金加工店</t>
  </si>
  <si>
    <t>海南省民科工程咨询有限公司</t>
  </si>
  <si>
    <t>海南众腾装饰工程有限公司</t>
  </si>
  <si>
    <t>广州市宝多信息科技有限公司海南分公司</t>
  </si>
  <si>
    <t>海口海港港口印刷有限公司</t>
  </si>
  <si>
    <t>君懿影业（海南）有限责任公司</t>
  </si>
  <si>
    <t>海南吉品好车车辆服务有限公司</t>
  </si>
  <si>
    <t>海南恒盛隆工程设备材料租赁有限公司</t>
  </si>
  <si>
    <t>海南颖颜体育文化有限公司</t>
  </si>
  <si>
    <t>海南南迪珠宝有限公司</t>
  </si>
  <si>
    <t>海南当代清雪科技有限公司</t>
  </si>
  <si>
    <t>海南柏兰文化艺术有限公司</t>
  </si>
  <si>
    <t>海南沃迪出行产业服务有限公司</t>
  </si>
  <si>
    <t>海南敦盛文化旅游有限公司</t>
  </si>
  <si>
    <t>海南怡声电子科技有限公司</t>
  </si>
  <si>
    <t>海南翌铭汽车服务有限公司</t>
  </si>
  <si>
    <t>海南一通汽车有限公司</t>
  </si>
  <si>
    <t>海南博大教育科技有限公司</t>
  </si>
  <si>
    <t>中冶（海南）农旅发展有限公司</t>
  </si>
  <si>
    <t>中科正德（海南）智能科技有限公司小药柜紫荆店</t>
  </si>
  <si>
    <t>略闻（海南）文化传播有限公司</t>
  </si>
  <si>
    <t>海口创誉食品有限公司</t>
  </si>
  <si>
    <t>鑫思维（海南）房地产经纪有限公司</t>
  </si>
  <si>
    <t>海南省军安国际贸易有限公司</t>
  </si>
  <si>
    <t>海口美兰正天电动车行</t>
  </si>
  <si>
    <t>海南壹粒种子汽车美容养护有限公司</t>
  </si>
  <si>
    <t>海南中之润国际进出口贸易有限公司</t>
  </si>
  <si>
    <t>海南碧水生态环境建设有限公司</t>
  </si>
  <si>
    <t>海口中汇讯电子科技有限公司</t>
  </si>
  <si>
    <t>海南潮丸味食品有限公司</t>
  </si>
  <si>
    <t>海南卓正智能科技有限公司</t>
  </si>
  <si>
    <t>海南欧思网络科技有限公司</t>
  </si>
  <si>
    <t>海南仓佳货架有限公司</t>
  </si>
  <si>
    <t>海南云创肉制品有限公司</t>
  </si>
  <si>
    <t>海口轩凯汽车服务有限责任公司</t>
  </si>
  <si>
    <t>海口龙华隆胜达汽车维修服务中心</t>
  </si>
  <si>
    <t>雅苗商贸（海南）有限公司</t>
  </si>
  <si>
    <t>海南贞利亨元项目管理有限公司</t>
  </si>
  <si>
    <t>海口龙华旭腾手机配件维修店</t>
  </si>
  <si>
    <t>景行致远教育科技（海南）有限责任公司</t>
  </si>
  <si>
    <t>海南佰业昌盛食品有限公司</t>
  </si>
  <si>
    <t>海口龙华润隆电动车修理店</t>
  </si>
  <si>
    <t>翔龙泰达实业（海南）有限公司</t>
  </si>
  <si>
    <t>纳加德（海南）生物科技有限公司</t>
  </si>
  <si>
    <t>惊异雕塑工艺品制造（海口）工作室</t>
  </si>
  <si>
    <t>永瑞丰国际贸易（海南）有限公司</t>
  </si>
  <si>
    <t>海南堂琅汽车贸易有限公司</t>
  </si>
  <si>
    <t>海南渠成信息科技有限公司</t>
  </si>
  <si>
    <t>海南椰小胖饮料食品有限公司</t>
  </si>
  <si>
    <t>海南龙德环保科技有限公司</t>
  </si>
  <si>
    <t>海南创建仁和生态技术有限责任公司</t>
  </si>
  <si>
    <t>海口逸晴科技有限公司</t>
  </si>
  <si>
    <t>海南正信盛达环保科技有限公司</t>
  </si>
  <si>
    <t>博根拿宠物用品（海南）有限公司</t>
  </si>
  <si>
    <t>海南膜艺汽车服务有限公司</t>
  </si>
  <si>
    <t>海南省城乡旅游开发有限公司</t>
  </si>
  <si>
    <t>中创产业发展集团（海南）有限公司</t>
  </si>
  <si>
    <t>海南万杰进出口有限公司海口电信营业部</t>
  </si>
  <si>
    <t>国华产业发展集团（海南）有限公司</t>
  </si>
  <si>
    <t>海南伊皓实业有限公司</t>
  </si>
  <si>
    <t>海南浩昌隆木业有限公司</t>
  </si>
  <si>
    <t>百年匠心奢护皮具护理（海南）有限公司</t>
  </si>
  <si>
    <t>海南省汉盛贸易有限公司</t>
  </si>
  <si>
    <t>海南秦商策划创意服务有限公司</t>
  </si>
  <si>
    <t>海南新君元科技有限公司</t>
  </si>
  <si>
    <t>海南澄耀电力工程有限公司</t>
  </si>
  <si>
    <t>海南强国智慧科技有限公司</t>
  </si>
  <si>
    <t>海南瑞福源食品有限公司</t>
  </si>
  <si>
    <t>海南睿扬网络科技有限公司</t>
  </si>
  <si>
    <t>海口龙华李志业面包店</t>
  </si>
  <si>
    <t>海南韦记餐饮管理有限公司</t>
  </si>
  <si>
    <t>海口言一贸易有限公司迎宾大道东加油站</t>
  </si>
  <si>
    <t>海南奇偶信息科技有限公司</t>
  </si>
  <si>
    <t>海南鸿发贸易有限公司</t>
  </si>
  <si>
    <t>海口中科部品知识产权服务有限公司</t>
  </si>
  <si>
    <t>海南鸿图展纸制品科技有限公司</t>
  </si>
  <si>
    <t>雅朵（海口）酒店管理有限公司</t>
  </si>
  <si>
    <t>海南扬天网络技术有限公司</t>
  </si>
  <si>
    <t>海口美兰渔歌海鲜店</t>
  </si>
  <si>
    <t>海南森骐家居有限公司</t>
  </si>
  <si>
    <t>海南一灏体育文化服务有限公司</t>
  </si>
  <si>
    <t>海南兆鑫建材有限公司</t>
  </si>
  <si>
    <t>海南墨金文化传播有限公司</t>
  </si>
  <si>
    <t>海南超人跑腿家政服务有限公司</t>
  </si>
  <si>
    <t>海南回味王食品加工有限公司</t>
  </si>
  <si>
    <t>昨夜星晨（海南）商贸有限公司</t>
  </si>
  <si>
    <t>乐银宝（海南）电子竞技有限公司</t>
  </si>
  <si>
    <t>乐仙（海口）食品有限责任公司</t>
  </si>
  <si>
    <t>海南盛世鸿鑫生态环境资源产业有限公司</t>
  </si>
  <si>
    <t>海南久悦环保生物科技有限公司</t>
  </si>
  <si>
    <t>华迅智电（海南）科技有限公司</t>
  </si>
  <si>
    <t>海南远鲸环保科技有限责任公司</t>
  </si>
  <si>
    <t>海南萌新文化传媒有限公司</t>
  </si>
  <si>
    <t>中城投港航工程局集团（海南）有限公司</t>
  </si>
  <si>
    <t>海南隅宝农业旅游开发有限公司</t>
  </si>
  <si>
    <t>海南彬彬鑫木业有限公司</t>
  </si>
  <si>
    <t>海南新东昇木材加工有限公司</t>
  </si>
  <si>
    <t>格物测试仪器有限公司</t>
  </si>
  <si>
    <t>海南珠控城市更新建设有限公司</t>
  </si>
  <si>
    <t>海南佳兆业主题乐园娱乐服务有限公司</t>
  </si>
  <si>
    <t>金域冒险家（海南）休闲观光活动有限公司</t>
  </si>
  <si>
    <t>海南元奋文化传媒有限公司</t>
  </si>
  <si>
    <t>海南中福天利润嘉实业有限公司</t>
  </si>
  <si>
    <t>海南华盛汽车有限公司</t>
  </si>
  <si>
    <t>海南一牛食品有限公司</t>
  </si>
  <si>
    <t>海南梓荣水产贸易有限公司</t>
  </si>
  <si>
    <t>鼎丰成号陈氏茶业（海南）有限公司</t>
  </si>
  <si>
    <t>海南易熵元文化传媒有限公司</t>
  </si>
  <si>
    <t>海南云海卓普文化娱乐有限公司</t>
  </si>
  <si>
    <t>海南创意工场文化有限公司</t>
  </si>
  <si>
    <t>海南真植食品集团有限公司</t>
  </si>
  <si>
    <t>海南湄兴木业有限公司</t>
  </si>
  <si>
    <t>海南康恩美肽宝实业科技有限公司</t>
  </si>
  <si>
    <t>国游电子竞技（海南）有限公司</t>
  </si>
  <si>
    <t>海南金吉成食品有限公司</t>
  </si>
  <si>
    <t>海南戊丁文化传播有限责任公司</t>
  </si>
  <si>
    <t>中瑞立信（北京）教育科技有限公司海南分公司</t>
  </si>
  <si>
    <t>海南搜电充电网络科技有限公司</t>
  </si>
  <si>
    <t>海口美兰清皇汽修美容服务中心</t>
  </si>
  <si>
    <t>海南信马新能源汽车服务有限公司</t>
  </si>
  <si>
    <t>海南沙渊饮料有限公司</t>
  </si>
  <si>
    <t>海口龙华宜欣城优莎蜜尔食品店</t>
  </si>
  <si>
    <t>海口美兰峰洁粤味小作坊</t>
  </si>
  <si>
    <t>海口赛迪电竞馆</t>
  </si>
  <si>
    <t>海口龙华龙昆南路优莎蜜尔食品店</t>
  </si>
  <si>
    <t>海南派斯万实业有限公司</t>
  </si>
  <si>
    <t>海口冠源贸易有限责任公司</t>
  </si>
  <si>
    <t>海南明轩达玻璃有限公司</t>
  </si>
  <si>
    <t>海南乐逸兴智能科技有限公司</t>
  </si>
  <si>
    <t>卡本阳光健康科技有限公司</t>
  </si>
  <si>
    <t>海南庚子实业有限公司</t>
  </si>
  <si>
    <t>海南锦成新能源科技有限公司</t>
  </si>
  <si>
    <t>海口琼山呀喏哒音乐餐吧</t>
  </si>
  <si>
    <t>海南吉光传媒有限公司</t>
  </si>
  <si>
    <t>海口琼山薇薇安小吃店</t>
  </si>
  <si>
    <t>海南洁润环境有限公司</t>
  </si>
  <si>
    <t>海南壹方快办商务服务有限公司</t>
  </si>
  <si>
    <t>海南壹客临汽车服务有限公司</t>
  </si>
  <si>
    <t>海南创能食品有限公司</t>
  </si>
  <si>
    <t>海南特耐智能电力工程有限公司</t>
  </si>
  <si>
    <t>海南金泰诚实业有限公司</t>
  </si>
  <si>
    <t>海口千寻旅游开发有限公司</t>
  </si>
  <si>
    <t>海口美兰创酷汽车用品商行</t>
  </si>
  <si>
    <t>海南丰粟国际贸易有限公司</t>
  </si>
  <si>
    <t>海南富卓文扬汽车贸易有限公司</t>
  </si>
  <si>
    <t>海南省金汤王防水建筑材料有限公司</t>
  </si>
  <si>
    <t>海南鑫晖医疗器械有限责任公司</t>
  </si>
  <si>
    <t>海南微任网络科技有限公司</t>
  </si>
  <si>
    <t>海南果叔电子商务有限公司</t>
  </si>
  <si>
    <t>圆桌骑士（海南）科技有限公司</t>
  </si>
  <si>
    <t>海南星盈商务服务有限公司</t>
  </si>
  <si>
    <t>海南一字兄弟文化传播有限公司</t>
  </si>
  <si>
    <t>海南俊美科技有限公司</t>
  </si>
  <si>
    <t>海口龙华伊莉莎娱乐中心</t>
  </si>
  <si>
    <t>中铁建工（海南）建设集团有限公司</t>
  </si>
  <si>
    <t>海南鼎呱呱汽车服务有限公司</t>
  </si>
  <si>
    <t>海南人来人往国际贸易有限公司</t>
  </si>
  <si>
    <t>海南创新畅行神龙汽车服务有限公司</t>
  </si>
  <si>
    <t>海南省大健康医学集团有限公司</t>
  </si>
  <si>
    <t>海南鑫厨酒店用品有限公司</t>
  </si>
  <si>
    <t>海南车侠汽车俱乐部有限公司</t>
  </si>
  <si>
    <t>中青智博（海口）生态保护研究院有限公司</t>
  </si>
  <si>
    <t>海南途行户外旅游有限公司</t>
  </si>
  <si>
    <t>海南奶思文化传播有限公司</t>
  </si>
  <si>
    <t>四川省城市建设工程监理有限公司海南分公司</t>
  </si>
  <si>
    <t>蓝吧科技（海南）有限公司</t>
  </si>
  <si>
    <t>海南天椰科技有限公司</t>
  </si>
  <si>
    <t>海南海嘉国际食品有限公司</t>
  </si>
  <si>
    <t>海南医学院资产经营有限公司</t>
  </si>
  <si>
    <t>中科帅袋（海南）科技有限公司</t>
  </si>
  <si>
    <t>海南珍品酒业有限公司</t>
  </si>
  <si>
    <t>海南忠新文化传媒有限公司</t>
  </si>
  <si>
    <t>海南正业项目管理有限公司</t>
  </si>
  <si>
    <t>雪崩科技（海南）有限公司</t>
  </si>
  <si>
    <t>好货到家（海南）电子商务有限公司</t>
  </si>
  <si>
    <t>海南直航传媒有限公司</t>
  </si>
  <si>
    <t>海南络芯信息技术有限公司</t>
  </si>
  <si>
    <t>海南金之声电子商务有限公司</t>
  </si>
  <si>
    <t>海口秀英亿嘉图文广告中心</t>
  </si>
  <si>
    <t>海口非凡电气科技有限公司</t>
  </si>
  <si>
    <t>海口化神科技有限公司</t>
  </si>
  <si>
    <t>海口琼山荣耀珠宝行</t>
  </si>
  <si>
    <t>海南华荣大药房连锁有限公司慧安分店</t>
  </si>
  <si>
    <t>海南惠之源汽车服务有限公司</t>
  </si>
  <si>
    <t>加联业（海南）科技有限公司</t>
  </si>
  <si>
    <t>海口合一文化传播有限公司</t>
  </si>
  <si>
    <t>海口丰叶文化传媒有限公司</t>
  </si>
  <si>
    <t>海口拓立医药推广服务中心</t>
  </si>
  <si>
    <t>海口诸鲜生生鲜商贸有限公司文华店</t>
  </si>
  <si>
    <t>海南剧然文化传媒有限公司</t>
  </si>
  <si>
    <t>海口玖肆文化传媒有限公司</t>
  </si>
  <si>
    <t>海口顶真文化传媒有限公司</t>
  </si>
  <si>
    <t>海南美亚铜业科技有限公司</t>
  </si>
  <si>
    <t>海南中盛项目管理有限公司</t>
  </si>
  <si>
    <t>海口怡心贸易有限公司</t>
  </si>
  <si>
    <t>海南数金网络科技有限公司</t>
  </si>
  <si>
    <t>海口秀英军福汽车修理厂</t>
  </si>
  <si>
    <t>武汉零度焦点广告传媒有限公司海南分公司</t>
  </si>
  <si>
    <t>海南妙草堂健康管理有限公司</t>
  </si>
  <si>
    <t>海南佰客易游网络科技有限公司</t>
  </si>
  <si>
    <t>海南罡源珠宝投资销售有限公司</t>
  </si>
  <si>
    <t>海口头等舱娱乐有限公司</t>
  </si>
  <si>
    <t>海南海户通科技有限公司</t>
  </si>
  <si>
    <t>海南谦华体育发展有限公司</t>
  </si>
  <si>
    <t>海南好滋味食品有限公司</t>
  </si>
  <si>
    <t>海口玖隆合文化传媒合伙企业（有限合伙）</t>
  </si>
  <si>
    <t>海南发现者光学仪器制造有限公司</t>
  </si>
  <si>
    <t>海南华承宏远科技有限公司</t>
  </si>
  <si>
    <t>华博融文化产业集团（海南经济特区）有限公司</t>
  </si>
  <si>
    <t>新播商文化传媒（海南）有限公司</t>
  </si>
  <si>
    <t>海南铭艺汇文化传媒有限公司</t>
  </si>
  <si>
    <t>海南馥陞商贸有限公司</t>
  </si>
  <si>
    <t>海南省承信食品加工有限公司</t>
  </si>
  <si>
    <t>海南宏明文化传媒有限公司</t>
  </si>
  <si>
    <t>海南沪珈实验室设备有限公司</t>
  </si>
  <si>
    <t>海南游龙互娱有限公司</t>
  </si>
  <si>
    <t>海南新传承文化传媒有限公司</t>
  </si>
  <si>
    <t>海之声（海口）体育文化发展有限公司</t>
  </si>
  <si>
    <t>海南弘环宇文化传媒有限责任公司</t>
  </si>
  <si>
    <t>海南齐云科技有限公司</t>
  </si>
  <si>
    <t>海南华文润丰进出口贸易有限公司</t>
  </si>
  <si>
    <t>海南自贸区中特文化传媒有限公司</t>
  </si>
  <si>
    <t>海南思决行文化传媒有限公司</t>
  </si>
  <si>
    <t>中旺互通（海南）实业有限公司</t>
  </si>
  <si>
    <t>海南国英环境工程有限公司</t>
  </si>
  <si>
    <t>蓝尚珠宝有限公司</t>
  </si>
  <si>
    <t>海南朗易文化传媒有限公司</t>
  </si>
  <si>
    <t>海南锦升互联科技有限公司</t>
  </si>
  <si>
    <t>海口龙华宝运汽车服务中心</t>
  </si>
  <si>
    <t>海口市裕同环保科技有限公司</t>
  </si>
  <si>
    <t>海南闻香小镇大健康产业有限公司</t>
  </si>
  <si>
    <t>海南新界汽车销售集团有限公司</t>
  </si>
  <si>
    <t>海南诚金科技有限公司</t>
  </si>
  <si>
    <t>海口绿艺营销策划推广经营部</t>
  </si>
  <si>
    <t>海南千享旅游开发有限公司</t>
  </si>
  <si>
    <t>海南中科天润环保工程有限公司</t>
  </si>
  <si>
    <t>恩派电竞科技（海南）有限公司</t>
  </si>
  <si>
    <t>海口龙华冉欣安装配套销售店</t>
  </si>
  <si>
    <t>海南骏捷环保科技有限公司</t>
  </si>
  <si>
    <t>海南新舍窝农业科技有限公司</t>
  </si>
  <si>
    <t>海口琼山金铭财汽车维修中心</t>
  </si>
  <si>
    <t>海南战友汽车服务有限公司</t>
  </si>
  <si>
    <t>海南至上商务信息咨询有限公司</t>
  </si>
  <si>
    <t>海南坤芝科技发展有限公司</t>
  </si>
  <si>
    <t>海南和风佳会电化学工程技术股份有限公司</t>
  </si>
  <si>
    <t>海南臻鑫融立网络科技有限公司</t>
  </si>
  <si>
    <t>海南神灯网络技术有限公司</t>
  </si>
  <si>
    <t>海口美兰林哥水泥柱店</t>
  </si>
  <si>
    <t>蔚澜教育科技（海南）有限公司</t>
  </si>
  <si>
    <t>海南源恒鑫商务服务有限公司</t>
  </si>
  <si>
    <t>海口龙华登峰装修经营部</t>
  </si>
  <si>
    <t>海南骇世科技有限公司</t>
  </si>
  <si>
    <t>海南派易科技有限公司</t>
  </si>
  <si>
    <t>海口美兰龙兴汽车养护中心</t>
  </si>
  <si>
    <t>海南挚诺网络通信技术有限公司</t>
  </si>
  <si>
    <t>海南三十而立科技有限公司</t>
  </si>
  <si>
    <t>海南益盛丰农业开发有限公司</t>
  </si>
  <si>
    <t>海南静生科技有限公司</t>
  </si>
  <si>
    <t>海南自贸区大权文化传媒有限公司</t>
  </si>
  <si>
    <t>海口美兰中电昌盛维修服务中心</t>
  </si>
  <si>
    <t>海南平邦网络科技有限公司</t>
  </si>
  <si>
    <t>海南爱云采科技有限公司</t>
  </si>
  <si>
    <t>海口奥格盛汽车有限公司</t>
  </si>
  <si>
    <t>海口长辉建筑机械租赁有限公司</t>
  </si>
  <si>
    <t>海南北至森网络科技有限公司</t>
  </si>
  <si>
    <t>海口琼山荣美电信代办店</t>
  </si>
  <si>
    <t>海口金卓越轮胎有限公司</t>
  </si>
  <si>
    <t>海南京淘俱乐部有限公司</t>
  </si>
  <si>
    <t>海南鑫捷恒汽车服务有限公司</t>
  </si>
  <si>
    <t>海口安德璐农业科技有限公司</t>
  </si>
  <si>
    <t>海南金颐商贸有限公司</t>
  </si>
  <si>
    <t>海口美兰广城汽车维修服务中心</t>
  </si>
  <si>
    <t>海口美兰琼羊坊美食馆</t>
  </si>
  <si>
    <t>海南熊之行科技有限公司</t>
  </si>
  <si>
    <t>海口三帆科技有限公司</t>
  </si>
  <si>
    <t>海南海仓家具有限公司</t>
  </si>
  <si>
    <t>海口六六八汽车贸易有限公司</t>
  </si>
  <si>
    <t>海南蓓优蜜文化传媒有限公司</t>
  </si>
  <si>
    <t>海南博悦影视文化传播有限公司</t>
  </si>
  <si>
    <t>海南昊鑫网络科技有限公司</t>
  </si>
  <si>
    <t>海南超泳体育文化传播有限公司</t>
  </si>
  <si>
    <t>海南和康科技有限公司</t>
  </si>
  <si>
    <t>海南昇祥盈化工有限公司</t>
  </si>
  <si>
    <t>润贝航空科技（海口）有限公司</t>
  </si>
  <si>
    <t>中铁建工集团（海南）有限公司</t>
  </si>
  <si>
    <t>海南天皓家居售后服务有限公司</t>
  </si>
  <si>
    <t>玛莎国际贸易（海南）有限公司</t>
  </si>
  <si>
    <t>虎威（海南）新材料科技有限公司</t>
  </si>
  <si>
    <t>海南省广智汇海文化传媒有限公司</t>
  </si>
  <si>
    <t>海南金海源汽车维修有限公司</t>
  </si>
  <si>
    <t>海南升隆进出口贸易有限公司</t>
  </si>
  <si>
    <t>海南宏盛文化有限公司</t>
  </si>
  <si>
    <t>海南莲颂生物科技有限公司</t>
  </si>
  <si>
    <t>海南习力贸易有限公司</t>
  </si>
  <si>
    <t>海南省建银环保工程有限公司</t>
  </si>
  <si>
    <t>海南琼漫文化传媒有限公司</t>
  </si>
  <si>
    <t>农商产业发展集团（海南）有限公司</t>
  </si>
  <si>
    <t>海南宝信汽车维修有限责任公司</t>
  </si>
  <si>
    <t>海南省辉楠汽车服务有限公司</t>
  </si>
  <si>
    <t>海南飞耀文化传媒有限公司</t>
  </si>
  <si>
    <t>海口艺骞文化传播有限公司</t>
  </si>
  <si>
    <t>海南洗悦汽车服务有限公司</t>
  </si>
  <si>
    <t>名绅会娱乐产业（海南经济特区）有限公司</t>
  </si>
  <si>
    <t>海口玖壹肆陆娱乐文化有限公司</t>
  </si>
  <si>
    <t>山魈（海南）文化发展有限公司</t>
  </si>
  <si>
    <t>海南经济特区国环世纪文化传媒有限公司</t>
  </si>
  <si>
    <t>海南渝海进出口贸易有限责任公司</t>
  </si>
  <si>
    <t>海南浩贤博溪文化传媒有限公司</t>
  </si>
  <si>
    <t>海南圣光联汽车服务有限公司</t>
  </si>
  <si>
    <t>海南易达隆建材有限责任公司</t>
  </si>
  <si>
    <t>海南东椰数字科技有限公司</t>
  </si>
  <si>
    <t>金软（海南）投资科技有限公司</t>
  </si>
  <si>
    <t>永鑫益（海南）机械租赁有限公司</t>
  </si>
  <si>
    <t>海南隆亭园林工程有限公司</t>
  </si>
  <si>
    <t>河南龙昌冷暖设备有限公司海南分公司</t>
  </si>
  <si>
    <t>海南三只麻雀文化传媒有限公司</t>
  </si>
  <si>
    <t>海南云谷风禾文化传媒有限公司</t>
  </si>
  <si>
    <t>海南百圣创科技有限公司</t>
  </si>
  <si>
    <t>椰岛椰子产业（海南）有限公司</t>
  </si>
  <si>
    <t>海南银之彩文化传播有限公司</t>
  </si>
  <si>
    <t>海南柒彩舞台设备有限公司</t>
  </si>
  <si>
    <t>海南德隆汽车服务有限公司</t>
  </si>
  <si>
    <t>海南领视联动文化有限公司</t>
  </si>
  <si>
    <t>海南悠游文化娱乐有限公司</t>
  </si>
  <si>
    <t>海南青苒底气文化经纪有限公司</t>
  </si>
  <si>
    <t>海口市联能交通设施有限责任公司</t>
  </si>
  <si>
    <t>海口精刚小王汽车服务有限公司</t>
  </si>
  <si>
    <t>海南辰灿文化传媒有限公司</t>
  </si>
  <si>
    <t>华商产业发展集团（海南）有限公司</t>
  </si>
  <si>
    <t>海南坤林文化传播有限公司</t>
  </si>
  <si>
    <t>海南澜海云间贸易有限公司</t>
  </si>
  <si>
    <t>海南海顺电子科技有限公司</t>
  </si>
  <si>
    <t>海南深蓝游艇俱乐部有限公司</t>
  </si>
  <si>
    <t>海南鑫唐尧实业有限公司</t>
  </si>
  <si>
    <t>海南中瓴网络科技有限公司</t>
  </si>
  <si>
    <t>海南好鸭鲜生食品有限公司</t>
  </si>
  <si>
    <t>海南铭疆汇通用航空股份公司</t>
  </si>
  <si>
    <t>海南花梨小将雕艺有限公司</t>
  </si>
  <si>
    <t>海南经济特区生丰鑫文化传媒有限公司</t>
  </si>
  <si>
    <t>海南卓烨汽车服务有限公司</t>
  </si>
  <si>
    <t>海南瑞晟汽车服务有限公司</t>
  </si>
  <si>
    <t>海南北斗空间科技有限公司</t>
  </si>
  <si>
    <t>海南明德开源环境工程有限公司</t>
  </si>
  <si>
    <t>海南盛世木子文化传播有限公司</t>
  </si>
  <si>
    <t>地球村娱乐产业（海南经济特区）有限公司</t>
  </si>
  <si>
    <t>海南北斗时空信息科技有限公司</t>
  </si>
  <si>
    <t>海南省辉蒙汽车服务有限公司</t>
  </si>
  <si>
    <t>国亚（海南）文旅有限公司</t>
  </si>
  <si>
    <t>海南怡然文化传媒有限公司</t>
  </si>
  <si>
    <t>海南浩洋投资发展有限公司</t>
  </si>
  <si>
    <t>海口市白乌鸦文化传媒有限责任公司</t>
  </si>
  <si>
    <t>中铁研究院集团（海南）有限公司</t>
  </si>
  <si>
    <t>海南恒扬汽车服务有限公司</t>
  </si>
  <si>
    <t>海口恒泰环保科技有限公司</t>
  </si>
  <si>
    <t>青鸢（海南）文化传媒有限公司</t>
  </si>
  <si>
    <t>海南怡馨源食品销售有限公司</t>
  </si>
  <si>
    <t>海南星璨文化传媒有限公司</t>
  </si>
  <si>
    <t>海南文铮投资发展有限公司</t>
  </si>
  <si>
    <t>海南省隆州娱乐科技有限公司</t>
  </si>
  <si>
    <t>炫麦文化传媒（海南）有限公司</t>
  </si>
  <si>
    <t>海南雅良汽车维修服务有限公司</t>
  </si>
  <si>
    <t>海南同恒生态环境科技有限公司</t>
  </si>
  <si>
    <t>海南精匠汽车服务有限公司</t>
  </si>
  <si>
    <t>海南潮商进出口贸易有限公司</t>
  </si>
  <si>
    <t>海南蓝岛环保科技有限公司</t>
  </si>
  <si>
    <t>海南腾跃文化有限责任公司</t>
  </si>
  <si>
    <t>中路建市政工程集团（海南）有限公司</t>
  </si>
  <si>
    <t>海南鑫全巨汽车服务有限公司</t>
  </si>
  <si>
    <t>格物体能（海南）文化传播有限公司</t>
  </si>
  <si>
    <t>海南小度文化传媒有限公司</t>
  </si>
  <si>
    <t>海口创海文化传播有限公司</t>
  </si>
  <si>
    <t>国机海南发展有限公司</t>
  </si>
  <si>
    <t>海南云谷远创科技有限公司</t>
  </si>
  <si>
    <t>海南两束光文化传媒工作室</t>
  </si>
  <si>
    <t>海口龙华卤羞羞休闲食品加工坊</t>
  </si>
  <si>
    <t>海南昆腾传媒有限公司</t>
  </si>
  <si>
    <t>海南省鑫鼎共赢电子商务有限公司</t>
  </si>
  <si>
    <t>海南宸翔科技有限公司</t>
  </si>
  <si>
    <t>海南君超美娱乐有限公司</t>
  </si>
  <si>
    <t>海南绣水铭山科技有限公司</t>
  </si>
  <si>
    <t>海南自贸区淮易电子竞技有限公司</t>
  </si>
  <si>
    <t>海南恒玖建设有限公司</t>
  </si>
  <si>
    <t>海南风吟文化传播有限公司</t>
  </si>
  <si>
    <t>海口骄林娱乐有限公司</t>
  </si>
  <si>
    <t>海南众志达管理服务有限公司</t>
  </si>
  <si>
    <t>海口谷歌健康产业管理有限公司</t>
  </si>
  <si>
    <t>海口由乐厂文化有限公司</t>
  </si>
  <si>
    <t>绿道石墨烯（海南自贸区）科技有限公司</t>
  </si>
  <si>
    <t>海口铭车匠汽车服务有限公司</t>
  </si>
  <si>
    <t>海南乐能新能源科技有限公司</t>
  </si>
  <si>
    <t>海口秀英一间手机维修店</t>
  </si>
  <si>
    <t>海南顺安悦环保科技有限公司</t>
  </si>
  <si>
    <t>海口秀英鑫天达汽车修理厂</t>
  </si>
  <si>
    <t>海口秀英鑫华印章服务部</t>
  </si>
  <si>
    <t>海口叁春晖服饰有限公司</t>
  </si>
  <si>
    <t>海南扬名文化传媒有限公司</t>
  </si>
  <si>
    <t>海南金桔文化传媒有限公司</t>
  </si>
  <si>
    <t>海口琼山鑫周珠宝珠宝工作室</t>
  </si>
  <si>
    <t>海南褶子文化传媒有限公司</t>
  </si>
  <si>
    <t>海口翼联通信有限公司</t>
  </si>
  <si>
    <t>海南蜜度文化传媒有限公司</t>
  </si>
  <si>
    <t>海南利宝制冷工程有限公司</t>
  </si>
  <si>
    <t>海南永沣汽车服务有限公司</t>
  </si>
  <si>
    <t>海南富隆鼎生态环境资源产业有限公司</t>
  </si>
  <si>
    <t>雅生活智慧城市服务股份有限公司海口分公司</t>
  </si>
  <si>
    <t>海南睿博特文化传媒有限公司</t>
  </si>
  <si>
    <t>海南熙道文娱有限公司</t>
  </si>
  <si>
    <t>海口秀英茶百道奶茶店</t>
  </si>
  <si>
    <t>海口市华臻食品科技有限公司</t>
  </si>
  <si>
    <t>海南旺海邮汽车维修有限公司</t>
  </si>
  <si>
    <t>成人娱乐（海南）有限公司</t>
  </si>
  <si>
    <t>海南星座食品加工有限公司</t>
  </si>
  <si>
    <t>华南（海南）电子竞技有限公司</t>
  </si>
  <si>
    <t>海南正固水电技术服务有限公司</t>
  </si>
  <si>
    <t>海口龙华盛益家电维修部</t>
  </si>
  <si>
    <t>海口小鱼和空束很有文化有限公司</t>
  </si>
  <si>
    <t>海南九旭方舟教育有限公司</t>
  </si>
  <si>
    <t>富硒乡村旅游开发（海南）有限公司</t>
  </si>
  <si>
    <t>海南俊隆高端汽车美容有限公司</t>
  </si>
  <si>
    <t>海口博拉博拉文化有限责任公司</t>
  </si>
  <si>
    <t>海南博美文化传媒有限公司</t>
  </si>
  <si>
    <t>海口市美嘉子文化传播有限公司</t>
  </si>
  <si>
    <t>海南鑫鼎泰生态环境资源产业有限公司</t>
  </si>
  <si>
    <t>海南省冠联智能工程有限公司</t>
  </si>
  <si>
    <t>易安彩文化传播（海南）有限责任公司</t>
  </si>
  <si>
    <t>海南山野城市环境工程有限公司</t>
  </si>
  <si>
    <t>小马安家（海口）房地产经纪有限责任公司</t>
  </si>
  <si>
    <t>海南青辰康养文化有限公司</t>
  </si>
  <si>
    <t>海口龙华李军辉工艺品商行</t>
  </si>
  <si>
    <t>海南盈欢科技开发有限公司</t>
  </si>
  <si>
    <t>海南车本丰汽车服务有限公司</t>
  </si>
  <si>
    <t>海口美兰德明服饰精品商行</t>
  </si>
  <si>
    <t>海南宝利通办公设备有限公司</t>
  </si>
  <si>
    <t>海南华琪胶原科技有限公司</t>
  </si>
  <si>
    <t>海南坤坎智能科技有限公司</t>
  </si>
  <si>
    <t>海南茂锴汽车服务有限公司</t>
  </si>
  <si>
    <t>海南敬仁电子科技有限公司</t>
  </si>
  <si>
    <t>海南稀世万藏珠宝有限公司</t>
  </si>
  <si>
    <t>海南溪山文化有限公司</t>
  </si>
  <si>
    <t>海口翼玖舞文体发展有限公司</t>
  </si>
  <si>
    <t>海南行远文化传媒有限公司</t>
  </si>
  <si>
    <t>海南铭和文化传播有限公司</t>
  </si>
  <si>
    <t>海南坤远实业集体有限公司</t>
  </si>
  <si>
    <t>海南易音文化传媒集团有限公司</t>
  </si>
  <si>
    <t>海南海广文化传媒有限公司</t>
  </si>
  <si>
    <t>海南新南方水务运维管理有限公司</t>
  </si>
  <si>
    <t>海南爵色文化传媒有限公司</t>
  </si>
  <si>
    <t>海口里九方文化有限公司</t>
  </si>
  <si>
    <t>海口龙华薇汀婚礼工作室</t>
  </si>
  <si>
    <t>阿特密斯智慧城市建设（海南）有限公司</t>
  </si>
  <si>
    <t>海南皓阳贸易有限责任公司</t>
  </si>
  <si>
    <t>海南悦派国际文化传媒有限公司</t>
  </si>
  <si>
    <t>海南九舞文化传媒有限公司</t>
  </si>
  <si>
    <t>中鸽（海南）赛鸽娱乐有限公司</t>
  </si>
  <si>
    <t>海口群友汇汽车服务有限公司</t>
  </si>
  <si>
    <t>海南美丽石文化传媒有限公司</t>
  </si>
  <si>
    <t>海口博见文化传媒有限责任公司</t>
  </si>
  <si>
    <t>海南任君游科技有限公司</t>
  </si>
  <si>
    <t>海南阊龙传统文化传播有限公司</t>
  </si>
  <si>
    <t>海口承康科技有限公司</t>
  </si>
  <si>
    <t>海南省典悟教育科技有限公司</t>
  </si>
  <si>
    <t>海口美兰乐之道汽车养护服务中心</t>
  </si>
  <si>
    <t>海口市宏易道文化传媒有限公司</t>
  </si>
  <si>
    <t>汉鑫钢铁（海南）有限公司</t>
  </si>
  <si>
    <t>地天泰（海南）娱乐有限公司</t>
  </si>
  <si>
    <t>海南省演东红树林植物园管理有限公司</t>
  </si>
  <si>
    <t>海南科建能源有限公司</t>
  </si>
  <si>
    <t>海南圣嘉实业有限公司</t>
  </si>
  <si>
    <t>海南嘉宝环境产业有限公司</t>
  </si>
  <si>
    <t>海口军师电竞馆</t>
  </si>
  <si>
    <t>海南立品空间智能科技有限公司</t>
  </si>
  <si>
    <t>海南晨晖水产有限公司</t>
  </si>
  <si>
    <t>海南佰鑫联电脑服务有限公司</t>
  </si>
  <si>
    <t>海南超级大玩家娱乐有限公司</t>
  </si>
  <si>
    <t>海南日青文化传播有限公司</t>
  </si>
  <si>
    <t>海南陌上花开文化传媒有限公司</t>
  </si>
  <si>
    <t>海南融谷信息科技有限公司</t>
  </si>
  <si>
    <t>海南岚本文化传媒有限公司</t>
  </si>
  <si>
    <t>海南月亮实业有限公司</t>
  </si>
  <si>
    <t>世地鑫座文旅集团（海南省）有限公司</t>
  </si>
  <si>
    <t>海口亮驰汽车养护有限公司</t>
  </si>
  <si>
    <t>海南凯桐文化传媒有限公司</t>
  </si>
  <si>
    <t>海口龙华壹德福糕点烘焙店</t>
  </si>
  <si>
    <t>海南飞廉技术服务有限公司</t>
  </si>
  <si>
    <t>中艺港国际艺术品交流中心（海南）有限公司</t>
  </si>
  <si>
    <t>海南鲸蔚科技有限公司</t>
  </si>
  <si>
    <t>海南驭道文化有限公司</t>
  </si>
  <si>
    <t>海南兵鑫文化传媒有限公司</t>
  </si>
  <si>
    <t>归谷艺术文化传媒（海南）合伙企业（有限合伙）</t>
  </si>
  <si>
    <t>海南新美家居用品有限公司</t>
  </si>
  <si>
    <t>海口龙华冰善美容中心</t>
  </si>
  <si>
    <t>海南志得环境工程有限公司</t>
  </si>
  <si>
    <t>中房财富控股（海南）有限公司</t>
  </si>
  <si>
    <t>海南椰岛雨帆食品有限公司</t>
  </si>
  <si>
    <t>海南海口达承志环保新能源开发有限公司</t>
  </si>
  <si>
    <t>海南常之青文化传媒有限公司</t>
  </si>
  <si>
    <t>海口搭搭乐科技有限公司</t>
  </si>
  <si>
    <t>海南陶旅文化有限公司</t>
  </si>
  <si>
    <t>海口华超卓越物业服务有限公司</t>
  </si>
  <si>
    <t>海南铭深智能科技有限公司</t>
  </si>
  <si>
    <t>海南优力科技有限公司</t>
  </si>
  <si>
    <t>海南智胜汽车服务有限公司</t>
  </si>
  <si>
    <t>海南诗云文化有限公司</t>
  </si>
  <si>
    <t>海南华隆文化投资有限公司</t>
  </si>
  <si>
    <t>海南车易选贸易有限公司</t>
  </si>
  <si>
    <t>海南羽晟文化有限公司</t>
  </si>
  <si>
    <t>海南椰科环保科技有限责任公司</t>
  </si>
  <si>
    <t>海口广意汽修有限公司</t>
  </si>
  <si>
    <t>海口鸿德翔汽车维修服务有限公司</t>
  </si>
  <si>
    <t>海南黔荟贸易有限公司</t>
  </si>
  <si>
    <t>海南叁陆玖娱乐文化有限公司</t>
  </si>
  <si>
    <t>陕西中潮博雅工程设计有限责任公司海南分公司</t>
  </si>
  <si>
    <t>海口美兰桫椤湾优莎蜜尔烘焙店</t>
  </si>
  <si>
    <t>华熙生物科技（海南）有限公司</t>
  </si>
  <si>
    <t>久利安生物工程（海南）有限公司</t>
  </si>
  <si>
    <t>海南懿恒科技有限公司</t>
  </si>
  <si>
    <t>海南蓝畅汽车服务有限公司</t>
  </si>
  <si>
    <t>农信控股集团（海南）有限公司</t>
  </si>
  <si>
    <t>藏纳天下文化艺术交流（海南）有限公司</t>
  </si>
  <si>
    <t>海南世玛贸易有限公司</t>
  </si>
  <si>
    <t>海口琼山美玉电动车维修中心</t>
  </si>
  <si>
    <t>海南悦诚商务服务有限公司</t>
  </si>
  <si>
    <t>海南耿浩商贸有限公司</t>
  </si>
  <si>
    <t>海南鑫懋环保科技有限公司</t>
  </si>
  <si>
    <t>海南迈微医疗器械有限公司</t>
  </si>
  <si>
    <t>海南峰途文化传媒有限公司</t>
  </si>
  <si>
    <t>海口喜美文化中心（有限合伙）</t>
  </si>
  <si>
    <t>海睿电子竞技（海南经济特区)有限公司</t>
  </si>
  <si>
    <t>海口广泓盛大苗圃有限公司</t>
  </si>
  <si>
    <t>中铁产业发展集团（海南）有限公司</t>
  </si>
  <si>
    <t>海口龙华延彬电动车维修店</t>
  </si>
  <si>
    <t>海口红极文化传媒有限公司</t>
  </si>
  <si>
    <t>海口龙华小朱电动车维修店</t>
  </si>
  <si>
    <t>海南秦栎木业有限公司</t>
  </si>
  <si>
    <t>海南芯境文化旅游开发有限公司</t>
  </si>
  <si>
    <t>海南庭园置业有限公司</t>
  </si>
  <si>
    <t>中金鹰（海南）旅游投资有限公司</t>
  </si>
  <si>
    <t>海南省新腾建材有限公司</t>
  </si>
  <si>
    <t>海南经济特区校瞬科技有限责任公司</t>
  </si>
  <si>
    <t>海口龙华金裕福珠宝店</t>
  </si>
  <si>
    <t>海南链网科技有限公司</t>
  </si>
  <si>
    <t>海南天泽文化传媒有限公司</t>
  </si>
  <si>
    <t>海南海之缘环境服务有限公司</t>
  </si>
  <si>
    <t>海南瑜源食品有限公司</t>
  </si>
  <si>
    <t>海南海兴国际科技发展有限公司</t>
  </si>
  <si>
    <t>海南博泰装饰设计工程有限公司</t>
  </si>
  <si>
    <t>海南海岛志茂管理服务有限公司</t>
  </si>
  <si>
    <t>海口沐车汽车养护有限公司</t>
  </si>
  <si>
    <t>海南云鑫餐饮管理有限公司</t>
  </si>
  <si>
    <t>智涵（海南）科技有限公司</t>
  </si>
  <si>
    <t>海口龙华人医验光配镜中心</t>
  </si>
  <si>
    <t>璐恒（海南）商贸有限责任公司</t>
  </si>
  <si>
    <t>海南犇羴科技有限公司</t>
  </si>
  <si>
    <t>海南桂姐家政服务有限责任公司</t>
  </si>
  <si>
    <t>海南天启者体育文化有限公司</t>
  </si>
  <si>
    <t>海口叁千瑜伽健身服务有限公司</t>
  </si>
  <si>
    <t>海南创世安智能科技有限公司</t>
  </si>
  <si>
    <t>海南朗万贸易有限公司</t>
  </si>
  <si>
    <t>海南自贸区九凯互联网产业投资有限公司</t>
  </si>
  <si>
    <t>海口琼山丝好味手调水吧店</t>
  </si>
  <si>
    <t>海南茂田优享车汽车租赁有限公司</t>
  </si>
  <si>
    <t>海南算宝财贸易有限公司</t>
  </si>
  <si>
    <t>海南浩蒙海旅游地产开发有限公司</t>
  </si>
  <si>
    <t>海南胖番茄网络科技有限公司</t>
  </si>
  <si>
    <t>海南康佳洁科技有限公司</t>
  </si>
  <si>
    <t>北京天惠信达科技有限责任公司海口分公司</t>
  </si>
  <si>
    <t>中泰弘瑞（海南）项目管理有限公司</t>
  </si>
  <si>
    <t>海口美兰麻辣蜜探小吃店</t>
  </si>
  <si>
    <t>海口久诺汽车用品有限公司</t>
  </si>
  <si>
    <t>海南关怀医疗科技有限公司</t>
  </si>
  <si>
    <t>海南地利鑫煌生态科技有限公司</t>
  </si>
  <si>
    <t>海南珍果汇农业科技有限公司</t>
  </si>
  <si>
    <t>徐山堂中医门诊部（海口）有限公司</t>
  </si>
  <si>
    <t>海南益荣贸易有限公司</t>
  </si>
  <si>
    <t>海南盛世邦企业管理有限公司</t>
  </si>
  <si>
    <t>海南利晟科技有限公司</t>
  </si>
  <si>
    <t>海南海微科技有限公司</t>
  </si>
  <si>
    <t>海口龙华福莱金泉茶社</t>
  </si>
  <si>
    <t>海口秀英六星机电工程技术中心</t>
  </si>
  <si>
    <t>海南君健生物科技有限公司</t>
  </si>
  <si>
    <t>北京航天中储科技有限公司海南分公司</t>
  </si>
  <si>
    <t>海南初航远志科技有限公司</t>
  </si>
  <si>
    <t>海南二熊农业科技有限公司</t>
  </si>
  <si>
    <t>海南自贸区拼格文化创意有限公司</t>
  </si>
  <si>
    <t>海口秀英小戴汽配汽修店</t>
  </si>
  <si>
    <t>海南省钻石珠宝有限公司</t>
  </si>
  <si>
    <t>海南罗创生物科技有限公司</t>
  </si>
  <si>
    <t>海南金古汽车服务有限公司</t>
  </si>
  <si>
    <t>海南华镪帆布制品有限公司</t>
  </si>
  <si>
    <t>城镇新聚落文化艺术发展研究（海南）有限责任公司</t>
  </si>
  <si>
    <t>海口龙华鑫车之捷汽修中心</t>
  </si>
  <si>
    <t>海南省张氏三泰实业有限公司</t>
  </si>
  <si>
    <t>海南森航旅游开发有限公司</t>
  </si>
  <si>
    <t>海南汉芯半导体科技产业园有限责任公司</t>
  </si>
  <si>
    <t>海南艺核文化有限公司</t>
  </si>
  <si>
    <t>海南维汉文化传媒有限公司</t>
  </si>
  <si>
    <t>交响之声文化传媒（海南）有限公司</t>
  </si>
  <si>
    <t>海南康安特科技有限公司</t>
  </si>
  <si>
    <t>海口度九文化有限公司</t>
  </si>
  <si>
    <t>海口三分之一娱乐中心</t>
  </si>
  <si>
    <t>海南奥斯文化有限公司</t>
  </si>
  <si>
    <t>海南朴道文化有限公司</t>
  </si>
  <si>
    <t>海南睿宇进出口贸易有限公司</t>
  </si>
  <si>
    <t>海南豪东贸易有限公司</t>
  </si>
  <si>
    <t>海南逸锦汽车贸易有限公司</t>
  </si>
  <si>
    <t>海南阅动汽车服务有限公司</t>
  </si>
  <si>
    <t>海南壹贰壹文化传媒有限公司</t>
  </si>
  <si>
    <t>海南蜂巢遥控模型科技有限公司</t>
  </si>
  <si>
    <t>海南旅人蕉文化传媒有限公司</t>
  </si>
  <si>
    <t>海口顺势而为文化有限公司</t>
  </si>
  <si>
    <t>海口赛孚汽车服务有限公司</t>
  </si>
  <si>
    <t>海南和臻联合环境有限公司</t>
  </si>
  <si>
    <t>海南蔚蓝色文化有限公司</t>
  </si>
  <si>
    <t>海南正鼎全娱乐有限公司</t>
  </si>
  <si>
    <t>海南友家弘扬汽修有限公司</t>
  </si>
  <si>
    <t>海南众盛鑫文化传播有限公司</t>
  </si>
  <si>
    <t>海南联控新能源汽车服务有限公司</t>
  </si>
  <si>
    <t>海南铺子文化传媒有限公司</t>
  </si>
  <si>
    <t>日进斗金文化传媒（海南）有限公司</t>
  </si>
  <si>
    <t>海南省世家旅游有限公司</t>
  </si>
  <si>
    <t>海口万氏车酷汽车服务有限公司</t>
  </si>
  <si>
    <t>海南九州翼达文化传媒有限公司</t>
  </si>
  <si>
    <t>海南汉唐盛世木业有限公司</t>
  </si>
  <si>
    <t>海南洁尔汽车服务有限公司</t>
  </si>
  <si>
    <t>海口不与四时绿化科技有限公司</t>
  </si>
  <si>
    <t>海南壳乐汽车服务有限公司</t>
  </si>
  <si>
    <t>海口市九尾供水有限公司</t>
  </si>
  <si>
    <t>海南画舫故事旅游开发有限公司</t>
  </si>
  <si>
    <t>海南鸿生酒业有限公司</t>
  </si>
  <si>
    <t>辉耀文化传媒（海口）有限公司</t>
  </si>
  <si>
    <t>海南省奥视文化传媒有限公司</t>
  </si>
  <si>
    <t>海南省围协文化传播有限公司</t>
  </si>
  <si>
    <t>海南盛泰旅行社有限公司</t>
  </si>
  <si>
    <t>海南省聚缘群众文化传媒有限公司</t>
  </si>
  <si>
    <t>战友（海南）酒业有限公司</t>
  </si>
  <si>
    <t>海南佳鸿文化传媒有限公司</t>
  </si>
  <si>
    <t>海南宝宗环保科技有限公司</t>
  </si>
  <si>
    <t>海南瑞启乾元环保科技有限公司</t>
  </si>
  <si>
    <t>海南桐筑实业有限公司</t>
  </si>
  <si>
    <t>海南天予创意文化传媒有限公司</t>
  </si>
  <si>
    <t>海南博智文化传播有限公司</t>
  </si>
  <si>
    <t>海南省亮丽风景文化产业有限公司</t>
  </si>
  <si>
    <t>海南宝威文化传播有限公司</t>
  </si>
  <si>
    <t>海南艾兰达文化传媒有限公司</t>
  </si>
  <si>
    <t>海南巨匠雕塑艺术有限公司</t>
  </si>
  <si>
    <t>农商投资集团（海南）有限公司</t>
  </si>
  <si>
    <t>海南时光园林景观有限公司</t>
  </si>
  <si>
    <t>海南康家净化节能科技有限公司</t>
  </si>
  <si>
    <t>海南洋缘名木工艺有限公司</t>
  </si>
  <si>
    <t>海南闽秦商实业有限公司</t>
  </si>
  <si>
    <t>海口勾手指文化传播有限公司</t>
  </si>
  <si>
    <t>本然（海南）文化有限公司</t>
  </si>
  <si>
    <t>海南左渔实业有限公司</t>
  </si>
  <si>
    <t>海南换新环境卫生管理有限公司</t>
  </si>
  <si>
    <t>海南冠跑汽车服务有限公司</t>
  </si>
  <si>
    <t>海南福瑞康生物科技有限公司</t>
  </si>
  <si>
    <t>海南御美人贸易有限公司</t>
  </si>
  <si>
    <t>水发建设（海南）实业有限公司</t>
  </si>
  <si>
    <t>海南女王美服装有限公司</t>
  </si>
  <si>
    <t>海南龟肽键生物科技开发有限公司</t>
  </si>
  <si>
    <t>海南黑地美食品贸易有限公司</t>
  </si>
  <si>
    <t>海南嘉润环境工程有限公司</t>
  </si>
  <si>
    <t>海南珺琪科技有限公司</t>
  </si>
  <si>
    <t>海口画时空传媒有限公司</t>
  </si>
  <si>
    <t>海南省万航实业有限公司</t>
  </si>
  <si>
    <t>海南铭川文化传媒旅游服务有限公司</t>
  </si>
  <si>
    <t>海南鼎辉旅游开发有限公司</t>
  </si>
  <si>
    <t>云喜文化（海南）有限公司</t>
  </si>
  <si>
    <t>海南光年旅游开发有限公司</t>
  </si>
  <si>
    <t>中交建筑开发集团（海南）有限公司</t>
  </si>
  <si>
    <t>海南楚博文化传播有限公司</t>
  </si>
  <si>
    <t>中盟文旅产业（海南）有限公司</t>
  </si>
  <si>
    <t>海南殿函城娱乐有限责任公司</t>
  </si>
  <si>
    <t>海南小小诺生物科技有限公司</t>
  </si>
  <si>
    <t>海南顺天教育科技有限公司</t>
  </si>
  <si>
    <t>丽辉（海南）环境科技有限公司</t>
  </si>
  <si>
    <t>海南美艺园林工程有限公司</t>
  </si>
  <si>
    <t>海南宏基环能投资有限公司</t>
  </si>
  <si>
    <t>中安能海洋水资源开发集团（海南）有限公司</t>
  </si>
  <si>
    <t>海南省鹭霖文化传媒有限公司</t>
  </si>
  <si>
    <t>海南省数字城市产业研究院有限公司</t>
  </si>
  <si>
    <t>海口容意文化传媒有限公司</t>
  </si>
  <si>
    <t>港澳华胜（海南）汽车服务有限公司</t>
  </si>
  <si>
    <t>海南喜欣园食品有限公司</t>
  </si>
  <si>
    <t>海南一颗星实业有限公司</t>
  </si>
  <si>
    <t>海南椰椰科技有限公司</t>
  </si>
  <si>
    <t>海南暖光娱乐有限责任公司</t>
  </si>
  <si>
    <t>海南瀚宸文化传媒有限公司</t>
  </si>
  <si>
    <t>中融科创信息技术（海南）有限公司</t>
  </si>
  <si>
    <t>海南世通汽车租赁有限公司海口分公司</t>
  </si>
  <si>
    <t>坤博文（海南）旅游开发有限公司</t>
  </si>
  <si>
    <t>海口继速佳汽车服务有限公司</t>
  </si>
  <si>
    <t>卡卡佳佳文化传媒（海口）有限公司</t>
  </si>
  <si>
    <t>碧泓祗德文化（海南）有限公司</t>
  </si>
  <si>
    <t>海南省卓训文化传播有限公司</t>
  </si>
  <si>
    <t>海口美兰渲旺汽车维修服务中心</t>
  </si>
  <si>
    <t>海南民达旅游开发有限公司</t>
  </si>
  <si>
    <t>南方经贸集团休闲产业（海南）有限公司</t>
  </si>
  <si>
    <t>海南酷霸文化演艺有限公司</t>
  </si>
  <si>
    <t>海南亘源科技有限公司</t>
  </si>
  <si>
    <t>海南昊海进出口贸易有限公司</t>
  </si>
  <si>
    <t>海南弘权贸易有限公司</t>
  </si>
  <si>
    <t>海南渔戈岛文化传媒有限公司</t>
  </si>
  <si>
    <t>海口晟隆科技有限公司</t>
  </si>
  <si>
    <t>宇霖文化传媒（海南）有限公司</t>
  </si>
  <si>
    <t>海南艾米乐气球装饰文化有限责任公司</t>
  </si>
  <si>
    <t>海南泰美嘉园林工程有限公司</t>
  </si>
  <si>
    <t>海口秀英荣庆盛汽车服务站</t>
  </si>
  <si>
    <t>海口万式车酷汽车服务有限公司</t>
  </si>
  <si>
    <t>海南欧环旅业有限公司</t>
  </si>
  <si>
    <t>海南赣海实业有限公司</t>
  </si>
  <si>
    <t>海南汉字文化传媒有限公司</t>
  </si>
  <si>
    <t>肉曼底（海南）食品科技有限公司</t>
  </si>
  <si>
    <t>海口市雅创文化传播有限公司</t>
  </si>
  <si>
    <t>海南宝克文具有限公司</t>
  </si>
  <si>
    <t>白熊环保科技（海南）有限公司</t>
  </si>
  <si>
    <t>海南玖果新能源发展有限公司</t>
  </si>
  <si>
    <t>海南双泽实业发展有限公司</t>
  </si>
  <si>
    <t>海南云灏文化传播有限公司</t>
  </si>
  <si>
    <t>海南鹏源汽车服务有限公司</t>
  </si>
  <si>
    <t>海南科伟电子科技有限公司</t>
  </si>
  <si>
    <t>海南宸源环境科技有限公司</t>
  </si>
  <si>
    <t>海口沁鑫文化传媒有限公司</t>
  </si>
  <si>
    <t>海南车安亿汽车服务有限公司</t>
  </si>
  <si>
    <t>海南特飞国际海钓产业发展有限公司</t>
  </si>
  <si>
    <t>海南博槐教育科技有限公司</t>
  </si>
  <si>
    <t>海南恒驰文化传媒中心</t>
  </si>
  <si>
    <t>海口禾雅实业有限公司</t>
  </si>
  <si>
    <t>海南穿越营地文化旅游发展有限公司</t>
  </si>
  <si>
    <t>海南华悦文化传媒有限公司</t>
  </si>
  <si>
    <t>海南昶宇教育科技有限公司</t>
  </si>
  <si>
    <t>海南博声文化合伙企业（有限合伙）</t>
  </si>
  <si>
    <t>汇江海文化传播（海南）有限公司</t>
  </si>
  <si>
    <t>海南匠音文化传媒有限公司</t>
  </si>
  <si>
    <t>海南未来已来经纪文化传媒有限公司</t>
  </si>
  <si>
    <t>海南维羽文化体育策划有限公司</t>
  </si>
  <si>
    <t>海口龙华夜秀娱乐中心</t>
  </si>
  <si>
    <t>海南中陆机动车检测技术有限公司</t>
  </si>
  <si>
    <t>海南省赢聚时空文化传媒有限公司</t>
  </si>
  <si>
    <t>海南祥柯文化传媒有限公司</t>
  </si>
  <si>
    <t>海南易科菲水环境有限公司</t>
  </si>
  <si>
    <t>海南省夯土技术研究院</t>
  </si>
  <si>
    <t>海南汇益旅游开发有限公司</t>
  </si>
  <si>
    <t>天海生态环境（海南）有限公司</t>
  </si>
  <si>
    <t>海南宝橡鑫木业有限公司</t>
  </si>
  <si>
    <t>世界粮农开发集团动物乐园（海南）有限公司</t>
  </si>
  <si>
    <t>海南太空岛文化设计有限公司</t>
  </si>
  <si>
    <t>海口秀英大兵办公服务商行</t>
  </si>
  <si>
    <t>海口秀英开泰良粮凉皮加工厂</t>
  </si>
  <si>
    <t>海南启程网络科技有限公司</t>
  </si>
  <si>
    <t>海南子栖财务咨询有限责任公司</t>
  </si>
  <si>
    <t>湖南恒业腾飞房地产土地资产评估有限公司海南分公司</t>
  </si>
  <si>
    <t>海南迈成教育培训有限公司海口分公司</t>
  </si>
  <si>
    <t>海南垚鑫管道检测有限公司</t>
  </si>
  <si>
    <t>海口龙华南海优莎蜜尔烘焙店</t>
  </si>
  <si>
    <t>海南民之丰农业开发有限公司</t>
  </si>
  <si>
    <t>海南牛仁岛文化传媒有限公司</t>
  </si>
  <si>
    <t>海南强灿建筑劳务有限公司</t>
  </si>
  <si>
    <t>海南恒田进出口贸易有限公司</t>
  </si>
  <si>
    <t>海口创尼卡顿卫浴有限公司</t>
  </si>
  <si>
    <t>海南省裕兴新材料有限公司</t>
  </si>
  <si>
    <t>海南煌智贸易有限公司</t>
  </si>
  <si>
    <t>江苏国兴建设项目管理有限公司海南分公司</t>
  </si>
  <si>
    <t>海南华成兴盛项目管理有限公司</t>
  </si>
  <si>
    <t>海南坦途实业有限公司</t>
  </si>
  <si>
    <t>海南中勤国际贸易有限公司</t>
  </si>
  <si>
    <t>海口印邦图文快印有限公司</t>
  </si>
  <si>
    <t>广西中职信工程咨询有限公司海南分公司</t>
  </si>
  <si>
    <t>海南女王美珠宝有限公司</t>
  </si>
  <si>
    <t>海口美兰鹏晖优莎蜜尔烘焙店</t>
  </si>
  <si>
    <t>海南贝明汽车服务有限公司</t>
  </si>
  <si>
    <t>贝恩电子竞技（海南）有限公司</t>
  </si>
  <si>
    <t>海口美兰车行天下汽车维修中心</t>
  </si>
  <si>
    <t>海南乾峰投资有限公司</t>
  </si>
  <si>
    <t>中科正德（海南）智能科技有限公司小药柜琼台师范店</t>
  </si>
  <si>
    <t>海南长利玮业生物科技有限公司</t>
  </si>
  <si>
    <t>海口途信汽车服务有限公司</t>
  </si>
  <si>
    <t>海南奕禾实业有限公司</t>
  </si>
  <si>
    <t>海南领茂食品有限公司</t>
  </si>
  <si>
    <t>文轩（海南）文化传媒有限公司</t>
  </si>
  <si>
    <t>海南五砖文化传媒有限公司</t>
  </si>
  <si>
    <t>海南玉格格贸易有限公司</t>
  </si>
  <si>
    <t>中和樘产业集团（海南）有限公司</t>
  </si>
  <si>
    <t>海南仁嘉旅游发展有限公司</t>
  </si>
  <si>
    <t>海南大圣旅游资源开发有限公司</t>
  </si>
  <si>
    <t>海口美兰鑫胜镁达汽车维修服务中心</t>
  </si>
  <si>
    <t>海南南北畅通园林绿化有限公司</t>
  </si>
  <si>
    <t>海口市融恒实业有限公司</t>
  </si>
  <si>
    <t>海口琼山阿诚电动车维修店</t>
  </si>
  <si>
    <t>海南新纪源文化娱乐管理有限责任公司</t>
  </si>
  <si>
    <t>海南风行贸易有限公司</t>
  </si>
  <si>
    <t>海南好用旅游开发有限公司</t>
  </si>
  <si>
    <t>海南固睿思智能制造有限公司</t>
  </si>
  <si>
    <t>海南硕果文化传媒有限公司</t>
  </si>
  <si>
    <t>众成就（海南）融媒体科技有限公司</t>
  </si>
  <si>
    <t>速聘人力资源服务（海南）有限公司</t>
  </si>
  <si>
    <t>海南梨园物业服务有限公司</t>
  </si>
  <si>
    <t>寰宇斯伯特运动俱乐部（海口）有限公司</t>
  </si>
  <si>
    <t>海南君成文化传媒有限公司</t>
  </si>
  <si>
    <t>东健国际投资（海南）有限公司</t>
  </si>
  <si>
    <t>海南鑫鑫向荣文化传媒有限公司</t>
  </si>
  <si>
    <t>中金同盛数字科技有限公司</t>
  </si>
  <si>
    <t>五角星球文化传媒（海南）有限公司</t>
  </si>
  <si>
    <t>海南喜粤食品有限公司</t>
  </si>
  <si>
    <t>海南振业文化传媒有限公司</t>
  </si>
  <si>
    <t>海南省版权管理服务中心</t>
  </si>
  <si>
    <t>顺之源（海南）环保科技有限公司</t>
  </si>
  <si>
    <t>海口女娲影视传播有限公司</t>
  </si>
  <si>
    <t>海南中天宏达文化体育有限公司</t>
  </si>
  <si>
    <t>海口乾坤吉祥物业管理有限公司翔河西路分公司</t>
  </si>
  <si>
    <t>海南韩兴实业有限公司</t>
  </si>
  <si>
    <t>泓德（海南）环境技术服务有限公司</t>
  </si>
  <si>
    <t>海南昌柏国际贸易有限公司</t>
  </si>
  <si>
    <t>九九花开（海南）文化传媒有限公司</t>
  </si>
  <si>
    <t>海南坤田生产资料有限公司</t>
  </si>
  <si>
    <t>华鑫国际投资控股集团（海南）有限公司</t>
  </si>
  <si>
    <t>海南飞来峰文化传媒有限公司</t>
  </si>
  <si>
    <t>海南省华海在线科技文化有限公司</t>
  </si>
  <si>
    <t>海南祖明实业有限公司</t>
  </si>
  <si>
    <t>海口福兴爱华文化传媒有限公司</t>
  </si>
  <si>
    <t>海南军之魂文化有限公司</t>
  </si>
  <si>
    <t>海南明程农业有限公司</t>
  </si>
  <si>
    <t>海南台腾环境治理集团有限公司</t>
  </si>
  <si>
    <t>海南子非鱼文化传播有限公司</t>
  </si>
  <si>
    <t>海南首风通风设备有限公司</t>
  </si>
  <si>
    <t>海南荣协电子科技有限公司</t>
  </si>
  <si>
    <t>海南班杰明文化传媒有限公司</t>
  </si>
  <si>
    <t>海南盛源科技有限公司</t>
  </si>
  <si>
    <t>海口龙华蓝风车蛋糕店</t>
  </si>
  <si>
    <t>海南奥沃精酿啤酒有限公司</t>
  </si>
  <si>
    <t>银河普乐（海南）文化产业有限公司</t>
  </si>
  <si>
    <t>海南境知文化传播有限公司</t>
  </si>
  <si>
    <t>海南孝道文化传播有限公司</t>
  </si>
  <si>
    <t>海南昕乐源旅游文化有限公司</t>
  </si>
  <si>
    <t>海南优剧文化有限责任公司</t>
  </si>
  <si>
    <t>海南玛上影院投资有限公司</t>
  </si>
  <si>
    <t>海南潮石文化传播有限公司</t>
  </si>
  <si>
    <t>海口好面缘粮油有限公司</t>
  </si>
  <si>
    <t>海南德勇环境有限公司</t>
  </si>
  <si>
    <t>国瑞集团（海南）有限公司</t>
  </si>
  <si>
    <t>海南红培文化传播有限公司</t>
  </si>
  <si>
    <t>海南达盈装饰有限公司</t>
  </si>
  <si>
    <t>国信控股集团（海南经济特区）有限公司</t>
  </si>
  <si>
    <t>海南华辰坤泰环保科技有限公司</t>
  </si>
  <si>
    <t>禧宝（海南）文化传媒有限公司</t>
  </si>
  <si>
    <t>海南卓泰低空旅游开发有限公司</t>
  </si>
  <si>
    <t>遨博（海南）智能机器人有限公司</t>
  </si>
  <si>
    <t>汉诺道（海南）文化传播有限公司</t>
  </si>
  <si>
    <t>海南恐龙灵动文化传媒合伙企业（有限合伙）</t>
  </si>
  <si>
    <t>海南四象八牛文化传媒有限公司</t>
  </si>
  <si>
    <t>海南东泓新型材料科技有限公司</t>
  </si>
  <si>
    <t>海南省弘韵文化传媒有限公司</t>
  </si>
  <si>
    <t>海南王佳牌文化传播有限公司</t>
  </si>
  <si>
    <t>海南省集上品进出口贸易有限公司</t>
  </si>
  <si>
    <t>海南周大熙珠宝有限公司</t>
  </si>
  <si>
    <t>海南晶为光电科技有限公司</t>
  </si>
  <si>
    <t>泰晟域淼环境服务（海南）有限公司</t>
  </si>
  <si>
    <t>海南爱迅维电器服务有限公司</t>
  </si>
  <si>
    <t>海南爱可讯技术服务有限公司</t>
  </si>
  <si>
    <t>中盾城市运营投资（海南）有限责任公司</t>
  </si>
  <si>
    <t>开创者（海南）文化交流有限公司</t>
  </si>
  <si>
    <t>海南广艺雕塑设计有限公司</t>
  </si>
  <si>
    <t>海口琼山琼州吉贸易商行</t>
  </si>
  <si>
    <t>海南匠七实业有限公司</t>
  </si>
  <si>
    <t>海南祥顺文化传媒有限公司</t>
  </si>
  <si>
    <t>唐颂娱乐管理（海南）有限公司</t>
  </si>
  <si>
    <t>海口秀英鑫之诚汽车养护维修中心</t>
  </si>
  <si>
    <t>大洋（海南）生态有限公司</t>
  </si>
  <si>
    <t>中泽水务（海南）有限公司</t>
  </si>
  <si>
    <t>福州万山电力咨询有限公司海南分公司</t>
  </si>
  <si>
    <t>海口宇领先锋科技有限公司</t>
  </si>
  <si>
    <t>海南天戏互娱网络技术有限公司</t>
  </si>
  <si>
    <t>海南一方木业有限公司</t>
  </si>
  <si>
    <t>海南万洋地影文化传媒有限公司</t>
  </si>
  <si>
    <t>勾勾娱乐（海南）有限公司</t>
  </si>
  <si>
    <t>海南永源农产品有限公司</t>
  </si>
  <si>
    <t>海口圆发汽车维修服务有限公司</t>
  </si>
  <si>
    <t>海南速跑儿童娱乐发展有限公司</t>
  </si>
  <si>
    <t>北京五州工程咨询服务有限公司海南分公司</t>
  </si>
  <si>
    <t>海南环合环保农业科技有限公司</t>
  </si>
  <si>
    <t>海南寸草春晖文化传播有限公司</t>
  </si>
  <si>
    <t>海南康润植物医院有限公司</t>
  </si>
  <si>
    <t>星耀超媒（海南）文化传播有限公司</t>
  </si>
  <si>
    <t>海南林樽国际贸易有限公司</t>
  </si>
  <si>
    <t>壹捌玖伍娱乐（海南）有限公司</t>
  </si>
  <si>
    <t>海口浮象智能科技有限公司</t>
  </si>
  <si>
    <t>海南如影随心文化传媒有限公司</t>
  </si>
  <si>
    <t>海口龙华车盛之汽车养护中心</t>
  </si>
  <si>
    <t>海南影风网络科技有限公司</t>
  </si>
  <si>
    <t>海南忧默殿堂弟文化传媒有限公司</t>
  </si>
  <si>
    <t>海南茂贵泓大实业有限公司</t>
  </si>
  <si>
    <t>海南景善旅游文化传媒有限公司</t>
  </si>
  <si>
    <t>海南沧海管道装备制造有限公司</t>
  </si>
  <si>
    <t>海口豪车汇汽车租赁有限公司</t>
  </si>
  <si>
    <t>宝盾（海南）智能科技有限公司</t>
  </si>
  <si>
    <t>海南乐盛汽车服务有限公司</t>
  </si>
  <si>
    <t>海南君为招标代理有限公司</t>
  </si>
  <si>
    <t>海口康鲜食品有限公司</t>
  </si>
  <si>
    <t>海南润金海文化传媒有限公司</t>
  </si>
  <si>
    <t>海南经济特区春江水生态环保集团有限公司</t>
  </si>
  <si>
    <t>海南悦鑫汽车服务有限公司</t>
  </si>
  <si>
    <t>海南诚达国际贸易有限公司</t>
  </si>
  <si>
    <t>海南腾鲲文化传媒有限公司</t>
  </si>
  <si>
    <t>海南昌瑞网络科技有限公司</t>
  </si>
  <si>
    <t>海南耀福科技信息有限公司</t>
  </si>
  <si>
    <t>照鉴未来实业有限公司</t>
  </si>
  <si>
    <t>华融生态环境治理（海南）有限公司</t>
  </si>
  <si>
    <t>海南汇六鲜贸易有限公司</t>
  </si>
  <si>
    <t>海南成造文化发展有限公司</t>
  </si>
  <si>
    <t>海南和煦母婴有限公司</t>
  </si>
  <si>
    <t>海南黑米世纪互联网科技有限公司</t>
  </si>
  <si>
    <t>海南海上丝路进出口贸易有限公司</t>
  </si>
  <si>
    <t>海南好邻好物科技有限公司</t>
  </si>
  <si>
    <t>海南白星文化传媒有限公司</t>
  </si>
  <si>
    <t>海口秀英路顺通补胎店</t>
  </si>
  <si>
    <t>海南鸿春堂药房连锁经营有限公司美兰墟振兴路分店</t>
  </si>
  <si>
    <t>海口茗车汇汽车养护有限公司</t>
  </si>
  <si>
    <t>海南桐宇宁进出口贸易有限公司</t>
  </si>
  <si>
    <t>海南游龙汽车租赁有限公司</t>
  </si>
  <si>
    <t>海南乐动全城游乐有限公司</t>
  </si>
  <si>
    <t>海南玖鼎广告传媒有限公司</t>
  </si>
  <si>
    <t>海南网点科技有限公司</t>
  </si>
  <si>
    <t>海南天壹天广告有限公司</t>
  </si>
  <si>
    <t>海口龙华艺之轩工艺品商行</t>
  </si>
  <si>
    <t>海南嘉胜市政工程有限公司</t>
  </si>
  <si>
    <t>海南车匠之家汽修厂</t>
  </si>
  <si>
    <t>爱互动教育科技（海南）有限公司</t>
  </si>
  <si>
    <t>蜂鸟（海南）饮料有限公司</t>
  </si>
  <si>
    <t>昌建服务集团（海南）有限公司</t>
  </si>
  <si>
    <t>海南雅豪广告传媒有限公司</t>
  </si>
  <si>
    <t>海南康瑞旅游开发有限公司</t>
  </si>
  <si>
    <t>海口凯得好汽修有限公司</t>
  </si>
  <si>
    <t>海南逐阳健康产业有限公司</t>
  </si>
  <si>
    <t>海南汇宁汽车美容服务有限公司</t>
  </si>
  <si>
    <t>海口张何娱乐传媒有限公司</t>
  </si>
  <si>
    <t>海口市排水设施事务中心</t>
  </si>
  <si>
    <t>翼和控股（海南）有限公司</t>
  </si>
  <si>
    <t>海口惠星佳厨科技贸易有限公司</t>
  </si>
  <si>
    <t>海口美兰持朴印章服务部</t>
  </si>
  <si>
    <t>海南冷顺汽车空调维修服务有限公司</t>
  </si>
  <si>
    <t>海南汉唐州郡文化旅游投资有限公司</t>
  </si>
  <si>
    <t>海南省凯天环保集团有限公司</t>
  </si>
  <si>
    <t>海南植萌食品科技有限公司</t>
  </si>
  <si>
    <t>海南泛美视觉设计有限公司</t>
  </si>
  <si>
    <t>海南中宴食品有限公司</t>
  </si>
  <si>
    <t>海南智享家智能科技有限公司</t>
  </si>
  <si>
    <t>海南红鲤鱼与绿鲤鱼文旅发展有限公司</t>
  </si>
  <si>
    <t>海南牧然食品有限公司</t>
  </si>
  <si>
    <t>海南众诚千宇汽车服务有限公司</t>
  </si>
  <si>
    <t>海南奥莱斯珠宝有限公司</t>
  </si>
  <si>
    <t>海南椰枫投资集团有限公司</t>
  </si>
  <si>
    <t>海南木知咨询文化有限公司</t>
  </si>
  <si>
    <t>海南叁凹文化创意有限公司</t>
  </si>
  <si>
    <t>海南寰东投资有限公司</t>
  </si>
  <si>
    <t>海南易佰榕丰贸易有限公司</t>
  </si>
  <si>
    <t>海南臻园食品有限公司</t>
  </si>
  <si>
    <t>海口龙华荣发汽车服务中心</t>
  </si>
  <si>
    <t>海南包菜文化传媒有限公司</t>
  </si>
  <si>
    <t>无象宝芝林中医院(海南)有限公司</t>
  </si>
  <si>
    <t>海南华仕工程有限公司</t>
  </si>
  <si>
    <t>海南普利制药股份有限公司</t>
  </si>
  <si>
    <t>海南泽鹿企业管理合伙企业（有限合伙）</t>
  </si>
  <si>
    <t>海口城源环境服务有限公司</t>
  </si>
  <si>
    <t>和兴社（海南）科技有限公司</t>
  </si>
  <si>
    <t>海口美兰舞艺舞蹈培训中心</t>
  </si>
  <si>
    <t>海南惠优房信息科技有限公司</t>
  </si>
  <si>
    <t>海南宏泰时代娱乐有限公司</t>
  </si>
  <si>
    <t>海南林川工程咨询有限公司</t>
  </si>
  <si>
    <t>海南悦美实业有限公司</t>
  </si>
  <si>
    <t>海南海成汽车服务有限公司</t>
  </si>
  <si>
    <t>海南芳骅生物科技有限公司</t>
  </si>
  <si>
    <t>海南尚雅居全铝家具有限公司</t>
  </si>
  <si>
    <t>海南净曦水处理环保科技有限公司</t>
  </si>
  <si>
    <t>海南慧璞文化发展有限公司</t>
  </si>
  <si>
    <t>刘姥爷家政服务（海南）有限责任公司</t>
  </si>
  <si>
    <t>海南锦瑞制药有限公司</t>
  </si>
  <si>
    <t>海口创亿家环保科技有限公司</t>
  </si>
  <si>
    <t>海口龙华欣饮佳饮品店</t>
  </si>
  <si>
    <t>海南艾思伦教育科技有限公司</t>
  </si>
  <si>
    <t>海口市高黄供水有限公司</t>
  </si>
  <si>
    <t>海南省恒星电子科技有限公司</t>
  </si>
  <si>
    <t>海南网云创智科技有限公司</t>
  </si>
  <si>
    <t>海南富和文化旅游有限公司</t>
  </si>
  <si>
    <t>海南颖星冷饮吧</t>
  </si>
  <si>
    <t>海南华鼎艺网络科技有限公司</t>
  </si>
  <si>
    <t>海南华虹云飞广告有限公司</t>
  </si>
  <si>
    <t>海南和众文化传媒有限公司</t>
  </si>
  <si>
    <t>海南行得众测绘地理信息服务有限责任公司</t>
  </si>
  <si>
    <t>海南优质环保有限公司</t>
  </si>
  <si>
    <t>海口蓝月湾文化娱乐有限公司</t>
  </si>
  <si>
    <t>海南碧蓝博海旅游发展有限公司</t>
  </si>
  <si>
    <t>海口慕谦贸易有限责任公司</t>
  </si>
  <si>
    <t>海南梦辉温汽车服务有限公司</t>
  </si>
  <si>
    <t>海南环旭环保科技有限公司</t>
  </si>
  <si>
    <t>广联达数字科技（海南）有限公司</t>
  </si>
  <si>
    <t>海南鑫任通信有限公司</t>
  </si>
  <si>
    <t>海南合利撷贸易有限公司</t>
  </si>
  <si>
    <t>海南省爱特文文化艺术培训中心有限公司</t>
  </si>
  <si>
    <t>诺健康城国际健康管理（海南）有限公司</t>
  </si>
  <si>
    <t>海南卓泰航空维修工程有限公司</t>
  </si>
  <si>
    <t>海南皓铭汽车服务有限公司</t>
  </si>
  <si>
    <t>海南和运汽车服务股份有限公司</t>
  </si>
  <si>
    <t>海南满堂金铝材有限公司</t>
  </si>
  <si>
    <t>海口秀英华园华修理厂</t>
  </si>
  <si>
    <t>海南雅尚小雅文化传媒有限公司</t>
  </si>
  <si>
    <t>中科正德（海南）智能科技有限公司小药柜京华城店</t>
  </si>
  <si>
    <t>数治集程（海南）科技有限公司</t>
  </si>
  <si>
    <t>海南美泰宝生命科技有限公司</t>
  </si>
  <si>
    <t>海口美兰陈不中窗帘加工店</t>
  </si>
  <si>
    <t>海口美兰领信电子商行</t>
  </si>
  <si>
    <t>海南锐力文化创意有限公司</t>
  </si>
  <si>
    <t>海南智者汽车服务有限公司</t>
  </si>
  <si>
    <t>海南泰达致靓汽车服务有限公司</t>
  </si>
  <si>
    <t>海口海蓝汇文化娱乐有限公司</t>
  </si>
  <si>
    <t>海南星光时代电动车服务有限公司</t>
  </si>
  <si>
    <t>海南利涛光疗科技有限公司</t>
  </si>
  <si>
    <t>海南胶成智能科技有限公司</t>
  </si>
  <si>
    <t>海南鸿宇汽车修理有限公司</t>
  </si>
  <si>
    <t>海口市翰墨堂艺术发展有限公司</t>
  </si>
  <si>
    <t>海南黎仔汽车服务有限公司</t>
  </si>
  <si>
    <t>海南白香国际贸易进出口有限公司</t>
  </si>
  <si>
    <t>互联互通（海南）文化发展有限公司</t>
  </si>
  <si>
    <t>海南辉明盛机械服务有限公司</t>
  </si>
  <si>
    <t>海南椰安实业集团有限公司</t>
  </si>
  <si>
    <t>海南三杆休闲俱乐部有限公司</t>
  </si>
  <si>
    <t>海南省东创文旅有限公司</t>
  </si>
  <si>
    <t>海南云想科技有限公司</t>
  </si>
  <si>
    <t>海口秀英鑫宇达汽车维修中心</t>
  </si>
  <si>
    <t>海南三万英尺文化传媒有限公司</t>
  </si>
  <si>
    <t>海南兰亭水墨坊文化传媒有限公司</t>
  </si>
  <si>
    <t>海南勇江汽车租赁有限公司</t>
  </si>
  <si>
    <t>海口秀英摩尼卡蛋糕店</t>
  </si>
  <si>
    <t>海南省胡凡汽车服务有限公司</t>
  </si>
  <si>
    <t>海南康康饼网络科技有限公司</t>
  </si>
  <si>
    <t>海南海创汽车服务有限公司</t>
  </si>
  <si>
    <t>海南美帖乡村旅游开发有限公司</t>
  </si>
  <si>
    <t>海南好搭科技有限责任公司</t>
  </si>
  <si>
    <t>海南欣乐康环境科技有限公司</t>
  </si>
  <si>
    <t>海南赢方同乐文化传媒有限公司</t>
  </si>
  <si>
    <t>海南拾星计划文化传媒有限公司</t>
  </si>
  <si>
    <t>海南翠友汇珠宝科技有限公司</t>
  </si>
  <si>
    <t>海口华商贸易有限公司</t>
  </si>
  <si>
    <t>海口秀英双胖卤味店</t>
  </si>
  <si>
    <t>海南欧利万进出口贸易有限公司</t>
  </si>
  <si>
    <t>海南廉泰汽车修理有限公司</t>
  </si>
  <si>
    <t>海南乐玩游乐园有限公司</t>
  </si>
  <si>
    <t>海南心枢纽文化传媒有限公司</t>
  </si>
  <si>
    <t>海南焕然市政服务有限公司</t>
  </si>
  <si>
    <t>海口高久源电器有限公司</t>
  </si>
  <si>
    <t>海南小王冠食品有限公司</t>
  </si>
  <si>
    <t>海南枫盛神州节能科技有限公司</t>
  </si>
  <si>
    <t>海南真有意思文化传播有限公司</t>
  </si>
  <si>
    <t>海南乾行文化传媒有限公司</t>
  </si>
  <si>
    <t>海南千家贝力思食品有限责任公司</t>
  </si>
  <si>
    <t>海口市优米语言文化活动服务有限责任公司</t>
  </si>
  <si>
    <t>海南尚官有声文化传媒有限公司</t>
  </si>
  <si>
    <t>海口新思路文化传媒有限公司</t>
  </si>
  <si>
    <t>海南万程汽车服务有限公司</t>
  </si>
  <si>
    <t>海南一城一程文化传播有限公司</t>
  </si>
  <si>
    <t>海南尚头酒业坊</t>
  </si>
  <si>
    <t>顺天壹号（海南）投资有限公司</t>
  </si>
  <si>
    <t>海南聚力浚源影视策划有限公司</t>
  </si>
  <si>
    <t>文金文化传播（海南）有限公司</t>
  </si>
  <si>
    <t>海南锦华乡村旅游投资有限公司</t>
  </si>
  <si>
    <t>海南省道仁文化传媒有限公司</t>
  </si>
  <si>
    <t>海南车水马龙汽车服务有限公司</t>
  </si>
  <si>
    <t>海南琼免进出口贸易合伙企业（有限合伙）</t>
  </si>
  <si>
    <t>海南振光木业有限公司</t>
  </si>
  <si>
    <t>海南乐加娱乐有限公司</t>
  </si>
  <si>
    <t>海口盛磊文化传媒有限公司</t>
  </si>
  <si>
    <t>大愚文化（海口）有限公司</t>
  </si>
  <si>
    <t>海南博睿声演艺器材有限公司</t>
  </si>
  <si>
    <t>海南宥霖影视文化有限公司</t>
  </si>
  <si>
    <t>海口柏达文化有限公司</t>
  </si>
  <si>
    <t>海南只禾文化传播有限公司</t>
  </si>
  <si>
    <t>海口舞禾文化传媒有限公司</t>
  </si>
  <si>
    <t>海南铼富实业有限公司</t>
  </si>
  <si>
    <t>海南昊智科达安全科技有限公司</t>
  </si>
  <si>
    <t>海南无忧之旅文化有限公司</t>
  </si>
  <si>
    <t>大美文化（海南）有限公司</t>
  </si>
  <si>
    <t>海口新霖文化传媒有限公司</t>
  </si>
  <si>
    <t>海南番荔枝文化传媒有限公司</t>
  </si>
  <si>
    <t>海南超凡益柏文化传媒有限公司</t>
  </si>
  <si>
    <t>海南省汉元素文创有限公司</t>
  </si>
  <si>
    <t>熊焱国际演艺经纪（海南）有限公司</t>
  </si>
  <si>
    <t>海南美丽乡村旅游开发有限公司</t>
  </si>
  <si>
    <t>水发海洋（海南）有限公司</t>
  </si>
  <si>
    <t>海南海捷聚力实业有限公司</t>
  </si>
  <si>
    <t>海南艺鸿文化传媒有限公司</t>
  </si>
  <si>
    <t>海南羽兮文化传媒有限公司</t>
  </si>
  <si>
    <t>海南省凯源盛视文化传媒有限公司</t>
  </si>
  <si>
    <t>海南幸弗院落文化有限公司</t>
  </si>
  <si>
    <t>海南金硕文化传播有限公司</t>
  </si>
  <si>
    <t>海南炽龙棠文化传媒有限公司</t>
  </si>
  <si>
    <t>海南精诚文化传媒有限公司</t>
  </si>
  <si>
    <t>海南海牛文化传媒有限公司</t>
  </si>
  <si>
    <t>海南旺嘉文化传媒有限公司</t>
  </si>
  <si>
    <t>海南万鼎文化传媒有限公司</t>
  </si>
  <si>
    <t>海南晨锦文化传播有限公司</t>
  </si>
  <si>
    <t>海南艺方文化传媒有限公司</t>
  </si>
  <si>
    <t>海口市佳烽木材加工有限公司</t>
  </si>
  <si>
    <t>密道品选（海南）文化传媒有限公司</t>
  </si>
  <si>
    <t>海南三三酒业有限责任公司</t>
  </si>
  <si>
    <t>海南久禾生态环保有限公司</t>
  </si>
  <si>
    <t>海南睿扬汽车服务有限公司</t>
  </si>
  <si>
    <t>海南潮悦时代文化传播有限公司</t>
  </si>
  <si>
    <t>蜂果娱乐（海南）有限公司</t>
  </si>
  <si>
    <t>海南奕柯文化传媒有限公司</t>
  </si>
  <si>
    <t>海南久久饼业有限公司</t>
  </si>
  <si>
    <t>海南荣昕文化传媒有限公司</t>
  </si>
  <si>
    <t>中域建设（海南）有限公司</t>
  </si>
  <si>
    <t>四立有为（海南）文化传媒有限公司</t>
  </si>
  <si>
    <t>海南耀扬文化传媒有限公司</t>
  </si>
  <si>
    <t>海南媛一文化传播有限公司</t>
  </si>
  <si>
    <t>海南亿丰文化传媒有限公司</t>
  </si>
  <si>
    <t>海南洪春文化传播有限公司</t>
  </si>
  <si>
    <t>海南嗨莱实业有限公司</t>
  </si>
  <si>
    <t>海南友健实业有限公司</t>
  </si>
  <si>
    <t>华文美亚（海南）文化传播有限责任公司</t>
  </si>
  <si>
    <t>海南同策以年文化传媒有限公司</t>
  </si>
  <si>
    <t>海南秦海腾实业有限公司</t>
  </si>
  <si>
    <t>海南凯思互动文化传媒有限公司</t>
  </si>
  <si>
    <t>海南新速度文化传媒有限公司</t>
  </si>
  <si>
    <t>海南常开心食品有限公司</t>
  </si>
  <si>
    <t>海南善成联合实业有限公司</t>
  </si>
  <si>
    <t>央广网文化传媒（海南）有限公司</t>
  </si>
  <si>
    <t>海南飞晟科技有限公司</t>
  </si>
  <si>
    <t>海南源聚网络科技有限公司</t>
  </si>
  <si>
    <t>唐小满（海南）食品有限公司</t>
  </si>
  <si>
    <t>海南新东南教育投资有限公司</t>
  </si>
  <si>
    <t>海口龙华康源滋补食品行</t>
  </si>
  <si>
    <t>海南省军明星文化传媒有限责任公司</t>
  </si>
  <si>
    <t>海南燕园工道实业发展有限公司</t>
  </si>
  <si>
    <t>海口龙华天雷印章服务部</t>
  </si>
  <si>
    <t>海南神州大地汽车服务有限公司</t>
  </si>
  <si>
    <t>海南省寅康食品有限责任公司</t>
  </si>
  <si>
    <t>海南泰美嘉企业服务有限公司</t>
  </si>
  <si>
    <t>海南惠客实业有限公司</t>
  </si>
  <si>
    <t>海南禧事汇文化传媒有限公司</t>
  </si>
  <si>
    <t>海南岩斛置业有限公司</t>
  </si>
  <si>
    <t>海南新艺佳印章服务有限公司</t>
  </si>
  <si>
    <t>海南湾湾食品有限公司</t>
  </si>
  <si>
    <t>海南荣彩文化艺术有限公司</t>
  </si>
  <si>
    <t>海南省沿海旅游开发有限公司</t>
  </si>
  <si>
    <t>海南嘉华高乐智能科技有限责任公司</t>
  </si>
  <si>
    <t>海南金永市政设施有限公司</t>
  </si>
  <si>
    <t>海南一屿文化传媒有限公司</t>
  </si>
  <si>
    <t>海口市枫泰安全技术有限公司</t>
  </si>
  <si>
    <t>海南佳佳乐名车服务有限公司</t>
  </si>
  <si>
    <t>海南奥亚医疗器械有限公司</t>
  </si>
  <si>
    <t>海南永悦彩钢夹芯板厂</t>
  </si>
  <si>
    <t>海口维京王啤酒制造有限公司</t>
  </si>
  <si>
    <t>海南伯旺科技有限公司</t>
  </si>
  <si>
    <t>海南贝万顺教育设备有限公司</t>
  </si>
  <si>
    <t>夸下（海口）文化传媒有限公司</t>
  </si>
  <si>
    <t>海口亿兴隆汽车维修有限公司</t>
  </si>
  <si>
    <t>海口龙华远惠床垫店</t>
  </si>
  <si>
    <t>海南聚光灯文化有限公司</t>
  </si>
  <si>
    <t>华亿国际文化传媒（海南）有限公司</t>
  </si>
  <si>
    <t>美丽城市（海南）旅游开发有限公司</t>
  </si>
  <si>
    <t>海南浩闯游乐设备有限公司</t>
  </si>
  <si>
    <t>海南卓驰进出口贸易有限公司</t>
  </si>
  <si>
    <t>海南时光文化教育科技有限公司</t>
  </si>
  <si>
    <t>三道合一（海南）文化传媒有限公司</t>
  </si>
  <si>
    <t>海口琼山英顺汽车维修服务中心</t>
  </si>
  <si>
    <t>海南普拉纳娱乐有限责任公司</t>
  </si>
  <si>
    <t>摩旅（海南）文化传播有限公司</t>
  </si>
  <si>
    <t>海南加德仕汽车科技有限公司</t>
  </si>
  <si>
    <t>海南椰椰果文化传媒有限公司</t>
  </si>
  <si>
    <t>中刚（海南）旅游开发有限公司</t>
  </si>
  <si>
    <t>海南西默照明科技有限公司</t>
  </si>
  <si>
    <t>陕西中力恒勘察设计有限公司海南分公司</t>
  </si>
  <si>
    <t>海南美唐实业有限公司</t>
  </si>
  <si>
    <t>海南蒙恩汽车救援服务有限公司</t>
  </si>
  <si>
    <t>中赢国际珠宝进出口（海南）有限公司</t>
  </si>
  <si>
    <t>海南柒壹文化传播有限公司</t>
  </si>
  <si>
    <t>中芯光电（海南）有限公司</t>
  </si>
  <si>
    <t>海南福俊通信设备制造有限公司</t>
  </si>
  <si>
    <t>海南百冠科技贸易有限公司</t>
  </si>
  <si>
    <t>福建华景建筑设计院有限公司海南第一分公司</t>
  </si>
  <si>
    <t>海南恒诚发贸易有限公司</t>
  </si>
  <si>
    <t>海南飞鱼互动文化传播有限公司</t>
  </si>
  <si>
    <t>海南学而思文化有限公司</t>
  </si>
  <si>
    <t>海南宝心实业有限公司</t>
  </si>
  <si>
    <t>海南格蕾斯文化传媒有限责任公司</t>
  </si>
  <si>
    <t>布之冠良品窗帘（海口）有限公司</t>
  </si>
  <si>
    <t>海南省海合龙祥文化传媒有限公司</t>
  </si>
  <si>
    <t>中外建（海南）文旅发展有限公司</t>
  </si>
  <si>
    <t>海南娜娜潮童文化传媒有限公司</t>
  </si>
  <si>
    <t>海南缪斯文化传媒有限公司</t>
  </si>
  <si>
    <t>谦升泰控股集团（海南）有限公司</t>
  </si>
  <si>
    <t>海南鹏海旅游文化有限公司</t>
  </si>
  <si>
    <t>海南鹏华文化传播有限公司</t>
  </si>
  <si>
    <t>海南皖裕农业科技有限公司</t>
  </si>
  <si>
    <t>海南卡洛文化传播有限公司</t>
  </si>
  <si>
    <t>海口瑞博园林工程有限公司</t>
  </si>
  <si>
    <t>海南道缘进出口贸易有限公司</t>
  </si>
  <si>
    <t>海南意和珠宝有限公司</t>
  </si>
  <si>
    <t>海南健安环保科技有限公司</t>
  </si>
  <si>
    <t>海南弘道珠宝有限公司</t>
  </si>
  <si>
    <t>海南苏富比珠宝有限公司</t>
  </si>
  <si>
    <t>海南安园文化传媒有限公司</t>
  </si>
  <si>
    <t>海南嘉驰方舟文化经纪有限公司</t>
  </si>
  <si>
    <t>海南省金牛养车服务有限公司</t>
  </si>
  <si>
    <t>海口瑞新生实业有限公司</t>
  </si>
  <si>
    <t>海南与梵文化传媒有限公司</t>
  </si>
  <si>
    <t>海南中霖椰子产业有限公司</t>
  </si>
  <si>
    <t>海南千涵文化传媒有限责任公司</t>
  </si>
  <si>
    <t>海南酵一酵生物技术研发有限公司</t>
  </si>
  <si>
    <t>海南佳讯文化传媒有限公司</t>
  </si>
  <si>
    <t>海口成鹫实业有限公司</t>
  </si>
  <si>
    <t>海南创未来文化传媒有限公司</t>
  </si>
  <si>
    <t>海口市众秀文化传播有限公司</t>
  </si>
  <si>
    <t>海南崇德里文化传播工作室</t>
  </si>
  <si>
    <t>海南兴诚进出口贸易有限公司</t>
  </si>
  <si>
    <t>海南凯泽文化传媒有限公司</t>
  </si>
  <si>
    <t>海南微星电子科技有限公司</t>
  </si>
  <si>
    <t>海南词达译网络科技有限责任公司</t>
  </si>
  <si>
    <t>广西建荣工程项目管理有限公司海南分公司</t>
  </si>
  <si>
    <t>星航科技（海南）有限公司</t>
  </si>
  <si>
    <t>海口诚利千代文化传媒有限公司</t>
  </si>
  <si>
    <t>海南龙之星汽车俱乐部有限公司</t>
  </si>
  <si>
    <t>海南星联臣餐饮娱乐有限公司</t>
  </si>
  <si>
    <t>海南海拓清环境治理有限公司</t>
  </si>
  <si>
    <t>海南鑫德生态农业开发有限公司</t>
  </si>
  <si>
    <t>海口诶咯文化有限责任公司</t>
  </si>
  <si>
    <t>海南舒苒实业有限公司</t>
  </si>
  <si>
    <t>海南民礼文化传媒有限公司</t>
  </si>
  <si>
    <t>海南心如文化传播有限公司</t>
  </si>
  <si>
    <t>海南荣旭空调机电工程有限公司</t>
  </si>
  <si>
    <t>海南满庭芳旅游开发有限公司</t>
  </si>
  <si>
    <t>海口秀英欣远程单车行商店</t>
  </si>
  <si>
    <t>海口美兰天火电器点</t>
  </si>
  <si>
    <t>海南王品造物文化传媒有限公司</t>
  </si>
  <si>
    <t>海南水泽生态环境科技有限公司</t>
  </si>
  <si>
    <t>海南伊车新尚汽车管理有限公司</t>
  </si>
  <si>
    <t>海南经济特区三众亚太文化传媒有限公司</t>
  </si>
  <si>
    <t>海南大牛娱乐文化传媒有限公司</t>
  </si>
  <si>
    <t>海南卓特科技有限公司</t>
  </si>
  <si>
    <t>海口姣点文化传媒科技有限公司</t>
  </si>
  <si>
    <t>海南花容燕大健康产业发展有限公司</t>
  </si>
  <si>
    <t>海南黔航旅游开发有限公司</t>
  </si>
  <si>
    <t>海南格局广告有限公司</t>
  </si>
  <si>
    <t>海口成发木业有限公司</t>
  </si>
  <si>
    <t>海南睿久天成文化有限公司</t>
  </si>
  <si>
    <t>海南富而喜悦文化传播有限公司</t>
  </si>
  <si>
    <t>海南聚仁文化传媒有限公司</t>
  </si>
  <si>
    <t>海南吴丞烽哲学密码文化有限公司</t>
  </si>
  <si>
    <t>海南名媛国韵文化传播有限公司</t>
  </si>
  <si>
    <t>海南好车居汽车服务有限公司</t>
  </si>
  <si>
    <t>海南瑞升田智慧城市服务有限公司</t>
  </si>
  <si>
    <t>海南途迹文化科技有限公司</t>
  </si>
  <si>
    <t>骏博（海南）文体竞技管理有限公司</t>
  </si>
  <si>
    <t>海南锦德源环境科技有限责任公司</t>
  </si>
  <si>
    <t>海南云学堂文化传播有限公司</t>
  </si>
  <si>
    <t>海南余氏正隆石材有限公司</t>
  </si>
  <si>
    <t>海南雅途旅游开发有限公司</t>
  </si>
  <si>
    <t>乐享未来（海南）文化产业有限公司</t>
  </si>
  <si>
    <t>海南白海驹环保科技有限责任公司</t>
  </si>
  <si>
    <t>海南娱懿文化有限公司</t>
  </si>
  <si>
    <t>海南桂城汽车维修有限公司</t>
  </si>
  <si>
    <t>海南创智慧文化传媒有限公司</t>
  </si>
  <si>
    <t>海南海龙汽车服务合伙企业（有限合伙）</t>
  </si>
  <si>
    <t>海南昌峰文化传播有限公司</t>
  </si>
  <si>
    <t>海南百炼文化传播有限公司</t>
  </si>
  <si>
    <t>海南艾科天羽建设有限责任公司</t>
  </si>
  <si>
    <t>维珍未来（海南）科创投资有限公司</t>
  </si>
  <si>
    <t>华彬芙丝（海南）饮料有限公司</t>
  </si>
  <si>
    <t>海南圣泽行集团有限公司</t>
  </si>
  <si>
    <t>海南金瑞通文化传媒有限公司</t>
  </si>
  <si>
    <t>海南省元隆雅图文化传播有限公司</t>
  </si>
  <si>
    <t>海南优游岛生态环境科技有限公司</t>
  </si>
  <si>
    <t>海南顾洪文化传播有限公司</t>
  </si>
  <si>
    <t>海南素霞文化传播有限公司</t>
  </si>
  <si>
    <t>海南极享家文化传媒有限公司</t>
  </si>
  <si>
    <t>海南空山新雨文化传媒有限公司</t>
  </si>
  <si>
    <t>海南国免汽车服务有限公司</t>
  </si>
  <si>
    <t>海南中升光电科技有限公司</t>
  </si>
  <si>
    <t>海南情绪文化传播有限公司</t>
  </si>
  <si>
    <t>海南华灏康养产业集团有限公司</t>
  </si>
  <si>
    <t>海南领辉文化有限公司</t>
  </si>
  <si>
    <t>海南新灿电子科技有限公司</t>
  </si>
  <si>
    <t>海南勤硕办公设备有限公司</t>
  </si>
  <si>
    <t>海南天泉堂水产有限公司</t>
  </si>
  <si>
    <t>海南金檬科技有限公司</t>
  </si>
  <si>
    <t>海南商禄文化有限公司</t>
  </si>
  <si>
    <t>哈工天愈（海南）机器人有限公司</t>
  </si>
  <si>
    <t>海南崇德里文化传媒合伙企业（有限合伙）</t>
  </si>
  <si>
    <t>金石实业（海南）有限公司</t>
  </si>
  <si>
    <t>海南莱孚斯本健康科技有限公司</t>
  </si>
  <si>
    <t>海南尚特汽车服务有限公司</t>
  </si>
  <si>
    <t>海口秀英金永利电动车配件批发店</t>
  </si>
  <si>
    <t>海南音虹文化传媒有限公司</t>
  </si>
  <si>
    <t>海南瀚鼎文化传媒有限公司</t>
  </si>
  <si>
    <t>海南鑫链娱乐服务有限公司</t>
  </si>
  <si>
    <t>海南攀流文化传播有限公司</t>
  </si>
  <si>
    <t>海南中恒汉政投资有限公司</t>
  </si>
  <si>
    <t>海口乡湾大致坡乡村旅游开发有限公司</t>
  </si>
  <si>
    <t>海口慧光科技发展有限公司</t>
  </si>
  <si>
    <t>海南昂林木业有限公司</t>
  </si>
  <si>
    <t>海南曼申投资有限公司</t>
  </si>
  <si>
    <t>海南亿胜达制冷设备有限公司</t>
  </si>
  <si>
    <t>海口龙华东宜信雄维修店</t>
  </si>
  <si>
    <t>海南芙蓉阁餐饮管理有限公司</t>
  </si>
  <si>
    <t>海南博辰贸易有限公司</t>
  </si>
  <si>
    <t>海南嘉七文化传媒有限公司</t>
  </si>
  <si>
    <t>昊天天娱文化传媒（海南）有限公司</t>
  </si>
  <si>
    <t>飞浪（海南）游乐设备有限公司</t>
  </si>
  <si>
    <t>海南播播文化传媒有限公司</t>
  </si>
  <si>
    <t>莫比钨斯文化传播（海南）有限公司</t>
  </si>
  <si>
    <t>海口星旺汽车服务有限公司</t>
  </si>
  <si>
    <t>火山村野生植物保护园（海南）有限公司</t>
  </si>
  <si>
    <t>海口肉优食品有限公司</t>
  </si>
  <si>
    <t>海南鼎升文化传媒有限公司</t>
  </si>
  <si>
    <t>海口福泽水务咨询有限公司</t>
  </si>
  <si>
    <t>海南省农旅康养投资有限公司</t>
  </si>
  <si>
    <t>御德堂（海南）健康科技发展有限公司</t>
  </si>
  <si>
    <t>海南鑫艺隆园林工程有限公司</t>
  </si>
  <si>
    <t>海南摩登五象文化产业投资有限公司</t>
  </si>
  <si>
    <t>海南星益文化传媒有限公司</t>
  </si>
  <si>
    <t>海口琼山力泰机电技术中心</t>
  </si>
  <si>
    <t>海南夺浪文化传播有限公司</t>
  </si>
  <si>
    <t>海南海芸贸易有限公司</t>
  </si>
  <si>
    <t>海南碧源环保科技有限公司</t>
  </si>
  <si>
    <t>海南悦众文旅服务有限责任公司</t>
  </si>
  <si>
    <t>海口龙华陈敢刚工艺品加工店</t>
  </si>
  <si>
    <t>海口陶香园食品有限公司</t>
  </si>
  <si>
    <t>国风鸿运文化传媒（海南）有限公司</t>
  </si>
  <si>
    <t>海口美兰江海庭咖啡厅</t>
  </si>
  <si>
    <t>海南坤德润泽汽车服务有限公司</t>
  </si>
  <si>
    <t>海南蓝怡食品有限公司</t>
  </si>
  <si>
    <t>海南捌珍水产品加工厂</t>
  </si>
  <si>
    <t>海南一优文化传媒有限公司</t>
  </si>
  <si>
    <t>亚洲商务航空（海南）有限公司</t>
  </si>
  <si>
    <t>千悟（海南）文化旅游投资有限公司</t>
  </si>
  <si>
    <t>海口茅味基酒开发有限公司</t>
  </si>
  <si>
    <t>带你游（海南）休闲观光活动有限公司</t>
  </si>
  <si>
    <t>海南尚佳实业有限公司</t>
  </si>
  <si>
    <t>海口琼山欧印象家具店</t>
  </si>
  <si>
    <t>海南源润大发文化有限公司</t>
  </si>
  <si>
    <t>海南华启达车辆维修有限公司</t>
  </si>
  <si>
    <t>海南省星度文化传媒有限公司</t>
  </si>
  <si>
    <t>海南樊智文化传媒有限公司</t>
  </si>
  <si>
    <t>提斯克娱乐（海南）合伙企业（有限合伙）</t>
  </si>
  <si>
    <t>海南苗魅文体传媒有限公司</t>
  </si>
  <si>
    <t>海南千墨智能科技有限公司</t>
  </si>
  <si>
    <t>海口长宏汽车维修服务有限公司</t>
  </si>
  <si>
    <t>海南省好面子纸品有限公司</t>
  </si>
  <si>
    <t>海南阅博文化传媒有限公司</t>
  </si>
  <si>
    <t>海南诺言文化有限公司</t>
  </si>
  <si>
    <t>海口美兰区刻意美学文化工作室</t>
  </si>
  <si>
    <t>海南包星人皮具护理有限公司</t>
  </si>
  <si>
    <t>海南成丰食品有限公司</t>
  </si>
  <si>
    <t>海口龙华林清森木雕创作坊</t>
  </si>
  <si>
    <t>海口龙华红孩儿海黄工艺坊</t>
  </si>
  <si>
    <t>海口美兰言格摄影工作室</t>
  </si>
  <si>
    <t>海口龙华洒脱系文化工作室</t>
  </si>
  <si>
    <t>海南万多文化传媒有限公司</t>
  </si>
  <si>
    <t>海南丰兆生物科技有限公司</t>
  </si>
  <si>
    <t>海南伯乐房地产开发有限公司</t>
  </si>
  <si>
    <t>海口潮膜车坊汽车服务有限公司</t>
  </si>
  <si>
    <t>海口天呈临霄文化娱乐有限公司</t>
  </si>
  <si>
    <t>海南正庆华文化传媒有限公司</t>
  </si>
  <si>
    <t>盛世启航（海南）建设有限公司</t>
  </si>
  <si>
    <t>海南允硕服饰有限公司</t>
  </si>
  <si>
    <t>海南凯邦机电工程有限公司</t>
  </si>
  <si>
    <t>海胶（海南）智能科技有限责任公司</t>
  </si>
  <si>
    <t>海口美兰敏姐商行</t>
  </si>
  <si>
    <t>鸿通（海南）市政设施管理工程有限公司</t>
  </si>
  <si>
    <t>海南湘福兴生态科技有限公司</t>
  </si>
  <si>
    <t>海口市二轻工业（集团）总公司</t>
  </si>
  <si>
    <t>海南赢喆旅行社有限公司</t>
  </si>
  <si>
    <t>海南尚唯爱文化传播有限公司</t>
  </si>
  <si>
    <t>海南恒强汽车销售服务有限公司</t>
  </si>
  <si>
    <t>海口龙华米奇喵数码产品中心</t>
  </si>
  <si>
    <t>海南龙晟实业有限公司</t>
  </si>
  <si>
    <t>海南惠光休闲文化投资有限公司</t>
  </si>
  <si>
    <t>椰之美（海南）文化传播有限公司</t>
  </si>
  <si>
    <t>海南莎琳娜食品有限公司</t>
  </si>
  <si>
    <t>暹罗国际供应链（海南）有限公司</t>
  </si>
  <si>
    <t>海南一亩田休闲庄园有限公司</t>
  </si>
  <si>
    <t>海南涌涛达园林工程有限公司</t>
  </si>
  <si>
    <t>海南乐活万联科技有限公司</t>
  </si>
  <si>
    <t>海南海美杰食品有限公司</t>
  </si>
  <si>
    <t>海口丽缇贸易有限公司</t>
  </si>
  <si>
    <t>海南德聚仁合企业管理咨询有限公司</t>
  </si>
  <si>
    <t>陕西银盛合保安服务有限公司海南分公司</t>
  </si>
  <si>
    <t>海南火呗体育娱乐产业管理有限公司</t>
  </si>
  <si>
    <t>海南帅港新文化传媒有限公司</t>
  </si>
  <si>
    <t>中投城市建设集团（海南）有限公司</t>
  </si>
  <si>
    <t>海口小糯猪食品有限公司</t>
  </si>
  <si>
    <t>海南云长合文化旅游有限公司</t>
  </si>
  <si>
    <t>海南霸风汽车服务有限公司</t>
  </si>
  <si>
    <t>海神科技（海南经济特区）合伙企业（有限合伙）</t>
  </si>
  <si>
    <t>海口龙华捌玖库汽车服务中心</t>
  </si>
  <si>
    <t>海南省岭南产业发展集团有限公司</t>
  </si>
  <si>
    <t>海南椰城环保科技有限公司</t>
  </si>
  <si>
    <t>海南柒尚娱乐文化传媒有限公司</t>
  </si>
  <si>
    <t>海南新威达贸易有限公司</t>
  </si>
  <si>
    <t>海南融科文化传媒有限公司</t>
  </si>
  <si>
    <t>海南绿溪环保科技有限公司</t>
  </si>
  <si>
    <t>海南恒轩环境服务有限公司</t>
  </si>
  <si>
    <t>海口江东新区信玉坊珠宝有限公司</t>
  </si>
  <si>
    <t>海南鸿福兴木业有限公司</t>
  </si>
  <si>
    <t>海南蕴宏环境技术研究中心（有限合伙）</t>
  </si>
  <si>
    <t>海南诗琴文化工作室</t>
  </si>
  <si>
    <t>海南咔乐文化传媒有限公司</t>
  </si>
  <si>
    <t>海南超赞影视文化传媒有限公司</t>
  </si>
  <si>
    <t>海南德客汽车租赁有限公司</t>
  </si>
  <si>
    <t>海南拓新旅游开发有限公司</t>
  </si>
  <si>
    <t>海南佳人有约文化传播有限公司</t>
  </si>
  <si>
    <t>海口洛克音乐有限公司</t>
  </si>
  <si>
    <t>海南海康文化合伙企业（有限合伙）</t>
  </si>
  <si>
    <t>海南汇美雅实验设备有限公司</t>
  </si>
  <si>
    <t>海南汉星环保科技有限公司</t>
  </si>
  <si>
    <t>海南木友文化传媒有限公司</t>
  </si>
  <si>
    <t>天园文化传播（海口）有限公司</t>
  </si>
  <si>
    <t>招商投资集团（海南）有限公司</t>
  </si>
  <si>
    <t>人民之窗（海南）文化传媒有限公司</t>
  </si>
  <si>
    <t>海南龙记驴肉食品有限公司</t>
  </si>
  <si>
    <t>海南中景环境科技有限公司</t>
  </si>
  <si>
    <t>桦源环保科技（海南）有限公司</t>
  </si>
  <si>
    <t>道三（海南）文化传媒工作室</t>
  </si>
  <si>
    <t>海南勤盛汽车有限公司</t>
  </si>
  <si>
    <t>伍壹玖爱心俱乐部管理集团（海南）有限公司</t>
  </si>
  <si>
    <t>海南旅文发文化传播有限公司</t>
  </si>
  <si>
    <t>海南榴之味食品有限公司</t>
  </si>
  <si>
    <t>海南佳家乐互娱文化传媒有限公司</t>
  </si>
  <si>
    <t>海口各色文化传媒有限公司</t>
  </si>
  <si>
    <t>海南天闰餐饮娱乐有限公司</t>
  </si>
  <si>
    <t>海南辉烨实业有限公司</t>
  </si>
  <si>
    <t>海口嘉乐鹏程商贸有限公司</t>
  </si>
  <si>
    <t>海南源鸿汽车服务有限公司</t>
  </si>
  <si>
    <t>海南潮影文化传媒有限责任公司</t>
  </si>
  <si>
    <t>海南美美哒娱乐有限公司</t>
  </si>
  <si>
    <t>海南贵杰汽车有限公司</t>
  </si>
  <si>
    <t>海南合顺发水务有限公司</t>
  </si>
  <si>
    <t>海南九九文化传媒有限公司</t>
  </si>
  <si>
    <t>海南海牧鲜生贸易有限公司</t>
  </si>
  <si>
    <t>海南江星制冷工程有限公司</t>
  </si>
  <si>
    <t>海南雅致文化传媒有限公司</t>
  </si>
  <si>
    <t>海南意美文化传媒有限公司</t>
  </si>
  <si>
    <t>海南裕高汽车有限公司</t>
  </si>
  <si>
    <t>海南普达汽车有限公司</t>
  </si>
  <si>
    <t>海南源迪汽车有限公司</t>
  </si>
  <si>
    <t>玖洲尚影文化传媒（海南）有限公司</t>
  </si>
  <si>
    <t>凌瑞鑫文化传媒（海南）有限责任公司</t>
  </si>
  <si>
    <t>海南省宝翔汽修服务有限公司</t>
  </si>
  <si>
    <t>海南泰方进出口贸易有限公司</t>
  </si>
  <si>
    <t>海南鼎昀汽车有限公司</t>
  </si>
  <si>
    <t>海南国需贵金属投资有限公司</t>
  </si>
  <si>
    <t>海南修德金汽车养护有限公司</t>
  </si>
  <si>
    <t>存易风（海南）文化传媒有限公司</t>
  </si>
  <si>
    <t>海南艾星农副食品加工有限公司</t>
  </si>
  <si>
    <t>海南益田市政工程有限公司</t>
  </si>
  <si>
    <t>海南腾翔环保科技有限公司</t>
  </si>
  <si>
    <t>海南奥美文化传媒有限公司</t>
  </si>
  <si>
    <t>海南省空间生态研究院</t>
  </si>
  <si>
    <t>海口市嘉利达铖实业有限公司</t>
  </si>
  <si>
    <t>海南新座驾实业有限责任公司</t>
  </si>
  <si>
    <t>海南乐丰食品供应链有限公司</t>
  </si>
  <si>
    <t>海南紫之冰仪器设备科技有限公司</t>
  </si>
  <si>
    <t>海南白泽大健康产业学院</t>
  </si>
  <si>
    <t>海南国弘酒业有限公司</t>
  </si>
  <si>
    <t>海南奥群实业有限公司</t>
  </si>
  <si>
    <t>海南喜都六文化传播有限公司</t>
  </si>
  <si>
    <t>中矿投资集团（海南）有限公司</t>
  </si>
  <si>
    <t>海口市星杰娱乐有限公司</t>
  </si>
  <si>
    <t>海口碧盘文化传媒有限公司</t>
  </si>
  <si>
    <t>海南望琼阁娱乐有限公司</t>
  </si>
  <si>
    <t>海南省柯萱文化传媒有限责任公司</t>
  </si>
  <si>
    <t>海南谷米生态科技合伙企业（有限合伙）</t>
  </si>
  <si>
    <t>海南商之进出口贸易有限公司</t>
  </si>
  <si>
    <t>海南膳川旭实业有限公司</t>
  </si>
  <si>
    <t>海南省臻光实业发展有限公司</t>
  </si>
  <si>
    <t>海南耀通实业有限公司</t>
  </si>
  <si>
    <t>海南清道夫白蚁防治有限公司</t>
  </si>
  <si>
    <t>海南明晖文化体育传媒有限公司</t>
  </si>
  <si>
    <t>海南小隐文旅产业有限公司</t>
  </si>
  <si>
    <t>中安文（海南）文化传媒有限公司</t>
  </si>
  <si>
    <t>里仁（海南）文化传媒有限公司</t>
  </si>
  <si>
    <t>海南省星陆汽车服务有限公司</t>
  </si>
  <si>
    <t>海南兰竹文化传播有限公司</t>
  </si>
  <si>
    <t>海南天鹅到家家政服务有限公司</t>
  </si>
  <si>
    <t>中鼎安邦（海南）赛马会有限公司</t>
  </si>
  <si>
    <t>海南寒武纪文化传媒有限公司</t>
  </si>
  <si>
    <t>世纪星光（海南）文娱发展中心（有限合伙）</t>
  </si>
  <si>
    <t>海南中腾实业有限公司</t>
  </si>
  <si>
    <t>隆祥控股（海南）有限公司</t>
  </si>
  <si>
    <t>海南鑫辉源环保科技有限公司</t>
  </si>
  <si>
    <t>海南禾涵文化传媒有限公司</t>
  </si>
  <si>
    <t>海南财叔漫联娱乐有限公司</t>
  </si>
  <si>
    <t>海南卓臻文化传媒有限公司</t>
  </si>
  <si>
    <t>中叶茂建设集团（海南）有限公司</t>
  </si>
  <si>
    <t>海口市壹佳食品有限公司</t>
  </si>
  <si>
    <t>联凯易通（海南）实业发展有限公司</t>
  </si>
  <si>
    <t>海南泓顺实业有限公司</t>
  </si>
  <si>
    <t>海南格林凯瑞环境科技有限公司</t>
  </si>
  <si>
    <t>海南盈创实业有限公司</t>
  </si>
  <si>
    <t>海南一琼智能装备有限公司</t>
  </si>
  <si>
    <t>海口龙华洪利娱乐厅</t>
  </si>
  <si>
    <t>海南翘楚商贸有限公司</t>
  </si>
  <si>
    <t>海口茂贵餐饮管理有限公司</t>
  </si>
  <si>
    <t>陕西天天欧姆新能源有限公司海南分公司</t>
  </si>
  <si>
    <t>海环软膜环保科技（海南）有限公司</t>
  </si>
  <si>
    <t>海南万世通俱乐部娱乐有限公司</t>
  </si>
  <si>
    <t>海南青年创业互联网平台有限公司</t>
  </si>
  <si>
    <t>海南阡旭旅游开发有限公司</t>
  </si>
  <si>
    <t>海南名宝文化传媒有限公司</t>
  </si>
  <si>
    <t>中招建大实业（海南）有限公司</t>
  </si>
  <si>
    <t>国怡教育设备（海南）有限公司</t>
  </si>
  <si>
    <t>海口美兰金远见电脑商行</t>
  </si>
  <si>
    <t>海南华逸娱乐有限公司</t>
  </si>
  <si>
    <t>海南领航环保科技有限公司</t>
  </si>
  <si>
    <t>海南联泉水务有限公司</t>
  </si>
  <si>
    <t>一亩三分田（海南）旅游开发有限公司</t>
  </si>
  <si>
    <t>海南红蓝绿休闲产业有限责任公司</t>
  </si>
  <si>
    <t>海南金博凯汽车服务有限公司</t>
  </si>
  <si>
    <t>海南大喇叭文化传播有限公司</t>
  </si>
  <si>
    <t>海南省蓝道娱乐场（个人独资）</t>
  </si>
  <si>
    <t>海南悦目旅游开发有限公司</t>
  </si>
  <si>
    <t>海南艾尚异都旅游开发有限公司</t>
  </si>
  <si>
    <t>庆博（海南）环境科技咨询有限公司</t>
  </si>
  <si>
    <t>民法社海南文化传媒有限公司</t>
  </si>
  <si>
    <t>海南佰通实业发展有限公司</t>
  </si>
  <si>
    <t>海口龙华汇友车服汽车美容中心</t>
  </si>
  <si>
    <t>海南智云印图文服务有限公司</t>
  </si>
  <si>
    <t>海南慈善源文化传媒有限公司</t>
  </si>
  <si>
    <t>海南一鑫汽车服务有限公司</t>
  </si>
  <si>
    <t>海南福和顺食品有限公司</t>
  </si>
  <si>
    <t>成红食品（海南）有限公司</t>
  </si>
  <si>
    <t>海口市康宏博汽车服务有限公司</t>
  </si>
  <si>
    <t>海南鑫蕊泉休闲旅游康养有限公司</t>
  </si>
  <si>
    <t>丰收颂歌（海南）文化传播有限责任公司</t>
  </si>
  <si>
    <t>海口市弘扬晏实业有限公司</t>
  </si>
  <si>
    <t>海南品房网科技有限公司</t>
  </si>
  <si>
    <t>卓越科技生态（海南）有限公司</t>
  </si>
  <si>
    <t>海南壹零文化投资有限公司</t>
  </si>
  <si>
    <t>海南金亿娱乐有限公司</t>
  </si>
  <si>
    <t>海南叁星文化传媒有限公司</t>
  </si>
  <si>
    <t>海南啊坞文化传播有限公司</t>
  </si>
  <si>
    <t>海口天鹅湖动物园管理有限公司</t>
  </si>
  <si>
    <t>海南省三铭汽车服务有限公司</t>
  </si>
  <si>
    <t>海口和光文化有限公司</t>
  </si>
  <si>
    <t>海南米库文化传播有限公司</t>
  </si>
  <si>
    <t>海南玩呀文化传媒有限公司</t>
  </si>
  <si>
    <t>海南九一电子科技有限公司</t>
  </si>
  <si>
    <t>海南锦世东进出口贸易有限责任公司</t>
  </si>
  <si>
    <t>南药世博（海南）旅游开发有限责任公司</t>
  </si>
  <si>
    <t>海南城主网络科技有限公司</t>
  </si>
  <si>
    <t>海南鲸池文化传媒有限公司</t>
  </si>
  <si>
    <t>海口奕可文化传媒有限公司</t>
  </si>
  <si>
    <t>海口鸿赫商贸有限公司</t>
  </si>
  <si>
    <t>海南琼菜王酒店管理有限责任公司</t>
  </si>
  <si>
    <t>海口琼山凯丰达办公家具加工厂</t>
  </si>
  <si>
    <t>海南名江防火门窗制造有限公司</t>
  </si>
  <si>
    <t>海口保税区金色稻田影视文化工作室</t>
  </si>
  <si>
    <t>众鑫同益文化传媒（海南）有限公司</t>
  </si>
  <si>
    <t>海口龙华艺飞扬通讯器材商行</t>
  </si>
  <si>
    <t>全景医疗康复管理（海南）有限公司</t>
  </si>
  <si>
    <t>琼崖红承（海南）教育科技发展有限公司</t>
  </si>
  <si>
    <t>海口美兰佳欣西点蛋糕店</t>
  </si>
  <si>
    <t>海南昌顺驾驶培训有限公司</t>
  </si>
  <si>
    <t>海南林安建投供应链管理有限公司</t>
  </si>
  <si>
    <t>海南美岛二手车行有限公司</t>
  </si>
  <si>
    <t>海南拾号文化传媒有限公司</t>
  </si>
  <si>
    <t>海南合创铂金汽车服务有限公司</t>
  </si>
  <si>
    <t>海南艾加科技有限公司</t>
  </si>
  <si>
    <t>海南省惠隆贸易有限公司</t>
  </si>
  <si>
    <t>真格文旅咨询管理（海南）有限公司</t>
  </si>
  <si>
    <t>海南慧德教育科技有限公司</t>
  </si>
  <si>
    <t>中普乐佳（海南）科技有限公司</t>
  </si>
  <si>
    <t>对话（海南）文化传媒有限公司</t>
  </si>
  <si>
    <t>大爱（海南）艺术品有限公司</t>
  </si>
  <si>
    <t>海南优享社管理运营有限公司</t>
  </si>
  <si>
    <t>海口龙华区索罗娱乐俱乐部</t>
  </si>
  <si>
    <t>云链科技（海南）有限公司</t>
  </si>
  <si>
    <t>海南利收文化有限公司</t>
  </si>
  <si>
    <t>海口肆意文化传媒有限公司</t>
  </si>
  <si>
    <t>海口桔柚文化传媒有限公司</t>
  </si>
  <si>
    <t>海南金维泓能源技术有限公司</t>
  </si>
  <si>
    <t>海南叁合文化传媒有限公司</t>
  </si>
  <si>
    <t>海南禧式文化传播有限公司</t>
  </si>
  <si>
    <t>海南旭瑞文化传播有限公司</t>
  </si>
  <si>
    <t>海南万泉婆食品科技有限公司</t>
  </si>
  <si>
    <t>海南亚琦防滑防护科技有限公司</t>
  </si>
  <si>
    <t>海南省赛狗娱乐有限公司</t>
  </si>
  <si>
    <t>海南海环生态发展合伙企业（有限合伙）</t>
  </si>
  <si>
    <t>海口琼山广大日用百货超市</t>
  </si>
  <si>
    <t>海南弘光文化有限公司</t>
  </si>
  <si>
    <t>国海文旅集团（海南）有限公司</t>
  </si>
  <si>
    <t>海南明钰珠宝有限公司</t>
  </si>
  <si>
    <t>缘铭珠宝（海南）有限公司</t>
  </si>
  <si>
    <t>海南省福缘祥游艇俱乐部有限公司</t>
  </si>
  <si>
    <t>海口市途海汽车服务有限公司</t>
  </si>
  <si>
    <t>海口琼山富誉门窗加工店</t>
  </si>
  <si>
    <t>海南源丰实业有限公司</t>
  </si>
  <si>
    <t>海南联美娱乐经纪人有限公司</t>
  </si>
  <si>
    <t>海南锦熙国际贸易有限公司</t>
  </si>
  <si>
    <t>海口铭鑫科技有限责任公司</t>
  </si>
  <si>
    <t>海南昼夜行随时随地道路救援有限公司</t>
  </si>
  <si>
    <t>海口祥文文化传媒有限公司</t>
  </si>
  <si>
    <t>海南祥富实业发展有限公司</t>
  </si>
  <si>
    <t>海口市诚和汽车养护有限公司</t>
  </si>
  <si>
    <t>海南英麦哲文化传媒有限公司</t>
  </si>
  <si>
    <t>海南中贸实业有限公司</t>
  </si>
  <si>
    <t>海南省直国学文化中心</t>
  </si>
  <si>
    <t>海南硕南果业有限公司</t>
  </si>
  <si>
    <t>海南臻粮米业有限公司</t>
  </si>
  <si>
    <t>海南秀意文化传播有限公司</t>
  </si>
  <si>
    <t>海南万粮米业有限公司</t>
  </si>
  <si>
    <t>海口鑫车之道汽车服务有限公司</t>
  </si>
  <si>
    <t>海南中琅文化传播有限公司</t>
  </si>
  <si>
    <t>海南精言文化科技发展有限公司</t>
  </si>
  <si>
    <t>海南艾蒙斯文化传媒有限公司</t>
  </si>
  <si>
    <t>海南戴得美珠宝有限公司</t>
  </si>
  <si>
    <t>天璇（海南）实业有限公司</t>
  </si>
  <si>
    <t>新车务（海南）汽车服务有限公司</t>
  </si>
  <si>
    <t>海口龙华良杰电动车行</t>
  </si>
  <si>
    <t>海口爱慕绒绒文化有限公司</t>
  </si>
  <si>
    <t>海南究图文化传媒有限公司</t>
  </si>
  <si>
    <t>海南省谭淋汽车服务有限公司</t>
  </si>
  <si>
    <t>海口美兰空港吉耐斯航空发动机维修工程有限公司</t>
  </si>
  <si>
    <t>海南上善缘和文化有限公司</t>
  </si>
  <si>
    <t>海南海纳视界文化传媒有限公司</t>
  </si>
  <si>
    <t>海南瑞格乐实业有限公司</t>
  </si>
  <si>
    <t>海南世荣建设有限公司</t>
  </si>
  <si>
    <t>海南正祥实业有限公司</t>
  </si>
  <si>
    <t>德世珠宝（海南）有限公司</t>
  </si>
  <si>
    <t>海南老北铺食品有限公司</t>
  </si>
  <si>
    <t>王牌幕后（海南）娱乐经纪有限公司</t>
  </si>
  <si>
    <t>海口秀英区凯得林家具工作室</t>
  </si>
  <si>
    <t>海南铭投汽车销售服务有限公司</t>
  </si>
  <si>
    <t>力合科技（湖南）股份有限公司海南分公司</t>
  </si>
  <si>
    <t>海南康恩美健康产业有限公司</t>
  </si>
  <si>
    <t>中饮（海南经济特区）饮料有限公司</t>
  </si>
  <si>
    <t>海南豚星文化有限公司</t>
  </si>
  <si>
    <t>海南运鹏文化传媒有限公司</t>
  </si>
  <si>
    <t>海南省晟源环保科技有限责任公司</t>
  </si>
  <si>
    <t>海南良园文化合伙企业（有限合伙）</t>
  </si>
  <si>
    <t>海南省环泰环保服务有限责任公司</t>
  </si>
  <si>
    <t>中环投资集团（海南）有限公司</t>
  </si>
  <si>
    <t>海南乃粒文旅有限公司</t>
  </si>
  <si>
    <t>海南诚友实业有限公司</t>
  </si>
  <si>
    <t>海南椰乐美食品有限公司</t>
  </si>
  <si>
    <t>海南誉诚企业管理有限公司</t>
  </si>
  <si>
    <t>海南悦顺隆食品有限公司</t>
  </si>
  <si>
    <t>海南东元进出口贸易有限公司</t>
  </si>
  <si>
    <t>海南天诚兄弟科技有限公司</t>
  </si>
  <si>
    <t>海口琼山庞愉木板木业店</t>
  </si>
  <si>
    <t>海口火掠文化传媒有限公司</t>
  </si>
  <si>
    <t>海南经济特区四叶草文化传播有限责任公司</t>
  </si>
  <si>
    <t>海南清腾畅汽车服务有限公司</t>
  </si>
  <si>
    <t>海南灿烂商贸有限公司</t>
  </si>
  <si>
    <t>海南沃隆农业生态有限公司</t>
  </si>
  <si>
    <t>嘉贝（海南）文化旅游发展有限责任公司</t>
  </si>
  <si>
    <t>海南省星悦蓝电子商务有限公司</t>
  </si>
  <si>
    <t>海南宇德人力资源有限公司</t>
  </si>
  <si>
    <t>海南芊僖文化传媒有限公司</t>
  </si>
  <si>
    <t>海南省赏心模特经纪有限公司</t>
  </si>
  <si>
    <t>海南数字乡村产业发展中心（个人独资）</t>
  </si>
  <si>
    <t>海南灵华文化传播有限责任公司</t>
  </si>
  <si>
    <t>云夏盛季（海南）文化传媒有限公司</t>
  </si>
  <si>
    <t>海南荣创投资有限公司</t>
  </si>
  <si>
    <t>海南省龙硕文化传媒有限公司</t>
  </si>
  <si>
    <t>大爱（海南）酒业有限公司</t>
  </si>
  <si>
    <t>海南一口鲜食品有限公司</t>
  </si>
  <si>
    <t>海南美权净化设备装饰有限公司</t>
  </si>
  <si>
    <t>海口润名眼镜有限公司</t>
  </si>
  <si>
    <t>海南乐易发展文化传媒有限公司</t>
  </si>
  <si>
    <t>豆魔（海南）文创有限公司</t>
  </si>
  <si>
    <t>海南龙禧科技有限公司</t>
  </si>
  <si>
    <t>海南万博电子竞技有限公司</t>
  </si>
  <si>
    <t>海南省绿垦生态环保有限公司</t>
  </si>
  <si>
    <t>海南中博星娱文旅有限公司</t>
  </si>
  <si>
    <t>海口浩瀚娱乐有限公司</t>
  </si>
  <si>
    <t>海南省锋行汽车服务有限公司</t>
  </si>
  <si>
    <t>海南天琦文化传播有限公司</t>
  </si>
  <si>
    <t>海南鼎蓝水务智能设备制造有限公司</t>
  </si>
  <si>
    <t>海南磊昌食品坊（个人独资）</t>
  </si>
  <si>
    <t>海南裕和顺食品有限公司</t>
  </si>
  <si>
    <t>八方阁（海南）文化传媒有限公司</t>
  </si>
  <si>
    <t>海南金赢文化有限公司</t>
  </si>
  <si>
    <t>海南正华实业有限公司</t>
  </si>
  <si>
    <t>海南盛晨汽车维修服务有限公司</t>
  </si>
  <si>
    <t>海南椰津有味食品有限公司</t>
  </si>
  <si>
    <t>中润（海南）生态保护有限公司</t>
  </si>
  <si>
    <t>海南隆泰环保科技有限公司</t>
  </si>
  <si>
    <t>海南长旺源环保科技有限公司</t>
  </si>
  <si>
    <t>海南久绿环保有限公司</t>
  </si>
  <si>
    <t>海南勇上阁汽车服务有限公司</t>
  </si>
  <si>
    <t>海南战榔食品科技有限公司</t>
  </si>
  <si>
    <t>显扬智能实业（海南）有限公司</t>
  </si>
  <si>
    <t>海南昌铭木业有限公司</t>
  </si>
  <si>
    <t>中顺投资集团（海南）有限公司</t>
  </si>
  <si>
    <t>海南麒睿商旅服务有限公司</t>
  </si>
  <si>
    <t>海南车夫汇汽车服务有限公司</t>
  </si>
  <si>
    <t>海南荣鼎世纪生态科技有限公司</t>
  </si>
  <si>
    <t>海南文程远园林工程有限公司</t>
  </si>
  <si>
    <t>海南省肆拾玖坊酒业有限公司</t>
  </si>
  <si>
    <t>海南子昂文化有限公司</t>
  </si>
  <si>
    <t>海口新度汽车服务有限责任公司</t>
  </si>
  <si>
    <t>海南卓宇农旅科技发展有限公司</t>
  </si>
  <si>
    <t>科源环境科技（海南）有限公司</t>
  </si>
  <si>
    <t>海南新讯通信工程有限公司</t>
  </si>
  <si>
    <t>海南幻享文化传播有限公司</t>
  </si>
  <si>
    <t>海南依木文化传播有限公司</t>
  </si>
  <si>
    <t>海南枫泾文化传媒有限公司</t>
  </si>
  <si>
    <t>海南其大海钓俱乐部有限公司</t>
  </si>
  <si>
    <t>海南满顺百汽车服务有限公司</t>
  </si>
  <si>
    <t>海南旺同宏汽车服务有限公司</t>
  </si>
  <si>
    <t>海口咕咚酒业有限公司</t>
  </si>
  <si>
    <t>海口市桦运汽车服务有限公司</t>
  </si>
  <si>
    <t>海南裕文食品有限公司</t>
  </si>
  <si>
    <t>海南捷能通教育科技有限公司</t>
  </si>
  <si>
    <t>海南天驰汽车服务有限公司</t>
  </si>
  <si>
    <t>海南唐乾古建新型建材有限公司</t>
  </si>
  <si>
    <t>中软控股集团（海南）有限公司</t>
  </si>
  <si>
    <t>海南芝源商贸有限责任公司</t>
  </si>
  <si>
    <t>逍遥搏士（海南）文化传播有限公司</t>
  </si>
  <si>
    <t>海南源声地带文化传播有限公司</t>
  </si>
  <si>
    <t>海南省中唐文化传播有限公司</t>
  </si>
  <si>
    <t>海南仟创图文广告有限公司</t>
  </si>
  <si>
    <t>海南省财税管理服务有限公司</t>
  </si>
  <si>
    <t>海南中八力文化传媒有限公司</t>
  </si>
  <si>
    <t>海口秀英远航顺达汽车维修服务中心</t>
  </si>
  <si>
    <t>海南泓创文化传播有限公司</t>
  </si>
  <si>
    <t>海南璀璨文化传播有限公司</t>
  </si>
  <si>
    <t>海南南粤文化传播有限公司</t>
  </si>
  <si>
    <t>海南茶和茶文化有限公司</t>
  </si>
  <si>
    <t>海南玖源天坤影视文化有限公司</t>
  </si>
  <si>
    <t>海南搜弥文化传播有限公司</t>
  </si>
  <si>
    <t>互遇（海南）电子竞技有限公司</t>
  </si>
  <si>
    <t>海南茜茜医疗科技有限公司</t>
  </si>
  <si>
    <t>海南恒嘉文化传媒有限公司</t>
  </si>
  <si>
    <t>海口微风文化传媒有限公司</t>
  </si>
  <si>
    <t>海南好有文化传媒有限公司</t>
  </si>
  <si>
    <t>海口诺润文化有限公司</t>
  </si>
  <si>
    <t>海南椰林阁乡村发展有限公司</t>
  </si>
  <si>
    <t>海南省腾丰汽车服务有限公司</t>
  </si>
  <si>
    <t>海南诚力衡器制造有限责任公司</t>
  </si>
  <si>
    <t>海南伊玳技术有限公司</t>
  </si>
  <si>
    <t>东革生物科技控股（海南）有限公司</t>
  </si>
  <si>
    <t>海南白马文化传媒有限公司</t>
  </si>
  <si>
    <t>海南努力做大做强文化有限公司</t>
  </si>
  <si>
    <t>海南趣朴文化有限公司</t>
  </si>
  <si>
    <t>海南壹柒壹柒文化传媒有限公司</t>
  </si>
  <si>
    <t>海口市卓尔珠宝有限公司</t>
  </si>
  <si>
    <t>百年绿谷液态灵芝饲料生产集团（海南）有限公司</t>
  </si>
  <si>
    <t>海南逸驰实业有限公司</t>
  </si>
  <si>
    <t>海口福和顺壹餐饮有限公司</t>
  </si>
  <si>
    <t>海南巨友文化传媒有限责任公司</t>
  </si>
  <si>
    <t>紫贝国际珠宝（海南）有限公司</t>
  </si>
  <si>
    <t>海南云能科技有限公司</t>
  </si>
  <si>
    <t>海南省德煌汽车服务有限公司</t>
  </si>
  <si>
    <t>海南万花文化传媒有限公司</t>
  </si>
  <si>
    <t>海南顺驰实业有限公司</t>
  </si>
  <si>
    <t>海口美兰香樟阁红木画框加工店</t>
  </si>
  <si>
    <t>海南南山不老松文化传播有限公司</t>
  </si>
  <si>
    <t>海南童梦秀文化传媒有限公司</t>
  </si>
  <si>
    <t>海南地道汉字文化有限公司</t>
  </si>
  <si>
    <t>海南包源记食品有限公司</t>
  </si>
  <si>
    <t>海南羊多多贸易有限公司</t>
  </si>
  <si>
    <t>海南吉利家实业有限公司</t>
  </si>
  <si>
    <t>海口森发汽车销售服务有限公司</t>
  </si>
  <si>
    <t>广西蓝泰建设发展有限公司海南分公司</t>
  </si>
  <si>
    <t>鑫泰屹（海南）进出口贸易有限公司</t>
  </si>
  <si>
    <t>海南伟航领业汽车有限公司</t>
  </si>
  <si>
    <t>海南可生高科技有限公司</t>
  </si>
  <si>
    <t>海南鸿盛源汽车服务有限公司</t>
  </si>
  <si>
    <t>海口美兰友艺图文广告店</t>
  </si>
  <si>
    <t>中贸港投资集团（海南）有限公司</t>
  </si>
  <si>
    <t>海南石连城香文化工作室（个人独资）</t>
  </si>
  <si>
    <t>海口猫岛文化有限公司</t>
  </si>
  <si>
    <t>海南芬芳翰林乡村产业发展有限公司</t>
  </si>
  <si>
    <t>海口市月弦食食品制造业有限公司</t>
  </si>
  <si>
    <t>海南途辉实业有限公司</t>
  </si>
  <si>
    <t>海南盛泰园林绿化有限公司</t>
  </si>
  <si>
    <t>布之冠窗帘（海南）有限公司</t>
  </si>
  <si>
    <t>岛莱坞（海南）文化有限公司</t>
  </si>
  <si>
    <t>海南川荣北汽车服务有限公司</t>
  </si>
  <si>
    <t>海口美兰公定点印章制作中心</t>
  </si>
  <si>
    <t>海南省三德文化传播有限公司</t>
  </si>
  <si>
    <t>海南铭丰木业有限公司</t>
  </si>
  <si>
    <t>金善（海南）珠宝有限公司</t>
  </si>
  <si>
    <t>海南省阳豪汽车服务有限公司</t>
  </si>
  <si>
    <t>海口龙华传香盒子音乐餐吧</t>
  </si>
  <si>
    <t>海南省汗鑫汽车服务有限公司</t>
  </si>
  <si>
    <t>海南豆信科技有限公司</t>
  </si>
  <si>
    <t>海南微鲸科技开发有限公司</t>
  </si>
  <si>
    <t>海南嘉竞酒店管理有限公司</t>
  </si>
  <si>
    <t>海南元点创想文化传播有限公司</t>
  </si>
  <si>
    <t>翎优（海南）科技有限公司</t>
  </si>
  <si>
    <t>海南众购国际贸易有限公司</t>
  </si>
  <si>
    <t>海南叁拾伽伊食光铺餐饮服务有限公司</t>
  </si>
  <si>
    <t>海南赢信贸易有限公司</t>
  </si>
  <si>
    <t>海南良师雅集文化传播有限公司</t>
  </si>
  <si>
    <t>海南伍贰壹文化传媒有限公司</t>
  </si>
  <si>
    <t>海南省隋月汽车服务有限公司</t>
  </si>
  <si>
    <t>海口智睿文化传播有限公司</t>
  </si>
  <si>
    <t>海南路途汽车维修有限公司</t>
  </si>
  <si>
    <t>史提芬永利娱乐（海南）有限公司</t>
  </si>
  <si>
    <t>拉斯维佳斯娱乐（海南）有限公司</t>
  </si>
  <si>
    <t>海南亨嘉乐食品有限公司</t>
  </si>
  <si>
    <t>海南卡之谜珠宝有限公司</t>
  </si>
  <si>
    <t>海南盛嘉文化传播有限公司</t>
  </si>
  <si>
    <t>海口佳岳文化传媒有限公司</t>
  </si>
  <si>
    <t>孚恩食品配料（海南）有限公司</t>
  </si>
  <si>
    <t>海口琼山瑞泰通工程机械维修中心</t>
  </si>
  <si>
    <t>海口龙华中环汽车服务中心</t>
  </si>
  <si>
    <t>海南鹏飞东彦汽车销售服务有限责任公司</t>
  </si>
  <si>
    <t>海口保税区雨为悦道影视文化工作室</t>
  </si>
  <si>
    <t>海南子衿文化传媒有限公司</t>
  </si>
  <si>
    <t>海南联众互动文化传媒有限公司</t>
  </si>
  <si>
    <t>海口琼山黄城林电机维修部</t>
  </si>
  <si>
    <t>紫金山影业（海南）有限公司</t>
  </si>
  <si>
    <t>海南弘壮智能科技有限公司</t>
  </si>
  <si>
    <t>海南乾成贸易有限公司</t>
  </si>
  <si>
    <t>华聚乡村发展（海南）有限公司</t>
  </si>
  <si>
    <t>海南莱雪文化传播合伙企业（有限合伙）</t>
  </si>
  <si>
    <t>海南以昆投资有限责任公司</t>
  </si>
  <si>
    <t>海南荣夏三三文化传媒有限公司</t>
  </si>
  <si>
    <t>海南嗨星文化传媒有限公司</t>
  </si>
  <si>
    <t>海南榆通救援清障有限公司</t>
  </si>
  <si>
    <t>华亿天诚（海南）会计服务有限公司</t>
  </si>
  <si>
    <t>海口美兰鑫海之星酱料厂</t>
  </si>
  <si>
    <t>浙江优美时尚服饰有限公司海口海达分公司</t>
  </si>
  <si>
    <t>海南壹润电子科技有限公司</t>
  </si>
  <si>
    <t>海口龙华李新杰木雕加工坊</t>
  </si>
  <si>
    <t>海口龙华何苗电池经销部</t>
  </si>
  <si>
    <t>元知智慧建设科技有限公司</t>
  </si>
  <si>
    <t>海南百李山生态农业有限公司</t>
  </si>
  <si>
    <t>大仲马文化传媒（海南）有限公司</t>
  </si>
  <si>
    <t>海南华盛瑞达科技发展有限公司</t>
  </si>
  <si>
    <t>海南隔壁街网络科技有限公司</t>
  </si>
  <si>
    <t>海南华诚信德实业有限公司</t>
  </si>
  <si>
    <t>海口金通和旅游开发有限公司</t>
  </si>
  <si>
    <t>国标碳储量与排放中和自然生态系统保护管理（海南）中心（个人独资）</t>
  </si>
  <si>
    <t>海南华怡香村文化传播有限公司</t>
  </si>
  <si>
    <t>海南省纹智汽车服务有限公司</t>
  </si>
  <si>
    <t>海南美房圈网络科技有限公司</t>
  </si>
  <si>
    <t>海南海口睿云建筑劳务有限责任公司</t>
  </si>
  <si>
    <t>海南乐澄文化传媒有限公司</t>
  </si>
  <si>
    <t>海南优享汽车贸易有限公司</t>
  </si>
  <si>
    <t>海南科海营养食品有限公司</t>
  </si>
  <si>
    <t>海南五源和园林工程有限公司</t>
  </si>
  <si>
    <t>海南晋云智能科技有限公司</t>
  </si>
  <si>
    <t>海南宏润智慧水务科技有限公司</t>
  </si>
  <si>
    <t>中盛产业发展集团（海南）有限公司</t>
  </si>
  <si>
    <t>中税科技（海南）有限公司</t>
  </si>
  <si>
    <t>海南奇洛宝贝儿童娱乐有限公司</t>
  </si>
  <si>
    <t>海南秦洪宇文化传媒有限公司</t>
  </si>
  <si>
    <t>海南角本文化传媒有限公司</t>
  </si>
  <si>
    <t>海南德润智远公关顾问有限公司</t>
  </si>
  <si>
    <t>海南科昂贸易有限公司</t>
  </si>
  <si>
    <t>海南王彪汽车修理服务有限公司</t>
  </si>
  <si>
    <t>海口美兰广味冷冻食品商行</t>
  </si>
  <si>
    <t>海南源锋文化传媒有限公司</t>
  </si>
  <si>
    <t>海南和峰悦商贸有限公司</t>
  </si>
  <si>
    <t>海南丰悦文化传播合伙企业（有限合伙）</t>
  </si>
  <si>
    <t>海南美源精酿酒业有限公司</t>
  </si>
  <si>
    <t>海口龙华良拾贝力思面包店</t>
  </si>
  <si>
    <t>海南启力通讯科技有限公司</t>
  </si>
  <si>
    <t>海口市集亿电子商务有限公司</t>
  </si>
  <si>
    <t>海南省冼祖婆食品有限公司</t>
  </si>
  <si>
    <t>海南大海豚汽车科技有限公司</t>
  </si>
  <si>
    <t>中润（海南）建工机械设备有限公司</t>
  </si>
  <si>
    <t>海口秀英黑骏马汽车服务中心</t>
  </si>
  <si>
    <t>海南米多奇娱乐有限公司</t>
  </si>
  <si>
    <t>海南省泷峰汽车服务有限公司</t>
  </si>
  <si>
    <t>海南高格出行服务有限公司</t>
  </si>
  <si>
    <t>海南慈爵文化传播合伙企业（有限合伙）</t>
  </si>
  <si>
    <t>海南聚丽文化传媒有限公司</t>
  </si>
  <si>
    <t>海南经济特区润珑文化科技有限公司</t>
  </si>
  <si>
    <t>海南赛凌节能防腐工程有限公司</t>
  </si>
  <si>
    <t>海南风雨同行汽车服务管理有限公司</t>
  </si>
  <si>
    <t>海南英诺维瑞实业有限公司</t>
  </si>
  <si>
    <t>海南申苏环境科技有限公司</t>
  </si>
  <si>
    <t>梦之旅（海南）旅游开发股份公司</t>
  </si>
  <si>
    <t>海口市排水泵站管理所</t>
  </si>
  <si>
    <t>海南源龙城建工程有限公司</t>
  </si>
  <si>
    <t>海南优鲜食品贸易有限公司</t>
  </si>
  <si>
    <t>海南省炬能实业有限公司</t>
  </si>
  <si>
    <t>海南三叶汽车有限公司</t>
  </si>
  <si>
    <t>广东工艺之家家居有限公司海南分公司</t>
  </si>
  <si>
    <t>海南凯升名车汽车服务有限公司</t>
  </si>
  <si>
    <t>海南辰禾国际会展服务有限公司</t>
  </si>
  <si>
    <t>海口美兰小红帽咖啡厅</t>
  </si>
  <si>
    <t>海口龙华永华华电动车商行</t>
  </si>
  <si>
    <t>海口龙华满邑粥面餐饮店</t>
  </si>
  <si>
    <t>海南速通汽车服务有限公司</t>
  </si>
  <si>
    <t>海南诚谊文化传媒有限公司</t>
  </si>
  <si>
    <t>海南海源丰窗饰有限公司</t>
  </si>
  <si>
    <t>海南康创无纺科技有限公司</t>
  </si>
  <si>
    <t>海口市枫羽科技有限公司</t>
  </si>
  <si>
    <t>海口秀英资星咨询服务工作室</t>
  </si>
  <si>
    <t>海南闳创实业有限公司</t>
  </si>
  <si>
    <t>海南晨宇文化传播有限责任公司</t>
  </si>
  <si>
    <t>海口一山树里文化传媒有限公司</t>
  </si>
  <si>
    <t>海南泓鹄酒业有限公司</t>
  </si>
  <si>
    <t>海南蓝水湾汽车服务有限公司</t>
  </si>
  <si>
    <t>海南钟声体育文化发展有限公司</t>
  </si>
  <si>
    <t>海南千灵智能科技有限公司</t>
  </si>
  <si>
    <t>海南文澜环保科技有限公司</t>
  </si>
  <si>
    <t>天荷（海南）生态环境有限公司</t>
  </si>
  <si>
    <t>发光轶文化传播（海南）有限责任公司</t>
  </si>
  <si>
    <t>海南天使之翼国际文化发展有限公司</t>
  </si>
  <si>
    <t>睿博光电（海南）有限责任公司</t>
  </si>
  <si>
    <t>海南雨慕文化传播合伙企业（有限合伙）</t>
  </si>
  <si>
    <t>海南省天赈裕民土壤改良工程集团有限公司</t>
  </si>
  <si>
    <t>海南伟达文化产业投资有限公司</t>
  </si>
  <si>
    <t>海南信凯润电子科技有限公司</t>
  </si>
  <si>
    <t>海南睿炎文化传播有限公司</t>
  </si>
  <si>
    <t>海口琼山小陶电器中心</t>
  </si>
  <si>
    <t>海南木本有源文化有限公司</t>
  </si>
  <si>
    <t>艺购国际文化发展有限公司</t>
  </si>
  <si>
    <t>海南本万飞跳伞有限公司</t>
  </si>
  <si>
    <t>海南青木瓜互娱文化有限公司</t>
  </si>
  <si>
    <t>海口新光映画文化传媒有限公司</t>
  </si>
  <si>
    <t>海口秀英区丰园达绿化管理部</t>
  </si>
  <si>
    <t>海南喧南文化传播合伙企业（有限合伙）</t>
  </si>
  <si>
    <t>美济食品（海南）有限公司</t>
  </si>
  <si>
    <t>海南谷雨艺人文化传播有限公司</t>
  </si>
  <si>
    <t>海南枥森文化有限责任公司</t>
  </si>
  <si>
    <t>上海博卡软件科技有限公司海南分公司</t>
  </si>
  <si>
    <t>至美文化（海南）有限公司</t>
  </si>
  <si>
    <t>海南永尚旅业有限公司</t>
  </si>
  <si>
    <t>宝奥菲乐（海南）医疗股份有限公司</t>
  </si>
  <si>
    <t>海南顺之达木业有限公司</t>
  </si>
  <si>
    <t>海南鸡毛信文化传播有限公司</t>
  </si>
  <si>
    <t>海南今昔文化传媒有限公司</t>
  </si>
  <si>
    <t>河南精工工程管理咨询有限公司海南分公司</t>
  </si>
  <si>
    <t>海南新后浪文化传媒有限公司</t>
  </si>
  <si>
    <t>海南黔晋文化传媒有限公司</t>
  </si>
  <si>
    <t>中域碧水（海南）环保科技有限公司</t>
  </si>
  <si>
    <t>海南和创智广文化传媒有限公司</t>
  </si>
  <si>
    <t>海南华坤实业有限公司</t>
  </si>
  <si>
    <t>海南汉明健康科技有限公司</t>
  </si>
  <si>
    <t>茂晟（海南）进出口贸易有限公司</t>
  </si>
  <si>
    <t>海南洁啸网络科技有限公司</t>
  </si>
  <si>
    <t>海口匠之道汽车维修服务有限公司</t>
  </si>
  <si>
    <t>海南成焦文化传媒有限公司</t>
  </si>
  <si>
    <t>恒星之城（海南）文化旅游有限公司</t>
  </si>
  <si>
    <t>海南瑞德森旅游服务有限公司</t>
  </si>
  <si>
    <t>海口丹馨食品研究开发有限公司</t>
  </si>
  <si>
    <t>海南合善国学文化传媒有限公司</t>
  </si>
  <si>
    <t>海南馋了么食品科技有限公司</t>
  </si>
  <si>
    <t>海南九宇之星餐饮娱乐管理合伙企业（有限合伙）</t>
  </si>
  <si>
    <t>海南盼达文化有限公司</t>
  </si>
  <si>
    <t>海南金涛门窗幕墙有限公司</t>
  </si>
  <si>
    <t>江河水务（海南）有限公司</t>
  </si>
  <si>
    <t>海南限丰汽车服务有限公司</t>
  </si>
  <si>
    <t>海南碧海园林工程有限公司</t>
  </si>
  <si>
    <t>海南省红火马星灿文化传媒有限公司</t>
  </si>
  <si>
    <t>海南星巢公寓管理有限公司</t>
  </si>
  <si>
    <t>瑞建东方环境建设（海南）有限公司</t>
  </si>
  <si>
    <t>海口美兰黄壮丰家电维修店</t>
  </si>
  <si>
    <t>杭州摩易网络科技有限公司海口分公司</t>
  </si>
  <si>
    <t>海南汇诺科技有限公司</t>
  </si>
  <si>
    <t>海南海口维之新汽车服务有限公司</t>
  </si>
  <si>
    <t>辰烁（海南）投资有限公司</t>
  </si>
  <si>
    <t>海南天乙汽车租赁科技有限公司</t>
  </si>
  <si>
    <t>海南袅袅科技有限公司</t>
  </si>
  <si>
    <t>海南中辉欢乐海滩休闲运动服务有限公司</t>
  </si>
  <si>
    <t>海口龙华徐新见工艺品商行</t>
  </si>
  <si>
    <t>海南天一星祥文化传播有限公司</t>
  </si>
  <si>
    <t>海南星际龙辉文化传媒有限责任公司</t>
  </si>
  <si>
    <t>海南海口洛烨智能设备工程有限公司</t>
  </si>
  <si>
    <t>海南万佳富文化传媒有限公司</t>
  </si>
  <si>
    <t>海南雨岑文化传播有限公司</t>
  </si>
  <si>
    <t>海南鑫来汽车租赁有限公司</t>
  </si>
  <si>
    <t>海南锦佳膜业有限公司</t>
  </si>
  <si>
    <t>海口鑫亿隆科技有限公司</t>
  </si>
  <si>
    <t>指尖灵动（海南）电子竞技有限公司</t>
  </si>
  <si>
    <t>海南柏业文化传播有限公司</t>
  </si>
  <si>
    <t>海南翔鹏文化有限公司</t>
  </si>
  <si>
    <t>中清阖源（海南）旅游开发有限公司</t>
  </si>
  <si>
    <t>海南飞鸟汽车救援有限公司</t>
  </si>
  <si>
    <t>海南喻涵君文化传媒有限公司</t>
  </si>
  <si>
    <t>海南狮子王技术有限公司</t>
  </si>
  <si>
    <t>海口德瑞健康管理服务有限责任公司</t>
  </si>
  <si>
    <t>海口明朗文化传媒有限公司</t>
  </si>
  <si>
    <t>海南智远城市开发运营有限公司</t>
  </si>
  <si>
    <t>世跆盟联合体育发展（海南）有限公司</t>
  </si>
  <si>
    <t>灰度中和文化（海南）有限公司</t>
  </si>
  <si>
    <t>中基投资集团（海南）有限公司</t>
  </si>
  <si>
    <t>海口魅力一百文化传媒网咖（个人独资）</t>
  </si>
  <si>
    <t>中帕国际文化旅游开发有限公司</t>
  </si>
  <si>
    <t>海南宸辉环境工程有限公司</t>
  </si>
  <si>
    <t>海口弘立财务咨询有限公司</t>
  </si>
  <si>
    <t>海南多易来食品有限公司</t>
  </si>
  <si>
    <t>大气文化传媒（海南）有限公司</t>
  </si>
  <si>
    <t>华寅工程造价咨询有限公司海南分公司</t>
  </si>
  <si>
    <t>海口梁玉玺清洁产品有限公司</t>
  </si>
  <si>
    <t>海南诺航汽车贸易有限公司</t>
  </si>
  <si>
    <t>海南微开科技有限公司</t>
  </si>
  <si>
    <t>海南科菲蒂那库瓦尼贸易有限公司</t>
  </si>
  <si>
    <t>海南好利旅游服务有限公司</t>
  </si>
  <si>
    <t>海南海口利志物资回收有限公司</t>
  </si>
  <si>
    <t>海南宝驰骏程汽车服务有限公司</t>
  </si>
  <si>
    <t>海南微笑汽车租赁服务有限公司</t>
  </si>
  <si>
    <t>海南名城旅居置业有限公司</t>
  </si>
  <si>
    <t>海南金贸国际电子商务中心有限公司</t>
  </si>
  <si>
    <t>海南信鑫汽车租赁有限公司</t>
  </si>
  <si>
    <t>北京宏源合正工程咨询有限公司海南省分公司</t>
  </si>
  <si>
    <t>海南省保清堂文化院</t>
  </si>
  <si>
    <t>海南嘉瑞源文化旅游有限公司</t>
  </si>
  <si>
    <t>海南丽妙来章文化传播有限公司</t>
  </si>
  <si>
    <t>海南纳轩世纪文化传媒有限公司</t>
  </si>
  <si>
    <t>海南琴城文化传媒有限公司</t>
  </si>
  <si>
    <t>海南后浪电子商务有限公司</t>
  </si>
  <si>
    <t>海南晶曼半导体材料有限公司</t>
  </si>
  <si>
    <t>海南辰恩文化传媒有限公司</t>
  </si>
  <si>
    <t>海南和成木业有限公司</t>
  </si>
  <si>
    <t>吾之艺珠宝（海口市）有限公司</t>
  </si>
  <si>
    <t>字节跳动（海南）娱乐有限公司</t>
  </si>
  <si>
    <t>海南探奇乐园文化传播有限公司</t>
  </si>
  <si>
    <t>海南博学美酒文化传播有限公司</t>
  </si>
  <si>
    <t>海南蓝精灵文化传播有限公司</t>
  </si>
  <si>
    <t>海南泓鑫文化传媒有限责任公司</t>
  </si>
  <si>
    <t>海南影加创意文化有限公司</t>
  </si>
  <si>
    <t>海南泛之源生态文化有限公司</t>
  </si>
  <si>
    <t>海口有宜网吧（个人独资）</t>
  </si>
  <si>
    <t>业朗（海南）文化产业集团有限公司</t>
  </si>
  <si>
    <t>期望幸福文化（海南）有限公司</t>
  </si>
  <si>
    <t>万鸿文旅产业（海南）有限公司</t>
  </si>
  <si>
    <t>中境生态环境（海南）有限公司</t>
  </si>
  <si>
    <t>海南宫悦文娱有限公司</t>
  </si>
  <si>
    <t>海南美孝旅游投资有限公司</t>
  </si>
  <si>
    <t>海南小司文化有限公司</t>
  </si>
  <si>
    <t>海南晋闻实业有限公司</t>
  </si>
  <si>
    <t>国度娱乐（海南）有限公司</t>
  </si>
  <si>
    <t>海南逸星拉丁文化传播有限公司</t>
  </si>
  <si>
    <t>海南建森智能科技有限公司</t>
  </si>
  <si>
    <t>妙绎奇缘（海南）文化传媒有限公司</t>
  </si>
  <si>
    <t>海口振发帆布制品有限公司</t>
  </si>
  <si>
    <t>海南悟东恒信文化传媒有限公司</t>
  </si>
  <si>
    <t>海南鑫友汽车服务有限公司</t>
  </si>
  <si>
    <t>海南向上艺术文化传播有限公司</t>
  </si>
  <si>
    <t>海南云川升腾文化有限公司</t>
  </si>
  <si>
    <t>海口琼韵文化传媒有限公司</t>
  </si>
  <si>
    <t>海南胜盐化工有限公司</t>
  </si>
  <si>
    <t>海南金雨食品有限公司</t>
  </si>
  <si>
    <t>海口大禾文化传媒有限公司</t>
  </si>
  <si>
    <t>海南科创环保科技有限公司</t>
  </si>
  <si>
    <t>海南星羿文化传媒有限公司</t>
  </si>
  <si>
    <t>海南军郡网络科技有限责任公司</t>
  </si>
  <si>
    <t>海南大云朵文化传媒有限公司</t>
  </si>
  <si>
    <t>海南仨点水文化传媒有限公司</t>
  </si>
  <si>
    <t>海南聚融博科技贸易有限公司</t>
  </si>
  <si>
    <t>海南三松文化传媒有限公司</t>
  </si>
  <si>
    <t>海南白格汽车有限公司</t>
  </si>
  <si>
    <t>海口赛梦特网吧（个人独资）</t>
  </si>
  <si>
    <t>海南定辉汽车销售有限公司</t>
  </si>
  <si>
    <t>海南拯救者汽车服务有限责任公司</t>
  </si>
  <si>
    <t>海口智咖洗车服务有限公司</t>
  </si>
  <si>
    <t>海南金图环保科技文化发展有限公司</t>
  </si>
  <si>
    <t>海口西嘻影视文化传媒有限公司</t>
  </si>
  <si>
    <t>海南默娘文化旅游发展有限公司</t>
  </si>
  <si>
    <t>海口龙华高达达家电配件商行</t>
  </si>
  <si>
    <t>天梦文化传媒（海南自贸区）有限公司</t>
  </si>
  <si>
    <t>海口保税区时光魔力文化传媒工作室</t>
  </si>
  <si>
    <t>海南坦瑞文化传播合伙企业（有限合伙）</t>
  </si>
  <si>
    <t>海口美兰三三瑜伽馆</t>
  </si>
  <si>
    <t>海口龙华每日添水娱乐工作室</t>
  </si>
  <si>
    <t>引领海南旅游开发有限公司</t>
  </si>
  <si>
    <t>海南碧霞宫文化有限公司</t>
  </si>
  <si>
    <t>鸿盛数字科技集团（海南）有限公司</t>
  </si>
  <si>
    <t>海南乐萌文化传媒有限公司</t>
  </si>
  <si>
    <t>中创发展集团（海南）有限公司</t>
  </si>
  <si>
    <t>海南中领旅业有限公司</t>
  </si>
  <si>
    <t>海南三淼环保科技有限公司</t>
  </si>
  <si>
    <t>海南烽归娱乐经纪有限公司</t>
  </si>
  <si>
    <t>海南诺金糖业有限公司</t>
  </si>
  <si>
    <t>九日山（海南）园林工程有限公司</t>
  </si>
  <si>
    <t>海南映晨食品有限公司</t>
  </si>
  <si>
    <t>海南粤婷胖子贸易有限公司</t>
  </si>
  <si>
    <t>海南泰乐文化传播有限公司</t>
  </si>
  <si>
    <t>海南金开酒业有限公司</t>
  </si>
  <si>
    <t>海口炫锋娱乐有限公司</t>
  </si>
  <si>
    <t>时代中安（北京）保安服务有限公司海南分公司</t>
  </si>
  <si>
    <t>海南利迎奥达贸易有限公司</t>
  </si>
  <si>
    <t>海南锐琪汽车销售服务有限公司</t>
  </si>
  <si>
    <t>海南鹏鹰创智信息科技有限公司</t>
  </si>
  <si>
    <t>海南叶永承农业科技有限公司</t>
  </si>
  <si>
    <t>海南天后文化旅游发展有限公司</t>
  </si>
  <si>
    <t>中商城市发展集团（海南）有限公司</t>
  </si>
  <si>
    <t>海口创绿家环保科技有限责任公司</t>
  </si>
  <si>
    <t>海南开利地毯有限公司</t>
  </si>
  <si>
    <t>海南海口宜博网吧活动俱乐部（个人独资）</t>
  </si>
  <si>
    <t>海南新非凡创意文化传媒有限公司</t>
  </si>
  <si>
    <t>小愿望文化传媒（海南）有限责任公司</t>
  </si>
  <si>
    <t>海南省创新投资集团有限公司</t>
  </si>
  <si>
    <t>海南鹧鸪茶饮料有限公司</t>
  </si>
  <si>
    <t>海南箜篌文化传媒有限公司</t>
  </si>
  <si>
    <t>海口清松娱乐有限责任公司</t>
  </si>
  <si>
    <t>海口星火红色文化传播有限公司</t>
  </si>
  <si>
    <t>海口美兰源鑫金声汽车维修中心</t>
  </si>
  <si>
    <t>探照灯文化传媒（海南）有限公司</t>
  </si>
  <si>
    <t>海南绿香园实业有限公司</t>
  </si>
  <si>
    <t>海南航辰科技有限公司</t>
  </si>
  <si>
    <t>海南塞斯文化传媒有限公司</t>
  </si>
  <si>
    <t>海南人创文化传媒有限公司</t>
  </si>
  <si>
    <t>海南乐学游乐设备有限公司</t>
  </si>
  <si>
    <t>酷达文化传媒（海南）有限公司</t>
  </si>
  <si>
    <t>海口龙华口口福香酥芝麻饼店</t>
  </si>
  <si>
    <t>海南新印联信息科技有限公司</t>
  </si>
  <si>
    <t>海口琼山徐荣华门业商行</t>
  </si>
  <si>
    <t>海南久诚华科科技管理合伙企业（有限合伙）</t>
  </si>
  <si>
    <t>海南追梦者文化传媒有限公司</t>
  </si>
  <si>
    <t>海南省沃牛商贸有限责任公司</t>
  </si>
  <si>
    <t>海南嘉信娱乐资源管理有限公司</t>
  </si>
  <si>
    <t>海口保税区顺瑞城文化工作室</t>
  </si>
  <si>
    <t>海南贝德纳智能装备有限公司</t>
  </si>
  <si>
    <t>安徽鼎信项目管理股份有限公司海南分公司</t>
  </si>
  <si>
    <t>海南觉德文化传播合伙企业（有限合伙）</t>
  </si>
  <si>
    <t>海南星球音乐文化传媒有限公司</t>
  </si>
  <si>
    <t>海口龙华佳鑫坊珠宝商行</t>
  </si>
  <si>
    <t>海南得瑞文化发展有限公司</t>
  </si>
  <si>
    <t>海南嘉艺园林工程有限公司</t>
  </si>
  <si>
    <t>海南恒顺进出口贸易有限公司</t>
  </si>
  <si>
    <t>海南源广进出口贸易有限公司</t>
  </si>
  <si>
    <t>海口美兰拾壹图文店</t>
  </si>
  <si>
    <t>海口金焕汽车贸易有限公司</t>
  </si>
  <si>
    <t>海口丰乐文化传播有限公司</t>
  </si>
  <si>
    <t>海南顺诚汽车服务有限公司</t>
  </si>
  <si>
    <t>海口爱搏有限公司</t>
  </si>
  <si>
    <t>海南渤林文化传媒有限公司</t>
  </si>
  <si>
    <t>海南易升缘蟾文化传播有限公司</t>
  </si>
  <si>
    <t>海南鑫环宇汽车服务有限责任公司</t>
  </si>
  <si>
    <t>海南欢生网络科技有限公司</t>
  </si>
  <si>
    <t>海南省昌凤汽车服务有限公司</t>
  </si>
  <si>
    <t>海南省姜瑾汽车服务有限公司</t>
  </si>
  <si>
    <t>海南黎草纪新生物科技有限公司</t>
  </si>
  <si>
    <t>海南晟濠环保科技有限公司</t>
  </si>
  <si>
    <t>海南铭晨文化传媒有限公司</t>
  </si>
  <si>
    <t>海南森派木业有限责任公司</t>
  </si>
  <si>
    <t>海南凤凰约定文化创意有限公司</t>
  </si>
  <si>
    <t>海南好品品木业有限公司</t>
  </si>
  <si>
    <t>海南新领域进出口贸易有限公司</t>
  </si>
  <si>
    <t>海南省车仕达实业有限公司</t>
  </si>
  <si>
    <t>爱旅行休闲娱乐（海南）有限责任公司</t>
  </si>
  <si>
    <t>海南印象食品有限公司</t>
  </si>
  <si>
    <t>海南豪艺文化传媒有限公司</t>
  </si>
  <si>
    <t>海南百亿文化传媒有限公司</t>
  </si>
  <si>
    <t>海南爱习致远文化传媒有限公司</t>
  </si>
  <si>
    <t>海南鑫光旅游开发有限责任公司</t>
  </si>
  <si>
    <t>海南顶一代驾汽车服务有限公司</t>
  </si>
  <si>
    <t>海南省福缘旅游开发有限公司</t>
  </si>
  <si>
    <t>海南世纪鸿语文化传媒有限公司</t>
  </si>
  <si>
    <t>海南省蚂蚁棋牌竞技俱乐部（个人独资）</t>
  </si>
  <si>
    <t>海口赫本文化传媒有限公司</t>
  </si>
  <si>
    <t>海南景辰房地产信息咨询有限责任公司</t>
  </si>
  <si>
    <t>海口豪诚汽车服务有限公司</t>
  </si>
  <si>
    <t>海口正咏庆包装服务有限公司</t>
  </si>
  <si>
    <t>海南省环投再生资源实业发展有限公司</t>
  </si>
  <si>
    <t>泛舟文旅集团（海南）有限公司</t>
  </si>
  <si>
    <t>海口美兰金莎婚纱馆</t>
  </si>
  <si>
    <t>海南晟世环保科技有限公司</t>
  </si>
  <si>
    <t>海南三品实业有限公司</t>
  </si>
  <si>
    <t>海南盛泰文化传媒有限公司</t>
  </si>
  <si>
    <t>海南岛屿酿酒股份有限公司</t>
  </si>
  <si>
    <t>海南恩光电子科技有限公司</t>
  </si>
  <si>
    <t>海南新联鑫环境艺术设计中心（有限合伙）</t>
  </si>
  <si>
    <t>曜星文化传媒（海南）有限公司</t>
  </si>
  <si>
    <t>海南广聚汇木业有限公司</t>
  </si>
  <si>
    <t>和谋天下投资控股（海南）有限公司</t>
  </si>
  <si>
    <t>海口市沐沐潜水服务有限公司</t>
  </si>
  <si>
    <t>海口锐思零创科技有限公司</t>
  </si>
  <si>
    <t>海口秀英文隆电动车行</t>
  </si>
  <si>
    <t>陕西西科电器有限公司海南分公司</t>
  </si>
  <si>
    <t>海口市必护汽车服务有限公司</t>
  </si>
  <si>
    <t>海南上车娱乐有限责任公司</t>
  </si>
  <si>
    <t>海南宏达环保设备有限公司</t>
  </si>
  <si>
    <t>海南金色芒果网络智能科技有限公司</t>
  </si>
  <si>
    <t>国促控股城乡产业链管理集团（海南）有限公司</t>
  </si>
  <si>
    <t>海南鼎晟能源设备制造有限公司</t>
  </si>
  <si>
    <t>海口旻珊文化传媒有限责任公司</t>
  </si>
  <si>
    <t>海南众元碳素科技有限公司</t>
  </si>
  <si>
    <t>海南一路村语文化传播有限公司</t>
  </si>
  <si>
    <t>海南酒蒙子阁楼探案馆娱乐有限公司</t>
  </si>
  <si>
    <t>海口龙华鸿日规划设计咨询工作室</t>
  </si>
  <si>
    <t>海口精诚好饮料有限公司</t>
  </si>
  <si>
    <t>海南村人文化有限公司</t>
  </si>
  <si>
    <t>棒棒哒（海南）文化娱乐有限公司</t>
  </si>
  <si>
    <t>海口琼山金盛信珠宝店</t>
  </si>
  <si>
    <t>海口星择文化传媒合伙企业（有限合伙）</t>
  </si>
  <si>
    <t>中能发展集团（海南）有限公司</t>
  </si>
  <si>
    <t>海口琼山爱嗨口音乐酒吧</t>
  </si>
  <si>
    <t>海口美兰陈冬文红木家具厂</t>
  </si>
  <si>
    <t>海口琼山区润城汽车用品商行</t>
  </si>
  <si>
    <t>海南宝狮龙实业有限公司</t>
  </si>
  <si>
    <t>深圳市大华勘测科技有限公司海口分公司</t>
  </si>
  <si>
    <t>海南珍宝进出口贸易有限责任公司</t>
  </si>
  <si>
    <t>海南博宏进出口贸易有限责任公司</t>
  </si>
  <si>
    <t>海口瑞麟金业珠宝有限公司</t>
  </si>
  <si>
    <t>海南省少儿娱乐有限公司</t>
  </si>
  <si>
    <t>海南裕康食品有限公司</t>
  </si>
  <si>
    <t>海口龙华王婷婷工艺品商行</t>
  </si>
  <si>
    <t>海口龙华华善金源旅租服务部</t>
  </si>
  <si>
    <t>杜康御泉酒业（海南）有限公司</t>
  </si>
  <si>
    <t>海南快哉歌文化传媒有限公司</t>
  </si>
  <si>
    <t>海南融鑫光电科技有限公司</t>
  </si>
  <si>
    <t>三番文化（海口）有限公司</t>
  </si>
  <si>
    <t>海口艾途儿童游乐有限责任公司</t>
  </si>
  <si>
    <t>海口希而顿娱乐有限公司</t>
  </si>
  <si>
    <t>听说文化传播（海口市）店（个人独资）</t>
  </si>
  <si>
    <t>海南乐奇文旅科技有限公司</t>
  </si>
  <si>
    <t>海南莲慧文化传播有限公司</t>
  </si>
  <si>
    <t>海口龙华英林西点工作室</t>
  </si>
  <si>
    <t>海南莺海通用航空有限公司</t>
  </si>
  <si>
    <t>海南霸科酒店管理有限公司</t>
  </si>
  <si>
    <t>海口龙华宏友信汽车养护中心</t>
  </si>
  <si>
    <t>海南容平蕴诚信息技术有限公司</t>
  </si>
  <si>
    <t>海口美兰青为贸易商行</t>
  </si>
  <si>
    <t>海南自贸区润来富咨询服务有限公司</t>
  </si>
  <si>
    <t>四川顺韵工程项目管理有限公司海南分公司</t>
  </si>
  <si>
    <t>海南朗琴文化传播有限公司</t>
  </si>
  <si>
    <t>同舟伟业（海南）文化传媒有限公司</t>
  </si>
  <si>
    <t>晟华（海南）投资有限公司</t>
  </si>
  <si>
    <t>海南航景科技有限公司</t>
  </si>
  <si>
    <t>海口汉语家园文化有限责任公司</t>
  </si>
  <si>
    <t>星巢（海南）文化产业有限公司</t>
  </si>
  <si>
    <t>海南佳信亨供应链管理有限公司</t>
  </si>
  <si>
    <t>海南韵生文化传媒有限公司</t>
  </si>
  <si>
    <t>河南正源建设工程监理有限公司海口分公司</t>
  </si>
  <si>
    <t>海南福源文化传媒有限公司</t>
  </si>
  <si>
    <t>海南鸿尚纺织有限公司</t>
  </si>
  <si>
    <t>臻享文化（海南）有限公司</t>
  </si>
  <si>
    <t>海南海创文化传媒有限公司</t>
  </si>
  <si>
    <t>高菲丽仕（海南）糕点烘培加盟店（个人独资）</t>
  </si>
  <si>
    <t>海口艺轩文化传媒有限公司</t>
  </si>
  <si>
    <t>海南奥利客食品有限公司</t>
  </si>
  <si>
    <t>海南福伽实业有限公司</t>
  </si>
  <si>
    <t>黄河工程咨询监理有限责任公司海南分公司</t>
  </si>
  <si>
    <t>海南扶摇文化有限责任公司</t>
  </si>
  <si>
    <t>海南林亮实业有限公司</t>
  </si>
  <si>
    <t>海南柏易园林工程有限公司</t>
  </si>
  <si>
    <t>玖玥晶英（海南）娱乐传媒有限公司</t>
  </si>
  <si>
    <t>承大之星文化传媒（海南）有限公司</t>
  </si>
  <si>
    <t>海口美兰欣文扬汽车修理厂</t>
  </si>
  <si>
    <t>海南奥斯卡演艺经纪有限公司</t>
  </si>
  <si>
    <t>海口琼山爱翠庭珠宝店</t>
  </si>
  <si>
    <t>海南领瑞文化传播合伙企业（有限合伙）</t>
  </si>
  <si>
    <t>海南玖玖洪海科技有限公司</t>
  </si>
  <si>
    <t>海南博灿文化传媒有限公司</t>
  </si>
  <si>
    <t>海南一博文化传播有限公司</t>
  </si>
  <si>
    <t>海南中洁哈工智能清洁设备有限公司</t>
  </si>
  <si>
    <t>海南嗨酷姆娱乐有限公司</t>
  </si>
  <si>
    <t>海南润童心文化传播有限公司</t>
  </si>
  <si>
    <t>国融（海南）文化传播有限公司</t>
  </si>
  <si>
    <t>海南福雅科技有限公司</t>
  </si>
  <si>
    <t>海口琼山鑫波赛冬科技服务部</t>
  </si>
  <si>
    <t>海南俞江文化传媒有限公司</t>
  </si>
  <si>
    <t>海南远涛实业有限公司</t>
  </si>
  <si>
    <t>海南滚滚来文化传媒有限公司</t>
  </si>
  <si>
    <t>海南致远学术交流中心（个人独资）</t>
  </si>
  <si>
    <t>海南龙耀实业有限公司</t>
  </si>
  <si>
    <t>海南鸿事达信息科技有限公司</t>
  </si>
  <si>
    <t>海口秀英军富汽车维修中心</t>
  </si>
  <si>
    <t>海南鸿之骏餐饮管理有限公司</t>
  </si>
  <si>
    <t>海南启鸣科技有限公司</t>
  </si>
  <si>
    <t>海南卓视无界文化传媒有限公司</t>
  </si>
  <si>
    <t>海南联越食品有限公司</t>
  </si>
  <si>
    <t>海南铭盛传媒有限公司</t>
  </si>
  <si>
    <t>海口芥子须弥文化传媒有限责任公司</t>
  </si>
  <si>
    <t>海南利贞文化有限公司</t>
  </si>
  <si>
    <t>海南量势新能源汽车销售服务有限公司</t>
  </si>
  <si>
    <t>海口龙华酒街音乐吧</t>
  </si>
  <si>
    <t>海南欧牛食品有限公司</t>
  </si>
  <si>
    <t>好麦滋（海南经济特区）进出口有限公司</t>
  </si>
  <si>
    <t>海南乡建投资有限公司</t>
  </si>
  <si>
    <t>四川中审华泰工程咨询有限公司海南分公司</t>
  </si>
  <si>
    <t>海南羽甄文旅有限公司</t>
  </si>
  <si>
    <t>海南大鹏飞翔自然资源国际集团有限公司</t>
  </si>
  <si>
    <t>海南泓忻文化有限公司</t>
  </si>
  <si>
    <t>海南润锦旅游投资开发有限公司</t>
  </si>
  <si>
    <t>海南龙博鑫科技有限公司</t>
  </si>
  <si>
    <t>中电投资发展集团（海南）有限公司</t>
  </si>
  <si>
    <t>海南龙行者旅游有限公司</t>
  </si>
  <si>
    <t>海南创奔辉煌电子科技有限公司</t>
  </si>
  <si>
    <t>海南凯越创新贸易有限公司</t>
  </si>
  <si>
    <t>海口鸿佳鑫贸易有限公司</t>
  </si>
  <si>
    <t>中贸港产业发展集团（海南）有限公司</t>
  </si>
  <si>
    <t>海南智恒文化传媒有限公司</t>
  </si>
  <si>
    <t>海南驰煦文化科技有限公司</t>
  </si>
  <si>
    <t>以莱工贸（海南）有限公司</t>
  </si>
  <si>
    <t>中城市政建设发展集团（海南）有限公司</t>
  </si>
  <si>
    <t>海口市汉昌电子科技有限公司</t>
  </si>
  <si>
    <t>中电产业集团（海南）有限公司</t>
  </si>
  <si>
    <t>海南童心会文化传播有限公司</t>
  </si>
  <si>
    <t>中视博海（海南）文旅产业有限公司</t>
  </si>
  <si>
    <t>国建（海南）碳中和技术有限公司</t>
  </si>
  <si>
    <t>海南承民文化传媒有限公司</t>
  </si>
  <si>
    <t>海南叶阳文化有限公司</t>
  </si>
  <si>
    <t>海南乘沣文化传播有限公司</t>
  </si>
  <si>
    <t>财金（海南）旅游开发有限公司</t>
  </si>
  <si>
    <t>海南悦凯娱乐有限公司</t>
  </si>
  <si>
    <t>中航天（海南）环境工程有限公司</t>
  </si>
  <si>
    <t>海南鑫合创水产股份有限公司</t>
  </si>
  <si>
    <t>山东瀚广建设项目管理有限公司海口分公司</t>
  </si>
  <si>
    <t>海南斯兰低碳投资有限公司</t>
  </si>
  <si>
    <t>海口美兰嘻舞堂街舞工作室</t>
  </si>
  <si>
    <t>海南昊元汽车服务集团有限公司</t>
  </si>
  <si>
    <t>海口龙华宏嘉招牌制作店</t>
  </si>
  <si>
    <t>海南东皮文化有限公司</t>
  </si>
  <si>
    <t>北京林淼生态环境技术有限公司海口分公司</t>
  </si>
  <si>
    <t>海南玉振文化旅游发展有限公司</t>
  </si>
  <si>
    <t>海南凤姨饼记食品有限公司</t>
  </si>
  <si>
    <t>好日影视制作（海南）有限公司</t>
  </si>
  <si>
    <t>海南博德轩文化有限公司</t>
  </si>
  <si>
    <t>悦来越好（海南）体育文化有限公司</t>
  </si>
  <si>
    <t>海南力合泰食品有限公司金鹿分公司</t>
  </si>
  <si>
    <t>海南森榆鹿林旅游开发有限公司</t>
  </si>
  <si>
    <t>海口畅通驾考汽车有限公司</t>
  </si>
  <si>
    <t>海口鸿海汽车服务有限公司</t>
  </si>
  <si>
    <t>海南磐石智能装备有限公司</t>
  </si>
  <si>
    <t>海南同辰汽车服务有限公司</t>
  </si>
  <si>
    <t>海口龙华邂逅风情精品旅店</t>
  </si>
  <si>
    <t>海南鹿鼎汽车服务有限公司</t>
  </si>
  <si>
    <t>海南蓝辰投资发展有限公司</t>
  </si>
  <si>
    <t>海南省城投能源集团有限公司</t>
  </si>
  <si>
    <t>老凤祥（海南）黄金珠宝时尚创意中心有限公司</t>
  </si>
  <si>
    <t>海南化蝶飞文化传媒有限责任公司</t>
  </si>
  <si>
    <t>海口盛瑞山食品有限公司</t>
  </si>
  <si>
    <t>海南三才珠宝有限公司</t>
  </si>
  <si>
    <t>海南椰乡园米业有限公司</t>
  </si>
  <si>
    <t>海南臻金展文化有限公司</t>
  </si>
  <si>
    <t>海南车聚惠商务有限公司</t>
  </si>
  <si>
    <t>海口百优特电子科技有限公司</t>
  </si>
  <si>
    <t>海南华民投资有限公司</t>
  </si>
  <si>
    <t>海口美兰康圣蒸笼加工店</t>
  </si>
  <si>
    <t>海南川淼汽车租赁有限公司</t>
  </si>
  <si>
    <t>海南骏鼎实业有限公司</t>
  </si>
  <si>
    <t>慧邦云财税科技（海南）有限公司</t>
  </si>
  <si>
    <t>海南金叶计算机网络有限公司</t>
  </si>
  <si>
    <t>号百信息服务（海南）有限公司</t>
  </si>
  <si>
    <t>健研检测集团有限公司海南分公司</t>
  </si>
  <si>
    <t>海南未来传媒有限公司</t>
  </si>
  <si>
    <t>中能发展建设集团（海南）有限公司</t>
  </si>
  <si>
    <t>海南碧清水处理科技有限公司</t>
  </si>
  <si>
    <t>海南省三农种业有限公司</t>
  </si>
  <si>
    <t>海南五指红农业科技发展有限公司国瑞城销售处</t>
  </si>
  <si>
    <t>中投国际发展集团（海南）有限公司</t>
  </si>
  <si>
    <t>北京简单到家家庭服务有限公司海口分公司</t>
  </si>
  <si>
    <t>海南省赫乐汽车服务有限公司</t>
  </si>
  <si>
    <t>海口魁斗文化有限公司</t>
  </si>
  <si>
    <t>海南米高食品有限公司</t>
  </si>
  <si>
    <t>海南星悦电子商务有限公司</t>
  </si>
  <si>
    <t>深圳市德政清洁服务有限公司海口分公司</t>
  </si>
  <si>
    <t>海南瞬吉文化传播有限公司</t>
  </si>
  <si>
    <t>海口秀英李木娣塑料回收加工厂</t>
  </si>
  <si>
    <t>开封百特流量仪表有限公司海南分公司</t>
  </si>
  <si>
    <t>海南鑫达丰电子商务有限公司</t>
  </si>
  <si>
    <t>海南晚风文化传媒有限公司</t>
  </si>
  <si>
    <t>海口云天聚墨文化传媒有限公司</t>
  </si>
  <si>
    <t>广州无忧到家电器维修服务有限公司海口分公司</t>
  </si>
  <si>
    <t>海南奇麦思科技有限公司</t>
  </si>
  <si>
    <t>海南省海能咨询服务合伙企业（有限合伙）</t>
  </si>
  <si>
    <t>海南众智汽车服务有限公司</t>
  </si>
  <si>
    <t>海南米丰食品有限公司</t>
  </si>
  <si>
    <t>成都一步到家电器维修服务有限公司海口分公司</t>
  </si>
  <si>
    <t>海南金海旅游开发有限公司</t>
  </si>
  <si>
    <t>海南友峰再生资源有限公司</t>
  </si>
  <si>
    <t>海南湘创环境科技有限公司</t>
  </si>
  <si>
    <t>海南赛因斯数字科技有限公司</t>
  </si>
  <si>
    <t>海口光感芯电子技术有限公司</t>
  </si>
  <si>
    <t>海口天创天娱文化传媒有限公司</t>
  </si>
  <si>
    <t>杭州青提信息技术服务有限公司海口分公司</t>
  </si>
  <si>
    <t>海南顺晖防护科技有限公司</t>
  </si>
  <si>
    <t>海南京石能源有限公司</t>
  </si>
  <si>
    <t>海口保税区岷城影视文化工作室</t>
  </si>
  <si>
    <t>海南乐朝汇娱乐有限公司</t>
  </si>
  <si>
    <t>海口珉昌智研科技有限责任公司</t>
  </si>
  <si>
    <t>海南速八实业有限公司</t>
  </si>
  <si>
    <t>海南陵都文化传媒有限公司</t>
  </si>
  <si>
    <t>海南派卓科技有限公司</t>
  </si>
  <si>
    <t>海口翼捌舞文体发展有限公司</t>
  </si>
  <si>
    <t>海南昊昌文化传媒有限公司</t>
  </si>
  <si>
    <t>海南嘉仕多进出口贸易有限公司</t>
  </si>
  <si>
    <t>原矿力水科技集团（海南）有限公司</t>
  </si>
  <si>
    <t>嘉德快拍艺术品集团（海南）有限公司</t>
  </si>
  <si>
    <t>海南森蒙文化传媒有限公司</t>
  </si>
  <si>
    <t>海南七叶草文化传媒有限公司</t>
  </si>
  <si>
    <t>海南建智康环境工程有限公司</t>
  </si>
  <si>
    <t>海南省圆杰电力设备有限责任公司</t>
  </si>
  <si>
    <t>海口中升企业管理有限公司</t>
  </si>
  <si>
    <t>海口秀英鑫海迪汽车维修厂</t>
  </si>
  <si>
    <t>海口美兰颐龙优莎蜜尔烘焙店</t>
  </si>
  <si>
    <t>召成（海南）文化传媒俱乐部（个人独资）</t>
  </si>
  <si>
    <t>海口龙华区金美乐创意花画工艺品制造中心</t>
  </si>
  <si>
    <t>海口美兰梦语家政服务中心</t>
  </si>
  <si>
    <t>海南奇辰文化传媒有限公司</t>
  </si>
  <si>
    <t>爱希（海南）国际人力资源管理有限公司</t>
  </si>
  <si>
    <t>海南莫尔兹科技有限公司</t>
  </si>
  <si>
    <t>中投城市更新集团（海南）有限公司</t>
  </si>
  <si>
    <t>海南亮路汽车服务有限公司</t>
  </si>
  <si>
    <t>海南摩云汽车服务有限公司</t>
  </si>
  <si>
    <t>海南晶千汽车美容养护有限公司</t>
  </si>
  <si>
    <t>海南绿领乡村产业发展有限公司</t>
  </si>
  <si>
    <t>海南博纵电子科技有限公司</t>
  </si>
  <si>
    <t>海南曜煜文化传播有限公司</t>
  </si>
  <si>
    <t>海南睿界文化传播有限公司</t>
  </si>
  <si>
    <t>海南新弘商旅有限公司</t>
  </si>
  <si>
    <t>海南康欧本音乐制作娱乐有限公司</t>
  </si>
  <si>
    <t>四川荣长信工程项目管理咨询有限公司海南分公司</t>
  </si>
  <si>
    <t>海南兴飞气球文化艺术有限公司</t>
  </si>
  <si>
    <t>海南威妹食品有限公司</t>
  </si>
  <si>
    <t>海南金猪堡堡餐饮文化股份有限责任公司</t>
  </si>
  <si>
    <t>海南抖势文化传媒有限公司</t>
  </si>
  <si>
    <t>海南泓盛嘉自行车有限公司</t>
  </si>
  <si>
    <t>海口威立雅水务有限公司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</si>
</sst>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1">
    <font>
      <sz val="11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17" fillId="2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5" borderId="4" applyNumberFormat="0" applyFont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14" borderId="3" applyNumberFormat="0" applyAlignment="0" applyProtection="0">
      <alignment vertical="center"/>
    </xf>
    <xf numFmtId="0" fontId="20" fillId="14" borderId="7" applyNumberFormat="0" applyAlignment="0" applyProtection="0">
      <alignment vertical="center"/>
    </xf>
    <xf numFmtId="0" fontId="3" fillId="6" borderId="1" applyNumberFormat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8311"/>
  <sheetViews>
    <sheetView tabSelected="1" workbookViewId="0">
      <selection activeCell="A1" sqref="A1:V1"/>
    </sheetView>
  </sheetViews>
  <sheetFormatPr defaultColWidth="9" defaultRowHeight="13.5"/>
  <cols>
    <col min="1" max="1" width="15.125" style="1" customWidth="1"/>
    <col min="2" max="2" width="29.375" style="1" customWidth="1"/>
    <col min="3" max="3" width="15.125" style="1" customWidth="1"/>
    <col min="4" max="17" width="9" style="1"/>
    <col min="18" max="18" width="12.125" style="1" customWidth="1"/>
    <col min="19" max="16384" width="9" style="1"/>
  </cols>
  <sheetData>
    <row r="1" ht="33.75" spans="1:22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="1" customFormat="1" spans="1:2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</row>
    <row r="3" s="1" customFormat="1" spans="1:21">
      <c r="A3" s="1" t="str">
        <f>"4601991400249"</f>
        <v>4601991400249</v>
      </c>
      <c r="B3" s="1" t="s">
        <v>23</v>
      </c>
      <c r="C3" s="1" t="s">
        <v>24</v>
      </c>
      <c r="D3" s="1" t="str">
        <f t="shared" ref="D3:D66" si="0">"2021"</f>
        <v>2021</v>
      </c>
      <c r="E3" s="1" t="str">
        <f t="shared" ref="E3:P3" si="1">"0"</f>
        <v>0</v>
      </c>
      <c r="F3" s="1" t="str">
        <f t="shared" si="1"/>
        <v>0</v>
      </c>
      <c r="G3" s="1" t="str">
        <f t="shared" si="1"/>
        <v>0</v>
      </c>
      <c r="H3" s="1" t="str">
        <f t="shared" si="1"/>
        <v>0</v>
      </c>
      <c r="I3" s="1" t="str">
        <f t="shared" si="1"/>
        <v>0</v>
      </c>
      <c r="J3" s="1" t="str">
        <f t="shared" si="1"/>
        <v>0</v>
      </c>
      <c r="K3" s="1" t="str">
        <f t="shared" si="1"/>
        <v>0</v>
      </c>
      <c r="L3" s="1" t="str">
        <f t="shared" si="1"/>
        <v>0</v>
      </c>
      <c r="M3" s="1" t="str">
        <f t="shared" si="1"/>
        <v>0</v>
      </c>
      <c r="N3" s="1" t="str">
        <f t="shared" si="1"/>
        <v>0</v>
      </c>
      <c r="O3" s="1" t="str">
        <f t="shared" si="1"/>
        <v>0</v>
      </c>
      <c r="P3" s="1" t="str">
        <f t="shared" si="1"/>
        <v>0</v>
      </c>
      <c r="Q3" s="1" t="str">
        <f t="shared" ref="Q3:Q66" si="2">"0.0070"</f>
        <v>0.0070</v>
      </c>
      <c r="R3" s="1" t="s">
        <v>25</v>
      </c>
      <c r="T3" s="1" t="str">
        <f t="shared" ref="T3:T66" si="3">"0"</f>
        <v>0</v>
      </c>
      <c r="U3" s="1" t="str">
        <f t="shared" ref="U3:U7" si="4">"0.0070"</f>
        <v>0.0070</v>
      </c>
    </row>
    <row r="4" s="1" customFormat="1" spans="1:21">
      <c r="A4" s="1" t="str">
        <f>"4601991400183"</f>
        <v>4601991400183</v>
      </c>
      <c r="B4" s="1" t="s">
        <v>26</v>
      </c>
      <c r="C4" s="1" t="s">
        <v>24</v>
      </c>
      <c r="D4" s="1" t="str">
        <f t="shared" si="0"/>
        <v>2021</v>
      </c>
      <c r="E4" s="1" t="str">
        <f t="shared" ref="E4:P4" si="5">"0"</f>
        <v>0</v>
      </c>
      <c r="F4" s="1" t="str">
        <f t="shared" si="5"/>
        <v>0</v>
      </c>
      <c r="G4" s="1" t="str">
        <f t="shared" si="5"/>
        <v>0</v>
      </c>
      <c r="H4" s="1" t="str">
        <f t="shared" si="5"/>
        <v>0</v>
      </c>
      <c r="I4" s="1" t="str">
        <f t="shared" si="5"/>
        <v>0</v>
      </c>
      <c r="J4" s="1" t="str">
        <f t="shared" si="5"/>
        <v>0</v>
      </c>
      <c r="K4" s="1" t="str">
        <f t="shared" si="5"/>
        <v>0</v>
      </c>
      <c r="L4" s="1" t="str">
        <f t="shared" si="5"/>
        <v>0</v>
      </c>
      <c r="M4" s="1" t="str">
        <f t="shared" si="5"/>
        <v>0</v>
      </c>
      <c r="N4" s="1" t="str">
        <f t="shared" si="5"/>
        <v>0</v>
      </c>
      <c r="O4" s="1" t="str">
        <f t="shared" si="5"/>
        <v>0</v>
      </c>
      <c r="P4" s="1" t="str">
        <f t="shared" si="5"/>
        <v>0</v>
      </c>
      <c r="Q4" s="1" t="str">
        <f t="shared" si="2"/>
        <v>0.0070</v>
      </c>
      <c r="R4" s="1" t="s">
        <v>25</v>
      </c>
      <c r="T4" s="1" t="str">
        <f t="shared" si="3"/>
        <v>0</v>
      </c>
      <c r="U4" s="1" t="str">
        <f t="shared" si="4"/>
        <v>0.0070</v>
      </c>
    </row>
    <row r="5" s="1" customFormat="1" spans="1:21">
      <c r="A5" s="1" t="str">
        <f>"4601991400252"</f>
        <v>4601991400252</v>
      </c>
      <c r="B5" s="1" t="s">
        <v>27</v>
      </c>
      <c r="C5" s="1" t="s">
        <v>24</v>
      </c>
      <c r="D5" s="1" t="str">
        <f t="shared" si="0"/>
        <v>2021</v>
      </c>
      <c r="E5" s="1" t="str">
        <f t="shared" ref="E5:P5" si="6">"0"</f>
        <v>0</v>
      </c>
      <c r="F5" s="1" t="str">
        <f t="shared" si="6"/>
        <v>0</v>
      </c>
      <c r="G5" s="1" t="str">
        <f t="shared" si="6"/>
        <v>0</v>
      </c>
      <c r="H5" s="1" t="str">
        <f t="shared" si="6"/>
        <v>0</v>
      </c>
      <c r="I5" s="1" t="str">
        <f t="shared" si="6"/>
        <v>0</v>
      </c>
      <c r="J5" s="1" t="str">
        <f t="shared" si="6"/>
        <v>0</v>
      </c>
      <c r="K5" s="1" t="str">
        <f t="shared" si="6"/>
        <v>0</v>
      </c>
      <c r="L5" s="1" t="str">
        <f t="shared" si="6"/>
        <v>0</v>
      </c>
      <c r="M5" s="1" t="str">
        <f t="shared" si="6"/>
        <v>0</v>
      </c>
      <c r="N5" s="1" t="str">
        <f t="shared" si="6"/>
        <v>0</v>
      </c>
      <c r="O5" s="1" t="str">
        <f t="shared" si="6"/>
        <v>0</v>
      </c>
      <c r="P5" s="1" t="str">
        <f t="shared" si="6"/>
        <v>0</v>
      </c>
      <c r="Q5" s="1" t="str">
        <f t="shared" si="2"/>
        <v>0.0070</v>
      </c>
      <c r="R5" s="1" t="s">
        <v>25</v>
      </c>
      <c r="T5" s="1" t="str">
        <f t="shared" si="3"/>
        <v>0</v>
      </c>
      <c r="U5" s="1" t="str">
        <f t="shared" si="4"/>
        <v>0.0070</v>
      </c>
    </row>
    <row r="6" s="1" customFormat="1" spans="1:21">
      <c r="A6" s="1" t="str">
        <f>"4601991400388"</f>
        <v>4601991400388</v>
      </c>
      <c r="B6" s="1" t="s">
        <v>28</v>
      </c>
      <c r="C6" s="1" t="s">
        <v>24</v>
      </c>
      <c r="D6" s="1" t="str">
        <f t="shared" si="0"/>
        <v>2021</v>
      </c>
      <c r="E6" s="1" t="str">
        <f>"48.35"</f>
        <v>48.35</v>
      </c>
      <c r="F6" s="1" t="str">
        <f t="shared" ref="F6:I6" si="7">"0"</f>
        <v>0</v>
      </c>
      <c r="G6" s="1" t="str">
        <f t="shared" si="7"/>
        <v>0</v>
      </c>
      <c r="H6" s="1" t="str">
        <f t="shared" si="7"/>
        <v>0</v>
      </c>
      <c r="I6" s="1" t="str">
        <f t="shared" si="7"/>
        <v>0</v>
      </c>
      <c r="J6" s="1" t="str">
        <f>"5"</f>
        <v>5</v>
      </c>
      <c r="K6" s="1" t="str">
        <f t="shared" ref="K6:P6" si="8">"0"</f>
        <v>0</v>
      </c>
      <c r="L6" s="1" t="str">
        <f t="shared" si="8"/>
        <v>0</v>
      </c>
      <c r="M6" s="1" t="str">
        <f t="shared" si="8"/>
        <v>0</v>
      </c>
      <c r="N6" s="1" t="str">
        <f t="shared" si="8"/>
        <v>0</v>
      </c>
      <c r="O6" s="1" t="str">
        <f t="shared" si="8"/>
        <v>0</v>
      </c>
      <c r="P6" s="1" t="str">
        <f t="shared" si="8"/>
        <v>0</v>
      </c>
      <c r="Q6" s="1" t="str">
        <f t="shared" si="2"/>
        <v>0.0070</v>
      </c>
      <c r="R6" s="1" t="s">
        <v>29</v>
      </c>
      <c r="S6" s="1">
        <v>-0.0014</v>
      </c>
      <c r="T6" s="1" t="str">
        <f t="shared" si="3"/>
        <v>0</v>
      </c>
      <c r="U6" s="1" t="str">
        <f t="shared" ref="U6:U11" si="9">"0.0056"</f>
        <v>0.0056</v>
      </c>
    </row>
    <row r="7" s="1" customFormat="1" spans="1:21">
      <c r="A7" s="1" t="str">
        <f>"4601991400459"</f>
        <v>4601991400459</v>
      </c>
      <c r="B7" s="1" t="s">
        <v>30</v>
      </c>
      <c r="C7" s="1" t="s">
        <v>24</v>
      </c>
      <c r="D7" s="1" t="str">
        <f t="shared" si="0"/>
        <v>2021</v>
      </c>
      <c r="E7" s="1" t="str">
        <f t="shared" ref="E7:P7" si="10">"0"</f>
        <v>0</v>
      </c>
      <c r="F7" s="1" t="str">
        <f t="shared" si="10"/>
        <v>0</v>
      </c>
      <c r="G7" s="1" t="str">
        <f t="shared" si="10"/>
        <v>0</v>
      </c>
      <c r="H7" s="1" t="str">
        <f t="shared" si="10"/>
        <v>0</v>
      </c>
      <c r="I7" s="1" t="str">
        <f t="shared" si="10"/>
        <v>0</v>
      </c>
      <c r="J7" s="1" t="str">
        <f t="shared" si="10"/>
        <v>0</v>
      </c>
      <c r="K7" s="1" t="str">
        <f t="shared" si="10"/>
        <v>0</v>
      </c>
      <c r="L7" s="1" t="str">
        <f t="shared" si="10"/>
        <v>0</v>
      </c>
      <c r="M7" s="1" t="str">
        <f t="shared" si="10"/>
        <v>0</v>
      </c>
      <c r="N7" s="1" t="str">
        <f t="shared" si="10"/>
        <v>0</v>
      </c>
      <c r="O7" s="1" t="str">
        <f t="shared" si="10"/>
        <v>0</v>
      </c>
      <c r="P7" s="1" t="str">
        <f t="shared" si="10"/>
        <v>0</v>
      </c>
      <c r="Q7" s="1" t="str">
        <f t="shared" si="2"/>
        <v>0.0070</v>
      </c>
      <c r="R7" s="1" t="s">
        <v>25</v>
      </c>
      <c r="T7" s="1" t="str">
        <f t="shared" si="3"/>
        <v>0</v>
      </c>
      <c r="U7" s="1" t="str">
        <f t="shared" si="4"/>
        <v>0.0070</v>
      </c>
    </row>
    <row r="8" s="1" customFormat="1" spans="1:21">
      <c r="A8" s="1" t="str">
        <f>"4601991400255"</f>
        <v>4601991400255</v>
      </c>
      <c r="B8" s="1" t="s">
        <v>31</v>
      </c>
      <c r="C8" s="1" t="s">
        <v>24</v>
      </c>
      <c r="D8" s="1" t="str">
        <f t="shared" si="0"/>
        <v>2021</v>
      </c>
      <c r="E8" s="1" t="str">
        <f>"19.34"</f>
        <v>19.34</v>
      </c>
      <c r="F8" s="1" t="str">
        <f t="shared" ref="F8:I8" si="11">"0"</f>
        <v>0</v>
      </c>
      <c r="G8" s="1" t="str">
        <f t="shared" si="11"/>
        <v>0</v>
      </c>
      <c r="H8" s="1" t="str">
        <f t="shared" si="11"/>
        <v>0</v>
      </c>
      <c r="I8" s="1" t="str">
        <f t="shared" si="11"/>
        <v>0</v>
      </c>
      <c r="J8" s="1" t="str">
        <f>"2"</f>
        <v>2</v>
      </c>
      <c r="K8" s="1" t="str">
        <f t="shared" ref="K8:P8" si="12">"0"</f>
        <v>0</v>
      </c>
      <c r="L8" s="1" t="str">
        <f t="shared" si="12"/>
        <v>0</v>
      </c>
      <c r="M8" s="1" t="str">
        <f t="shared" si="12"/>
        <v>0</v>
      </c>
      <c r="N8" s="1" t="str">
        <f t="shared" si="12"/>
        <v>0</v>
      </c>
      <c r="O8" s="1" t="str">
        <f t="shared" si="12"/>
        <v>0</v>
      </c>
      <c r="P8" s="1" t="str">
        <f t="shared" si="12"/>
        <v>0</v>
      </c>
      <c r="Q8" s="1" t="str">
        <f t="shared" si="2"/>
        <v>0.0070</v>
      </c>
      <c r="R8" s="1" t="s">
        <v>29</v>
      </c>
      <c r="S8" s="1">
        <v>-0.0014</v>
      </c>
      <c r="T8" s="1" t="str">
        <f t="shared" si="3"/>
        <v>0</v>
      </c>
      <c r="U8" s="1" t="str">
        <f t="shared" si="9"/>
        <v>0.0056</v>
      </c>
    </row>
    <row r="9" s="1" customFormat="1" spans="1:21">
      <c r="A9" s="1" t="str">
        <f>"4601991400491"</f>
        <v>4601991400491</v>
      </c>
      <c r="B9" s="1" t="s">
        <v>32</v>
      </c>
      <c r="C9" s="1" t="s">
        <v>24</v>
      </c>
      <c r="D9" s="1" t="str">
        <f t="shared" si="0"/>
        <v>2021</v>
      </c>
      <c r="E9" s="1" t="str">
        <f t="shared" ref="E9:P9" si="13">"0"</f>
        <v>0</v>
      </c>
      <c r="F9" s="1" t="str">
        <f t="shared" si="13"/>
        <v>0</v>
      </c>
      <c r="G9" s="1" t="str">
        <f t="shared" si="13"/>
        <v>0</v>
      </c>
      <c r="H9" s="1" t="str">
        <f t="shared" si="13"/>
        <v>0</v>
      </c>
      <c r="I9" s="1" t="str">
        <f t="shared" si="13"/>
        <v>0</v>
      </c>
      <c r="J9" s="1" t="str">
        <f t="shared" si="13"/>
        <v>0</v>
      </c>
      <c r="K9" s="1" t="str">
        <f t="shared" si="13"/>
        <v>0</v>
      </c>
      <c r="L9" s="1" t="str">
        <f t="shared" si="13"/>
        <v>0</v>
      </c>
      <c r="M9" s="1" t="str">
        <f t="shared" si="13"/>
        <v>0</v>
      </c>
      <c r="N9" s="1" t="str">
        <f t="shared" si="13"/>
        <v>0</v>
      </c>
      <c r="O9" s="1" t="str">
        <f t="shared" si="13"/>
        <v>0</v>
      </c>
      <c r="P9" s="1" t="str">
        <f t="shared" si="13"/>
        <v>0</v>
      </c>
      <c r="Q9" s="1" t="str">
        <f t="shared" si="2"/>
        <v>0.0070</v>
      </c>
      <c r="R9" s="1" t="s">
        <v>25</v>
      </c>
      <c r="T9" s="1" t="str">
        <f t="shared" si="3"/>
        <v>0</v>
      </c>
      <c r="U9" s="1" t="str">
        <f t="shared" ref="U9:U13" si="14">"0.0070"</f>
        <v>0.0070</v>
      </c>
    </row>
    <row r="10" s="1" customFormat="1" spans="1:21">
      <c r="A10" s="1" t="str">
        <f>"4601991400391"</f>
        <v>4601991400391</v>
      </c>
      <c r="B10" s="1" t="s">
        <v>33</v>
      </c>
      <c r="C10" s="1" t="s">
        <v>24</v>
      </c>
      <c r="D10" s="1" t="str">
        <f t="shared" si="0"/>
        <v>2021</v>
      </c>
      <c r="E10" s="1" t="str">
        <f>"267.50"</f>
        <v>267.50</v>
      </c>
      <c r="F10" s="1" t="str">
        <f t="shared" ref="F10:I10" si="15">"0"</f>
        <v>0</v>
      </c>
      <c r="G10" s="1" t="str">
        <f t="shared" si="15"/>
        <v>0</v>
      </c>
      <c r="H10" s="1" t="str">
        <f t="shared" si="15"/>
        <v>0</v>
      </c>
      <c r="I10" s="1" t="str">
        <f t="shared" si="15"/>
        <v>0</v>
      </c>
      <c r="J10" s="1" t="str">
        <f>"24"</f>
        <v>24</v>
      </c>
      <c r="K10" s="1" t="str">
        <f t="shared" ref="K10:P10" si="16">"0"</f>
        <v>0</v>
      </c>
      <c r="L10" s="1" t="str">
        <f t="shared" si="16"/>
        <v>0</v>
      </c>
      <c r="M10" s="1" t="str">
        <f t="shared" si="16"/>
        <v>0</v>
      </c>
      <c r="N10" s="1" t="str">
        <f t="shared" si="16"/>
        <v>0</v>
      </c>
      <c r="O10" s="1" t="str">
        <f t="shared" si="16"/>
        <v>0</v>
      </c>
      <c r="P10" s="1" t="str">
        <f t="shared" si="16"/>
        <v>0</v>
      </c>
      <c r="Q10" s="1" t="str">
        <f t="shared" si="2"/>
        <v>0.0070</v>
      </c>
      <c r="R10" s="1" t="s">
        <v>29</v>
      </c>
      <c r="S10" s="1">
        <v>-0.0014</v>
      </c>
      <c r="T10" s="1" t="str">
        <f t="shared" si="3"/>
        <v>0</v>
      </c>
      <c r="U10" s="1" t="str">
        <f t="shared" si="9"/>
        <v>0.0056</v>
      </c>
    </row>
    <row r="11" s="1" customFormat="1" spans="1:21">
      <c r="A11" s="1" t="str">
        <f>"4601991400470"</f>
        <v>4601991400470</v>
      </c>
      <c r="B11" s="1" t="s">
        <v>34</v>
      </c>
      <c r="C11" s="1" t="s">
        <v>24</v>
      </c>
      <c r="D11" s="1" t="str">
        <f t="shared" si="0"/>
        <v>2021</v>
      </c>
      <c r="E11" s="1" t="str">
        <f>"77.27"</f>
        <v>77.27</v>
      </c>
      <c r="F11" s="1" t="str">
        <f t="shared" ref="F11:I11" si="17">"0"</f>
        <v>0</v>
      </c>
      <c r="G11" s="1" t="str">
        <f t="shared" si="17"/>
        <v>0</v>
      </c>
      <c r="H11" s="1" t="str">
        <f t="shared" si="17"/>
        <v>0</v>
      </c>
      <c r="I11" s="1" t="str">
        <f t="shared" si="17"/>
        <v>0</v>
      </c>
      <c r="J11" s="1" t="str">
        <f>"8"</f>
        <v>8</v>
      </c>
      <c r="K11" s="1" t="str">
        <f t="shared" ref="K11:P11" si="18">"0"</f>
        <v>0</v>
      </c>
      <c r="L11" s="1" t="str">
        <f t="shared" si="18"/>
        <v>0</v>
      </c>
      <c r="M11" s="1" t="str">
        <f t="shared" si="18"/>
        <v>0</v>
      </c>
      <c r="N11" s="1" t="str">
        <f t="shared" si="18"/>
        <v>0</v>
      </c>
      <c r="O11" s="1" t="str">
        <f t="shared" si="18"/>
        <v>0</v>
      </c>
      <c r="P11" s="1" t="str">
        <f t="shared" si="18"/>
        <v>0</v>
      </c>
      <c r="Q11" s="1" t="str">
        <f t="shared" si="2"/>
        <v>0.0070</v>
      </c>
      <c r="R11" s="1" t="s">
        <v>29</v>
      </c>
      <c r="S11" s="1">
        <v>-0.0014</v>
      </c>
      <c r="T11" s="1" t="str">
        <f t="shared" si="3"/>
        <v>0</v>
      </c>
      <c r="U11" s="1" t="str">
        <f t="shared" si="9"/>
        <v>0.0056</v>
      </c>
    </row>
    <row r="12" s="1" customFormat="1" spans="1:21">
      <c r="A12" s="1" t="str">
        <f>"4601991400663"</f>
        <v>4601991400663</v>
      </c>
      <c r="B12" s="1" t="s">
        <v>35</v>
      </c>
      <c r="C12" s="1" t="s">
        <v>24</v>
      </c>
      <c r="D12" s="1" t="str">
        <f t="shared" si="0"/>
        <v>2021</v>
      </c>
      <c r="E12" s="1" t="str">
        <f t="shared" ref="E12:P12" si="19">"0"</f>
        <v>0</v>
      </c>
      <c r="F12" s="1" t="str">
        <f t="shared" si="19"/>
        <v>0</v>
      </c>
      <c r="G12" s="1" t="str">
        <f t="shared" si="19"/>
        <v>0</v>
      </c>
      <c r="H12" s="1" t="str">
        <f t="shared" si="19"/>
        <v>0</v>
      </c>
      <c r="I12" s="1" t="str">
        <f t="shared" si="19"/>
        <v>0</v>
      </c>
      <c r="J12" s="1" t="str">
        <f t="shared" si="19"/>
        <v>0</v>
      </c>
      <c r="K12" s="1" t="str">
        <f t="shared" si="19"/>
        <v>0</v>
      </c>
      <c r="L12" s="1" t="str">
        <f t="shared" si="19"/>
        <v>0</v>
      </c>
      <c r="M12" s="1" t="str">
        <f t="shared" si="19"/>
        <v>0</v>
      </c>
      <c r="N12" s="1" t="str">
        <f t="shared" si="19"/>
        <v>0</v>
      </c>
      <c r="O12" s="1" t="str">
        <f t="shared" si="19"/>
        <v>0</v>
      </c>
      <c r="P12" s="1" t="str">
        <f t="shared" si="19"/>
        <v>0</v>
      </c>
      <c r="Q12" s="1" t="str">
        <f t="shared" si="2"/>
        <v>0.0070</v>
      </c>
      <c r="R12" s="1" t="s">
        <v>25</v>
      </c>
      <c r="T12" s="1" t="str">
        <f t="shared" si="3"/>
        <v>0</v>
      </c>
      <c r="U12" s="1" t="str">
        <f t="shared" si="14"/>
        <v>0.0070</v>
      </c>
    </row>
    <row r="13" s="1" customFormat="1" spans="1:21">
      <c r="A13" s="1" t="str">
        <f>"4601991400648"</f>
        <v>4601991400648</v>
      </c>
      <c r="B13" s="1" t="s">
        <v>36</v>
      </c>
      <c r="C13" s="1" t="s">
        <v>24</v>
      </c>
      <c r="D13" s="1" t="str">
        <f t="shared" si="0"/>
        <v>2021</v>
      </c>
      <c r="E13" s="1" t="str">
        <f t="shared" ref="E13:P13" si="20">"0"</f>
        <v>0</v>
      </c>
      <c r="F13" s="1" t="str">
        <f t="shared" si="20"/>
        <v>0</v>
      </c>
      <c r="G13" s="1" t="str">
        <f t="shared" si="20"/>
        <v>0</v>
      </c>
      <c r="H13" s="1" t="str">
        <f t="shared" si="20"/>
        <v>0</v>
      </c>
      <c r="I13" s="1" t="str">
        <f t="shared" si="20"/>
        <v>0</v>
      </c>
      <c r="J13" s="1" t="str">
        <f t="shared" si="20"/>
        <v>0</v>
      </c>
      <c r="K13" s="1" t="str">
        <f t="shared" si="20"/>
        <v>0</v>
      </c>
      <c r="L13" s="1" t="str">
        <f t="shared" si="20"/>
        <v>0</v>
      </c>
      <c r="M13" s="1" t="str">
        <f t="shared" si="20"/>
        <v>0</v>
      </c>
      <c r="N13" s="1" t="str">
        <f t="shared" si="20"/>
        <v>0</v>
      </c>
      <c r="O13" s="1" t="str">
        <f t="shared" si="20"/>
        <v>0</v>
      </c>
      <c r="P13" s="1" t="str">
        <f t="shared" si="20"/>
        <v>0</v>
      </c>
      <c r="Q13" s="1" t="str">
        <f t="shared" si="2"/>
        <v>0.0070</v>
      </c>
      <c r="R13" s="1" t="s">
        <v>25</v>
      </c>
      <c r="T13" s="1" t="str">
        <f t="shared" si="3"/>
        <v>0</v>
      </c>
      <c r="U13" s="1" t="str">
        <f t="shared" si="14"/>
        <v>0.0070</v>
      </c>
    </row>
    <row r="14" s="1" customFormat="1" spans="1:21">
      <c r="A14" s="1" t="str">
        <f>"4601991400423"</f>
        <v>4601991400423</v>
      </c>
      <c r="B14" s="1" t="s">
        <v>37</v>
      </c>
      <c r="C14" s="1" t="s">
        <v>24</v>
      </c>
      <c r="D14" s="1" t="str">
        <f t="shared" si="0"/>
        <v>2021</v>
      </c>
      <c r="E14" s="1" t="str">
        <f>"11.20"</f>
        <v>11.20</v>
      </c>
      <c r="F14" s="1" t="str">
        <f t="shared" ref="F14:I14" si="21">"0"</f>
        <v>0</v>
      </c>
      <c r="G14" s="1" t="str">
        <f t="shared" si="21"/>
        <v>0</v>
      </c>
      <c r="H14" s="1" t="str">
        <f t="shared" si="21"/>
        <v>0</v>
      </c>
      <c r="I14" s="1" t="str">
        <f t="shared" si="21"/>
        <v>0</v>
      </c>
      <c r="J14" s="1" t="str">
        <f>"1"</f>
        <v>1</v>
      </c>
      <c r="K14" s="1" t="str">
        <f t="shared" ref="K14:P14" si="22">"0"</f>
        <v>0</v>
      </c>
      <c r="L14" s="1" t="str">
        <f t="shared" si="22"/>
        <v>0</v>
      </c>
      <c r="M14" s="1" t="str">
        <f t="shared" si="22"/>
        <v>0</v>
      </c>
      <c r="N14" s="1" t="str">
        <f t="shared" si="22"/>
        <v>0</v>
      </c>
      <c r="O14" s="1" t="str">
        <f t="shared" si="22"/>
        <v>0</v>
      </c>
      <c r="P14" s="1" t="str">
        <f t="shared" si="22"/>
        <v>0</v>
      </c>
      <c r="Q14" s="1" t="str">
        <f t="shared" si="2"/>
        <v>0.0070</v>
      </c>
      <c r="R14" s="1" t="s">
        <v>29</v>
      </c>
      <c r="S14" s="1">
        <v>-0.0014</v>
      </c>
      <c r="T14" s="1" t="str">
        <f t="shared" si="3"/>
        <v>0</v>
      </c>
      <c r="U14" s="1" t="str">
        <f>"0.0056"</f>
        <v>0.0056</v>
      </c>
    </row>
    <row r="15" s="1" customFormat="1" spans="1:21">
      <c r="A15" s="1" t="str">
        <f>"4601991400550"</f>
        <v>4601991400550</v>
      </c>
      <c r="B15" s="1" t="s">
        <v>38</v>
      </c>
      <c r="C15" s="1" t="s">
        <v>24</v>
      </c>
      <c r="D15" s="1" t="str">
        <f t="shared" si="0"/>
        <v>2021</v>
      </c>
      <c r="E15" s="1" t="str">
        <f t="shared" ref="E15:P15" si="23">"0"</f>
        <v>0</v>
      </c>
      <c r="F15" s="1" t="str">
        <f t="shared" si="23"/>
        <v>0</v>
      </c>
      <c r="G15" s="1" t="str">
        <f t="shared" si="23"/>
        <v>0</v>
      </c>
      <c r="H15" s="1" t="str">
        <f t="shared" si="23"/>
        <v>0</v>
      </c>
      <c r="I15" s="1" t="str">
        <f t="shared" si="23"/>
        <v>0</v>
      </c>
      <c r="J15" s="1" t="str">
        <f t="shared" si="23"/>
        <v>0</v>
      </c>
      <c r="K15" s="1" t="str">
        <f t="shared" si="23"/>
        <v>0</v>
      </c>
      <c r="L15" s="1" t="str">
        <f t="shared" si="23"/>
        <v>0</v>
      </c>
      <c r="M15" s="1" t="str">
        <f t="shared" si="23"/>
        <v>0</v>
      </c>
      <c r="N15" s="1" t="str">
        <f t="shared" si="23"/>
        <v>0</v>
      </c>
      <c r="O15" s="1" t="str">
        <f t="shared" si="23"/>
        <v>0</v>
      </c>
      <c r="P15" s="1" t="str">
        <f t="shared" si="23"/>
        <v>0</v>
      </c>
      <c r="Q15" s="1" t="str">
        <f t="shared" si="2"/>
        <v>0.0070</v>
      </c>
      <c r="R15" s="1" t="s">
        <v>25</v>
      </c>
      <c r="T15" s="1" t="str">
        <f t="shared" si="3"/>
        <v>0</v>
      </c>
      <c r="U15" s="1" t="str">
        <f t="shared" ref="U15:U20" si="24">"0.0070"</f>
        <v>0.0070</v>
      </c>
    </row>
    <row r="16" s="1" customFormat="1" spans="1:21">
      <c r="A16" s="1" t="str">
        <f>"4601991400678"</f>
        <v>4601991400678</v>
      </c>
      <c r="B16" s="1" t="s">
        <v>39</v>
      </c>
      <c r="C16" s="1" t="s">
        <v>24</v>
      </c>
      <c r="D16" s="1" t="str">
        <f t="shared" si="0"/>
        <v>2021</v>
      </c>
      <c r="E16" s="1" t="str">
        <f t="shared" ref="E16:P16" si="25">"0"</f>
        <v>0</v>
      </c>
      <c r="F16" s="1" t="str">
        <f t="shared" si="25"/>
        <v>0</v>
      </c>
      <c r="G16" s="1" t="str">
        <f t="shared" si="25"/>
        <v>0</v>
      </c>
      <c r="H16" s="1" t="str">
        <f t="shared" si="25"/>
        <v>0</v>
      </c>
      <c r="I16" s="1" t="str">
        <f t="shared" si="25"/>
        <v>0</v>
      </c>
      <c r="J16" s="1" t="str">
        <f t="shared" si="25"/>
        <v>0</v>
      </c>
      <c r="K16" s="1" t="str">
        <f t="shared" si="25"/>
        <v>0</v>
      </c>
      <c r="L16" s="1" t="str">
        <f t="shared" si="25"/>
        <v>0</v>
      </c>
      <c r="M16" s="1" t="str">
        <f t="shared" si="25"/>
        <v>0</v>
      </c>
      <c r="N16" s="1" t="str">
        <f t="shared" si="25"/>
        <v>0</v>
      </c>
      <c r="O16" s="1" t="str">
        <f t="shared" si="25"/>
        <v>0</v>
      </c>
      <c r="P16" s="1" t="str">
        <f t="shared" si="25"/>
        <v>0</v>
      </c>
      <c r="Q16" s="1" t="str">
        <f t="shared" si="2"/>
        <v>0.0070</v>
      </c>
      <c r="R16" s="1" t="s">
        <v>25</v>
      </c>
      <c r="T16" s="1" t="str">
        <f t="shared" si="3"/>
        <v>0</v>
      </c>
      <c r="U16" s="1" t="str">
        <f t="shared" si="24"/>
        <v>0.0070</v>
      </c>
    </row>
    <row r="17" s="1" customFormat="1" spans="1:21">
      <c r="A17" s="1" t="str">
        <f>"4601991400349"</f>
        <v>4601991400349</v>
      </c>
      <c r="B17" s="1" t="s">
        <v>40</v>
      </c>
      <c r="C17" s="1" t="s">
        <v>24</v>
      </c>
      <c r="D17" s="1" t="str">
        <f t="shared" si="0"/>
        <v>2021</v>
      </c>
      <c r="E17" s="1" t="str">
        <f>"87.03"</f>
        <v>87.03</v>
      </c>
      <c r="F17" s="1" t="str">
        <f t="shared" ref="F17:I17" si="26">"0"</f>
        <v>0</v>
      </c>
      <c r="G17" s="1" t="str">
        <f t="shared" si="26"/>
        <v>0</v>
      </c>
      <c r="H17" s="1" t="str">
        <f t="shared" si="26"/>
        <v>0</v>
      </c>
      <c r="I17" s="1" t="str">
        <f t="shared" si="26"/>
        <v>0</v>
      </c>
      <c r="J17" s="1" t="str">
        <f>"8"</f>
        <v>8</v>
      </c>
      <c r="K17" s="1" t="str">
        <f t="shared" ref="K17:P17" si="27">"0"</f>
        <v>0</v>
      </c>
      <c r="L17" s="1" t="str">
        <f t="shared" si="27"/>
        <v>0</v>
      </c>
      <c r="M17" s="1" t="str">
        <f t="shared" si="27"/>
        <v>0</v>
      </c>
      <c r="N17" s="1" t="str">
        <f t="shared" si="27"/>
        <v>0</v>
      </c>
      <c r="O17" s="1" t="str">
        <f t="shared" si="27"/>
        <v>0</v>
      </c>
      <c r="P17" s="1" t="str">
        <f t="shared" si="27"/>
        <v>0</v>
      </c>
      <c r="Q17" s="1" t="str">
        <f t="shared" si="2"/>
        <v>0.0070</v>
      </c>
      <c r="R17" s="1" t="s">
        <v>29</v>
      </c>
      <c r="S17" s="1">
        <v>-0.0014</v>
      </c>
      <c r="T17" s="1" t="str">
        <f t="shared" si="3"/>
        <v>0</v>
      </c>
      <c r="U17" s="1" t="str">
        <f t="shared" ref="U17:U22" si="28">"0.0056"</f>
        <v>0.0056</v>
      </c>
    </row>
    <row r="18" s="1" customFormat="1" spans="1:21">
      <c r="A18" s="1" t="str">
        <f>"4601991400548"</f>
        <v>4601991400548</v>
      </c>
      <c r="B18" s="1" t="s">
        <v>41</v>
      </c>
      <c r="C18" s="1" t="s">
        <v>24</v>
      </c>
      <c r="D18" s="1" t="str">
        <f t="shared" si="0"/>
        <v>2021</v>
      </c>
      <c r="E18" s="1" t="str">
        <f t="shared" ref="E18:P18" si="29">"0"</f>
        <v>0</v>
      </c>
      <c r="F18" s="1" t="str">
        <f t="shared" si="29"/>
        <v>0</v>
      </c>
      <c r="G18" s="1" t="str">
        <f t="shared" si="29"/>
        <v>0</v>
      </c>
      <c r="H18" s="1" t="str">
        <f t="shared" si="29"/>
        <v>0</v>
      </c>
      <c r="I18" s="1" t="str">
        <f t="shared" si="29"/>
        <v>0</v>
      </c>
      <c r="J18" s="1" t="str">
        <f t="shared" si="29"/>
        <v>0</v>
      </c>
      <c r="K18" s="1" t="str">
        <f t="shared" si="29"/>
        <v>0</v>
      </c>
      <c r="L18" s="1" t="str">
        <f t="shared" si="29"/>
        <v>0</v>
      </c>
      <c r="M18" s="1" t="str">
        <f t="shared" si="29"/>
        <v>0</v>
      </c>
      <c r="N18" s="1" t="str">
        <f t="shared" si="29"/>
        <v>0</v>
      </c>
      <c r="O18" s="1" t="str">
        <f t="shared" si="29"/>
        <v>0</v>
      </c>
      <c r="P18" s="1" t="str">
        <f t="shared" si="29"/>
        <v>0</v>
      </c>
      <c r="Q18" s="1" t="str">
        <f t="shared" si="2"/>
        <v>0.0070</v>
      </c>
      <c r="R18" s="1" t="s">
        <v>25</v>
      </c>
      <c r="T18" s="1" t="str">
        <f t="shared" si="3"/>
        <v>0</v>
      </c>
      <c r="U18" s="1" t="str">
        <f t="shared" si="24"/>
        <v>0.0070</v>
      </c>
    </row>
    <row r="19" s="1" customFormat="1" spans="1:21">
      <c r="A19" s="1" t="str">
        <f>"4601991400614"</f>
        <v>4601991400614</v>
      </c>
      <c r="B19" s="1" t="s">
        <v>42</v>
      </c>
      <c r="C19" s="1" t="s">
        <v>24</v>
      </c>
      <c r="D19" s="1" t="str">
        <f t="shared" si="0"/>
        <v>2021</v>
      </c>
      <c r="E19" s="1" t="str">
        <f t="shared" ref="E19:P19" si="30">"0"</f>
        <v>0</v>
      </c>
      <c r="F19" s="1" t="str">
        <f t="shared" si="30"/>
        <v>0</v>
      </c>
      <c r="G19" s="1" t="str">
        <f t="shared" si="30"/>
        <v>0</v>
      </c>
      <c r="H19" s="1" t="str">
        <f t="shared" si="30"/>
        <v>0</v>
      </c>
      <c r="I19" s="1" t="str">
        <f t="shared" si="30"/>
        <v>0</v>
      </c>
      <c r="J19" s="1" t="str">
        <f t="shared" si="30"/>
        <v>0</v>
      </c>
      <c r="K19" s="1" t="str">
        <f t="shared" si="30"/>
        <v>0</v>
      </c>
      <c r="L19" s="1" t="str">
        <f t="shared" si="30"/>
        <v>0</v>
      </c>
      <c r="M19" s="1" t="str">
        <f t="shared" si="30"/>
        <v>0</v>
      </c>
      <c r="N19" s="1" t="str">
        <f t="shared" si="30"/>
        <v>0</v>
      </c>
      <c r="O19" s="1" t="str">
        <f t="shared" si="30"/>
        <v>0</v>
      </c>
      <c r="P19" s="1" t="str">
        <f t="shared" si="30"/>
        <v>0</v>
      </c>
      <c r="Q19" s="1" t="str">
        <f t="shared" si="2"/>
        <v>0.0070</v>
      </c>
      <c r="R19" s="1" t="s">
        <v>25</v>
      </c>
      <c r="T19" s="1" t="str">
        <f t="shared" si="3"/>
        <v>0</v>
      </c>
      <c r="U19" s="1" t="str">
        <f t="shared" si="24"/>
        <v>0.0070</v>
      </c>
    </row>
    <row r="20" s="1" customFormat="1" spans="1:21">
      <c r="A20" s="1" t="str">
        <f>"4601991400567"</f>
        <v>4601991400567</v>
      </c>
      <c r="B20" s="1" t="s">
        <v>43</v>
      </c>
      <c r="C20" s="1" t="s">
        <v>24</v>
      </c>
      <c r="D20" s="1" t="str">
        <f t="shared" si="0"/>
        <v>2021</v>
      </c>
      <c r="E20" s="1" t="str">
        <f t="shared" ref="E20:P20" si="31">"0"</f>
        <v>0</v>
      </c>
      <c r="F20" s="1" t="str">
        <f t="shared" si="31"/>
        <v>0</v>
      </c>
      <c r="G20" s="1" t="str">
        <f t="shared" si="31"/>
        <v>0</v>
      </c>
      <c r="H20" s="1" t="str">
        <f t="shared" si="31"/>
        <v>0</v>
      </c>
      <c r="I20" s="1" t="str">
        <f t="shared" si="31"/>
        <v>0</v>
      </c>
      <c r="J20" s="1" t="str">
        <f t="shared" si="31"/>
        <v>0</v>
      </c>
      <c r="K20" s="1" t="str">
        <f t="shared" si="31"/>
        <v>0</v>
      </c>
      <c r="L20" s="1" t="str">
        <f t="shared" si="31"/>
        <v>0</v>
      </c>
      <c r="M20" s="1" t="str">
        <f t="shared" si="31"/>
        <v>0</v>
      </c>
      <c r="N20" s="1" t="str">
        <f t="shared" si="31"/>
        <v>0</v>
      </c>
      <c r="O20" s="1" t="str">
        <f t="shared" si="31"/>
        <v>0</v>
      </c>
      <c r="P20" s="1" t="str">
        <f t="shared" si="31"/>
        <v>0</v>
      </c>
      <c r="Q20" s="1" t="str">
        <f t="shared" si="2"/>
        <v>0.0070</v>
      </c>
      <c r="R20" s="1" t="s">
        <v>25</v>
      </c>
      <c r="T20" s="1" t="str">
        <f t="shared" si="3"/>
        <v>0</v>
      </c>
      <c r="U20" s="1" t="str">
        <f t="shared" si="24"/>
        <v>0.0070</v>
      </c>
    </row>
    <row r="21" s="1" customFormat="1" spans="1:21">
      <c r="A21" s="1" t="str">
        <f>"4601991400816"</f>
        <v>4601991400816</v>
      </c>
      <c r="B21" s="1" t="s">
        <v>44</v>
      </c>
      <c r="C21" s="1" t="s">
        <v>24</v>
      </c>
      <c r="D21" s="1" t="str">
        <f t="shared" si="0"/>
        <v>2021</v>
      </c>
      <c r="E21" s="1" t="str">
        <f>"9.67"</f>
        <v>9.67</v>
      </c>
      <c r="F21" s="1" t="str">
        <f t="shared" ref="F21:I21" si="32">"0"</f>
        <v>0</v>
      </c>
      <c r="G21" s="1" t="str">
        <f t="shared" si="32"/>
        <v>0</v>
      </c>
      <c r="H21" s="1" t="str">
        <f t="shared" si="32"/>
        <v>0</v>
      </c>
      <c r="I21" s="1" t="str">
        <f t="shared" si="32"/>
        <v>0</v>
      </c>
      <c r="J21" s="1" t="str">
        <f>"1"</f>
        <v>1</v>
      </c>
      <c r="K21" s="1" t="str">
        <f t="shared" ref="K21:P21" si="33">"0"</f>
        <v>0</v>
      </c>
      <c r="L21" s="1" t="str">
        <f t="shared" si="33"/>
        <v>0</v>
      </c>
      <c r="M21" s="1" t="str">
        <f t="shared" si="33"/>
        <v>0</v>
      </c>
      <c r="N21" s="1" t="str">
        <f t="shared" si="33"/>
        <v>0</v>
      </c>
      <c r="O21" s="1" t="str">
        <f t="shared" si="33"/>
        <v>0</v>
      </c>
      <c r="P21" s="1" t="str">
        <f t="shared" si="33"/>
        <v>0</v>
      </c>
      <c r="Q21" s="1" t="str">
        <f t="shared" si="2"/>
        <v>0.0070</v>
      </c>
      <c r="R21" s="1" t="s">
        <v>29</v>
      </c>
      <c r="S21" s="1">
        <v>-0.0014</v>
      </c>
      <c r="T21" s="1" t="str">
        <f t="shared" si="3"/>
        <v>0</v>
      </c>
      <c r="U21" s="1" t="str">
        <f t="shared" si="28"/>
        <v>0.0056</v>
      </c>
    </row>
    <row r="22" s="1" customFormat="1" spans="1:21">
      <c r="A22" s="1" t="str">
        <f>"4601991400717"</f>
        <v>4601991400717</v>
      </c>
      <c r="B22" s="1" t="s">
        <v>45</v>
      </c>
      <c r="C22" s="1" t="s">
        <v>24</v>
      </c>
      <c r="D22" s="1" t="str">
        <f t="shared" si="0"/>
        <v>2021</v>
      </c>
      <c r="E22" s="1" t="str">
        <f>"298.97"</f>
        <v>298.97</v>
      </c>
      <c r="F22" s="1" t="str">
        <f t="shared" ref="F22:I22" si="34">"0"</f>
        <v>0</v>
      </c>
      <c r="G22" s="1" t="str">
        <f t="shared" si="34"/>
        <v>0</v>
      </c>
      <c r="H22" s="1" t="str">
        <f t="shared" si="34"/>
        <v>0</v>
      </c>
      <c r="I22" s="1" t="str">
        <f t="shared" si="34"/>
        <v>0</v>
      </c>
      <c r="J22" s="1" t="str">
        <f>"24"</f>
        <v>24</v>
      </c>
      <c r="K22" s="1" t="str">
        <f t="shared" ref="K22:P22" si="35">"0"</f>
        <v>0</v>
      </c>
      <c r="L22" s="1" t="str">
        <f t="shared" si="35"/>
        <v>0</v>
      </c>
      <c r="M22" s="1" t="str">
        <f t="shared" si="35"/>
        <v>0</v>
      </c>
      <c r="N22" s="1" t="str">
        <f t="shared" si="35"/>
        <v>0</v>
      </c>
      <c r="O22" s="1" t="str">
        <f t="shared" si="35"/>
        <v>0</v>
      </c>
      <c r="P22" s="1" t="str">
        <f t="shared" si="35"/>
        <v>0</v>
      </c>
      <c r="Q22" s="1" t="str">
        <f t="shared" si="2"/>
        <v>0.0070</v>
      </c>
      <c r="R22" s="1" t="s">
        <v>29</v>
      </c>
      <c r="S22" s="1">
        <v>-0.0014</v>
      </c>
      <c r="T22" s="1" t="str">
        <f t="shared" si="3"/>
        <v>0</v>
      </c>
      <c r="U22" s="1" t="str">
        <f t="shared" si="28"/>
        <v>0.0056</v>
      </c>
    </row>
    <row r="23" s="1" customFormat="1" spans="1:21">
      <c r="A23" s="1" t="str">
        <f>"4601991400634"</f>
        <v>4601991400634</v>
      </c>
      <c r="B23" s="1" t="s">
        <v>46</v>
      </c>
      <c r="C23" s="1" t="s">
        <v>24</v>
      </c>
      <c r="D23" s="1" t="str">
        <f t="shared" si="0"/>
        <v>2021</v>
      </c>
      <c r="E23" s="1" t="str">
        <f t="shared" ref="E23:P23" si="36">"0"</f>
        <v>0</v>
      </c>
      <c r="F23" s="1" t="str">
        <f t="shared" si="36"/>
        <v>0</v>
      </c>
      <c r="G23" s="1" t="str">
        <f t="shared" si="36"/>
        <v>0</v>
      </c>
      <c r="H23" s="1" t="str">
        <f t="shared" si="36"/>
        <v>0</v>
      </c>
      <c r="I23" s="1" t="str">
        <f t="shared" si="36"/>
        <v>0</v>
      </c>
      <c r="J23" s="1" t="str">
        <f t="shared" si="36"/>
        <v>0</v>
      </c>
      <c r="K23" s="1" t="str">
        <f t="shared" si="36"/>
        <v>0</v>
      </c>
      <c r="L23" s="1" t="str">
        <f t="shared" si="36"/>
        <v>0</v>
      </c>
      <c r="M23" s="1" t="str">
        <f t="shared" si="36"/>
        <v>0</v>
      </c>
      <c r="N23" s="1" t="str">
        <f t="shared" si="36"/>
        <v>0</v>
      </c>
      <c r="O23" s="1" t="str">
        <f t="shared" si="36"/>
        <v>0</v>
      </c>
      <c r="P23" s="1" t="str">
        <f t="shared" si="36"/>
        <v>0</v>
      </c>
      <c r="Q23" s="1" t="str">
        <f t="shared" si="2"/>
        <v>0.0070</v>
      </c>
      <c r="R23" s="1" t="s">
        <v>25</v>
      </c>
      <c r="T23" s="1" t="str">
        <f t="shared" si="3"/>
        <v>0</v>
      </c>
      <c r="U23" s="1" t="str">
        <f t="shared" ref="U23:U27" si="37">"0.0070"</f>
        <v>0.0070</v>
      </c>
    </row>
    <row r="24" s="1" customFormat="1" spans="1:21">
      <c r="A24" s="1" t="str">
        <f>"4601991400835"</f>
        <v>4601991400835</v>
      </c>
      <c r="B24" s="1" t="s">
        <v>47</v>
      </c>
      <c r="C24" s="1" t="s">
        <v>24</v>
      </c>
      <c r="D24" s="1" t="str">
        <f t="shared" si="0"/>
        <v>2021</v>
      </c>
      <c r="E24" s="1" t="str">
        <f>"38.32"</f>
        <v>38.32</v>
      </c>
      <c r="F24" s="1" t="str">
        <f t="shared" ref="F24:I24" si="38">"0"</f>
        <v>0</v>
      </c>
      <c r="G24" s="1" t="str">
        <f t="shared" si="38"/>
        <v>0</v>
      </c>
      <c r="H24" s="1" t="str">
        <f t="shared" si="38"/>
        <v>0</v>
      </c>
      <c r="I24" s="1" t="str">
        <f t="shared" si="38"/>
        <v>0</v>
      </c>
      <c r="J24" s="1" t="str">
        <f>"4"</f>
        <v>4</v>
      </c>
      <c r="K24" s="1" t="str">
        <f t="shared" ref="K24:P24" si="39">"0"</f>
        <v>0</v>
      </c>
      <c r="L24" s="1" t="str">
        <f t="shared" si="39"/>
        <v>0</v>
      </c>
      <c r="M24" s="1" t="str">
        <f t="shared" si="39"/>
        <v>0</v>
      </c>
      <c r="N24" s="1" t="str">
        <f t="shared" si="39"/>
        <v>0</v>
      </c>
      <c r="O24" s="1" t="str">
        <f t="shared" si="39"/>
        <v>0</v>
      </c>
      <c r="P24" s="1" t="str">
        <f t="shared" si="39"/>
        <v>0</v>
      </c>
      <c r="Q24" s="1" t="str">
        <f t="shared" si="2"/>
        <v>0.0070</v>
      </c>
      <c r="R24" s="1" t="s">
        <v>25</v>
      </c>
      <c r="T24" s="1" t="str">
        <f t="shared" si="3"/>
        <v>0</v>
      </c>
      <c r="U24" s="1" t="str">
        <f t="shared" si="37"/>
        <v>0.0070</v>
      </c>
    </row>
    <row r="25" s="1" customFormat="1" spans="1:21">
      <c r="A25" s="1" t="str">
        <f>"4601991400718"</f>
        <v>4601991400718</v>
      </c>
      <c r="B25" s="1" t="s">
        <v>48</v>
      </c>
      <c r="C25" s="1" t="s">
        <v>24</v>
      </c>
      <c r="D25" s="1" t="str">
        <f t="shared" si="0"/>
        <v>2021</v>
      </c>
      <c r="E25" s="1" t="str">
        <f>"29.01"</f>
        <v>29.01</v>
      </c>
      <c r="F25" s="1" t="str">
        <f t="shared" ref="F25:I25" si="40">"0"</f>
        <v>0</v>
      </c>
      <c r="G25" s="1" t="str">
        <f t="shared" si="40"/>
        <v>0</v>
      </c>
      <c r="H25" s="1" t="str">
        <f t="shared" si="40"/>
        <v>0</v>
      </c>
      <c r="I25" s="1" t="str">
        <f t="shared" si="40"/>
        <v>0</v>
      </c>
      <c r="J25" s="1" t="str">
        <f>"3"</f>
        <v>3</v>
      </c>
      <c r="K25" s="1" t="str">
        <f t="shared" ref="K25:P25" si="41">"0"</f>
        <v>0</v>
      </c>
      <c r="L25" s="1" t="str">
        <f t="shared" si="41"/>
        <v>0</v>
      </c>
      <c r="M25" s="1" t="str">
        <f t="shared" si="41"/>
        <v>0</v>
      </c>
      <c r="N25" s="1" t="str">
        <f t="shared" si="41"/>
        <v>0</v>
      </c>
      <c r="O25" s="1" t="str">
        <f t="shared" si="41"/>
        <v>0</v>
      </c>
      <c r="P25" s="1" t="str">
        <f t="shared" si="41"/>
        <v>0</v>
      </c>
      <c r="Q25" s="1" t="str">
        <f t="shared" si="2"/>
        <v>0.0070</v>
      </c>
      <c r="R25" s="1" t="s">
        <v>29</v>
      </c>
      <c r="S25" s="1">
        <v>-0.0014</v>
      </c>
      <c r="T25" s="1" t="str">
        <f t="shared" si="3"/>
        <v>0</v>
      </c>
      <c r="U25" s="1" t="str">
        <f t="shared" ref="U25:U30" si="42">"0.0056"</f>
        <v>0.0056</v>
      </c>
    </row>
    <row r="26" s="1" customFormat="1" spans="1:21">
      <c r="A26" s="1" t="str">
        <f>"4601991400747"</f>
        <v>4601991400747</v>
      </c>
      <c r="B26" s="1" t="s">
        <v>49</v>
      </c>
      <c r="C26" s="1" t="s">
        <v>24</v>
      </c>
      <c r="D26" s="1" t="str">
        <f t="shared" si="0"/>
        <v>2021</v>
      </c>
      <c r="E26" s="1" t="str">
        <f t="shared" ref="E26:P26" si="43">"0"</f>
        <v>0</v>
      </c>
      <c r="F26" s="1" t="str">
        <f t="shared" si="43"/>
        <v>0</v>
      </c>
      <c r="G26" s="1" t="str">
        <f t="shared" si="43"/>
        <v>0</v>
      </c>
      <c r="H26" s="1" t="str">
        <f t="shared" si="43"/>
        <v>0</v>
      </c>
      <c r="I26" s="1" t="str">
        <f t="shared" si="43"/>
        <v>0</v>
      </c>
      <c r="J26" s="1" t="str">
        <f t="shared" si="43"/>
        <v>0</v>
      </c>
      <c r="K26" s="1" t="str">
        <f t="shared" si="43"/>
        <v>0</v>
      </c>
      <c r="L26" s="1" t="str">
        <f t="shared" si="43"/>
        <v>0</v>
      </c>
      <c r="M26" s="1" t="str">
        <f t="shared" si="43"/>
        <v>0</v>
      </c>
      <c r="N26" s="1" t="str">
        <f t="shared" si="43"/>
        <v>0</v>
      </c>
      <c r="O26" s="1" t="str">
        <f t="shared" si="43"/>
        <v>0</v>
      </c>
      <c r="P26" s="1" t="str">
        <f t="shared" si="43"/>
        <v>0</v>
      </c>
      <c r="Q26" s="1" t="str">
        <f t="shared" si="2"/>
        <v>0.0070</v>
      </c>
      <c r="R26" s="1" t="s">
        <v>25</v>
      </c>
      <c r="T26" s="1" t="str">
        <f t="shared" si="3"/>
        <v>0</v>
      </c>
      <c r="U26" s="1" t="str">
        <f t="shared" si="37"/>
        <v>0.0070</v>
      </c>
    </row>
    <row r="27" s="1" customFormat="1" spans="1:21">
      <c r="A27" s="1" t="str">
        <f>"4601991400950"</f>
        <v>4601991400950</v>
      </c>
      <c r="B27" s="1" t="s">
        <v>50</v>
      </c>
      <c r="C27" s="1" t="s">
        <v>24</v>
      </c>
      <c r="D27" s="1" t="str">
        <f t="shared" si="0"/>
        <v>2021</v>
      </c>
      <c r="E27" s="1" t="str">
        <f t="shared" ref="E27:P27" si="44">"0"</f>
        <v>0</v>
      </c>
      <c r="F27" s="1" t="str">
        <f t="shared" si="44"/>
        <v>0</v>
      </c>
      <c r="G27" s="1" t="str">
        <f t="shared" si="44"/>
        <v>0</v>
      </c>
      <c r="H27" s="1" t="str">
        <f t="shared" si="44"/>
        <v>0</v>
      </c>
      <c r="I27" s="1" t="str">
        <f t="shared" si="44"/>
        <v>0</v>
      </c>
      <c r="J27" s="1" t="str">
        <f t="shared" si="44"/>
        <v>0</v>
      </c>
      <c r="K27" s="1" t="str">
        <f t="shared" si="44"/>
        <v>0</v>
      </c>
      <c r="L27" s="1" t="str">
        <f t="shared" si="44"/>
        <v>0</v>
      </c>
      <c r="M27" s="1" t="str">
        <f t="shared" si="44"/>
        <v>0</v>
      </c>
      <c r="N27" s="1" t="str">
        <f t="shared" si="44"/>
        <v>0</v>
      </c>
      <c r="O27" s="1" t="str">
        <f t="shared" si="44"/>
        <v>0</v>
      </c>
      <c r="P27" s="1" t="str">
        <f t="shared" si="44"/>
        <v>0</v>
      </c>
      <c r="Q27" s="1" t="str">
        <f t="shared" si="2"/>
        <v>0.0070</v>
      </c>
      <c r="R27" s="1" t="s">
        <v>25</v>
      </c>
      <c r="T27" s="1" t="str">
        <f t="shared" si="3"/>
        <v>0</v>
      </c>
      <c r="U27" s="1" t="str">
        <f t="shared" si="37"/>
        <v>0.0070</v>
      </c>
    </row>
    <row r="28" s="1" customFormat="1" spans="1:21">
      <c r="A28" s="1" t="str">
        <f>"4601991401069"</f>
        <v>4601991401069</v>
      </c>
      <c r="B28" s="1" t="s">
        <v>51</v>
      </c>
      <c r="C28" s="1" t="s">
        <v>24</v>
      </c>
      <c r="D28" s="1" t="str">
        <f t="shared" si="0"/>
        <v>2021</v>
      </c>
      <c r="E28" s="1" t="str">
        <f>"106.37"</f>
        <v>106.37</v>
      </c>
      <c r="F28" s="1" t="str">
        <f t="shared" ref="F28:I28" si="45">"0"</f>
        <v>0</v>
      </c>
      <c r="G28" s="1" t="str">
        <f t="shared" si="45"/>
        <v>0</v>
      </c>
      <c r="H28" s="1" t="str">
        <f t="shared" si="45"/>
        <v>0</v>
      </c>
      <c r="I28" s="1" t="str">
        <f t="shared" si="45"/>
        <v>0</v>
      </c>
      <c r="J28" s="1" t="str">
        <f>"6"</f>
        <v>6</v>
      </c>
      <c r="K28" s="1" t="str">
        <f t="shared" ref="K28:P28" si="46">"0"</f>
        <v>0</v>
      </c>
      <c r="L28" s="1" t="str">
        <f t="shared" si="46"/>
        <v>0</v>
      </c>
      <c r="M28" s="1" t="str">
        <f t="shared" si="46"/>
        <v>0</v>
      </c>
      <c r="N28" s="1" t="str">
        <f t="shared" si="46"/>
        <v>0</v>
      </c>
      <c r="O28" s="1" t="str">
        <f t="shared" si="46"/>
        <v>0</v>
      </c>
      <c r="P28" s="1" t="str">
        <f t="shared" si="46"/>
        <v>0</v>
      </c>
      <c r="Q28" s="1" t="str">
        <f t="shared" si="2"/>
        <v>0.0070</v>
      </c>
      <c r="R28" s="1" t="s">
        <v>29</v>
      </c>
      <c r="S28" s="1">
        <v>-0.0014</v>
      </c>
      <c r="T28" s="1" t="str">
        <f t="shared" si="3"/>
        <v>0</v>
      </c>
      <c r="U28" s="1" t="str">
        <f t="shared" si="42"/>
        <v>0.0056</v>
      </c>
    </row>
    <row r="29" s="1" customFormat="1" spans="1:21">
      <c r="A29" s="1" t="str">
        <f>"4601991401220"</f>
        <v>4601991401220</v>
      </c>
      <c r="B29" s="1" t="s">
        <v>52</v>
      </c>
      <c r="C29" s="1" t="s">
        <v>24</v>
      </c>
      <c r="D29" s="1" t="str">
        <f t="shared" si="0"/>
        <v>2021</v>
      </c>
      <c r="E29" s="1" t="str">
        <f>"203.07"</f>
        <v>203.07</v>
      </c>
      <c r="F29" s="1" t="str">
        <f t="shared" ref="F29:I29" si="47">"0"</f>
        <v>0</v>
      </c>
      <c r="G29" s="1" t="str">
        <f t="shared" si="47"/>
        <v>0</v>
      </c>
      <c r="H29" s="1" t="str">
        <f t="shared" si="47"/>
        <v>0</v>
      </c>
      <c r="I29" s="1" t="str">
        <f t="shared" si="47"/>
        <v>0</v>
      </c>
      <c r="J29" s="1" t="str">
        <f>"20"</f>
        <v>20</v>
      </c>
      <c r="K29" s="1" t="str">
        <f>"1"</f>
        <v>1</v>
      </c>
      <c r="L29" s="1" t="str">
        <f t="shared" ref="L29:P29" si="48">"0"</f>
        <v>0</v>
      </c>
      <c r="M29" s="1" t="str">
        <f>"0.0500"</f>
        <v>0.0500</v>
      </c>
      <c r="N29" s="1" t="str">
        <f t="shared" si="48"/>
        <v>0</v>
      </c>
      <c r="O29" s="1" t="str">
        <f t="shared" si="48"/>
        <v>0</v>
      </c>
      <c r="P29" s="1" t="str">
        <f t="shared" si="48"/>
        <v>0</v>
      </c>
      <c r="Q29" s="1" t="str">
        <f t="shared" si="2"/>
        <v>0.0070</v>
      </c>
      <c r="R29" s="1" t="s">
        <v>29</v>
      </c>
      <c r="S29" s="1">
        <v>-0.0014</v>
      </c>
      <c r="T29" s="1" t="str">
        <f t="shared" si="3"/>
        <v>0</v>
      </c>
      <c r="U29" s="1" t="str">
        <f t="shared" si="42"/>
        <v>0.0056</v>
      </c>
    </row>
    <row r="30" s="1" customFormat="1" spans="1:21">
      <c r="A30" s="1" t="str">
        <f>"4601991401180"</f>
        <v>4601991401180</v>
      </c>
      <c r="B30" s="1" t="s">
        <v>53</v>
      </c>
      <c r="C30" s="1" t="s">
        <v>24</v>
      </c>
      <c r="D30" s="1" t="str">
        <f t="shared" si="0"/>
        <v>2021</v>
      </c>
      <c r="E30" s="1" t="str">
        <f>"9.67"</f>
        <v>9.67</v>
      </c>
      <c r="F30" s="1" t="str">
        <f t="shared" ref="F30:I30" si="49">"0"</f>
        <v>0</v>
      </c>
      <c r="G30" s="1" t="str">
        <f t="shared" si="49"/>
        <v>0</v>
      </c>
      <c r="H30" s="1" t="str">
        <f t="shared" si="49"/>
        <v>0</v>
      </c>
      <c r="I30" s="1" t="str">
        <f t="shared" si="49"/>
        <v>0</v>
      </c>
      <c r="J30" s="1" t="str">
        <f>"1"</f>
        <v>1</v>
      </c>
      <c r="K30" s="1" t="str">
        <f t="shared" ref="K30:P30" si="50">"0"</f>
        <v>0</v>
      </c>
      <c r="L30" s="1" t="str">
        <f t="shared" si="50"/>
        <v>0</v>
      </c>
      <c r="M30" s="1" t="str">
        <f t="shared" si="50"/>
        <v>0</v>
      </c>
      <c r="N30" s="1" t="str">
        <f t="shared" si="50"/>
        <v>0</v>
      </c>
      <c r="O30" s="1" t="str">
        <f t="shared" si="50"/>
        <v>0</v>
      </c>
      <c r="P30" s="1" t="str">
        <f t="shared" si="50"/>
        <v>0</v>
      </c>
      <c r="Q30" s="1" t="str">
        <f t="shared" si="2"/>
        <v>0.0070</v>
      </c>
      <c r="R30" s="1" t="s">
        <v>29</v>
      </c>
      <c r="S30" s="1">
        <v>-0.0014</v>
      </c>
      <c r="T30" s="1" t="str">
        <f t="shared" si="3"/>
        <v>0</v>
      </c>
      <c r="U30" s="1" t="str">
        <f t="shared" si="42"/>
        <v>0.0056</v>
      </c>
    </row>
    <row r="31" s="1" customFormat="1" spans="1:21">
      <c r="A31" s="1" t="str">
        <f>"4601991401131"</f>
        <v>4601991401131</v>
      </c>
      <c r="B31" s="1" t="s">
        <v>54</v>
      </c>
      <c r="C31" s="1" t="s">
        <v>24</v>
      </c>
      <c r="D31" s="1" t="str">
        <f t="shared" si="0"/>
        <v>2021</v>
      </c>
      <c r="E31" s="1" t="str">
        <f t="shared" ref="E31:P31" si="51">"0"</f>
        <v>0</v>
      </c>
      <c r="F31" s="1" t="str">
        <f t="shared" si="51"/>
        <v>0</v>
      </c>
      <c r="G31" s="1" t="str">
        <f t="shared" si="51"/>
        <v>0</v>
      </c>
      <c r="H31" s="1" t="str">
        <f t="shared" si="51"/>
        <v>0</v>
      </c>
      <c r="I31" s="1" t="str">
        <f t="shared" si="51"/>
        <v>0</v>
      </c>
      <c r="J31" s="1" t="str">
        <f t="shared" si="51"/>
        <v>0</v>
      </c>
      <c r="K31" s="1" t="str">
        <f t="shared" si="51"/>
        <v>0</v>
      </c>
      <c r="L31" s="1" t="str">
        <f t="shared" si="51"/>
        <v>0</v>
      </c>
      <c r="M31" s="1" t="str">
        <f t="shared" si="51"/>
        <v>0</v>
      </c>
      <c r="N31" s="1" t="str">
        <f t="shared" si="51"/>
        <v>0</v>
      </c>
      <c r="O31" s="1" t="str">
        <f t="shared" si="51"/>
        <v>0</v>
      </c>
      <c r="P31" s="1" t="str">
        <f t="shared" si="51"/>
        <v>0</v>
      </c>
      <c r="Q31" s="1" t="str">
        <f t="shared" si="2"/>
        <v>0.0070</v>
      </c>
      <c r="R31" s="1" t="s">
        <v>25</v>
      </c>
      <c r="T31" s="1" t="str">
        <f t="shared" si="3"/>
        <v>0</v>
      </c>
      <c r="U31" s="1" t="str">
        <f t="shared" ref="U31:U34" si="52">"0.0070"</f>
        <v>0.0070</v>
      </c>
    </row>
    <row r="32" s="1" customFormat="1" spans="1:21">
      <c r="A32" s="1" t="str">
        <f>"4601991401107"</f>
        <v>4601991401107</v>
      </c>
      <c r="B32" s="1" t="s">
        <v>55</v>
      </c>
      <c r="C32" s="1" t="s">
        <v>24</v>
      </c>
      <c r="D32" s="1" t="str">
        <f t="shared" si="0"/>
        <v>2021</v>
      </c>
      <c r="E32" s="1" t="str">
        <f t="shared" ref="E32:P32" si="53">"0"</f>
        <v>0</v>
      </c>
      <c r="F32" s="1" t="str">
        <f t="shared" si="53"/>
        <v>0</v>
      </c>
      <c r="G32" s="1" t="str">
        <f t="shared" si="53"/>
        <v>0</v>
      </c>
      <c r="H32" s="1" t="str">
        <f t="shared" si="53"/>
        <v>0</v>
      </c>
      <c r="I32" s="1" t="str">
        <f t="shared" si="53"/>
        <v>0</v>
      </c>
      <c r="J32" s="1" t="str">
        <f t="shared" si="53"/>
        <v>0</v>
      </c>
      <c r="K32" s="1" t="str">
        <f t="shared" si="53"/>
        <v>0</v>
      </c>
      <c r="L32" s="1" t="str">
        <f t="shared" si="53"/>
        <v>0</v>
      </c>
      <c r="M32" s="1" t="str">
        <f t="shared" si="53"/>
        <v>0</v>
      </c>
      <c r="N32" s="1" t="str">
        <f t="shared" si="53"/>
        <v>0</v>
      </c>
      <c r="O32" s="1" t="str">
        <f t="shared" si="53"/>
        <v>0</v>
      </c>
      <c r="P32" s="1" t="str">
        <f t="shared" si="53"/>
        <v>0</v>
      </c>
      <c r="Q32" s="1" t="str">
        <f t="shared" si="2"/>
        <v>0.0070</v>
      </c>
      <c r="R32" s="1" t="s">
        <v>25</v>
      </c>
      <c r="T32" s="1" t="str">
        <f t="shared" si="3"/>
        <v>0</v>
      </c>
      <c r="U32" s="1" t="str">
        <f t="shared" si="52"/>
        <v>0.0070</v>
      </c>
    </row>
    <row r="33" s="1" customFormat="1" spans="1:21">
      <c r="A33" s="1" t="str">
        <f>"4601991401106"</f>
        <v>4601991401106</v>
      </c>
      <c r="B33" s="1" t="s">
        <v>56</v>
      </c>
      <c r="C33" s="1" t="s">
        <v>24</v>
      </c>
      <c r="D33" s="1" t="str">
        <f t="shared" si="0"/>
        <v>2021</v>
      </c>
      <c r="E33" s="1" t="str">
        <f>"164.39"</f>
        <v>164.39</v>
      </c>
      <c r="F33" s="1" t="str">
        <f t="shared" ref="F33:I33" si="54">"0"</f>
        <v>0</v>
      </c>
      <c r="G33" s="1" t="str">
        <f t="shared" si="54"/>
        <v>0</v>
      </c>
      <c r="H33" s="1" t="str">
        <f t="shared" si="54"/>
        <v>0</v>
      </c>
      <c r="I33" s="1" t="str">
        <f t="shared" si="54"/>
        <v>0</v>
      </c>
      <c r="J33" s="1" t="str">
        <f>"11"</f>
        <v>11</v>
      </c>
      <c r="K33" s="1" t="str">
        <f t="shared" ref="K33:P33" si="55">"0"</f>
        <v>0</v>
      </c>
      <c r="L33" s="1" t="str">
        <f t="shared" si="55"/>
        <v>0</v>
      </c>
      <c r="M33" s="1" t="str">
        <f t="shared" si="55"/>
        <v>0</v>
      </c>
      <c r="N33" s="1" t="str">
        <f t="shared" si="55"/>
        <v>0</v>
      </c>
      <c r="O33" s="1" t="str">
        <f t="shared" si="55"/>
        <v>0</v>
      </c>
      <c r="P33" s="1" t="str">
        <f t="shared" si="55"/>
        <v>0</v>
      </c>
      <c r="Q33" s="1" t="str">
        <f t="shared" si="2"/>
        <v>0.0070</v>
      </c>
      <c r="R33" s="1" t="s">
        <v>29</v>
      </c>
      <c r="S33" s="1">
        <v>-0.0014</v>
      </c>
      <c r="T33" s="1" t="str">
        <f t="shared" si="3"/>
        <v>0</v>
      </c>
      <c r="U33" s="1" t="str">
        <f t="shared" ref="U33:U37" si="56">"0.0056"</f>
        <v>0.0056</v>
      </c>
    </row>
    <row r="34" s="1" customFormat="1" spans="1:21">
      <c r="A34" s="1" t="str">
        <f>"4601991401443"</f>
        <v>4601991401443</v>
      </c>
      <c r="B34" s="1" t="s">
        <v>57</v>
      </c>
      <c r="C34" s="1" t="s">
        <v>24</v>
      </c>
      <c r="D34" s="1" t="str">
        <f t="shared" si="0"/>
        <v>2021</v>
      </c>
      <c r="E34" s="1" t="str">
        <f t="shared" ref="E34:P34" si="57">"0"</f>
        <v>0</v>
      </c>
      <c r="F34" s="1" t="str">
        <f t="shared" si="57"/>
        <v>0</v>
      </c>
      <c r="G34" s="1" t="str">
        <f t="shared" si="57"/>
        <v>0</v>
      </c>
      <c r="H34" s="1" t="str">
        <f t="shared" si="57"/>
        <v>0</v>
      </c>
      <c r="I34" s="1" t="str">
        <f t="shared" si="57"/>
        <v>0</v>
      </c>
      <c r="J34" s="1" t="str">
        <f t="shared" si="57"/>
        <v>0</v>
      </c>
      <c r="K34" s="1" t="str">
        <f t="shared" si="57"/>
        <v>0</v>
      </c>
      <c r="L34" s="1" t="str">
        <f t="shared" si="57"/>
        <v>0</v>
      </c>
      <c r="M34" s="1" t="str">
        <f t="shared" si="57"/>
        <v>0</v>
      </c>
      <c r="N34" s="1" t="str">
        <f t="shared" si="57"/>
        <v>0</v>
      </c>
      <c r="O34" s="1" t="str">
        <f t="shared" si="57"/>
        <v>0</v>
      </c>
      <c r="P34" s="1" t="str">
        <f t="shared" si="57"/>
        <v>0</v>
      </c>
      <c r="Q34" s="1" t="str">
        <f t="shared" si="2"/>
        <v>0.0070</v>
      </c>
      <c r="R34" s="1" t="s">
        <v>25</v>
      </c>
      <c r="T34" s="1" t="str">
        <f t="shared" si="3"/>
        <v>0</v>
      </c>
      <c r="U34" s="1" t="str">
        <f t="shared" si="52"/>
        <v>0.0070</v>
      </c>
    </row>
    <row r="35" s="1" customFormat="1" spans="1:21">
      <c r="A35" s="1" t="str">
        <f>"4601991401417"</f>
        <v>4601991401417</v>
      </c>
      <c r="B35" s="1" t="s">
        <v>58</v>
      </c>
      <c r="C35" s="1" t="s">
        <v>24</v>
      </c>
      <c r="D35" s="1" t="str">
        <f t="shared" si="0"/>
        <v>2021</v>
      </c>
      <c r="E35" s="1" t="str">
        <f>"67.69"</f>
        <v>67.69</v>
      </c>
      <c r="F35" s="1" t="str">
        <f t="shared" ref="F35:I35" si="58">"0"</f>
        <v>0</v>
      </c>
      <c r="G35" s="1" t="str">
        <f t="shared" si="58"/>
        <v>0</v>
      </c>
      <c r="H35" s="1" t="str">
        <f t="shared" si="58"/>
        <v>0</v>
      </c>
      <c r="I35" s="1" t="str">
        <f t="shared" si="58"/>
        <v>0</v>
      </c>
      <c r="J35" s="1" t="str">
        <f>"7"</f>
        <v>7</v>
      </c>
      <c r="K35" s="1" t="str">
        <f t="shared" ref="K35:P35" si="59">"0"</f>
        <v>0</v>
      </c>
      <c r="L35" s="1" t="str">
        <f t="shared" si="59"/>
        <v>0</v>
      </c>
      <c r="M35" s="1" t="str">
        <f t="shared" si="59"/>
        <v>0</v>
      </c>
      <c r="N35" s="1" t="str">
        <f t="shared" si="59"/>
        <v>0</v>
      </c>
      <c r="O35" s="1" t="str">
        <f t="shared" si="59"/>
        <v>0</v>
      </c>
      <c r="P35" s="1" t="str">
        <f t="shared" si="59"/>
        <v>0</v>
      </c>
      <c r="Q35" s="1" t="str">
        <f t="shared" si="2"/>
        <v>0.0070</v>
      </c>
      <c r="R35" s="1" t="s">
        <v>29</v>
      </c>
      <c r="S35" s="1">
        <v>-0.0014</v>
      </c>
      <c r="T35" s="1" t="str">
        <f t="shared" si="3"/>
        <v>0</v>
      </c>
      <c r="U35" s="1" t="str">
        <f t="shared" si="56"/>
        <v>0.0056</v>
      </c>
    </row>
    <row r="36" s="1" customFormat="1" spans="1:21">
      <c r="A36" s="1" t="str">
        <f>"4601991401293"</f>
        <v>4601991401293</v>
      </c>
      <c r="B36" s="1" t="s">
        <v>59</v>
      </c>
      <c r="C36" s="1" t="s">
        <v>24</v>
      </c>
      <c r="D36" s="1" t="str">
        <f t="shared" si="0"/>
        <v>2021</v>
      </c>
      <c r="E36" s="1" t="str">
        <f t="shared" ref="E36:P36" si="60">"0"</f>
        <v>0</v>
      </c>
      <c r="F36" s="1" t="str">
        <f t="shared" si="60"/>
        <v>0</v>
      </c>
      <c r="G36" s="1" t="str">
        <f t="shared" si="60"/>
        <v>0</v>
      </c>
      <c r="H36" s="1" t="str">
        <f t="shared" si="60"/>
        <v>0</v>
      </c>
      <c r="I36" s="1" t="str">
        <f t="shared" si="60"/>
        <v>0</v>
      </c>
      <c r="J36" s="1" t="str">
        <f t="shared" si="60"/>
        <v>0</v>
      </c>
      <c r="K36" s="1" t="str">
        <f t="shared" si="60"/>
        <v>0</v>
      </c>
      <c r="L36" s="1" t="str">
        <f t="shared" si="60"/>
        <v>0</v>
      </c>
      <c r="M36" s="1" t="str">
        <f t="shared" si="60"/>
        <v>0</v>
      </c>
      <c r="N36" s="1" t="str">
        <f t="shared" si="60"/>
        <v>0</v>
      </c>
      <c r="O36" s="1" t="str">
        <f t="shared" si="60"/>
        <v>0</v>
      </c>
      <c r="P36" s="1" t="str">
        <f t="shared" si="60"/>
        <v>0</v>
      </c>
      <c r="Q36" s="1" t="str">
        <f t="shared" si="2"/>
        <v>0.0070</v>
      </c>
      <c r="R36" s="1" t="s">
        <v>25</v>
      </c>
      <c r="T36" s="1" t="str">
        <f t="shared" si="3"/>
        <v>0</v>
      </c>
      <c r="U36" s="1" t="str">
        <f t="shared" ref="U36:U40" si="61">"0.0070"</f>
        <v>0.0070</v>
      </c>
    </row>
    <row r="37" s="1" customFormat="1" spans="1:21">
      <c r="A37" s="1" t="str">
        <f>"4601991401222"</f>
        <v>4601991401222</v>
      </c>
      <c r="B37" s="1" t="s">
        <v>60</v>
      </c>
      <c r="C37" s="1" t="s">
        <v>24</v>
      </c>
      <c r="D37" s="1" t="str">
        <f t="shared" si="0"/>
        <v>2021</v>
      </c>
      <c r="E37" s="1" t="str">
        <f>"5231.19"</f>
        <v>5231.19</v>
      </c>
      <c r="F37" s="1" t="str">
        <f t="shared" ref="F37:I37" si="62">"0"</f>
        <v>0</v>
      </c>
      <c r="G37" s="1" t="str">
        <f t="shared" si="62"/>
        <v>0</v>
      </c>
      <c r="H37" s="1" t="str">
        <f t="shared" si="62"/>
        <v>0</v>
      </c>
      <c r="I37" s="1" t="str">
        <f t="shared" si="62"/>
        <v>0</v>
      </c>
      <c r="J37" s="1" t="str">
        <f>"327"</f>
        <v>327</v>
      </c>
      <c r="K37" s="1" t="str">
        <f>"2"</f>
        <v>2</v>
      </c>
      <c r="L37" s="1" t="str">
        <f t="shared" ref="L37:P37" si="63">"0"</f>
        <v>0</v>
      </c>
      <c r="M37" s="1" t="str">
        <f>"0.0061"</f>
        <v>0.0061</v>
      </c>
      <c r="N37" s="1" t="str">
        <f t="shared" si="63"/>
        <v>0</v>
      </c>
      <c r="O37" s="1" t="str">
        <f t="shared" si="63"/>
        <v>0</v>
      </c>
      <c r="P37" s="1" t="str">
        <f t="shared" si="63"/>
        <v>0</v>
      </c>
      <c r="Q37" s="1" t="str">
        <f t="shared" si="2"/>
        <v>0.0070</v>
      </c>
      <c r="R37" s="1" t="s">
        <v>29</v>
      </c>
      <c r="S37" s="1">
        <v>-0.0014</v>
      </c>
      <c r="T37" s="1" t="str">
        <f t="shared" si="3"/>
        <v>0</v>
      </c>
      <c r="U37" s="1" t="str">
        <f t="shared" si="56"/>
        <v>0.0056</v>
      </c>
    </row>
    <row r="38" s="1" customFormat="1" spans="1:21">
      <c r="A38" s="1" t="str">
        <f>"4601991401451"</f>
        <v>4601991401451</v>
      </c>
      <c r="B38" s="1" t="s">
        <v>61</v>
      </c>
      <c r="C38" s="1" t="s">
        <v>24</v>
      </c>
      <c r="D38" s="1" t="str">
        <f t="shared" si="0"/>
        <v>2021</v>
      </c>
      <c r="E38" s="1" t="str">
        <f t="shared" ref="E38:P38" si="64">"0"</f>
        <v>0</v>
      </c>
      <c r="F38" s="1" t="str">
        <f t="shared" si="64"/>
        <v>0</v>
      </c>
      <c r="G38" s="1" t="str">
        <f t="shared" si="64"/>
        <v>0</v>
      </c>
      <c r="H38" s="1" t="str">
        <f t="shared" si="64"/>
        <v>0</v>
      </c>
      <c r="I38" s="1" t="str">
        <f t="shared" si="64"/>
        <v>0</v>
      </c>
      <c r="J38" s="1" t="str">
        <f t="shared" si="64"/>
        <v>0</v>
      </c>
      <c r="K38" s="1" t="str">
        <f t="shared" si="64"/>
        <v>0</v>
      </c>
      <c r="L38" s="1" t="str">
        <f t="shared" si="64"/>
        <v>0</v>
      </c>
      <c r="M38" s="1" t="str">
        <f t="shared" si="64"/>
        <v>0</v>
      </c>
      <c r="N38" s="1" t="str">
        <f t="shared" si="64"/>
        <v>0</v>
      </c>
      <c r="O38" s="1" t="str">
        <f t="shared" si="64"/>
        <v>0</v>
      </c>
      <c r="P38" s="1" t="str">
        <f t="shared" si="64"/>
        <v>0</v>
      </c>
      <c r="Q38" s="1" t="str">
        <f t="shared" si="2"/>
        <v>0.0070</v>
      </c>
      <c r="R38" s="1" t="s">
        <v>25</v>
      </c>
      <c r="T38" s="1" t="str">
        <f t="shared" si="3"/>
        <v>0</v>
      </c>
      <c r="U38" s="1" t="str">
        <f t="shared" si="61"/>
        <v>0.0070</v>
      </c>
    </row>
    <row r="39" s="1" customFormat="1" spans="1:21">
      <c r="A39" s="1" t="str">
        <f>"4601991401338"</f>
        <v>4601991401338</v>
      </c>
      <c r="B39" s="1" t="s">
        <v>62</v>
      </c>
      <c r="C39" s="1" t="s">
        <v>24</v>
      </c>
      <c r="D39" s="1" t="str">
        <f t="shared" si="0"/>
        <v>2021</v>
      </c>
      <c r="E39" s="1" t="str">
        <f t="shared" ref="E39:P39" si="65">"0"</f>
        <v>0</v>
      </c>
      <c r="F39" s="1" t="str">
        <f t="shared" si="65"/>
        <v>0</v>
      </c>
      <c r="G39" s="1" t="str">
        <f t="shared" si="65"/>
        <v>0</v>
      </c>
      <c r="H39" s="1" t="str">
        <f t="shared" si="65"/>
        <v>0</v>
      </c>
      <c r="I39" s="1" t="str">
        <f t="shared" si="65"/>
        <v>0</v>
      </c>
      <c r="J39" s="1" t="str">
        <f t="shared" si="65"/>
        <v>0</v>
      </c>
      <c r="K39" s="1" t="str">
        <f t="shared" si="65"/>
        <v>0</v>
      </c>
      <c r="L39" s="1" t="str">
        <f t="shared" si="65"/>
        <v>0</v>
      </c>
      <c r="M39" s="1" t="str">
        <f t="shared" si="65"/>
        <v>0</v>
      </c>
      <c r="N39" s="1" t="str">
        <f t="shared" si="65"/>
        <v>0</v>
      </c>
      <c r="O39" s="1" t="str">
        <f t="shared" si="65"/>
        <v>0</v>
      </c>
      <c r="P39" s="1" t="str">
        <f t="shared" si="65"/>
        <v>0</v>
      </c>
      <c r="Q39" s="1" t="str">
        <f t="shared" si="2"/>
        <v>0.0070</v>
      </c>
      <c r="R39" s="1" t="s">
        <v>25</v>
      </c>
      <c r="T39" s="1" t="str">
        <f t="shared" si="3"/>
        <v>0</v>
      </c>
      <c r="U39" s="1" t="str">
        <f t="shared" si="61"/>
        <v>0.0070</v>
      </c>
    </row>
    <row r="40" s="1" customFormat="1" spans="1:21">
      <c r="A40" s="1" t="str">
        <f>"4601991401322"</f>
        <v>4601991401322</v>
      </c>
      <c r="B40" s="1" t="s">
        <v>63</v>
      </c>
      <c r="C40" s="1" t="s">
        <v>24</v>
      </c>
      <c r="D40" s="1" t="str">
        <f t="shared" si="0"/>
        <v>2021</v>
      </c>
      <c r="E40" s="1" t="str">
        <f t="shared" ref="E40:P40" si="66">"0"</f>
        <v>0</v>
      </c>
      <c r="F40" s="1" t="str">
        <f t="shared" si="66"/>
        <v>0</v>
      </c>
      <c r="G40" s="1" t="str">
        <f t="shared" si="66"/>
        <v>0</v>
      </c>
      <c r="H40" s="1" t="str">
        <f t="shared" si="66"/>
        <v>0</v>
      </c>
      <c r="I40" s="1" t="str">
        <f t="shared" si="66"/>
        <v>0</v>
      </c>
      <c r="J40" s="1" t="str">
        <f t="shared" si="66"/>
        <v>0</v>
      </c>
      <c r="K40" s="1" t="str">
        <f t="shared" si="66"/>
        <v>0</v>
      </c>
      <c r="L40" s="1" t="str">
        <f t="shared" si="66"/>
        <v>0</v>
      </c>
      <c r="M40" s="1" t="str">
        <f t="shared" si="66"/>
        <v>0</v>
      </c>
      <c r="N40" s="1" t="str">
        <f t="shared" si="66"/>
        <v>0</v>
      </c>
      <c r="O40" s="1" t="str">
        <f t="shared" si="66"/>
        <v>0</v>
      </c>
      <c r="P40" s="1" t="str">
        <f t="shared" si="66"/>
        <v>0</v>
      </c>
      <c r="Q40" s="1" t="str">
        <f t="shared" si="2"/>
        <v>0.0070</v>
      </c>
      <c r="R40" s="1" t="s">
        <v>25</v>
      </c>
      <c r="T40" s="1" t="str">
        <f t="shared" si="3"/>
        <v>0</v>
      </c>
      <c r="U40" s="1" t="str">
        <f t="shared" si="61"/>
        <v>0.0070</v>
      </c>
    </row>
    <row r="41" s="1" customFormat="1" spans="1:21">
      <c r="A41" s="1" t="str">
        <f>"4601991401320"</f>
        <v>4601991401320</v>
      </c>
      <c r="B41" s="1" t="s">
        <v>64</v>
      </c>
      <c r="C41" s="1" t="s">
        <v>24</v>
      </c>
      <c r="D41" s="1" t="str">
        <f t="shared" si="0"/>
        <v>2021</v>
      </c>
      <c r="E41" s="1" t="str">
        <f>"12.09"</f>
        <v>12.09</v>
      </c>
      <c r="F41" s="1" t="str">
        <f t="shared" ref="F41:I41" si="67">"0"</f>
        <v>0</v>
      </c>
      <c r="G41" s="1" t="str">
        <f t="shared" si="67"/>
        <v>0</v>
      </c>
      <c r="H41" s="1" t="str">
        <f t="shared" si="67"/>
        <v>0</v>
      </c>
      <c r="I41" s="1" t="str">
        <f t="shared" si="67"/>
        <v>0</v>
      </c>
      <c r="J41" s="1" t="str">
        <f>"1"</f>
        <v>1</v>
      </c>
      <c r="K41" s="1" t="str">
        <f t="shared" ref="K41:P41" si="68">"0"</f>
        <v>0</v>
      </c>
      <c r="L41" s="1" t="str">
        <f t="shared" si="68"/>
        <v>0</v>
      </c>
      <c r="M41" s="1" t="str">
        <f t="shared" si="68"/>
        <v>0</v>
      </c>
      <c r="N41" s="1" t="str">
        <f t="shared" si="68"/>
        <v>0</v>
      </c>
      <c r="O41" s="1" t="str">
        <f t="shared" si="68"/>
        <v>0</v>
      </c>
      <c r="P41" s="1" t="str">
        <f t="shared" si="68"/>
        <v>0</v>
      </c>
      <c r="Q41" s="1" t="str">
        <f t="shared" si="2"/>
        <v>0.0070</v>
      </c>
      <c r="R41" s="1" t="s">
        <v>29</v>
      </c>
      <c r="S41" s="1">
        <v>-0.0014</v>
      </c>
      <c r="T41" s="1" t="str">
        <f t="shared" si="3"/>
        <v>0</v>
      </c>
      <c r="U41" s="1" t="str">
        <f>"0.0056"</f>
        <v>0.0056</v>
      </c>
    </row>
    <row r="42" s="1" customFormat="1" spans="1:21">
      <c r="A42" s="1" t="str">
        <f>"4601991401596"</f>
        <v>4601991401596</v>
      </c>
      <c r="B42" s="1" t="s">
        <v>65</v>
      </c>
      <c r="C42" s="1" t="s">
        <v>24</v>
      </c>
      <c r="D42" s="1" t="str">
        <f t="shared" si="0"/>
        <v>2021</v>
      </c>
      <c r="E42" s="1" t="str">
        <f t="shared" ref="E42:P42" si="69">"0"</f>
        <v>0</v>
      </c>
      <c r="F42" s="1" t="str">
        <f t="shared" si="69"/>
        <v>0</v>
      </c>
      <c r="G42" s="1" t="str">
        <f t="shared" si="69"/>
        <v>0</v>
      </c>
      <c r="H42" s="1" t="str">
        <f t="shared" si="69"/>
        <v>0</v>
      </c>
      <c r="I42" s="1" t="str">
        <f t="shared" si="69"/>
        <v>0</v>
      </c>
      <c r="J42" s="1" t="str">
        <f t="shared" si="69"/>
        <v>0</v>
      </c>
      <c r="K42" s="1" t="str">
        <f t="shared" si="69"/>
        <v>0</v>
      </c>
      <c r="L42" s="1" t="str">
        <f t="shared" si="69"/>
        <v>0</v>
      </c>
      <c r="M42" s="1" t="str">
        <f t="shared" si="69"/>
        <v>0</v>
      </c>
      <c r="N42" s="1" t="str">
        <f t="shared" si="69"/>
        <v>0</v>
      </c>
      <c r="O42" s="1" t="str">
        <f t="shared" si="69"/>
        <v>0</v>
      </c>
      <c r="P42" s="1" t="str">
        <f t="shared" si="69"/>
        <v>0</v>
      </c>
      <c r="Q42" s="1" t="str">
        <f t="shared" si="2"/>
        <v>0.0070</v>
      </c>
      <c r="R42" s="1" t="s">
        <v>25</v>
      </c>
      <c r="T42" s="1" t="str">
        <f t="shared" si="3"/>
        <v>0</v>
      </c>
      <c r="U42" s="1" t="str">
        <f t="shared" ref="U42:U47" si="70">"0.0070"</f>
        <v>0.0070</v>
      </c>
    </row>
    <row r="43" s="1" customFormat="1" spans="1:21">
      <c r="A43" s="1" t="str">
        <f>"4601991401534"</f>
        <v>4601991401534</v>
      </c>
      <c r="B43" s="1" t="s">
        <v>66</v>
      </c>
      <c r="C43" s="1" t="s">
        <v>24</v>
      </c>
      <c r="D43" s="1" t="str">
        <f t="shared" si="0"/>
        <v>2021</v>
      </c>
      <c r="E43" s="1" t="str">
        <f>"733.08"</f>
        <v>733.08</v>
      </c>
      <c r="F43" s="1" t="str">
        <f t="shared" ref="F43:I43" si="71">"0"</f>
        <v>0</v>
      </c>
      <c r="G43" s="1" t="str">
        <f t="shared" si="71"/>
        <v>0</v>
      </c>
      <c r="H43" s="1" t="str">
        <f t="shared" si="71"/>
        <v>0</v>
      </c>
      <c r="I43" s="1" t="str">
        <f t="shared" si="71"/>
        <v>0</v>
      </c>
      <c r="J43" s="1" t="str">
        <f>"79"</f>
        <v>79</v>
      </c>
      <c r="K43" s="1" t="str">
        <f t="shared" ref="K43:P43" si="72">"0"</f>
        <v>0</v>
      </c>
      <c r="L43" s="1" t="str">
        <f t="shared" si="72"/>
        <v>0</v>
      </c>
      <c r="M43" s="1" t="str">
        <f t="shared" si="72"/>
        <v>0</v>
      </c>
      <c r="N43" s="1" t="str">
        <f t="shared" si="72"/>
        <v>0</v>
      </c>
      <c r="O43" s="1" t="str">
        <f t="shared" si="72"/>
        <v>0</v>
      </c>
      <c r="P43" s="1" t="str">
        <f t="shared" si="72"/>
        <v>0</v>
      </c>
      <c r="Q43" s="1" t="str">
        <f t="shared" si="2"/>
        <v>0.0070</v>
      </c>
      <c r="R43" s="1" t="s">
        <v>29</v>
      </c>
      <c r="S43" s="1">
        <v>-0.0014</v>
      </c>
      <c r="T43" s="1" t="str">
        <f t="shared" si="3"/>
        <v>0</v>
      </c>
      <c r="U43" s="1" t="str">
        <f>"0.0056"</f>
        <v>0.0056</v>
      </c>
    </row>
    <row r="44" s="1" customFormat="1" spans="1:21">
      <c r="A44" s="1" t="str">
        <f>"4601991401640"</f>
        <v>4601991401640</v>
      </c>
      <c r="B44" s="1" t="s">
        <v>67</v>
      </c>
      <c r="C44" s="1" t="s">
        <v>24</v>
      </c>
      <c r="D44" s="1" t="str">
        <f t="shared" si="0"/>
        <v>2021</v>
      </c>
      <c r="E44" s="1" t="str">
        <f t="shared" ref="E44:P44" si="73">"0"</f>
        <v>0</v>
      </c>
      <c r="F44" s="1" t="str">
        <f t="shared" si="73"/>
        <v>0</v>
      </c>
      <c r="G44" s="1" t="str">
        <f t="shared" si="73"/>
        <v>0</v>
      </c>
      <c r="H44" s="1" t="str">
        <f t="shared" si="73"/>
        <v>0</v>
      </c>
      <c r="I44" s="1" t="str">
        <f t="shared" si="73"/>
        <v>0</v>
      </c>
      <c r="J44" s="1" t="str">
        <f t="shared" si="73"/>
        <v>0</v>
      </c>
      <c r="K44" s="1" t="str">
        <f t="shared" si="73"/>
        <v>0</v>
      </c>
      <c r="L44" s="1" t="str">
        <f t="shared" si="73"/>
        <v>0</v>
      </c>
      <c r="M44" s="1" t="str">
        <f t="shared" si="73"/>
        <v>0</v>
      </c>
      <c r="N44" s="1" t="str">
        <f t="shared" si="73"/>
        <v>0</v>
      </c>
      <c r="O44" s="1" t="str">
        <f t="shared" si="73"/>
        <v>0</v>
      </c>
      <c r="P44" s="1" t="str">
        <f t="shared" si="73"/>
        <v>0</v>
      </c>
      <c r="Q44" s="1" t="str">
        <f t="shared" si="2"/>
        <v>0.0070</v>
      </c>
      <c r="R44" s="1" t="s">
        <v>25</v>
      </c>
      <c r="T44" s="1" t="str">
        <f t="shared" si="3"/>
        <v>0</v>
      </c>
      <c r="U44" s="1" t="str">
        <f t="shared" si="70"/>
        <v>0.0070</v>
      </c>
    </row>
    <row r="45" s="1" customFormat="1" spans="1:21">
      <c r="A45" s="1" t="str">
        <f>"4601991401638"</f>
        <v>4601991401638</v>
      </c>
      <c r="B45" s="1" t="s">
        <v>68</v>
      </c>
      <c r="C45" s="1" t="s">
        <v>24</v>
      </c>
      <c r="D45" s="1" t="str">
        <f t="shared" si="0"/>
        <v>2021</v>
      </c>
      <c r="E45" s="1" t="str">
        <f>"721.26"</f>
        <v>721.26</v>
      </c>
      <c r="F45" s="1" t="str">
        <f>"82516.02"</f>
        <v>82516.02</v>
      </c>
      <c r="G45" s="1" t="str">
        <f t="shared" ref="G45:P45" si="74">"0"</f>
        <v>0</v>
      </c>
      <c r="H45" s="1" t="str">
        <f t="shared" si="74"/>
        <v>0</v>
      </c>
      <c r="I45" s="1" t="str">
        <f>"114.4054"</f>
        <v>114.4054</v>
      </c>
      <c r="J45" s="1" t="str">
        <f>"56"</f>
        <v>56</v>
      </c>
      <c r="K45" s="1" t="str">
        <f t="shared" si="74"/>
        <v>0</v>
      </c>
      <c r="L45" s="1" t="str">
        <f t="shared" si="74"/>
        <v>0</v>
      </c>
      <c r="M45" s="1" t="str">
        <f t="shared" si="74"/>
        <v>0</v>
      </c>
      <c r="N45" s="1" t="str">
        <f t="shared" si="74"/>
        <v>0</v>
      </c>
      <c r="O45" s="1" t="str">
        <f t="shared" si="74"/>
        <v>0</v>
      </c>
      <c r="P45" s="1" t="str">
        <f t="shared" si="74"/>
        <v>0</v>
      </c>
      <c r="Q45" s="1" t="str">
        <f t="shared" si="2"/>
        <v>0.0070</v>
      </c>
      <c r="R45" s="1" t="s">
        <v>69</v>
      </c>
      <c r="S45" s="1" t="str">
        <f>"0.0014"</f>
        <v>0.0014</v>
      </c>
      <c r="T45" s="1" t="str">
        <f t="shared" si="3"/>
        <v>0</v>
      </c>
      <c r="U45" s="1" t="str">
        <f>"0.0084"</f>
        <v>0.0084</v>
      </c>
    </row>
    <row r="46" s="1" customFormat="1" spans="1:21">
      <c r="A46" s="1" t="str">
        <f>"4601991401494"</f>
        <v>4601991401494</v>
      </c>
      <c r="B46" s="1" t="s">
        <v>70</v>
      </c>
      <c r="C46" s="1" t="s">
        <v>24</v>
      </c>
      <c r="D46" s="1" t="str">
        <f t="shared" si="0"/>
        <v>2021</v>
      </c>
      <c r="E46" s="1" t="str">
        <f t="shared" ref="E46:P46" si="75">"0"</f>
        <v>0</v>
      </c>
      <c r="F46" s="1" t="str">
        <f t="shared" si="75"/>
        <v>0</v>
      </c>
      <c r="G46" s="1" t="str">
        <f t="shared" si="75"/>
        <v>0</v>
      </c>
      <c r="H46" s="1" t="str">
        <f t="shared" si="75"/>
        <v>0</v>
      </c>
      <c r="I46" s="1" t="str">
        <f t="shared" si="75"/>
        <v>0</v>
      </c>
      <c r="J46" s="1" t="str">
        <f t="shared" si="75"/>
        <v>0</v>
      </c>
      <c r="K46" s="1" t="str">
        <f t="shared" si="75"/>
        <v>0</v>
      </c>
      <c r="L46" s="1" t="str">
        <f t="shared" si="75"/>
        <v>0</v>
      </c>
      <c r="M46" s="1" t="str">
        <f t="shared" si="75"/>
        <v>0</v>
      </c>
      <c r="N46" s="1" t="str">
        <f t="shared" si="75"/>
        <v>0</v>
      </c>
      <c r="O46" s="1" t="str">
        <f t="shared" si="75"/>
        <v>0</v>
      </c>
      <c r="P46" s="1" t="str">
        <f t="shared" si="75"/>
        <v>0</v>
      </c>
      <c r="Q46" s="1" t="str">
        <f t="shared" si="2"/>
        <v>0.0070</v>
      </c>
      <c r="R46" s="1" t="s">
        <v>25</v>
      </c>
      <c r="T46" s="1" t="str">
        <f t="shared" si="3"/>
        <v>0</v>
      </c>
      <c r="U46" s="1" t="str">
        <f t="shared" si="70"/>
        <v>0.0070</v>
      </c>
    </row>
    <row r="47" s="1" customFormat="1" spans="1:21">
      <c r="A47" s="1" t="str">
        <f>"4601991401794"</f>
        <v>4601991401794</v>
      </c>
      <c r="B47" s="1" t="s">
        <v>71</v>
      </c>
      <c r="C47" s="1" t="s">
        <v>24</v>
      </c>
      <c r="D47" s="1" t="str">
        <f t="shared" si="0"/>
        <v>2021</v>
      </c>
      <c r="E47" s="1" t="str">
        <f t="shared" ref="E47:P47" si="76">"0"</f>
        <v>0</v>
      </c>
      <c r="F47" s="1" t="str">
        <f t="shared" si="76"/>
        <v>0</v>
      </c>
      <c r="G47" s="1" t="str">
        <f t="shared" si="76"/>
        <v>0</v>
      </c>
      <c r="H47" s="1" t="str">
        <f t="shared" si="76"/>
        <v>0</v>
      </c>
      <c r="I47" s="1" t="str">
        <f t="shared" si="76"/>
        <v>0</v>
      </c>
      <c r="J47" s="1" t="str">
        <f t="shared" si="76"/>
        <v>0</v>
      </c>
      <c r="K47" s="1" t="str">
        <f t="shared" si="76"/>
        <v>0</v>
      </c>
      <c r="L47" s="1" t="str">
        <f t="shared" si="76"/>
        <v>0</v>
      </c>
      <c r="M47" s="1" t="str">
        <f t="shared" si="76"/>
        <v>0</v>
      </c>
      <c r="N47" s="1" t="str">
        <f t="shared" si="76"/>
        <v>0</v>
      </c>
      <c r="O47" s="1" t="str">
        <f t="shared" si="76"/>
        <v>0</v>
      </c>
      <c r="P47" s="1" t="str">
        <f t="shared" si="76"/>
        <v>0</v>
      </c>
      <c r="Q47" s="1" t="str">
        <f t="shared" si="2"/>
        <v>0.0070</v>
      </c>
      <c r="R47" s="1" t="s">
        <v>25</v>
      </c>
      <c r="T47" s="1" t="str">
        <f t="shared" si="3"/>
        <v>0</v>
      </c>
      <c r="U47" s="1" t="str">
        <f t="shared" si="70"/>
        <v>0.0070</v>
      </c>
    </row>
    <row r="48" s="1" customFormat="1" spans="1:21">
      <c r="A48" s="1" t="str">
        <f>"4601991401637"</f>
        <v>4601991401637</v>
      </c>
      <c r="B48" s="1" t="s">
        <v>72</v>
      </c>
      <c r="C48" s="1" t="s">
        <v>24</v>
      </c>
      <c r="D48" s="1" t="str">
        <f t="shared" si="0"/>
        <v>2021</v>
      </c>
      <c r="E48" s="1" t="str">
        <f>"1173.96"</f>
        <v>1173.96</v>
      </c>
      <c r="F48" s="1" t="str">
        <f t="shared" ref="F48:I48" si="77">"0"</f>
        <v>0</v>
      </c>
      <c r="G48" s="1" t="str">
        <f t="shared" si="77"/>
        <v>0</v>
      </c>
      <c r="H48" s="1" t="str">
        <f t="shared" si="77"/>
        <v>0</v>
      </c>
      <c r="I48" s="1" t="str">
        <f t="shared" si="77"/>
        <v>0</v>
      </c>
      <c r="J48" s="1" t="str">
        <f>"45"</f>
        <v>45</v>
      </c>
      <c r="K48" s="1" t="str">
        <f t="shared" ref="K48:P48" si="78">"0"</f>
        <v>0</v>
      </c>
      <c r="L48" s="1" t="str">
        <f t="shared" si="78"/>
        <v>0</v>
      </c>
      <c r="M48" s="1" t="str">
        <f t="shared" si="78"/>
        <v>0</v>
      </c>
      <c r="N48" s="1" t="str">
        <f t="shared" si="78"/>
        <v>0</v>
      </c>
      <c r="O48" s="1" t="str">
        <f t="shared" si="78"/>
        <v>0</v>
      </c>
      <c r="P48" s="1" t="str">
        <f t="shared" si="78"/>
        <v>0</v>
      </c>
      <c r="Q48" s="1" t="str">
        <f t="shared" si="2"/>
        <v>0.0070</v>
      </c>
      <c r="R48" s="1" t="s">
        <v>29</v>
      </c>
      <c r="S48" s="1">
        <v>-0.0014</v>
      </c>
      <c r="T48" s="1" t="str">
        <f t="shared" si="3"/>
        <v>0</v>
      </c>
      <c r="U48" s="1" t="str">
        <f t="shared" ref="U48:U55" si="79">"0.0056"</f>
        <v>0.0056</v>
      </c>
    </row>
    <row r="49" s="1" customFormat="1" spans="1:21">
      <c r="A49" s="1" t="str">
        <f>"4601991401840"</f>
        <v>4601991401840</v>
      </c>
      <c r="B49" s="1" t="s">
        <v>73</v>
      </c>
      <c r="C49" s="1" t="s">
        <v>24</v>
      </c>
      <c r="D49" s="1" t="str">
        <f t="shared" si="0"/>
        <v>2021</v>
      </c>
      <c r="E49" s="1" t="str">
        <f t="shared" ref="E49:P49" si="80">"0"</f>
        <v>0</v>
      </c>
      <c r="F49" s="1" t="str">
        <f t="shared" si="80"/>
        <v>0</v>
      </c>
      <c r="G49" s="1" t="str">
        <f t="shared" si="80"/>
        <v>0</v>
      </c>
      <c r="H49" s="1" t="str">
        <f t="shared" si="80"/>
        <v>0</v>
      </c>
      <c r="I49" s="1" t="str">
        <f t="shared" si="80"/>
        <v>0</v>
      </c>
      <c r="J49" s="1" t="str">
        <f t="shared" si="80"/>
        <v>0</v>
      </c>
      <c r="K49" s="1" t="str">
        <f t="shared" si="80"/>
        <v>0</v>
      </c>
      <c r="L49" s="1" t="str">
        <f t="shared" si="80"/>
        <v>0</v>
      </c>
      <c r="M49" s="1" t="str">
        <f t="shared" si="80"/>
        <v>0</v>
      </c>
      <c r="N49" s="1" t="str">
        <f t="shared" si="80"/>
        <v>0</v>
      </c>
      <c r="O49" s="1" t="str">
        <f t="shared" si="80"/>
        <v>0</v>
      </c>
      <c r="P49" s="1" t="str">
        <f t="shared" si="80"/>
        <v>0</v>
      </c>
      <c r="Q49" s="1" t="str">
        <f t="shared" si="2"/>
        <v>0.0070</v>
      </c>
      <c r="R49" s="1" t="s">
        <v>25</v>
      </c>
      <c r="T49" s="1" t="str">
        <f t="shared" si="3"/>
        <v>0</v>
      </c>
      <c r="U49" s="1" t="str">
        <f t="shared" ref="U49:U52" si="81">"0.0070"</f>
        <v>0.0070</v>
      </c>
    </row>
    <row r="50" s="1" customFormat="1" spans="1:21">
      <c r="A50" s="1" t="str">
        <f>"4601991401838"</f>
        <v>4601991401838</v>
      </c>
      <c r="B50" s="1" t="s">
        <v>74</v>
      </c>
      <c r="C50" s="1" t="s">
        <v>24</v>
      </c>
      <c r="D50" s="1" t="str">
        <f t="shared" si="0"/>
        <v>2021</v>
      </c>
      <c r="E50" s="1" t="str">
        <f t="shared" ref="E50:P50" si="82">"0"</f>
        <v>0</v>
      </c>
      <c r="F50" s="1" t="str">
        <f t="shared" si="82"/>
        <v>0</v>
      </c>
      <c r="G50" s="1" t="str">
        <f t="shared" si="82"/>
        <v>0</v>
      </c>
      <c r="H50" s="1" t="str">
        <f t="shared" si="82"/>
        <v>0</v>
      </c>
      <c r="I50" s="1" t="str">
        <f t="shared" si="82"/>
        <v>0</v>
      </c>
      <c r="J50" s="1" t="str">
        <f t="shared" si="82"/>
        <v>0</v>
      </c>
      <c r="K50" s="1" t="str">
        <f t="shared" si="82"/>
        <v>0</v>
      </c>
      <c r="L50" s="1" t="str">
        <f t="shared" si="82"/>
        <v>0</v>
      </c>
      <c r="M50" s="1" t="str">
        <f t="shared" si="82"/>
        <v>0</v>
      </c>
      <c r="N50" s="1" t="str">
        <f t="shared" si="82"/>
        <v>0</v>
      </c>
      <c r="O50" s="1" t="str">
        <f t="shared" si="82"/>
        <v>0</v>
      </c>
      <c r="P50" s="1" t="str">
        <f t="shared" si="82"/>
        <v>0</v>
      </c>
      <c r="Q50" s="1" t="str">
        <f t="shared" si="2"/>
        <v>0.0070</v>
      </c>
      <c r="R50" s="1" t="s">
        <v>25</v>
      </c>
      <c r="T50" s="1" t="str">
        <f t="shared" si="3"/>
        <v>0</v>
      </c>
      <c r="U50" s="1" t="str">
        <f t="shared" si="81"/>
        <v>0.0070</v>
      </c>
    </row>
    <row r="51" s="1" customFormat="1" spans="1:21">
      <c r="A51" s="1" t="str">
        <f>"4601991401513"</f>
        <v>4601991401513</v>
      </c>
      <c r="B51" s="1" t="s">
        <v>75</v>
      </c>
      <c r="C51" s="1" t="s">
        <v>24</v>
      </c>
      <c r="D51" s="1" t="str">
        <f t="shared" si="0"/>
        <v>2021</v>
      </c>
      <c r="E51" s="1" t="str">
        <f>"106.37"</f>
        <v>106.37</v>
      </c>
      <c r="F51" s="1" t="str">
        <f t="shared" ref="F51:I51" si="83">"0"</f>
        <v>0</v>
      </c>
      <c r="G51" s="1" t="str">
        <f t="shared" si="83"/>
        <v>0</v>
      </c>
      <c r="H51" s="1" t="str">
        <f t="shared" si="83"/>
        <v>0</v>
      </c>
      <c r="I51" s="1" t="str">
        <f t="shared" si="83"/>
        <v>0</v>
      </c>
      <c r="J51" s="1" t="str">
        <f>"10"</f>
        <v>10</v>
      </c>
      <c r="K51" s="1" t="str">
        <f t="shared" ref="K51:P51" si="84">"0"</f>
        <v>0</v>
      </c>
      <c r="L51" s="1" t="str">
        <f t="shared" si="84"/>
        <v>0</v>
      </c>
      <c r="M51" s="1" t="str">
        <f t="shared" si="84"/>
        <v>0</v>
      </c>
      <c r="N51" s="1" t="str">
        <f t="shared" si="84"/>
        <v>0</v>
      </c>
      <c r="O51" s="1" t="str">
        <f t="shared" si="84"/>
        <v>0</v>
      </c>
      <c r="P51" s="1" t="str">
        <f t="shared" si="84"/>
        <v>0</v>
      </c>
      <c r="Q51" s="1" t="str">
        <f t="shared" si="2"/>
        <v>0.0070</v>
      </c>
      <c r="R51" s="1" t="s">
        <v>29</v>
      </c>
      <c r="S51" s="1">
        <v>-0.0014</v>
      </c>
      <c r="T51" s="1" t="str">
        <f t="shared" si="3"/>
        <v>0</v>
      </c>
      <c r="U51" s="1" t="str">
        <f t="shared" si="79"/>
        <v>0.0056</v>
      </c>
    </row>
    <row r="52" s="1" customFormat="1" spans="1:21">
      <c r="A52" s="1" t="str">
        <f>"4601991401661"</f>
        <v>4601991401661</v>
      </c>
      <c r="B52" s="1" t="s">
        <v>76</v>
      </c>
      <c r="C52" s="1" t="s">
        <v>24</v>
      </c>
      <c r="D52" s="1" t="str">
        <f t="shared" si="0"/>
        <v>2021</v>
      </c>
      <c r="E52" s="1" t="str">
        <f t="shared" ref="E52:P52" si="85">"0"</f>
        <v>0</v>
      </c>
      <c r="F52" s="1" t="str">
        <f t="shared" si="85"/>
        <v>0</v>
      </c>
      <c r="G52" s="1" t="str">
        <f t="shared" si="85"/>
        <v>0</v>
      </c>
      <c r="H52" s="1" t="str">
        <f t="shared" si="85"/>
        <v>0</v>
      </c>
      <c r="I52" s="1" t="str">
        <f t="shared" si="85"/>
        <v>0</v>
      </c>
      <c r="J52" s="1" t="str">
        <f t="shared" si="85"/>
        <v>0</v>
      </c>
      <c r="K52" s="1" t="str">
        <f t="shared" si="85"/>
        <v>0</v>
      </c>
      <c r="L52" s="1" t="str">
        <f t="shared" si="85"/>
        <v>0</v>
      </c>
      <c r="M52" s="1" t="str">
        <f t="shared" si="85"/>
        <v>0</v>
      </c>
      <c r="N52" s="1" t="str">
        <f t="shared" si="85"/>
        <v>0</v>
      </c>
      <c r="O52" s="1" t="str">
        <f t="shared" si="85"/>
        <v>0</v>
      </c>
      <c r="P52" s="1" t="str">
        <f t="shared" si="85"/>
        <v>0</v>
      </c>
      <c r="Q52" s="1" t="str">
        <f t="shared" si="2"/>
        <v>0.0070</v>
      </c>
      <c r="R52" s="1" t="s">
        <v>25</v>
      </c>
      <c r="T52" s="1" t="str">
        <f t="shared" si="3"/>
        <v>0</v>
      </c>
      <c r="U52" s="1" t="str">
        <f t="shared" si="81"/>
        <v>0.0070</v>
      </c>
    </row>
    <row r="53" s="1" customFormat="1" spans="1:21">
      <c r="A53" s="1" t="str">
        <f>"4601991401681"</f>
        <v>4601991401681</v>
      </c>
      <c r="B53" s="1" t="s">
        <v>77</v>
      </c>
      <c r="C53" s="1" t="s">
        <v>24</v>
      </c>
      <c r="D53" s="1" t="str">
        <f t="shared" si="0"/>
        <v>2021</v>
      </c>
      <c r="E53" s="1" t="str">
        <f>"613.22"</f>
        <v>613.22</v>
      </c>
      <c r="F53" s="1" t="str">
        <f t="shared" ref="F53:I53" si="86">"0"</f>
        <v>0</v>
      </c>
      <c r="G53" s="1" t="str">
        <f t="shared" si="86"/>
        <v>0</v>
      </c>
      <c r="H53" s="1" t="str">
        <f t="shared" si="86"/>
        <v>0</v>
      </c>
      <c r="I53" s="1" t="str">
        <f t="shared" si="86"/>
        <v>0</v>
      </c>
      <c r="J53" s="1" t="str">
        <f>"59"</f>
        <v>59</v>
      </c>
      <c r="K53" s="1" t="str">
        <f t="shared" ref="K53:P53" si="87">"0"</f>
        <v>0</v>
      </c>
      <c r="L53" s="1" t="str">
        <f t="shared" si="87"/>
        <v>0</v>
      </c>
      <c r="M53" s="1" t="str">
        <f t="shared" si="87"/>
        <v>0</v>
      </c>
      <c r="N53" s="1" t="str">
        <f t="shared" si="87"/>
        <v>0</v>
      </c>
      <c r="O53" s="1" t="str">
        <f t="shared" si="87"/>
        <v>0</v>
      </c>
      <c r="P53" s="1" t="str">
        <f t="shared" si="87"/>
        <v>0</v>
      </c>
      <c r="Q53" s="1" t="str">
        <f t="shared" si="2"/>
        <v>0.0070</v>
      </c>
      <c r="R53" s="1" t="s">
        <v>29</v>
      </c>
      <c r="S53" s="1">
        <v>-0.0014</v>
      </c>
      <c r="T53" s="1" t="str">
        <f t="shared" si="3"/>
        <v>0</v>
      </c>
      <c r="U53" s="1" t="str">
        <f t="shared" si="79"/>
        <v>0.0056</v>
      </c>
    </row>
    <row r="54" s="1" customFormat="1" spans="1:21">
      <c r="A54" s="1" t="str">
        <f>"4601991401680"</f>
        <v>4601991401680</v>
      </c>
      <c r="B54" s="1" t="s">
        <v>78</v>
      </c>
      <c r="C54" s="1" t="s">
        <v>24</v>
      </c>
      <c r="D54" s="1" t="str">
        <f t="shared" si="0"/>
        <v>2021</v>
      </c>
      <c r="E54" s="1" t="str">
        <f>"963.94"</f>
        <v>963.94</v>
      </c>
      <c r="F54" s="1" t="str">
        <f t="shared" ref="F54:I54" si="88">"0"</f>
        <v>0</v>
      </c>
      <c r="G54" s="1" t="str">
        <f t="shared" si="88"/>
        <v>0</v>
      </c>
      <c r="H54" s="1" t="str">
        <f t="shared" si="88"/>
        <v>0</v>
      </c>
      <c r="I54" s="1" t="str">
        <f t="shared" si="88"/>
        <v>0</v>
      </c>
      <c r="J54" s="1" t="str">
        <f>"51"</f>
        <v>51</v>
      </c>
      <c r="K54" s="1" t="str">
        <f t="shared" ref="K54:P54" si="89">"0"</f>
        <v>0</v>
      </c>
      <c r="L54" s="1" t="str">
        <f t="shared" si="89"/>
        <v>0</v>
      </c>
      <c r="M54" s="1" t="str">
        <f t="shared" si="89"/>
        <v>0</v>
      </c>
      <c r="N54" s="1" t="str">
        <f t="shared" si="89"/>
        <v>0</v>
      </c>
      <c r="O54" s="1" t="str">
        <f t="shared" si="89"/>
        <v>0</v>
      </c>
      <c r="P54" s="1" t="str">
        <f t="shared" si="89"/>
        <v>0</v>
      </c>
      <c r="Q54" s="1" t="str">
        <f t="shared" si="2"/>
        <v>0.0070</v>
      </c>
      <c r="R54" s="1" t="s">
        <v>29</v>
      </c>
      <c r="S54" s="1">
        <v>-0.0014</v>
      </c>
      <c r="T54" s="1" t="str">
        <f t="shared" si="3"/>
        <v>0</v>
      </c>
      <c r="U54" s="1" t="str">
        <f t="shared" si="79"/>
        <v>0.0056</v>
      </c>
    </row>
    <row r="55" s="1" customFormat="1" spans="1:21">
      <c r="A55" s="1" t="str">
        <f>"4601991401711"</f>
        <v>4601991401711</v>
      </c>
      <c r="B55" s="1" t="s">
        <v>79</v>
      </c>
      <c r="C55" s="1" t="s">
        <v>24</v>
      </c>
      <c r="D55" s="1" t="str">
        <f t="shared" si="0"/>
        <v>2021</v>
      </c>
      <c r="E55" s="1" t="str">
        <f>"386.87"</f>
        <v>386.87</v>
      </c>
      <c r="F55" s="1" t="str">
        <f t="shared" ref="F55:I55" si="90">"0"</f>
        <v>0</v>
      </c>
      <c r="G55" s="1" t="str">
        <f t="shared" si="90"/>
        <v>0</v>
      </c>
      <c r="H55" s="1" t="str">
        <f t="shared" si="90"/>
        <v>0</v>
      </c>
      <c r="I55" s="1" t="str">
        <f t="shared" si="90"/>
        <v>0</v>
      </c>
      <c r="J55" s="1" t="str">
        <f>"29"</f>
        <v>29</v>
      </c>
      <c r="K55" s="1" t="str">
        <f t="shared" ref="K55:P55" si="91">"0"</f>
        <v>0</v>
      </c>
      <c r="L55" s="1" t="str">
        <f t="shared" si="91"/>
        <v>0</v>
      </c>
      <c r="M55" s="1" t="str">
        <f t="shared" si="91"/>
        <v>0</v>
      </c>
      <c r="N55" s="1" t="str">
        <f t="shared" si="91"/>
        <v>0</v>
      </c>
      <c r="O55" s="1" t="str">
        <f t="shared" si="91"/>
        <v>0</v>
      </c>
      <c r="P55" s="1" t="str">
        <f t="shared" si="91"/>
        <v>0</v>
      </c>
      <c r="Q55" s="1" t="str">
        <f t="shared" si="2"/>
        <v>0.0070</v>
      </c>
      <c r="R55" s="1" t="s">
        <v>29</v>
      </c>
      <c r="S55" s="1">
        <v>-0.0014</v>
      </c>
      <c r="T55" s="1" t="str">
        <f t="shared" si="3"/>
        <v>0</v>
      </c>
      <c r="U55" s="1" t="str">
        <f t="shared" si="79"/>
        <v>0.0056</v>
      </c>
    </row>
    <row r="56" s="1" customFormat="1" spans="1:21">
      <c r="A56" s="1" t="str">
        <f>"4601991401865"</f>
        <v>4601991401865</v>
      </c>
      <c r="B56" s="1" t="s">
        <v>80</v>
      </c>
      <c r="C56" s="1" t="s">
        <v>24</v>
      </c>
      <c r="D56" s="1" t="str">
        <f t="shared" si="0"/>
        <v>2021</v>
      </c>
      <c r="E56" s="1" t="str">
        <f t="shared" ref="E56:P56" si="92">"0"</f>
        <v>0</v>
      </c>
      <c r="F56" s="1" t="str">
        <f t="shared" si="92"/>
        <v>0</v>
      </c>
      <c r="G56" s="1" t="str">
        <f t="shared" si="92"/>
        <v>0</v>
      </c>
      <c r="H56" s="1" t="str">
        <f t="shared" si="92"/>
        <v>0</v>
      </c>
      <c r="I56" s="1" t="str">
        <f t="shared" si="92"/>
        <v>0</v>
      </c>
      <c r="J56" s="1" t="str">
        <f t="shared" si="92"/>
        <v>0</v>
      </c>
      <c r="K56" s="1" t="str">
        <f t="shared" si="92"/>
        <v>0</v>
      </c>
      <c r="L56" s="1" t="str">
        <f t="shared" si="92"/>
        <v>0</v>
      </c>
      <c r="M56" s="1" t="str">
        <f t="shared" si="92"/>
        <v>0</v>
      </c>
      <c r="N56" s="1" t="str">
        <f t="shared" si="92"/>
        <v>0</v>
      </c>
      <c r="O56" s="1" t="str">
        <f t="shared" si="92"/>
        <v>0</v>
      </c>
      <c r="P56" s="1" t="str">
        <f t="shared" si="92"/>
        <v>0</v>
      </c>
      <c r="Q56" s="1" t="str">
        <f t="shared" si="2"/>
        <v>0.0070</v>
      </c>
      <c r="R56" s="1" t="s">
        <v>25</v>
      </c>
      <c r="T56" s="1" t="str">
        <f t="shared" si="3"/>
        <v>0</v>
      </c>
      <c r="U56" s="1" t="str">
        <f t="shared" ref="U56:U60" si="93">"0.0070"</f>
        <v>0.0070</v>
      </c>
    </row>
    <row r="57" s="1" customFormat="1" spans="1:21">
      <c r="A57" s="1" t="str">
        <f>"4601991401778"</f>
        <v>4601991401778</v>
      </c>
      <c r="B57" s="1" t="s">
        <v>81</v>
      </c>
      <c r="C57" s="1" t="s">
        <v>24</v>
      </c>
      <c r="D57" s="1" t="str">
        <f t="shared" si="0"/>
        <v>2021</v>
      </c>
      <c r="E57" s="1" t="str">
        <f>"57.48"</f>
        <v>57.48</v>
      </c>
      <c r="F57" s="1" t="str">
        <f t="shared" ref="F57:I57" si="94">"0"</f>
        <v>0</v>
      </c>
      <c r="G57" s="1" t="str">
        <f t="shared" si="94"/>
        <v>0</v>
      </c>
      <c r="H57" s="1" t="str">
        <f t="shared" si="94"/>
        <v>0</v>
      </c>
      <c r="I57" s="1" t="str">
        <f t="shared" si="94"/>
        <v>0</v>
      </c>
      <c r="J57" s="1" t="str">
        <f>"5"</f>
        <v>5</v>
      </c>
      <c r="K57" s="1" t="str">
        <f t="shared" ref="K57:P57" si="95">"0"</f>
        <v>0</v>
      </c>
      <c r="L57" s="1" t="str">
        <f t="shared" si="95"/>
        <v>0</v>
      </c>
      <c r="M57" s="1" t="str">
        <f t="shared" si="95"/>
        <v>0</v>
      </c>
      <c r="N57" s="1" t="str">
        <f t="shared" si="95"/>
        <v>0</v>
      </c>
      <c r="O57" s="1" t="str">
        <f t="shared" si="95"/>
        <v>0</v>
      </c>
      <c r="P57" s="1" t="str">
        <f t="shared" si="95"/>
        <v>0</v>
      </c>
      <c r="Q57" s="1" t="str">
        <f t="shared" si="2"/>
        <v>0.0070</v>
      </c>
      <c r="R57" s="1" t="s">
        <v>29</v>
      </c>
      <c r="S57" s="1">
        <v>-0.0014</v>
      </c>
      <c r="T57" s="1" t="str">
        <f t="shared" si="3"/>
        <v>0</v>
      </c>
      <c r="U57" s="1" t="str">
        <f t="shared" ref="U57:U61" si="96">"0.0056"</f>
        <v>0.0056</v>
      </c>
    </row>
    <row r="58" s="1" customFormat="1" spans="1:21">
      <c r="A58" s="1" t="str">
        <f>"4601991401710"</f>
        <v>4601991401710</v>
      </c>
      <c r="B58" s="1" t="s">
        <v>82</v>
      </c>
      <c r="C58" s="1" t="s">
        <v>24</v>
      </c>
      <c r="D58" s="1" t="str">
        <f t="shared" si="0"/>
        <v>2021</v>
      </c>
      <c r="E58" s="1" t="str">
        <f>"3212.17"</f>
        <v>3212.17</v>
      </c>
      <c r="F58" s="1" t="str">
        <f>"456.00"</f>
        <v>456.00</v>
      </c>
      <c r="G58" s="1" t="str">
        <f t="shared" ref="G58:L58" si="97">"0"</f>
        <v>0</v>
      </c>
      <c r="H58" s="1" t="str">
        <f t="shared" si="97"/>
        <v>0</v>
      </c>
      <c r="I58" s="1" t="str">
        <f>"0.1420"</f>
        <v>0.1420</v>
      </c>
      <c r="J58" s="1" t="str">
        <f>"248"</f>
        <v>248</v>
      </c>
      <c r="K58" s="1" t="str">
        <f>"2"</f>
        <v>2</v>
      </c>
      <c r="L58" s="1" t="str">
        <f t="shared" si="97"/>
        <v>0</v>
      </c>
      <c r="M58" s="1" t="str">
        <f>"0.0081"</f>
        <v>0.0081</v>
      </c>
      <c r="N58" s="1" t="str">
        <f t="shared" ref="N58:P58" si="98">"0"</f>
        <v>0</v>
      </c>
      <c r="O58" s="1" t="str">
        <f t="shared" si="98"/>
        <v>0</v>
      </c>
      <c r="P58" s="1" t="str">
        <f t="shared" si="98"/>
        <v>0</v>
      </c>
      <c r="Q58" s="1" t="str">
        <f t="shared" si="2"/>
        <v>0.0070</v>
      </c>
      <c r="R58" s="1" t="s">
        <v>29</v>
      </c>
      <c r="S58" s="1">
        <v>-0.0014</v>
      </c>
      <c r="T58" s="1" t="str">
        <f t="shared" si="3"/>
        <v>0</v>
      </c>
      <c r="U58" s="1" t="str">
        <f t="shared" si="96"/>
        <v>0.0056</v>
      </c>
    </row>
    <row r="59" s="1" customFormat="1" spans="1:21">
      <c r="A59" s="1" t="str">
        <f>"4601991402338"</f>
        <v>4601991402338</v>
      </c>
      <c r="B59" s="1" t="s">
        <v>83</v>
      </c>
      <c r="C59" s="1" t="s">
        <v>24</v>
      </c>
      <c r="D59" s="1" t="str">
        <f t="shared" si="0"/>
        <v>2021</v>
      </c>
      <c r="E59" s="1" t="str">
        <f t="shared" ref="E59:P59" si="99">"0"</f>
        <v>0</v>
      </c>
      <c r="F59" s="1" t="str">
        <f t="shared" si="99"/>
        <v>0</v>
      </c>
      <c r="G59" s="1" t="str">
        <f t="shared" si="99"/>
        <v>0</v>
      </c>
      <c r="H59" s="1" t="str">
        <f t="shared" si="99"/>
        <v>0</v>
      </c>
      <c r="I59" s="1" t="str">
        <f t="shared" si="99"/>
        <v>0</v>
      </c>
      <c r="J59" s="1" t="str">
        <f t="shared" si="99"/>
        <v>0</v>
      </c>
      <c r="K59" s="1" t="str">
        <f t="shared" si="99"/>
        <v>0</v>
      </c>
      <c r="L59" s="1" t="str">
        <f t="shared" si="99"/>
        <v>0</v>
      </c>
      <c r="M59" s="1" t="str">
        <f t="shared" si="99"/>
        <v>0</v>
      </c>
      <c r="N59" s="1" t="str">
        <f t="shared" si="99"/>
        <v>0</v>
      </c>
      <c r="O59" s="1" t="str">
        <f t="shared" si="99"/>
        <v>0</v>
      </c>
      <c r="P59" s="1" t="str">
        <f t="shared" si="99"/>
        <v>0</v>
      </c>
      <c r="Q59" s="1" t="str">
        <f t="shared" si="2"/>
        <v>0.0070</v>
      </c>
      <c r="R59" s="1" t="s">
        <v>25</v>
      </c>
      <c r="T59" s="1" t="str">
        <f t="shared" si="3"/>
        <v>0</v>
      </c>
      <c r="U59" s="1" t="str">
        <f t="shared" si="93"/>
        <v>0.0070</v>
      </c>
    </row>
    <row r="60" s="1" customFormat="1" spans="1:21">
      <c r="A60" s="1" t="str">
        <f>"4601991402235"</f>
        <v>4601991402235</v>
      </c>
      <c r="B60" s="1" t="s">
        <v>84</v>
      </c>
      <c r="C60" s="1" t="s">
        <v>24</v>
      </c>
      <c r="D60" s="1" t="str">
        <f t="shared" si="0"/>
        <v>2021</v>
      </c>
      <c r="E60" s="1" t="str">
        <f t="shared" ref="E60:P60" si="100">"0"</f>
        <v>0</v>
      </c>
      <c r="F60" s="1" t="str">
        <f t="shared" si="100"/>
        <v>0</v>
      </c>
      <c r="G60" s="1" t="str">
        <f t="shared" si="100"/>
        <v>0</v>
      </c>
      <c r="H60" s="1" t="str">
        <f t="shared" si="100"/>
        <v>0</v>
      </c>
      <c r="I60" s="1" t="str">
        <f t="shared" si="100"/>
        <v>0</v>
      </c>
      <c r="J60" s="1" t="str">
        <f t="shared" si="100"/>
        <v>0</v>
      </c>
      <c r="K60" s="1" t="str">
        <f t="shared" si="100"/>
        <v>0</v>
      </c>
      <c r="L60" s="1" t="str">
        <f t="shared" si="100"/>
        <v>0</v>
      </c>
      <c r="M60" s="1" t="str">
        <f t="shared" si="100"/>
        <v>0</v>
      </c>
      <c r="N60" s="1" t="str">
        <f t="shared" si="100"/>
        <v>0</v>
      </c>
      <c r="O60" s="1" t="str">
        <f t="shared" si="100"/>
        <v>0</v>
      </c>
      <c r="P60" s="1" t="str">
        <f t="shared" si="100"/>
        <v>0</v>
      </c>
      <c r="Q60" s="1" t="str">
        <f t="shared" si="2"/>
        <v>0.0070</v>
      </c>
      <c r="R60" s="1" t="s">
        <v>25</v>
      </c>
      <c r="T60" s="1" t="str">
        <f t="shared" si="3"/>
        <v>0</v>
      </c>
      <c r="U60" s="1" t="str">
        <f t="shared" si="93"/>
        <v>0.0070</v>
      </c>
    </row>
    <row r="61" s="1" customFormat="1" spans="1:21">
      <c r="A61" s="1" t="str">
        <f>"4601991402087"</f>
        <v>4601991402087</v>
      </c>
      <c r="B61" s="1" t="s">
        <v>85</v>
      </c>
      <c r="C61" s="1" t="s">
        <v>24</v>
      </c>
      <c r="D61" s="1" t="str">
        <f t="shared" si="0"/>
        <v>2021</v>
      </c>
      <c r="E61" s="1" t="str">
        <f>"58.02"</f>
        <v>58.02</v>
      </c>
      <c r="F61" s="1" t="str">
        <f t="shared" ref="F61:I61" si="101">"0"</f>
        <v>0</v>
      </c>
      <c r="G61" s="1" t="str">
        <f t="shared" si="101"/>
        <v>0</v>
      </c>
      <c r="H61" s="1" t="str">
        <f t="shared" si="101"/>
        <v>0</v>
      </c>
      <c r="I61" s="1" t="str">
        <f t="shared" si="101"/>
        <v>0</v>
      </c>
      <c r="J61" s="1" t="str">
        <f>"5"</f>
        <v>5</v>
      </c>
      <c r="K61" s="1" t="str">
        <f t="shared" ref="K61:P61" si="102">"0"</f>
        <v>0</v>
      </c>
      <c r="L61" s="1" t="str">
        <f t="shared" si="102"/>
        <v>0</v>
      </c>
      <c r="M61" s="1" t="str">
        <f t="shared" si="102"/>
        <v>0</v>
      </c>
      <c r="N61" s="1" t="str">
        <f t="shared" si="102"/>
        <v>0</v>
      </c>
      <c r="O61" s="1" t="str">
        <f t="shared" si="102"/>
        <v>0</v>
      </c>
      <c r="P61" s="1" t="str">
        <f t="shared" si="102"/>
        <v>0</v>
      </c>
      <c r="Q61" s="1" t="str">
        <f t="shared" si="2"/>
        <v>0.0070</v>
      </c>
      <c r="R61" s="1" t="s">
        <v>29</v>
      </c>
      <c r="S61" s="1">
        <v>-0.0014</v>
      </c>
      <c r="T61" s="1" t="str">
        <f t="shared" si="3"/>
        <v>0</v>
      </c>
      <c r="U61" s="1" t="str">
        <f t="shared" si="96"/>
        <v>0.0056</v>
      </c>
    </row>
    <row r="62" s="1" customFormat="1" spans="1:21">
      <c r="A62" s="1" t="str">
        <f>"4601991402137"</f>
        <v>4601991402137</v>
      </c>
      <c r="B62" s="1" t="s">
        <v>86</v>
      </c>
      <c r="C62" s="1" t="s">
        <v>24</v>
      </c>
      <c r="D62" s="1" t="str">
        <f t="shared" si="0"/>
        <v>2021</v>
      </c>
      <c r="E62" s="1" t="str">
        <f t="shared" ref="E62:G62" si="103">"0"</f>
        <v>0</v>
      </c>
      <c r="F62" s="1" t="str">
        <f t="shared" si="103"/>
        <v>0</v>
      </c>
      <c r="G62" s="1" t="str">
        <f t="shared" si="103"/>
        <v>0</v>
      </c>
      <c r="H62" s="1" t="str">
        <f>"12.09"</f>
        <v>12.09</v>
      </c>
      <c r="I62" s="1" t="str">
        <f t="shared" ref="I62:P62" si="104">"0"</f>
        <v>0</v>
      </c>
      <c r="J62" s="1" t="str">
        <f t="shared" si="104"/>
        <v>0</v>
      </c>
      <c r="K62" s="1" t="str">
        <f t="shared" si="104"/>
        <v>0</v>
      </c>
      <c r="L62" s="1" t="str">
        <f t="shared" si="104"/>
        <v>0</v>
      </c>
      <c r="M62" s="1" t="str">
        <f t="shared" si="104"/>
        <v>0</v>
      </c>
      <c r="N62" s="1" t="str">
        <f t="shared" si="104"/>
        <v>0</v>
      </c>
      <c r="O62" s="1" t="str">
        <f t="shared" si="104"/>
        <v>0</v>
      </c>
      <c r="P62" s="1" t="str">
        <f t="shared" si="104"/>
        <v>0</v>
      </c>
      <c r="Q62" s="1" t="str">
        <f t="shared" si="2"/>
        <v>0.0070</v>
      </c>
      <c r="R62" s="1" t="s">
        <v>25</v>
      </c>
      <c r="T62" s="1" t="str">
        <f t="shared" si="3"/>
        <v>0</v>
      </c>
      <c r="U62" s="1" t="str">
        <f t="shared" ref="U62:U66" si="105">"0.0070"</f>
        <v>0.0070</v>
      </c>
    </row>
    <row r="63" s="1" customFormat="1" spans="1:21">
      <c r="A63" s="1" t="str">
        <f>"4601991402236"</f>
        <v>4601991402236</v>
      </c>
      <c r="B63" s="1" t="s">
        <v>87</v>
      </c>
      <c r="C63" s="1" t="s">
        <v>24</v>
      </c>
      <c r="D63" s="1" t="str">
        <f t="shared" si="0"/>
        <v>2021</v>
      </c>
      <c r="E63" s="1" t="str">
        <f t="shared" ref="E63:P63" si="106">"0"</f>
        <v>0</v>
      </c>
      <c r="F63" s="1" t="str">
        <f t="shared" si="106"/>
        <v>0</v>
      </c>
      <c r="G63" s="1" t="str">
        <f t="shared" si="106"/>
        <v>0</v>
      </c>
      <c r="H63" s="1" t="str">
        <f t="shared" si="106"/>
        <v>0</v>
      </c>
      <c r="I63" s="1" t="str">
        <f t="shared" si="106"/>
        <v>0</v>
      </c>
      <c r="J63" s="1" t="str">
        <f t="shared" si="106"/>
        <v>0</v>
      </c>
      <c r="K63" s="1" t="str">
        <f t="shared" si="106"/>
        <v>0</v>
      </c>
      <c r="L63" s="1" t="str">
        <f t="shared" si="106"/>
        <v>0</v>
      </c>
      <c r="M63" s="1" t="str">
        <f t="shared" si="106"/>
        <v>0</v>
      </c>
      <c r="N63" s="1" t="str">
        <f t="shared" si="106"/>
        <v>0</v>
      </c>
      <c r="O63" s="1" t="str">
        <f t="shared" si="106"/>
        <v>0</v>
      </c>
      <c r="P63" s="1" t="str">
        <f t="shared" si="106"/>
        <v>0</v>
      </c>
      <c r="Q63" s="1" t="str">
        <f t="shared" si="2"/>
        <v>0.0070</v>
      </c>
      <c r="R63" s="1" t="s">
        <v>25</v>
      </c>
      <c r="T63" s="1" t="str">
        <f t="shared" si="3"/>
        <v>0</v>
      </c>
      <c r="U63" s="1" t="str">
        <f t="shared" si="105"/>
        <v>0.0070</v>
      </c>
    </row>
    <row r="64" s="1" customFormat="1" spans="1:21">
      <c r="A64" s="1" t="str">
        <f>"4601991402241"</f>
        <v>4601991402241</v>
      </c>
      <c r="B64" s="1" t="s">
        <v>88</v>
      </c>
      <c r="C64" s="1" t="s">
        <v>24</v>
      </c>
      <c r="D64" s="1" t="str">
        <f t="shared" si="0"/>
        <v>2021</v>
      </c>
      <c r="E64" s="1" t="str">
        <f t="shared" ref="E64:P64" si="107">"0"</f>
        <v>0</v>
      </c>
      <c r="F64" s="1" t="str">
        <f t="shared" si="107"/>
        <v>0</v>
      </c>
      <c r="G64" s="1" t="str">
        <f t="shared" si="107"/>
        <v>0</v>
      </c>
      <c r="H64" s="1" t="str">
        <f t="shared" si="107"/>
        <v>0</v>
      </c>
      <c r="I64" s="1" t="str">
        <f t="shared" si="107"/>
        <v>0</v>
      </c>
      <c r="J64" s="1" t="str">
        <f t="shared" si="107"/>
        <v>0</v>
      </c>
      <c r="K64" s="1" t="str">
        <f t="shared" si="107"/>
        <v>0</v>
      </c>
      <c r="L64" s="1" t="str">
        <f t="shared" si="107"/>
        <v>0</v>
      </c>
      <c r="M64" s="1" t="str">
        <f t="shared" si="107"/>
        <v>0</v>
      </c>
      <c r="N64" s="1" t="str">
        <f t="shared" si="107"/>
        <v>0</v>
      </c>
      <c r="O64" s="1" t="str">
        <f t="shared" si="107"/>
        <v>0</v>
      </c>
      <c r="P64" s="1" t="str">
        <f t="shared" si="107"/>
        <v>0</v>
      </c>
      <c r="Q64" s="1" t="str">
        <f t="shared" si="2"/>
        <v>0.0070</v>
      </c>
      <c r="R64" s="1" t="s">
        <v>25</v>
      </c>
      <c r="T64" s="1" t="str">
        <f t="shared" si="3"/>
        <v>0</v>
      </c>
      <c r="U64" s="1" t="str">
        <f t="shared" si="105"/>
        <v>0.0070</v>
      </c>
    </row>
    <row r="65" s="1" customFormat="1" spans="1:21">
      <c r="A65" s="1" t="str">
        <f>"4601991402581"</f>
        <v>4601991402581</v>
      </c>
      <c r="B65" s="1" t="s">
        <v>89</v>
      </c>
      <c r="C65" s="1" t="s">
        <v>24</v>
      </c>
      <c r="D65" s="1" t="str">
        <f t="shared" si="0"/>
        <v>2021</v>
      </c>
      <c r="E65" s="1" t="str">
        <f t="shared" ref="E65:P65" si="108">"0"</f>
        <v>0</v>
      </c>
      <c r="F65" s="1" t="str">
        <f t="shared" si="108"/>
        <v>0</v>
      </c>
      <c r="G65" s="1" t="str">
        <f t="shared" si="108"/>
        <v>0</v>
      </c>
      <c r="H65" s="1" t="str">
        <f t="shared" si="108"/>
        <v>0</v>
      </c>
      <c r="I65" s="1" t="str">
        <f t="shared" si="108"/>
        <v>0</v>
      </c>
      <c r="J65" s="1" t="str">
        <f t="shared" si="108"/>
        <v>0</v>
      </c>
      <c r="K65" s="1" t="str">
        <f t="shared" si="108"/>
        <v>0</v>
      </c>
      <c r="L65" s="1" t="str">
        <f t="shared" si="108"/>
        <v>0</v>
      </c>
      <c r="M65" s="1" t="str">
        <f t="shared" si="108"/>
        <v>0</v>
      </c>
      <c r="N65" s="1" t="str">
        <f t="shared" si="108"/>
        <v>0</v>
      </c>
      <c r="O65" s="1" t="str">
        <f t="shared" si="108"/>
        <v>0</v>
      </c>
      <c r="P65" s="1" t="str">
        <f t="shared" si="108"/>
        <v>0</v>
      </c>
      <c r="Q65" s="1" t="str">
        <f t="shared" si="2"/>
        <v>0.0070</v>
      </c>
      <c r="R65" s="1" t="s">
        <v>25</v>
      </c>
      <c r="T65" s="1" t="str">
        <f t="shared" si="3"/>
        <v>0</v>
      </c>
      <c r="U65" s="1" t="str">
        <f t="shared" si="105"/>
        <v>0.0070</v>
      </c>
    </row>
    <row r="66" s="1" customFormat="1" spans="1:21">
      <c r="A66" s="1" t="str">
        <f>"4601991402599"</f>
        <v>4601991402599</v>
      </c>
      <c r="B66" s="1" t="s">
        <v>90</v>
      </c>
      <c r="C66" s="1" t="s">
        <v>24</v>
      </c>
      <c r="D66" s="1" t="str">
        <f t="shared" si="0"/>
        <v>2021</v>
      </c>
      <c r="E66" s="1" t="str">
        <f t="shared" ref="E66:P66" si="109">"0"</f>
        <v>0</v>
      </c>
      <c r="F66" s="1" t="str">
        <f t="shared" si="109"/>
        <v>0</v>
      </c>
      <c r="G66" s="1" t="str">
        <f t="shared" si="109"/>
        <v>0</v>
      </c>
      <c r="H66" s="1" t="str">
        <f t="shared" si="109"/>
        <v>0</v>
      </c>
      <c r="I66" s="1" t="str">
        <f t="shared" si="109"/>
        <v>0</v>
      </c>
      <c r="J66" s="1" t="str">
        <f t="shared" si="109"/>
        <v>0</v>
      </c>
      <c r="K66" s="1" t="str">
        <f t="shared" si="109"/>
        <v>0</v>
      </c>
      <c r="L66" s="1" t="str">
        <f t="shared" si="109"/>
        <v>0</v>
      </c>
      <c r="M66" s="1" t="str">
        <f t="shared" si="109"/>
        <v>0</v>
      </c>
      <c r="N66" s="1" t="str">
        <f t="shared" si="109"/>
        <v>0</v>
      </c>
      <c r="O66" s="1" t="str">
        <f t="shared" si="109"/>
        <v>0</v>
      </c>
      <c r="P66" s="1" t="str">
        <f t="shared" si="109"/>
        <v>0</v>
      </c>
      <c r="Q66" s="1" t="str">
        <f t="shared" si="2"/>
        <v>0.0070</v>
      </c>
      <c r="R66" s="1" t="s">
        <v>25</v>
      </c>
      <c r="T66" s="1" t="str">
        <f t="shared" si="3"/>
        <v>0</v>
      </c>
      <c r="U66" s="1" t="str">
        <f t="shared" si="105"/>
        <v>0.0070</v>
      </c>
    </row>
    <row r="67" s="1" customFormat="1" spans="1:21">
      <c r="A67" s="1" t="str">
        <f>"4601991402610"</f>
        <v>4601991402610</v>
      </c>
      <c r="B67" s="1" t="s">
        <v>91</v>
      </c>
      <c r="C67" s="1" t="s">
        <v>24</v>
      </c>
      <c r="D67" s="1" t="str">
        <f t="shared" ref="D67:D130" si="110">"2021"</f>
        <v>2021</v>
      </c>
      <c r="E67" s="1" t="str">
        <f>"1147.46"</f>
        <v>1147.46</v>
      </c>
      <c r="F67" s="1" t="str">
        <f t="shared" ref="F67:I67" si="111">"0"</f>
        <v>0</v>
      </c>
      <c r="G67" s="1" t="str">
        <f t="shared" si="111"/>
        <v>0</v>
      </c>
      <c r="H67" s="1" t="str">
        <f t="shared" si="111"/>
        <v>0</v>
      </c>
      <c r="I67" s="1" t="str">
        <f t="shared" si="111"/>
        <v>0</v>
      </c>
      <c r="J67" s="1" t="str">
        <f>"72"</f>
        <v>72</v>
      </c>
      <c r="K67" s="1" t="str">
        <f t="shared" ref="K67:P67" si="112">"0"</f>
        <v>0</v>
      </c>
      <c r="L67" s="1" t="str">
        <f t="shared" si="112"/>
        <v>0</v>
      </c>
      <c r="M67" s="1" t="str">
        <f t="shared" si="112"/>
        <v>0</v>
      </c>
      <c r="N67" s="1" t="str">
        <f t="shared" si="112"/>
        <v>0</v>
      </c>
      <c r="O67" s="1" t="str">
        <f t="shared" si="112"/>
        <v>0</v>
      </c>
      <c r="P67" s="1" t="str">
        <f t="shared" si="112"/>
        <v>0</v>
      </c>
      <c r="Q67" s="1" t="str">
        <f t="shared" ref="Q67:Q130" si="113">"0.0070"</f>
        <v>0.0070</v>
      </c>
      <c r="R67" s="1" t="s">
        <v>29</v>
      </c>
      <c r="S67" s="1">
        <v>-0.0014</v>
      </c>
      <c r="T67" s="1" t="str">
        <f t="shared" ref="T67:T130" si="114">"0"</f>
        <v>0</v>
      </c>
      <c r="U67" s="1" t="str">
        <f t="shared" ref="U67:U70" si="115">"0.0056"</f>
        <v>0.0056</v>
      </c>
    </row>
    <row r="68" s="1" customFormat="1" spans="1:21">
      <c r="A68" s="1" t="str">
        <f>"4601991402573"</f>
        <v>4601991402573</v>
      </c>
      <c r="B68" s="1" t="s">
        <v>92</v>
      </c>
      <c r="C68" s="1" t="s">
        <v>24</v>
      </c>
      <c r="D68" s="1" t="str">
        <f t="shared" si="110"/>
        <v>2021</v>
      </c>
      <c r="E68" s="1" t="str">
        <f>"219.24"</f>
        <v>219.24</v>
      </c>
      <c r="F68" s="1" t="str">
        <f>"818.40"</f>
        <v>818.40</v>
      </c>
      <c r="G68" s="1" t="str">
        <f t="shared" ref="G68:P68" si="116">"0"</f>
        <v>0</v>
      </c>
      <c r="H68" s="1" t="str">
        <f t="shared" si="116"/>
        <v>0</v>
      </c>
      <c r="I68" s="1" t="str">
        <f>"3.7329"</f>
        <v>3.7329</v>
      </c>
      <c r="J68" s="1" t="str">
        <f>"21"</f>
        <v>21</v>
      </c>
      <c r="K68" s="1" t="str">
        <f t="shared" si="116"/>
        <v>0</v>
      </c>
      <c r="L68" s="1" t="str">
        <f t="shared" si="116"/>
        <v>0</v>
      </c>
      <c r="M68" s="1" t="str">
        <f t="shared" si="116"/>
        <v>0</v>
      </c>
      <c r="N68" s="1" t="str">
        <f t="shared" si="116"/>
        <v>0</v>
      </c>
      <c r="O68" s="1" t="str">
        <f t="shared" si="116"/>
        <v>0</v>
      </c>
      <c r="P68" s="1" t="str">
        <f t="shared" si="116"/>
        <v>0</v>
      </c>
      <c r="Q68" s="1" t="str">
        <f t="shared" si="113"/>
        <v>0.0070</v>
      </c>
      <c r="R68" s="1" t="s">
        <v>25</v>
      </c>
      <c r="T68" s="1" t="str">
        <f t="shared" si="114"/>
        <v>0</v>
      </c>
      <c r="U68" s="1" t="str">
        <f>"0.0070"</f>
        <v>0.0070</v>
      </c>
    </row>
    <row r="69" s="1" customFormat="1" spans="1:21">
      <c r="A69" s="1" t="str">
        <f>"4601991402641"</f>
        <v>4601991402641</v>
      </c>
      <c r="B69" s="1" t="s">
        <v>93</v>
      </c>
      <c r="C69" s="1" t="s">
        <v>24</v>
      </c>
      <c r="D69" s="1" t="str">
        <f t="shared" si="110"/>
        <v>2021</v>
      </c>
      <c r="E69" s="1" t="str">
        <f>"68.89"</f>
        <v>68.89</v>
      </c>
      <c r="F69" s="1" t="str">
        <f t="shared" ref="F69:I69" si="117">"0"</f>
        <v>0</v>
      </c>
      <c r="G69" s="1" t="str">
        <f t="shared" si="117"/>
        <v>0</v>
      </c>
      <c r="H69" s="1" t="str">
        <f t="shared" si="117"/>
        <v>0</v>
      </c>
      <c r="I69" s="1" t="str">
        <f t="shared" si="117"/>
        <v>0</v>
      </c>
      <c r="J69" s="1" t="str">
        <f>"6"</f>
        <v>6</v>
      </c>
      <c r="K69" s="1" t="str">
        <f t="shared" ref="K69:P69" si="118">"0"</f>
        <v>0</v>
      </c>
      <c r="L69" s="1" t="str">
        <f t="shared" si="118"/>
        <v>0</v>
      </c>
      <c r="M69" s="1" t="str">
        <f t="shared" si="118"/>
        <v>0</v>
      </c>
      <c r="N69" s="1" t="str">
        <f t="shared" si="118"/>
        <v>0</v>
      </c>
      <c r="O69" s="1" t="str">
        <f t="shared" si="118"/>
        <v>0</v>
      </c>
      <c r="P69" s="1" t="str">
        <f t="shared" si="118"/>
        <v>0</v>
      </c>
      <c r="Q69" s="1" t="str">
        <f t="shared" si="113"/>
        <v>0.0070</v>
      </c>
      <c r="R69" s="1" t="s">
        <v>29</v>
      </c>
      <c r="S69" s="1">
        <v>-0.0014</v>
      </c>
      <c r="T69" s="1" t="str">
        <f t="shared" si="114"/>
        <v>0</v>
      </c>
      <c r="U69" s="1" t="str">
        <f t="shared" si="115"/>
        <v>0.0056</v>
      </c>
    </row>
    <row r="70" s="1" customFormat="1" spans="1:21">
      <c r="A70" s="1" t="str">
        <f>"4601991402456"</f>
        <v>4601991402456</v>
      </c>
      <c r="B70" s="1" t="s">
        <v>94</v>
      </c>
      <c r="C70" s="1" t="s">
        <v>24</v>
      </c>
      <c r="D70" s="1" t="str">
        <f t="shared" si="110"/>
        <v>2021</v>
      </c>
      <c r="E70" s="1" t="str">
        <f>"637.83"</f>
        <v>637.83</v>
      </c>
      <c r="F70" s="1" t="str">
        <f>"350.00"</f>
        <v>350.00</v>
      </c>
      <c r="G70" s="1" t="str">
        <f t="shared" ref="G70:P70" si="119">"0"</f>
        <v>0</v>
      </c>
      <c r="H70" s="1" t="str">
        <f t="shared" si="119"/>
        <v>0</v>
      </c>
      <c r="I70" s="1" t="str">
        <f>"0.5487"</f>
        <v>0.5487</v>
      </c>
      <c r="J70" s="1" t="str">
        <f>"56"</f>
        <v>56</v>
      </c>
      <c r="K70" s="1" t="str">
        <f t="shared" si="119"/>
        <v>0</v>
      </c>
      <c r="L70" s="1" t="str">
        <f t="shared" si="119"/>
        <v>0</v>
      </c>
      <c r="M70" s="1" t="str">
        <f t="shared" si="119"/>
        <v>0</v>
      </c>
      <c r="N70" s="1" t="str">
        <f t="shared" si="119"/>
        <v>0</v>
      </c>
      <c r="O70" s="1" t="str">
        <f t="shared" si="119"/>
        <v>0</v>
      </c>
      <c r="P70" s="1" t="str">
        <f t="shared" si="119"/>
        <v>0</v>
      </c>
      <c r="Q70" s="1" t="str">
        <f t="shared" si="113"/>
        <v>0.0070</v>
      </c>
      <c r="R70" s="1" t="s">
        <v>29</v>
      </c>
      <c r="S70" s="1">
        <v>-0.0014</v>
      </c>
      <c r="T70" s="1" t="str">
        <f t="shared" si="114"/>
        <v>0</v>
      </c>
      <c r="U70" s="1" t="str">
        <f t="shared" si="115"/>
        <v>0.0056</v>
      </c>
    </row>
    <row r="71" s="1" customFormat="1" spans="1:21">
      <c r="A71" s="1" t="str">
        <f>"4601991402911"</f>
        <v>4601991402911</v>
      </c>
      <c r="B71" s="1" t="s">
        <v>95</v>
      </c>
      <c r="C71" s="1" t="s">
        <v>24</v>
      </c>
      <c r="D71" s="1" t="str">
        <f t="shared" si="110"/>
        <v>2021</v>
      </c>
      <c r="E71" s="1" t="str">
        <f t="shared" ref="E71:P71" si="120">"0"</f>
        <v>0</v>
      </c>
      <c r="F71" s="1" t="str">
        <f t="shared" si="120"/>
        <v>0</v>
      </c>
      <c r="G71" s="1" t="str">
        <f t="shared" si="120"/>
        <v>0</v>
      </c>
      <c r="H71" s="1" t="str">
        <f t="shared" si="120"/>
        <v>0</v>
      </c>
      <c r="I71" s="1" t="str">
        <f t="shared" si="120"/>
        <v>0</v>
      </c>
      <c r="J71" s="1" t="str">
        <f t="shared" si="120"/>
        <v>0</v>
      </c>
      <c r="K71" s="1" t="str">
        <f t="shared" si="120"/>
        <v>0</v>
      </c>
      <c r="L71" s="1" t="str">
        <f t="shared" si="120"/>
        <v>0</v>
      </c>
      <c r="M71" s="1" t="str">
        <f t="shared" si="120"/>
        <v>0</v>
      </c>
      <c r="N71" s="1" t="str">
        <f t="shared" si="120"/>
        <v>0</v>
      </c>
      <c r="O71" s="1" t="str">
        <f t="shared" si="120"/>
        <v>0</v>
      </c>
      <c r="P71" s="1" t="str">
        <f t="shared" si="120"/>
        <v>0</v>
      </c>
      <c r="Q71" s="1" t="str">
        <f t="shared" si="113"/>
        <v>0.0070</v>
      </c>
      <c r="R71" s="1" t="s">
        <v>25</v>
      </c>
      <c r="T71" s="1" t="str">
        <f t="shared" si="114"/>
        <v>0</v>
      </c>
      <c r="U71" s="1" t="str">
        <f>"0.0070"</f>
        <v>0.0070</v>
      </c>
    </row>
    <row r="72" s="1" customFormat="1" spans="1:21">
      <c r="A72" s="1" t="str">
        <f>"4601991402818"</f>
        <v>4601991402818</v>
      </c>
      <c r="B72" s="1" t="s">
        <v>96</v>
      </c>
      <c r="C72" s="1" t="s">
        <v>24</v>
      </c>
      <c r="D72" s="1" t="str">
        <f t="shared" si="110"/>
        <v>2021</v>
      </c>
      <c r="E72" s="1" t="str">
        <f>"9.67"</f>
        <v>9.67</v>
      </c>
      <c r="F72" s="1" t="str">
        <f t="shared" ref="F72:I72" si="121">"0"</f>
        <v>0</v>
      </c>
      <c r="G72" s="1" t="str">
        <f t="shared" si="121"/>
        <v>0</v>
      </c>
      <c r="H72" s="1" t="str">
        <f t="shared" si="121"/>
        <v>0</v>
      </c>
      <c r="I72" s="1" t="str">
        <f t="shared" si="121"/>
        <v>0</v>
      </c>
      <c r="J72" s="1" t="str">
        <f>"1"</f>
        <v>1</v>
      </c>
      <c r="K72" s="1" t="str">
        <f t="shared" ref="K72:P72" si="122">"0"</f>
        <v>0</v>
      </c>
      <c r="L72" s="1" t="str">
        <f t="shared" si="122"/>
        <v>0</v>
      </c>
      <c r="M72" s="1" t="str">
        <f t="shared" si="122"/>
        <v>0</v>
      </c>
      <c r="N72" s="1" t="str">
        <f t="shared" si="122"/>
        <v>0</v>
      </c>
      <c r="O72" s="1" t="str">
        <f t="shared" si="122"/>
        <v>0</v>
      </c>
      <c r="P72" s="1" t="str">
        <f t="shared" si="122"/>
        <v>0</v>
      </c>
      <c r="Q72" s="1" t="str">
        <f t="shared" si="113"/>
        <v>0.0070</v>
      </c>
      <c r="R72" s="1" t="s">
        <v>29</v>
      </c>
      <c r="S72" s="1">
        <v>-0.0014</v>
      </c>
      <c r="T72" s="1" t="str">
        <f t="shared" si="114"/>
        <v>0</v>
      </c>
      <c r="U72" s="1" t="str">
        <f t="shared" ref="U72:U76" si="123">"0.0056"</f>
        <v>0.0056</v>
      </c>
    </row>
    <row r="73" s="1" customFormat="1" spans="1:21">
      <c r="A73" s="1" t="str">
        <f>"4601991402974"</f>
        <v>4601991402974</v>
      </c>
      <c r="B73" s="1" t="s">
        <v>97</v>
      </c>
      <c r="C73" s="1" t="s">
        <v>24</v>
      </c>
      <c r="D73" s="1" t="str">
        <f t="shared" si="110"/>
        <v>2021</v>
      </c>
      <c r="E73" s="1" t="str">
        <f>"38.68"</f>
        <v>38.68</v>
      </c>
      <c r="F73" s="1" t="str">
        <f t="shared" ref="F73:I73" si="124">"0"</f>
        <v>0</v>
      </c>
      <c r="G73" s="1" t="str">
        <f t="shared" si="124"/>
        <v>0</v>
      </c>
      <c r="H73" s="1" t="str">
        <f t="shared" si="124"/>
        <v>0</v>
      </c>
      <c r="I73" s="1" t="str">
        <f t="shared" si="124"/>
        <v>0</v>
      </c>
      <c r="J73" s="1" t="str">
        <f>"4"</f>
        <v>4</v>
      </c>
      <c r="K73" s="1" t="str">
        <f t="shared" ref="K73:P73" si="125">"0"</f>
        <v>0</v>
      </c>
      <c r="L73" s="1" t="str">
        <f t="shared" si="125"/>
        <v>0</v>
      </c>
      <c r="M73" s="1" t="str">
        <f t="shared" si="125"/>
        <v>0</v>
      </c>
      <c r="N73" s="1" t="str">
        <f t="shared" si="125"/>
        <v>0</v>
      </c>
      <c r="O73" s="1" t="str">
        <f t="shared" si="125"/>
        <v>0</v>
      </c>
      <c r="P73" s="1" t="str">
        <f t="shared" si="125"/>
        <v>0</v>
      </c>
      <c r="Q73" s="1" t="str">
        <f t="shared" si="113"/>
        <v>0.0070</v>
      </c>
      <c r="R73" s="1" t="s">
        <v>29</v>
      </c>
      <c r="S73" s="1">
        <v>-0.0014</v>
      </c>
      <c r="T73" s="1" t="str">
        <f t="shared" si="114"/>
        <v>0</v>
      </c>
      <c r="U73" s="1" t="str">
        <f t="shared" si="123"/>
        <v>0.0056</v>
      </c>
    </row>
    <row r="74" s="1" customFormat="1" spans="1:21">
      <c r="A74" s="1" t="str">
        <f>"4601991402954"</f>
        <v>4601991402954</v>
      </c>
      <c r="B74" s="1" t="s">
        <v>98</v>
      </c>
      <c r="C74" s="1" t="s">
        <v>24</v>
      </c>
      <c r="D74" s="1" t="str">
        <f t="shared" si="110"/>
        <v>2021</v>
      </c>
      <c r="E74" s="1" t="str">
        <f t="shared" ref="E74:I74" si="126">"0"</f>
        <v>0</v>
      </c>
      <c r="F74" s="1" t="str">
        <f t="shared" si="126"/>
        <v>0</v>
      </c>
      <c r="G74" s="1" t="str">
        <f t="shared" si="126"/>
        <v>0</v>
      </c>
      <c r="H74" s="1" t="str">
        <f t="shared" si="126"/>
        <v>0</v>
      </c>
      <c r="I74" s="1" t="str">
        <f t="shared" si="126"/>
        <v>0</v>
      </c>
      <c r="J74" s="1" t="str">
        <f>"1"</f>
        <v>1</v>
      </c>
      <c r="K74" s="1" t="str">
        <f t="shared" ref="K74:P74" si="127">"0"</f>
        <v>0</v>
      </c>
      <c r="L74" s="1" t="str">
        <f t="shared" si="127"/>
        <v>0</v>
      </c>
      <c r="M74" s="1" t="str">
        <f t="shared" si="127"/>
        <v>0</v>
      </c>
      <c r="N74" s="1" t="str">
        <f t="shared" si="127"/>
        <v>0</v>
      </c>
      <c r="O74" s="1" t="str">
        <f t="shared" si="127"/>
        <v>0</v>
      </c>
      <c r="P74" s="1" t="str">
        <f t="shared" si="127"/>
        <v>0</v>
      </c>
      <c r="Q74" s="1" t="str">
        <f t="shared" si="113"/>
        <v>0.0070</v>
      </c>
      <c r="R74" s="1" t="s">
        <v>25</v>
      </c>
      <c r="T74" s="1" t="str">
        <f t="shared" si="114"/>
        <v>0</v>
      </c>
      <c r="U74" s="1" t="str">
        <f t="shared" ref="U74:U78" si="128">"0.0070"</f>
        <v>0.0070</v>
      </c>
    </row>
    <row r="75" s="1" customFormat="1" spans="1:21">
      <c r="A75" s="1" t="str">
        <f>"4601991402826"</f>
        <v>4601991402826</v>
      </c>
      <c r="B75" s="1" t="s">
        <v>99</v>
      </c>
      <c r="C75" s="1" t="s">
        <v>24</v>
      </c>
      <c r="D75" s="1" t="str">
        <f t="shared" si="110"/>
        <v>2021</v>
      </c>
      <c r="E75" s="1" t="str">
        <f>"48.35"</f>
        <v>48.35</v>
      </c>
      <c r="F75" s="1" t="str">
        <f t="shared" ref="F75:I75" si="129">"0"</f>
        <v>0</v>
      </c>
      <c r="G75" s="1" t="str">
        <f t="shared" si="129"/>
        <v>0</v>
      </c>
      <c r="H75" s="1" t="str">
        <f t="shared" si="129"/>
        <v>0</v>
      </c>
      <c r="I75" s="1" t="str">
        <f t="shared" si="129"/>
        <v>0</v>
      </c>
      <c r="J75" s="1" t="str">
        <f>"5"</f>
        <v>5</v>
      </c>
      <c r="K75" s="1" t="str">
        <f t="shared" ref="K75:P75" si="130">"0"</f>
        <v>0</v>
      </c>
      <c r="L75" s="1" t="str">
        <f t="shared" si="130"/>
        <v>0</v>
      </c>
      <c r="M75" s="1" t="str">
        <f t="shared" si="130"/>
        <v>0</v>
      </c>
      <c r="N75" s="1" t="str">
        <f t="shared" si="130"/>
        <v>0</v>
      </c>
      <c r="O75" s="1" t="str">
        <f t="shared" si="130"/>
        <v>0</v>
      </c>
      <c r="P75" s="1" t="str">
        <f t="shared" si="130"/>
        <v>0</v>
      </c>
      <c r="Q75" s="1" t="str">
        <f t="shared" si="113"/>
        <v>0.0070</v>
      </c>
      <c r="R75" s="1" t="s">
        <v>29</v>
      </c>
      <c r="S75" s="1">
        <v>-0.0014</v>
      </c>
      <c r="T75" s="1" t="str">
        <f t="shared" si="114"/>
        <v>0</v>
      </c>
      <c r="U75" s="1" t="str">
        <f t="shared" si="123"/>
        <v>0.0056</v>
      </c>
    </row>
    <row r="76" s="1" customFormat="1" spans="1:21">
      <c r="A76" s="1" t="str">
        <f>"4601991405270"</f>
        <v>4601991405270</v>
      </c>
      <c r="B76" s="1" t="s">
        <v>100</v>
      </c>
      <c r="C76" s="1" t="s">
        <v>24</v>
      </c>
      <c r="D76" s="1" t="str">
        <f t="shared" si="110"/>
        <v>2021</v>
      </c>
      <c r="E76" s="1" t="str">
        <f>"166.89"</f>
        <v>166.89</v>
      </c>
      <c r="F76" s="1" t="str">
        <f t="shared" ref="F76:I76" si="131">"0"</f>
        <v>0</v>
      </c>
      <c r="G76" s="1" t="str">
        <f t="shared" si="131"/>
        <v>0</v>
      </c>
      <c r="H76" s="1" t="str">
        <f t="shared" si="131"/>
        <v>0</v>
      </c>
      <c r="I76" s="1" t="str">
        <f t="shared" si="131"/>
        <v>0</v>
      </c>
      <c r="J76" s="1" t="str">
        <f>"15"</f>
        <v>15</v>
      </c>
      <c r="K76" s="1" t="str">
        <f t="shared" ref="K76:P76" si="132">"0"</f>
        <v>0</v>
      </c>
      <c r="L76" s="1" t="str">
        <f t="shared" si="132"/>
        <v>0</v>
      </c>
      <c r="M76" s="1" t="str">
        <f t="shared" si="132"/>
        <v>0</v>
      </c>
      <c r="N76" s="1" t="str">
        <f t="shared" si="132"/>
        <v>0</v>
      </c>
      <c r="O76" s="1" t="str">
        <f t="shared" si="132"/>
        <v>0</v>
      </c>
      <c r="P76" s="1" t="str">
        <f t="shared" si="132"/>
        <v>0</v>
      </c>
      <c r="Q76" s="1" t="str">
        <f t="shared" si="113"/>
        <v>0.0070</v>
      </c>
      <c r="R76" s="1" t="s">
        <v>29</v>
      </c>
      <c r="S76" s="1">
        <v>-0.0014</v>
      </c>
      <c r="T76" s="1" t="str">
        <f t="shared" si="114"/>
        <v>0</v>
      </c>
      <c r="U76" s="1" t="str">
        <f t="shared" si="123"/>
        <v>0.0056</v>
      </c>
    </row>
    <row r="77" s="1" customFormat="1" spans="1:21">
      <c r="A77" s="1" t="str">
        <f>"4601991406048"</f>
        <v>4601991406048</v>
      </c>
      <c r="B77" s="1" t="s">
        <v>101</v>
      </c>
      <c r="C77" s="1" t="s">
        <v>24</v>
      </c>
      <c r="D77" s="1" t="str">
        <f t="shared" si="110"/>
        <v>2021</v>
      </c>
      <c r="E77" s="1" t="str">
        <f t="shared" ref="E77:P77" si="133">"0"</f>
        <v>0</v>
      </c>
      <c r="F77" s="1" t="str">
        <f t="shared" si="133"/>
        <v>0</v>
      </c>
      <c r="G77" s="1" t="str">
        <f t="shared" si="133"/>
        <v>0</v>
      </c>
      <c r="H77" s="1" t="str">
        <f t="shared" si="133"/>
        <v>0</v>
      </c>
      <c r="I77" s="1" t="str">
        <f t="shared" si="133"/>
        <v>0</v>
      </c>
      <c r="J77" s="1" t="str">
        <f t="shared" si="133"/>
        <v>0</v>
      </c>
      <c r="K77" s="1" t="str">
        <f t="shared" si="133"/>
        <v>0</v>
      </c>
      <c r="L77" s="1" t="str">
        <f t="shared" si="133"/>
        <v>0</v>
      </c>
      <c r="M77" s="1" t="str">
        <f t="shared" si="133"/>
        <v>0</v>
      </c>
      <c r="N77" s="1" t="str">
        <f t="shared" si="133"/>
        <v>0</v>
      </c>
      <c r="O77" s="1" t="str">
        <f t="shared" si="133"/>
        <v>0</v>
      </c>
      <c r="P77" s="1" t="str">
        <f t="shared" si="133"/>
        <v>0</v>
      </c>
      <c r="Q77" s="1" t="str">
        <f t="shared" si="113"/>
        <v>0.0070</v>
      </c>
      <c r="R77" s="1" t="s">
        <v>25</v>
      </c>
      <c r="T77" s="1" t="str">
        <f t="shared" si="114"/>
        <v>0</v>
      </c>
      <c r="U77" s="1" t="str">
        <f t="shared" si="128"/>
        <v>0.0070</v>
      </c>
    </row>
    <row r="78" s="1" customFormat="1" spans="1:21">
      <c r="A78" s="1" t="str">
        <f>"4601991406113"</f>
        <v>4601991406113</v>
      </c>
      <c r="B78" s="1" t="s">
        <v>102</v>
      </c>
      <c r="C78" s="1" t="s">
        <v>24</v>
      </c>
      <c r="D78" s="1" t="str">
        <f t="shared" si="110"/>
        <v>2021</v>
      </c>
      <c r="E78" s="1" t="str">
        <f t="shared" ref="E78:P78" si="134">"0"</f>
        <v>0</v>
      </c>
      <c r="F78" s="1" t="str">
        <f t="shared" si="134"/>
        <v>0</v>
      </c>
      <c r="G78" s="1" t="str">
        <f t="shared" si="134"/>
        <v>0</v>
      </c>
      <c r="H78" s="1" t="str">
        <f t="shared" si="134"/>
        <v>0</v>
      </c>
      <c r="I78" s="1" t="str">
        <f t="shared" si="134"/>
        <v>0</v>
      </c>
      <c r="J78" s="1" t="str">
        <f t="shared" si="134"/>
        <v>0</v>
      </c>
      <c r="K78" s="1" t="str">
        <f t="shared" si="134"/>
        <v>0</v>
      </c>
      <c r="L78" s="1" t="str">
        <f t="shared" si="134"/>
        <v>0</v>
      </c>
      <c r="M78" s="1" t="str">
        <f t="shared" si="134"/>
        <v>0</v>
      </c>
      <c r="N78" s="1" t="str">
        <f t="shared" si="134"/>
        <v>0</v>
      </c>
      <c r="O78" s="1" t="str">
        <f t="shared" si="134"/>
        <v>0</v>
      </c>
      <c r="P78" s="1" t="str">
        <f t="shared" si="134"/>
        <v>0</v>
      </c>
      <c r="Q78" s="1" t="str">
        <f t="shared" si="113"/>
        <v>0.0070</v>
      </c>
      <c r="R78" s="1" t="s">
        <v>25</v>
      </c>
      <c r="T78" s="1" t="str">
        <f t="shared" si="114"/>
        <v>0</v>
      </c>
      <c r="U78" s="1" t="str">
        <f t="shared" si="128"/>
        <v>0.0070</v>
      </c>
    </row>
    <row r="79" s="1" customFormat="1" spans="1:21">
      <c r="A79" s="1" t="str">
        <f>"4601991406088"</f>
        <v>4601991406088</v>
      </c>
      <c r="B79" s="1" t="s">
        <v>103</v>
      </c>
      <c r="C79" s="1" t="s">
        <v>24</v>
      </c>
      <c r="D79" s="1" t="str">
        <f t="shared" si="110"/>
        <v>2021</v>
      </c>
      <c r="E79" s="1" t="str">
        <f>"319.24"</f>
        <v>319.24</v>
      </c>
      <c r="F79" s="1" t="str">
        <f t="shared" ref="F79:I79" si="135">"0"</f>
        <v>0</v>
      </c>
      <c r="G79" s="1" t="str">
        <f t="shared" si="135"/>
        <v>0</v>
      </c>
      <c r="H79" s="1" t="str">
        <f t="shared" si="135"/>
        <v>0</v>
      </c>
      <c r="I79" s="1" t="str">
        <f t="shared" si="135"/>
        <v>0</v>
      </c>
      <c r="J79" s="1" t="str">
        <f>"32"</f>
        <v>32</v>
      </c>
      <c r="K79" s="1" t="str">
        <f t="shared" ref="K79:P79" si="136">"0"</f>
        <v>0</v>
      </c>
      <c r="L79" s="1" t="str">
        <f t="shared" si="136"/>
        <v>0</v>
      </c>
      <c r="M79" s="1" t="str">
        <f t="shared" si="136"/>
        <v>0</v>
      </c>
      <c r="N79" s="1" t="str">
        <f t="shared" si="136"/>
        <v>0</v>
      </c>
      <c r="O79" s="1" t="str">
        <f t="shared" si="136"/>
        <v>0</v>
      </c>
      <c r="P79" s="1" t="str">
        <f t="shared" si="136"/>
        <v>0</v>
      </c>
      <c r="Q79" s="1" t="str">
        <f t="shared" si="113"/>
        <v>0.0070</v>
      </c>
      <c r="R79" s="1" t="s">
        <v>29</v>
      </c>
      <c r="S79" s="1">
        <v>-0.0014</v>
      </c>
      <c r="T79" s="1" t="str">
        <f t="shared" si="114"/>
        <v>0</v>
      </c>
      <c r="U79" s="1" t="str">
        <f t="shared" ref="U79:U84" si="137">"0.0056"</f>
        <v>0.0056</v>
      </c>
    </row>
    <row r="80" s="1" customFormat="1" spans="1:21">
      <c r="A80" s="1" t="str">
        <f>"4601991405677"</f>
        <v>4601991405677</v>
      </c>
      <c r="B80" s="1" t="s">
        <v>104</v>
      </c>
      <c r="C80" s="1" t="s">
        <v>24</v>
      </c>
      <c r="D80" s="1" t="str">
        <f t="shared" si="110"/>
        <v>2021</v>
      </c>
      <c r="E80" s="1" t="str">
        <f>"416.73"</f>
        <v>416.73</v>
      </c>
      <c r="F80" s="1" t="str">
        <f>"35166.00"</f>
        <v>35166.00</v>
      </c>
      <c r="G80" s="1" t="str">
        <f t="shared" ref="G80:P80" si="138">"0"</f>
        <v>0</v>
      </c>
      <c r="H80" s="1" t="str">
        <f t="shared" si="138"/>
        <v>0</v>
      </c>
      <c r="I80" s="1" t="str">
        <f>"84.3856"</f>
        <v>84.3856</v>
      </c>
      <c r="J80" s="1" t="str">
        <f>"32"</f>
        <v>32</v>
      </c>
      <c r="K80" s="1" t="str">
        <f t="shared" si="138"/>
        <v>0</v>
      </c>
      <c r="L80" s="1" t="str">
        <f t="shared" si="138"/>
        <v>0</v>
      </c>
      <c r="M80" s="1" t="str">
        <f t="shared" si="138"/>
        <v>0</v>
      </c>
      <c r="N80" s="1" t="str">
        <f t="shared" si="138"/>
        <v>0</v>
      </c>
      <c r="O80" s="1" t="str">
        <f t="shared" si="138"/>
        <v>0</v>
      </c>
      <c r="P80" s="1" t="str">
        <f t="shared" si="138"/>
        <v>0</v>
      </c>
      <c r="Q80" s="1" t="str">
        <f t="shared" si="113"/>
        <v>0.0070</v>
      </c>
      <c r="R80" s="1" t="s">
        <v>69</v>
      </c>
      <c r="S80" s="1" t="str">
        <f>"0.0014"</f>
        <v>0.0014</v>
      </c>
      <c r="T80" s="1" t="str">
        <f t="shared" si="114"/>
        <v>0</v>
      </c>
      <c r="U80" s="1" t="str">
        <f>"0.0084"</f>
        <v>0.0084</v>
      </c>
    </row>
    <row r="81" s="1" customFormat="1" spans="1:21">
      <c r="A81" s="1" t="str">
        <f>"4601991404952"</f>
        <v>4601991404952</v>
      </c>
      <c r="B81" s="1" t="s">
        <v>105</v>
      </c>
      <c r="C81" s="1" t="s">
        <v>24</v>
      </c>
      <c r="D81" s="1" t="str">
        <f t="shared" si="110"/>
        <v>2021</v>
      </c>
      <c r="E81" s="1" t="str">
        <f t="shared" ref="E81:P81" si="139">"0"</f>
        <v>0</v>
      </c>
      <c r="F81" s="1" t="str">
        <f t="shared" si="139"/>
        <v>0</v>
      </c>
      <c r="G81" s="1" t="str">
        <f t="shared" si="139"/>
        <v>0</v>
      </c>
      <c r="H81" s="1" t="str">
        <f t="shared" si="139"/>
        <v>0</v>
      </c>
      <c r="I81" s="1" t="str">
        <f t="shared" si="139"/>
        <v>0</v>
      </c>
      <c r="J81" s="1" t="str">
        <f t="shared" si="139"/>
        <v>0</v>
      </c>
      <c r="K81" s="1" t="str">
        <f t="shared" si="139"/>
        <v>0</v>
      </c>
      <c r="L81" s="1" t="str">
        <f t="shared" si="139"/>
        <v>0</v>
      </c>
      <c r="M81" s="1" t="str">
        <f t="shared" si="139"/>
        <v>0</v>
      </c>
      <c r="N81" s="1" t="str">
        <f t="shared" si="139"/>
        <v>0</v>
      </c>
      <c r="O81" s="1" t="str">
        <f t="shared" si="139"/>
        <v>0</v>
      </c>
      <c r="P81" s="1" t="str">
        <f t="shared" si="139"/>
        <v>0</v>
      </c>
      <c r="Q81" s="1" t="str">
        <f t="shared" si="113"/>
        <v>0.0070</v>
      </c>
      <c r="R81" s="1" t="s">
        <v>25</v>
      </c>
      <c r="T81" s="1" t="str">
        <f t="shared" si="114"/>
        <v>0</v>
      </c>
      <c r="U81" s="1" t="str">
        <f t="shared" ref="U81:U85" si="140">"0.0070"</f>
        <v>0.0070</v>
      </c>
    </row>
    <row r="82" s="1" customFormat="1" spans="1:21">
      <c r="A82" s="1" t="str">
        <f>"4601991404953"</f>
        <v>4601991404953</v>
      </c>
      <c r="B82" s="1" t="s">
        <v>106</v>
      </c>
      <c r="C82" s="1" t="s">
        <v>24</v>
      </c>
      <c r="D82" s="1" t="str">
        <f t="shared" si="110"/>
        <v>2021</v>
      </c>
      <c r="E82" s="1" t="str">
        <f t="shared" ref="E82:P82" si="141">"0"</f>
        <v>0</v>
      </c>
      <c r="F82" s="1" t="str">
        <f t="shared" si="141"/>
        <v>0</v>
      </c>
      <c r="G82" s="1" t="str">
        <f t="shared" si="141"/>
        <v>0</v>
      </c>
      <c r="H82" s="1" t="str">
        <f t="shared" si="141"/>
        <v>0</v>
      </c>
      <c r="I82" s="1" t="str">
        <f t="shared" si="141"/>
        <v>0</v>
      </c>
      <c r="J82" s="1" t="str">
        <f t="shared" si="141"/>
        <v>0</v>
      </c>
      <c r="K82" s="1" t="str">
        <f t="shared" si="141"/>
        <v>0</v>
      </c>
      <c r="L82" s="1" t="str">
        <f t="shared" si="141"/>
        <v>0</v>
      </c>
      <c r="M82" s="1" t="str">
        <f t="shared" si="141"/>
        <v>0</v>
      </c>
      <c r="N82" s="1" t="str">
        <f t="shared" si="141"/>
        <v>0</v>
      </c>
      <c r="O82" s="1" t="str">
        <f t="shared" si="141"/>
        <v>0</v>
      </c>
      <c r="P82" s="1" t="str">
        <f t="shared" si="141"/>
        <v>0</v>
      </c>
      <c r="Q82" s="1" t="str">
        <f t="shared" si="113"/>
        <v>0.0070</v>
      </c>
      <c r="R82" s="1" t="s">
        <v>25</v>
      </c>
      <c r="T82" s="1" t="str">
        <f t="shared" si="114"/>
        <v>0</v>
      </c>
      <c r="U82" s="1" t="str">
        <f t="shared" si="140"/>
        <v>0.0070</v>
      </c>
    </row>
    <row r="83" s="1" customFormat="1" spans="1:21">
      <c r="A83" s="1" t="str">
        <f>"4601991404570"</f>
        <v>4601991404570</v>
      </c>
      <c r="B83" s="1" t="s">
        <v>107</v>
      </c>
      <c r="C83" s="1" t="s">
        <v>24</v>
      </c>
      <c r="D83" s="1" t="str">
        <f t="shared" si="110"/>
        <v>2021</v>
      </c>
      <c r="E83" s="1" t="str">
        <f>"164.39"</f>
        <v>164.39</v>
      </c>
      <c r="F83" s="1" t="str">
        <f t="shared" ref="F83:I83" si="142">"0"</f>
        <v>0</v>
      </c>
      <c r="G83" s="1" t="str">
        <f t="shared" si="142"/>
        <v>0</v>
      </c>
      <c r="H83" s="1" t="str">
        <f t="shared" si="142"/>
        <v>0</v>
      </c>
      <c r="I83" s="1" t="str">
        <f t="shared" si="142"/>
        <v>0</v>
      </c>
      <c r="J83" s="1" t="str">
        <f>"18"</f>
        <v>18</v>
      </c>
      <c r="K83" s="1" t="str">
        <f t="shared" ref="K83:P83" si="143">"0"</f>
        <v>0</v>
      </c>
      <c r="L83" s="1" t="str">
        <f t="shared" si="143"/>
        <v>0</v>
      </c>
      <c r="M83" s="1" t="str">
        <f t="shared" si="143"/>
        <v>0</v>
      </c>
      <c r="N83" s="1" t="str">
        <f t="shared" si="143"/>
        <v>0</v>
      </c>
      <c r="O83" s="1" t="str">
        <f t="shared" si="143"/>
        <v>0</v>
      </c>
      <c r="P83" s="1" t="str">
        <f t="shared" si="143"/>
        <v>0</v>
      </c>
      <c r="Q83" s="1" t="str">
        <f t="shared" si="113"/>
        <v>0.0070</v>
      </c>
      <c r="R83" s="1" t="s">
        <v>29</v>
      </c>
      <c r="S83" s="1">
        <v>-0.0014</v>
      </c>
      <c r="T83" s="1" t="str">
        <f t="shared" si="114"/>
        <v>0</v>
      </c>
      <c r="U83" s="1" t="str">
        <f t="shared" si="137"/>
        <v>0.0056</v>
      </c>
    </row>
    <row r="84" s="1" customFormat="1" spans="1:21">
      <c r="A84" s="1" t="str">
        <f>"4601991405702"</f>
        <v>4601991405702</v>
      </c>
      <c r="B84" s="1" t="s">
        <v>108</v>
      </c>
      <c r="C84" s="1" t="s">
        <v>24</v>
      </c>
      <c r="D84" s="1" t="str">
        <f t="shared" si="110"/>
        <v>2021</v>
      </c>
      <c r="E84" s="1" t="str">
        <f>"19.34"</f>
        <v>19.34</v>
      </c>
      <c r="F84" s="1" t="str">
        <f t="shared" ref="F84:I84" si="144">"0"</f>
        <v>0</v>
      </c>
      <c r="G84" s="1" t="str">
        <f t="shared" si="144"/>
        <v>0</v>
      </c>
      <c r="H84" s="1" t="str">
        <f t="shared" si="144"/>
        <v>0</v>
      </c>
      <c r="I84" s="1" t="str">
        <f t="shared" si="144"/>
        <v>0</v>
      </c>
      <c r="J84" s="1" t="str">
        <f>"2"</f>
        <v>2</v>
      </c>
      <c r="K84" s="1" t="str">
        <f t="shared" ref="K84:P84" si="145">"0"</f>
        <v>0</v>
      </c>
      <c r="L84" s="1" t="str">
        <f t="shared" si="145"/>
        <v>0</v>
      </c>
      <c r="M84" s="1" t="str">
        <f t="shared" si="145"/>
        <v>0</v>
      </c>
      <c r="N84" s="1" t="str">
        <f t="shared" si="145"/>
        <v>0</v>
      </c>
      <c r="O84" s="1" t="str">
        <f t="shared" si="145"/>
        <v>0</v>
      </c>
      <c r="P84" s="1" t="str">
        <f t="shared" si="145"/>
        <v>0</v>
      </c>
      <c r="Q84" s="1" t="str">
        <f t="shared" si="113"/>
        <v>0.0070</v>
      </c>
      <c r="R84" s="1" t="s">
        <v>29</v>
      </c>
      <c r="S84" s="1">
        <v>-0.0014</v>
      </c>
      <c r="T84" s="1" t="str">
        <f t="shared" si="114"/>
        <v>0</v>
      </c>
      <c r="U84" s="1" t="str">
        <f t="shared" si="137"/>
        <v>0.0056</v>
      </c>
    </row>
    <row r="85" s="1" customFormat="1" spans="1:21">
      <c r="A85" s="1" t="str">
        <f>"4601991404965"</f>
        <v>4601991404965</v>
      </c>
      <c r="B85" s="1" t="s">
        <v>109</v>
      </c>
      <c r="C85" s="1" t="s">
        <v>24</v>
      </c>
      <c r="D85" s="1" t="str">
        <f t="shared" si="110"/>
        <v>2021</v>
      </c>
      <c r="E85" s="1" t="str">
        <f t="shared" ref="E85:P85" si="146">"0"</f>
        <v>0</v>
      </c>
      <c r="F85" s="1" t="str">
        <f t="shared" si="146"/>
        <v>0</v>
      </c>
      <c r="G85" s="1" t="str">
        <f t="shared" si="146"/>
        <v>0</v>
      </c>
      <c r="H85" s="1" t="str">
        <f t="shared" si="146"/>
        <v>0</v>
      </c>
      <c r="I85" s="1" t="str">
        <f t="shared" si="146"/>
        <v>0</v>
      </c>
      <c r="J85" s="1" t="str">
        <f t="shared" si="146"/>
        <v>0</v>
      </c>
      <c r="K85" s="1" t="str">
        <f t="shared" si="146"/>
        <v>0</v>
      </c>
      <c r="L85" s="1" t="str">
        <f t="shared" si="146"/>
        <v>0</v>
      </c>
      <c r="M85" s="1" t="str">
        <f t="shared" si="146"/>
        <v>0</v>
      </c>
      <c r="N85" s="1" t="str">
        <f t="shared" si="146"/>
        <v>0</v>
      </c>
      <c r="O85" s="1" t="str">
        <f t="shared" si="146"/>
        <v>0</v>
      </c>
      <c r="P85" s="1" t="str">
        <f t="shared" si="146"/>
        <v>0</v>
      </c>
      <c r="Q85" s="1" t="str">
        <f t="shared" si="113"/>
        <v>0.0070</v>
      </c>
      <c r="R85" s="1" t="s">
        <v>25</v>
      </c>
      <c r="T85" s="1" t="str">
        <f t="shared" si="114"/>
        <v>0</v>
      </c>
      <c r="U85" s="1" t="str">
        <f t="shared" si="140"/>
        <v>0.0070</v>
      </c>
    </row>
    <row r="86" s="1" customFormat="1" spans="1:21">
      <c r="A86" s="1" t="str">
        <f>"4601991404968"</f>
        <v>4601991404968</v>
      </c>
      <c r="B86" s="1" t="s">
        <v>110</v>
      </c>
      <c r="C86" s="1" t="s">
        <v>24</v>
      </c>
      <c r="D86" s="1" t="str">
        <f t="shared" si="110"/>
        <v>2021</v>
      </c>
      <c r="E86" s="1" t="str">
        <f>"67.69"</f>
        <v>67.69</v>
      </c>
      <c r="F86" s="1" t="str">
        <f t="shared" ref="F86:I86" si="147">"0"</f>
        <v>0</v>
      </c>
      <c r="G86" s="1" t="str">
        <f t="shared" si="147"/>
        <v>0</v>
      </c>
      <c r="H86" s="1" t="str">
        <f t="shared" si="147"/>
        <v>0</v>
      </c>
      <c r="I86" s="1" t="str">
        <f t="shared" si="147"/>
        <v>0</v>
      </c>
      <c r="J86" s="1" t="str">
        <f>"7"</f>
        <v>7</v>
      </c>
      <c r="K86" s="1" t="str">
        <f t="shared" ref="K86:P86" si="148">"0"</f>
        <v>0</v>
      </c>
      <c r="L86" s="1" t="str">
        <f t="shared" si="148"/>
        <v>0</v>
      </c>
      <c r="M86" s="1" t="str">
        <f t="shared" si="148"/>
        <v>0</v>
      </c>
      <c r="N86" s="1" t="str">
        <f t="shared" si="148"/>
        <v>0</v>
      </c>
      <c r="O86" s="1" t="str">
        <f t="shared" si="148"/>
        <v>0</v>
      </c>
      <c r="P86" s="1" t="str">
        <f t="shared" si="148"/>
        <v>0</v>
      </c>
      <c r="Q86" s="1" t="str">
        <f t="shared" si="113"/>
        <v>0.0070</v>
      </c>
      <c r="R86" s="1" t="s">
        <v>29</v>
      </c>
      <c r="S86" s="1">
        <v>-0.0014</v>
      </c>
      <c r="T86" s="1" t="str">
        <f t="shared" si="114"/>
        <v>0</v>
      </c>
      <c r="U86" s="1" t="str">
        <f t="shared" ref="U86:U89" si="149">"0.0056"</f>
        <v>0.0056</v>
      </c>
    </row>
    <row r="87" s="1" customFormat="1" spans="1:21">
      <c r="A87" s="1" t="str">
        <f>"4601991404605"</f>
        <v>4601991404605</v>
      </c>
      <c r="B87" s="1" t="s">
        <v>111</v>
      </c>
      <c r="C87" s="1" t="s">
        <v>24</v>
      </c>
      <c r="D87" s="1" t="str">
        <f t="shared" si="110"/>
        <v>2021</v>
      </c>
      <c r="E87" s="1" t="str">
        <f>"15.08"</f>
        <v>15.08</v>
      </c>
      <c r="F87" s="1" t="str">
        <f t="shared" ref="F87:I87" si="150">"0"</f>
        <v>0</v>
      </c>
      <c r="G87" s="1" t="str">
        <f t="shared" si="150"/>
        <v>0</v>
      </c>
      <c r="H87" s="1" t="str">
        <f t="shared" si="150"/>
        <v>0</v>
      </c>
      <c r="I87" s="1" t="str">
        <f t="shared" si="150"/>
        <v>0</v>
      </c>
      <c r="J87" s="1" t="str">
        <f>"1"</f>
        <v>1</v>
      </c>
      <c r="K87" s="1" t="str">
        <f t="shared" ref="K87:P87" si="151">"0"</f>
        <v>0</v>
      </c>
      <c r="L87" s="1" t="str">
        <f t="shared" si="151"/>
        <v>0</v>
      </c>
      <c r="M87" s="1" t="str">
        <f t="shared" si="151"/>
        <v>0</v>
      </c>
      <c r="N87" s="1" t="str">
        <f t="shared" si="151"/>
        <v>0</v>
      </c>
      <c r="O87" s="1" t="str">
        <f t="shared" si="151"/>
        <v>0</v>
      </c>
      <c r="P87" s="1" t="str">
        <f t="shared" si="151"/>
        <v>0</v>
      </c>
      <c r="Q87" s="1" t="str">
        <f t="shared" si="113"/>
        <v>0.0070</v>
      </c>
      <c r="R87" s="1" t="s">
        <v>29</v>
      </c>
      <c r="S87" s="1">
        <v>-0.0014</v>
      </c>
      <c r="T87" s="1" t="str">
        <f t="shared" si="114"/>
        <v>0</v>
      </c>
      <c r="U87" s="1" t="str">
        <f t="shared" si="149"/>
        <v>0.0056</v>
      </c>
    </row>
    <row r="88" s="1" customFormat="1" spans="1:21">
      <c r="A88" s="1" t="str">
        <f>"4601991405350"</f>
        <v>4601991405350</v>
      </c>
      <c r="B88" s="1" t="s">
        <v>112</v>
      </c>
      <c r="C88" s="1" t="s">
        <v>24</v>
      </c>
      <c r="D88" s="1" t="str">
        <f t="shared" si="110"/>
        <v>2021</v>
      </c>
      <c r="E88" s="1" t="str">
        <f t="shared" ref="E88:P88" si="152">"0"</f>
        <v>0</v>
      </c>
      <c r="F88" s="1" t="str">
        <f t="shared" si="152"/>
        <v>0</v>
      </c>
      <c r="G88" s="1" t="str">
        <f t="shared" si="152"/>
        <v>0</v>
      </c>
      <c r="H88" s="1" t="str">
        <f t="shared" si="152"/>
        <v>0</v>
      </c>
      <c r="I88" s="1" t="str">
        <f t="shared" si="152"/>
        <v>0</v>
      </c>
      <c r="J88" s="1" t="str">
        <f t="shared" si="152"/>
        <v>0</v>
      </c>
      <c r="K88" s="1" t="str">
        <f t="shared" si="152"/>
        <v>0</v>
      </c>
      <c r="L88" s="1" t="str">
        <f t="shared" si="152"/>
        <v>0</v>
      </c>
      <c r="M88" s="1" t="str">
        <f t="shared" si="152"/>
        <v>0</v>
      </c>
      <c r="N88" s="1" t="str">
        <f t="shared" si="152"/>
        <v>0</v>
      </c>
      <c r="O88" s="1" t="str">
        <f t="shared" si="152"/>
        <v>0</v>
      </c>
      <c r="P88" s="1" t="str">
        <f t="shared" si="152"/>
        <v>0</v>
      </c>
      <c r="Q88" s="1" t="str">
        <f t="shared" si="113"/>
        <v>0.0070</v>
      </c>
      <c r="R88" s="1" t="s">
        <v>25</v>
      </c>
      <c r="T88" s="1" t="str">
        <f t="shared" si="114"/>
        <v>0</v>
      </c>
      <c r="U88" s="1" t="str">
        <f t="shared" ref="U88:U92" si="153">"0.0070"</f>
        <v>0.0070</v>
      </c>
    </row>
    <row r="89" s="1" customFormat="1" spans="1:21">
      <c r="A89" s="1" t="str">
        <f>"4601991401636"</f>
        <v>4601991401636</v>
      </c>
      <c r="B89" s="1" t="s">
        <v>113</v>
      </c>
      <c r="C89" s="1" t="s">
        <v>24</v>
      </c>
      <c r="D89" s="1" t="str">
        <f t="shared" si="110"/>
        <v>2021</v>
      </c>
      <c r="E89" s="1" t="str">
        <f>"302334.14"</f>
        <v>302334.14</v>
      </c>
      <c r="F89" s="1" t="str">
        <f>"302419.11"</f>
        <v>302419.11</v>
      </c>
      <c r="G89" s="1" t="str">
        <f>"0"</f>
        <v>0</v>
      </c>
      <c r="H89" s="1" t="str">
        <f>"0"</f>
        <v>0</v>
      </c>
      <c r="I89" s="1" t="str">
        <f>"1.0003"</f>
        <v>1.0003</v>
      </c>
      <c r="J89" s="1" t="str">
        <f>"3227"</f>
        <v>3227</v>
      </c>
      <c r="K89" s="1" t="str">
        <f>"13"</f>
        <v>13</v>
      </c>
      <c r="L89" s="1" t="str">
        <f>"1"</f>
        <v>1</v>
      </c>
      <c r="M89" s="1" t="str">
        <f>"0.0037"</f>
        <v>0.0037</v>
      </c>
      <c r="N89" s="1" t="str">
        <f t="shared" ref="N89:P89" si="154">"0"</f>
        <v>0</v>
      </c>
      <c r="O89" s="1" t="str">
        <f t="shared" si="154"/>
        <v>0</v>
      </c>
      <c r="P89" s="1" t="str">
        <f t="shared" si="154"/>
        <v>0</v>
      </c>
      <c r="Q89" s="1" t="str">
        <f t="shared" si="113"/>
        <v>0.0070</v>
      </c>
      <c r="R89" s="1" t="s">
        <v>29</v>
      </c>
      <c r="S89" s="1">
        <v>-0.0014</v>
      </c>
      <c r="T89" s="1" t="str">
        <f t="shared" si="114"/>
        <v>0</v>
      </c>
      <c r="U89" s="1" t="str">
        <f t="shared" si="149"/>
        <v>0.0056</v>
      </c>
    </row>
    <row r="90" s="1" customFormat="1" spans="1:21">
      <c r="A90" s="1" t="str">
        <f>"4601991405010"</f>
        <v>4601991405010</v>
      </c>
      <c r="B90" s="1" t="s">
        <v>114</v>
      </c>
      <c r="C90" s="1" t="s">
        <v>24</v>
      </c>
      <c r="D90" s="1" t="str">
        <f t="shared" si="110"/>
        <v>2021</v>
      </c>
      <c r="E90" s="1" t="str">
        <f t="shared" ref="E90:P90" si="155">"0"</f>
        <v>0</v>
      </c>
      <c r="F90" s="1" t="str">
        <f t="shared" si="155"/>
        <v>0</v>
      </c>
      <c r="G90" s="1" t="str">
        <f t="shared" si="155"/>
        <v>0</v>
      </c>
      <c r="H90" s="1" t="str">
        <f t="shared" si="155"/>
        <v>0</v>
      </c>
      <c r="I90" s="1" t="str">
        <f t="shared" si="155"/>
        <v>0</v>
      </c>
      <c r="J90" s="1" t="str">
        <f t="shared" si="155"/>
        <v>0</v>
      </c>
      <c r="K90" s="1" t="str">
        <f t="shared" si="155"/>
        <v>0</v>
      </c>
      <c r="L90" s="1" t="str">
        <f t="shared" si="155"/>
        <v>0</v>
      </c>
      <c r="M90" s="1" t="str">
        <f t="shared" si="155"/>
        <v>0</v>
      </c>
      <c r="N90" s="1" t="str">
        <f t="shared" si="155"/>
        <v>0</v>
      </c>
      <c r="O90" s="1" t="str">
        <f t="shared" si="155"/>
        <v>0</v>
      </c>
      <c r="P90" s="1" t="str">
        <f t="shared" si="155"/>
        <v>0</v>
      </c>
      <c r="Q90" s="1" t="str">
        <f t="shared" si="113"/>
        <v>0.0070</v>
      </c>
      <c r="R90" s="1" t="s">
        <v>25</v>
      </c>
      <c r="T90" s="1" t="str">
        <f t="shared" si="114"/>
        <v>0</v>
      </c>
      <c r="U90" s="1" t="str">
        <f t="shared" si="153"/>
        <v>0.0070</v>
      </c>
    </row>
    <row r="91" s="1" customFormat="1" spans="1:21">
      <c r="A91" s="1" t="str">
        <f>"4601991404677"</f>
        <v>4601991404677</v>
      </c>
      <c r="B91" s="1" t="s">
        <v>115</v>
      </c>
      <c r="C91" s="1" t="s">
        <v>24</v>
      </c>
      <c r="D91" s="1" t="str">
        <f t="shared" si="110"/>
        <v>2021</v>
      </c>
      <c r="E91" s="1" t="str">
        <f t="shared" ref="E91:P91" si="156">"0"</f>
        <v>0</v>
      </c>
      <c r="F91" s="1" t="str">
        <f t="shared" si="156"/>
        <v>0</v>
      </c>
      <c r="G91" s="1" t="str">
        <f t="shared" si="156"/>
        <v>0</v>
      </c>
      <c r="H91" s="1" t="str">
        <f t="shared" si="156"/>
        <v>0</v>
      </c>
      <c r="I91" s="1" t="str">
        <f t="shared" si="156"/>
        <v>0</v>
      </c>
      <c r="J91" s="1" t="str">
        <f t="shared" si="156"/>
        <v>0</v>
      </c>
      <c r="K91" s="1" t="str">
        <f t="shared" si="156"/>
        <v>0</v>
      </c>
      <c r="L91" s="1" t="str">
        <f t="shared" si="156"/>
        <v>0</v>
      </c>
      <c r="M91" s="1" t="str">
        <f t="shared" si="156"/>
        <v>0</v>
      </c>
      <c r="N91" s="1" t="str">
        <f t="shared" si="156"/>
        <v>0</v>
      </c>
      <c r="O91" s="1" t="str">
        <f t="shared" si="156"/>
        <v>0</v>
      </c>
      <c r="P91" s="1" t="str">
        <f t="shared" si="156"/>
        <v>0</v>
      </c>
      <c r="Q91" s="1" t="str">
        <f t="shared" si="113"/>
        <v>0.0070</v>
      </c>
      <c r="R91" s="1" t="s">
        <v>25</v>
      </c>
      <c r="T91" s="1" t="str">
        <f t="shared" si="114"/>
        <v>0</v>
      </c>
      <c r="U91" s="1" t="str">
        <f t="shared" si="153"/>
        <v>0.0070</v>
      </c>
    </row>
    <row r="92" s="1" customFormat="1" spans="1:21">
      <c r="A92" s="1" t="str">
        <f>"4601991405835"</f>
        <v>4601991405835</v>
      </c>
      <c r="B92" s="1" t="s">
        <v>116</v>
      </c>
      <c r="C92" s="1" t="s">
        <v>24</v>
      </c>
      <c r="D92" s="1" t="str">
        <f t="shared" si="110"/>
        <v>2021</v>
      </c>
      <c r="E92" s="1" t="str">
        <f t="shared" ref="E92:P92" si="157">"0"</f>
        <v>0</v>
      </c>
      <c r="F92" s="1" t="str">
        <f t="shared" si="157"/>
        <v>0</v>
      </c>
      <c r="G92" s="1" t="str">
        <f t="shared" si="157"/>
        <v>0</v>
      </c>
      <c r="H92" s="1" t="str">
        <f t="shared" si="157"/>
        <v>0</v>
      </c>
      <c r="I92" s="1" t="str">
        <f t="shared" si="157"/>
        <v>0</v>
      </c>
      <c r="J92" s="1" t="str">
        <f t="shared" si="157"/>
        <v>0</v>
      </c>
      <c r="K92" s="1" t="str">
        <f t="shared" si="157"/>
        <v>0</v>
      </c>
      <c r="L92" s="1" t="str">
        <f t="shared" si="157"/>
        <v>0</v>
      </c>
      <c r="M92" s="1" t="str">
        <f t="shared" si="157"/>
        <v>0</v>
      </c>
      <c r="N92" s="1" t="str">
        <f t="shared" si="157"/>
        <v>0</v>
      </c>
      <c r="O92" s="1" t="str">
        <f t="shared" si="157"/>
        <v>0</v>
      </c>
      <c r="P92" s="1" t="str">
        <f t="shared" si="157"/>
        <v>0</v>
      </c>
      <c r="Q92" s="1" t="str">
        <f t="shared" si="113"/>
        <v>0.0070</v>
      </c>
      <c r="R92" s="1" t="s">
        <v>25</v>
      </c>
      <c r="T92" s="1" t="str">
        <f t="shared" si="114"/>
        <v>0</v>
      </c>
      <c r="U92" s="1" t="str">
        <f t="shared" si="153"/>
        <v>0.0070</v>
      </c>
    </row>
    <row r="93" s="1" customFormat="1" spans="1:21">
      <c r="A93" s="1" t="str">
        <f>"4601991405756"</f>
        <v>4601991405756</v>
      </c>
      <c r="B93" s="1" t="s">
        <v>117</v>
      </c>
      <c r="C93" s="1" t="s">
        <v>24</v>
      </c>
      <c r="D93" s="1" t="str">
        <f t="shared" si="110"/>
        <v>2021</v>
      </c>
      <c r="E93" s="1" t="str">
        <f>"564.11"</f>
        <v>564.11</v>
      </c>
      <c r="F93" s="1" t="str">
        <f t="shared" ref="F93:I93" si="158">"0"</f>
        <v>0</v>
      </c>
      <c r="G93" s="1" t="str">
        <f t="shared" si="158"/>
        <v>0</v>
      </c>
      <c r="H93" s="1" t="str">
        <f t="shared" si="158"/>
        <v>0</v>
      </c>
      <c r="I93" s="1" t="str">
        <f t="shared" si="158"/>
        <v>0</v>
      </c>
      <c r="J93" s="1" t="str">
        <f>"57"</f>
        <v>57</v>
      </c>
      <c r="K93" s="1" t="str">
        <f t="shared" ref="K93:P93" si="159">"0"</f>
        <v>0</v>
      </c>
      <c r="L93" s="1" t="str">
        <f t="shared" si="159"/>
        <v>0</v>
      </c>
      <c r="M93" s="1" t="str">
        <f t="shared" si="159"/>
        <v>0</v>
      </c>
      <c r="N93" s="1" t="str">
        <f t="shared" si="159"/>
        <v>0</v>
      </c>
      <c r="O93" s="1" t="str">
        <f t="shared" si="159"/>
        <v>0</v>
      </c>
      <c r="P93" s="1" t="str">
        <f t="shared" si="159"/>
        <v>0</v>
      </c>
      <c r="Q93" s="1" t="str">
        <f t="shared" si="113"/>
        <v>0.0070</v>
      </c>
      <c r="R93" s="1" t="s">
        <v>29</v>
      </c>
      <c r="S93" s="1">
        <v>-0.0014</v>
      </c>
      <c r="T93" s="1" t="str">
        <f t="shared" si="114"/>
        <v>0</v>
      </c>
      <c r="U93" s="1" t="str">
        <f>"0.0056"</f>
        <v>0.0056</v>
      </c>
    </row>
    <row r="94" s="1" customFormat="1" spans="1:21">
      <c r="A94" s="1" t="str">
        <f>"4601991405099"</f>
        <v>4601991405099</v>
      </c>
      <c r="B94" s="1" t="s">
        <v>118</v>
      </c>
      <c r="C94" s="1" t="s">
        <v>24</v>
      </c>
      <c r="D94" s="1" t="str">
        <f t="shared" si="110"/>
        <v>2021</v>
      </c>
      <c r="E94" s="1" t="str">
        <f t="shared" ref="E94:P94" si="160">"0"</f>
        <v>0</v>
      </c>
      <c r="F94" s="1" t="str">
        <f t="shared" si="160"/>
        <v>0</v>
      </c>
      <c r="G94" s="1" t="str">
        <f t="shared" si="160"/>
        <v>0</v>
      </c>
      <c r="H94" s="1" t="str">
        <f t="shared" si="160"/>
        <v>0</v>
      </c>
      <c r="I94" s="1" t="str">
        <f t="shared" si="160"/>
        <v>0</v>
      </c>
      <c r="J94" s="1" t="str">
        <f t="shared" si="160"/>
        <v>0</v>
      </c>
      <c r="K94" s="1" t="str">
        <f t="shared" si="160"/>
        <v>0</v>
      </c>
      <c r="L94" s="1" t="str">
        <f t="shared" si="160"/>
        <v>0</v>
      </c>
      <c r="M94" s="1" t="str">
        <f t="shared" si="160"/>
        <v>0</v>
      </c>
      <c r="N94" s="1" t="str">
        <f t="shared" si="160"/>
        <v>0</v>
      </c>
      <c r="O94" s="1" t="str">
        <f t="shared" si="160"/>
        <v>0</v>
      </c>
      <c r="P94" s="1" t="str">
        <f t="shared" si="160"/>
        <v>0</v>
      </c>
      <c r="Q94" s="1" t="str">
        <f t="shared" si="113"/>
        <v>0.0070</v>
      </c>
      <c r="R94" s="1" t="s">
        <v>25</v>
      </c>
      <c r="T94" s="1" t="str">
        <f t="shared" si="114"/>
        <v>0</v>
      </c>
      <c r="U94" s="1" t="str">
        <f t="shared" ref="U94:U97" si="161">"0.0070"</f>
        <v>0.0070</v>
      </c>
    </row>
    <row r="95" s="1" customFormat="1" spans="1:21">
      <c r="A95" s="1" t="str">
        <f>"4601991405866"</f>
        <v>4601991405866</v>
      </c>
      <c r="B95" s="1" t="s">
        <v>119</v>
      </c>
      <c r="C95" s="1" t="s">
        <v>24</v>
      </c>
      <c r="D95" s="1" t="str">
        <f t="shared" si="110"/>
        <v>2021</v>
      </c>
      <c r="E95" s="1" t="str">
        <f t="shared" ref="E95:P95" si="162">"0"</f>
        <v>0</v>
      </c>
      <c r="F95" s="1" t="str">
        <f t="shared" si="162"/>
        <v>0</v>
      </c>
      <c r="G95" s="1" t="str">
        <f t="shared" si="162"/>
        <v>0</v>
      </c>
      <c r="H95" s="1" t="str">
        <f t="shared" si="162"/>
        <v>0</v>
      </c>
      <c r="I95" s="1" t="str">
        <f t="shared" si="162"/>
        <v>0</v>
      </c>
      <c r="J95" s="1" t="str">
        <f t="shared" si="162"/>
        <v>0</v>
      </c>
      <c r="K95" s="1" t="str">
        <f t="shared" si="162"/>
        <v>0</v>
      </c>
      <c r="L95" s="1" t="str">
        <f t="shared" si="162"/>
        <v>0</v>
      </c>
      <c r="M95" s="1" t="str">
        <f t="shared" si="162"/>
        <v>0</v>
      </c>
      <c r="N95" s="1" t="str">
        <f t="shared" si="162"/>
        <v>0</v>
      </c>
      <c r="O95" s="1" t="str">
        <f t="shared" si="162"/>
        <v>0</v>
      </c>
      <c r="P95" s="1" t="str">
        <f t="shared" si="162"/>
        <v>0</v>
      </c>
      <c r="Q95" s="1" t="str">
        <f t="shared" si="113"/>
        <v>0.0070</v>
      </c>
      <c r="R95" s="1" t="s">
        <v>25</v>
      </c>
      <c r="T95" s="1" t="str">
        <f t="shared" si="114"/>
        <v>0</v>
      </c>
      <c r="U95" s="1" t="str">
        <f t="shared" si="161"/>
        <v>0.0070</v>
      </c>
    </row>
    <row r="96" s="1" customFormat="1" spans="1:21">
      <c r="A96" s="1" t="str">
        <f>"4601991405907"</f>
        <v>4601991405907</v>
      </c>
      <c r="B96" s="1" t="s">
        <v>120</v>
      </c>
      <c r="C96" s="1" t="s">
        <v>24</v>
      </c>
      <c r="D96" s="1" t="str">
        <f t="shared" si="110"/>
        <v>2021</v>
      </c>
      <c r="E96" s="1" t="str">
        <f t="shared" ref="E96:P96" si="163">"0"</f>
        <v>0</v>
      </c>
      <c r="F96" s="1" t="str">
        <f t="shared" si="163"/>
        <v>0</v>
      </c>
      <c r="G96" s="1" t="str">
        <f t="shared" si="163"/>
        <v>0</v>
      </c>
      <c r="H96" s="1" t="str">
        <f t="shared" si="163"/>
        <v>0</v>
      </c>
      <c r="I96" s="1" t="str">
        <f t="shared" si="163"/>
        <v>0</v>
      </c>
      <c r="J96" s="1" t="str">
        <f t="shared" si="163"/>
        <v>0</v>
      </c>
      <c r="K96" s="1" t="str">
        <f t="shared" si="163"/>
        <v>0</v>
      </c>
      <c r="L96" s="1" t="str">
        <f t="shared" si="163"/>
        <v>0</v>
      </c>
      <c r="M96" s="1" t="str">
        <f t="shared" si="163"/>
        <v>0</v>
      </c>
      <c r="N96" s="1" t="str">
        <f t="shared" si="163"/>
        <v>0</v>
      </c>
      <c r="O96" s="1" t="str">
        <f t="shared" si="163"/>
        <v>0</v>
      </c>
      <c r="P96" s="1" t="str">
        <f t="shared" si="163"/>
        <v>0</v>
      </c>
      <c r="Q96" s="1" t="str">
        <f t="shared" si="113"/>
        <v>0.0070</v>
      </c>
      <c r="R96" s="1" t="s">
        <v>25</v>
      </c>
      <c r="T96" s="1" t="str">
        <f t="shared" si="114"/>
        <v>0</v>
      </c>
      <c r="U96" s="1" t="str">
        <f t="shared" si="161"/>
        <v>0.0070</v>
      </c>
    </row>
    <row r="97" s="1" customFormat="1" spans="1:21">
      <c r="A97" s="1" t="str">
        <f>"4601991404771"</f>
        <v>4601991404771</v>
      </c>
      <c r="B97" s="1" t="s">
        <v>121</v>
      </c>
      <c r="C97" s="1" t="s">
        <v>24</v>
      </c>
      <c r="D97" s="1" t="str">
        <f t="shared" si="110"/>
        <v>2021</v>
      </c>
      <c r="E97" s="1" t="str">
        <f t="shared" ref="E97:P97" si="164">"0"</f>
        <v>0</v>
      </c>
      <c r="F97" s="1" t="str">
        <f t="shared" si="164"/>
        <v>0</v>
      </c>
      <c r="G97" s="1" t="str">
        <f t="shared" si="164"/>
        <v>0</v>
      </c>
      <c r="H97" s="1" t="str">
        <f t="shared" si="164"/>
        <v>0</v>
      </c>
      <c r="I97" s="1" t="str">
        <f t="shared" si="164"/>
        <v>0</v>
      </c>
      <c r="J97" s="1" t="str">
        <f t="shared" si="164"/>
        <v>0</v>
      </c>
      <c r="K97" s="1" t="str">
        <f t="shared" si="164"/>
        <v>0</v>
      </c>
      <c r="L97" s="1" t="str">
        <f t="shared" si="164"/>
        <v>0</v>
      </c>
      <c r="M97" s="1" t="str">
        <f t="shared" si="164"/>
        <v>0</v>
      </c>
      <c r="N97" s="1" t="str">
        <f t="shared" si="164"/>
        <v>0</v>
      </c>
      <c r="O97" s="1" t="str">
        <f t="shared" si="164"/>
        <v>0</v>
      </c>
      <c r="P97" s="1" t="str">
        <f t="shared" si="164"/>
        <v>0</v>
      </c>
      <c r="Q97" s="1" t="str">
        <f t="shared" si="113"/>
        <v>0.0070</v>
      </c>
      <c r="R97" s="1" t="s">
        <v>25</v>
      </c>
      <c r="T97" s="1" t="str">
        <f t="shared" si="114"/>
        <v>0</v>
      </c>
      <c r="U97" s="1" t="str">
        <f t="shared" si="161"/>
        <v>0.0070</v>
      </c>
    </row>
    <row r="98" s="1" customFormat="1" spans="1:21">
      <c r="A98" s="1" t="str">
        <f>"4601991405497"</f>
        <v>4601991405497</v>
      </c>
      <c r="B98" s="1" t="s">
        <v>122</v>
      </c>
      <c r="C98" s="1" t="s">
        <v>24</v>
      </c>
      <c r="D98" s="1" t="str">
        <f t="shared" si="110"/>
        <v>2021</v>
      </c>
      <c r="E98" s="1" t="str">
        <f>"19.34"</f>
        <v>19.34</v>
      </c>
      <c r="F98" s="1" t="str">
        <f t="shared" ref="F98:I98" si="165">"0"</f>
        <v>0</v>
      </c>
      <c r="G98" s="1" t="str">
        <f t="shared" si="165"/>
        <v>0</v>
      </c>
      <c r="H98" s="1" t="str">
        <f t="shared" si="165"/>
        <v>0</v>
      </c>
      <c r="I98" s="1" t="str">
        <f t="shared" si="165"/>
        <v>0</v>
      </c>
      <c r="J98" s="1" t="str">
        <f>"2"</f>
        <v>2</v>
      </c>
      <c r="K98" s="1" t="str">
        <f t="shared" ref="K98:P98" si="166">"0"</f>
        <v>0</v>
      </c>
      <c r="L98" s="1" t="str">
        <f t="shared" si="166"/>
        <v>0</v>
      </c>
      <c r="M98" s="1" t="str">
        <f t="shared" si="166"/>
        <v>0</v>
      </c>
      <c r="N98" s="1" t="str">
        <f t="shared" si="166"/>
        <v>0</v>
      </c>
      <c r="O98" s="1" t="str">
        <f t="shared" si="166"/>
        <v>0</v>
      </c>
      <c r="P98" s="1" t="str">
        <f t="shared" si="166"/>
        <v>0</v>
      </c>
      <c r="Q98" s="1" t="str">
        <f t="shared" si="113"/>
        <v>0.0070</v>
      </c>
      <c r="R98" s="1" t="s">
        <v>29</v>
      </c>
      <c r="S98" s="1">
        <v>-0.0014</v>
      </c>
      <c r="T98" s="1" t="str">
        <f t="shared" si="114"/>
        <v>0</v>
      </c>
      <c r="U98" s="1" t="str">
        <f>"0.0056"</f>
        <v>0.0056</v>
      </c>
    </row>
    <row r="99" s="1" customFormat="1" spans="1:21">
      <c r="A99" s="1" t="str">
        <f>"4601991405540"</f>
        <v>4601991405540</v>
      </c>
      <c r="B99" s="1" t="s">
        <v>123</v>
      </c>
      <c r="C99" s="1" t="s">
        <v>24</v>
      </c>
      <c r="D99" s="1" t="str">
        <f t="shared" si="110"/>
        <v>2021</v>
      </c>
      <c r="E99" s="1" t="str">
        <f t="shared" ref="E99:P99" si="167">"0"</f>
        <v>0</v>
      </c>
      <c r="F99" s="1" t="str">
        <f t="shared" si="167"/>
        <v>0</v>
      </c>
      <c r="G99" s="1" t="str">
        <f t="shared" si="167"/>
        <v>0</v>
      </c>
      <c r="H99" s="1" t="str">
        <f t="shared" si="167"/>
        <v>0</v>
      </c>
      <c r="I99" s="1" t="str">
        <f t="shared" si="167"/>
        <v>0</v>
      </c>
      <c r="J99" s="1" t="str">
        <f t="shared" si="167"/>
        <v>0</v>
      </c>
      <c r="K99" s="1" t="str">
        <f t="shared" si="167"/>
        <v>0</v>
      </c>
      <c r="L99" s="1" t="str">
        <f t="shared" si="167"/>
        <v>0</v>
      </c>
      <c r="M99" s="1" t="str">
        <f t="shared" si="167"/>
        <v>0</v>
      </c>
      <c r="N99" s="1" t="str">
        <f t="shared" si="167"/>
        <v>0</v>
      </c>
      <c r="O99" s="1" t="str">
        <f t="shared" si="167"/>
        <v>0</v>
      </c>
      <c r="P99" s="1" t="str">
        <f t="shared" si="167"/>
        <v>0</v>
      </c>
      <c r="Q99" s="1" t="str">
        <f t="shared" si="113"/>
        <v>0.0070</v>
      </c>
      <c r="R99" s="1" t="s">
        <v>25</v>
      </c>
      <c r="T99" s="1" t="str">
        <f t="shared" si="114"/>
        <v>0</v>
      </c>
      <c r="U99" s="1" t="str">
        <f t="shared" ref="U99:U104" si="168">"0.0070"</f>
        <v>0.0070</v>
      </c>
    </row>
    <row r="100" s="1" customFormat="1" spans="1:21">
      <c r="A100" s="1" t="str">
        <f>"4601991405543"</f>
        <v>4601991405543</v>
      </c>
      <c r="B100" s="1" t="s">
        <v>124</v>
      </c>
      <c r="C100" s="1" t="s">
        <v>24</v>
      </c>
      <c r="D100" s="1" t="str">
        <f t="shared" si="110"/>
        <v>2021</v>
      </c>
      <c r="E100" s="1" t="str">
        <f t="shared" ref="E100:P100" si="169">"0"</f>
        <v>0</v>
      </c>
      <c r="F100" s="1" t="str">
        <f t="shared" si="169"/>
        <v>0</v>
      </c>
      <c r="G100" s="1" t="str">
        <f t="shared" si="169"/>
        <v>0</v>
      </c>
      <c r="H100" s="1" t="str">
        <f t="shared" si="169"/>
        <v>0</v>
      </c>
      <c r="I100" s="1" t="str">
        <f t="shared" si="169"/>
        <v>0</v>
      </c>
      <c r="J100" s="1" t="str">
        <f t="shared" si="169"/>
        <v>0</v>
      </c>
      <c r="K100" s="1" t="str">
        <f t="shared" si="169"/>
        <v>0</v>
      </c>
      <c r="L100" s="1" t="str">
        <f t="shared" si="169"/>
        <v>0</v>
      </c>
      <c r="M100" s="1" t="str">
        <f t="shared" si="169"/>
        <v>0</v>
      </c>
      <c r="N100" s="1" t="str">
        <f t="shared" si="169"/>
        <v>0</v>
      </c>
      <c r="O100" s="1" t="str">
        <f t="shared" si="169"/>
        <v>0</v>
      </c>
      <c r="P100" s="1" t="str">
        <f t="shared" si="169"/>
        <v>0</v>
      </c>
      <c r="Q100" s="1" t="str">
        <f t="shared" si="113"/>
        <v>0.0070</v>
      </c>
      <c r="R100" s="1" t="s">
        <v>25</v>
      </c>
      <c r="T100" s="1" t="str">
        <f t="shared" si="114"/>
        <v>0</v>
      </c>
      <c r="U100" s="1" t="str">
        <f t="shared" si="168"/>
        <v>0.0070</v>
      </c>
    </row>
    <row r="101" s="1" customFormat="1" spans="1:21">
      <c r="A101" s="1" t="str">
        <f>"4601991405895"</f>
        <v>4601991405895</v>
      </c>
      <c r="B101" s="1" t="s">
        <v>125</v>
      </c>
      <c r="C101" s="1" t="s">
        <v>24</v>
      </c>
      <c r="D101" s="1" t="str">
        <f t="shared" si="110"/>
        <v>2021</v>
      </c>
      <c r="E101" s="1" t="str">
        <f>"1711.59"</f>
        <v>1711.59</v>
      </c>
      <c r="F101" s="1" t="str">
        <f t="shared" ref="F101:I101" si="170">"0"</f>
        <v>0</v>
      </c>
      <c r="G101" s="1" t="str">
        <f t="shared" si="170"/>
        <v>0</v>
      </c>
      <c r="H101" s="1" t="str">
        <f t="shared" si="170"/>
        <v>0</v>
      </c>
      <c r="I101" s="1" t="str">
        <f t="shared" si="170"/>
        <v>0</v>
      </c>
      <c r="J101" s="1" t="str">
        <f>"190"</f>
        <v>190</v>
      </c>
      <c r="K101" s="1" t="str">
        <f t="shared" ref="K101:P101" si="171">"0"</f>
        <v>0</v>
      </c>
      <c r="L101" s="1" t="str">
        <f t="shared" si="171"/>
        <v>0</v>
      </c>
      <c r="M101" s="1" t="str">
        <f t="shared" si="171"/>
        <v>0</v>
      </c>
      <c r="N101" s="1" t="str">
        <f t="shared" si="171"/>
        <v>0</v>
      </c>
      <c r="O101" s="1" t="str">
        <f t="shared" si="171"/>
        <v>0</v>
      </c>
      <c r="P101" s="1" t="str">
        <f t="shared" si="171"/>
        <v>0</v>
      </c>
      <c r="Q101" s="1" t="str">
        <f t="shared" si="113"/>
        <v>0.0070</v>
      </c>
      <c r="R101" s="1" t="s">
        <v>29</v>
      </c>
      <c r="S101" s="1">
        <v>-0.0014</v>
      </c>
      <c r="T101" s="1" t="str">
        <f t="shared" si="114"/>
        <v>0</v>
      </c>
      <c r="U101" s="1" t="str">
        <f t="shared" ref="U101:U106" si="172">"0.0056"</f>
        <v>0.0056</v>
      </c>
    </row>
    <row r="102" s="1" customFormat="1" spans="1:21">
      <c r="A102" s="1" t="str">
        <f>"4601991405213"</f>
        <v>4601991405213</v>
      </c>
      <c r="B102" s="1" t="s">
        <v>126</v>
      </c>
      <c r="C102" s="1" t="s">
        <v>24</v>
      </c>
      <c r="D102" s="1" t="str">
        <f t="shared" si="110"/>
        <v>2021</v>
      </c>
      <c r="E102" s="1" t="str">
        <f t="shared" ref="E102:P102" si="173">"0"</f>
        <v>0</v>
      </c>
      <c r="F102" s="1" t="str">
        <f t="shared" si="173"/>
        <v>0</v>
      </c>
      <c r="G102" s="1" t="str">
        <f t="shared" si="173"/>
        <v>0</v>
      </c>
      <c r="H102" s="1" t="str">
        <f t="shared" si="173"/>
        <v>0</v>
      </c>
      <c r="I102" s="1" t="str">
        <f t="shared" si="173"/>
        <v>0</v>
      </c>
      <c r="J102" s="1" t="str">
        <f t="shared" si="173"/>
        <v>0</v>
      </c>
      <c r="K102" s="1" t="str">
        <f t="shared" si="173"/>
        <v>0</v>
      </c>
      <c r="L102" s="1" t="str">
        <f t="shared" si="173"/>
        <v>0</v>
      </c>
      <c r="M102" s="1" t="str">
        <f t="shared" si="173"/>
        <v>0</v>
      </c>
      <c r="N102" s="1" t="str">
        <f t="shared" si="173"/>
        <v>0</v>
      </c>
      <c r="O102" s="1" t="str">
        <f t="shared" si="173"/>
        <v>0</v>
      </c>
      <c r="P102" s="1" t="str">
        <f t="shared" si="173"/>
        <v>0</v>
      </c>
      <c r="Q102" s="1" t="str">
        <f t="shared" si="113"/>
        <v>0.0070</v>
      </c>
      <c r="R102" s="1" t="s">
        <v>25</v>
      </c>
      <c r="T102" s="1" t="str">
        <f t="shared" si="114"/>
        <v>0</v>
      </c>
      <c r="U102" s="1" t="str">
        <f t="shared" si="168"/>
        <v>0.0070</v>
      </c>
    </row>
    <row r="103" s="1" customFormat="1" spans="1:21">
      <c r="A103" s="1" t="str">
        <f>"4601991404829"</f>
        <v>4601991404829</v>
      </c>
      <c r="B103" s="1" t="s">
        <v>127</v>
      </c>
      <c r="C103" s="1" t="s">
        <v>24</v>
      </c>
      <c r="D103" s="1" t="str">
        <f t="shared" si="110"/>
        <v>2021</v>
      </c>
      <c r="E103" s="1" t="str">
        <f t="shared" ref="E103:P103" si="174">"0"</f>
        <v>0</v>
      </c>
      <c r="F103" s="1" t="str">
        <f t="shared" si="174"/>
        <v>0</v>
      </c>
      <c r="G103" s="1" t="str">
        <f t="shared" si="174"/>
        <v>0</v>
      </c>
      <c r="H103" s="1" t="str">
        <f t="shared" si="174"/>
        <v>0</v>
      </c>
      <c r="I103" s="1" t="str">
        <f t="shared" si="174"/>
        <v>0</v>
      </c>
      <c r="J103" s="1" t="str">
        <f t="shared" si="174"/>
        <v>0</v>
      </c>
      <c r="K103" s="1" t="str">
        <f t="shared" si="174"/>
        <v>0</v>
      </c>
      <c r="L103" s="1" t="str">
        <f t="shared" si="174"/>
        <v>0</v>
      </c>
      <c r="M103" s="1" t="str">
        <f t="shared" si="174"/>
        <v>0</v>
      </c>
      <c r="N103" s="1" t="str">
        <f t="shared" si="174"/>
        <v>0</v>
      </c>
      <c r="O103" s="1" t="str">
        <f t="shared" si="174"/>
        <v>0</v>
      </c>
      <c r="P103" s="1" t="str">
        <f t="shared" si="174"/>
        <v>0</v>
      </c>
      <c r="Q103" s="1" t="str">
        <f t="shared" si="113"/>
        <v>0.0070</v>
      </c>
      <c r="R103" s="1" t="s">
        <v>25</v>
      </c>
      <c r="T103" s="1" t="str">
        <f t="shared" si="114"/>
        <v>0</v>
      </c>
      <c r="U103" s="1" t="str">
        <f t="shared" si="168"/>
        <v>0.0070</v>
      </c>
    </row>
    <row r="104" s="1" customFormat="1" spans="1:21">
      <c r="A104" s="1" t="str">
        <f>"4601991404855"</f>
        <v>4601991404855</v>
      </c>
      <c r="B104" s="1" t="s">
        <v>128</v>
      </c>
      <c r="C104" s="1" t="s">
        <v>24</v>
      </c>
      <c r="D104" s="1" t="str">
        <f t="shared" si="110"/>
        <v>2021</v>
      </c>
      <c r="E104" s="1" t="str">
        <f t="shared" ref="E104:P104" si="175">"0"</f>
        <v>0</v>
      </c>
      <c r="F104" s="1" t="str">
        <f t="shared" si="175"/>
        <v>0</v>
      </c>
      <c r="G104" s="1" t="str">
        <f t="shared" si="175"/>
        <v>0</v>
      </c>
      <c r="H104" s="1" t="str">
        <f t="shared" si="175"/>
        <v>0</v>
      </c>
      <c r="I104" s="1" t="str">
        <f t="shared" si="175"/>
        <v>0</v>
      </c>
      <c r="J104" s="1" t="str">
        <f t="shared" si="175"/>
        <v>0</v>
      </c>
      <c r="K104" s="1" t="str">
        <f t="shared" si="175"/>
        <v>0</v>
      </c>
      <c r="L104" s="1" t="str">
        <f t="shared" si="175"/>
        <v>0</v>
      </c>
      <c r="M104" s="1" t="str">
        <f t="shared" si="175"/>
        <v>0</v>
      </c>
      <c r="N104" s="1" t="str">
        <f t="shared" si="175"/>
        <v>0</v>
      </c>
      <c r="O104" s="1" t="str">
        <f t="shared" si="175"/>
        <v>0</v>
      </c>
      <c r="P104" s="1" t="str">
        <f t="shared" si="175"/>
        <v>0</v>
      </c>
      <c r="Q104" s="1" t="str">
        <f t="shared" si="113"/>
        <v>0.0070</v>
      </c>
      <c r="R104" s="1" t="s">
        <v>25</v>
      </c>
      <c r="T104" s="1" t="str">
        <f t="shared" si="114"/>
        <v>0</v>
      </c>
      <c r="U104" s="1" t="str">
        <f t="shared" si="168"/>
        <v>0.0070</v>
      </c>
    </row>
    <row r="105" s="1" customFormat="1" spans="1:21">
      <c r="A105" s="1" t="str">
        <f>"4601991405973"</f>
        <v>4601991405973</v>
      </c>
      <c r="B105" s="1" t="s">
        <v>129</v>
      </c>
      <c r="C105" s="1" t="s">
        <v>24</v>
      </c>
      <c r="D105" s="1" t="str">
        <f t="shared" si="110"/>
        <v>2021</v>
      </c>
      <c r="E105" s="1" t="str">
        <f>"1029.49"</f>
        <v>1029.49</v>
      </c>
      <c r="F105" s="1" t="str">
        <f t="shared" ref="F105:I105" si="176">"0"</f>
        <v>0</v>
      </c>
      <c r="G105" s="1" t="str">
        <f t="shared" si="176"/>
        <v>0</v>
      </c>
      <c r="H105" s="1" t="str">
        <f t="shared" si="176"/>
        <v>0</v>
      </c>
      <c r="I105" s="1" t="str">
        <f t="shared" si="176"/>
        <v>0</v>
      </c>
      <c r="J105" s="1" t="str">
        <f>"66"</f>
        <v>66</v>
      </c>
      <c r="K105" s="1" t="str">
        <f t="shared" ref="K105:P105" si="177">"0"</f>
        <v>0</v>
      </c>
      <c r="L105" s="1" t="str">
        <f t="shared" si="177"/>
        <v>0</v>
      </c>
      <c r="M105" s="1" t="str">
        <f t="shared" si="177"/>
        <v>0</v>
      </c>
      <c r="N105" s="1" t="str">
        <f t="shared" si="177"/>
        <v>0</v>
      </c>
      <c r="O105" s="1" t="str">
        <f t="shared" si="177"/>
        <v>0</v>
      </c>
      <c r="P105" s="1" t="str">
        <f t="shared" si="177"/>
        <v>0</v>
      </c>
      <c r="Q105" s="1" t="str">
        <f t="shared" si="113"/>
        <v>0.0070</v>
      </c>
      <c r="R105" s="1" t="s">
        <v>29</v>
      </c>
      <c r="S105" s="1">
        <v>-0.0014</v>
      </c>
      <c r="T105" s="1" t="str">
        <f t="shared" si="114"/>
        <v>0</v>
      </c>
      <c r="U105" s="1" t="str">
        <f t="shared" si="172"/>
        <v>0.0056</v>
      </c>
    </row>
    <row r="106" s="1" customFormat="1" spans="1:21">
      <c r="A106" s="1" t="str">
        <f>"4601991405241"</f>
        <v>4601991405241</v>
      </c>
      <c r="B106" s="1" t="s">
        <v>130</v>
      </c>
      <c r="C106" s="1" t="s">
        <v>24</v>
      </c>
      <c r="D106" s="1" t="str">
        <f t="shared" si="110"/>
        <v>2021</v>
      </c>
      <c r="E106" s="1" t="str">
        <f>"47.90"</f>
        <v>47.90</v>
      </c>
      <c r="F106" s="1" t="str">
        <f t="shared" ref="F106:I106" si="178">"0"</f>
        <v>0</v>
      </c>
      <c r="G106" s="1" t="str">
        <f t="shared" si="178"/>
        <v>0</v>
      </c>
      <c r="H106" s="1" t="str">
        <f t="shared" si="178"/>
        <v>0</v>
      </c>
      <c r="I106" s="1" t="str">
        <f t="shared" si="178"/>
        <v>0</v>
      </c>
      <c r="J106" s="1" t="str">
        <f>"5"</f>
        <v>5</v>
      </c>
      <c r="K106" s="1" t="str">
        <f t="shared" ref="K106:P106" si="179">"0"</f>
        <v>0</v>
      </c>
      <c r="L106" s="1" t="str">
        <f t="shared" si="179"/>
        <v>0</v>
      </c>
      <c r="M106" s="1" t="str">
        <f t="shared" si="179"/>
        <v>0</v>
      </c>
      <c r="N106" s="1" t="str">
        <f t="shared" si="179"/>
        <v>0</v>
      </c>
      <c r="O106" s="1" t="str">
        <f t="shared" si="179"/>
        <v>0</v>
      </c>
      <c r="P106" s="1" t="str">
        <f t="shared" si="179"/>
        <v>0</v>
      </c>
      <c r="Q106" s="1" t="str">
        <f t="shared" si="113"/>
        <v>0.0070</v>
      </c>
      <c r="R106" s="1" t="s">
        <v>29</v>
      </c>
      <c r="S106" s="1">
        <v>-0.0014</v>
      </c>
      <c r="T106" s="1" t="str">
        <f t="shared" si="114"/>
        <v>0</v>
      </c>
      <c r="U106" s="1" t="str">
        <f t="shared" si="172"/>
        <v>0.0056</v>
      </c>
    </row>
    <row r="107" s="1" customFormat="1" spans="1:21">
      <c r="A107" s="1" t="str">
        <f>"4601991404858"</f>
        <v>4601991404858</v>
      </c>
      <c r="B107" s="1" t="s">
        <v>131</v>
      </c>
      <c r="C107" s="1" t="s">
        <v>24</v>
      </c>
      <c r="D107" s="1" t="str">
        <f t="shared" si="110"/>
        <v>2021</v>
      </c>
      <c r="E107" s="1" t="str">
        <f t="shared" ref="E107:P107" si="180">"0"</f>
        <v>0</v>
      </c>
      <c r="F107" s="1" t="str">
        <f t="shared" si="180"/>
        <v>0</v>
      </c>
      <c r="G107" s="1" t="str">
        <f t="shared" si="180"/>
        <v>0</v>
      </c>
      <c r="H107" s="1" t="str">
        <f t="shared" si="180"/>
        <v>0</v>
      </c>
      <c r="I107" s="1" t="str">
        <f t="shared" si="180"/>
        <v>0</v>
      </c>
      <c r="J107" s="1" t="str">
        <f t="shared" si="180"/>
        <v>0</v>
      </c>
      <c r="K107" s="1" t="str">
        <f t="shared" si="180"/>
        <v>0</v>
      </c>
      <c r="L107" s="1" t="str">
        <f t="shared" si="180"/>
        <v>0</v>
      </c>
      <c r="M107" s="1" t="str">
        <f t="shared" si="180"/>
        <v>0</v>
      </c>
      <c r="N107" s="1" t="str">
        <f t="shared" si="180"/>
        <v>0</v>
      </c>
      <c r="O107" s="1" t="str">
        <f t="shared" si="180"/>
        <v>0</v>
      </c>
      <c r="P107" s="1" t="str">
        <f t="shared" si="180"/>
        <v>0</v>
      </c>
      <c r="Q107" s="1" t="str">
        <f t="shared" si="113"/>
        <v>0.0070</v>
      </c>
      <c r="R107" s="1" t="s">
        <v>25</v>
      </c>
      <c r="T107" s="1" t="str">
        <f t="shared" si="114"/>
        <v>0</v>
      </c>
      <c r="U107" s="1" t="str">
        <f t="shared" ref="U107:U109" si="181">"0.0070"</f>
        <v>0.0070</v>
      </c>
    </row>
    <row r="108" s="1" customFormat="1" spans="1:21">
      <c r="A108" s="1" t="str">
        <f>"4601991406018"</f>
        <v>4601991406018</v>
      </c>
      <c r="B108" s="1" t="s">
        <v>132</v>
      </c>
      <c r="C108" s="1" t="s">
        <v>24</v>
      </c>
      <c r="D108" s="1" t="str">
        <f t="shared" si="110"/>
        <v>2021</v>
      </c>
      <c r="E108" s="1" t="str">
        <f t="shared" ref="E108:P108" si="182">"0"</f>
        <v>0</v>
      </c>
      <c r="F108" s="1" t="str">
        <f t="shared" si="182"/>
        <v>0</v>
      </c>
      <c r="G108" s="1" t="str">
        <f t="shared" si="182"/>
        <v>0</v>
      </c>
      <c r="H108" s="1" t="str">
        <f t="shared" si="182"/>
        <v>0</v>
      </c>
      <c r="I108" s="1" t="str">
        <f t="shared" si="182"/>
        <v>0</v>
      </c>
      <c r="J108" s="1" t="str">
        <f t="shared" si="182"/>
        <v>0</v>
      </c>
      <c r="K108" s="1" t="str">
        <f t="shared" si="182"/>
        <v>0</v>
      </c>
      <c r="L108" s="1" t="str">
        <f t="shared" si="182"/>
        <v>0</v>
      </c>
      <c r="M108" s="1" t="str">
        <f t="shared" si="182"/>
        <v>0</v>
      </c>
      <c r="N108" s="1" t="str">
        <f t="shared" si="182"/>
        <v>0</v>
      </c>
      <c r="O108" s="1" t="str">
        <f t="shared" si="182"/>
        <v>0</v>
      </c>
      <c r="P108" s="1" t="str">
        <f t="shared" si="182"/>
        <v>0</v>
      </c>
      <c r="Q108" s="1" t="str">
        <f t="shared" si="113"/>
        <v>0.0070</v>
      </c>
      <c r="R108" s="1" t="s">
        <v>25</v>
      </c>
      <c r="T108" s="1" t="str">
        <f t="shared" si="114"/>
        <v>0</v>
      </c>
      <c r="U108" s="1" t="str">
        <f t="shared" si="181"/>
        <v>0.0070</v>
      </c>
    </row>
    <row r="109" s="1" customFormat="1" spans="1:21">
      <c r="A109" s="1" t="str">
        <f>"4601991403702"</f>
        <v>4601991403702</v>
      </c>
      <c r="B109" s="1" t="s">
        <v>133</v>
      </c>
      <c r="C109" s="1" t="s">
        <v>24</v>
      </c>
      <c r="D109" s="1" t="str">
        <f t="shared" si="110"/>
        <v>2021</v>
      </c>
      <c r="E109" s="1" t="str">
        <f t="shared" ref="E109:P109" si="183">"0"</f>
        <v>0</v>
      </c>
      <c r="F109" s="1" t="str">
        <f t="shared" si="183"/>
        <v>0</v>
      </c>
      <c r="G109" s="1" t="str">
        <f t="shared" si="183"/>
        <v>0</v>
      </c>
      <c r="H109" s="1" t="str">
        <f t="shared" si="183"/>
        <v>0</v>
      </c>
      <c r="I109" s="1" t="str">
        <f t="shared" si="183"/>
        <v>0</v>
      </c>
      <c r="J109" s="1" t="str">
        <f t="shared" si="183"/>
        <v>0</v>
      </c>
      <c r="K109" s="1" t="str">
        <f t="shared" si="183"/>
        <v>0</v>
      </c>
      <c r="L109" s="1" t="str">
        <f t="shared" si="183"/>
        <v>0</v>
      </c>
      <c r="M109" s="1" t="str">
        <f t="shared" si="183"/>
        <v>0</v>
      </c>
      <c r="N109" s="1" t="str">
        <f t="shared" si="183"/>
        <v>0</v>
      </c>
      <c r="O109" s="1" t="str">
        <f t="shared" si="183"/>
        <v>0</v>
      </c>
      <c r="P109" s="1" t="str">
        <f t="shared" si="183"/>
        <v>0</v>
      </c>
      <c r="Q109" s="1" t="str">
        <f t="shared" si="113"/>
        <v>0.0070</v>
      </c>
      <c r="R109" s="1" t="s">
        <v>25</v>
      </c>
      <c r="T109" s="1" t="str">
        <f t="shared" si="114"/>
        <v>0</v>
      </c>
      <c r="U109" s="1" t="str">
        <f t="shared" si="181"/>
        <v>0.0070</v>
      </c>
    </row>
    <row r="110" s="1" customFormat="1" spans="1:21">
      <c r="A110" s="1" t="str">
        <f>"4601991403685"</f>
        <v>4601991403685</v>
      </c>
      <c r="B110" s="1" t="s">
        <v>134</v>
      </c>
      <c r="C110" s="1" t="s">
        <v>24</v>
      </c>
      <c r="D110" s="1" t="str">
        <f t="shared" si="110"/>
        <v>2021</v>
      </c>
      <c r="E110" s="1" t="str">
        <f>"96.52"</f>
        <v>96.52</v>
      </c>
      <c r="F110" s="1" t="str">
        <f t="shared" ref="F110:I110" si="184">"0"</f>
        <v>0</v>
      </c>
      <c r="G110" s="1" t="str">
        <f t="shared" si="184"/>
        <v>0</v>
      </c>
      <c r="H110" s="1" t="str">
        <f t="shared" si="184"/>
        <v>0</v>
      </c>
      <c r="I110" s="1" t="str">
        <f t="shared" si="184"/>
        <v>0</v>
      </c>
      <c r="J110" s="1" t="str">
        <f>"4"</f>
        <v>4</v>
      </c>
      <c r="K110" s="1" t="str">
        <f t="shared" ref="K110:P110" si="185">"0"</f>
        <v>0</v>
      </c>
      <c r="L110" s="1" t="str">
        <f t="shared" si="185"/>
        <v>0</v>
      </c>
      <c r="M110" s="1" t="str">
        <f t="shared" si="185"/>
        <v>0</v>
      </c>
      <c r="N110" s="1" t="str">
        <f t="shared" si="185"/>
        <v>0</v>
      </c>
      <c r="O110" s="1" t="str">
        <f t="shared" si="185"/>
        <v>0</v>
      </c>
      <c r="P110" s="1" t="str">
        <f t="shared" si="185"/>
        <v>0</v>
      </c>
      <c r="Q110" s="1" t="str">
        <f t="shared" si="113"/>
        <v>0.0070</v>
      </c>
      <c r="R110" s="1" t="s">
        <v>29</v>
      </c>
      <c r="S110" s="1">
        <v>-0.0014</v>
      </c>
      <c r="T110" s="1" t="str">
        <f t="shared" si="114"/>
        <v>0</v>
      </c>
      <c r="U110" s="1" t="str">
        <f t="shared" ref="U110:U113" si="186">"0.0056"</f>
        <v>0.0056</v>
      </c>
    </row>
    <row r="111" s="1" customFormat="1" spans="1:21">
      <c r="A111" s="1" t="str">
        <f>"4601991404861"</f>
        <v>4601991404861</v>
      </c>
      <c r="B111" s="1" t="s">
        <v>135</v>
      </c>
      <c r="C111" s="1" t="s">
        <v>24</v>
      </c>
      <c r="D111" s="1" t="str">
        <f t="shared" si="110"/>
        <v>2021</v>
      </c>
      <c r="E111" s="1" t="str">
        <f>"165.60"</f>
        <v>165.60</v>
      </c>
      <c r="F111" s="1" t="str">
        <f t="shared" ref="F111:I111" si="187">"0"</f>
        <v>0</v>
      </c>
      <c r="G111" s="1" t="str">
        <f t="shared" si="187"/>
        <v>0</v>
      </c>
      <c r="H111" s="1" t="str">
        <f t="shared" si="187"/>
        <v>0</v>
      </c>
      <c r="I111" s="1" t="str">
        <f t="shared" si="187"/>
        <v>0</v>
      </c>
      <c r="J111" s="1" t="str">
        <f>"12"</f>
        <v>12</v>
      </c>
      <c r="K111" s="1" t="str">
        <f t="shared" ref="K111:P111" si="188">"0"</f>
        <v>0</v>
      </c>
      <c r="L111" s="1" t="str">
        <f t="shared" si="188"/>
        <v>0</v>
      </c>
      <c r="M111" s="1" t="str">
        <f t="shared" si="188"/>
        <v>0</v>
      </c>
      <c r="N111" s="1" t="str">
        <f t="shared" si="188"/>
        <v>0</v>
      </c>
      <c r="O111" s="1" t="str">
        <f t="shared" si="188"/>
        <v>0</v>
      </c>
      <c r="P111" s="1" t="str">
        <f t="shared" si="188"/>
        <v>0</v>
      </c>
      <c r="Q111" s="1" t="str">
        <f t="shared" si="113"/>
        <v>0.0070</v>
      </c>
      <c r="R111" s="1" t="s">
        <v>29</v>
      </c>
      <c r="S111" s="1">
        <v>-0.0014</v>
      </c>
      <c r="T111" s="1" t="str">
        <f t="shared" si="114"/>
        <v>0</v>
      </c>
      <c r="U111" s="1" t="str">
        <f t="shared" si="186"/>
        <v>0.0056</v>
      </c>
    </row>
    <row r="112" s="1" customFormat="1" spans="1:21">
      <c r="A112" s="1" t="str">
        <f>"4601991404129"</f>
        <v>4601991404129</v>
      </c>
      <c r="B112" s="1" t="s">
        <v>136</v>
      </c>
      <c r="C112" s="1" t="s">
        <v>24</v>
      </c>
      <c r="D112" s="1" t="str">
        <f t="shared" si="110"/>
        <v>2021</v>
      </c>
      <c r="E112" s="1" t="str">
        <f t="shared" ref="E112:P112" si="189">"0"</f>
        <v>0</v>
      </c>
      <c r="F112" s="1" t="str">
        <f t="shared" si="189"/>
        <v>0</v>
      </c>
      <c r="G112" s="1" t="str">
        <f t="shared" si="189"/>
        <v>0</v>
      </c>
      <c r="H112" s="1" t="str">
        <f t="shared" si="189"/>
        <v>0</v>
      </c>
      <c r="I112" s="1" t="str">
        <f t="shared" si="189"/>
        <v>0</v>
      </c>
      <c r="J112" s="1" t="str">
        <f t="shared" si="189"/>
        <v>0</v>
      </c>
      <c r="K112" s="1" t="str">
        <f t="shared" si="189"/>
        <v>0</v>
      </c>
      <c r="L112" s="1" t="str">
        <f t="shared" si="189"/>
        <v>0</v>
      </c>
      <c r="M112" s="1" t="str">
        <f t="shared" si="189"/>
        <v>0</v>
      </c>
      <c r="N112" s="1" t="str">
        <f t="shared" si="189"/>
        <v>0</v>
      </c>
      <c r="O112" s="1" t="str">
        <f t="shared" si="189"/>
        <v>0</v>
      </c>
      <c r="P112" s="1" t="str">
        <f t="shared" si="189"/>
        <v>0</v>
      </c>
      <c r="Q112" s="1" t="str">
        <f t="shared" si="113"/>
        <v>0.0070</v>
      </c>
      <c r="R112" s="1" t="s">
        <v>25</v>
      </c>
      <c r="T112" s="1" t="str">
        <f t="shared" si="114"/>
        <v>0</v>
      </c>
      <c r="U112" s="1" t="str">
        <f>"0.0070"</f>
        <v>0.0070</v>
      </c>
    </row>
    <row r="113" s="1" customFormat="1" spans="1:21">
      <c r="A113" s="1" t="str">
        <f>"4601991404527"</f>
        <v>4601991404527</v>
      </c>
      <c r="B113" s="1" t="s">
        <v>137</v>
      </c>
      <c r="C113" s="1" t="s">
        <v>24</v>
      </c>
      <c r="D113" s="1" t="str">
        <f t="shared" si="110"/>
        <v>2021</v>
      </c>
      <c r="E113" s="1" t="str">
        <f>"57.48"</f>
        <v>57.48</v>
      </c>
      <c r="F113" s="1" t="str">
        <f t="shared" ref="F113:I113" si="190">"0"</f>
        <v>0</v>
      </c>
      <c r="G113" s="1" t="str">
        <f t="shared" si="190"/>
        <v>0</v>
      </c>
      <c r="H113" s="1" t="str">
        <f t="shared" si="190"/>
        <v>0</v>
      </c>
      <c r="I113" s="1" t="str">
        <f t="shared" si="190"/>
        <v>0</v>
      </c>
      <c r="J113" s="1" t="str">
        <f>"6"</f>
        <v>6</v>
      </c>
      <c r="K113" s="1" t="str">
        <f t="shared" ref="K113:P113" si="191">"0"</f>
        <v>0</v>
      </c>
      <c r="L113" s="1" t="str">
        <f t="shared" si="191"/>
        <v>0</v>
      </c>
      <c r="M113" s="1" t="str">
        <f t="shared" si="191"/>
        <v>0</v>
      </c>
      <c r="N113" s="1" t="str">
        <f t="shared" si="191"/>
        <v>0</v>
      </c>
      <c r="O113" s="1" t="str">
        <f t="shared" si="191"/>
        <v>0</v>
      </c>
      <c r="P113" s="1" t="str">
        <f t="shared" si="191"/>
        <v>0</v>
      </c>
      <c r="Q113" s="1" t="str">
        <f t="shared" si="113"/>
        <v>0.0070</v>
      </c>
      <c r="R113" s="1" t="s">
        <v>29</v>
      </c>
      <c r="S113" s="1">
        <v>-0.0014</v>
      </c>
      <c r="T113" s="1" t="str">
        <f t="shared" si="114"/>
        <v>0</v>
      </c>
      <c r="U113" s="1" t="str">
        <f t="shared" si="186"/>
        <v>0.0056</v>
      </c>
    </row>
    <row r="114" s="1" customFormat="1" spans="1:21">
      <c r="A114" s="1" t="str">
        <f>"4601991405228"</f>
        <v>4601991405228</v>
      </c>
      <c r="B114" s="1" t="s">
        <v>138</v>
      </c>
      <c r="C114" s="1" t="s">
        <v>24</v>
      </c>
      <c r="D114" s="1" t="str">
        <f t="shared" si="110"/>
        <v>2021</v>
      </c>
      <c r="E114" s="1" t="str">
        <f>"259.29"</f>
        <v>259.29</v>
      </c>
      <c r="F114" s="1" t="str">
        <f>"923793.70"</f>
        <v>923793.70</v>
      </c>
      <c r="G114" s="1" t="str">
        <f t="shared" ref="G114:L114" si="192">"0"</f>
        <v>0</v>
      </c>
      <c r="H114" s="1" t="str">
        <f t="shared" si="192"/>
        <v>0</v>
      </c>
      <c r="I114" s="1" t="str">
        <f>"3562.7818"</f>
        <v>3562.7818</v>
      </c>
      <c r="J114" s="1" t="str">
        <f>"28"</f>
        <v>28</v>
      </c>
      <c r="K114" s="1" t="str">
        <f>"1"</f>
        <v>1</v>
      </c>
      <c r="L114" s="1" t="str">
        <f t="shared" si="192"/>
        <v>0</v>
      </c>
      <c r="M114" s="1" t="str">
        <f>"0.0357"</f>
        <v>0.0357</v>
      </c>
      <c r="N114" s="1" t="str">
        <f>"0"</f>
        <v>0</v>
      </c>
      <c r="O114" s="1" t="str">
        <f>"1"</f>
        <v>1</v>
      </c>
      <c r="P114" s="1" t="str">
        <f>"0"</f>
        <v>0</v>
      </c>
      <c r="Q114" s="1" t="str">
        <f t="shared" si="113"/>
        <v>0.0070</v>
      </c>
      <c r="R114" s="1" t="s">
        <v>69</v>
      </c>
      <c r="S114" s="1" t="str">
        <f>"0.0014"</f>
        <v>0.0014</v>
      </c>
      <c r="T114" s="1" t="str">
        <f t="shared" si="114"/>
        <v>0</v>
      </c>
      <c r="U114" s="1" t="str">
        <f>"0.0084"</f>
        <v>0.0084</v>
      </c>
    </row>
    <row r="115" s="1" customFormat="1" spans="1:21">
      <c r="A115" s="1" t="str">
        <f>"4601991403720"</f>
        <v>4601991403720</v>
      </c>
      <c r="B115" s="1" t="s">
        <v>139</v>
      </c>
      <c r="C115" s="1" t="s">
        <v>24</v>
      </c>
      <c r="D115" s="1" t="str">
        <f t="shared" si="110"/>
        <v>2021</v>
      </c>
      <c r="E115" s="1" t="str">
        <f>"48.35"</f>
        <v>48.35</v>
      </c>
      <c r="F115" s="1" t="str">
        <f t="shared" ref="F115:I115" si="193">"0"</f>
        <v>0</v>
      </c>
      <c r="G115" s="1" t="str">
        <f t="shared" si="193"/>
        <v>0</v>
      </c>
      <c r="H115" s="1" t="str">
        <f t="shared" si="193"/>
        <v>0</v>
      </c>
      <c r="I115" s="1" t="str">
        <f t="shared" si="193"/>
        <v>0</v>
      </c>
      <c r="J115" s="1" t="str">
        <f>"4"</f>
        <v>4</v>
      </c>
      <c r="K115" s="1" t="str">
        <f t="shared" ref="K115:P115" si="194">"0"</f>
        <v>0</v>
      </c>
      <c r="L115" s="1" t="str">
        <f t="shared" si="194"/>
        <v>0</v>
      </c>
      <c r="M115" s="1" t="str">
        <f t="shared" si="194"/>
        <v>0</v>
      </c>
      <c r="N115" s="1" t="str">
        <f t="shared" si="194"/>
        <v>0</v>
      </c>
      <c r="O115" s="1" t="str">
        <f t="shared" si="194"/>
        <v>0</v>
      </c>
      <c r="P115" s="1" t="str">
        <f t="shared" si="194"/>
        <v>0</v>
      </c>
      <c r="Q115" s="1" t="str">
        <f t="shared" si="113"/>
        <v>0.0070</v>
      </c>
      <c r="R115" s="1" t="s">
        <v>29</v>
      </c>
      <c r="S115" s="1">
        <v>-0.0014</v>
      </c>
      <c r="T115" s="1" t="str">
        <f t="shared" si="114"/>
        <v>0</v>
      </c>
      <c r="U115" s="1" t="str">
        <f t="shared" ref="U115:U123" si="195">"0.0056"</f>
        <v>0.0056</v>
      </c>
    </row>
    <row r="116" s="1" customFormat="1" spans="1:21">
      <c r="A116" s="1" t="str">
        <f>"4601991404530"</f>
        <v>4601991404530</v>
      </c>
      <c r="B116" s="1" t="s">
        <v>140</v>
      </c>
      <c r="C116" s="1" t="s">
        <v>24</v>
      </c>
      <c r="D116" s="1" t="str">
        <f t="shared" si="110"/>
        <v>2021</v>
      </c>
      <c r="E116" s="1" t="str">
        <f>"24.07"</f>
        <v>24.07</v>
      </c>
      <c r="F116" s="1" t="str">
        <f t="shared" ref="F116:I116" si="196">"0"</f>
        <v>0</v>
      </c>
      <c r="G116" s="1" t="str">
        <f t="shared" si="196"/>
        <v>0</v>
      </c>
      <c r="H116" s="1" t="str">
        <f t="shared" si="196"/>
        <v>0</v>
      </c>
      <c r="I116" s="1" t="str">
        <f t="shared" si="196"/>
        <v>0</v>
      </c>
      <c r="J116" s="1" t="str">
        <f>"2"</f>
        <v>2</v>
      </c>
      <c r="K116" s="1" t="str">
        <f t="shared" ref="K116:P116" si="197">"0"</f>
        <v>0</v>
      </c>
      <c r="L116" s="1" t="str">
        <f t="shared" si="197"/>
        <v>0</v>
      </c>
      <c r="M116" s="1" t="str">
        <f t="shared" si="197"/>
        <v>0</v>
      </c>
      <c r="N116" s="1" t="str">
        <f t="shared" si="197"/>
        <v>0</v>
      </c>
      <c r="O116" s="1" t="str">
        <f t="shared" si="197"/>
        <v>0</v>
      </c>
      <c r="P116" s="1" t="str">
        <f t="shared" si="197"/>
        <v>0</v>
      </c>
      <c r="Q116" s="1" t="str">
        <f t="shared" si="113"/>
        <v>0.0070</v>
      </c>
      <c r="R116" s="1" t="s">
        <v>29</v>
      </c>
      <c r="S116" s="1">
        <v>-0.0014</v>
      </c>
      <c r="T116" s="1" t="str">
        <f t="shared" si="114"/>
        <v>0</v>
      </c>
      <c r="U116" s="1" t="str">
        <f t="shared" si="195"/>
        <v>0.0056</v>
      </c>
    </row>
    <row r="117" s="1" customFormat="1" spans="1:21">
      <c r="A117" s="1" t="str">
        <f>"4601991403740"</f>
        <v>4601991403740</v>
      </c>
      <c r="B117" s="1" t="s">
        <v>141</v>
      </c>
      <c r="C117" s="1" t="s">
        <v>24</v>
      </c>
      <c r="D117" s="1" t="str">
        <f t="shared" si="110"/>
        <v>2021</v>
      </c>
      <c r="E117" s="1" t="str">
        <f t="shared" ref="E117:P117" si="198">"0"</f>
        <v>0</v>
      </c>
      <c r="F117" s="1" t="str">
        <f t="shared" si="198"/>
        <v>0</v>
      </c>
      <c r="G117" s="1" t="str">
        <f t="shared" si="198"/>
        <v>0</v>
      </c>
      <c r="H117" s="1" t="str">
        <f t="shared" si="198"/>
        <v>0</v>
      </c>
      <c r="I117" s="1" t="str">
        <f t="shared" si="198"/>
        <v>0</v>
      </c>
      <c r="J117" s="1" t="str">
        <f t="shared" si="198"/>
        <v>0</v>
      </c>
      <c r="K117" s="1" t="str">
        <f t="shared" si="198"/>
        <v>0</v>
      </c>
      <c r="L117" s="1" t="str">
        <f t="shared" si="198"/>
        <v>0</v>
      </c>
      <c r="M117" s="1" t="str">
        <f t="shared" si="198"/>
        <v>0</v>
      </c>
      <c r="N117" s="1" t="str">
        <f t="shared" si="198"/>
        <v>0</v>
      </c>
      <c r="O117" s="1" t="str">
        <f t="shared" si="198"/>
        <v>0</v>
      </c>
      <c r="P117" s="1" t="str">
        <f t="shared" si="198"/>
        <v>0</v>
      </c>
      <c r="Q117" s="1" t="str">
        <f t="shared" si="113"/>
        <v>0.0070</v>
      </c>
      <c r="R117" s="1" t="s">
        <v>25</v>
      </c>
      <c r="T117" s="1" t="str">
        <f t="shared" si="114"/>
        <v>0</v>
      </c>
      <c r="U117" s="1" t="str">
        <f>"0.0070"</f>
        <v>0.0070</v>
      </c>
    </row>
    <row r="118" s="1" customFormat="1" spans="1:21">
      <c r="A118" s="1" t="str">
        <f>"4601991403732"</f>
        <v>4601991403732</v>
      </c>
      <c r="B118" s="1" t="s">
        <v>142</v>
      </c>
      <c r="C118" s="1" t="s">
        <v>24</v>
      </c>
      <c r="D118" s="1" t="str">
        <f t="shared" si="110"/>
        <v>2021</v>
      </c>
      <c r="E118" s="1" t="str">
        <f>"19.34"</f>
        <v>19.34</v>
      </c>
      <c r="F118" s="1" t="str">
        <f t="shared" ref="F118:I118" si="199">"0"</f>
        <v>0</v>
      </c>
      <c r="G118" s="1" t="str">
        <f t="shared" si="199"/>
        <v>0</v>
      </c>
      <c r="H118" s="1" t="str">
        <f t="shared" si="199"/>
        <v>0</v>
      </c>
      <c r="I118" s="1" t="str">
        <f t="shared" si="199"/>
        <v>0</v>
      </c>
      <c r="J118" s="1" t="str">
        <f>"7"</f>
        <v>7</v>
      </c>
      <c r="K118" s="1" t="str">
        <f t="shared" ref="K118:P118" si="200">"0"</f>
        <v>0</v>
      </c>
      <c r="L118" s="1" t="str">
        <f t="shared" si="200"/>
        <v>0</v>
      </c>
      <c r="M118" s="1" t="str">
        <f t="shared" si="200"/>
        <v>0</v>
      </c>
      <c r="N118" s="1" t="str">
        <f t="shared" si="200"/>
        <v>0</v>
      </c>
      <c r="O118" s="1" t="str">
        <f t="shared" si="200"/>
        <v>0</v>
      </c>
      <c r="P118" s="1" t="str">
        <f t="shared" si="200"/>
        <v>0</v>
      </c>
      <c r="Q118" s="1" t="str">
        <f t="shared" si="113"/>
        <v>0.0070</v>
      </c>
      <c r="R118" s="1" t="s">
        <v>29</v>
      </c>
      <c r="S118" s="1">
        <v>-0.0014</v>
      </c>
      <c r="T118" s="1" t="str">
        <f t="shared" si="114"/>
        <v>0</v>
      </c>
      <c r="U118" s="1" t="str">
        <f t="shared" si="195"/>
        <v>0.0056</v>
      </c>
    </row>
    <row r="119" s="1" customFormat="1" spans="1:21">
      <c r="A119" s="1" t="str">
        <f>"4601991403370"</f>
        <v>4601991403370</v>
      </c>
      <c r="B119" s="1" t="s">
        <v>143</v>
      </c>
      <c r="C119" s="1" t="s">
        <v>24</v>
      </c>
      <c r="D119" s="1" t="str">
        <f t="shared" si="110"/>
        <v>2021</v>
      </c>
      <c r="E119" s="1" t="str">
        <f>"261.01"</f>
        <v>261.01</v>
      </c>
      <c r="F119" s="1" t="str">
        <f t="shared" ref="F119:I119" si="201">"0"</f>
        <v>0</v>
      </c>
      <c r="G119" s="1" t="str">
        <f t="shared" si="201"/>
        <v>0</v>
      </c>
      <c r="H119" s="1" t="str">
        <f t="shared" si="201"/>
        <v>0</v>
      </c>
      <c r="I119" s="1" t="str">
        <f t="shared" si="201"/>
        <v>0</v>
      </c>
      <c r="J119" s="1" t="str">
        <f>"19"</f>
        <v>19</v>
      </c>
      <c r="K119" s="1" t="str">
        <f t="shared" ref="K119:P119" si="202">"0"</f>
        <v>0</v>
      </c>
      <c r="L119" s="1" t="str">
        <f t="shared" si="202"/>
        <v>0</v>
      </c>
      <c r="M119" s="1" t="str">
        <f t="shared" si="202"/>
        <v>0</v>
      </c>
      <c r="N119" s="1" t="str">
        <f t="shared" si="202"/>
        <v>0</v>
      </c>
      <c r="O119" s="1" t="str">
        <f t="shared" si="202"/>
        <v>0</v>
      </c>
      <c r="P119" s="1" t="str">
        <f t="shared" si="202"/>
        <v>0</v>
      </c>
      <c r="Q119" s="1" t="str">
        <f t="shared" si="113"/>
        <v>0.0070</v>
      </c>
      <c r="R119" s="1" t="s">
        <v>29</v>
      </c>
      <c r="S119" s="1">
        <v>-0.0014</v>
      </c>
      <c r="T119" s="1" t="str">
        <f t="shared" si="114"/>
        <v>0</v>
      </c>
      <c r="U119" s="1" t="str">
        <f t="shared" si="195"/>
        <v>0.0056</v>
      </c>
    </row>
    <row r="120" s="1" customFormat="1" spans="1:21">
      <c r="A120" s="1" t="str">
        <f>"4601991403788"</f>
        <v>4601991403788</v>
      </c>
      <c r="B120" s="1" t="s">
        <v>144</v>
      </c>
      <c r="C120" s="1" t="s">
        <v>24</v>
      </c>
      <c r="D120" s="1" t="str">
        <f t="shared" si="110"/>
        <v>2021</v>
      </c>
      <c r="E120" s="1" t="str">
        <f>"48.08"</f>
        <v>48.08</v>
      </c>
      <c r="F120" s="1" t="str">
        <f t="shared" ref="F120:I120" si="203">"0"</f>
        <v>0</v>
      </c>
      <c r="G120" s="1" t="str">
        <f t="shared" si="203"/>
        <v>0</v>
      </c>
      <c r="H120" s="1" t="str">
        <f t="shared" si="203"/>
        <v>0</v>
      </c>
      <c r="I120" s="1" t="str">
        <f t="shared" si="203"/>
        <v>0</v>
      </c>
      <c r="J120" s="1" t="str">
        <f>"4"</f>
        <v>4</v>
      </c>
      <c r="K120" s="1" t="str">
        <f t="shared" ref="K120:P120" si="204">"0"</f>
        <v>0</v>
      </c>
      <c r="L120" s="1" t="str">
        <f t="shared" si="204"/>
        <v>0</v>
      </c>
      <c r="M120" s="1" t="str">
        <f t="shared" si="204"/>
        <v>0</v>
      </c>
      <c r="N120" s="1" t="str">
        <f t="shared" si="204"/>
        <v>0</v>
      </c>
      <c r="O120" s="1" t="str">
        <f t="shared" si="204"/>
        <v>0</v>
      </c>
      <c r="P120" s="1" t="str">
        <f t="shared" si="204"/>
        <v>0</v>
      </c>
      <c r="Q120" s="1" t="str">
        <f t="shared" si="113"/>
        <v>0.0070</v>
      </c>
      <c r="R120" s="1" t="s">
        <v>29</v>
      </c>
      <c r="S120" s="1">
        <v>-0.0014</v>
      </c>
      <c r="T120" s="1" t="str">
        <f t="shared" si="114"/>
        <v>0</v>
      </c>
      <c r="U120" s="1" t="str">
        <f t="shared" si="195"/>
        <v>0.0056</v>
      </c>
    </row>
    <row r="121" s="1" customFormat="1" spans="1:21">
      <c r="A121" s="1" t="str">
        <f>"4601991403785"</f>
        <v>4601991403785</v>
      </c>
      <c r="B121" s="1" t="s">
        <v>145</v>
      </c>
      <c r="C121" s="1" t="s">
        <v>24</v>
      </c>
      <c r="D121" s="1" t="str">
        <f t="shared" si="110"/>
        <v>2021</v>
      </c>
      <c r="E121" s="1" t="str">
        <f>"9.67"</f>
        <v>9.67</v>
      </c>
      <c r="F121" s="1" t="str">
        <f t="shared" ref="F121:I121" si="205">"0"</f>
        <v>0</v>
      </c>
      <c r="G121" s="1" t="str">
        <f t="shared" si="205"/>
        <v>0</v>
      </c>
      <c r="H121" s="1" t="str">
        <f t="shared" si="205"/>
        <v>0</v>
      </c>
      <c r="I121" s="1" t="str">
        <f t="shared" si="205"/>
        <v>0</v>
      </c>
      <c r="J121" s="1" t="str">
        <f>"1"</f>
        <v>1</v>
      </c>
      <c r="K121" s="1" t="str">
        <f t="shared" ref="K121:P121" si="206">"0"</f>
        <v>0</v>
      </c>
      <c r="L121" s="1" t="str">
        <f t="shared" si="206"/>
        <v>0</v>
      </c>
      <c r="M121" s="1" t="str">
        <f t="shared" si="206"/>
        <v>0</v>
      </c>
      <c r="N121" s="1" t="str">
        <f t="shared" si="206"/>
        <v>0</v>
      </c>
      <c r="O121" s="1" t="str">
        <f t="shared" si="206"/>
        <v>0</v>
      </c>
      <c r="P121" s="1" t="str">
        <f t="shared" si="206"/>
        <v>0</v>
      </c>
      <c r="Q121" s="1" t="str">
        <f t="shared" si="113"/>
        <v>0.0070</v>
      </c>
      <c r="R121" s="1" t="s">
        <v>29</v>
      </c>
      <c r="S121" s="1">
        <v>-0.0014</v>
      </c>
      <c r="T121" s="1" t="str">
        <f t="shared" si="114"/>
        <v>0</v>
      </c>
      <c r="U121" s="1" t="str">
        <f t="shared" si="195"/>
        <v>0.0056</v>
      </c>
    </row>
    <row r="122" s="1" customFormat="1" spans="1:21">
      <c r="A122" s="1" t="str">
        <f>"4601991403793"</f>
        <v>4601991403793</v>
      </c>
      <c r="B122" s="1" t="s">
        <v>146</v>
      </c>
      <c r="C122" s="1" t="s">
        <v>24</v>
      </c>
      <c r="D122" s="1" t="str">
        <f t="shared" si="110"/>
        <v>2021</v>
      </c>
      <c r="E122" s="1" t="str">
        <f>"60.34"</f>
        <v>60.34</v>
      </c>
      <c r="F122" s="1" t="str">
        <f t="shared" ref="F122:I122" si="207">"0"</f>
        <v>0</v>
      </c>
      <c r="G122" s="1" t="str">
        <f t="shared" si="207"/>
        <v>0</v>
      </c>
      <c r="H122" s="1" t="str">
        <f t="shared" si="207"/>
        <v>0</v>
      </c>
      <c r="I122" s="1" t="str">
        <f t="shared" si="207"/>
        <v>0</v>
      </c>
      <c r="J122" s="1" t="str">
        <f>"5"</f>
        <v>5</v>
      </c>
      <c r="K122" s="1" t="str">
        <f t="shared" ref="K122:P122" si="208">"0"</f>
        <v>0</v>
      </c>
      <c r="L122" s="1" t="str">
        <f t="shared" si="208"/>
        <v>0</v>
      </c>
      <c r="M122" s="1" t="str">
        <f t="shared" si="208"/>
        <v>0</v>
      </c>
      <c r="N122" s="1" t="str">
        <f t="shared" si="208"/>
        <v>0</v>
      </c>
      <c r="O122" s="1" t="str">
        <f t="shared" si="208"/>
        <v>0</v>
      </c>
      <c r="P122" s="1" t="str">
        <f t="shared" si="208"/>
        <v>0</v>
      </c>
      <c r="Q122" s="1" t="str">
        <f t="shared" si="113"/>
        <v>0.0070</v>
      </c>
      <c r="R122" s="1" t="s">
        <v>29</v>
      </c>
      <c r="S122" s="1">
        <v>-0.0014</v>
      </c>
      <c r="T122" s="1" t="str">
        <f t="shared" si="114"/>
        <v>0</v>
      </c>
      <c r="U122" s="1" t="str">
        <f t="shared" si="195"/>
        <v>0.0056</v>
      </c>
    </row>
    <row r="123" s="1" customFormat="1" spans="1:21">
      <c r="A123" s="1" t="str">
        <f>"4601991403786"</f>
        <v>4601991403786</v>
      </c>
      <c r="B123" s="1" t="s">
        <v>147</v>
      </c>
      <c r="C123" s="1" t="s">
        <v>24</v>
      </c>
      <c r="D123" s="1" t="str">
        <f t="shared" si="110"/>
        <v>2021</v>
      </c>
      <c r="E123" s="1" t="str">
        <f>"270.89"</f>
        <v>270.89</v>
      </c>
      <c r="F123" s="1" t="str">
        <f t="shared" ref="F123:I123" si="209">"0"</f>
        <v>0</v>
      </c>
      <c r="G123" s="1" t="str">
        <f t="shared" si="209"/>
        <v>0</v>
      </c>
      <c r="H123" s="1" t="str">
        <f t="shared" si="209"/>
        <v>0</v>
      </c>
      <c r="I123" s="1" t="str">
        <f t="shared" si="209"/>
        <v>0</v>
      </c>
      <c r="J123" s="1" t="str">
        <f>"26"</f>
        <v>26</v>
      </c>
      <c r="K123" s="1" t="str">
        <f t="shared" ref="K123:P123" si="210">"0"</f>
        <v>0</v>
      </c>
      <c r="L123" s="1" t="str">
        <f t="shared" si="210"/>
        <v>0</v>
      </c>
      <c r="M123" s="1" t="str">
        <f t="shared" si="210"/>
        <v>0</v>
      </c>
      <c r="N123" s="1" t="str">
        <f t="shared" si="210"/>
        <v>0</v>
      </c>
      <c r="O123" s="1" t="str">
        <f t="shared" si="210"/>
        <v>0</v>
      </c>
      <c r="P123" s="1" t="str">
        <f t="shared" si="210"/>
        <v>0</v>
      </c>
      <c r="Q123" s="1" t="str">
        <f t="shared" si="113"/>
        <v>0.0070</v>
      </c>
      <c r="R123" s="1" t="s">
        <v>29</v>
      </c>
      <c r="S123" s="1">
        <v>-0.0014</v>
      </c>
      <c r="T123" s="1" t="str">
        <f t="shared" si="114"/>
        <v>0</v>
      </c>
      <c r="U123" s="1" t="str">
        <f t="shared" si="195"/>
        <v>0.0056</v>
      </c>
    </row>
    <row r="124" s="1" customFormat="1" spans="1:21">
      <c r="A124" s="1" t="str">
        <f>"4601991412916"</f>
        <v>4601991412916</v>
      </c>
      <c r="B124" s="1" t="s">
        <v>148</v>
      </c>
      <c r="C124" s="1" t="s">
        <v>24</v>
      </c>
      <c r="D124" s="1" t="str">
        <f t="shared" si="110"/>
        <v>2021</v>
      </c>
      <c r="E124" s="1" t="str">
        <f t="shared" ref="E124:P124" si="211">"0"</f>
        <v>0</v>
      </c>
      <c r="F124" s="1" t="str">
        <f t="shared" si="211"/>
        <v>0</v>
      </c>
      <c r="G124" s="1" t="str">
        <f t="shared" si="211"/>
        <v>0</v>
      </c>
      <c r="H124" s="1" t="str">
        <f t="shared" si="211"/>
        <v>0</v>
      </c>
      <c r="I124" s="1" t="str">
        <f t="shared" si="211"/>
        <v>0</v>
      </c>
      <c r="J124" s="1" t="str">
        <f t="shared" si="211"/>
        <v>0</v>
      </c>
      <c r="K124" s="1" t="str">
        <f t="shared" si="211"/>
        <v>0</v>
      </c>
      <c r="L124" s="1" t="str">
        <f t="shared" si="211"/>
        <v>0</v>
      </c>
      <c r="M124" s="1" t="str">
        <f t="shared" si="211"/>
        <v>0</v>
      </c>
      <c r="N124" s="1" t="str">
        <f t="shared" si="211"/>
        <v>0</v>
      </c>
      <c r="O124" s="1" t="str">
        <f t="shared" si="211"/>
        <v>0</v>
      </c>
      <c r="P124" s="1" t="str">
        <f t="shared" si="211"/>
        <v>0</v>
      </c>
      <c r="Q124" s="1" t="str">
        <f t="shared" si="113"/>
        <v>0.0070</v>
      </c>
      <c r="R124" s="1" t="s">
        <v>25</v>
      </c>
      <c r="T124" s="1" t="str">
        <f t="shared" si="114"/>
        <v>0</v>
      </c>
      <c r="U124" s="1" t="str">
        <f>"0.0070"</f>
        <v>0.0070</v>
      </c>
    </row>
    <row r="125" s="1" customFormat="1" spans="1:21">
      <c r="A125" s="1" t="str">
        <f>"4601991403789"</f>
        <v>4601991403789</v>
      </c>
      <c r="B125" s="1" t="s">
        <v>149</v>
      </c>
      <c r="C125" s="1" t="s">
        <v>24</v>
      </c>
      <c r="D125" s="1" t="str">
        <f t="shared" si="110"/>
        <v>2021</v>
      </c>
      <c r="E125" s="1" t="str">
        <f>"143.76"</f>
        <v>143.76</v>
      </c>
      <c r="F125" s="1" t="str">
        <f t="shared" ref="F125:I125" si="212">"0"</f>
        <v>0</v>
      </c>
      <c r="G125" s="1" t="str">
        <f t="shared" si="212"/>
        <v>0</v>
      </c>
      <c r="H125" s="1" t="str">
        <f t="shared" si="212"/>
        <v>0</v>
      </c>
      <c r="I125" s="1" t="str">
        <f t="shared" si="212"/>
        <v>0</v>
      </c>
      <c r="J125" s="1" t="str">
        <f>"12"</f>
        <v>12</v>
      </c>
      <c r="K125" s="1" t="str">
        <f t="shared" ref="K125:P125" si="213">"0"</f>
        <v>0</v>
      </c>
      <c r="L125" s="1" t="str">
        <f t="shared" si="213"/>
        <v>0</v>
      </c>
      <c r="M125" s="1" t="str">
        <f t="shared" si="213"/>
        <v>0</v>
      </c>
      <c r="N125" s="1" t="str">
        <f t="shared" si="213"/>
        <v>0</v>
      </c>
      <c r="O125" s="1" t="str">
        <f t="shared" si="213"/>
        <v>0</v>
      </c>
      <c r="P125" s="1" t="str">
        <f t="shared" si="213"/>
        <v>0</v>
      </c>
      <c r="Q125" s="1" t="str">
        <f t="shared" si="113"/>
        <v>0.0070</v>
      </c>
      <c r="R125" s="1" t="s">
        <v>29</v>
      </c>
      <c r="S125" s="1">
        <v>-0.0014</v>
      </c>
      <c r="T125" s="1" t="str">
        <f t="shared" si="114"/>
        <v>0</v>
      </c>
      <c r="U125" s="1" t="str">
        <f t="shared" ref="U125:U127" si="214">"0.0056"</f>
        <v>0.0056</v>
      </c>
    </row>
    <row r="126" s="1" customFormat="1" spans="1:21">
      <c r="A126" s="1" t="str">
        <f>"4601991411543"</f>
        <v>4601991411543</v>
      </c>
      <c r="B126" s="1" t="s">
        <v>150</v>
      </c>
      <c r="C126" s="1" t="s">
        <v>24</v>
      </c>
      <c r="D126" s="1" t="str">
        <f t="shared" si="110"/>
        <v>2021</v>
      </c>
      <c r="E126" s="1" t="str">
        <f>"368.07"</f>
        <v>368.07</v>
      </c>
      <c r="F126" s="1" t="str">
        <f t="shared" ref="F126:I126" si="215">"0"</f>
        <v>0</v>
      </c>
      <c r="G126" s="1" t="str">
        <f t="shared" si="215"/>
        <v>0</v>
      </c>
      <c r="H126" s="1" t="str">
        <f t="shared" si="215"/>
        <v>0</v>
      </c>
      <c r="I126" s="1" t="str">
        <f t="shared" si="215"/>
        <v>0</v>
      </c>
      <c r="J126" s="1" t="str">
        <f>"31"</f>
        <v>31</v>
      </c>
      <c r="K126" s="1" t="str">
        <f t="shared" ref="K126:P126" si="216">"0"</f>
        <v>0</v>
      </c>
      <c r="L126" s="1" t="str">
        <f t="shared" si="216"/>
        <v>0</v>
      </c>
      <c r="M126" s="1" t="str">
        <f t="shared" si="216"/>
        <v>0</v>
      </c>
      <c r="N126" s="1" t="str">
        <f t="shared" si="216"/>
        <v>0</v>
      </c>
      <c r="O126" s="1" t="str">
        <f t="shared" si="216"/>
        <v>0</v>
      </c>
      <c r="P126" s="1" t="str">
        <f t="shared" si="216"/>
        <v>0</v>
      </c>
      <c r="Q126" s="1" t="str">
        <f t="shared" si="113"/>
        <v>0.0070</v>
      </c>
      <c r="R126" s="1" t="s">
        <v>29</v>
      </c>
      <c r="S126" s="1">
        <v>-0.0014</v>
      </c>
      <c r="T126" s="1" t="str">
        <f t="shared" si="114"/>
        <v>0</v>
      </c>
      <c r="U126" s="1" t="str">
        <f t="shared" si="214"/>
        <v>0.0056</v>
      </c>
    </row>
    <row r="127" s="1" customFormat="1" spans="1:21">
      <c r="A127" s="1" t="str">
        <f>"4601991411608"</f>
        <v>4601991411608</v>
      </c>
      <c r="B127" s="1" t="s">
        <v>151</v>
      </c>
      <c r="C127" s="1" t="s">
        <v>24</v>
      </c>
      <c r="D127" s="1" t="str">
        <f t="shared" si="110"/>
        <v>2021</v>
      </c>
      <c r="E127" s="1" t="str">
        <f>"28.92"</f>
        <v>28.92</v>
      </c>
      <c r="F127" s="1" t="str">
        <f t="shared" ref="F127:I127" si="217">"0"</f>
        <v>0</v>
      </c>
      <c r="G127" s="1" t="str">
        <f t="shared" si="217"/>
        <v>0</v>
      </c>
      <c r="H127" s="1" t="str">
        <f t="shared" si="217"/>
        <v>0</v>
      </c>
      <c r="I127" s="1" t="str">
        <f t="shared" si="217"/>
        <v>0</v>
      </c>
      <c r="J127" s="1" t="str">
        <f>"3"</f>
        <v>3</v>
      </c>
      <c r="K127" s="1" t="str">
        <f t="shared" ref="K127:P127" si="218">"0"</f>
        <v>0</v>
      </c>
      <c r="L127" s="1" t="str">
        <f t="shared" si="218"/>
        <v>0</v>
      </c>
      <c r="M127" s="1" t="str">
        <f t="shared" si="218"/>
        <v>0</v>
      </c>
      <c r="N127" s="1" t="str">
        <f t="shared" si="218"/>
        <v>0</v>
      </c>
      <c r="O127" s="1" t="str">
        <f t="shared" si="218"/>
        <v>0</v>
      </c>
      <c r="P127" s="1" t="str">
        <f t="shared" si="218"/>
        <v>0</v>
      </c>
      <c r="Q127" s="1" t="str">
        <f t="shared" si="113"/>
        <v>0.0070</v>
      </c>
      <c r="R127" s="1" t="s">
        <v>29</v>
      </c>
      <c r="S127" s="1">
        <v>-0.0014</v>
      </c>
      <c r="T127" s="1" t="str">
        <f t="shared" si="114"/>
        <v>0</v>
      </c>
      <c r="U127" s="1" t="str">
        <f t="shared" si="214"/>
        <v>0.0056</v>
      </c>
    </row>
    <row r="128" s="1" customFormat="1" spans="1:21">
      <c r="A128" s="1" t="str">
        <f>"4601991412984"</f>
        <v>4601991412984</v>
      </c>
      <c r="B128" s="1" t="s">
        <v>152</v>
      </c>
      <c r="C128" s="1" t="s">
        <v>24</v>
      </c>
      <c r="D128" s="1" t="str">
        <f t="shared" si="110"/>
        <v>2021</v>
      </c>
      <c r="E128" s="1" t="str">
        <f t="shared" ref="E128:P128" si="219">"0"</f>
        <v>0</v>
      </c>
      <c r="F128" s="1" t="str">
        <f t="shared" si="219"/>
        <v>0</v>
      </c>
      <c r="G128" s="1" t="str">
        <f t="shared" si="219"/>
        <v>0</v>
      </c>
      <c r="H128" s="1" t="str">
        <f t="shared" si="219"/>
        <v>0</v>
      </c>
      <c r="I128" s="1" t="str">
        <f t="shared" si="219"/>
        <v>0</v>
      </c>
      <c r="J128" s="1" t="str">
        <f t="shared" si="219"/>
        <v>0</v>
      </c>
      <c r="K128" s="1" t="str">
        <f t="shared" si="219"/>
        <v>0</v>
      </c>
      <c r="L128" s="1" t="str">
        <f t="shared" si="219"/>
        <v>0</v>
      </c>
      <c r="M128" s="1" t="str">
        <f t="shared" si="219"/>
        <v>0</v>
      </c>
      <c r="N128" s="1" t="str">
        <f t="shared" si="219"/>
        <v>0</v>
      </c>
      <c r="O128" s="1" t="str">
        <f t="shared" si="219"/>
        <v>0</v>
      </c>
      <c r="P128" s="1" t="str">
        <f t="shared" si="219"/>
        <v>0</v>
      </c>
      <c r="Q128" s="1" t="str">
        <f t="shared" si="113"/>
        <v>0.0070</v>
      </c>
      <c r="R128" s="1" t="s">
        <v>25</v>
      </c>
      <c r="T128" s="1" t="str">
        <f t="shared" si="114"/>
        <v>0</v>
      </c>
      <c r="U128" s="1" t="str">
        <f t="shared" ref="U128:U132" si="220">"0.0070"</f>
        <v>0.0070</v>
      </c>
    </row>
    <row r="129" s="1" customFormat="1" spans="1:21">
      <c r="A129" s="1" t="str">
        <f>"4601991411579"</f>
        <v>4601991411579</v>
      </c>
      <c r="B129" s="1" t="s">
        <v>153</v>
      </c>
      <c r="C129" s="1" t="s">
        <v>24</v>
      </c>
      <c r="D129" s="1" t="str">
        <f t="shared" si="110"/>
        <v>2021</v>
      </c>
      <c r="E129" s="1" t="str">
        <f>"153.55"</f>
        <v>153.55</v>
      </c>
      <c r="F129" s="1" t="str">
        <f t="shared" ref="F129:I129" si="221">"0"</f>
        <v>0</v>
      </c>
      <c r="G129" s="1" t="str">
        <f t="shared" si="221"/>
        <v>0</v>
      </c>
      <c r="H129" s="1" t="str">
        <f t="shared" si="221"/>
        <v>0</v>
      </c>
      <c r="I129" s="1" t="str">
        <f t="shared" si="221"/>
        <v>0</v>
      </c>
      <c r="J129" s="1" t="str">
        <f>"17"</f>
        <v>17</v>
      </c>
      <c r="K129" s="1" t="str">
        <f t="shared" ref="K129:P129" si="222">"0"</f>
        <v>0</v>
      </c>
      <c r="L129" s="1" t="str">
        <f t="shared" si="222"/>
        <v>0</v>
      </c>
      <c r="M129" s="1" t="str">
        <f t="shared" si="222"/>
        <v>0</v>
      </c>
      <c r="N129" s="1" t="str">
        <f t="shared" si="222"/>
        <v>0</v>
      </c>
      <c r="O129" s="1" t="str">
        <f t="shared" si="222"/>
        <v>0</v>
      </c>
      <c r="P129" s="1" t="str">
        <f t="shared" si="222"/>
        <v>0</v>
      </c>
      <c r="Q129" s="1" t="str">
        <f t="shared" si="113"/>
        <v>0.0070</v>
      </c>
      <c r="R129" s="1" t="s">
        <v>29</v>
      </c>
      <c r="S129" s="1">
        <v>-0.0014</v>
      </c>
      <c r="T129" s="1" t="str">
        <f t="shared" si="114"/>
        <v>0</v>
      </c>
      <c r="U129" s="1" t="str">
        <f t="shared" ref="U129:U137" si="223">"0.0056"</f>
        <v>0.0056</v>
      </c>
    </row>
    <row r="130" s="1" customFormat="1" spans="1:21">
      <c r="A130" s="1" t="str">
        <f>"4601991411622"</f>
        <v>4601991411622</v>
      </c>
      <c r="B130" s="1" t="s">
        <v>154</v>
      </c>
      <c r="C130" s="1" t="s">
        <v>24</v>
      </c>
      <c r="D130" s="1" t="str">
        <f t="shared" si="110"/>
        <v>2021</v>
      </c>
      <c r="E130" s="1" t="str">
        <f t="shared" ref="E130:P130" si="224">"0"</f>
        <v>0</v>
      </c>
      <c r="F130" s="1" t="str">
        <f t="shared" si="224"/>
        <v>0</v>
      </c>
      <c r="G130" s="1" t="str">
        <f t="shared" si="224"/>
        <v>0</v>
      </c>
      <c r="H130" s="1" t="str">
        <f t="shared" si="224"/>
        <v>0</v>
      </c>
      <c r="I130" s="1" t="str">
        <f t="shared" si="224"/>
        <v>0</v>
      </c>
      <c r="J130" s="1" t="str">
        <f t="shared" si="224"/>
        <v>0</v>
      </c>
      <c r="K130" s="1" t="str">
        <f t="shared" si="224"/>
        <v>0</v>
      </c>
      <c r="L130" s="1" t="str">
        <f t="shared" si="224"/>
        <v>0</v>
      </c>
      <c r="M130" s="1" t="str">
        <f t="shared" si="224"/>
        <v>0</v>
      </c>
      <c r="N130" s="1" t="str">
        <f t="shared" si="224"/>
        <v>0</v>
      </c>
      <c r="O130" s="1" t="str">
        <f t="shared" si="224"/>
        <v>0</v>
      </c>
      <c r="P130" s="1" t="str">
        <f t="shared" si="224"/>
        <v>0</v>
      </c>
      <c r="Q130" s="1" t="str">
        <f t="shared" si="113"/>
        <v>0.0070</v>
      </c>
      <c r="R130" s="1" t="s">
        <v>25</v>
      </c>
      <c r="T130" s="1" t="str">
        <f t="shared" si="114"/>
        <v>0</v>
      </c>
      <c r="U130" s="1" t="str">
        <f t="shared" si="220"/>
        <v>0.0070</v>
      </c>
    </row>
    <row r="131" s="1" customFormat="1" spans="1:21">
      <c r="A131" s="1" t="str">
        <f>"4601991412947"</f>
        <v>4601991412947</v>
      </c>
      <c r="B131" s="1" t="s">
        <v>155</v>
      </c>
      <c r="C131" s="1" t="s">
        <v>24</v>
      </c>
      <c r="D131" s="1" t="str">
        <f t="shared" ref="D131:D194" si="225">"2021"</f>
        <v>2021</v>
      </c>
      <c r="E131" s="1" t="str">
        <f>"67.69"</f>
        <v>67.69</v>
      </c>
      <c r="F131" s="1" t="str">
        <f t="shared" ref="F131:I131" si="226">"0"</f>
        <v>0</v>
      </c>
      <c r="G131" s="1" t="str">
        <f t="shared" si="226"/>
        <v>0</v>
      </c>
      <c r="H131" s="1" t="str">
        <f t="shared" si="226"/>
        <v>0</v>
      </c>
      <c r="I131" s="1" t="str">
        <f t="shared" si="226"/>
        <v>0</v>
      </c>
      <c r="J131" s="1" t="str">
        <f>"7"</f>
        <v>7</v>
      </c>
      <c r="K131" s="1" t="str">
        <f t="shared" ref="K131:P131" si="227">"0"</f>
        <v>0</v>
      </c>
      <c r="L131" s="1" t="str">
        <f t="shared" si="227"/>
        <v>0</v>
      </c>
      <c r="M131" s="1" t="str">
        <f t="shared" si="227"/>
        <v>0</v>
      </c>
      <c r="N131" s="1" t="str">
        <f t="shared" si="227"/>
        <v>0</v>
      </c>
      <c r="O131" s="1" t="str">
        <f t="shared" si="227"/>
        <v>0</v>
      </c>
      <c r="P131" s="1" t="str">
        <f t="shared" si="227"/>
        <v>0</v>
      </c>
      <c r="Q131" s="1" t="str">
        <f t="shared" ref="Q131:Q194" si="228">"0.0070"</f>
        <v>0.0070</v>
      </c>
      <c r="R131" s="1" t="s">
        <v>29</v>
      </c>
      <c r="S131" s="1">
        <v>-0.0014</v>
      </c>
      <c r="T131" s="1" t="str">
        <f t="shared" ref="T131:T194" si="229">"0"</f>
        <v>0</v>
      </c>
      <c r="U131" s="1" t="str">
        <f t="shared" si="223"/>
        <v>0.0056</v>
      </c>
    </row>
    <row r="132" s="1" customFormat="1" spans="1:21">
      <c r="A132" s="1" t="str">
        <f>"4601991412995"</f>
        <v>4601991412995</v>
      </c>
      <c r="B132" s="1" t="s">
        <v>156</v>
      </c>
      <c r="C132" s="1" t="s">
        <v>24</v>
      </c>
      <c r="D132" s="1" t="str">
        <f t="shared" si="225"/>
        <v>2021</v>
      </c>
      <c r="E132" s="1" t="str">
        <f t="shared" ref="E132:I132" si="230">"0"</f>
        <v>0</v>
      </c>
      <c r="F132" s="1" t="str">
        <f t="shared" si="230"/>
        <v>0</v>
      </c>
      <c r="G132" s="1" t="str">
        <f t="shared" si="230"/>
        <v>0</v>
      </c>
      <c r="H132" s="1" t="str">
        <f t="shared" si="230"/>
        <v>0</v>
      </c>
      <c r="I132" s="1" t="str">
        <f t="shared" si="230"/>
        <v>0</v>
      </c>
      <c r="J132" s="1" t="str">
        <f>"1"</f>
        <v>1</v>
      </c>
      <c r="K132" s="1" t="str">
        <f t="shared" ref="K132:P132" si="231">"0"</f>
        <v>0</v>
      </c>
      <c r="L132" s="1" t="str">
        <f t="shared" si="231"/>
        <v>0</v>
      </c>
      <c r="M132" s="1" t="str">
        <f t="shared" si="231"/>
        <v>0</v>
      </c>
      <c r="N132" s="1" t="str">
        <f t="shared" si="231"/>
        <v>0</v>
      </c>
      <c r="O132" s="1" t="str">
        <f t="shared" si="231"/>
        <v>0</v>
      </c>
      <c r="P132" s="1" t="str">
        <f t="shared" si="231"/>
        <v>0</v>
      </c>
      <c r="Q132" s="1" t="str">
        <f t="shared" si="228"/>
        <v>0.0070</v>
      </c>
      <c r="R132" s="1" t="s">
        <v>25</v>
      </c>
      <c r="T132" s="1" t="str">
        <f t="shared" si="229"/>
        <v>0</v>
      </c>
      <c r="U132" s="1" t="str">
        <f t="shared" si="220"/>
        <v>0.0070</v>
      </c>
    </row>
    <row r="133" s="1" customFormat="1" spans="1:21">
      <c r="A133" s="1" t="str">
        <f>"4601991412330"</f>
        <v>4601991412330</v>
      </c>
      <c r="B133" s="1" t="s">
        <v>157</v>
      </c>
      <c r="C133" s="1" t="s">
        <v>24</v>
      </c>
      <c r="D133" s="1" t="str">
        <f t="shared" si="225"/>
        <v>2021</v>
      </c>
      <c r="E133" s="1" t="str">
        <f>"280.25"</f>
        <v>280.25</v>
      </c>
      <c r="F133" s="1" t="str">
        <f t="shared" ref="F133:I133" si="232">"0"</f>
        <v>0</v>
      </c>
      <c r="G133" s="1" t="str">
        <f t="shared" si="232"/>
        <v>0</v>
      </c>
      <c r="H133" s="1" t="str">
        <f t="shared" si="232"/>
        <v>0</v>
      </c>
      <c r="I133" s="1" t="str">
        <f t="shared" si="232"/>
        <v>0</v>
      </c>
      <c r="J133" s="1" t="str">
        <f>"33"</f>
        <v>33</v>
      </c>
      <c r="K133" s="1" t="str">
        <f t="shared" ref="K133:P133" si="233">"0"</f>
        <v>0</v>
      </c>
      <c r="L133" s="1" t="str">
        <f t="shared" si="233"/>
        <v>0</v>
      </c>
      <c r="M133" s="1" t="str">
        <f t="shared" si="233"/>
        <v>0</v>
      </c>
      <c r="N133" s="1" t="str">
        <f t="shared" si="233"/>
        <v>0</v>
      </c>
      <c r="O133" s="1" t="str">
        <f t="shared" si="233"/>
        <v>0</v>
      </c>
      <c r="P133" s="1" t="str">
        <f t="shared" si="233"/>
        <v>0</v>
      </c>
      <c r="Q133" s="1" t="str">
        <f t="shared" si="228"/>
        <v>0.0070</v>
      </c>
      <c r="R133" s="1" t="s">
        <v>29</v>
      </c>
      <c r="S133" s="1">
        <v>-0.0014</v>
      </c>
      <c r="T133" s="1" t="str">
        <f t="shared" si="229"/>
        <v>0</v>
      </c>
      <c r="U133" s="1" t="str">
        <f t="shared" si="223"/>
        <v>0.0056</v>
      </c>
    </row>
    <row r="134" s="1" customFormat="1" spans="1:21">
      <c r="A134" s="1" t="str">
        <f>"4601991413036"</f>
        <v>4601991413036</v>
      </c>
      <c r="B134" s="1" t="s">
        <v>158</v>
      </c>
      <c r="C134" s="1" t="s">
        <v>24</v>
      </c>
      <c r="D134" s="1" t="str">
        <f t="shared" si="225"/>
        <v>2021</v>
      </c>
      <c r="E134" s="1" t="str">
        <f>"77.36"</f>
        <v>77.36</v>
      </c>
      <c r="F134" s="1" t="str">
        <f t="shared" ref="F134:I134" si="234">"0"</f>
        <v>0</v>
      </c>
      <c r="G134" s="1" t="str">
        <f t="shared" si="234"/>
        <v>0</v>
      </c>
      <c r="H134" s="1" t="str">
        <f t="shared" si="234"/>
        <v>0</v>
      </c>
      <c r="I134" s="1" t="str">
        <f t="shared" si="234"/>
        <v>0</v>
      </c>
      <c r="J134" s="1" t="str">
        <f>"9"</f>
        <v>9</v>
      </c>
      <c r="K134" s="1" t="str">
        <f t="shared" ref="K134:P134" si="235">"0"</f>
        <v>0</v>
      </c>
      <c r="L134" s="1" t="str">
        <f t="shared" si="235"/>
        <v>0</v>
      </c>
      <c r="M134" s="1" t="str">
        <f t="shared" si="235"/>
        <v>0</v>
      </c>
      <c r="N134" s="1" t="str">
        <f t="shared" si="235"/>
        <v>0</v>
      </c>
      <c r="O134" s="1" t="str">
        <f t="shared" si="235"/>
        <v>0</v>
      </c>
      <c r="P134" s="1" t="str">
        <f t="shared" si="235"/>
        <v>0</v>
      </c>
      <c r="Q134" s="1" t="str">
        <f t="shared" si="228"/>
        <v>0.0070</v>
      </c>
      <c r="R134" s="1" t="s">
        <v>29</v>
      </c>
      <c r="S134" s="1">
        <v>-0.0014</v>
      </c>
      <c r="T134" s="1" t="str">
        <f t="shared" si="229"/>
        <v>0</v>
      </c>
      <c r="U134" s="1" t="str">
        <f t="shared" si="223"/>
        <v>0.0056</v>
      </c>
    </row>
    <row r="135" s="1" customFormat="1" spans="1:21">
      <c r="A135" s="1" t="str">
        <f>"4601991411173"</f>
        <v>4601991411173</v>
      </c>
      <c r="B135" s="1" t="s">
        <v>159</v>
      </c>
      <c r="C135" s="1" t="s">
        <v>24</v>
      </c>
      <c r="D135" s="1" t="str">
        <f t="shared" si="225"/>
        <v>2021</v>
      </c>
      <c r="E135" s="1" t="str">
        <f>"9.67"</f>
        <v>9.67</v>
      </c>
      <c r="F135" s="1" t="str">
        <f t="shared" ref="F135:I135" si="236">"0"</f>
        <v>0</v>
      </c>
      <c r="G135" s="1" t="str">
        <f t="shared" si="236"/>
        <v>0</v>
      </c>
      <c r="H135" s="1" t="str">
        <f t="shared" si="236"/>
        <v>0</v>
      </c>
      <c r="I135" s="1" t="str">
        <f t="shared" si="236"/>
        <v>0</v>
      </c>
      <c r="J135" s="1" t="str">
        <f>"1"</f>
        <v>1</v>
      </c>
      <c r="K135" s="1" t="str">
        <f t="shared" ref="K135:P135" si="237">"0"</f>
        <v>0</v>
      </c>
      <c r="L135" s="1" t="str">
        <f t="shared" si="237"/>
        <v>0</v>
      </c>
      <c r="M135" s="1" t="str">
        <f t="shared" si="237"/>
        <v>0</v>
      </c>
      <c r="N135" s="1" t="str">
        <f t="shared" si="237"/>
        <v>0</v>
      </c>
      <c r="O135" s="1" t="str">
        <f t="shared" si="237"/>
        <v>0</v>
      </c>
      <c r="P135" s="1" t="str">
        <f t="shared" si="237"/>
        <v>0</v>
      </c>
      <c r="Q135" s="1" t="str">
        <f t="shared" si="228"/>
        <v>0.0070</v>
      </c>
      <c r="R135" s="1" t="s">
        <v>29</v>
      </c>
      <c r="S135" s="1">
        <v>-0.0014</v>
      </c>
      <c r="T135" s="1" t="str">
        <f t="shared" si="229"/>
        <v>0</v>
      </c>
      <c r="U135" s="1" t="str">
        <f t="shared" si="223"/>
        <v>0.0056</v>
      </c>
    </row>
    <row r="136" s="1" customFormat="1" spans="1:21">
      <c r="A136" s="1" t="str">
        <f>"4601991411159"</f>
        <v>4601991411159</v>
      </c>
      <c r="B136" s="1" t="s">
        <v>160</v>
      </c>
      <c r="C136" s="1" t="s">
        <v>24</v>
      </c>
      <c r="D136" s="1" t="str">
        <f t="shared" si="225"/>
        <v>2021</v>
      </c>
      <c r="E136" s="1" t="str">
        <f>"218.41"</f>
        <v>218.41</v>
      </c>
      <c r="F136" s="1" t="str">
        <f t="shared" ref="F136:I136" si="238">"0"</f>
        <v>0</v>
      </c>
      <c r="G136" s="1" t="str">
        <f t="shared" si="238"/>
        <v>0</v>
      </c>
      <c r="H136" s="1" t="str">
        <f t="shared" si="238"/>
        <v>0</v>
      </c>
      <c r="I136" s="1" t="str">
        <f t="shared" si="238"/>
        <v>0</v>
      </c>
      <c r="J136" s="1" t="str">
        <f>"16"</f>
        <v>16</v>
      </c>
      <c r="K136" s="1" t="str">
        <f t="shared" ref="K136:P136" si="239">"0"</f>
        <v>0</v>
      </c>
      <c r="L136" s="1" t="str">
        <f t="shared" si="239"/>
        <v>0</v>
      </c>
      <c r="M136" s="1" t="str">
        <f t="shared" si="239"/>
        <v>0</v>
      </c>
      <c r="N136" s="1" t="str">
        <f t="shared" si="239"/>
        <v>0</v>
      </c>
      <c r="O136" s="1" t="str">
        <f t="shared" si="239"/>
        <v>0</v>
      </c>
      <c r="P136" s="1" t="str">
        <f t="shared" si="239"/>
        <v>0</v>
      </c>
      <c r="Q136" s="1" t="str">
        <f t="shared" si="228"/>
        <v>0.0070</v>
      </c>
      <c r="R136" s="1" t="s">
        <v>29</v>
      </c>
      <c r="S136" s="1">
        <v>-0.0014</v>
      </c>
      <c r="T136" s="1" t="str">
        <f t="shared" si="229"/>
        <v>0</v>
      </c>
      <c r="U136" s="1" t="str">
        <f t="shared" si="223"/>
        <v>0.0056</v>
      </c>
    </row>
    <row r="137" s="1" customFormat="1" spans="1:21">
      <c r="A137" s="1" t="str">
        <f>"4601991411191"</f>
        <v>4601991411191</v>
      </c>
      <c r="B137" s="1" t="s">
        <v>161</v>
      </c>
      <c r="C137" s="1" t="s">
        <v>24</v>
      </c>
      <c r="D137" s="1" t="str">
        <f t="shared" si="225"/>
        <v>2021</v>
      </c>
      <c r="E137" s="1" t="str">
        <f>"19.47"</f>
        <v>19.47</v>
      </c>
      <c r="F137" s="1" t="str">
        <f t="shared" ref="F137:I137" si="240">"0"</f>
        <v>0</v>
      </c>
      <c r="G137" s="1" t="str">
        <f t="shared" si="240"/>
        <v>0</v>
      </c>
      <c r="H137" s="1" t="str">
        <f t="shared" si="240"/>
        <v>0</v>
      </c>
      <c r="I137" s="1" t="str">
        <f t="shared" si="240"/>
        <v>0</v>
      </c>
      <c r="J137" s="1" t="str">
        <f>"2"</f>
        <v>2</v>
      </c>
      <c r="K137" s="1" t="str">
        <f t="shared" ref="K137:P137" si="241">"0"</f>
        <v>0</v>
      </c>
      <c r="L137" s="1" t="str">
        <f t="shared" si="241"/>
        <v>0</v>
      </c>
      <c r="M137" s="1" t="str">
        <f t="shared" si="241"/>
        <v>0</v>
      </c>
      <c r="N137" s="1" t="str">
        <f t="shared" si="241"/>
        <v>0</v>
      </c>
      <c r="O137" s="1" t="str">
        <f t="shared" si="241"/>
        <v>0</v>
      </c>
      <c r="P137" s="1" t="str">
        <f t="shared" si="241"/>
        <v>0</v>
      </c>
      <c r="Q137" s="1" t="str">
        <f t="shared" si="228"/>
        <v>0.0070</v>
      </c>
      <c r="R137" s="1" t="s">
        <v>29</v>
      </c>
      <c r="S137" s="1">
        <v>-0.0014</v>
      </c>
      <c r="T137" s="1" t="str">
        <f t="shared" si="229"/>
        <v>0</v>
      </c>
      <c r="U137" s="1" t="str">
        <f t="shared" si="223"/>
        <v>0.0056</v>
      </c>
    </row>
    <row r="138" s="1" customFormat="1" spans="1:21">
      <c r="A138" s="1" t="str">
        <f>"4601991412411"</f>
        <v>4601991412411</v>
      </c>
      <c r="B138" s="1" t="s">
        <v>162</v>
      </c>
      <c r="C138" s="1" t="s">
        <v>24</v>
      </c>
      <c r="D138" s="1" t="str">
        <f t="shared" si="225"/>
        <v>2021</v>
      </c>
      <c r="E138" s="1" t="str">
        <f t="shared" ref="E138:P138" si="242">"0"</f>
        <v>0</v>
      </c>
      <c r="F138" s="1" t="str">
        <f t="shared" si="242"/>
        <v>0</v>
      </c>
      <c r="G138" s="1" t="str">
        <f t="shared" si="242"/>
        <v>0</v>
      </c>
      <c r="H138" s="1" t="str">
        <f t="shared" si="242"/>
        <v>0</v>
      </c>
      <c r="I138" s="1" t="str">
        <f t="shared" si="242"/>
        <v>0</v>
      </c>
      <c r="J138" s="1" t="str">
        <f t="shared" si="242"/>
        <v>0</v>
      </c>
      <c r="K138" s="1" t="str">
        <f t="shared" si="242"/>
        <v>0</v>
      </c>
      <c r="L138" s="1" t="str">
        <f t="shared" si="242"/>
        <v>0</v>
      </c>
      <c r="M138" s="1" t="str">
        <f t="shared" si="242"/>
        <v>0</v>
      </c>
      <c r="N138" s="1" t="str">
        <f t="shared" si="242"/>
        <v>0</v>
      </c>
      <c r="O138" s="1" t="str">
        <f t="shared" si="242"/>
        <v>0</v>
      </c>
      <c r="P138" s="1" t="str">
        <f t="shared" si="242"/>
        <v>0</v>
      </c>
      <c r="Q138" s="1" t="str">
        <f t="shared" si="228"/>
        <v>0.0070</v>
      </c>
      <c r="R138" s="1" t="s">
        <v>25</v>
      </c>
      <c r="T138" s="1" t="str">
        <f t="shared" si="229"/>
        <v>0</v>
      </c>
      <c r="U138" s="1" t="str">
        <f t="shared" ref="U138:U142" si="243">"0.0070"</f>
        <v>0.0070</v>
      </c>
    </row>
    <row r="139" s="1" customFormat="1" spans="1:21">
      <c r="A139" s="1" t="str">
        <f>"4601991413106"</f>
        <v>4601991413106</v>
      </c>
      <c r="B139" s="1" t="s">
        <v>163</v>
      </c>
      <c r="C139" s="1" t="s">
        <v>24</v>
      </c>
      <c r="D139" s="1" t="str">
        <f t="shared" si="225"/>
        <v>2021</v>
      </c>
      <c r="E139" s="1" t="str">
        <f>"71.88"</f>
        <v>71.88</v>
      </c>
      <c r="F139" s="1" t="str">
        <f t="shared" ref="F139:I139" si="244">"0"</f>
        <v>0</v>
      </c>
      <c r="G139" s="1" t="str">
        <f t="shared" si="244"/>
        <v>0</v>
      </c>
      <c r="H139" s="1" t="str">
        <f t="shared" si="244"/>
        <v>0</v>
      </c>
      <c r="I139" s="1" t="str">
        <f t="shared" si="244"/>
        <v>0</v>
      </c>
      <c r="J139" s="1" t="str">
        <f>"6"</f>
        <v>6</v>
      </c>
      <c r="K139" s="1" t="str">
        <f t="shared" ref="K139:P139" si="245">"0"</f>
        <v>0</v>
      </c>
      <c r="L139" s="1" t="str">
        <f t="shared" si="245"/>
        <v>0</v>
      </c>
      <c r="M139" s="1" t="str">
        <f t="shared" si="245"/>
        <v>0</v>
      </c>
      <c r="N139" s="1" t="str">
        <f t="shared" si="245"/>
        <v>0</v>
      </c>
      <c r="O139" s="1" t="str">
        <f t="shared" si="245"/>
        <v>0</v>
      </c>
      <c r="P139" s="1" t="str">
        <f t="shared" si="245"/>
        <v>0</v>
      </c>
      <c r="Q139" s="1" t="str">
        <f t="shared" si="228"/>
        <v>0.0070</v>
      </c>
      <c r="R139" s="1" t="s">
        <v>29</v>
      </c>
      <c r="S139" s="1">
        <v>-0.0014</v>
      </c>
      <c r="T139" s="1" t="str">
        <f t="shared" si="229"/>
        <v>0</v>
      </c>
      <c r="U139" s="1" t="str">
        <f t="shared" ref="U139:U143" si="246">"0.0056"</f>
        <v>0.0056</v>
      </c>
    </row>
    <row r="140" s="1" customFormat="1" spans="1:21">
      <c r="A140" s="1" t="str">
        <f>"4601991411208"</f>
        <v>4601991411208</v>
      </c>
      <c r="B140" s="1" t="s">
        <v>164</v>
      </c>
      <c r="C140" s="1" t="s">
        <v>24</v>
      </c>
      <c r="D140" s="1" t="str">
        <f t="shared" si="225"/>
        <v>2021</v>
      </c>
      <c r="E140" s="1" t="str">
        <f t="shared" ref="E140:P140" si="247">"0"</f>
        <v>0</v>
      </c>
      <c r="F140" s="1" t="str">
        <f t="shared" si="247"/>
        <v>0</v>
      </c>
      <c r="G140" s="1" t="str">
        <f t="shared" si="247"/>
        <v>0</v>
      </c>
      <c r="H140" s="1" t="str">
        <f t="shared" si="247"/>
        <v>0</v>
      </c>
      <c r="I140" s="1" t="str">
        <f t="shared" si="247"/>
        <v>0</v>
      </c>
      <c r="J140" s="1" t="str">
        <f t="shared" si="247"/>
        <v>0</v>
      </c>
      <c r="K140" s="1" t="str">
        <f t="shared" si="247"/>
        <v>0</v>
      </c>
      <c r="L140" s="1" t="str">
        <f t="shared" si="247"/>
        <v>0</v>
      </c>
      <c r="M140" s="1" t="str">
        <f t="shared" si="247"/>
        <v>0</v>
      </c>
      <c r="N140" s="1" t="str">
        <f t="shared" si="247"/>
        <v>0</v>
      </c>
      <c r="O140" s="1" t="str">
        <f t="shared" si="247"/>
        <v>0</v>
      </c>
      <c r="P140" s="1" t="str">
        <f t="shared" si="247"/>
        <v>0</v>
      </c>
      <c r="Q140" s="1" t="str">
        <f t="shared" si="228"/>
        <v>0.0070</v>
      </c>
      <c r="R140" s="1" t="s">
        <v>25</v>
      </c>
      <c r="T140" s="1" t="str">
        <f t="shared" si="229"/>
        <v>0</v>
      </c>
      <c r="U140" s="1" t="str">
        <f t="shared" si="243"/>
        <v>0.0070</v>
      </c>
    </row>
    <row r="141" s="1" customFormat="1" spans="1:21">
      <c r="A141" s="1" t="str">
        <f>"4601991411198"</f>
        <v>4601991411198</v>
      </c>
      <c r="B141" s="1" t="s">
        <v>165</v>
      </c>
      <c r="C141" s="1" t="s">
        <v>24</v>
      </c>
      <c r="D141" s="1" t="str">
        <f t="shared" si="225"/>
        <v>2021</v>
      </c>
      <c r="E141" s="1" t="str">
        <f>"338.45"</f>
        <v>338.45</v>
      </c>
      <c r="F141" s="1" t="str">
        <f t="shared" ref="F141:I141" si="248">"0"</f>
        <v>0</v>
      </c>
      <c r="G141" s="1" t="str">
        <f t="shared" si="248"/>
        <v>0</v>
      </c>
      <c r="H141" s="1" t="str">
        <f t="shared" si="248"/>
        <v>0</v>
      </c>
      <c r="I141" s="1" t="str">
        <f t="shared" si="248"/>
        <v>0</v>
      </c>
      <c r="J141" s="1" t="str">
        <f>"32"</f>
        <v>32</v>
      </c>
      <c r="K141" s="1" t="str">
        <f>"1"</f>
        <v>1</v>
      </c>
      <c r="L141" s="1" t="str">
        <f>"1"</f>
        <v>1</v>
      </c>
      <c r="M141" s="1" t="str">
        <f t="shared" ref="M141:P141" si="249">"0"</f>
        <v>0</v>
      </c>
      <c r="N141" s="1" t="str">
        <f t="shared" si="249"/>
        <v>0</v>
      </c>
      <c r="O141" s="1" t="str">
        <f t="shared" si="249"/>
        <v>0</v>
      </c>
      <c r="P141" s="1" t="str">
        <f t="shared" si="249"/>
        <v>0</v>
      </c>
      <c r="Q141" s="1" t="str">
        <f t="shared" si="228"/>
        <v>0.0070</v>
      </c>
      <c r="R141" s="1" t="s">
        <v>29</v>
      </c>
      <c r="S141" s="1">
        <v>-0.0014</v>
      </c>
      <c r="T141" s="1" t="str">
        <f t="shared" si="229"/>
        <v>0</v>
      </c>
      <c r="U141" s="1" t="str">
        <f t="shared" si="246"/>
        <v>0.0056</v>
      </c>
    </row>
    <row r="142" s="1" customFormat="1" spans="1:21">
      <c r="A142" s="1" t="str">
        <f>"4601991411307"</f>
        <v>4601991411307</v>
      </c>
      <c r="B142" s="1" t="s">
        <v>166</v>
      </c>
      <c r="C142" s="1" t="s">
        <v>24</v>
      </c>
      <c r="D142" s="1" t="str">
        <f t="shared" si="225"/>
        <v>2021</v>
      </c>
      <c r="E142" s="1" t="str">
        <f t="shared" ref="E142:P142" si="250">"0"</f>
        <v>0</v>
      </c>
      <c r="F142" s="1" t="str">
        <f t="shared" si="250"/>
        <v>0</v>
      </c>
      <c r="G142" s="1" t="str">
        <f t="shared" si="250"/>
        <v>0</v>
      </c>
      <c r="H142" s="1" t="str">
        <f t="shared" si="250"/>
        <v>0</v>
      </c>
      <c r="I142" s="1" t="str">
        <f t="shared" si="250"/>
        <v>0</v>
      </c>
      <c r="J142" s="1" t="str">
        <f t="shared" si="250"/>
        <v>0</v>
      </c>
      <c r="K142" s="1" t="str">
        <f t="shared" si="250"/>
        <v>0</v>
      </c>
      <c r="L142" s="1" t="str">
        <f t="shared" si="250"/>
        <v>0</v>
      </c>
      <c r="M142" s="1" t="str">
        <f t="shared" si="250"/>
        <v>0</v>
      </c>
      <c r="N142" s="1" t="str">
        <f t="shared" si="250"/>
        <v>0</v>
      </c>
      <c r="O142" s="1" t="str">
        <f t="shared" si="250"/>
        <v>0</v>
      </c>
      <c r="P142" s="1" t="str">
        <f t="shared" si="250"/>
        <v>0</v>
      </c>
      <c r="Q142" s="1" t="str">
        <f t="shared" si="228"/>
        <v>0.0070</v>
      </c>
      <c r="R142" s="1" t="s">
        <v>25</v>
      </c>
      <c r="T142" s="1" t="str">
        <f t="shared" si="229"/>
        <v>0</v>
      </c>
      <c r="U142" s="1" t="str">
        <f t="shared" si="243"/>
        <v>0.0070</v>
      </c>
    </row>
    <row r="143" s="1" customFormat="1" spans="1:21">
      <c r="A143" s="1" t="str">
        <f>"4601991411321"</f>
        <v>4601991411321</v>
      </c>
      <c r="B143" s="1" t="s">
        <v>167</v>
      </c>
      <c r="C143" s="1" t="s">
        <v>24</v>
      </c>
      <c r="D143" s="1" t="str">
        <f t="shared" si="225"/>
        <v>2021</v>
      </c>
      <c r="E143" s="1" t="str">
        <f>"145.05"</f>
        <v>145.05</v>
      </c>
      <c r="F143" s="1" t="str">
        <f t="shared" ref="F143:I143" si="251">"0"</f>
        <v>0</v>
      </c>
      <c r="G143" s="1" t="str">
        <f t="shared" si="251"/>
        <v>0</v>
      </c>
      <c r="H143" s="1" t="str">
        <f t="shared" si="251"/>
        <v>0</v>
      </c>
      <c r="I143" s="1" t="str">
        <f t="shared" si="251"/>
        <v>0</v>
      </c>
      <c r="J143" s="1" t="str">
        <f>"20"</f>
        <v>20</v>
      </c>
      <c r="K143" s="1" t="str">
        <f t="shared" ref="K143:P143" si="252">"0"</f>
        <v>0</v>
      </c>
      <c r="L143" s="1" t="str">
        <f t="shared" si="252"/>
        <v>0</v>
      </c>
      <c r="M143" s="1" t="str">
        <f t="shared" si="252"/>
        <v>0</v>
      </c>
      <c r="N143" s="1" t="str">
        <f t="shared" si="252"/>
        <v>0</v>
      </c>
      <c r="O143" s="1" t="str">
        <f t="shared" si="252"/>
        <v>0</v>
      </c>
      <c r="P143" s="1" t="str">
        <f t="shared" si="252"/>
        <v>0</v>
      </c>
      <c r="Q143" s="1" t="str">
        <f t="shared" si="228"/>
        <v>0.0070</v>
      </c>
      <c r="R143" s="1" t="s">
        <v>29</v>
      </c>
      <c r="S143" s="1">
        <v>-0.0014</v>
      </c>
      <c r="T143" s="1" t="str">
        <f t="shared" si="229"/>
        <v>0</v>
      </c>
      <c r="U143" s="1" t="str">
        <f t="shared" si="246"/>
        <v>0.0056</v>
      </c>
    </row>
    <row r="144" s="1" customFormat="1" spans="1:21">
      <c r="A144" s="1" t="str">
        <f>"4601991413130"</f>
        <v>4601991413130</v>
      </c>
      <c r="B144" s="1" t="s">
        <v>168</v>
      </c>
      <c r="C144" s="1" t="s">
        <v>24</v>
      </c>
      <c r="D144" s="1" t="str">
        <f t="shared" si="225"/>
        <v>2021</v>
      </c>
      <c r="E144" s="1" t="str">
        <f>"175.85"</f>
        <v>175.85</v>
      </c>
      <c r="F144" s="1" t="str">
        <f>"32239.44"</f>
        <v>32239.44</v>
      </c>
      <c r="G144" s="1" t="str">
        <f t="shared" ref="G144:P144" si="253">"0"</f>
        <v>0</v>
      </c>
      <c r="H144" s="1" t="str">
        <f t="shared" si="253"/>
        <v>0</v>
      </c>
      <c r="I144" s="1" t="str">
        <f>"183.3349"</f>
        <v>183.3349</v>
      </c>
      <c r="J144" s="1" t="str">
        <f>"21"</f>
        <v>21</v>
      </c>
      <c r="K144" s="1" t="str">
        <f t="shared" si="253"/>
        <v>0</v>
      </c>
      <c r="L144" s="1" t="str">
        <f t="shared" si="253"/>
        <v>0</v>
      </c>
      <c r="M144" s="1" t="str">
        <f t="shared" si="253"/>
        <v>0</v>
      </c>
      <c r="N144" s="1" t="str">
        <f t="shared" si="253"/>
        <v>0</v>
      </c>
      <c r="O144" s="1" t="str">
        <f t="shared" si="253"/>
        <v>0</v>
      </c>
      <c r="P144" s="1" t="str">
        <f t="shared" si="253"/>
        <v>0</v>
      </c>
      <c r="Q144" s="1" t="str">
        <f t="shared" si="228"/>
        <v>0.0070</v>
      </c>
      <c r="R144" s="1" t="s">
        <v>69</v>
      </c>
      <c r="S144" s="1" t="str">
        <f>"0.0014"</f>
        <v>0.0014</v>
      </c>
      <c r="T144" s="1" t="str">
        <f t="shared" si="229"/>
        <v>0</v>
      </c>
      <c r="U144" s="1" t="str">
        <f>"0.0084"</f>
        <v>0.0084</v>
      </c>
    </row>
    <row r="145" s="1" customFormat="1" spans="1:21">
      <c r="A145" s="1" t="str">
        <f>"4601991411884"</f>
        <v>4601991411884</v>
      </c>
      <c r="B145" s="1" t="s">
        <v>169</v>
      </c>
      <c r="C145" s="1" t="s">
        <v>24</v>
      </c>
      <c r="D145" s="1" t="str">
        <f t="shared" si="225"/>
        <v>2021</v>
      </c>
      <c r="E145" s="1" t="str">
        <f>"38.68"</f>
        <v>38.68</v>
      </c>
      <c r="F145" s="1" t="str">
        <f t="shared" ref="F145:I145" si="254">"0"</f>
        <v>0</v>
      </c>
      <c r="G145" s="1" t="str">
        <f t="shared" si="254"/>
        <v>0</v>
      </c>
      <c r="H145" s="1" t="str">
        <f t="shared" si="254"/>
        <v>0</v>
      </c>
      <c r="I145" s="1" t="str">
        <f t="shared" si="254"/>
        <v>0</v>
      </c>
      <c r="J145" s="1" t="str">
        <f>"4"</f>
        <v>4</v>
      </c>
      <c r="K145" s="1" t="str">
        <f t="shared" ref="K145:P145" si="255">"0"</f>
        <v>0</v>
      </c>
      <c r="L145" s="1" t="str">
        <f t="shared" si="255"/>
        <v>0</v>
      </c>
      <c r="M145" s="1" t="str">
        <f t="shared" si="255"/>
        <v>0</v>
      </c>
      <c r="N145" s="1" t="str">
        <f t="shared" si="255"/>
        <v>0</v>
      </c>
      <c r="O145" s="1" t="str">
        <f t="shared" si="255"/>
        <v>0</v>
      </c>
      <c r="P145" s="1" t="str">
        <f t="shared" si="255"/>
        <v>0</v>
      </c>
      <c r="Q145" s="1" t="str">
        <f t="shared" si="228"/>
        <v>0.0070</v>
      </c>
      <c r="R145" s="1" t="s">
        <v>29</v>
      </c>
      <c r="S145" s="1">
        <v>-0.0014</v>
      </c>
      <c r="T145" s="1" t="str">
        <f t="shared" si="229"/>
        <v>0</v>
      </c>
      <c r="U145" s="1" t="str">
        <f t="shared" ref="U145:U153" si="256">"0.0056"</f>
        <v>0.0056</v>
      </c>
    </row>
    <row r="146" s="1" customFormat="1" spans="1:21">
      <c r="A146" s="1" t="str">
        <f>"4601991411896"</f>
        <v>4601991411896</v>
      </c>
      <c r="B146" s="1" t="s">
        <v>170</v>
      </c>
      <c r="C146" s="1" t="s">
        <v>24</v>
      </c>
      <c r="D146" s="1" t="str">
        <f t="shared" si="225"/>
        <v>2021</v>
      </c>
      <c r="E146" s="1" t="str">
        <f t="shared" ref="E146:P146" si="257">"0"</f>
        <v>0</v>
      </c>
      <c r="F146" s="1" t="str">
        <f t="shared" si="257"/>
        <v>0</v>
      </c>
      <c r="G146" s="1" t="str">
        <f t="shared" si="257"/>
        <v>0</v>
      </c>
      <c r="H146" s="1" t="str">
        <f t="shared" si="257"/>
        <v>0</v>
      </c>
      <c r="I146" s="1" t="str">
        <f t="shared" si="257"/>
        <v>0</v>
      </c>
      <c r="J146" s="1" t="str">
        <f t="shared" si="257"/>
        <v>0</v>
      </c>
      <c r="K146" s="1" t="str">
        <f t="shared" si="257"/>
        <v>0</v>
      </c>
      <c r="L146" s="1" t="str">
        <f t="shared" si="257"/>
        <v>0</v>
      </c>
      <c r="M146" s="1" t="str">
        <f t="shared" si="257"/>
        <v>0</v>
      </c>
      <c r="N146" s="1" t="str">
        <f t="shared" si="257"/>
        <v>0</v>
      </c>
      <c r="O146" s="1" t="str">
        <f t="shared" si="257"/>
        <v>0</v>
      </c>
      <c r="P146" s="1" t="str">
        <f t="shared" si="257"/>
        <v>0</v>
      </c>
      <c r="Q146" s="1" t="str">
        <f t="shared" si="228"/>
        <v>0.0070</v>
      </c>
      <c r="R146" s="1" t="s">
        <v>25</v>
      </c>
      <c r="T146" s="1" t="str">
        <f t="shared" si="229"/>
        <v>0</v>
      </c>
      <c r="U146" s="1" t="str">
        <f>"0.0070"</f>
        <v>0.0070</v>
      </c>
    </row>
    <row r="147" s="1" customFormat="1" spans="1:21">
      <c r="A147" s="1" t="str">
        <f>"4601991413277"</f>
        <v>4601991413277</v>
      </c>
      <c r="B147" s="1" t="s">
        <v>171</v>
      </c>
      <c r="C147" s="1" t="s">
        <v>24</v>
      </c>
      <c r="D147" s="1" t="str">
        <f t="shared" si="225"/>
        <v>2021</v>
      </c>
      <c r="E147" s="1" t="str">
        <f t="shared" ref="E147:P147" si="258">"0"</f>
        <v>0</v>
      </c>
      <c r="F147" s="1" t="str">
        <f t="shared" si="258"/>
        <v>0</v>
      </c>
      <c r="G147" s="1" t="str">
        <f t="shared" si="258"/>
        <v>0</v>
      </c>
      <c r="H147" s="1" t="str">
        <f t="shared" si="258"/>
        <v>0</v>
      </c>
      <c r="I147" s="1" t="str">
        <f t="shared" si="258"/>
        <v>0</v>
      </c>
      <c r="J147" s="1" t="str">
        <f t="shared" si="258"/>
        <v>0</v>
      </c>
      <c r="K147" s="1" t="str">
        <f t="shared" si="258"/>
        <v>0</v>
      </c>
      <c r="L147" s="1" t="str">
        <f t="shared" si="258"/>
        <v>0</v>
      </c>
      <c r="M147" s="1" t="str">
        <f t="shared" si="258"/>
        <v>0</v>
      </c>
      <c r="N147" s="1" t="str">
        <f t="shared" si="258"/>
        <v>0</v>
      </c>
      <c r="O147" s="1" t="str">
        <f t="shared" si="258"/>
        <v>0</v>
      </c>
      <c r="P147" s="1" t="str">
        <f t="shared" si="258"/>
        <v>0</v>
      </c>
      <c r="Q147" s="1" t="str">
        <f t="shared" si="228"/>
        <v>0.0070</v>
      </c>
      <c r="R147" s="1" t="s">
        <v>25</v>
      </c>
      <c r="T147" s="1" t="str">
        <f t="shared" si="229"/>
        <v>0</v>
      </c>
      <c r="U147" s="1" t="str">
        <f>"0.0070"</f>
        <v>0.0070</v>
      </c>
    </row>
    <row r="148" s="1" customFormat="1" spans="1:21">
      <c r="A148" s="1" t="str">
        <f>"4601991413234"</f>
        <v>4601991413234</v>
      </c>
      <c r="B148" s="1" t="s">
        <v>172</v>
      </c>
      <c r="C148" s="1" t="s">
        <v>24</v>
      </c>
      <c r="D148" s="1" t="str">
        <f t="shared" si="225"/>
        <v>2021</v>
      </c>
      <c r="E148" s="1" t="str">
        <f>"19.34"</f>
        <v>19.34</v>
      </c>
      <c r="F148" s="1" t="str">
        <f t="shared" ref="F148:I148" si="259">"0"</f>
        <v>0</v>
      </c>
      <c r="G148" s="1" t="str">
        <f t="shared" si="259"/>
        <v>0</v>
      </c>
      <c r="H148" s="1" t="str">
        <f t="shared" si="259"/>
        <v>0</v>
      </c>
      <c r="I148" s="1" t="str">
        <f t="shared" si="259"/>
        <v>0</v>
      </c>
      <c r="J148" s="1" t="str">
        <f>"2"</f>
        <v>2</v>
      </c>
      <c r="K148" s="1" t="str">
        <f t="shared" ref="K148:P148" si="260">"0"</f>
        <v>0</v>
      </c>
      <c r="L148" s="1" t="str">
        <f t="shared" si="260"/>
        <v>0</v>
      </c>
      <c r="M148" s="1" t="str">
        <f t="shared" si="260"/>
        <v>0</v>
      </c>
      <c r="N148" s="1" t="str">
        <f t="shared" si="260"/>
        <v>0</v>
      </c>
      <c r="O148" s="1" t="str">
        <f t="shared" si="260"/>
        <v>0</v>
      </c>
      <c r="P148" s="1" t="str">
        <f t="shared" si="260"/>
        <v>0</v>
      </c>
      <c r="Q148" s="1" t="str">
        <f t="shared" si="228"/>
        <v>0.0070</v>
      </c>
      <c r="R148" s="1" t="s">
        <v>29</v>
      </c>
      <c r="S148" s="1">
        <v>-0.0014</v>
      </c>
      <c r="T148" s="1" t="str">
        <f t="shared" si="229"/>
        <v>0</v>
      </c>
      <c r="U148" s="1" t="str">
        <f t="shared" si="256"/>
        <v>0.0056</v>
      </c>
    </row>
    <row r="149" s="1" customFormat="1" spans="1:21">
      <c r="A149" s="1" t="str">
        <f>"4601991411965"</f>
        <v>4601991411965</v>
      </c>
      <c r="B149" s="1" t="s">
        <v>173</v>
      </c>
      <c r="C149" s="1" t="s">
        <v>24</v>
      </c>
      <c r="D149" s="1" t="str">
        <f t="shared" si="225"/>
        <v>2021</v>
      </c>
      <c r="E149" s="1" t="str">
        <f>"58.02"</f>
        <v>58.02</v>
      </c>
      <c r="F149" s="1" t="str">
        <f t="shared" ref="F149:I149" si="261">"0"</f>
        <v>0</v>
      </c>
      <c r="G149" s="1" t="str">
        <f t="shared" si="261"/>
        <v>0</v>
      </c>
      <c r="H149" s="1" t="str">
        <f t="shared" si="261"/>
        <v>0</v>
      </c>
      <c r="I149" s="1" t="str">
        <f t="shared" si="261"/>
        <v>0</v>
      </c>
      <c r="J149" s="1" t="str">
        <f>"5"</f>
        <v>5</v>
      </c>
      <c r="K149" s="1" t="str">
        <f t="shared" ref="K149:P149" si="262">"0"</f>
        <v>0</v>
      </c>
      <c r="L149" s="1" t="str">
        <f t="shared" si="262"/>
        <v>0</v>
      </c>
      <c r="M149" s="1" t="str">
        <f t="shared" si="262"/>
        <v>0</v>
      </c>
      <c r="N149" s="1" t="str">
        <f t="shared" si="262"/>
        <v>0</v>
      </c>
      <c r="O149" s="1" t="str">
        <f t="shared" si="262"/>
        <v>0</v>
      </c>
      <c r="P149" s="1" t="str">
        <f t="shared" si="262"/>
        <v>0</v>
      </c>
      <c r="Q149" s="1" t="str">
        <f t="shared" si="228"/>
        <v>0.0070</v>
      </c>
      <c r="R149" s="1" t="s">
        <v>29</v>
      </c>
      <c r="S149" s="1">
        <v>-0.0014</v>
      </c>
      <c r="T149" s="1" t="str">
        <f t="shared" si="229"/>
        <v>0</v>
      </c>
      <c r="U149" s="1" t="str">
        <f t="shared" si="256"/>
        <v>0.0056</v>
      </c>
    </row>
    <row r="150" s="1" customFormat="1" spans="1:21">
      <c r="A150" s="1" t="str">
        <f>"4601991413276"</f>
        <v>4601991413276</v>
      </c>
      <c r="B150" s="1" t="s">
        <v>174</v>
      </c>
      <c r="C150" s="1" t="s">
        <v>24</v>
      </c>
      <c r="D150" s="1" t="str">
        <f t="shared" si="225"/>
        <v>2021</v>
      </c>
      <c r="E150" s="1" t="str">
        <f>"134.12"</f>
        <v>134.12</v>
      </c>
      <c r="F150" s="1" t="str">
        <f t="shared" ref="F150:I150" si="263">"0"</f>
        <v>0</v>
      </c>
      <c r="G150" s="1" t="str">
        <f t="shared" si="263"/>
        <v>0</v>
      </c>
      <c r="H150" s="1" t="str">
        <f t="shared" si="263"/>
        <v>0</v>
      </c>
      <c r="I150" s="1" t="str">
        <f t="shared" si="263"/>
        <v>0</v>
      </c>
      <c r="J150" s="1" t="str">
        <f>"6"</f>
        <v>6</v>
      </c>
      <c r="K150" s="1" t="str">
        <f t="shared" ref="K150:P150" si="264">"0"</f>
        <v>0</v>
      </c>
      <c r="L150" s="1" t="str">
        <f t="shared" si="264"/>
        <v>0</v>
      </c>
      <c r="M150" s="1" t="str">
        <f t="shared" si="264"/>
        <v>0</v>
      </c>
      <c r="N150" s="1" t="str">
        <f t="shared" si="264"/>
        <v>0</v>
      </c>
      <c r="O150" s="1" t="str">
        <f t="shared" si="264"/>
        <v>0</v>
      </c>
      <c r="P150" s="1" t="str">
        <f t="shared" si="264"/>
        <v>0</v>
      </c>
      <c r="Q150" s="1" t="str">
        <f t="shared" si="228"/>
        <v>0.0070</v>
      </c>
      <c r="R150" s="1" t="s">
        <v>29</v>
      </c>
      <c r="S150" s="1">
        <v>-0.0014</v>
      </c>
      <c r="T150" s="1" t="str">
        <f t="shared" si="229"/>
        <v>0</v>
      </c>
      <c r="U150" s="1" t="str">
        <f t="shared" si="256"/>
        <v>0.0056</v>
      </c>
    </row>
    <row r="151" s="1" customFormat="1" spans="1:21">
      <c r="A151" s="1" t="str">
        <f>"4601991413352"</f>
        <v>4601991413352</v>
      </c>
      <c r="B151" s="1" t="s">
        <v>175</v>
      </c>
      <c r="C151" s="1" t="s">
        <v>24</v>
      </c>
      <c r="D151" s="1" t="str">
        <f t="shared" si="225"/>
        <v>2021</v>
      </c>
      <c r="E151" s="1" t="str">
        <f>"19.34"</f>
        <v>19.34</v>
      </c>
      <c r="F151" s="1" t="str">
        <f t="shared" ref="F151:I151" si="265">"0"</f>
        <v>0</v>
      </c>
      <c r="G151" s="1" t="str">
        <f t="shared" si="265"/>
        <v>0</v>
      </c>
      <c r="H151" s="1" t="str">
        <f t="shared" si="265"/>
        <v>0</v>
      </c>
      <c r="I151" s="1" t="str">
        <f t="shared" si="265"/>
        <v>0</v>
      </c>
      <c r="J151" s="1" t="str">
        <f>"2"</f>
        <v>2</v>
      </c>
      <c r="K151" s="1" t="str">
        <f t="shared" ref="K151:P151" si="266">"0"</f>
        <v>0</v>
      </c>
      <c r="L151" s="1" t="str">
        <f t="shared" si="266"/>
        <v>0</v>
      </c>
      <c r="M151" s="1" t="str">
        <f t="shared" si="266"/>
        <v>0</v>
      </c>
      <c r="N151" s="1" t="str">
        <f t="shared" si="266"/>
        <v>0</v>
      </c>
      <c r="O151" s="1" t="str">
        <f t="shared" si="266"/>
        <v>0</v>
      </c>
      <c r="P151" s="1" t="str">
        <f t="shared" si="266"/>
        <v>0</v>
      </c>
      <c r="Q151" s="1" t="str">
        <f t="shared" si="228"/>
        <v>0.0070</v>
      </c>
      <c r="R151" s="1" t="s">
        <v>29</v>
      </c>
      <c r="S151" s="1">
        <v>-0.0014</v>
      </c>
      <c r="T151" s="1" t="str">
        <f t="shared" si="229"/>
        <v>0</v>
      </c>
      <c r="U151" s="1" t="str">
        <f t="shared" si="256"/>
        <v>0.0056</v>
      </c>
    </row>
    <row r="152" s="1" customFormat="1" spans="1:21">
      <c r="A152" s="1" t="str">
        <f>"4601991411979"</f>
        <v>4601991411979</v>
      </c>
      <c r="B152" s="1" t="s">
        <v>176</v>
      </c>
      <c r="C152" s="1" t="s">
        <v>24</v>
      </c>
      <c r="D152" s="1" t="str">
        <f t="shared" si="225"/>
        <v>2021</v>
      </c>
      <c r="E152" s="1" t="str">
        <f>"86.44"</f>
        <v>86.44</v>
      </c>
      <c r="F152" s="1" t="str">
        <f t="shared" ref="F152:I152" si="267">"0"</f>
        <v>0</v>
      </c>
      <c r="G152" s="1" t="str">
        <f t="shared" si="267"/>
        <v>0</v>
      </c>
      <c r="H152" s="1" t="str">
        <f t="shared" si="267"/>
        <v>0</v>
      </c>
      <c r="I152" s="1" t="str">
        <f t="shared" si="267"/>
        <v>0</v>
      </c>
      <c r="J152" s="1" t="str">
        <f>"8"</f>
        <v>8</v>
      </c>
      <c r="K152" s="1" t="str">
        <f t="shared" ref="K152:P152" si="268">"0"</f>
        <v>0</v>
      </c>
      <c r="L152" s="1" t="str">
        <f t="shared" si="268"/>
        <v>0</v>
      </c>
      <c r="M152" s="1" t="str">
        <f t="shared" si="268"/>
        <v>0</v>
      </c>
      <c r="N152" s="1" t="str">
        <f t="shared" si="268"/>
        <v>0</v>
      </c>
      <c r="O152" s="1" t="str">
        <f t="shared" si="268"/>
        <v>0</v>
      </c>
      <c r="P152" s="1" t="str">
        <f t="shared" si="268"/>
        <v>0</v>
      </c>
      <c r="Q152" s="1" t="str">
        <f t="shared" si="228"/>
        <v>0.0070</v>
      </c>
      <c r="R152" s="1" t="s">
        <v>29</v>
      </c>
      <c r="S152" s="1">
        <v>-0.0014</v>
      </c>
      <c r="T152" s="1" t="str">
        <f t="shared" si="229"/>
        <v>0</v>
      </c>
      <c r="U152" s="1" t="str">
        <f t="shared" si="256"/>
        <v>0.0056</v>
      </c>
    </row>
    <row r="153" s="1" customFormat="1" spans="1:21">
      <c r="A153" s="1" t="str">
        <f>"4601991412586"</f>
        <v>4601991412586</v>
      </c>
      <c r="B153" s="1" t="s">
        <v>177</v>
      </c>
      <c r="C153" s="1" t="s">
        <v>24</v>
      </c>
      <c r="D153" s="1" t="str">
        <f t="shared" si="225"/>
        <v>2021</v>
      </c>
      <c r="E153" s="1" t="str">
        <f>"67.69"</f>
        <v>67.69</v>
      </c>
      <c r="F153" s="1" t="str">
        <f t="shared" ref="F153:I153" si="269">"0"</f>
        <v>0</v>
      </c>
      <c r="G153" s="1" t="str">
        <f t="shared" si="269"/>
        <v>0</v>
      </c>
      <c r="H153" s="1" t="str">
        <f t="shared" si="269"/>
        <v>0</v>
      </c>
      <c r="I153" s="1" t="str">
        <f t="shared" si="269"/>
        <v>0</v>
      </c>
      <c r="J153" s="1" t="str">
        <f>"9"</f>
        <v>9</v>
      </c>
      <c r="K153" s="1" t="str">
        <f t="shared" ref="K153:P153" si="270">"0"</f>
        <v>0</v>
      </c>
      <c r="L153" s="1" t="str">
        <f t="shared" si="270"/>
        <v>0</v>
      </c>
      <c r="M153" s="1" t="str">
        <f t="shared" si="270"/>
        <v>0</v>
      </c>
      <c r="N153" s="1" t="str">
        <f t="shared" si="270"/>
        <v>0</v>
      </c>
      <c r="O153" s="1" t="str">
        <f t="shared" si="270"/>
        <v>0</v>
      </c>
      <c r="P153" s="1" t="str">
        <f t="shared" si="270"/>
        <v>0</v>
      </c>
      <c r="Q153" s="1" t="str">
        <f t="shared" si="228"/>
        <v>0.0070</v>
      </c>
      <c r="R153" s="1" t="s">
        <v>29</v>
      </c>
      <c r="S153" s="1">
        <v>-0.0014</v>
      </c>
      <c r="T153" s="1" t="str">
        <f t="shared" si="229"/>
        <v>0</v>
      </c>
      <c r="U153" s="1" t="str">
        <f t="shared" si="256"/>
        <v>0.0056</v>
      </c>
    </row>
    <row r="154" s="1" customFormat="1" spans="1:21">
      <c r="A154" s="1" t="str">
        <f>"4601991419018"</f>
        <v>4601991419018</v>
      </c>
      <c r="B154" s="1" t="s">
        <v>178</v>
      </c>
      <c r="C154" s="1" t="s">
        <v>24</v>
      </c>
      <c r="D154" s="1" t="str">
        <f t="shared" si="225"/>
        <v>2021</v>
      </c>
      <c r="E154" s="1" t="str">
        <f t="shared" ref="E154:P154" si="271">"0"</f>
        <v>0</v>
      </c>
      <c r="F154" s="1" t="str">
        <f t="shared" si="271"/>
        <v>0</v>
      </c>
      <c r="G154" s="1" t="str">
        <f t="shared" si="271"/>
        <v>0</v>
      </c>
      <c r="H154" s="1" t="str">
        <f t="shared" si="271"/>
        <v>0</v>
      </c>
      <c r="I154" s="1" t="str">
        <f t="shared" si="271"/>
        <v>0</v>
      </c>
      <c r="J154" s="1" t="str">
        <f t="shared" si="271"/>
        <v>0</v>
      </c>
      <c r="K154" s="1" t="str">
        <f t="shared" si="271"/>
        <v>0</v>
      </c>
      <c r="L154" s="1" t="str">
        <f t="shared" si="271"/>
        <v>0</v>
      </c>
      <c r="M154" s="1" t="str">
        <f t="shared" si="271"/>
        <v>0</v>
      </c>
      <c r="N154" s="1" t="str">
        <f t="shared" si="271"/>
        <v>0</v>
      </c>
      <c r="O154" s="1" t="str">
        <f t="shared" si="271"/>
        <v>0</v>
      </c>
      <c r="P154" s="1" t="str">
        <f t="shared" si="271"/>
        <v>0</v>
      </c>
      <c r="Q154" s="1" t="str">
        <f t="shared" si="228"/>
        <v>0.0070</v>
      </c>
      <c r="R154" s="1" t="s">
        <v>25</v>
      </c>
      <c r="T154" s="1" t="str">
        <f t="shared" si="229"/>
        <v>0</v>
      </c>
      <c r="U154" s="1" t="str">
        <f t="shared" ref="U154:U158" si="272">"0.0070"</f>
        <v>0.0070</v>
      </c>
    </row>
    <row r="155" s="1" customFormat="1" spans="1:21">
      <c r="A155" s="1" t="str">
        <f>"4601991418988"</f>
        <v>4601991418988</v>
      </c>
      <c r="B155" s="1" t="s">
        <v>179</v>
      </c>
      <c r="C155" s="1" t="s">
        <v>24</v>
      </c>
      <c r="D155" s="1" t="str">
        <f t="shared" si="225"/>
        <v>2021</v>
      </c>
      <c r="E155" s="1" t="str">
        <f t="shared" ref="E155:P155" si="273">"0"</f>
        <v>0</v>
      </c>
      <c r="F155" s="1" t="str">
        <f t="shared" si="273"/>
        <v>0</v>
      </c>
      <c r="G155" s="1" t="str">
        <f t="shared" si="273"/>
        <v>0</v>
      </c>
      <c r="H155" s="1" t="str">
        <f t="shared" si="273"/>
        <v>0</v>
      </c>
      <c r="I155" s="1" t="str">
        <f t="shared" si="273"/>
        <v>0</v>
      </c>
      <c r="J155" s="1" t="str">
        <f t="shared" si="273"/>
        <v>0</v>
      </c>
      <c r="K155" s="1" t="str">
        <f t="shared" si="273"/>
        <v>0</v>
      </c>
      <c r="L155" s="1" t="str">
        <f t="shared" si="273"/>
        <v>0</v>
      </c>
      <c r="M155" s="1" t="str">
        <f t="shared" si="273"/>
        <v>0</v>
      </c>
      <c r="N155" s="1" t="str">
        <f t="shared" si="273"/>
        <v>0</v>
      </c>
      <c r="O155" s="1" t="str">
        <f t="shared" si="273"/>
        <v>0</v>
      </c>
      <c r="P155" s="1" t="str">
        <f t="shared" si="273"/>
        <v>0</v>
      </c>
      <c r="Q155" s="1" t="str">
        <f t="shared" si="228"/>
        <v>0.0070</v>
      </c>
      <c r="R155" s="1" t="s">
        <v>25</v>
      </c>
      <c r="T155" s="1" t="str">
        <f t="shared" si="229"/>
        <v>0</v>
      </c>
      <c r="U155" s="1" t="str">
        <f t="shared" si="272"/>
        <v>0.0070</v>
      </c>
    </row>
    <row r="156" s="1" customFormat="1" spans="1:21">
      <c r="A156" s="1" t="str">
        <f>"4601991412677"</f>
        <v>4601991412677</v>
      </c>
      <c r="B156" s="1" t="s">
        <v>180</v>
      </c>
      <c r="C156" s="1" t="s">
        <v>24</v>
      </c>
      <c r="D156" s="1" t="str">
        <f t="shared" si="225"/>
        <v>2021</v>
      </c>
      <c r="E156" s="1" t="str">
        <f>"29.14"</f>
        <v>29.14</v>
      </c>
      <c r="F156" s="1" t="str">
        <f t="shared" ref="F156:I156" si="274">"0"</f>
        <v>0</v>
      </c>
      <c r="G156" s="1" t="str">
        <f t="shared" si="274"/>
        <v>0</v>
      </c>
      <c r="H156" s="1" t="str">
        <f t="shared" si="274"/>
        <v>0</v>
      </c>
      <c r="I156" s="1" t="str">
        <f t="shared" si="274"/>
        <v>0</v>
      </c>
      <c r="J156" s="1" t="str">
        <f>"3"</f>
        <v>3</v>
      </c>
      <c r="K156" s="1" t="str">
        <f t="shared" ref="K156:P156" si="275">"0"</f>
        <v>0</v>
      </c>
      <c r="L156" s="1" t="str">
        <f t="shared" si="275"/>
        <v>0</v>
      </c>
      <c r="M156" s="1" t="str">
        <f t="shared" si="275"/>
        <v>0</v>
      </c>
      <c r="N156" s="1" t="str">
        <f t="shared" si="275"/>
        <v>0</v>
      </c>
      <c r="O156" s="1" t="str">
        <f t="shared" si="275"/>
        <v>0</v>
      </c>
      <c r="P156" s="1" t="str">
        <f t="shared" si="275"/>
        <v>0</v>
      </c>
      <c r="Q156" s="1" t="str">
        <f t="shared" si="228"/>
        <v>0.0070</v>
      </c>
      <c r="R156" s="1" t="s">
        <v>29</v>
      </c>
      <c r="S156" s="1">
        <v>-0.0014</v>
      </c>
      <c r="T156" s="1" t="str">
        <f t="shared" si="229"/>
        <v>0</v>
      </c>
      <c r="U156" s="1" t="str">
        <f t="shared" ref="U156:U162" si="276">"0.0056"</f>
        <v>0.0056</v>
      </c>
    </row>
    <row r="157" s="1" customFormat="1" spans="1:21">
      <c r="A157" s="1" t="str">
        <f>"4601991419037"</f>
        <v>4601991419037</v>
      </c>
      <c r="B157" s="1" t="s">
        <v>181</v>
      </c>
      <c r="C157" s="1" t="s">
        <v>24</v>
      </c>
      <c r="D157" s="1" t="str">
        <f t="shared" si="225"/>
        <v>2021</v>
      </c>
      <c r="E157" s="1" t="str">
        <f t="shared" ref="E157:P157" si="277">"0"</f>
        <v>0</v>
      </c>
      <c r="F157" s="1" t="str">
        <f t="shared" si="277"/>
        <v>0</v>
      </c>
      <c r="G157" s="1" t="str">
        <f t="shared" si="277"/>
        <v>0</v>
      </c>
      <c r="H157" s="1" t="str">
        <f t="shared" si="277"/>
        <v>0</v>
      </c>
      <c r="I157" s="1" t="str">
        <f t="shared" si="277"/>
        <v>0</v>
      </c>
      <c r="J157" s="1" t="str">
        <f t="shared" si="277"/>
        <v>0</v>
      </c>
      <c r="K157" s="1" t="str">
        <f t="shared" si="277"/>
        <v>0</v>
      </c>
      <c r="L157" s="1" t="str">
        <f t="shared" si="277"/>
        <v>0</v>
      </c>
      <c r="M157" s="1" t="str">
        <f t="shared" si="277"/>
        <v>0</v>
      </c>
      <c r="N157" s="1" t="str">
        <f t="shared" si="277"/>
        <v>0</v>
      </c>
      <c r="O157" s="1" t="str">
        <f t="shared" si="277"/>
        <v>0</v>
      </c>
      <c r="P157" s="1" t="str">
        <f t="shared" si="277"/>
        <v>0</v>
      </c>
      <c r="Q157" s="1" t="str">
        <f t="shared" si="228"/>
        <v>0.0070</v>
      </c>
      <c r="R157" s="1" t="s">
        <v>25</v>
      </c>
      <c r="T157" s="1" t="str">
        <f t="shared" si="229"/>
        <v>0</v>
      </c>
      <c r="U157" s="1" t="str">
        <f t="shared" si="272"/>
        <v>0.0070</v>
      </c>
    </row>
    <row r="158" s="1" customFormat="1" spans="1:21">
      <c r="A158" s="1" t="str">
        <f>"4601991420263"</f>
        <v>4601991420263</v>
      </c>
      <c r="B158" s="1" t="s">
        <v>182</v>
      </c>
      <c r="C158" s="1" t="s">
        <v>24</v>
      </c>
      <c r="D158" s="1" t="str">
        <f t="shared" si="225"/>
        <v>2021</v>
      </c>
      <c r="E158" s="1" t="str">
        <f t="shared" ref="E158:P158" si="278">"0"</f>
        <v>0</v>
      </c>
      <c r="F158" s="1" t="str">
        <f t="shared" si="278"/>
        <v>0</v>
      </c>
      <c r="G158" s="1" t="str">
        <f t="shared" si="278"/>
        <v>0</v>
      </c>
      <c r="H158" s="1" t="str">
        <f t="shared" si="278"/>
        <v>0</v>
      </c>
      <c r="I158" s="1" t="str">
        <f t="shared" si="278"/>
        <v>0</v>
      </c>
      <c r="J158" s="1" t="str">
        <f t="shared" si="278"/>
        <v>0</v>
      </c>
      <c r="K158" s="1" t="str">
        <f t="shared" si="278"/>
        <v>0</v>
      </c>
      <c r="L158" s="1" t="str">
        <f t="shared" si="278"/>
        <v>0</v>
      </c>
      <c r="M158" s="1" t="str">
        <f t="shared" si="278"/>
        <v>0</v>
      </c>
      <c r="N158" s="1" t="str">
        <f t="shared" si="278"/>
        <v>0</v>
      </c>
      <c r="O158" s="1" t="str">
        <f t="shared" si="278"/>
        <v>0</v>
      </c>
      <c r="P158" s="1" t="str">
        <f t="shared" si="278"/>
        <v>0</v>
      </c>
      <c r="Q158" s="1" t="str">
        <f t="shared" si="228"/>
        <v>0.0070</v>
      </c>
      <c r="R158" s="1" t="s">
        <v>25</v>
      </c>
      <c r="T158" s="1" t="str">
        <f t="shared" si="229"/>
        <v>0</v>
      </c>
      <c r="U158" s="1" t="str">
        <f t="shared" si="272"/>
        <v>0.0070</v>
      </c>
    </row>
    <row r="159" s="1" customFormat="1" spans="1:21">
      <c r="A159" s="1" t="str">
        <f>"4601991420227"</f>
        <v>4601991420227</v>
      </c>
      <c r="B159" s="1" t="s">
        <v>183</v>
      </c>
      <c r="C159" s="1" t="s">
        <v>24</v>
      </c>
      <c r="D159" s="1" t="str">
        <f t="shared" si="225"/>
        <v>2021</v>
      </c>
      <c r="E159" s="1" t="str">
        <f>"199.23"</f>
        <v>199.23</v>
      </c>
      <c r="F159" s="1" t="str">
        <f t="shared" ref="F159:I159" si="279">"0"</f>
        <v>0</v>
      </c>
      <c r="G159" s="1" t="str">
        <f t="shared" si="279"/>
        <v>0</v>
      </c>
      <c r="H159" s="1" t="str">
        <f t="shared" si="279"/>
        <v>0</v>
      </c>
      <c r="I159" s="1" t="str">
        <f t="shared" si="279"/>
        <v>0</v>
      </c>
      <c r="J159" s="1" t="str">
        <f>"9"</f>
        <v>9</v>
      </c>
      <c r="K159" s="1" t="str">
        <f t="shared" ref="K159:P159" si="280">"0"</f>
        <v>0</v>
      </c>
      <c r="L159" s="1" t="str">
        <f t="shared" si="280"/>
        <v>0</v>
      </c>
      <c r="M159" s="1" t="str">
        <f t="shared" si="280"/>
        <v>0</v>
      </c>
      <c r="N159" s="1" t="str">
        <f t="shared" si="280"/>
        <v>0</v>
      </c>
      <c r="O159" s="1" t="str">
        <f t="shared" si="280"/>
        <v>0</v>
      </c>
      <c r="P159" s="1" t="str">
        <f t="shared" si="280"/>
        <v>0</v>
      </c>
      <c r="Q159" s="1" t="str">
        <f t="shared" si="228"/>
        <v>0.0070</v>
      </c>
      <c r="R159" s="1" t="s">
        <v>29</v>
      </c>
      <c r="S159" s="1">
        <v>-0.0014</v>
      </c>
      <c r="T159" s="1" t="str">
        <f t="shared" si="229"/>
        <v>0</v>
      </c>
      <c r="U159" s="1" t="str">
        <f t="shared" si="276"/>
        <v>0.0056</v>
      </c>
    </row>
    <row r="160" s="1" customFormat="1" spans="1:21">
      <c r="A160" s="1" t="str">
        <f>"4601991420332"</f>
        <v>4601991420332</v>
      </c>
      <c r="B160" s="1" t="s">
        <v>184</v>
      </c>
      <c r="C160" s="1" t="s">
        <v>24</v>
      </c>
      <c r="D160" s="1" t="str">
        <f t="shared" si="225"/>
        <v>2021</v>
      </c>
      <c r="E160" s="1" t="str">
        <f t="shared" ref="E160:P160" si="281">"0"</f>
        <v>0</v>
      </c>
      <c r="F160" s="1" t="str">
        <f t="shared" si="281"/>
        <v>0</v>
      </c>
      <c r="G160" s="1" t="str">
        <f t="shared" si="281"/>
        <v>0</v>
      </c>
      <c r="H160" s="1" t="str">
        <f t="shared" si="281"/>
        <v>0</v>
      </c>
      <c r="I160" s="1" t="str">
        <f t="shared" si="281"/>
        <v>0</v>
      </c>
      <c r="J160" s="1" t="str">
        <f t="shared" si="281"/>
        <v>0</v>
      </c>
      <c r="K160" s="1" t="str">
        <f t="shared" si="281"/>
        <v>0</v>
      </c>
      <c r="L160" s="1" t="str">
        <f t="shared" si="281"/>
        <v>0</v>
      </c>
      <c r="M160" s="1" t="str">
        <f t="shared" si="281"/>
        <v>0</v>
      </c>
      <c r="N160" s="1" t="str">
        <f t="shared" si="281"/>
        <v>0</v>
      </c>
      <c r="O160" s="1" t="str">
        <f t="shared" si="281"/>
        <v>0</v>
      </c>
      <c r="P160" s="1" t="str">
        <f t="shared" si="281"/>
        <v>0</v>
      </c>
      <c r="Q160" s="1" t="str">
        <f t="shared" si="228"/>
        <v>0.0070</v>
      </c>
      <c r="R160" s="1" t="s">
        <v>25</v>
      </c>
      <c r="T160" s="1" t="str">
        <f t="shared" si="229"/>
        <v>0</v>
      </c>
      <c r="U160" s="1" t="str">
        <f>"0.0070"</f>
        <v>0.0070</v>
      </c>
    </row>
    <row r="161" s="1" customFormat="1" spans="1:21">
      <c r="A161" s="1" t="str">
        <f>"4601991420338"</f>
        <v>4601991420338</v>
      </c>
      <c r="B161" s="1" t="s">
        <v>185</v>
      </c>
      <c r="C161" s="1" t="s">
        <v>24</v>
      </c>
      <c r="D161" s="1" t="str">
        <f t="shared" si="225"/>
        <v>2021</v>
      </c>
      <c r="E161" s="1" t="str">
        <f>"19.34"</f>
        <v>19.34</v>
      </c>
      <c r="F161" s="1" t="str">
        <f t="shared" ref="F161:I161" si="282">"0"</f>
        <v>0</v>
      </c>
      <c r="G161" s="1" t="str">
        <f t="shared" si="282"/>
        <v>0</v>
      </c>
      <c r="H161" s="1" t="str">
        <f t="shared" si="282"/>
        <v>0</v>
      </c>
      <c r="I161" s="1" t="str">
        <f t="shared" si="282"/>
        <v>0</v>
      </c>
      <c r="J161" s="1" t="str">
        <f>"3"</f>
        <v>3</v>
      </c>
      <c r="K161" s="1" t="str">
        <f t="shared" ref="K161:P161" si="283">"0"</f>
        <v>0</v>
      </c>
      <c r="L161" s="1" t="str">
        <f t="shared" si="283"/>
        <v>0</v>
      </c>
      <c r="M161" s="1" t="str">
        <f t="shared" si="283"/>
        <v>0</v>
      </c>
      <c r="N161" s="1" t="str">
        <f t="shared" si="283"/>
        <v>0</v>
      </c>
      <c r="O161" s="1" t="str">
        <f t="shared" si="283"/>
        <v>0</v>
      </c>
      <c r="P161" s="1" t="str">
        <f t="shared" si="283"/>
        <v>0</v>
      </c>
      <c r="Q161" s="1" t="str">
        <f t="shared" si="228"/>
        <v>0.0070</v>
      </c>
      <c r="R161" s="1" t="s">
        <v>29</v>
      </c>
      <c r="S161" s="1">
        <v>-0.0014</v>
      </c>
      <c r="T161" s="1" t="str">
        <f t="shared" si="229"/>
        <v>0</v>
      </c>
      <c r="U161" s="1" t="str">
        <f t="shared" si="276"/>
        <v>0.0056</v>
      </c>
    </row>
    <row r="162" s="1" customFormat="1" spans="1:21">
      <c r="A162" s="1" t="str">
        <f>"4601991411459"</f>
        <v>4601991411459</v>
      </c>
      <c r="B162" s="1" t="s">
        <v>186</v>
      </c>
      <c r="C162" s="1" t="s">
        <v>24</v>
      </c>
      <c r="D162" s="1" t="str">
        <f t="shared" si="225"/>
        <v>2021</v>
      </c>
      <c r="E162" s="1" t="str">
        <f>"2006.82"</f>
        <v>2006.82</v>
      </c>
      <c r="F162" s="1" t="str">
        <f t="shared" ref="F162:I162" si="284">"0"</f>
        <v>0</v>
      </c>
      <c r="G162" s="1" t="str">
        <f t="shared" si="284"/>
        <v>0</v>
      </c>
      <c r="H162" s="1" t="str">
        <f t="shared" si="284"/>
        <v>0</v>
      </c>
      <c r="I162" s="1" t="str">
        <f t="shared" si="284"/>
        <v>0</v>
      </c>
      <c r="J162" s="1" t="str">
        <f>"172"</f>
        <v>172</v>
      </c>
      <c r="K162" s="1" t="str">
        <f t="shared" ref="K162:P162" si="285">"0"</f>
        <v>0</v>
      </c>
      <c r="L162" s="1" t="str">
        <f t="shared" si="285"/>
        <v>0</v>
      </c>
      <c r="M162" s="1" t="str">
        <f t="shared" si="285"/>
        <v>0</v>
      </c>
      <c r="N162" s="1" t="str">
        <f t="shared" si="285"/>
        <v>0</v>
      </c>
      <c r="O162" s="1" t="str">
        <f t="shared" si="285"/>
        <v>0</v>
      </c>
      <c r="P162" s="1" t="str">
        <f t="shared" si="285"/>
        <v>0</v>
      </c>
      <c r="Q162" s="1" t="str">
        <f t="shared" si="228"/>
        <v>0.0070</v>
      </c>
      <c r="R162" s="1" t="s">
        <v>29</v>
      </c>
      <c r="S162" s="1">
        <v>-0.0014</v>
      </c>
      <c r="T162" s="1" t="str">
        <f t="shared" si="229"/>
        <v>0</v>
      </c>
      <c r="U162" s="1" t="str">
        <f t="shared" si="276"/>
        <v>0.0056</v>
      </c>
    </row>
    <row r="163" s="1" customFormat="1" spans="1:21">
      <c r="A163" s="1" t="str">
        <f>"4601991419079"</f>
        <v>4601991419079</v>
      </c>
      <c r="B163" s="1" t="s">
        <v>187</v>
      </c>
      <c r="C163" s="1" t="s">
        <v>24</v>
      </c>
      <c r="D163" s="1" t="str">
        <f t="shared" si="225"/>
        <v>2021</v>
      </c>
      <c r="E163" s="1" t="str">
        <f>"39.06"</f>
        <v>39.06</v>
      </c>
      <c r="F163" s="1" t="str">
        <f>"500.00"</f>
        <v>500.00</v>
      </c>
      <c r="G163" s="1" t="str">
        <f t="shared" ref="G163:P163" si="286">"0"</f>
        <v>0</v>
      </c>
      <c r="H163" s="1" t="str">
        <f t="shared" si="286"/>
        <v>0</v>
      </c>
      <c r="I163" s="1" t="str">
        <f>"12.8008"</f>
        <v>12.8008</v>
      </c>
      <c r="J163" s="1" t="str">
        <f>"2"</f>
        <v>2</v>
      </c>
      <c r="K163" s="1" t="str">
        <f t="shared" si="286"/>
        <v>0</v>
      </c>
      <c r="L163" s="1" t="str">
        <f t="shared" si="286"/>
        <v>0</v>
      </c>
      <c r="M163" s="1" t="str">
        <f t="shared" si="286"/>
        <v>0</v>
      </c>
      <c r="N163" s="1" t="str">
        <f t="shared" si="286"/>
        <v>0</v>
      </c>
      <c r="O163" s="1" t="str">
        <f t="shared" si="286"/>
        <v>0</v>
      </c>
      <c r="P163" s="1" t="str">
        <f t="shared" si="286"/>
        <v>0</v>
      </c>
      <c r="Q163" s="1" t="str">
        <f t="shared" si="228"/>
        <v>0.0070</v>
      </c>
      <c r="R163" s="1" t="s">
        <v>69</v>
      </c>
      <c r="S163" s="1" t="str">
        <f>"0.0014"</f>
        <v>0.0014</v>
      </c>
      <c r="T163" s="1" t="str">
        <f t="shared" si="229"/>
        <v>0</v>
      </c>
      <c r="U163" s="1" t="str">
        <f>"0.0084"</f>
        <v>0.0084</v>
      </c>
    </row>
    <row r="164" s="1" customFormat="1" spans="1:21">
      <c r="A164" s="1" t="str">
        <f>"4601991419169"</f>
        <v>4601991419169</v>
      </c>
      <c r="B164" s="1" t="s">
        <v>188</v>
      </c>
      <c r="C164" s="1" t="s">
        <v>24</v>
      </c>
      <c r="D164" s="1" t="str">
        <f t="shared" si="225"/>
        <v>2021</v>
      </c>
      <c r="E164" s="1" t="str">
        <f>"138.31"</f>
        <v>138.31</v>
      </c>
      <c r="F164" s="1" t="str">
        <f t="shared" ref="F164:I164" si="287">"0"</f>
        <v>0</v>
      </c>
      <c r="G164" s="1" t="str">
        <f t="shared" si="287"/>
        <v>0</v>
      </c>
      <c r="H164" s="1" t="str">
        <f t="shared" si="287"/>
        <v>0</v>
      </c>
      <c r="I164" s="1" t="str">
        <f t="shared" si="287"/>
        <v>0</v>
      </c>
      <c r="J164" s="1" t="str">
        <f>"18"</f>
        <v>18</v>
      </c>
      <c r="K164" s="1" t="str">
        <f t="shared" ref="K164:P164" si="288">"0"</f>
        <v>0</v>
      </c>
      <c r="L164" s="1" t="str">
        <f t="shared" si="288"/>
        <v>0</v>
      </c>
      <c r="M164" s="1" t="str">
        <f t="shared" si="288"/>
        <v>0</v>
      </c>
      <c r="N164" s="1" t="str">
        <f t="shared" si="288"/>
        <v>0</v>
      </c>
      <c r="O164" s="1" t="str">
        <f t="shared" si="288"/>
        <v>0</v>
      </c>
      <c r="P164" s="1" t="str">
        <f t="shared" si="288"/>
        <v>0</v>
      </c>
      <c r="Q164" s="1" t="str">
        <f t="shared" si="228"/>
        <v>0.0070</v>
      </c>
      <c r="R164" s="1" t="s">
        <v>29</v>
      </c>
      <c r="S164" s="1">
        <v>-0.0014</v>
      </c>
      <c r="T164" s="1" t="str">
        <f t="shared" si="229"/>
        <v>0</v>
      </c>
      <c r="U164" s="1" t="str">
        <f t="shared" ref="U164:U166" si="289">"0.0056"</f>
        <v>0.0056</v>
      </c>
    </row>
    <row r="165" s="1" customFormat="1" spans="1:21">
      <c r="A165" s="1" t="str">
        <f>"4601991419139"</f>
        <v>4601991419139</v>
      </c>
      <c r="B165" s="1" t="s">
        <v>189</v>
      </c>
      <c r="C165" s="1" t="s">
        <v>24</v>
      </c>
      <c r="D165" s="1" t="str">
        <f t="shared" si="225"/>
        <v>2021</v>
      </c>
      <c r="E165" s="1" t="str">
        <f>"19.34"</f>
        <v>19.34</v>
      </c>
      <c r="F165" s="1" t="str">
        <f t="shared" ref="F165:I165" si="290">"0"</f>
        <v>0</v>
      </c>
      <c r="G165" s="1" t="str">
        <f t="shared" si="290"/>
        <v>0</v>
      </c>
      <c r="H165" s="1" t="str">
        <f t="shared" si="290"/>
        <v>0</v>
      </c>
      <c r="I165" s="1" t="str">
        <f t="shared" si="290"/>
        <v>0</v>
      </c>
      <c r="J165" s="1" t="str">
        <f>"3"</f>
        <v>3</v>
      </c>
      <c r="K165" s="1" t="str">
        <f t="shared" ref="K165:P165" si="291">"0"</f>
        <v>0</v>
      </c>
      <c r="L165" s="1" t="str">
        <f t="shared" si="291"/>
        <v>0</v>
      </c>
      <c r="M165" s="1" t="str">
        <f t="shared" si="291"/>
        <v>0</v>
      </c>
      <c r="N165" s="1" t="str">
        <f t="shared" si="291"/>
        <v>0</v>
      </c>
      <c r="O165" s="1" t="str">
        <f t="shared" si="291"/>
        <v>0</v>
      </c>
      <c r="P165" s="1" t="str">
        <f t="shared" si="291"/>
        <v>0</v>
      </c>
      <c r="Q165" s="1" t="str">
        <f t="shared" si="228"/>
        <v>0.0070</v>
      </c>
      <c r="R165" s="1" t="s">
        <v>29</v>
      </c>
      <c r="S165" s="1">
        <v>-0.0014</v>
      </c>
      <c r="T165" s="1" t="str">
        <f t="shared" si="229"/>
        <v>0</v>
      </c>
      <c r="U165" s="1" t="str">
        <f t="shared" si="289"/>
        <v>0.0056</v>
      </c>
    </row>
    <row r="166" s="1" customFormat="1" spans="1:21">
      <c r="A166" s="1" t="str">
        <f>"4601991420346"</f>
        <v>4601991420346</v>
      </c>
      <c r="B166" s="1" t="s">
        <v>190</v>
      </c>
      <c r="C166" s="1" t="s">
        <v>24</v>
      </c>
      <c r="D166" s="1" t="str">
        <f t="shared" si="225"/>
        <v>2021</v>
      </c>
      <c r="E166" s="1" t="str">
        <f>"38.68"</f>
        <v>38.68</v>
      </c>
      <c r="F166" s="1" t="str">
        <f t="shared" ref="F166:I166" si="292">"0"</f>
        <v>0</v>
      </c>
      <c r="G166" s="1" t="str">
        <f t="shared" si="292"/>
        <v>0</v>
      </c>
      <c r="H166" s="1" t="str">
        <f t="shared" si="292"/>
        <v>0</v>
      </c>
      <c r="I166" s="1" t="str">
        <f t="shared" si="292"/>
        <v>0</v>
      </c>
      <c r="J166" s="1" t="str">
        <f t="shared" ref="J166:J170" si="293">"4"</f>
        <v>4</v>
      </c>
      <c r="K166" s="1" t="str">
        <f t="shared" ref="K166:P166" si="294">"0"</f>
        <v>0</v>
      </c>
      <c r="L166" s="1" t="str">
        <f t="shared" si="294"/>
        <v>0</v>
      </c>
      <c r="M166" s="1" t="str">
        <f t="shared" si="294"/>
        <v>0</v>
      </c>
      <c r="N166" s="1" t="str">
        <f t="shared" si="294"/>
        <v>0</v>
      </c>
      <c r="O166" s="1" t="str">
        <f t="shared" si="294"/>
        <v>0</v>
      </c>
      <c r="P166" s="1" t="str">
        <f t="shared" si="294"/>
        <v>0</v>
      </c>
      <c r="Q166" s="1" t="str">
        <f t="shared" si="228"/>
        <v>0.0070</v>
      </c>
      <c r="R166" s="1" t="s">
        <v>29</v>
      </c>
      <c r="S166" s="1">
        <v>-0.0014</v>
      </c>
      <c r="T166" s="1" t="str">
        <f t="shared" si="229"/>
        <v>0</v>
      </c>
      <c r="U166" s="1" t="str">
        <f t="shared" si="289"/>
        <v>0.0056</v>
      </c>
    </row>
    <row r="167" s="1" customFormat="1" spans="1:21">
      <c r="A167" s="1" t="str">
        <f>"4601991419756"</f>
        <v>4601991419756</v>
      </c>
      <c r="B167" s="1" t="s">
        <v>191</v>
      </c>
      <c r="C167" s="1" t="s">
        <v>24</v>
      </c>
      <c r="D167" s="1" t="str">
        <f t="shared" si="225"/>
        <v>2021</v>
      </c>
      <c r="E167" s="1" t="str">
        <f t="shared" ref="E167:P167" si="295">"0"</f>
        <v>0</v>
      </c>
      <c r="F167" s="1" t="str">
        <f t="shared" si="295"/>
        <v>0</v>
      </c>
      <c r="G167" s="1" t="str">
        <f t="shared" si="295"/>
        <v>0</v>
      </c>
      <c r="H167" s="1" t="str">
        <f t="shared" si="295"/>
        <v>0</v>
      </c>
      <c r="I167" s="1" t="str">
        <f t="shared" si="295"/>
        <v>0</v>
      </c>
      <c r="J167" s="1" t="str">
        <f t="shared" si="295"/>
        <v>0</v>
      </c>
      <c r="K167" s="1" t="str">
        <f t="shared" si="295"/>
        <v>0</v>
      </c>
      <c r="L167" s="1" t="str">
        <f t="shared" si="295"/>
        <v>0</v>
      </c>
      <c r="M167" s="1" t="str">
        <f t="shared" si="295"/>
        <v>0</v>
      </c>
      <c r="N167" s="1" t="str">
        <f t="shared" si="295"/>
        <v>0</v>
      </c>
      <c r="O167" s="1" t="str">
        <f t="shared" si="295"/>
        <v>0</v>
      </c>
      <c r="P167" s="1" t="str">
        <f t="shared" si="295"/>
        <v>0</v>
      </c>
      <c r="Q167" s="1" t="str">
        <f t="shared" si="228"/>
        <v>0.0070</v>
      </c>
      <c r="R167" s="1" t="s">
        <v>25</v>
      </c>
      <c r="T167" s="1" t="str">
        <f t="shared" si="229"/>
        <v>0</v>
      </c>
      <c r="U167" s="1" t="str">
        <f>"0.0070"</f>
        <v>0.0070</v>
      </c>
    </row>
    <row r="168" s="1" customFormat="1" spans="1:21">
      <c r="A168" s="1" t="str">
        <f>"4601991420376"</f>
        <v>4601991420376</v>
      </c>
      <c r="B168" s="1" t="s">
        <v>192</v>
      </c>
      <c r="C168" s="1" t="s">
        <v>24</v>
      </c>
      <c r="D168" s="1" t="str">
        <f t="shared" si="225"/>
        <v>2021</v>
      </c>
      <c r="E168" s="1" t="str">
        <f t="shared" ref="E168:P168" si="296">"0"</f>
        <v>0</v>
      </c>
      <c r="F168" s="1" t="str">
        <f t="shared" si="296"/>
        <v>0</v>
      </c>
      <c r="G168" s="1" t="str">
        <f t="shared" si="296"/>
        <v>0</v>
      </c>
      <c r="H168" s="1" t="str">
        <f t="shared" si="296"/>
        <v>0</v>
      </c>
      <c r="I168" s="1" t="str">
        <f t="shared" si="296"/>
        <v>0</v>
      </c>
      <c r="J168" s="1" t="str">
        <f t="shared" si="296"/>
        <v>0</v>
      </c>
      <c r="K168" s="1" t="str">
        <f t="shared" si="296"/>
        <v>0</v>
      </c>
      <c r="L168" s="1" t="str">
        <f t="shared" si="296"/>
        <v>0</v>
      </c>
      <c r="M168" s="1" t="str">
        <f t="shared" si="296"/>
        <v>0</v>
      </c>
      <c r="N168" s="1" t="str">
        <f t="shared" si="296"/>
        <v>0</v>
      </c>
      <c r="O168" s="1" t="str">
        <f t="shared" si="296"/>
        <v>0</v>
      </c>
      <c r="P168" s="1" t="str">
        <f t="shared" si="296"/>
        <v>0</v>
      </c>
      <c r="Q168" s="1" t="str">
        <f t="shared" si="228"/>
        <v>0.0070</v>
      </c>
      <c r="R168" s="1" t="s">
        <v>25</v>
      </c>
      <c r="T168" s="1" t="str">
        <f t="shared" si="229"/>
        <v>0</v>
      </c>
      <c r="U168" s="1" t="str">
        <f>"0.0070"</f>
        <v>0.0070</v>
      </c>
    </row>
    <row r="169" s="1" customFormat="1" spans="1:21">
      <c r="A169" s="1" t="str">
        <f>"4601991419247"</f>
        <v>4601991419247</v>
      </c>
      <c r="B169" s="1" t="s">
        <v>193</v>
      </c>
      <c r="C169" s="1" t="s">
        <v>24</v>
      </c>
      <c r="D169" s="1" t="str">
        <f t="shared" si="225"/>
        <v>2021</v>
      </c>
      <c r="E169" s="1" t="str">
        <f>"38.41"</f>
        <v>38.41</v>
      </c>
      <c r="F169" s="1" t="str">
        <f t="shared" ref="F169:I169" si="297">"0"</f>
        <v>0</v>
      </c>
      <c r="G169" s="1" t="str">
        <f t="shared" si="297"/>
        <v>0</v>
      </c>
      <c r="H169" s="1" t="str">
        <f t="shared" si="297"/>
        <v>0</v>
      </c>
      <c r="I169" s="1" t="str">
        <f t="shared" si="297"/>
        <v>0</v>
      </c>
      <c r="J169" s="1" t="str">
        <f t="shared" si="293"/>
        <v>4</v>
      </c>
      <c r="K169" s="1" t="str">
        <f t="shared" ref="K169:P169" si="298">"0"</f>
        <v>0</v>
      </c>
      <c r="L169" s="1" t="str">
        <f t="shared" si="298"/>
        <v>0</v>
      </c>
      <c r="M169" s="1" t="str">
        <f t="shared" si="298"/>
        <v>0</v>
      </c>
      <c r="N169" s="1" t="str">
        <f t="shared" si="298"/>
        <v>0</v>
      </c>
      <c r="O169" s="1" t="str">
        <f t="shared" si="298"/>
        <v>0</v>
      </c>
      <c r="P169" s="1" t="str">
        <f t="shared" si="298"/>
        <v>0</v>
      </c>
      <c r="Q169" s="1" t="str">
        <f t="shared" si="228"/>
        <v>0.0070</v>
      </c>
      <c r="R169" s="1" t="s">
        <v>29</v>
      </c>
      <c r="S169" s="1">
        <v>-0.0014</v>
      </c>
      <c r="T169" s="1" t="str">
        <f t="shared" si="229"/>
        <v>0</v>
      </c>
      <c r="U169" s="1" t="str">
        <f t="shared" ref="U169:U174" si="299">"0.0056"</f>
        <v>0.0056</v>
      </c>
    </row>
    <row r="170" s="1" customFormat="1" spans="1:21">
      <c r="A170" s="1" t="str">
        <f>"4601991418620"</f>
        <v>4601991418620</v>
      </c>
      <c r="B170" s="1" t="s">
        <v>194</v>
      </c>
      <c r="C170" s="1" t="s">
        <v>24</v>
      </c>
      <c r="D170" s="1" t="str">
        <f t="shared" si="225"/>
        <v>2021</v>
      </c>
      <c r="E170" s="1" t="str">
        <f>"38.68"</f>
        <v>38.68</v>
      </c>
      <c r="F170" s="1" t="str">
        <f t="shared" ref="F170:I170" si="300">"0"</f>
        <v>0</v>
      </c>
      <c r="G170" s="1" t="str">
        <f t="shared" si="300"/>
        <v>0</v>
      </c>
      <c r="H170" s="1" t="str">
        <f t="shared" si="300"/>
        <v>0</v>
      </c>
      <c r="I170" s="1" t="str">
        <f t="shared" si="300"/>
        <v>0</v>
      </c>
      <c r="J170" s="1" t="str">
        <f t="shared" si="293"/>
        <v>4</v>
      </c>
      <c r="K170" s="1" t="str">
        <f t="shared" ref="K170:P170" si="301">"0"</f>
        <v>0</v>
      </c>
      <c r="L170" s="1" t="str">
        <f t="shared" si="301"/>
        <v>0</v>
      </c>
      <c r="M170" s="1" t="str">
        <f t="shared" si="301"/>
        <v>0</v>
      </c>
      <c r="N170" s="1" t="str">
        <f t="shared" si="301"/>
        <v>0</v>
      </c>
      <c r="O170" s="1" t="str">
        <f t="shared" si="301"/>
        <v>0</v>
      </c>
      <c r="P170" s="1" t="str">
        <f t="shared" si="301"/>
        <v>0</v>
      </c>
      <c r="Q170" s="1" t="str">
        <f t="shared" si="228"/>
        <v>0.0070</v>
      </c>
      <c r="R170" s="1" t="s">
        <v>29</v>
      </c>
      <c r="S170" s="1">
        <v>-0.0014</v>
      </c>
      <c r="T170" s="1" t="str">
        <f t="shared" si="229"/>
        <v>0</v>
      </c>
      <c r="U170" s="1" t="str">
        <f t="shared" si="299"/>
        <v>0.0056</v>
      </c>
    </row>
    <row r="171" s="1" customFormat="1" spans="1:21">
      <c r="A171" s="1" t="str">
        <f>"4601991419186"</f>
        <v>4601991419186</v>
      </c>
      <c r="B171" s="1" t="s">
        <v>195</v>
      </c>
      <c r="C171" s="1" t="s">
        <v>24</v>
      </c>
      <c r="D171" s="1" t="str">
        <f t="shared" si="225"/>
        <v>2021</v>
      </c>
      <c r="E171" s="1" t="str">
        <f>"48.26"</f>
        <v>48.26</v>
      </c>
      <c r="F171" s="1" t="str">
        <f t="shared" ref="F171:I171" si="302">"0"</f>
        <v>0</v>
      </c>
      <c r="G171" s="1" t="str">
        <f t="shared" si="302"/>
        <v>0</v>
      </c>
      <c r="H171" s="1" t="str">
        <f t="shared" si="302"/>
        <v>0</v>
      </c>
      <c r="I171" s="1" t="str">
        <f t="shared" si="302"/>
        <v>0</v>
      </c>
      <c r="J171" s="1" t="str">
        <f>"6"</f>
        <v>6</v>
      </c>
      <c r="K171" s="1" t="str">
        <f t="shared" ref="K171:P171" si="303">"0"</f>
        <v>0</v>
      </c>
      <c r="L171" s="1" t="str">
        <f t="shared" si="303"/>
        <v>0</v>
      </c>
      <c r="M171" s="1" t="str">
        <f t="shared" si="303"/>
        <v>0</v>
      </c>
      <c r="N171" s="1" t="str">
        <f t="shared" si="303"/>
        <v>0</v>
      </c>
      <c r="O171" s="1" t="str">
        <f t="shared" si="303"/>
        <v>0</v>
      </c>
      <c r="P171" s="1" t="str">
        <f t="shared" si="303"/>
        <v>0</v>
      </c>
      <c r="Q171" s="1" t="str">
        <f t="shared" si="228"/>
        <v>0.0070</v>
      </c>
      <c r="R171" s="1" t="s">
        <v>29</v>
      </c>
      <c r="S171" s="1">
        <v>-0.0014</v>
      </c>
      <c r="T171" s="1" t="str">
        <f t="shared" si="229"/>
        <v>0</v>
      </c>
      <c r="U171" s="1" t="str">
        <f t="shared" si="299"/>
        <v>0.0056</v>
      </c>
    </row>
    <row r="172" s="1" customFormat="1" spans="1:21">
      <c r="A172" s="1" t="str">
        <f>"4601991420443"</f>
        <v>4601991420443</v>
      </c>
      <c r="B172" s="1" t="s">
        <v>196</v>
      </c>
      <c r="C172" s="1" t="s">
        <v>24</v>
      </c>
      <c r="D172" s="1" t="str">
        <f t="shared" si="225"/>
        <v>2021</v>
      </c>
      <c r="E172" s="1" t="str">
        <f>"19.34"</f>
        <v>19.34</v>
      </c>
      <c r="F172" s="1" t="str">
        <f t="shared" ref="F172:I172" si="304">"0"</f>
        <v>0</v>
      </c>
      <c r="G172" s="1" t="str">
        <f t="shared" si="304"/>
        <v>0</v>
      </c>
      <c r="H172" s="1" t="str">
        <f t="shared" si="304"/>
        <v>0</v>
      </c>
      <c r="I172" s="1" t="str">
        <f t="shared" si="304"/>
        <v>0</v>
      </c>
      <c r="J172" s="1" t="str">
        <f>"2"</f>
        <v>2</v>
      </c>
      <c r="K172" s="1" t="str">
        <f t="shared" ref="K172:P172" si="305">"0"</f>
        <v>0</v>
      </c>
      <c r="L172" s="1" t="str">
        <f t="shared" si="305"/>
        <v>0</v>
      </c>
      <c r="M172" s="1" t="str">
        <f t="shared" si="305"/>
        <v>0</v>
      </c>
      <c r="N172" s="1" t="str">
        <f t="shared" si="305"/>
        <v>0</v>
      </c>
      <c r="O172" s="1" t="str">
        <f t="shared" si="305"/>
        <v>0</v>
      </c>
      <c r="P172" s="1" t="str">
        <f t="shared" si="305"/>
        <v>0</v>
      </c>
      <c r="Q172" s="1" t="str">
        <f t="shared" si="228"/>
        <v>0.0070</v>
      </c>
      <c r="R172" s="1" t="s">
        <v>29</v>
      </c>
      <c r="S172" s="1">
        <v>-0.0014</v>
      </c>
      <c r="T172" s="1" t="str">
        <f t="shared" si="229"/>
        <v>0</v>
      </c>
      <c r="U172" s="1" t="str">
        <f t="shared" si="299"/>
        <v>0.0056</v>
      </c>
    </row>
    <row r="173" s="1" customFormat="1" spans="1:21">
      <c r="A173" s="1" t="str">
        <f>"4601991419865"</f>
        <v>4601991419865</v>
      </c>
      <c r="B173" s="1" t="s">
        <v>197</v>
      </c>
      <c r="C173" s="1" t="s">
        <v>24</v>
      </c>
      <c r="D173" s="1" t="str">
        <f t="shared" si="225"/>
        <v>2021</v>
      </c>
      <c r="E173" s="1" t="str">
        <f>"1150.73"</f>
        <v>1150.73</v>
      </c>
      <c r="F173" s="1" t="str">
        <f>"56437.36"</f>
        <v>56437.36</v>
      </c>
      <c r="G173" s="1" t="str">
        <f>"56437.36"</f>
        <v>56437.36</v>
      </c>
      <c r="H173" s="1" t="str">
        <f t="shared" ref="H173:P173" si="306">"0"</f>
        <v>0</v>
      </c>
      <c r="I173" s="1" t="str">
        <f t="shared" si="306"/>
        <v>0</v>
      </c>
      <c r="J173" s="1" t="str">
        <f>"124"</f>
        <v>124</v>
      </c>
      <c r="K173" s="1" t="str">
        <f t="shared" si="306"/>
        <v>0</v>
      </c>
      <c r="L173" s="1" t="str">
        <f t="shared" si="306"/>
        <v>0</v>
      </c>
      <c r="M173" s="1" t="str">
        <f t="shared" si="306"/>
        <v>0</v>
      </c>
      <c r="N173" s="1" t="str">
        <f t="shared" si="306"/>
        <v>0</v>
      </c>
      <c r="O173" s="1" t="str">
        <f t="shared" si="306"/>
        <v>0</v>
      </c>
      <c r="P173" s="1" t="str">
        <f t="shared" si="306"/>
        <v>0</v>
      </c>
      <c r="Q173" s="1" t="str">
        <f t="shared" si="228"/>
        <v>0.0070</v>
      </c>
      <c r="R173" s="1" t="s">
        <v>29</v>
      </c>
      <c r="S173" s="1">
        <v>-0.0014</v>
      </c>
      <c r="T173" s="1" t="str">
        <f t="shared" si="229"/>
        <v>0</v>
      </c>
      <c r="U173" s="1" t="str">
        <f t="shared" si="299"/>
        <v>0.0056</v>
      </c>
    </row>
    <row r="174" s="1" customFormat="1" spans="1:21">
      <c r="A174" s="1" t="str">
        <f>"4601991420522"</f>
        <v>4601991420522</v>
      </c>
      <c r="B174" s="1" t="s">
        <v>198</v>
      </c>
      <c r="C174" s="1" t="s">
        <v>24</v>
      </c>
      <c r="D174" s="1" t="str">
        <f t="shared" si="225"/>
        <v>2021</v>
      </c>
      <c r="E174" s="1" t="str">
        <f>"19.34"</f>
        <v>19.34</v>
      </c>
      <c r="F174" s="1" t="str">
        <f t="shared" ref="F174:I174" si="307">"0"</f>
        <v>0</v>
      </c>
      <c r="G174" s="1" t="str">
        <f t="shared" si="307"/>
        <v>0</v>
      </c>
      <c r="H174" s="1" t="str">
        <f t="shared" si="307"/>
        <v>0</v>
      </c>
      <c r="I174" s="1" t="str">
        <f t="shared" si="307"/>
        <v>0</v>
      </c>
      <c r="J174" s="1" t="str">
        <f>"2"</f>
        <v>2</v>
      </c>
      <c r="K174" s="1" t="str">
        <f t="shared" ref="K174:P174" si="308">"0"</f>
        <v>0</v>
      </c>
      <c r="L174" s="1" t="str">
        <f t="shared" si="308"/>
        <v>0</v>
      </c>
      <c r="M174" s="1" t="str">
        <f t="shared" si="308"/>
        <v>0</v>
      </c>
      <c r="N174" s="1" t="str">
        <f t="shared" si="308"/>
        <v>0</v>
      </c>
      <c r="O174" s="1" t="str">
        <f t="shared" si="308"/>
        <v>0</v>
      </c>
      <c r="P174" s="1" t="str">
        <f t="shared" si="308"/>
        <v>0</v>
      </c>
      <c r="Q174" s="1" t="str">
        <f t="shared" si="228"/>
        <v>0.0070</v>
      </c>
      <c r="R174" s="1" t="s">
        <v>29</v>
      </c>
      <c r="S174" s="1">
        <v>-0.0014</v>
      </c>
      <c r="T174" s="1" t="str">
        <f t="shared" si="229"/>
        <v>0</v>
      </c>
      <c r="U174" s="1" t="str">
        <f t="shared" si="299"/>
        <v>0.0056</v>
      </c>
    </row>
    <row r="175" s="1" customFormat="1" spans="1:21">
      <c r="A175" s="1" t="str">
        <f>"4601991418672"</f>
        <v>4601991418672</v>
      </c>
      <c r="B175" s="1" t="s">
        <v>199</v>
      </c>
      <c r="C175" s="1" t="s">
        <v>24</v>
      </c>
      <c r="D175" s="1" t="str">
        <f t="shared" si="225"/>
        <v>2021</v>
      </c>
      <c r="E175" s="1" t="str">
        <f>"9.67"</f>
        <v>9.67</v>
      </c>
      <c r="F175" s="1" t="str">
        <f t="shared" ref="F175:I175" si="309">"0"</f>
        <v>0</v>
      </c>
      <c r="G175" s="1" t="str">
        <f t="shared" si="309"/>
        <v>0</v>
      </c>
      <c r="H175" s="1" t="str">
        <f t="shared" si="309"/>
        <v>0</v>
      </c>
      <c r="I175" s="1" t="str">
        <f t="shared" si="309"/>
        <v>0</v>
      </c>
      <c r="J175" s="1" t="str">
        <f>"1"</f>
        <v>1</v>
      </c>
      <c r="K175" s="1" t="str">
        <f t="shared" ref="K175:P175" si="310">"0"</f>
        <v>0</v>
      </c>
      <c r="L175" s="1" t="str">
        <f t="shared" si="310"/>
        <v>0</v>
      </c>
      <c r="M175" s="1" t="str">
        <f t="shared" si="310"/>
        <v>0</v>
      </c>
      <c r="N175" s="1" t="str">
        <f t="shared" si="310"/>
        <v>0</v>
      </c>
      <c r="O175" s="1" t="str">
        <f t="shared" si="310"/>
        <v>0</v>
      </c>
      <c r="P175" s="1" t="str">
        <f t="shared" si="310"/>
        <v>0</v>
      </c>
      <c r="Q175" s="1" t="str">
        <f t="shared" si="228"/>
        <v>0.0070</v>
      </c>
      <c r="R175" s="1" t="s">
        <v>25</v>
      </c>
      <c r="T175" s="1" t="str">
        <f t="shared" si="229"/>
        <v>0</v>
      </c>
      <c r="U175" s="1" t="str">
        <f t="shared" ref="U175:U178" si="311">"0.0070"</f>
        <v>0.0070</v>
      </c>
    </row>
    <row r="176" s="1" customFormat="1" spans="1:21">
      <c r="A176" s="1" t="str">
        <f>"4601991418745"</f>
        <v>4601991418745</v>
      </c>
      <c r="B176" s="1" t="s">
        <v>200</v>
      </c>
      <c r="C176" s="1" t="s">
        <v>24</v>
      </c>
      <c r="D176" s="1" t="str">
        <f t="shared" si="225"/>
        <v>2021</v>
      </c>
      <c r="E176" s="1" t="str">
        <f t="shared" ref="E176:P176" si="312">"0"</f>
        <v>0</v>
      </c>
      <c r="F176" s="1" t="str">
        <f t="shared" si="312"/>
        <v>0</v>
      </c>
      <c r="G176" s="1" t="str">
        <f t="shared" si="312"/>
        <v>0</v>
      </c>
      <c r="H176" s="1" t="str">
        <f t="shared" si="312"/>
        <v>0</v>
      </c>
      <c r="I176" s="1" t="str">
        <f t="shared" si="312"/>
        <v>0</v>
      </c>
      <c r="J176" s="1" t="str">
        <f t="shared" si="312"/>
        <v>0</v>
      </c>
      <c r="K176" s="1" t="str">
        <f t="shared" si="312"/>
        <v>0</v>
      </c>
      <c r="L176" s="1" t="str">
        <f t="shared" si="312"/>
        <v>0</v>
      </c>
      <c r="M176" s="1" t="str">
        <f t="shared" si="312"/>
        <v>0</v>
      </c>
      <c r="N176" s="1" t="str">
        <f t="shared" si="312"/>
        <v>0</v>
      </c>
      <c r="O176" s="1" t="str">
        <f t="shared" si="312"/>
        <v>0</v>
      </c>
      <c r="P176" s="1" t="str">
        <f t="shared" si="312"/>
        <v>0</v>
      </c>
      <c r="Q176" s="1" t="str">
        <f t="shared" si="228"/>
        <v>0.0070</v>
      </c>
      <c r="R176" s="1" t="s">
        <v>25</v>
      </c>
      <c r="T176" s="1" t="str">
        <f t="shared" si="229"/>
        <v>0</v>
      </c>
      <c r="U176" s="1" t="str">
        <f t="shared" si="311"/>
        <v>0.0070</v>
      </c>
    </row>
    <row r="177" s="1" customFormat="1" spans="1:21">
      <c r="A177" s="1" t="str">
        <f>"4601991420571"</f>
        <v>4601991420571</v>
      </c>
      <c r="B177" s="1" t="s">
        <v>201</v>
      </c>
      <c r="C177" s="1" t="s">
        <v>24</v>
      </c>
      <c r="D177" s="1" t="str">
        <f t="shared" si="225"/>
        <v>2021</v>
      </c>
      <c r="E177" s="1" t="str">
        <f>"145.05"</f>
        <v>145.05</v>
      </c>
      <c r="F177" s="1" t="str">
        <f t="shared" ref="F177:I177" si="313">"0"</f>
        <v>0</v>
      </c>
      <c r="G177" s="1" t="str">
        <f t="shared" si="313"/>
        <v>0</v>
      </c>
      <c r="H177" s="1" t="str">
        <f t="shared" si="313"/>
        <v>0</v>
      </c>
      <c r="I177" s="1" t="str">
        <f t="shared" si="313"/>
        <v>0</v>
      </c>
      <c r="J177" s="1" t="str">
        <f>"16"</f>
        <v>16</v>
      </c>
      <c r="K177" s="1" t="str">
        <f t="shared" ref="K177:P177" si="314">"0"</f>
        <v>0</v>
      </c>
      <c r="L177" s="1" t="str">
        <f t="shared" si="314"/>
        <v>0</v>
      </c>
      <c r="M177" s="1" t="str">
        <f t="shared" si="314"/>
        <v>0</v>
      </c>
      <c r="N177" s="1" t="str">
        <f t="shared" si="314"/>
        <v>0</v>
      </c>
      <c r="O177" s="1" t="str">
        <f t="shared" si="314"/>
        <v>0</v>
      </c>
      <c r="P177" s="1" t="str">
        <f t="shared" si="314"/>
        <v>0</v>
      </c>
      <c r="Q177" s="1" t="str">
        <f t="shared" si="228"/>
        <v>0.0070</v>
      </c>
      <c r="R177" s="1" t="s">
        <v>29</v>
      </c>
      <c r="S177" s="1">
        <v>-0.0014</v>
      </c>
      <c r="T177" s="1" t="str">
        <f t="shared" si="229"/>
        <v>0</v>
      </c>
      <c r="U177" s="1" t="str">
        <f t="shared" ref="U177:U185" si="315">"0.0056"</f>
        <v>0.0056</v>
      </c>
    </row>
    <row r="178" s="1" customFormat="1" spans="1:21">
      <c r="A178" s="1" t="str">
        <f>"4601991418799"</f>
        <v>4601991418799</v>
      </c>
      <c r="B178" s="1" t="s">
        <v>202</v>
      </c>
      <c r="C178" s="1" t="s">
        <v>24</v>
      </c>
      <c r="D178" s="1" t="str">
        <f t="shared" si="225"/>
        <v>2021</v>
      </c>
      <c r="E178" s="1" t="str">
        <f t="shared" ref="E178:P178" si="316">"0"</f>
        <v>0</v>
      </c>
      <c r="F178" s="1" t="str">
        <f t="shared" si="316"/>
        <v>0</v>
      </c>
      <c r="G178" s="1" t="str">
        <f t="shared" si="316"/>
        <v>0</v>
      </c>
      <c r="H178" s="1" t="str">
        <f t="shared" si="316"/>
        <v>0</v>
      </c>
      <c r="I178" s="1" t="str">
        <f t="shared" si="316"/>
        <v>0</v>
      </c>
      <c r="J178" s="1" t="str">
        <f t="shared" si="316"/>
        <v>0</v>
      </c>
      <c r="K178" s="1" t="str">
        <f t="shared" si="316"/>
        <v>0</v>
      </c>
      <c r="L178" s="1" t="str">
        <f t="shared" si="316"/>
        <v>0</v>
      </c>
      <c r="M178" s="1" t="str">
        <f t="shared" si="316"/>
        <v>0</v>
      </c>
      <c r="N178" s="1" t="str">
        <f t="shared" si="316"/>
        <v>0</v>
      </c>
      <c r="O178" s="1" t="str">
        <f t="shared" si="316"/>
        <v>0</v>
      </c>
      <c r="P178" s="1" t="str">
        <f t="shared" si="316"/>
        <v>0</v>
      </c>
      <c r="Q178" s="1" t="str">
        <f t="shared" si="228"/>
        <v>0.0070</v>
      </c>
      <c r="R178" s="1" t="s">
        <v>25</v>
      </c>
      <c r="T178" s="1" t="str">
        <f t="shared" si="229"/>
        <v>0</v>
      </c>
      <c r="U178" s="1" t="str">
        <f t="shared" si="311"/>
        <v>0.0070</v>
      </c>
    </row>
    <row r="179" s="1" customFormat="1" spans="1:21">
      <c r="A179" s="1" t="str">
        <f>"4601991419364"</f>
        <v>4601991419364</v>
      </c>
      <c r="B179" s="1" t="s">
        <v>203</v>
      </c>
      <c r="C179" s="1" t="s">
        <v>24</v>
      </c>
      <c r="D179" s="1" t="str">
        <f t="shared" si="225"/>
        <v>2021</v>
      </c>
      <c r="E179" s="1" t="str">
        <f>"191.60"</f>
        <v>191.60</v>
      </c>
      <c r="F179" s="1" t="str">
        <f t="shared" ref="F179:I179" si="317">"0"</f>
        <v>0</v>
      </c>
      <c r="G179" s="1" t="str">
        <f t="shared" si="317"/>
        <v>0</v>
      </c>
      <c r="H179" s="1" t="str">
        <f t="shared" si="317"/>
        <v>0</v>
      </c>
      <c r="I179" s="1" t="str">
        <f t="shared" si="317"/>
        <v>0</v>
      </c>
      <c r="J179" s="1" t="str">
        <f>"20"</f>
        <v>20</v>
      </c>
      <c r="K179" s="1" t="str">
        <f t="shared" ref="K179:P179" si="318">"0"</f>
        <v>0</v>
      </c>
      <c r="L179" s="1" t="str">
        <f t="shared" si="318"/>
        <v>0</v>
      </c>
      <c r="M179" s="1" t="str">
        <f t="shared" si="318"/>
        <v>0</v>
      </c>
      <c r="N179" s="1" t="str">
        <f t="shared" si="318"/>
        <v>0</v>
      </c>
      <c r="O179" s="1" t="str">
        <f t="shared" si="318"/>
        <v>0</v>
      </c>
      <c r="P179" s="1" t="str">
        <f t="shared" si="318"/>
        <v>0</v>
      </c>
      <c r="Q179" s="1" t="str">
        <f t="shared" si="228"/>
        <v>0.0070</v>
      </c>
      <c r="R179" s="1" t="s">
        <v>29</v>
      </c>
      <c r="S179" s="1">
        <v>-0.0014</v>
      </c>
      <c r="T179" s="1" t="str">
        <f t="shared" si="229"/>
        <v>0</v>
      </c>
      <c r="U179" s="1" t="str">
        <f t="shared" si="315"/>
        <v>0.0056</v>
      </c>
    </row>
    <row r="180" s="1" customFormat="1" spans="1:21">
      <c r="A180" s="1" t="str">
        <f>"4601991418797"</f>
        <v>4601991418797</v>
      </c>
      <c r="B180" s="1" t="s">
        <v>204</v>
      </c>
      <c r="C180" s="1" t="s">
        <v>24</v>
      </c>
      <c r="D180" s="1" t="str">
        <f t="shared" si="225"/>
        <v>2021</v>
      </c>
      <c r="E180" s="1" t="str">
        <f>"144.87"</f>
        <v>144.87</v>
      </c>
      <c r="F180" s="1" t="str">
        <f t="shared" ref="F180:I180" si="319">"0"</f>
        <v>0</v>
      </c>
      <c r="G180" s="1" t="str">
        <f t="shared" si="319"/>
        <v>0</v>
      </c>
      <c r="H180" s="1" t="str">
        <f t="shared" si="319"/>
        <v>0</v>
      </c>
      <c r="I180" s="1" t="str">
        <f t="shared" si="319"/>
        <v>0</v>
      </c>
      <c r="J180" s="1" t="str">
        <f>"13"</f>
        <v>13</v>
      </c>
      <c r="K180" s="1" t="str">
        <f t="shared" ref="K180:P180" si="320">"0"</f>
        <v>0</v>
      </c>
      <c r="L180" s="1" t="str">
        <f t="shared" si="320"/>
        <v>0</v>
      </c>
      <c r="M180" s="1" t="str">
        <f t="shared" si="320"/>
        <v>0</v>
      </c>
      <c r="N180" s="1" t="str">
        <f t="shared" si="320"/>
        <v>0</v>
      </c>
      <c r="O180" s="1" t="str">
        <f t="shared" si="320"/>
        <v>0</v>
      </c>
      <c r="P180" s="1" t="str">
        <f t="shared" si="320"/>
        <v>0</v>
      </c>
      <c r="Q180" s="1" t="str">
        <f t="shared" si="228"/>
        <v>0.0070</v>
      </c>
      <c r="R180" s="1" t="s">
        <v>29</v>
      </c>
      <c r="S180" s="1">
        <v>-0.0014</v>
      </c>
      <c r="T180" s="1" t="str">
        <f t="shared" si="229"/>
        <v>0</v>
      </c>
      <c r="U180" s="1" t="str">
        <f t="shared" si="315"/>
        <v>0.0056</v>
      </c>
    </row>
    <row r="181" s="1" customFormat="1" spans="1:21">
      <c r="A181" s="1" t="str">
        <f>"4601991420663"</f>
        <v>4601991420663</v>
      </c>
      <c r="B181" s="1" t="s">
        <v>205</v>
      </c>
      <c r="C181" s="1" t="s">
        <v>24</v>
      </c>
      <c r="D181" s="1" t="str">
        <f t="shared" si="225"/>
        <v>2021</v>
      </c>
      <c r="E181" s="1" t="str">
        <f>"29.01"</f>
        <v>29.01</v>
      </c>
      <c r="F181" s="1" t="str">
        <f t="shared" ref="F181:I181" si="321">"0"</f>
        <v>0</v>
      </c>
      <c r="G181" s="1" t="str">
        <f t="shared" si="321"/>
        <v>0</v>
      </c>
      <c r="H181" s="1" t="str">
        <f t="shared" si="321"/>
        <v>0</v>
      </c>
      <c r="I181" s="1" t="str">
        <f t="shared" si="321"/>
        <v>0</v>
      </c>
      <c r="J181" s="1" t="str">
        <f>"3"</f>
        <v>3</v>
      </c>
      <c r="K181" s="1" t="str">
        <f t="shared" ref="K181:P181" si="322">"0"</f>
        <v>0</v>
      </c>
      <c r="L181" s="1" t="str">
        <f t="shared" si="322"/>
        <v>0</v>
      </c>
      <c r="M181" s="1" t="str">
        <f t="shared" si="322"/>
        <v>0</v>
      </c>
      <c r="N181" s="1" t="str">
        <f t="shared" si="322"/>
        <v>0</v>
      </c>
      <c r="O181" s="1" t="str">
        <f t="shared" si="322"/>
        <v>0</v>
      </c>
      <c r="P181" s="1" t="str">
        <f t="shared" si="322"/>
        <v>0</v>
      </c>
      <c r="Q181" s="1" t="str">
        <f t="shared" si="228"/>
        <v>0.0070</v>
      </c>
      <c r="R181" s="1" t="s">
        <v>29</v>
      </c>
      <c r="S181" s="1">
        <v>-0.0014</v>
      </c>
      <c r="T181" s="1" t="str">
        <f t="shared" si="229"/>
        <v>0</v>
      </c>
      <c r="U181" s="1" t="str">
        <f t="shared" si="315"/>
        <v>0.0056</v>
      </c>
    </row>
    <row r="182" s="1" customFormat="1" spans="1:21">
      <c r="A182" s="1" t="str">
        <f>"4601991418804"</f>
        <v>4601991418804</v>
      </c>
      <c r="B182" s="1" t="s">
        <v>206</v>
      </c>
      <c r="C182" s="1" t="s">
        <v>24</v>
      </c>
      <c r="D182" s="1" t="str">
        <f t="shared" si="225"/>
        <v>2021</v>
      </c>
      <c r="E182" s="1" t="str">
        <f>"536.54"</f>
        <v>536.54</v>
      </c>
      <c r="F182" s="1" t="str">
        <f t="shared" ref="F182:I182" si="323">"0"</f>
        <v>0</v>
      </c>
      <c r="G182" s="1" t="str">
        <f t="shared" si="323"/>
        <v>0</v>
      </c>
      <c r="H182" s="1" t="str">
        <f t="shared" si="323"/>
        <v>0</v>
      </c>
      <c r="I182" s="1" t="str">
        <f t="shared" si="323"/>
        <v>0</v>
      </c>
      <c r="J182" s="1" t="str">
        <f>"57"</f>
        <v>57</v>
      </c>
      <c r="K182" s="1" t="str">
        <f t="shared" ref="K182:P182" si="324">"0"</f>
        <v>0</v>
      </c>
      <c r="L182" s="1" t="str">
        <f t="shared" si="324"/>
        <v>0</v>
      </c>
      <c r="M182" s="1" t="str">
        <f t="shared" si="324"/>
        <v>0</v>
      </c>
      <c r="N182" s="1" t="str">
        <f t="shared" si="324"/>
        <v>0</v>
      </c>
      <c r="O182" s="1" t="str">
        <f t="shared" si="324"/>
        <v>0</v>
      </c>
      <c r="P182" s="1" t="str">
        <f t="shared" si="324"/>
        <v>0</v>
      </c>
      <c r="Q182" s="1" t="str">
        <f t="shared" si="228"/>
        <v>0.0070</v>
      </c>
      <c r="R182" s="1" t="s">
        <v>29</v>
      </c>
      <c r="S182" s="1">
        <v>-0.0014</v>
      </c>
      <c r="T182" s="1" t="str">
        <f t="shared" si="229"/>
        <v>0</v>
      </c>
      <c r="U182" s="1" t="str">
        <f t="shared" si="315"/>
        <v>0.0056</v>
      </c>
    </row>
    <row r="183" s="1" customFormat="1" spans="1:21">
      <c r="A183" s="1" t="str">
        <f>"4601991419462"</f>
        <v>4601991419462</v>
      </c>
      <c r="B183" s="1" t="s">
        <v>207</v>
      </c>
      <c r="C183" s="1" t="s">
        <v>24</v>
      </c>
      <c r="D183" s="1" t="str">
        <f t="shared" si="225"/>
        <v>2021</v>
      </c>
      <c r="E183" s="1" t="str">
        <f>"114.96"</f>
        <v>114.96</v>
      </c>
      <c r="F183" s="1" t="str">
        <f t="shared" ref="F183:I183" si="325">"0"</f>
        <v>0</v>
      </c>
      <c r="G183" s="1" t="str">
        <f t="shared" si="325"/>
        <v>0</v>
      </c>
      <c r="H183" s="1" t="str">
        <f t="shared" si="325"/>
        <v>0</v>
      </c>
      <c r="I183" s="1" t="str">
        <f t="shared" si="325"/>
        <v>0</v>
      </c>
      <c r="J183" s="1" t="str">
        <f>"18"</f>
        <v>18</v>
      </c>
      <c r="K183" s="1" t="str">
        <f t="shared" ref="K183:P183" si="326">"0"</f>
        <v>0</v>
      </c>
      <c r="L183" s="1" t="str">
        <f t="shared" si="326"/>
        <v>0</v>
      </c>
      <c r="M183" s="1" t="str">
        <f t="shared" si="326"/>
        <v>0</v>
      </c>
      <c r="N183" s="1" t="str">
        <f t="shared" si="326"/>
        <v>0</v>
      </c>
      <c r="O183" s="1" t="str">
        <f t="shared" si="326"/>
        <v>0</v>
      </c>
      <c r="P183" s="1" t="str">
        <f t="shared" si="326"/>
        <v>0</v>
      </c>
      <c r="Q183" s="1" t="str">
        <f t="shared" si="228"/>
        <v>0.0070</v>
      </c>
      <c r="R183" s="1" t="s">
        <v>29</v>
      </c>
      <c r="S183" s="1">
        <v>-0.0014</v>
      </c>
      <c r="T183" s="1" t="str">
        <f t="shared" si="229"/>
        <v>0</v>
      </c>
      <c r="U183" s="1" t="str">
        <f t="shared" si="315"/>
        <v>0.0056</v>
      </c>
    </row>
    <row r="184" s="1" customFormat="1" spans="1:21">
      <c r="A184" s="1" t="str">
        <f>"4601991419469"</f>
        <v>4601991419469</v>
      </c>
      <c r="B184" s="1" t="s">
        <v>208</v>
      </c>
      <c r="C184" s="1" t="s">
        <v>24</v>
      </c>
      <c r="D184" s="1" t="str">
        <f t="shared" si="225"/>
        <v>2021</v>
      </c>
      <c r="E184" s="1" t="str">
        <f>"19.34"</f>
        <v>19.34</v>
      </c>
      <c r="F184" s="1" t="str">
        <f t="shared" ref="F184:I184" si="327">"0"</f>
        <v>0</v>
      </c>
      <c r="G184" s="1" t="str">
        <f t="shared" si="327"/>
        <v>0</v>
      </c>
      <c r="H184" s="1" t="str">
        <f t="shared" si="327"/>
        <v>0</v>
      </c>
      <c r="I184" s="1" t="str">
        <f t="shared" si="327"/>
        <v>0</v>
      </c>
      <c r="J184" s="1" t="str">
        <f>"1"</f>
        <v>1</v>
      </c>
      <c r="K184" s="1" t="str">
        <f t="shared" ref="K184:P184" si="328">"0"</f>
        <v>0</v>
      </c>
      <c r="L184" s="1" t="str">
        <f t="shared" si="328"/>
        <v>0</v>
      </c>
      <c r="M184" s="1" t="str">
        <f t="shared" si="328"/>
        <v>0</v>
      </c>
      <c r="N184" s="1" t="str">
        <f t="shared" si="328"/>
        <v>0</v>
      </c>
      <c r="O184" s="1" t="str">
        <f t="shared" si="328"/>
        <v>0</v>
      </c>
      <c r="P184" s="1" t="str">
        <f t="shared" si="328"/>
        <v>0</v>
      </c>
      <c r="Q184" s="1" t="str">
        <f t="shared" si="228"/>
        <v>0.0070</v>
      </c>
      <c r="R184" s="1" t="s">
        <v>29</v>
      </c>
      <c r="S184" s="1">
        <v>-0.0014</v>
      </c>
      <c r="T184" s="1" t="str">
        <f t="shared" si="229"/>
        <v>0</v>
      </c>
      <c r="U184" s="1" t="str">
        <f t="shared" si="315"/>
        <v>0.0056</v>
      </c>
    </row>
    <row r="185" s="1" customFormat="1" spans="1:21">
      <c r="A185" s="1" t="str">
        <f>"4601991419476"</f>
        <v>4601991419476</v>
      </c>
      <c r="B185" s="1" t="s">
        <v>209</v>
      </c>
      <c r="C185" s="1" t="s">
        <v>24</v>
      </c>
      <c r="D185" s="1" t="str">
        <f t="shared" si="225"/>
        <v>2021</v>
      </c>
      <c r="E185" s="1" t="str">
        <f>"9.67"</f>
        <v>9.67</v>
      </c>
      <c r="F185" s="1" t="str">
        <f t="shared" ref="F185:I185" si="329">"0"</f>
        <v>0</v>
      </c>
      <c r="G185" s="1" t="str">
        <f t="shared" si="329"/>
        <v>0</v>
      </c>
      <c r="H185" s="1" t="str">
        <f t="shared" si="329"/>
        <v>0</v>
      </c>
      <c r="I185" s="1" t="str">
        <f t="shared" si="329"/>
        <v>0</v>
      </c>
      <c r="J185" s="1" t="str">
        <f>"3"</f>
        <v>3</v>
      </c>
      <c r="K185" s="1" t="str">
        <f t="shared" ref="K185:P185" si="330">"0"</f>
        <v>0</v>
      </c>
      <c r="L185" s="1" t="str">
        <f t="shared" si="330"/>
        <v>0</v>
      </c>
      <c r="M185" s="1" t="str">
        <f t="shared" si="330"/>
        <v>0</v>
      </c>
      <c r="N185" s="1" t="str">
        <f t="shared" si="330"/>
        <v>0</v>
      </c>
      <c r="O185" s="1" t="str">
        <f t="shared" si="330"/>
        <v>0</v>
      </c>
      <c r="P185" s="1" t="str">
        <f t="shared" si="330"/>
        <v>0</v>
      </c>
      <c r="Q185" s="1" t="str">
        <f t="shared" si="228"/>
        <v>0.0070</v>
      </c>
      <c r="R185" s="1" t="s">
        <v>29</v>
      </c>
      <c r="S185" s="1">
        <v>-0.0014</v>
      </c>
      <c r="T185" s="1" t="str">
        <f t="shared" si="229"/>
        <v>0</v>
      </c>
      <c r="U185" s="1" t="str">
        <f t="shared" si="315"/>
        <v>0.0056</v>
      </c>
    </row>
    <row r="186" s="1" customFormat="1" spans="1:21">
      <c r="A186" s="1" t="str">
        <f>"4601991420055"</f>
        <v>4601991420055</v>
      </c>
      <c r="B186" s="1" t="s">
        <v>210</v>
      </c>
      <c r="C186" s="1" t="s">
        <v>24</v>
      </c>
      <c r="D186" s="1" t="str">
        <f t="shared" si="225"/>
        <v>2021</v>
      </c>
      <c r="E186" s="1" t="str">
        <f>"53.16"</f>
        <v>53.16</v>
      </c>
      <c r="F186" s="1" t="str">
        <f t="shared" ref="F186:I186" si="331">"0"</f>
        <v>0</v>
      </c>
      <c r="G186" s="1" t="str">
        <f t="shared" si="331"/>
        <v>0</v>
      </c>
      <c r="H186" s="1" t="str">
        <f t="shared" si="331"/>
        <v>0</v>
      </c>
      <c r="I186" s="1" t="str">
        <f t="shared" si="331"/>
        <v>0</v>
      </c>
      <c r="J186" s="1" t="str">
        <f>"1"</f>
        <v>1</v>
      </c>
      <c r="K186" s="1" t="str">
        <f t="shared" ref="K186:P186" si="332">"0"</f>
        <v>0</v>
      </c>
      <c r="L186" s="1" t="str">
        <f t="shared" si="332"/>
        <v>0</v>
      </c>
      <c r="M186" s="1" t="str">
        <f t="shared" si="332"/>
        <v>0</v>
      </c>
      <c r="N186" s="1" t="str">
        <f t="shared" si="332"/>
        <v>0</v>
      </c>
      <c r="O186" s="1" t="str">
        <f t="shared" si="332"/>
        <v>0</v>
      </c>
      <c r="P186" s="1" t="str">
        <f t="shared" si="332"/>
        <v>0</v>
      </c>
      <c r="Q186" s="1" t="str">
        <f t="shared" si="228"/>
        <v>0.0070</v>
      </c>
      <c r="R186" s="1" t="s">
        <v>25</v>
      </c>
      <c r="T186" s="1" t="str">
        <f t="shared" si="229"/>
        <v>0</v>
      </c>
      <c r="U186" s="1" t="str">
        <f t="shared" ref="U186:U189" si="333">"0.0070"</f>
        <v>0.0070</v>
      </c>
    </row>
    <row r="187" s="1" customFormat="1" spans="1:21">
      <c r="A187" s="1" t="str">
        <f>"4601991418867"</f>
        <v>4601991418867</v>
      </c>
      <c r="B187" s="1" t="s">
        <v>211</v>
      </c>
      <c r="C187" s="1" t="s">
        <v>24</v>
      </c>
      <c r="D187" s="1" t="str">
        <f t="shared" si="225"/>
        <v>2021</v>
      </c>
      <c r="E187" s="1" t="str">
        <f t="shared" ref="E187:P187" si="334">"0"</f>
        <v>0</v>
      </c>
      <c r="F187" s="1" t="str">
        <f t="shared" si="334"/>
        <v>0</v>
      </c>
      <c r="G187" s="1" t="str">
        <f t="shared" si="334"/>
        <v>0</v>
      </c>
      <c r="H187" s="1" t="str">
        <f t="shared" si="334"/>
        <v>0</v>
      </c>
      <c r="I187" s="1" t="str">
        <f t="shared" si="334"/>
        <v>0</v>
      </c>
      <c r="J187" s="1" t="str">
        <f t="shared" si="334"/>
        <v>0</v>
      </c>
      <c r="K187" s="1" t="str">
        <f t="shared" si="334"/>
        <v>0</v>
      </c>
      <c r="L187" s="1" t="str">
        <f t="shared" si="334"/>
        <v>0</v>
      </c>
      <c r="M187" s="1" t="str">
        <f t="shared" si="334"/>
        <v>0</v>
      </c>
      <c r="N187" s="1" t="str">
        <f t="shared" si="334"/>
        <v>0</v>
      </c>
      <c r="O187" s="1" t="str">
        <f t="shared" si="334"/>
        <v>0</v>
      </c>
      <c r="P187" s="1" t="str">
        <f t="shared" si="334"/>
        <v>0</v>
      </c>
      <c r="Q187" s="1" t="str">
        <f t="shared" si="228"/>
        <v>0.0070</v>
      </c>
      <c r="R187" s="1" t="s">
        <v>25</v>
      </c>
      <c r="T187" s="1" t="str">
        <f t="shared" si="229"/>
        <v>0</v>
      </c>
      <c r="U187" s="1" t="str">
        <f t="shared" si="333"/>
        <v>0.0070</v>
      </c>
    </row>
    <row r="188" s="1" customFormat="1" spans="1:21">
      <c r="A188" s="1" t="str">
        <f>"4601991418868"</f>
        <v>4601991418868</v>
      </c>
      <c r="B188" s="1" t="s">
        <v>212</v>
      </c>
      <c r="C188" s="1" t="s">
        <v>24</v>
      </c>
      <c r="D188" s="1" t="str">
        <f t="shared" si="225"/>
        <v>2021</v>
      </c>
      <c r="E188" s="1" t="str">
        <f>"24.18"</f>
        <v>24.18</v>
      </c>
      <c r="F188" s="1" t="str">
        <f t="shared" ref="F188:I188" si="335">"0"</f>
        <v>0</v>
      </c>
      <c r="G188" s="1" t="str">
        <f t="shared" si="335"/>
        <v>0</v>
      </c>
      <c r="H188" s="1" t="str">
        <f t="shared" si="335"/>
        <v>0</v>
      </c>
      <c r="I188" s="1" t="str">
        <f t="shared" si="335"/>
        <v>0</v>
      </c>
      <c r="J188" s="1" t="str">
        <f>"2"</f>
        <v>2</v>
      </c>
      <c r="K188" s="1" t="str">
        <f t="shared" ref="K188:P188" si="336">"0"</f>
        <v>0</v>
      </c>
      <c r="L188" s="1" t="str">
        <f t="shared" si="336"/>
        <v>0</v>
      </c>
      <c r="M188" s="1" t="str">
        <f t="shared" si="336"/>
        <v>0</v>
      </c>
      <c r="N188" s="1" t="str">
        <f t="shared" si="336"/>
        <v>0</v>
      </c>
      <c r="O188" s="1" t="str">
        <f t="shared" si="336"/>
        <v>0</v>
      </c>
      <c r="P188" s="1" t="str">
        <f t="shared" si="336"/>
        <v>0</v>
      </c>
      <c r="Q188" s="1" t="str">
        <f t="shared" si="228"/>
        <v>0.0070</v>
      </c>
      <c r="R188" s="1" t="s">
        <v>29</v>
      </c>
      <c r="S188" s="1">
        <v>-0.0014</v>
      </c>
      <c r="T188" s="1" t="str">
        <f t="shared" si="229"/>
        <v>0</v>
      </c>
      <c r="U188" s="1" t="str">
        <f t="shared" ref="U188:U193" si="337">"0.0056"</f>
        <v>0.0056</v>
      </c>
    </row>
    <row r="189" s="1" customFormat="1" spans="1:21">
      <c r="A189" s="1" t="str">
        <f>"4601991418872"</f>
        <v>4601991418872</v>
      </c>
      <c r="B189" s="1" t="s">
        <v>213</v>
      </c>
      <c r="C189" s="1" t="s">
        <v>24</v>
      </c>
      <c r="D189" s="1" t="str">
        <f t="shared" si="225"/>
        <v>2021</v>
      </c>
      <c r="E189" s="1" t="str">
        <f t="shared" ref="E189:G189" si="338">"0"</f>
        <v>0</v>
      </c>
      <c r="F189" s="1" t="str">
        <f t="shared" si="338"/>
        <v>0</v>
      </c>
      <c r="G189" s="1" t="str">
        <f t="shared" si="338"/>
        <v>0</v>
      </c>
      <c r="H189" s="1" t="str">
        <f>"29.01"</f>
        <v>29.01</v>
      </c>
      <c r="I189" s="1" t="str">
        <f t="shared" ref="I189:P189" si="339">"0"</f>
        <v>0</v>
      </c>
      <c r="J189" s="1" t="str">
        <f t="shared" si="339"/>
        <v>0</v>
      </c>
      <c r="K189" s="1" t="str">
        <f t="shared" si="339"/>
        <v>0</v>
      </c>
      <c r="L189" s="1" t="str">
        <f t="shared" si="339"/>
        <v>0</v>
      </c>
      <c r="M189" s="1" t="str">
        <f t="shared" si="339"/>
        <v>0</v>
      </c>
      <c r="N189" s="1" t="str">
        <f t="shared" si="339"/>
        <v>0</v>
      </c>
      <c r="O189" s="1" t="str">
        <f t="shared" si="339"/>
        <v>0</v>
      </c>
      <c r="P189" s="1" t="str">
        <f t="shared" si="339"/>
        <v>0</v>
      </c>
      <c r="Q189" s="1" t="str">
        <f t="shared" si="228"/>
        <v>0.0070</v>
      </c>
      <c r="R189" s="1" t="s">
        <v>25</v>
      </c>
      <c r="T189" s="1" t="str">
        <f t="shared" si="229"/>
        <v>0</v>
      </c>
      <c r="U189" s="1" t="str">
        <f t="shared" si="333"/>
        <v>0.0070</v>
      </c>
    </row>
    <row r="190" s="1" customFormat="1" spans="1:21">
      <c r="A190" s="1" t="str">
        <f>"4601991420116"</f>
        <v>4601991420116</v>
      </c>
      <c r="B190" s="1" t="s">
        <v>214</v>
      </c>
      <c r="C190" s="1" t="s">
        <v>24</v>
      </c>
      <c r="D190" s="1" t="str">
        <f t="shared" si="225"/>
        <v>2021</v>
      </c>
      <c r="E190" s="1" t="str">
        <f>"154.72"</f>
        <v>154.72</v>
      </c>
      <c r="F190" s="1" t="str">
        <f t="shared" ref="F190:I190" si="340">"0"</f>
        <v>0</v>
      </c>
      <c r="G190" s="1" t="str">
        <f t="shared" si="340"/>
        <v>0</v>
      </c>
      <c r="H190" s="1" t="str">
        <f t="shared" si="340"/>
        <v>0</v>
      </c>
      <c r="I190" s="1" t="str">
        <f t="shared" si="340"/>
        <v>0</v>
      </c>
      <c r="J190" s="1" t="str">
        <f>"16"</f>
        <v>16</v>
      </c>
      <c r="K190" s="1" t="str">
        <f t="shared" ref="K190:P190" si="341">"0"</f>
        <v>0</v>
      </c>
      <c r="L190" s="1" t="str">
        <f t="shared" si="341"/>
        <v>0</v>
      </c>
      <c r="M190" s="1" t="str">
        <f t="shared" si="341"/>
        <v>0</v>
      </c>
      <c r="N190" s="1" t="str">
        <f t="shared" si="341"/>
        <v>0</v>
      </c>
      <c r="O190" s="1" t="str">
        <f t="shared" si="341"/>
        <v>0</v>
      </c>
      <c r="P190" s="1" t="str">
        <f t="shared" si="341"/>
        <v>0</v>
      </c>
      <c r="Q190" s="1" t="str">
        <f t="shared" si="228"/>
        <v>0.0070</v>
      </c>
      <c r="R190" s="1" t="s">
        <v>29</v>
      </c>
      <c r="S190" s="1">
        <v>-0.0014</v>
      </c>
      <c r="T190" s="1" t="str">
        <f t="shared" si="229"/>
        <v>0</v>
      </c>
      <c r="U190" s="1" t="str">
        <f t="shared" si="337"/>
        <v>0.0056</v>
      </c>
    </row>
    <row r="191" s="1" customFormat="1" spans="1:21">
      <c r="A191" s="1" t="str">
        <f>"4601991420733"</f>
        <v>4601991420733</v>
      </c>
      <c r="B191" s="1" t="s">
        <v>215</v>
      </c>
      <c r="C191" s="1" t="s">
        <v>24</v>
      </c>
      <c r="D191" s="1" t="str">
        <f t="shared" si="225"/>
        <v>2021</v>
      </c>
      <c r="E191" s="1" t="str">
        <f t="shared" ref="E191:P191" si="342">"0"</f>
        <v>0</v>
      </c>
      <c r="F191" s="1" t="str">
        <f t="shared" si="342"/>
        <v>0</v>
      </c>
      <c r="G191" s="1" t="str">
        <f t="shared" si="342"/>
        <v>0</v>
      </c>
      <c r="H191" s="1" t="str">
        <f t="shared" si="342"/>
        <v>0</v>
      </c>
      <c r="I191" s="1" t="str">
        <f t="shared" si="342"/>
        <v>0</v>
      </c>
      <c r="J191" s="1" t="str">
        <f t="shared" si="342"/>
        <v>0</v>
      </c>
      <c r="K191" s="1" t="str">
        <f t="shared" si="342"/>
        <v>0</v>
      </c>
      <c r="L191" s="1" t="str">
        <f t="shared" si="342"/>
        <v>0</v>
      </c>
      <c r="M191" s="1" t="str">
        <f t="shared" si="342"/>
        <v>0</v>
      </c>
      <c r="N191" s="1" t="str">
        <f t="shared" si="342"/>
        <v>0</v>
      </c>
      <c r="O191" s="1" t="str">
        <f t="shared" si="342"/>
        <v>0</v>
      </c>
      <c r="P191" s="1" t="str">
        <f t="shared" si="342"/>
        <v>0</v>
      </c>
      <c r="Q191" s="1" t="str">
        <f t="shared" si="228"/>
        <v>0.0070</v>
      </c>
      <c r="R191" s="1" t="s">
        <v>25</v>
      </c>
      <c r="T191" s="1" t="str">
        <f t="shared" si="229"/>
        <v>0</v>
      </c>
      <c r="U191" s="1" t="str">
        <f t="shared" ref="U191:U196" si="343">"0.0070"</f>
        <v>0.0070</v>
      </c>
    </row>
    <row r="192" s="1" customFormat="1" spans="1:21">
      <c r="A192" s="1" t="str">
        <f>"4601991420749"</f>
        <v>4601991420749</v>
      </c>
      <c r="B192" s="1" t="s">
        <v>216</v>
      </c>
      <c r="C192" s="1" t="s">
        <v>24</v>
      </c>
      <c r="D192" s="1" t="str">
        <f t="shared" si="225"/>
        <v>2021</v>
      </c>
      <c r="E192" s="1" t="str">
        <f>"117.60"</f>
        <v>117.60</v>
      </c>
      <c r="F192" s="1" t="str">
        <f t="shared" ref="F192:I192" si="344">"0"</f>
        <v>0</v>
      </c>
      <c r="G192" s="1" t="str">
        <f t="shared" si="344"/>
        <v>0</v>
      </c>
      <c r="H192" s="1" t="str">
        <f t="shared" si="344"/>
        <v>0</v>
      </c>
      <c r="I192" s="1" t="str">
        <f t="shared" si="344"/>
        <v>0</v>
      </c>
      <c r="J192" s="1" t="str">
        <f>"12"</f>
        <v>12</v>
      </c>
      <c r="K192" s="1" t="str">
        <f t="shared" ref="K192:P192" si="345">"0"</f>
        <v>0</v>
      </c>
      <c r="L192" s="1" t="str">
        <f t="shared" si="345"/>
        <v>0</v>
      </c>
      <c r="M192" s="1" t="str">
        <f t="shared" si="345"/>
        <v>0</v>
      </c>
      <c r="N192" s="1" t="str">
        <f t="shared" si="345"/>
        <v>0</v>
      </c>
      <c r="O192" s="1" t="str">
        <f t="shared" si="345"/>
        <v>0</v>
      </c>
      <c r="P192" s="1" t="str">
        <f t="shared" si="345"/>
        <v>0</v>
      </c>
      <c r="Q192" s="1" t="str">
        <f t="shared" si="228"/>
        <v>0.0070</v>
      </c>
      <c r="R192" s="1" t="s">
        <v>29</v>
      </c>
      <c r="S192" s="1">
        <v>-0.0014</v>
      </c>
      <c r="T192" s="1" t="str">
        <f t="shared" si="229"/>
        <v>0</v>
      </c>
      <c r="U192" s="1" t="str">
        <f t="shared" si="337"/>
        <v>0.0056</v>
      </c>
    </row>
    <row r="193" s="1" customFormat="1" spans="1:21">
      <c r="A193" s="1" t="str">
        <f>"4601991420126"</f>
        <v>4601991420126</v>
      </c>
      <c r="B193" s="1" t="s">
        <v>217</v>
      </c>
      <c r="C193" s="1" t="s">
        <v>24</v>
      </c>
      <c r="D193" s="1" t="str">
        <f t="shared" si="225"/>
        <v>2021</v>
      </c>
      <c r="E193" s="1" t="str">
        <f>"48.35"</f>
        <v>48.35</v>
      </c>
      <c r="F193" s="1" t="str">
        <f t="shared" ref="F193:I193" si="346">"0"</f>
        <v>0</v>
      </c>
      <c r="G193" s="1" t="str">
        <f t="shared" si="346"/>
        <v>0</v>
      </c>
      <c r="H193" s="1" t="str">
        <f t="shared" si="346"/>
        <v>0</v>
      </c>
      <c r="I193" s="1" t="str">
        <f t="shared" si="346"/>
        <v>0</v>
      </c>
      <c r="J193" s="1" t="str">
        <f>"5"</f>
        <v>5</v>
      </c>
      <c r="K193" s="1" t="str">
        <f t="shared" ref="K193:P193" si="347">"0"</f>
        <v>0</v>
      </c>
      <c r="L193" s="1" t="str">
        <f t="shared" si="347"/>
        <v>0</v>
      </c>
      <c r="M193" s="1" t="str">
        <f t="shared" si="347"/>
        <v>0</v>
      </c>
      <c r="N193" s="1" t="str">
        <f t="shared" si="347"/>
        <v>0</v>
      </c>
      <c r="O193" s="1" t="str">
        <f t="shared" si="347"/>
        <v>0</v>
      </c>
      <c r="P193" s="1" t="str">
        <f t="shared" si="347"/>
        <v>0</v>
      </c>
      <c r="Q193" s="1" t="str">
        <f t="shared" si="228"/>
        <v>0.0070</v>
      </c>
      <c r="R193" s="1" t="s">
        <v>29</v>
      </c>
      <c r="S193" s="1">
        <v>-0.0014</v>
      </c>
      <c r="T193" s="1" t="str">
        <f t="shared" si="229"/>
        <v>0</v>
      </c>
      <c r="U193" s="1" t="str">
        <f t="shared" si="337"/>
        <v>0.0056</v>
      </c>
    </row>
    <row r="194" s="1" customFormat="1" spans="1:21">
      <c r="A194" s="1" t="str">
        <f>"4601991420787"</f>
        <v>4601991420787</v>
      </c>
      <c r="B194" s="1" t="s">
        <v>218</v>
      </c>
      <c r="C194" s="1" t="s">
        <v>24</v>
      </c>
      <c r="D194" s="1" t="str">
        <f t="shared" si="225"/>
        <v>2021</v>
      </c>
      <c r="E194" s="1" t="str">
        <f t="shared" ref="E194:P194" si="348">"0"</f>
        <v>0</v>
      </c>
      <c r="F194" s="1" t="str">
        <f t="shared" si="348"/>
        <v>0</v>
      </c>
      <c r="G194" s="1" t="str">
        <f t="shared" si="348"/>
        <v>0</v>
      </c>
      <c r="H194" s="1" t="str">
        <f t="shared" si="348"/>
        <v>0</v>
      </c>
      <c r="I194" s="1" t="str">
        <f t="shared" si="348"/>
        <v>0</v>
      </c>
      <c r="J194" s="1" t="str">
        <f t="shared" si="348"/>
        <v>0</v>
      </c>
      <c r="K194" s="1" t="str">
        <f t="shared" si="348"/>
        <v>0</v>
      </c>
      <c r="L194" s="1" t="str">
        <f t="shared" si="348"/>
        <v>0</v>
      </c>
      <c r="M194" s="1" t="str">
        <f t="shared" si="348"/>
        <v>0</v>
      </c>
      <c r="N194" s="1" t="str">
        <f t="shared" si="348"/>
        <v>0</v>
      </c>
      <c r="O194" s="1" t="str">
        <f t="shared" si="348"/>
        <v>0</v>
      </c>
      <c r="P194" s="1" t="str">
        <f t="shared" si="348"/>
        <v>0</v>
      </c>
      <c r="Q194" s="1" t="str">
        <f t="shared" si="228"/>
        <v>0.0070</v>
      </c>
      <c r="R194" s="1" t="s">
        <v>25</v>
      </c>
      <c r="T194" s="1" t="str">
        <f t="shared" si="229"/>
        <v>0</v>
      </c>
      <c r="U194" s="1" t="str">
        <f t="shared" si="343"/>
        <v>0.0070</v>
      </c>
    </row>
    <row r="195" s="1" customFormat="1" spans="1:21">
      <c r="A195" s="1" t="str">
        <f>"4601991418954"</f>
        <v>4601991418954</v>
      </c>
      <c r="B195" s="1" t="s">
        <v>219</v>
      </c>
      <c r="C195" s="1" t="s">
        <v>24</v>
      </c>
      <c r="D195" s="1" t="str">
        <f t="shared" ref="D195:D258" si="349">"2021"</f>
        <v>2021</v>
      </c>
      <c r="E195" s="1" t="str">
        <f>"9.67"</f>
        <v>9.67</v>
      </c>
      <c r="F195" s="1" t="str">
        <f t="shared" ref="F195:I195" si="350">"0"</f>
        <v>0</v>
      </c>
      <c r="G195" s="1" t="str">
        <f t="shared" si="350"/>
        <v>0</v>
      </c>
      <c r="H195" s="1" t="str">
        <f t="shared" si="350"/>
        <v>0</v>
      </c>
      <c r="I195" s="1" t="str">
        <f t="shared" si="350"/>
        <v>0</v>
      </c>
      <c r="J195" s="1" t="str">
        <f>"1"</f>
        <v>1</v>
      </c>
      <c r="K195" s="1" t="str">
        <f t="shared" ref="K195:P195" si="351">"0"</f>
        <v>0</v>
      </c>
      <c r="L195" s="1" t="str">
        <f t="shared" si="351"/>
        <v>0</v>
      </c>
      <c r="M195" s="1" t="str">
        <f t="shared" si="351"/>
        <v>0</v>
      </c>
      <c r="N195" s="1" t="str">
        <f t="shared" si="351"/>
        <v>0</v>
      </c>
      <c r="O195" s="1" t="str">
        <f t="shared" si="351"/>
        <v>0</v>
      </c>
      <c r="P195" s="1" t="str">
        <f t="shared" si="351"/>
        <v>0</v>
      </c>
      <c r="Q195" s="1" t="str">
        <f t="shared" ref="Q195:Q258" si="352">"0.0070"</f>
        <v>0.0070</v>
      </c>
      <c r="R195" s="1" t="s">
        <v>29</v>
      </c>
      <c r="S195" s="1">
        <v>-0.0014</v>
      </c>
      <c r="T195" s="1" t="str">
        <f t="shared" ref="T195:T258" si="353">"0"</f>
        <v>0</v>
      </c>
      <c r="U195" s="1" t="str">
        <f t="shared" ref="U195:U200" si="354">"0.0056"</f>
        <v>0.0056</v>
      </c>
    </row>
    <row r="196" s="1" customFormat="1" spans="1:21">
      <c r="A196" s="1" t="str">
        <f>"4601991417072"</f>
        <v>4601991417072</v>
      </c>
      <c r="B196" s="1" t="s">
        <v>220</v>
      </c>
      <c r="C196" s="1" t="s">
        <v>24</v>
      </c>
      <c r="D196" s="1" t="str">
        <f t="shared" si="349"/>
        <v>2021</v>
      </c>
      <c r="E196" s="1" t="str">
        <f t="shared" ref="E196:P196" si="355">"0"</f>
        <v>0</v>
      </c>
      <c r="F196" s="1" t="str">
        <f t="shared" si="355"/>
        <v>0</v>
      </c>
      <c r="G196" s="1" t="str">
        <f t="shared" si="355"/>
        <v>0</v>
      </c>
      <c r="H196" s="1" t="str">
        <f t="shared" si="355"/>
        <v>0</v>
      </c>
      <c r="I196" s="1" t="str">
        <f t="shared" si="355"/>
        <v>0</v>
      </c>
      <c r="J196" s="1" t="str">
        <f t="shared" si="355"/>
        <v>0</v>
      </c>
      <c r="K196" s="1" t="str">
        <f t="shared" si="355"/>
        <v>0</v>
      </c>
      <c r="L196" s="1" t="str">
        <f t="shared" si="355"/>
        <v>0</v>
      </c>
      <c r="M196" s="1" t="str">
        <f t="shared" si="355"/>
        <v>0</v>
      </c>
      <c r="N196" s="1" t="str">
        <f t="shared" si="355"/>
        <v>0</v>
      </c>
      <c r="O196" s="1" t="str">
        <f t="shared" si="355"/>
        <v>0</v>
      </c>
      <c r="P196" s="1" t="str">
        <f t="shared" si="355"/>
        <v>0</v>
      </c>
      <c r="Q196" s="1" t="str">
        <f t="shared" si="352"/>
        <v>0.0070</v>
      </c>
      <c r="R196" s="1" t="s">
        <v>25</v>
      </c>
      <c r="T196" s="1" t="str">
        <f t="shared" si="353"/>
        <v>0</v>
      </c>
      <c r="U196" s="1" t="str">
        <f t="shared" si="343"/>
        <v>0.0070</v>
      </c>
    </row>
    <row r="197" s="1" customFormat="1" spans="1:21">
      <c r="A197" s="1" t="str">
        <f>"4601991418959"</f>
        <v>4601991418959</v>
      </c>
      <c r="B197" s="1" t="s">
        <v>221</v>
      </c>
      <c r="C197" s="1" t="s">
        <v>24</v>
      </c>
      <c r="D197" s="1" t="str">
        <f t="shared" si="349"/>
        <v>2021</v>
      </c>
      <c r="E197" s="1" t="str">
        <f>"153.28"</f>
        <v>153.28</v>
      </c>
      <c r="F197" s="1" t="str">
        <f t="shared" ref="F197:I197" si="356">"0"</f>
        <v>0</v>
      </c>
      <c r="G197" s="1" t="str">
        <f t="shared" si="356"/>
        <v>0</v>
      </c>
      <c r="H197" s="1" t="str">
        <f t="shared" si="356"/>
        <v>0</v>
      </c>
      <c r="I197" s="1" t="str">
        <f t="shared" si="356"/>
        <v>0</v>
      </c>
      <c r="J197" s="1" t="str">
        <f>"14"</f>
        <v>14</v>
      </c>
      <c r="K197" s="1" t="str">
        <f t="shared" ref="K197:P197" si="357">"0"</f>
        <v>0</v>
      </c>
      <c r="L197" s="1" t="str">
        <f t="shared" si="357"/>
        <v>0</v>
      </c>
      <c r="M197" s="1" t="str">
        <f t="shared" si="357"/>
        <v>0</v>
      </c>
      <c r="N197" s="1" t="str">
        <f t="shared" si="357"/>
        <v>0</v>
      </c>
      <c r="O197" s="1" t="str">
        <f t="shared" si="357"/>
        <v>0</v>
      </c>
      <c r="P197" s="1" t="str">
        <f t="shared" si="357"/>
        <v>0</v>
      </c>
      <c r="Q197" s="1" t="str">
        <f t="shared" si="352"/>
        <v>0.0070</v>
      </c>
      <c r="R197" s="1" t="s">
        <v>29</v>
      </c>
      <c r="S197" s="1">
        <v>-0.0014</v>
      </c>
      <c r="T197" s="1" t="str">
        <f t="shared" si="353"/>
        <v>0</v>
      </c>
      <c r="U197" s="1" t="str">
        <f t="shared" si="354"/>
        <v>0.0056</v>
      </c>
    </row>
    <row r="198" s="1" customFormat="1" spans="1:21">
      <c r="A198" s="1" t="str">
        <f>"4601991418977"</f>
        <v>4601991418977</v>
      </c>
      <c r="B198" s="1" t="s">
        <v>222</v>
      </c>
      <c r="C198" s="1" t="s">
        <v>24</v>
      </c>
      <c r="D198" s="1" t="str">
        <f t="shared" si="349"/>
        <v>2021</v>
      </c>
      <c r="E198" s="1" t="str">
        <f>"29.01"</f>
        <v>29.01</v>
      </c>
      <c r="F198" s="1" t="str">
        <f t="shared" ref="F198:I198" si="358">"0"</f>
        <v>0</v>
      </c>
      <c r="G198" s="1" t="str">
        <f t="shared" si="358"/>
        <v>0</v>
      </c>
      <c r="H198" s="1" t="str">
        <f t="shared" si="358"/>
        <v>0</v>
      </c>
      <c r="I198" s="1" t="str">
        <f t="shared" si="358"/>
        <v>0</v>
      </c>
      <c r="J198" s="1" t="str">
        <f>"3"</f>
        <v>3</v>
      </c>
      <c r="K198" s="1" t="str">
        <f t="shared" ref="K198:P198" si="359">"0"</f>
        <v>0</v>
      </c>
      <c r="L198" s="1" t="str">
        <f t="shared" si="359"/>
        <v>0</v>
      </c>
      <c r="M198" s="1" t="str">
        <f t="shared" si="359"/>
        <v>0</v>
      </c>
      <c r="N198" s="1" t="str">
        <f t="shared" si="359"/>
        <v>0</v>
      </c>
      <c r="O198" s="1" t="str">
        <f t="shared" si="359"/>
        <v>0</v>
      </c>
      <c r="P198" s="1" t="str">
        <f t="shared" si="359"/>
        <v>0</v>
      </c>
      <c r="Q198" s="1" t="str">
        <f t="shared" si="352"/>
        <v>0.0070</v>
      </c>
      <c r="R198" s="1" t="s">
        <v>29</v>
      </c>
      <c r="S198" s="1">
        <v>-0.0014</v>
      </c>
      <c r="T198" s="1" t="str">
        <f t="shared" si="353"/>
        <v>0</v>
      </c>
      <c r="U198" s="1" t="str">
        <f t="shared" si="354"/>
        <v>0.0056</v>
      </c>
    </row>
    <row r="199" s="1" customFormat="1" spans="1:21">
      <c r="A199" s="1" t="str">
        <f>"4601991418978"</f>
        <v>4601991418978</v>
      </c>
      <c r="B199" s="1" t="s">
        <v>223</v>
      </c>
      <c r="C199" s="1" t="s">
        <v>24</v>
      </c>
      <c r="D199" s="1" t="str">
        <f t="shared" si="349"/>
        <v>2021</v>
      </c>
      <c r="E199" s="1" t="str">
        <f>"9.67"</f>
        <v>9.67</v>
      </c>
      <c r="F199" s="1" t="str">
        <f t="shared" ref="F199:I199" si="360">"0"</f>
        <v>0</v>
      </c>
      <c r="G199" s="1" t="str">
        <f t="shared" si="360"/>
        <v>0</v>
      </c>
      <c r="H199" s="1" t="str">
        <f t="shared" si="360"/>
        <v>0</v>
      </c>
      <c r="I199" s="1" t="str">
        <f t="shared" si="360"/>
        <v>0</v>
      </c>
      <c r="J199" s="1" t="str">
        <f>"1"</f>
        <v>1</v>
      </c>
      <c r="K199" s="1" t="str">
        <f t="shared" ref="K199:P199" si="361">"0"</f>
        <v>0</v>
      </c>
      <c r="L199" s="1" t="str">
        <f t="shared" si="361"/>
        <v>0</v>
      </c>
      <c r="M199" s="1" t="str">
        <f t="shared" si="361"/>
        <v>0</v>
      </c>
      <c r="N199" s="1" t="str">
        <f t="shared" si="361"/>
        <v>0</v>
      </c>
      <c r="O199" s="1" t="str">
        <f t="shared" si="361"/>
        <v>0</v>
      </c>
      <c r="P199" s="1" t="str">
        <f t="shared" si="361"/>
        <v>0</v>
      </c>
      <c r="Q199" s="1" t="str">
        <f t="shared" si="352"/>
        <v>0.0070</v>
      </c>
      <c r="R199" s="1" t="s">
        <v>29</v>
      </c>
      <c r="S199" s="1">
        <v>-0.0014</v>
      </c>
      <c r="T199" s="1" t="str">
        <f t="shared" si="353"/>
        <v>0</v>
      </c>
      <c r="U199" s="1" t="str">
        <f t="shared" si="354"/>
        <v>0.0056</v>
      </c>
    </row>
    <row r="200" s="1" customFormat="1" spans="1:21">
      <c r="A200" s="1" t="str">
        <f>"4601991417772"</f>
        <v>4601991417772</v>
      </c>
      <c r="B200" s="1" t="s">
        <v>224</v>
      </c>
      <c r="C200" s="1" t="s">
        <v>24</v>
      </c>
      <c r="D200" s="1" t="str">
        <f t="shared" si="349"/>
        <v>2021</v>
      </c>
      <c r="E200" s="1" t="str">
        <f>"116.04"</f>
        <v>116.04</v>
      </c>
      <c r="F200" s="1" t="str">
        <f t="shared" ref="F200:I200" si="362">"0"</f>
        <v>0</v>
      </c>
      <c r="G200" s="1" t="str">
        <f t="shared" si="362"/>
        <v>0</v>
      </c>
      <c r="H200" s="1" t="str">
        <f t="shared" si="362"/>
        <v>0</v>
      </c>
      <c r="I200" s="1" t="str">
        <f t="shared" si="362"/>
        <v>0</v>
      </c>
      <c r="J200" s="1" t="str">
        <f>"14"</f>
        <v>14</v>
      </c>
      <c r="K200" s="1" t="str">
        <f t="shared" ref="K200:P200" si="363">"0"</f>
        <v>0</v>
      </c>
      <c r="L200" s="1" t="str">
        <f t="shared" si="363"/>
        <v>0</v>
      </c>
      <c r="M200" s="1" t="str">
        <f t="shared" si="363"/>
        <v>0</v>
      </c>
      <c r="N200" s="1" t="str">
        <f t="shared" si="363"/>
        <v>0</v>
      </c>
      <c r="O200" s="1" t="str">
        <f t="shared" si="363"/>
        <v>0</v>
      </c>
      <c r="P200" s="1" t="str">
        <f t="shared" si="363"/>
        <v>0</v>
      </c>
      <c r="Q200" s="1" t="str">
        <f t="shared" si="352"/>
        <v>0.0070</v>
      </c>
      <c r="R200" s="1" t="s">
        <v>29</v>
      </c>
      <c r="S200" s="1">
        <v>-0.0014</v>
      </c>
      <c r="T200" s="1" t="str">
        <f t="shared" si="353"/>
        <v>0</v>
      </c>
      <c r="U200" s="1" t="str">
        <f t="shared" si="354"/>
        <v>0.0056</v>
      </c>
    </row>
    <row r="201" s="1" customFormat="1" spans="1:21">
      <c r="A201" s="1" t="str">
        <f>"4601991418453"</f>
        <v>4601991418453</v>
      </c>
      <c r="B201" s="1" t="s">
        <v>225</v>
      </c>
      <c r="C201" s="1" t="s">
        <v>24</v>
      </c>
      <c r="D201" s="1" t="str">
        <f t="shared" si="349"/>
        <v>2021</v>
      </c>
      <c r="E201" s="1" t="str">
        <f t="shared" ref="E201:P201" si="364">"0"</f>
        <v>0</v>
      </c>
      <c r="F201" s="1" t="str">
        <f t="shared" si="364"/>
        <v>0</v>
      </c>
      <c r="G201" s="1" t="str">
        <f t="shared" si="364"/>
        <v>0</v>
      </c>
      <c r="H201" s="1" t="str">
        <f t="shared" si="364"/>
        <v>0</v>
      </c>
      <c r="I201" s="1" t="str">
        <f t="shared" si="364"/>
        <v>0</v>
      </c>
      <c r="J201" s="1" t="str">
        <f t="shared" si="364"/>
        <v>0</v>
      </c>
      <c r="K201" s="1" t="str">
        <f t="shared" si="364"/>
        <v>0</v>
      </c>
      <c r="L201" s="1" t="str">
        <f t="shared" si="364"/>
        <v>0</v>
      </c>
      <c r="M201" s="1" t="str">
        <f t="shared" si="364"/>
        <v>0</v>
      </c>
      <c r="N201" s="1" t="str">
        <f t="shared" si="364"/>
        <v>0</v>
      </c>
      <c r="O201" s="1" t="str">
        <f t="shared" si="364"/>
        <v>0</v>
      </c>
      <c r="P201" s="1" t="str">
        <f t="shared" si="364"/>
        <v>0</v>
      </c>
      <c r="Q201" s="1" t="str">
        <f t="shared" si="352"/>
        <v>0.0070</v>
      </c>
      <c r="R201" s="1" t="s">
        <v>25</v>
      </c>
      <c r="T201" s="1" t="str">
        <f t="shared" si="353"/>
        <v>0</v>
      </c>
      <c r="U201" s="1" t="str">
        <f t="shared" ref="U201:U204" si="365">"0.0070"</f>
        <v>0.0070</v>
      </c>
    </row>
    <row r="202" s="1" customFormat="1" spans="1:21">
      <c r="A202" s="1" t="str">
        <f>"4601991417104"</f>
        <v>4601991417104</v>
      </c>
      <c r="B202" s="1" t="s">
        <v>226</v>
      </c>
      <c r="C202" s="1" t="s">
        <v>24</v>
      </c>
      <c r="D202" s="1" t="str">
        <f t="shared" si="349"/>
        <v>2021</v>
      </c>
      <c r="E202" s="1" t="str">
        <f>"58.02"</f>
        <v>58.02</v>
      </c>
      <c r="F202" s="1" t="str">
        <f t="shared" ref="F202:I202" si="366">"0"</f>
        <v>0</v>
      </c>
      <c r="G202" s="1" t="str">
        <f t="shared" si="366"/>
        <v>0</v>
      </c>
      <c r="H202" s="1" t="str">
        <f t="shared" si="366"/>
        <v>0</v>
      </c>
      <c r="I202" s="1" t="str">
        <f t="shared" si="366"/>
        <v>0</v>
      </c>
      <c r="J202" s="1" t="str">
        <f>"8"</f>
        <v>8</v>
      </c>
      <c r="K202" s="1" t="str">
        <f t="shared" ref="K202:P202" si="367">"0"</f>
        <v>0</v>
      </c>
      <c r="L202" s="1" t="str">
        <f t="shared" si="367"/>
        <v>0</v>
      </c>
      <c r="M202" s="1" t="str">
        <f t="shared" si="367"/>
        <v>0</v>
      </c>
      <c r="N202" s="1" t="str">
        <f t="shared" si="367"/>
        <v>0</v>
      </c>
      <c r="O202" s="1" t="str">
        <f t="shared" si="367"/>
        <v>0</v>
      </c>
      <c r="P202" s="1" t="str">
        <f t="shared" si="367"/>
        <v>0</v>
      </c>
      <c r="Q202" s="1" t="str">
        <f t="shared" si="352"/>
        <v>0.0070</v>
      </c>
      <c r="R202" s="1" t="s">
        <v>29</v>
      </c>
      <c r="S202" s="1">
        <v>-0.0014</v>
      </c>
      <c r="T202" s="1" t="str">
        <f t="shared" si="353"/>
        <v>0</v>
      </c>
      <c r="U202" s="1" t="str">
        <f t="shared" ref="U202:U206" si="368">"0.0056"</f>
        <v>0.0056</v>
      </c>
    </row>
    <row r="203" s="1" customFormat="1" spans="1:21">
      <c r="A203" s="1" t="str">
        <f>"4601991415955"</f>
        <v>4601991415955</v>
      </c>
      <c r="B203" s="1" t="s">
        <v>227</v>
      </c>
      <c r="C203" s="1" t="s">
        <v>24</v>
      </c>
      <c r="D203" s="1" t="str">
        <f t="shared" si="349"/>
        <v>2021</v>
      </c>
      <c r="E203" s="1" t="str">
        <f t="shared" ref="E203:P203" si="369">"0"</f>
        <v>0</v>
      </c>
      <c r="F203" s="1" t="str">
        <f t="shared" si="369"/>
        <v>0</v>
      </c>
      <c r="G203" s="1" t="str">
        <f t="shared" si="369"/>
        <v>0</v>
      </c>
      <c r="H203" s="1" t="str">
        <f t="shared" si="369"/>
        <v>0</v>
      </c>
      <c r="I203" s="1" t="str">
        <f t="shared" si="369"/>
        <v>0</v>
      </c>
      <c r="J203" s="1" t="str">
        <f t="shared" si="369"/>
        <v>0</v>
      </c>
      <c r="K203" s="1" t="str">
        <f t="shared" si="369"/>
        <v>0</v>
      </c>
      <c r="L203" s="1" t="str">
        <f t="shared" si="369"/>
        <v>0</v>
      </c>
      <c r="M203" s="1" t="str">
        <f t="shared" si="369"/>
        <v>0</v>
      </c>
      <c r="N203" s="1" t="str">
        <f t="shared" si="369"/>
        <v>0</v>
      </c>
      <c r="O203" s="1" t="str">
        <f t="shared" si="369"/>
        <v>0</v>
      </c>
      <c r="P203" s="1" t="str">
        <f t="shared" si="369"/>
        <v>0</v>
      </c>
      <c r="Q203" s="1" t="str">
        <f t="shared" si="352"/>
        <v>0.0070</v>
      </c>
      <c r="R203" s="1" t="s">
        <v>25</v>
      </c>
      <c r="T203" s="1" t="str">
        <f t="shared" si="353"/>
        <v>0</v>
      </c>
      <c r="U203" s="1" t="str">
        <f t="shared" si="365"/>
        <v>0.0070</v>
      </c>
    </row>
    <row r="204" s="1" customFormat="1" spans="1:21">
      <c r="A204" s="1" t="str">
        <f>"4601991417865"</f>
        <v>4601991417865</v>
      </c>
      <c r="B204" s="1" t="s">
        <v>228</v>
      </c>
      <c r="C204" s="1" t="s">
        <v>24</v>
      </c>
      <c r="D204" s="1" t="str">
        <f t="shared" si="349"/>
        <v>2021</v>
      </c>
      <c r="E204" s="1" t="str">
        <f t="shared" ref="E204:P204" si="370">"0"</f>
        <v>0</v>
      </c>
      <c r="F204" s="1" t="str">
        <f t="shared" si="370"/>
        <v>0</v>
      </c>
      <c r="G204" s="1" t="str">
        <f t="shared" si="370"/>
        <v>0</v>
      </c>
      <c r="H204" s="1" t="str">
        <f t="shared" si="370"/>
        <v>0</v>
      </c>
      <c r="I204" s="1" t="str">
        <f t="shared" si="370"/>
        <v>0</v>
      </c>
      <c r="J204" s="1" t="str">
        <f t="shared" si="370"/>
        <v>0</v>
      </c>
      <c r="K204" s="1" t="str">
        <f t="shared" si="370"/>
        <v>0</v>
      </c>
      <c r="L204" s="1" t="str">
        <f t="shared" si="370"/>
        <v>0</v>
      </c>
      <c r="M204" s="1" t="str">
        <f t="shared" si="370"/>
        <v>0</v>
      </c>
      <c r="N204" s="1" t="str">
        <f t="shared" si="370"/>
        <v>0</v>
      </c>
      <c r="O204" s="1" t="str">
        <f t="shared" si="370"/>
        <v>0</v>
      </c>
      <c r="P204" s="1" t="str">
        <f t="shared" si="370"/>
        <v>0</v>
      </c>
      <c r="Q204" s="1" t="str">
        <f t="shared" si="352"/>
        <v>0.0070</v>
      </c>
      <c r="R204" s="1" t="s">
        <v>25</v>
      </c>
      <c r="T204" s="1" t="str">
        <f t="shared" si="353"/>
        <v>0</v>
      </c>
      <c r="U204" s="1" t="str">
        <f t="shared" si="365"/>
        <v>0.0070</v>
      </c>
    </row>
    <row r="205" s="1" customFormat="1" spans="1:21">
      <c r="A205" s="1" t="str">
        <f>"4601991417739"</f>
        <v>4601991417739</v>
      </c>
      <c r="B205" s="1" t="s">
        <v>229</v>
      </c>
      <c r="C205" s="1" t="s">
        <v>24</v>
      </c>
      <c r="D205" s="1" t="str">
        <f t="shared" si="349"/>
        <v>2021</v>
      </c>
      <c r="E205" s="1" t="str">
        <f>"28.92"</f>
        <v>28.92</v>
      </c>
      <c r="F205" s="1" t="str">
        <f t="shared" ref="F205:I205" si="371">"0"</f>
        <v>0</v>
      </c>
      <c r="G205" s="1" t="str">
        <f t="shared" si="371"/>
        <v>0</v>
      </c>
      <c r="H205" s="1" t="str">
        <f t="shared" si="371"/>
        <v>0</v>
      </c>
      <c r="I205" s="1" t="str">
        <f t="shared" si="371"/>
        <v>0</v>
      </c>
      <c r="J205" s="1" t="str">
        <f>"4"</f>
        <v>4</v>
      </c>
      <c r="K205" s="1" t="str">
        <f t="shared" ref="K205:P205" si="372">"0"</f>
        <v>0</v>
      </c>
      <c r="L205" s="1" t="str">
        <f t="shared" si="372"/>
        <v>0</v>
      </c>
      <c r="M205" s="1" t="str">
        <f t="shared" si="372"/>
        <v>0</v>
      </c>
      <c r="N205" s="1" t="str">
        <f t="shared" si="372"/>
        <v>0</v>
      </c>
      <c r="O205" s="1" t="str">
        <f t="shared" si="372"/>
        <v>0</v>
      </c>
      <c r="P205" s="1" t="str">
        <f t="shared" si="372"/>
        <v>0</v>
      </c>
      <c r="Q205" s="1" t="str">
        <f t="shared" si="352"/>
        <v>0.0070</v>
      </c>
      <c r="R205" s="1" t="s">
        <v>29</v>
      </c>
      <c r="S205" s="1">
        <v>-0.0014</v>
      </c>
      <c r="T205" s="1" t="str">
        <f t="shared" si="353"/>
        <v>0</v>
      </c>
      <c r="U205" s="1" t="str">
        <f t="shared" si="368"/>
        <v>0.0056</v>
      </c>
    </row>
    <row r="206" s="1" customFormat="1" spans="1:21">
      <c r="A206" s="1" t="str">
        <f>"4601991416559"</f>
        <v>4601991416559</v>
      </c>
      <c r="B206" s="1" t="s">
        <v>230</v>
      </c>
      <c r="C206" s="1" t="s">
        <v>24</v>
      </c>
      <c r="D206" s="1" t="str">
        <f t="shared" si="349"/>
        <v>2021</v>
      </c>
      <c r="E206" s="1" t="str">
        <f>"67.69"</f>
        <v>67.69</v>
      </c>
      <c r="F206" s="1" t="str">
        <f t="shared" ref="F206:I206" si="373">"0"</f>
        <v>0</v>
      </c>
      <c r="G206" s="1" t="str">
        <f t="shared" si="373"/>
        <v>0</v>
      </c>
      <c r="H206" s="1" t="str">
        <f t="shared" si="373"/>
        <v>0</v>
      </c>
      <c r="I206" s="1" t="str">
        <f t="shared" si="373"/>
        <v>0</v>
      </c>
      <c r="J206" s="1" t="str">
        <f>"7"</f>
        <v>7</v>
      </c>
      <c r="K206" s="1" t="str">
        <f t="shared" ref="K206:P206" si="374">"0"</f>
        <v>0</v>
      </c>
      <c r="L206" s="1" t="str">
        <f t="shared" si="374"/>
        <v>0</v>
      </c>
      <c r="M206" s="1" t="str">
        <f t="shared" si="374"/>
        <v>0</v>
      </c>
      <c r="N206" s="1" t="str">
        <f t="shared" si="374"/>
        <v>0</v>
      </c>
      <c r="O206" s="1" t="str">
        <f t="shared" si="374"/>
        <v>0</v>
      </c>
      <c r="P206" s="1" t="str">
        <f t="shared" si="374"/>
        <v>0</v>
      </c>
      <c r="Q206" s="1" t="str">
        <f t="shared" si="352"/>
        <v>0.0070</v>
      </c>
      <c r="R206" s="1" t="s">
        <v>29</v>
      </c>
      <c r="S206" s="1">
        <v>-0.0014</v>
      </c>
      <c r="T206" s="1" t="str">
        <f t="shared" si="353"/>
        <v>0</v>
      </c>
      <c r="U206" s="1" t="str">
        <f t="shared" si="368"/>
        <v>0.0056</v>
      </c>
    </row>
    <row r="207" s="1" customFormat="1" spans="1:21">
      <c r="A207" s="1" t="str">
        <f>"4601991403045"</f>
        <v>4601991403045</v>
      </c>
      <c r="B207" s="1" t="s">
        <v>231</v>
      </c>
      <c r="C207" s="1" t="s">
        <v>24</v>
      </c>
      <c r="D207" s="1" t="str">
        <f t="shared" si="349"/>
        <v>2021</v>
      </c>
      <c r="E207" s="1" t="str">
        <f t="shared" ref="E207:P207" si="375">"0"</f>
        <v>0</v>
      </c>
      <c r="F207" s="1" t="str">
        <f t="shared" si="375"/>
        <v>0</v>
      </c>
      <c r="G207" s="1" t="str">
        <f t="shared" si="375"/>
        <v>0</v>
      </c>
      <c r="H207" s="1" t="str">
        <f t="shared" si="375"/>
        <v>0</v>
      </c>
      <c r="I207" s="1" t="str">
        <f t="shared" si="375"/>
        <v>0</v>
      </c>
      <c r="J207" s="1" t="str">
        <f t="shared" si="375"/>
        <v>0</v>
      </c>
      <c r="K207" s="1" t="str">
        <f t="shared" si="375"/>
        <v>0</v>
      </c>
      <c r="L207" s="1" t="str">
        <f t="shared" si="375"/>
        <v>0</v>
      </c>
      <c r="M207" s="1" t="str">
        <f t="shared" si="375"/>
        <v>0</v>
      </c>
      <c r="N207" s="1" t="str">
        <f t="shared" si="375"/>
        <v>0</v>
      </c>
      <c r="O207" s="1" t="str">
        <f t="shared" si="375"/>
        <v>0</v>
      </c>
      <c r="P207" s="1" t="str">
        <f t="shared" si="375"/>
        <v>0</v>
      </c>
      <c r="Q207" s="1" t="str">
        <f t="shared" si="352"/>
        <v>0.0070</v>
      </c>
      <c r="R207" s="1" t="s">
        <v>25</v>
      </c>
      <c r="T207" s="1" t="str">
        <f t="shared" si="353"/>
        <v>0</v>
      </c>
      <c r="U207" s="1" t="str">
        <f t="shared" ref="U207:U211" si="376">"0.0070"</f>
        <v>0.0070</v>
      </c>
    </row>
    <row r="208" s="1" customFormat="1" spans="1:21">
      <c r="A208" s="1" t="str">
        <f>"4601991403044"</f>
        <v>4601991403044</v>
      </c>
      <c r="B208" s="1" t="s">
        <v>232</v>
      </c>
      <c r="C208" s="1" t="s">
        <v>24</v>
      </c>
      <c r="D208" s="1" t="str">
        <f t="shared" si="349"/>
        <v>2021</v>
      </c>
      <c r="E208" s="1" t="str">
        <f>"9.58"</f>
        <v>9.58</v>
      </c>
      <c r="F208" s="1" t="str">
        <f t="shared" ref="F208:I208" si="377">"0"</f>
        <v>0</v>
      </c>
      <c r="G208" s="1" t="str">
        <f t="shared" si="377"/>
        <v>0</v>
      </c>
      <c r="H208" s="1" t="str">
        <f t="shared" si="377"/>
        <v>0</v>
      </c>
      <c r="I208" s="1" t="str">
        <f t="shared" si="377"/>
        <v>0</v>
      </c>
      <c r="J208" s="1" t="str">
        <f>"1"</f>
        <v>1</v>
      </c>
      <c r="K208" s="1" t="str">
        <f t="shared" ref="K208:P208" si="378">"0"</f>
        <v>0</v>
      </c>
      <c r="L208" s="1" t="str">
        <f t="shared" si="378"/>
        <v>0</v>
      </c>
      <c r="M208" s="1" t="str">
        <f t="shared" si="378"/>
        <v>0</v>
      </c>
      <c r="N208" s="1" t="str">
        <f t="shared" si="378"/>
        <v>0</v>
      </c>
      <c r="O208" s="1" t="str">
        <f t="shared" si="378"/>
        <v>0</v>
      </c>
      <c r="P208" s="1" t="str">
        <f t="shared" si="378"/>
        <v>0</v>
      </c>
      <c r="Q208" s="1" t="str">
        <f t="shared" si="352"/>
        <v>0.0070</v>
      </c>
      <c r="R208" s="1" t="s">
        <v>29</v>
      </c>
      <c r="S208" s="1">
        <v>-0.0014</v>
      </c>
      <c r="T208" s="1" t="str">
        <f t="shared" si="353"/>
        <v>0</v>
      </c>
      <c r="U208" s="1" t="str">
        <f>"0.0056"</f>
        <v>0.0056</v>
      </c>
    </row>
    <row r="209" s="1" customFormat="1" spans="1:21">
      <c r="A209" s="1" t="str">
        <f>"4601991403048"</f>
        <v>4601991403048</v>
      </c>
      <c r="B209" s="1" t="s">
        <v>233</v>
      </c>
      <c r="C209" s="1" t="s">
        <v>24</v>
      </c>
      <c r="D209" s="1" t="str">
        <f t="shared" si="349"/>
        <v>2021</v>
      </c>
      <c r="E209" s="1" t="str">
        <f t="shared" ref="E209:P209" si="379">"0"</f>
        <v>0</v>
      </c>
      <c r="F209" s="1" t="str">
        <f t="shared" si="379"/>
        <v>0</v>
      </c>
      <c r="G209" s="1" t="str">
        <f t="shared" si="379"/>
        <v>0</v>
      </c>
      <c r="H209" s="1" t="str">
        <f t="shared" si="379"/>
        <v>0</v>
      </c>
      <c r="I209" s="1" t="str">
        <f t="shared" si="379"/>
        <v>0</v>
      </c>
      <c r="J209" s="1" t="str">
        <f t="shared" si="379"/>
        <v>0</v>
      </c>
      <c r="K209" s="1" t="str">
        <f t="shared" si="379"/>
        <v>0</v>
      </c>
      <c r="L209" s="1" t="str">
        <f t="shared" si="379"/>
        <v>0</v>
      </c>
      <c r="M209" s="1" t="str">
        <f t="shared" si="379"/>
        <v>0</v>
      </c>
      <c r="N209" s="1" t="str">
        <f t="shared" si="379"/>
        <v>0</v>
      </c>
      <c r="O209" s="1" t="str">
        <f t="shared" si="379"/>
        <v>0</v>
      </c>
      <c r="P209" s="1" t="str">
        <f t="shared" si="379"/>
        <v>0</v>
      </c>
      <c r="Q209" s="1" t="str">
        <f t="shared" si="352"/>
        <v>0.0070</v>
      </c>
      <c r="R209" s="1" t="s">
        <v>25</v>
      </c>
      <c r="T209" s="1" t="str">
        <f t="shared" si="353"/>
        <v>0</v>
      </c>
      <c r="U209" s="1" t="str">
        <f t="shared" si="376"/>
        <v>0.0070</v>
      </c>
    </row>
    <row r="210" s="1" customFormat="1" spans="1:21">
      <c r="A210" s="1" t="str">
        <f>"4601991403052"</f>
        <v>4601991403052</v>
      </c>
      <c r="B210" s="1" t="s">
        <v>234</v>
      </c>
      <c r="C210" s="1" t="s">
        <v>24</v>
      </c>
      <c r="D210" s="1" t="str">
        <f t="shared" si="349"/>
        <v>2021</v>
      </c>
      <c r="E210" s="1" t="str">
        <f t="shared" ref="E210:P210" si="380">"0"</f>
        <v>0</v>
      </c>
      <c r="F210" s="1" t="str">
        <f t="shared" si="380"/>
        <v>0</v>
      </c>
      <c r="G210" s="1" t="str">
        <f t="shared" si="380"/>
        <v>0</v>
      </c>
      <c r="H210" s="1" t="str">
        <f t="shared" si="380"/>
        <v>0</v>
      </c>
      <c r="I210" s="1" t="str">
        <f t="shared" si="380"/>
        <v>0</v>
      </c>
      <c r="J210" s="1" t="str">
        <f t="shared" si="380"/>
        <v>0</v>
      </c>
      <c r="K210" s="1" t="str">
        <f t="shared" si="380"/>
        <v>0</v>
      </c>
      <c r="L210" s="1" t="str">
        <f t="shared" si="380"/>
        <v>0</v>
      </c>
      <c r="M210" s="1" t="str">
        <f t="shared" si="380"/>
        <v>0</v>
      </c>
      <c r="N210" s="1" t="str">
        <f t="shared" si="380"/>
        <v>0</v>
      </c>
      <c r="O210" s="1" t="str">
        <f t="shared" si="380"/>
        <v>0</v>
      </c>
      <c r="P210" s="1" t="str">
        <f t="shared" si="380"/>
        <v>0</v>
      </c>
      <c r="Q210" s="1" t="str">
        <f t="shared" si="352"/>
        <v>0.0070</v>
      </c>
      <c r="R210" s="1" t="s">
        <v>25</v>
      </c>
      <c r="T210" s="1" t="str">
        <f t="shared" si="353"/>
        <v>0</v>
      </c>
      <c r="U210" s="1" t="str">
        <f t="shared" si="376"/>
        <v>0.0070</v>
      </c>
    </row>
    <row r="211" s="1" customFormat="1" spans="1:21">
      <c r="A211" s="1" t="str">
        <f>"4601991403812"</f>
        <v>4601991403812</v>
      </c>
      <c r="B211" s="1" t="s">
        <v>235</v>
      </c>
      <c r="C211" s="1" t="s">
        <v>24</v>
      </c>
      <c r="D211" s="1" t="str">
        <f t="shared" si="349"/>
        <v>2021</v>
      </c>
      <c r="E211" s="1" t="str">
        <f t="shared" ref="E211:P211" si="381">"0"</f>
        <v>0</v>
      </c>
      <c r="F211" s="1" t="str">
        <f t="shared" si="381"/>
        <v>0</v>
      </c>
      <c r="G211" s="1" t="str">
        <f t="shared" si="381"/>
        <v>0</v>
      </c>
      <c r="H211" s="1" t="str">
        <f t="shared" si="381"/>
        <v>0</v>
      </c>
      <c r="I211" s="1" t="str">
        <f t="shared" si="381"/>
        <v>0</v>
      </c>
      <c r="J211" s="1" t="str">
        <f t="shared" si="381"/>
        <v>0</v>
      </c>
      <c r="K211" s="1" t="str">
        <f t="shared" si="381"/>
        <v>0</v>
      </c>
      <c r="L211" s="1" t="str">
        <f t="shared" si="381"/>
        <v>0</v>
      </c>
      <c r="M211" s="1" t="str">
        <f t="shared" si="381"/>
        <v>0</v>
      </c>
      <c r="N211" s="1" t="str">
        <f t="shared" si="381"/>
        <v>0</v>
      </c>
      <c r="O211" s="1" t="str">
        <f t="shared" si="381"/>
        <v>0</v>
      </c>
      <c r="P211" s="1" t="str">
        <f t="shared" si="381"/>
        <v>0</v>
      </c>
      <c r="Q211" s="1" t="str">
        <f t="shared" si="352"/>
        <v>0.0070</v>
      </c>
      <c r="R211" s="1" t="s">
        <v>25</v>
      </c>
      <c r="T211" s="1" t="str">
        <f t="shared" si="353"/>
        <v>0</v>
      </c>
      <c r="U211" s="1" t="str">
        <f t="shared" si="376"/>
        <v>0.0070</v>
      </c>
    </row>
    <row r="212" s="1" customFormat="1" spans="1:21">
      <c r="A212" s="1" t="str">
        <f>"4601991403053"</f>
        <v>4601991403053</v>
      </c>
      <c r="B212" s="1" t="s">
        <v>236</v>
      </c>
      <c r="C212" s="1" t="s">
        <v>24</v>
      </c>
      <c r="D212" s="1" t="str">
        <f t="shared" si="349"/>
        <v>2021</v>
      </c>
      <c r="E212" s="1" t="str">
        <f>"38.68"</f>
        <v>38.68</v>
      </c>
      <c r="F212" s="1" t="str">
        <f t="shared" ref="F212:I212" si="382">"0"</f>
        <v>0</v>
      </c>
      <c r="G212" s="1" t="str">
        <f t="shared" si="382"/>
        <v>0</v>
      </c>
      <c r="H212" s="1" t="str">
        <f t="shared" si="382"/>
        <v>0</v>
      </c>
      <c r="I212" s="1" t="str">
        <f t="shared" si="382"/>
        <v>0</v>
      </c>
      <c r="J212" s="1" t="str">
        <f>"4"</f>
        <v>4</v>
      </c>
      <c r="K212" s="1" t="str">
        <f t="shared" ref="K212:P212" si="383">"0"</f>
        <v>0</v>
      </c>
      <c r="L212" s="1" t="str">
        <f t="shared" si="383"/>
        <v>0</v>
      </c>
      <c r="M212" s="1" t="str">
        <f t="shared" si="383"/>
        <v>0</v>
      </c>
      <c r="N212" s="1" t="str">
        <f t="shared" si="383"/>
        <v>0</v>
      </c>
      <c r="O212" s="1" t="str">
        <f t="shared" si="383"/>
        <v>0</v>
      </c>
      <c r="P212" s="1" t="str">
        <f t="shared" si="383"/>
        <v>0</v>
      </c>
      <c r="Q212" s="1" t="str">
        <f t="shared" si="352"/>
        <v>0.0070</v>
      </c>
      <c r="R212" s="1" t="s">
        <v>29</v>
      </c>
      <c r="S212" s="1">
        <v>-0.0014</v>
      </c>
      <c r="T212" s="1" t="str">
        <f t="shared" si="353"/>
        <v>0</v>
      </c>
      <c r="U212" s="1" t="str">
        <f t="shared" ref="U212:U218" si="384">"0.0056"</f>
        <v>0.0056</v>
      </c>
    </row>
    <row r="213" s="1" customFormat="1" spans="1:21">
      <c r="A213" s="1" t="str">
        <f>"4601991403828"</f>
        <v>4601991403828</v>
      </c>
      <c r="B213" s="1" t="s">
        <v>237</v>
      </c>
      <c r="C213" s="1" t="s">
        <v>24</v>
      </c>
      <c r="D213" s="1" t="str">
        <f t="shared" si="349"/>
        <v>2021</v>
      </c>
      <c r="E213" s="1" t="str">
        <f t="shared" ref="E213:P213" si="385">"0"</f>
        <v>0</v>
      </c>
      <c r="F213" s="1" t="str">
        <f t="shared" si="385"/>
        <v>0</v>
      </c>
      <c r="G213" s="1" t="str">
        <f t="shared" si="385"/>
        <v>0</v>
      </c>
      <c r="H213" s="1" t="str">
        <f t="shared" si="385"/>
        <v>0</v>
      </c>
      <c r="I213" s="1" t="str">
        <f t="shared" si="385"/>
        <v>0</v>
      </c>
      <c r="J213" s="1" t="str">
        <f t="shared" si="385"/>
        <v>0</v>
      </c>
      <c r="K213" s="1" t="str">
        <f t="shared" si="385"/>
        <v>0</v>
      </c>
      <c r="L213" s="1" t="str">
        <f t="shared" si="385"/>
        <v>0</v>
      </c>
      <c r="M213" s="1" t="str">
        <f t="shared" si="385"/>
        <v>0</v>
      </c>
      <c r="N213" s="1" t="str">
        <f t="shared" si="385"/>
        <v>0</v>
      </c>
      <c r="O213" s="1" t="str">
        <f t="shared" si="385"/>
        <v>0</v>
      </c>
      <c r="P213" s="1" t="str">
        <f t="shared" si="385"/>
        <v>0</v>
      </c>
      <c r="Q213" s="1" t="str">
        <f t="shared" si="352"/>
        <v>0.0070</v>
      </c>
      <c r="R213" s="1" t="s">
        <v>25</v>
      </c>
      <c r="T213" s="1" t="str">
        <f t="shared" si="353"/>
        <v>0</v>
      </c>
      <c r="U213" s="1" t="str">
        <f t="shared" ref="U213:U216" si="386">"0.0070"</f>
        <v>0.0070</v>
      </c>
    </row>
    <row r="214" s="1" customFormat="1" spans="1:21">
      <c r="A214" s="1" t="str">
        <f>"4601991403807"</f>
        <v>4601991403807</v>
      </c>
      <c r="B214" s="1" t="s">
        <v>238</v>
      </c>
      <c r="C214" s="1" t="s">
        <v>24</v>
      </c>
      <c r="D214" s="1" t="str">
        <f t="shared" si="349"/>
        <v>2021</v>
      </c>
      <c r="E214" s="1" t="str">
        <f t="shared" ref="E214:P214" si="387">"0"</f>
        <v>0</v>
      </c>
      <c r="F214" s="1" t="str">
        <f t="shared" si="387"/>
        <v>0</v>
      </c>
      <c r="G214" s="1" t="str">
        <f t="shared" si="387"/>
        <v>0</v>
      </c>
      <c r="H214" s="1" t="str">
        <f t="shared" si="387"/>
        <v>0</v>
      </c>
      <c r="I214" s="1" t="str">
        <f t="shared" si="387"/>
        <v>0</v>
      </c>
      <c r="J214" s="1" t="str">
        <f t="shared" si="387"/>
        <v>0</v>
      </c>
      <c r="K214" s="1" t="str">
        <f t="shared" si="387"/>
        <v>0</v>
      </c>
      <c r="L214" s="1" t="str">
        <f t="shared" si="387"/>
        <v>0</v>
      </c>
      <c r="M214" s="1" t="str">
        <f t="shared" si="387"/>
        <v>0</v>
      </c>
      <c r="N214" s="1" t="str">
        <f t="shared" si="387"/>
        <v>0</v>
      </c>
      <c r="O214" s="1" t="str">
        <f t="shared" si="387"/>
        <v>0</v>
      </c>
      <c r="P214" s="1" t="str">
        <f t="shared" si="387"/>
        <v>0</v>
      </c>
      <c r="Q214" s="1" t="str">
        <f t="shared" si="352"/>
        <v>0.0070</v>
      </c>
      <c r="R214" s="1" t="s">
        <v>25</v>
      </c>
      <c r="T214" s="1" t="str">
        <f t="shared" si="353"/>
        <v>0</v>
      </c>
      <c r="U214" s="1" t="str">
        <f t="shared" si="386"/>
        <v>0.0070</v>
      </c>
    </row>
    <row r="215" s="1" customFormat="1" spans="1:21">
      <c r="A215" s="1" t="str">
        <f>"4601991403830"</f>
        <v>4601991403830</v>
      </c>
      <c r="B215" s="1" t="s">
        <v>239</v>
      </c>
      <c r="C215" s="1" t="s">
        <v>24</v>
      </c>
      <c r="D215" s="1" t="str">
        <f t="shared" si="349"/>
        <v>2021</v>
      </c>
      <c r="E215" s="1" t="str">
        <f>"58.02"</f>
        <v>58.02</v>
      </c>
      <c r="F215" s="1" t="str">
        <f t="shared" ref="F215:I215" si="388">"0"</f>
        <v>0</v>
      </c>
      <c r="G215" s="1" t="str">
        <f t="shared" si="388"/>
        <v>0</v>
      </c>
      <c r="H215" s="1" t="str">
        <f t="shared" si="388"/>
        <v>0</v>
      </c>
      <c r="I215" s="1" t="str">
        <f t="shared" si="388"/>
        <v>0</v>
      </c>
      <c r="J215" s="1" t="str">
        <f>"6"</f>
        <v>6</v>
      </c>
      <c r="K215" s="1" t="str">
        <f t="shared" ref="K215:P215" si="389">"0"</f>
        <v>0</v>
      </c>
      <c r="L215" s="1" t="str">
        <f t="shared" si="389"/>
        <v>0</v>
      </c>
      <c r="M215" s="1" t="str">
        <f t="shared" si="389"/>
        <v>0</v>
      </c>
      <c r="N215" s="1" t="str">
        <f t="shared" si="389"/>
        <v>0</v>
      </c>
      <c r="O215" s="1" t="str">
        <f t="shared" si="389"/>
        <v>0</v>
      </c>
      <c r="P215" s="1" t="str">
        <f t="shared" si="389"/>
        <v>0</v>
      </c>
      <c r="Q215" s="1" t="str">
        <f t="shared" si="352"/>
        <v>0.0070</v>
      </c>
      <c r="R215" s="1" t="s">
        <v>29</v>
      </c>
      <c r="S215" s="1">
        <v>-0.0014</v>
      </c>
      <c r="T215" s="1" t="str">
        <f t="shared" si="353"/>
        <v>0</v>
      </c>
      <c r="U215" s="1" t="str">
        <f t="shared" si="384"/>
        <v>0.0056</v>
      </c>
    </row>
    <row r="216" s="1" customFormat="1" spans="1:21">
      <c r="A216" s="1" t="str">
        <f>"4601991403461"</f>
        <v>4601991403461</v>
      </c>
      <c r="B216" s="1" t="s">
        <v>240</v>
      </c>
      <c r="C216" s="1" t="s">
        <v>24</v>
      </c>
      <c r="D216" s="1" t="str">
        <f t="shared" si="349"/>
        <v>2021</v>
      </c>
      <c r="E216" s="1" t="str">
        <f t="shared" ref="E216:P216" si="390">"0"</f>
        <v>0</v>
      </c>
      <c r="F216" s="1" t="str">
        <f t="shared" si="390"/>
        <v>0</v>
      </c>
      <c r="G216" s="1" t="str">
        <f t="shared" si="390"/>
        <v>0</v>
      </c>
      <c r="H216" s="1" t="str">
        <f t="shared" si="390"/>
        <v>0</v>
      </c>
      <c r="I216" s="1" t="str">
        <f t="shared" si="390"/>
        <v>0</v>
      </c>
      <c r="J216" s="1" t="str">
        <f t="shared" si="390"/>
        <v>0</v>
      </c>
      <c r="K216" s="1" t="str">
        <f t="shared" si="390"/>
        <v>0</v>
      </c>
      <c r="L216" s="1" t="str">
        <f t="shared" si="390"/>
        <v>0</v>
      </c>
      <c r="M216" s="1" t="str">
        <f t="shared" si="390"/>
        <v>0</v>
      </c>
      <c r="N216" s="1" t="str">
        <f t="shared" si="390"/>
        <v>0</v>
      </c>
      <c r="O216" s="1" t="str">
        <f t="shared" si="390"/>
        <v>0</v>
      </c>
      <c r="P216" s="1" t="str">
        <f t="shared" si="390"/>
        <v>0</v>
      </c>
      <c r="Q216" s="1" t="str">
        <f t="shared" si="352"/>
        <v>0.0070</v>
      </c>
      <c r="R216" s="1" t="s">
        <v>25</v>
      </c>
      <c r="T216" s="1" t="str">
        <f t="shared" si="353"/>
        <v>0</v>
      </c>
      <c r="U216" s="1" t="str">
        <f t="shared" si="386"/>
        <v>0.0070</v>
      </c>
    </row>
    <row r="217" s="1" customFormat="1" spans="1:21">
      <c r="A217" s="1" t="str">
        <f>"4601991403088"</f>
        <v>4601991403088</v>
      </c>
      <c r="B217" s="1" t="s">
        <v>241</v>
      </c>
      <c r="C217" s="1" t="s">
        <v>24</v>
      </c>
      <c r="D217" s="1" t="str">
        <f t="shared" si="349"/>
        <v>2021</v>
      </c>
      <c r="E217" s="1" t="str">
        <f>"29.01"</f>
        <v>29.01</v>
      </c>
      <c r="F217" s="1" t="str">
        <f t="shared" ref="F217:I217" si="391">"0"</f>
        <v>0</v>
      </c>
      <c r="G217" s="1" t="str">
        <f t="shared" si="391"/>
        <v>0</v>
      </c>
      <c r="H217" s="1" t="str">
        <f t="shared" si="391"/>
        <v>0</v>
      </c>
      <c r="I217" s="1" t="str">
        <f t="shared" si="391"/>
        <v>0</v>
      </c>
      <c r="J217" s="1" t="str">
        <f>"3"</f>
        <v>3</v>
      </c>
      <c r="K217" s="1" t="str">
        <f t="shared" ref="K217:P217" si="392">"0"</f>
        <v>0</v>
      </c>
      <c r="L217" s="1" t="str">
        <f t="shared" si="392"/>
        <v>0</v>
      </c>
      <c r="M217" s="1" t="str">
        <f t="shared" si="392"/>
        <v>0</v>
      </c>
      <c r="N217" s="1" t="str">
        <f t="shared" si="392"/>
        <v>0</v>
      </c>
      <c r="O217" s="1" t="str">
        <f t="shared" si="392"/>
        <v>0</v>
      </c>
      <c r="P217" s="1" t="str">
        <f t="shared" si="392"/>
        <v>0</v>
      </c>
      <c r="Q217" s="1" t="str">
        <f t="shared" si="352"/>
        <v>0.0070</v>
      </c>
      <c r="R217" s="1" t="s">
        <v>29</v>
      </c>
      <c r="S217" s="1">
        <v>-0.0014</v>
      </c>
      <c r="T217" s="1" t="str">
        <f t="shared" si="353"/>
        <v>0</v>
      </c>
      <c r="U217" s="1" t="str">
        <f t="shared" si="384"/>
        <v>0.0056</v>
      </c>
    </row>
    <row r="218" s="1" customFormat="1" spans="1:21">
      <c r="A218" s="1" t="str">
        <f>"4601991403089"</f>
        <v>4601991403089</v>
      </c>
      <c r="B218" s="1" t="s">
        <v>242</v>
      </c>
      <c r="C218" s="1" t="s">
        <v>24</v>
      </c>
      <c r="D218" s="1" t="str">
        <f t="shared" si="349"/>
        <v>2021</v>
      </c>
      <c r="E218" s="1" t="str">
        <f>"9.67"</f>
        <v>9.67</v>
      </c>
      <c r="F218" s="1" t="str">
        <f t="shared" ref="F218:I218" si="393">"0"</f>
        <v>0</v>
      </c>
      <c r="G218" s="1" t="str">
        <f t="shared" si="393"/>
        <v>0</v>
      </c>
      <c r="H218" s="1" t="str">
        <f t="shared" si="393"/>
        <v>0</v>
      </c>
      <c r="I218" s="1" t="str">
        <f t="shared" si="393"/>
        <v>0</v>
      </c>
      <c r="J218" s="1" t="str">
        <f>"1"</f>
        <v>1</v>
      </c>
      <c r="K218" s="1" t="str">
        <f t="shared" ref="K218:P218" si="394">"0"</f>
        <v>0</v>
      </c>
      <c r="L218" s="1" t="str">
        <f t="shared" si="394"/>
        <v>0</v>
      </c>
      <c r="M218" s="1" t="str">
        <f t="shared" si="394"/>
        <v>0</v>
      </c>
      <c r="N218" s="1" t="str">
        <f t="shared" si="394"/>
        <v>0</v>
      </c>
      <c r="O218" s="1" t="str">
        <f t="shared" si="394"/>
        <v>0</v>
      </c>
      <c r="P218" s="1" t="str">
        <f t="shared" si="394"/>
        <v>0</v>
      </c>
      <c r="Q218" s="1" t="str">
        <f t="shared" si="352"/>
        <v>0.0070</v>
      </c>
      <c r="R218" s="1" t="s">
        <v>29</v>
      </c>
      <c r="S218" s="1">
        <v>-0.0014</v>
      </c>
      <c r="T218" s="1" t="str">
        <f t="shared" si="353"/>
        <v>0</v>
      </c>
      <c r="U218" s="1" t="str">
        <f t="shared" si="384"/>
        <v>0.0056</v>
      </c>
    </row>
    <row r="219" s="1" customFormat="1" spans="1:21">
      <c r="A219" s="1" t="str">
        <f>"4601991403872"</f>
        <v>4601991403872</v>
      </c>
      <c r="B219" s="1" t="s">
        <v>243</v>
      </c>
      <c r="C219" s="1" t="s">
        <v>24</v>
      </c>
      <c r="D219" s="1" t="str">
        <f t="shared" si="349"/>
        <v>2021</v>
      </c>
      <c r="E219" s="1" t="str">
        <f t="shared" ref="E219:P219" si="395">"0"</f>
        <v>0</v>
      </c>
      <c r="F219" s="1" t="str">
        <f t="shared" si="395"/>
        <v>0</v>
      </c>
      <c r="G219" s="1" t="str">
        <f t="shared" si="395"/>
        <v>0</v>
      </c>
      <c r="H219" s="1" t="str">
        <f t="shared" si="395"/>
        <v>0</v>
      </c>
      <c r="I219" s="1" t="str">
        <f t="shared" si="395"/>
        <v>0</v>
      </c>
      <c r="J219" s="1" t="str">
        <f t="shared" si="395"/>
        <v>0</v>
      </c>
      <c r="K219" s="1" t="str">
        <f t="shared" si="395"/>
        <v>0</v>
      </c>
      <c r="L219" s="1" t="str">
        <f t="shared" si="395"/>
        <v>0</v>
      </c>
      <c r="M219" s="1" t="str">
        <f t="shared" si="395"/>
        <v>0</v>
      </c>
      <c r="N219" s="1" t="str">
        <f t="shared" si="395"/>
        <v>0</v>
      </c>
      <c r="O219" s="1" t="str">
        <f t="shared" si="395"/>
        <v>0</v>
      </c>
      <c r="P219" s="1" t="str">
        <f t="shared" si="395"/>
        <v>0</v>
      </c>
      <c r="Q219" s="1" t="str">
        <f t="shared" si="352"/>
        <v>0.0070</v>
      </c>
      <c r="R219" s="1" t="s">
        <v>25</v>
      </c>
      <c r="T219" s="1" t="str">
        <f t="shared" si="353"/>
        <v>0</v>
      </c>
      <c r="U219" s="1" t="str">
        <f t="shared" ref="U219:U221" si="396">"0.0070"</f>
        <v>0.0070</v>
      </c>
    </row>
    <row r="220" s="1" customFormat="1" spans="1:21">
      <c r="A220" s="1" t="str">
        <f>"4601991403126"</f>
        <v>4601991403126</v>
      </c>
      <c r="B220" s="1" t="s">
        <v>244</v>
      </c>
      <c r="C220" s="1" t="s">
        <v>24</v>
      </c>
      <c r="D220" s="1" t="str">
        <f t="shared" si="349"/>
        <v>2021</v>
      </c>
      <c r="E220" s="1" t="str">
        <f t="shared" ref="E220:P220" si="397">"0"</f>
        <v>0</v>
      </c>
      <c r="F220" s="1" t="str">
        <f t="shared" si="397"/>
        <v>0</v>
      </c>
      <c r="G220" s="1" t="str">
        <f t="shared" si="397"/>
        <v>0</v>
      </c>
      <c r="H220" s="1" t="str">
        <f t="shared" si="397"/>
        <v>0</v>
      </c>
      <c r="I220" s="1" t="str">
        <f t="shared" si="397"/>
        <v>0</v>
      </c>
      <c r="J220" s="1" t="str">
        <f t="shared" si="397"/>
        <v>0</v>
      </c>
      <c r="K220" s="1" t="str">
        <f t="shared" si="397"/>
        <v>0</v>
      </c>
      <c r="L220" s="1" t="str">
        <f t="shared" si="397"/>
        <v>0</v>
      </c>
      <c r="M220" s="1" t="str">
        <f t="shared" si="397"/>
        <v>0</v>
      </c>
      <c r="N220" s="1" t="str">
        <f t="shared" si="397"/>
        <v>0</v>
      </c>
      <c r="O220" s="1" t="str">
        <f t="shared" si="397"/>
        <v>0</v>
      </c>
      <c r="P220" s="1" t="str">
        <f t="shared" si="397"/>
        <v>0</v>
      </c>
      <c r="Q220" s="1" t="str">
        <f t="shared" si="352"/>
        <v>0.0070</v>
      </c>
      <c r="R220" s="1" t="s">
        <v>25</v>
      </c>
      <c r="T220" s="1" t="str">
        <f t="shared" si="353"/>
        <v>0</v>
      </c>
      <c r="U220" s="1" t="str">
        <f t="shared" si="396"/>
        <v>0.0070</v>
      </c>
    </row>
    <row r="221" s="1" customFormat="1" spans="1:21">
      <c r="A221" s="1" t="str">
        <f>"4601991403492"</f>
        <v>4601991403492</v>
      </c>
      <c r="B221" s="1" t="s">
        <v>245</v>
      </c>
      <c r="C221" s="1" t="s">
        <v>24</v>
      </c>
      <c r="D221" s="1" t="str">
        <f t="shared" si="349"/>
        <v>2021</v>
      </c>
      <c r="E221" s="1" t="str">
        <f t="shared" ref="E221:P221" si="398">"0"</f>
        <v>0</v>
      </c>
      <c r="F221" s="1" t="str">
        <f t="shared" si="398"/>
        <v>0</v>
      </c>
      <c r="G221" s="1" t="str">
        <f t="shared" si="398"/>
        <v>0</v>
      </c>
      <c r="H221" s="1" t="str">
        <f t="shared" si="398"/>
        <v>0</v>
      </c>
      <c r="I221" s="1" t="str">
        <f t="shared" si="398"/>
        <v>0</v>
      </c>
      <c r="J221" s="1" t="str">
        <f t="shared" si="398"/>
        <v>0</v>
      </c>
      <c r="K221" s="1" t="str">
        <f t="shared" si="398"/>
        <v>0</v>
      </c>
      <c r="L221" s="1" t="str">
        <f t="shared" si="398"/>
        <v>0</v>
      </c>
      <c r="M221" s="1" t="str">
        <f t="shared" si="398"/>
        <v>0</v>
      </c>
      <c r="N221" s="1" t="str">
        <f t="shared" si="398"/>
        <v>0</v>
      </c>
      <c r="O221" s="1" t="str">
        <f t="shared" si="398"/>
        <v>0</v>
      </c>
      <c r="P221" s="1" t="str">
        <f t="shared" si="398"/>
        <v>0</v>
      </c>
      <c r="Q221" s="1" t="str">
        <f t="shared" si="352"/>
        <v>0.0070</v>
      </c>
      <c r="R221" s="1" t="s">
        <v>25</v>
      </c>
      <c r="T221" s="1" t="str">
        <f t="shared" si="353"/>
        <v>0</v>
      </c>
      <c r="U221" s="1" t="str">
        <f t="shared" si="396"/>
        <v>0.0070</v>
      </c>
    </row>
    <row r="222" s="1" customFormat="1" spans="1:21">
      <c r="A222" s="1" t="str">
        <f>"4601991403127"</f>
        <v>4601991403127</v>
      </c>
      <c r="B222" s="1" t="s">
        <v>246</v>
      </c>
      <c r="C222" s="1" t="s">
        <v>24</v>
      </c>
      <c r="D222" s="1" t="str">
        <f t="shared" si="349"/>
        <v>2021</v>
      </c>
      <c r="E222" s="1" t="str">
        <f>"205.29"</f>
        <v>205.29</v>
      </c>
      <c r="F222" s="1" t="str">
        <f t="shared" ref="F222:I222" si="399">"0"</f>
        <v>0</v>
      </c>
      <c r="G222" s="1" t="str">
        <f t="shared" si="399"/>
        <v>0</v>
      </c>
      <c r="H222" s="1" t="str">
        <f t="shared" si="399"/>
        <v>0</v>
      </c>
      <c r="I222" s="1" t="str">
        <f t="shared" si="399"/>
        <v>0</v>
      </c>
      <c r="J222" s="1" t="str">
        <f>"10"</f>
        <v>10</v>
      </c>
      <c r="K222" s="1" t="str">
        <f t="shared" ref="K222:P222" si="400">"0"</f>
        <v>0</v>
      </c>
      <c r="L222" s="1" t="str">
        <f t="shared" si="400"/>
        <v>0</v>
      </c>
      <c r="M222" s="1" t="str">
        <f t="shared" si="400"/>
        <v>0</v>
      </c>
      <c r="N222" s="1" t="str">
        <f t="shared" si="400"/>
        <v>0</v>
      </c>
      <c r="O222" s="1" t="str">
        <f t="shared" si="400"/>
        <v>0</v>
      </c>
      <c r="P222" s="1" t="str">
        <f t="shared" si="400"/>
        <v>0</v>
      </c>
      <c r="Q222" s="1" t="str">
        <f t="shared" si="352"/>
        <v>0.0070</v>
      </c>
      <c r="R222" s="1" t="s">
        <v>29</v>
      </c>
      <c r="S222" s="1">
        <v>-0.0014</v>
      </c>
      <c r="T222" s="1" t="str">
        <f t="shared" si="353"/>
        <v>0</v>
      </c>
      <c r="U222" s="1" t="str">
        <f t="shared" ref="U222:U224" si="401">"0.0056"</f>
        <v>0.0056</v>
      </c>
    </row>
    <row r="223" s="1" customFormat="1" spans="1:21">
      <c r="A223" s="1" t="str">
        <f>"4601991404239"</f>
        <v>4601991404239</v>
      </c>
      <c r="B223" s="1" t="s">
        <v>247</v>
      </c>
      <c r="C223" s="1" t="s">
        <v>24</v>
      </c>
      <c r="D223" s="1" t="str">
        <f t="shared" si="349"/>
        <v>2021</v>
      </c>
      <c r="E223" s="1" t="str">
        <f>"1469.55"</f>
        <v>1469.55</v>
      </c>
      <c r="F223" s="1" t="str">
        <f t="shared" ref="F223:I223" si="402">"0"</f>
        <v>0</v>
      </c>
      <c r="G223" s="1" t="str">
        <f t="shared" si="402"/>
        <v>0</v>
      </c>
      <c r="H223" s="1" t="str">
        <f t="shared" si="402"/>
        <v>0</v>
      </c>
      <c r="I223" s="1" t="str">
        <f t="shared" si="402"/>
        <v>0</v>
      </c>
      <c r="J223" s="1" t="str">
        <f>"82"</f>
        <v>82</v>
      </c>
      <c r="K223" s="1" t="str">
        <f t="shared" ref="K223:P223" si="403">"0"</f>
        <v>0</v>
      </c>
      <c r="L223" s="1" t="str">
        <f t="shared" si="403"/>
        <v>0</v>
      </c>
      <c r="M223" s="1" t="str">
        <f t="shared" si="403"/>
        <v>0</v>
      </c>
      <c r="N223" s="1" t="str">
        <f t="shared" si="403"/>
        <v>0</v>
      </c>
      <c r="O223" s="1" t="str">
        <f t="shared" si="403"/>
        <v>0</v>
      </c>
      <c r="P223" s="1" t="str">
        <f t="shared" si="403"/>
        <v>0</v>
      </c>
      <c r="Q223" s="1" t="str">
        <f t="shared" si="352"/>
        <v>0.0070</v>
      </c>
      <c r="R223" s="1" t="s">
        <v>29</v>
      </c>
      <c r="S223" s="1">
        <v>-0.0014</v>
      </c>
      <c r="T223" s="1" t="str">
        <f t="shared" si="353"/>
        <v>0</v>
      </c>
      <c r="U223" s="1" t="str">
        <f t="shared" si="401"/>
        <v>0.0056</v>
      </c>
    </row>
    <row r="224" s="1" customFormat="1" spans="1:21">
      <c r="A224" s="1" t="str">
        <f>"4601991403124"</f>
        <v>4601991403124</v>
      </c>
      <c r="B224" s="1" t="s">
        <v>248</v>
      </c>
      <c r="C224" s="1" t="s">
        <v>24</v>
      </c>
      <c r="D224" s="1" t="str">
        <f t="shared" si="349"/>
        <v>2021</v>
      </c>
      <c r="E224" s="1" t="str">
        <f>"234.63"</f>
        <v>234.63</v>
      </c>
      <c r="F224" s="1" t="str">
        <f t="shared" ref="F224:I224" si="404">"0"</f>
        <v>0</v>
      </c>
      <c r="G224" s="1" t="str">
        <f t="shared" si="404"/>
        <v>0</v>
      </c>
      <c r="H224" s="1" t="str">
        <f t="shared" si="404"/>
        <v>0</v>
      </c>
      <c r="I224" s="1" t="str">
        <f t="shared" si="404"/>
        <v>0</v>
      </c>
      <c r="J224" s="1" t="str">
        <f>"23"</f>
        <v>23</v>
      </c>
      <c r="K224" s="1" t="str">
        <f t="shared" ref="K224:P224" si="405">"0"</f>
        <v>0</v>
      </c>
      <c r="L224" s="1" t="str">
        <f t="shared" si="405"/>
        <v>0</v>
      </c>
      <c r="M224" s="1" t="str">
        <f t="shared" si="405"/>
        <v>0</v>
      </c>
      <c r="N224" s="1" t="str">
        <f t="shared" si="405"/>
        <v>0</v>
      </c>
      <c r="O224" s="1" t="str">
        <f t="shared" si="405"/>
        <v>0</v>
      </c>
      <c r="P224" s="1" t="str">
        <f t="shared" si="405"/>
        <v>0</v>
      </c>
      <c r="Q224" s="1" t="str">
        <f t="shared" si="352"/>
        <v>0.0070</v>
      </c>
      <c r="R224" s="1" t="s">
        <v>29</v>
      </c>
      <c r="S224" s="1">
        <v>-0.0014</v>
      </c>
      <c r="T224" s="1" t="str">
        <f t="shared" si="353"/>
        <v>0</v>
      </c>
      <c r="U224" s="1" t="str">
        <f t="shared" si="401"/>
        <v>0.0056</v>
      </c>
    </row>
    <row r="225" s="1" customFormat="1" spans="1:21">
      <c r="A225" s="1" t="str">
        <f>"4601991403161"</f>
        <v>4601991403161</v>
      </c>
      <c r="B225" s="1" t="s">
        <v>249</v>
      </c>
      <c r="C225" s="1" t="s">
        <v>24</v>
      </c>
      <c r="D225" s="1" t="str">
        <f t="shared" si="349"/>
        <v>2021</v>
      </c>
      <c r="E225" s="1" t="str">
        <f t="shared" ref="E225:P225" si="406">"0"</f>
        <v>0</v>
      </c>
      <c r="F225" s="1" t="str">
        <f t="shared" si="406"/>
        <v>0</v>
      </c>
      <c r="G225" s="1" t="str">
        <f t="shared" si="406"/>
        <v>0</v>
      </c>
      <c r="H225" s="1" t="str">
        <f t="shared" si="406"/>
        <v>0</v>
      </c>
      <c r="I225" s="1" t="str">
        <f t="shared" si="406"/>
        <v>0</v>
      </c>
      <c r="J225" s="1" t="str">
        <f t="shared" si="406"/>
        <v>0</v>
      </c>
      <c r="K225" s="1" t="str">
        <f t="shared" si="406"/>
        <v>0</v>
      </c>
      <c r="L225" s="1" t="str">
        <f t="shared" si="406"/>
        <v>0</v>
      </c>
      <c r="M225" s="1" t="str">
        <f t="shared" si="406"/>
        <v>0</v>
      </c>
      <c r="N225" s="1" t="str">
        <f t="shared" si="406"/>
        <v>0</v>
      </c>
      <c r="O225" s="1" t="str">
        <f t="shared" si="406"/>
        <v>0</v>
      </c>
      <c r="P225" s="1" t="str">
        <f t="shared" si="406"/>
        <v>0</v>
      </c>
      <c r="Q225" s="1" t="str">
        <f t="shared" si="352"/>
        <v>0.0070</v>
      </c>
      <c r="R225" s="1" t="s">
        <v>25</v>
      </c>
      <c r="T225" s="1" t="str">
        <f t="shared" si="353"/>
        <v>0</v>
      </c>
      <c r="U225" s="1" t="str">
        <f>"0.0070"</f>
        <v>0.0070</v>
      </c>
    </row>
    <row r="226" s="1" customFormat="1" spans="1:21">
      <c r="A226" s="1" t="str">
        <f>"4601991404316"</f>
        <v>4601991404316</v>
      </c>
      <c r="B226" s="1" t="s">
        <v>250</v>
      </c>
      <c r="C226" s="1" t="s">
        <v>24</v>
      </c>
      <c r="D226" s="1" t="str">
        <f t="shared" si="349"/>
        <v>2021</v>
      </c>
      <c r="E226" s="1" t="str">
        <f>"87.00"</f>
        <v>87.00</v>
      </c>
      <c r="F226" s="1" t="str">
        <f>"68448.96"</f>
        <v>68448.96</v>
      </c>
      <c r="G226" s="1" t="str">
        <f t="shared" ref="G226:P226" si="407">"0"</f>
        <v>0</v>
      </c>
      <c r="H226" s="1" t="str">
        <f t="shared" si="407"/>
        <v>0</v>
      </c>
      <c r="I226" s="1" t="str">
        <f>"786.7697"</f>
        <v>786.7697</v>
      </c>
      <c r="J226" s="1" t="str">
        <f>"6"</f>
        <v>6</v>
      </c>
      <c r="K226" s="1" t="str">
        <f t="shared" si="407"/>
        <v>0</v>
      </c>
      <c r="L226" s="1" t="str">
        <f t="shared" si="407"/>
        <v>0</v>
      </c>
      <c r="M226" s="1" t="str">
        <f t="shared" si="407"/>
        <v>0</v>
      </c>
      <c r="N226" s="1" t="str">
        <f t="shared" si="407"/>
        <v>0</v>
      </c>
      <c r="O226" s="1" t="str">
        <f t="shared" si="407"/>
        <v>0</v>
      </c>
      <c r="P226" s="1" t="str">
        <f t="shared" si="407"/>
        <v>0</v>
      </c>
      <c r="Q226" s="1" t="str">
        <f t="shared" si="352"/>
        <v>0.0070</v>
      </c>
      <c r="R226" s="1" t="s">
        <v>69</v>
      </c>
      <c r="S226" s="1" t="str">
        <f>"0.0014"</f>
        <v>0.0014</v>
      </c>
      <c r="T226" s="1" t="str">
        <f t="shared" si="353"/>
        <v>0</v>
      </c>
      <c r="U226" s="1" t="str">
        <f>"0.0084"</f>
        <v>0.0084</v>
      </c>
    </row>
    <row r="227" s="1" customFormat="1" spans="1:21">
      <c r="A227" s="1" t="str">
        <f>"4601991404346"</f>
        <v>4601991404346</v>
      </c>
      <c r="B227" s="1" t="s">
        <v>251</v>
      </c>
      <c r="C227" s="1" t="s">
        <v>24</v>
      </c>
      <c r="D227" s="1" t="str">
        <f t="shared" si="349"/>
        <v>2021</v>
      </c>
      <c r="E227" s="1" t="str">
        <f t="shared" ref="E227:P227" si="408">"0"</f>
        <v>0</v>
      </c>
      <c r="F227" s="1" t="str">
        <f t="shared" si="408"/>
        <v>0</v>
      </c>
      <c r="G227" s="1" t="str">
        <f t="shared" si="408"/>
        <v>0</v>
      </c>
      <c r="H227" s="1" t="str">
        <f t="shared" si="408"/>
        <v>0</v>
      </c>
      <c r="I227" s="1" t="str">
        <f t="shared" si="408"/>
        <v>0</v>
      </c>
      <c r="J227" s="1" t="str">
        <f t="shared" si="408"/>
        <v>0</v>
      </c>
      <c r="K227" s="1" t="str">
        <f t="shared" si="408"/>
        <v>0</v>
      </c>
      <c r="L227" s="1" t="str">
        <f t="shared" si="408"/>
        <v>0</v>
      </c>
      <c r="M227" s="1" t="str">
        <f t="shared" si="408"/>
        <v>0</v>
      </c>
      <c r="N227" s="1" t="str">
        <f t="shared" si="408"/>
        <v>0</v>
      </c>
      <c r="O227" s="1" t="str">
        <f t="shared" si="408"/>
        <v>0</v>
      </c>
      <c r="P227" s="1" t="str">
        <f t="shared" si="408"/>
        <v>0</v>
      </c>
      <c r="Q227" s="1" t="str">
        <f t="shared" si="352"/>
        <v>0.0070</v>
      </c>
      <c r="R227" s="1" t="s">
        <v>25</v>
      </c>
      <c r="T227" s="1" t="str">
        <f t="shared" si="353"/>
        <v>0</v>
      </c>
      <c r="U227" s="1" t="str">
        <f>"0.0070"</f>
        <v>0.0070</v>
      </c>
    </row>
    <row r="228" s="1" customFormat="1" spans="1:21">
      <c r="A228" s="1" t="str">
        <f>"4601991403520"</f>
        <v>4601991403520</v>
      </c>
      <c r="B228" s="1" t="s">
        <v>252</v>
      </c>
      <c r="C228" s="1" t="s">
        <v>24</v>
      </c>
      <c r="D228" s="1" t="str">
        <f t="shared" si="349"/>
        <v>2021</v>
      </c>
      <c r="E228" s="1" t="str">
        <f>"24.18"</f>
        <v>24.18</v>
      </c>
      <c r="F228" s="1" t="str">
        <f t="shared" ref="F228:I228" si="409">"0"</f>
        <v>0</v>
      </c>
      <c r="G228" s="1" t="str">
        <f t="shared" si="409"/>
        <v>0</v>
      </c>
      <c r="H228" s="1" t="str">
        <f t="shared" si="409"/>
        <v>0</v>
      </c>
      <c r="I228" s="1" t="str">
        <f t="shared" si="409"/>
        <v>0</v>
      </c>
      <c r="J228" s="1" t="str">
        <f>"2"</f>
        <v>2</v>
      </c>
      <c r="K228" s="1" t="str">
        <f t="shared" ref="K228:P228" si="410">"0"</f>
        <v>0</v>
      </c>
      <c r="L228" s="1" t="str">
        <f t="shared" si="410"/>
        <v>0</v>
      </c>
      <c r="M228" s="1" t="str">
        <f t="shared" si="410"/>
        <v>0</v>
      </c>
      <c r="N228" s="1" t="str">
        <f t="shared" si="410"/>
        <v>0</v>
      </c>
      <c r="O228" s="1" t="str">
        <f t="shared" si="410"/>
        <v>0</v>
      </c>
      <c r="P228" s="1" t="str">
        <f t="shared" si="410"/>
        <v>0</v>
      </c>
      <c r="Q228" s="1" t="str">
        <f t="shared" si="352"/>
        <v>0.0070</v>
      </c>
      <c r="R228" s="1" t="s">
        <v>29</v>
      </c>
      <c r="S228" s="1">
        <v>-0.0014</v>
      </c>
      <c r="T228" s="1" t="str">
        <f t="shared" si="353"/>
        <v>0</v>
      </c>
      <c r="U228" s="1" t="str">
        <f t="shared" ref="U228:U231" si="411">"0.0056"</f>
        <v>0.0056</v>
      </c>
    </row>
    <row r="229" s="1" customFormat="1" spans="1:21">
      <c r="A229" s="1" t="str">
        <f>"4601991404360"</f>
        <v>4601991404360</v>
      </c>
      <c r="B229" s="1" t="s">
        <v>253</v>
      </c>
      <c r="C229" s="1" t="s">
        <v>24</v>
      </c>
      <c r="D229" s="1" t="str">
        <f t="shared" si="349"/>
        <v>2021</v>
      </c>
      <c r="E229" s="1" t="str">
        <f>"32.28"</f>
        <v>32.28</v>
      </c>
      <c r="F229" s="1" t="str">
        <f t="shared" ref="F229:I229" si="412">"0"</f>
        <v>0</v>
      </c>
      <c r="G229" s="1" t="str">
        <f t="shared" si="412"/>
        <v>0</v>
      </c>
      <c r="H229" s="1" t="str">
        <f t="shared" si="412"/>
        <v>0</v>
      </c>
      <c r="I229" s="1" t="str">
        <f t="shared" si="412"/>
        <v>0</v>
      </c>
      <c r="J229" s="1" t="str">
        <f>"2"</f>
        <v>2</v>
      </c>
      <c r="K229" s="1" t="str">
        <f t="shared" ref="K229:P229" si="413">"0"</f>
        <v>0</v>
      </c>
      <c r="L229" s="1" t="str">
        <f t="shared" si="413"/>
        <v>0</v>
      </c>
      <c r="M229" s="1" t="str">
        <f t="shared" si="413"/>
        <v>0</v>
      </c>
      <c r="N229" s="1" t="str">
        <f t="shared" si="413"/>
        <v>0</v>
      </c>
      <c r="O229" s="1" t="str">
        <f t="shared" si="413"/>
        <v>0</v>
      </c>
      <c r="P229" s="1" t="str">
        <f t="shared" si="413"/>
        <v>0</v>
      </c>
      <c r="Q229" s="1" t="str">
        <f t="shared" si="352"/>
        <v>0.0070</v>
      </c>
      <c r="R229" s="1" t="s">
        <v>29</v>
      </c>
      <c r="S229" s="1">
        <v>-0.0014</v>
      </c>
      <c r="T229" s="1" t="str">
        <f t="shared" si="353"/>
        <v>0</v>
      </c>
      <c r="U229" s="1" t="str">
        <f t="shared" si="411"/>
        <v>0.0056</v>
      </c>
    </row>
    <row r="230" s="1" customFormat="1" spans="1:21">
      <c r="A230" s="1" t="str">
        <f>"4601991403545"</f>
        <v>4601991403545</v>
      </c>
      <c r="B230" s="1" t="s">
        <v>254</v>
      </c>
      <c r="C230" s="1" t="s">
        <v>24</v>
      </c>
      <c r="D230" s="1" t="str">
        <f t="shared" si="349"/>
        <v>2021</v>
      </c>
      <c r="E230" s="1" t="str">
        <f>"1035.30"</f>
        <v>1035.30</v>
      </c>
      <c r="F230" s="1" t="str">
        <f t="shared" ref="F230:I230" si="414">"0"</f>
        <v>0</v>
      </c>
      <c r="G230" s="1" t="str">
        <f t="shared" si="414"/>
        <v>0</v>
      </c>
      <c r="H230" s="1" t="str">
        <f t="shared" si="414"/>
        <v>0</v>
      </c>
      <c r="I230" s="1" t="str">
        <f t="shared" si="414"/>
        <v>0</v>
      </c>
      <c r="J230" s="1" t="str">
        <f>"97"</f>
        <v>97</v>
      </c>
      <c r="K230" s="1" t="str">
        <f t="shared" ref="K230:P230" si="415">"0"</f>
        <v>0</v>
      </c>
      <c r="L230" s="1" t="str">
        <f t="shared" si="415"/>
        <v>0</v>
      </c>
      <c r="M230" s="1" t="str">
        <f t="shared" si="415"/>
        <v>0</v>
      </c>
      <c r="N230" s="1" t="str">
        <f t="shared" si="415"/>
        <v>0</v>
      </c>
      <c r="O230" s="1" t="str">
        <f t="shared" si="415"/>
        <v>0</v>
      </c>
      <c r="P230" s="1" t="str">
        <f t="shared" si="415"/>
        <v>0</v>
      </c>
      <c r="Q230" s="1" t="str">
        <f t="shared" si="352"/>
        <v>0.0070</v>
      </c>
      <c r="R230" s="1" t="s">
        <v>29</v>
      </c>
      <c r="S230" s="1">
        <v>-0.0014</v>
      </c>
      <c r="T230" s="1" t="str">
        <f t="shared" si="353"/>
        <v>0</v>
      </c>
      <c r="U230" s="1" t="str">
        <f t="shared" si="411"/>
        <v>0.0056</v>
      </c>
    </row>
    <row r="231" s="1" customFormat="1" spans="1:21">
      <c r="A231" s="1" t="str">
        <f>"4601991403195"</f>
        <v>4601991403195</v>
      </c>
      <c r="B231" s="1" t="s">
        <v>255</v>
      </c>
      <c r="C231" s="1" t="s">
        <v>24</v>
      </c>
      <c r="D231" s="1" t="str">
        <f t="shared" si="349"/>
        <v>2021</v>
      </c>
      <c r="E231" s="1" t="str">
        <f>"77.36"</f>
        <v>77.36</v>
      </c>
      <c r="F231" s="1" t="str">
        <f t="shared" ref="F231:I231" si="416">"0"</f>
        <v>0</v>
      </c>
      <c r="G231" s="1" t="str">
        <f t="shared" si="416"/>
        <v>0</v>
      </c>
      <c r="H231" s="1" t="str">
        <f t="shared" si="416"/>
        <v>0</v>
      </c>
      <c r="I231" s="1" t="str">
        <f t="shared" si="416"/>
        <v>0</v>
      </c>
      <c r="J231" s="1" t="str">
        <f>"8"</f>
        <v>8</v>
      </c>
      <c r="K231" s="1" t="str">
        <f t="shared" ref="K231:P231" si="417">"0"</f>
        <v>0</v>
      </c>
      <c r="L231" s="1" t="str">
        <f t="shared" si="417"/>
        <v>0</v>
      </c>
      <c r="M231" s="1" t="str">
        <f t="shared" si="417"/>
        <v>0</v>
      </c>
      <c r="N231" s="1" t="str">
        <f t="shared" si="417"/>
        <v>0</v>
      </c>
      <c r="O231" s="1" t="str">
        <f t="shared" si="417"/>
        <v>0</v>
      </c>
      <c r="P231" s="1" t="str">
        <f t="shared" si="417"/>
        <v>0</v>
      </c>
      <c r="Q231" s="1" t="str">
        <f t="shared" si="352"/>
        <v>0.0070</v>
      </c>
      <c r="R231" s="1" t="s">
        <v>29</v>
      </c>
      <c r="S231" s="1">
        <v>-0.0014</v>
      </c>
      <c r="T231" s="1" t="str">
        <f t="shared" si="353"/>
        <v>0</v>
      </c>
      <c r="U231" s="1" t="str">
        <f t="shared" si="411"/>
        <v>0.0056</v>
      </c>
    </row>
    <row r="232" s="1" customFormat="1" spans="1:21">
      <c r="A232" s="1" t="str">
        <f>"4601991403575"</f>
        <v>4601991403575</v>
      </c>
      <c r="B232" s="1" t="s">
        <v>256</v>
      </c>
      <c r="C232" s="1" t="s">
        <v>24</v>
      </c>
      <c r="D232" s="1" t="str">
        <f t="shared" si="349"/>
        <v>2021</v>
      </c>
      <c r="E232" s="1" t="str">
        <f t="shared" ref="E232:P232" si="418">"0"</f>
        <v>0</v>
      </c>
      <c r="F232" s="1" t="str">
        <f t="shared" si="418"/>
        <v>0</v>
      </c>
      <c r="G232" s="1" t="str">
        <f t="shared" si="418"/>
        <v>0</v>
      </c>
      <c r="H232" s="1" t="str">
        <f t="shared" si="418"/>
        <v>0</v>
      </c>
      <c r="I232" s="1" t="str">
        <f t="shared" si="418"/>
        <v>0</v>
      </c>
      <c r="J232" s="1" t="str">
        <f t="shared" si="418"/>
        <v>0</v>
      </c>
      <c r="K232" s="1" t="str">
        <f t="shared" si="418"/>
        <v>0</v>
      </c>
      <c r="L232" s="1" t="str">
        <f t="shared" si="418"/>
        <v>0</v>
      </c>
      <c r="M232" s="1" t="str">
        <f t="shared" si="418"/>
        <v>0</v>
      </c>
      <c r="N232" s="1" t="str">
        <f t="shared" si="418"/>
        <v>0</v>
      </c>
      <c r="O232" s="1" t="str">
        <f t="shared" si="418"/>
        <v>0</v>
      </c>
      <c r="P232" s="1" t="str">
        <f t="shared" si="418"/>
        <v>0</v>
      </c>
      <c r="Q232" s="1" t="str">
        <f t="shared" si="352"/>
        <v>0.0070</v>
      </c>
      <c r="R232" s="1" t="s">
        <v>25</v>
      </c>
      <c r="T232" s="1" t="str">
        <f t="shared" si="353"/>
        <v>0</v>
      </c>
      <c r="U232" s="1" t="str">
        <f t="shared" ref="U232:U236" si="419">"0.0070"</f>
        <v>0.0070</v>
      </c>
    </row>
    <row r="233" s="1" customFormat="1" spans="1:21">
      <c r="A233" s="1" t="str">
        <f>"4601991403576"</f>
        <v>4601991403576</v>
      </c>
      <c r="B233" s="1" t="s">
        <v>257</v>
      </c>
      <c r="C233" s="1" t="s">
        <v>24</v>
      </c>
      <c r="D233" s="1" t="str">
        <f t="shared" si="349"/>
        <v>2021</v>
      </c>
      <c r="E233" s="1" t="str">
        <f t="shared" ref="E233:P233" si="420">"0"</f>
        <v>0</v>
      </c>
      <c r="F233" s="1" t="str">
        <f t="shared" si="420"/>
        <v>0</v>
      </c>
      <c r="G233" s="1" t="str">
        <f t="shared" si="420"/>
        <v>0</v>
      </c>
      <c r="H233" s="1" t="str">
        <f t="shared" si="420"/>
        <v>0</v>
      </c>
      <c r="I233" s="1" t="str">
        <f t="shared" si="420"/>
        <v>0</v>
      </c>
      <c r="J233" s="1" t="str">
        <f t="shared" si="420"/>
        <v>0</v>
      </c>
      <c r="K233" s="1" t="str">
        <f t="shared" si="420"/>
        <v>0</v>
      </c>
      <c r="L233" s="1" t="str">
        <f t="shared" si="420"/>
        <v>0</v>
      </c>
      <c r="M233" s="1" t="str">
        <f t="shared" si="420"/>
        <v>0</v>
      </c>
      <c r="N233" s="1" t="str">
        <f t="shared" si="420"/>
        <v>0</v>
      </c>
      <c r="O233" s="1" t="str">
        <f t="shared" si="420"/>
        <v>0</v>
      </c>
      <c r="P233" s="1" t="str">
        <f t="shared" si="420"/>
        <v>0</v>
      </c>
      <c r="Q233" s="1" t="str">
        <f t="shared" si="352"/>
        <v>0.0070</v>
      </c>
      <c r="R233" s="1" t="s">
        <v>25</v>
      </c>
      <c r="T233" s="1" t="str">
        <f t="shared" si="353"/>
        <v>0</v>
      </c>
      <c r="U233" s="1" t="str">
        <f t="shared" si="419"/>
        <v>0.0070</v>
      </c>
    </row>
    <row r="234" s="1" customFormat="1" spans="1:21">
      <c r="A234" s="1" t="str">
        <f>"4601991403572"</f>
        <v>4601991403572</v>
      </c>
      <c r="B234" s="1" t="s">
        <v>258</v>
      </c>
      <c r="C234" s="1" t="s">
        <v>24</v>
      </c>
      <c r="D234" s="1" t="str">
        <f t="shared" si="349"/>
        <v>2021</v>
      </c>
      <c r="E234" s="1" t="str">
        <f t="shared" ref="E234:P234" si="421">"0"</f>
        <v>0</v>
      </c>
      <c r="F234" s="1" t="str">
        <f t="shared" si="421"/>
        <v>0</v>
      </c>
      <c r="G234" s="1" t="str">
        <f t="shared" si="421"/>
        <v>0</v>
      </c>
      <c r="H234" s="1" t="str">
        <f t="shared" si="421"/>
        <v>0</v>
      </c>
      <c r="I234" s="1" t="str">
        <f t="shared" si="421"/>
        <v>0</v>
      </c>
      <c r="J234" s="1" t="str">
        <f t="shared" si="421"/>
        <v>0</v>
      </c>
      <c r="K234" s="1" t="str">
        <f t="shared" si="421"/>
        <v>0</v>
      </c>
      <c r="L234" s="1" t="str">
        <f t="shared" si="421"/>
        <v>0</v>
      </c>
      <c r="M234" s="1" t="str">
        <f t="shared" si="421"/>
        <v>0</v>
      </c>
      <c r="N234" s="1" t="str">
        <f t="shared" si="421"/>
        <v>0</v>
      </c>
      <c r="O234" s="1" t="str">
        <f t="shared" si="421"/>
        <v>0</v>
      </c>
      <c r="P234" s="1" t="str">
        <f t="shared" si="421"/>
        <v>0</v>
      </c>
      <c r="Q234" s="1" t="str">
        <f t="shared" si="352"/>
        <v>0.0070</v>
      </c>
      <c r="R234" s="1" t="s">
        <v>25</v>
      </c>
      <c r="T234" s="1" t="str">
        <f t="shared" si="353"/>
        <v>0</v>
      </c>
      <c r="U234" s="1" t="str">
        <f t="shared" si="419"/>
        <v>0.0070</v>
      </c>
    </row>
    <row r="235" s="1" customFormat="1" spans="1:21">
      <c r="A235" s="1" t="str">
        <f>"4601991403586"</f>
        <v>4601991403586</v>
      </c>
      <c r="B235" s="1" t="s">
        <v>259</v>
      </c>
      <c r="C235" s="1" t="s">
        <v>24</v>
      </c>
      <c r="D235" s="1" t="str">
        <f t="shared" si="349"/>
        <v>2021</v>
      </c>
      <c r="E235" s="1" t="str">
        <f t="shared" ref="E235:P235" si="422">"0"</f>
        <v>0</v>
      </c>
      <c r="F235" s="1" t="str">
        <f t="shared" si="422"/>
        <v>0</v>
      </c>
      <c r="G235" s="1" t="str">
        <f t="shared" si="422"/>
        <v>0</v>
      </c>
      <c r="H235" s="1" t="str">
        <f t="shared" si="422"/>
        <v>0</v>
      </c>
      <c r="I235" s="1" t="str">
        <f t="shared" si="422"/>
        <v>0</v>
      </c>
      <c r="J235" s="1" t="str">
        <f t="shared" si="422"/>
        <v>0</v>
      </c>
      <c r="K235" s="1" t="str">
        <f t="shared" si="422"/>
        <v>0</v>
      </c>
      <c r="L235" s="1" t="str">
        <f t="shared" si="422"/>
        <v>0</v>
      </c>
      <c r="M235" s="1" t="str">
        <f t="shared" si="422"/>
        <v>0</v>
      </c>
      <c r="N235" s="1" t="str">
        <f t="shared" si="422"/>
        <v>0</v>
      </c>
      <c r="O235" s="1" t="str">
        <f t="shared" si="422"/>
        <v>0</v>
      </c>
      <c r="P235" s="1" t="str">
        <f t="shared" si="422"/>
        <v>0</v>
      </c>
      <c r="Q235" s="1" t="str">
        <f t="shared" si="352"/>
        <v>0.0070</v>
      </c>
      <c r="R235" s="1" t="s">
        <v>25</v>
      </c>
      <c r="T235" s="1" t="str">
        <f t="shared" si="353"/>
        <v>0</v>
      </c>
      <c r="U235" s="1" t="str">
        <f t="shared" si="419"/>
        <v>0.0070</v>
      </c>
    </row>
    <row r="236" s="1" customFormat="1" spans="1:21">
      <c r="A236" s="1" t="str">
        <f>"4601991403255"</f>
        <v>4601991403255</v>
      </c>
      <c r="B236" s="1" t="s">
        <v>260</v>
      </c>
      <c r="C236" s="1" t="s">
        <v>24</v>
      </c>
      <c r="D236" s="1" t="str">
        <f t="shared" si="349"/>
        <v>2021</v>
      </c>
      <c r="E236" s="1" t="str">
        <f t="shared" ref="E236:P236" si="423">"0"</f>
        <v>0</v>
      </c>
      <c r="F236" s="1" t="str">
        <f t="shared" si="423"/>
        <v>0</v>
      </c>
      <c r="G236" s="1" t="str">
        <f t="shared" si="423"/>
        <v>0</v>
      </c>
      <c r="H236" s="1" t="str">
        <f t="shared" si="423"/>
        <v>0</v>
      </c>
      <c r="I236" s="1" t="str">
        <f t="shared" si="423"/>
        <v>0</v>
      </c>
      <c r="J236" s="1" t="str">
        <f t="shared" si="423"/>
        <v>0</v>
      </c>
      <c r="K236" s="1" t="str">
        <f t="shared" si="423"/>
        <v>0</v>
      </c>
      <c r="L236" s="1" t="str">
        <f t="shared" si="423"/>
        <v>0</v>
      </c>
      <c r="M236" s="1" t="str">
        <f t="shared" si="423"/>
        <v>0</v>
      </c>
      <c r="N236" s="1" t="str">
        <f t="shared" si="423"/>
        <v>0</v>
      </c>
      <c r="O236" s="1" t="str">
        <f t="shared" si="423"/>
        <v>0</v>
      </c>
      <c r="P236" s="1" t="str">
        <f t="shared" si="423"/>
        <v>0</v>
      </c>
      <c r="Q236" s="1" t="str">
        <f t="shared" si="352"/>
        <v>0.0070</v>
      </c>
      <c r="R236" s="1" t="s">
        <v>25</v>
      </c>
      <c r="T236" s="1" t="str">
        <f t="shared" si="353"/>
        <v>0</v>
      </c>
      <c r="U236" s="1" t="str">
        <f t="shared" si="419"/>
        <v>0.0070</v>
      </c>
    </row>
    <row r="237" s="1" customFormat="1" spans="1:21">
      <c r="A237" s="1" t="str">
        <f>"4601991403592"</f>
        <v>4601991403592</v>
      </c>
      <c r="B237" s="1" t="s">
        <v>261</v>
      </c>
      <c r="C237" s="1" t="s">
        <v>24</v>
      </c>
      <c r="D237" s="1" t="str">
        <f t="shared" si="349"/>
        <v>2021</v>
      </c>
      <c r="E237" s="1" t="str">
        <f>"84.63"</f>
        <v>84.63</v>
      </c>
      <c r="F237" s="1" t="str">
        <f t="shared" ref="F237:I237" si="424">"0"</f>
        <v>0</v>
      </c>
      <c r="G237" s="1" t="str">
        <f t="shared" si="424"/>
        <v>0</v>
      </c>
      <c r="H237" s="1" t="str">
        <f t="shared" si="424"/>
        <v>0</v>
      </c>
      <c r="I237" s="1" t="str">
        <f t="shared" si="424"/>
        <v>0</v>
      </c>
      <c r="J237" s="1" t="str">
        <f>"8"</f>
        <v>8</v>
      </c>
      <c r="K237" s="1" t="str">
        <f t="shared" ref="K237:P237" si="425">"0"</f>
        <v>0</v>
      </c>
      <c r="L237" s="1" t="str">
        <f t="shared" si="425"/>
        <v>0</v>
      </c>
      <c r="M237" s="1" t="str">
        <f t="shared" si="425"/>
        <v>0</v>
      </c>
      <c r="N237" s="1" t="str">
        <f t="shared" si="425"/>
        <v>0</v>
      </c>
      <c r="O237" s="1" t="str">
        <f t="shared" si="425"/>
        <v>0</v>
      </c>
      <c r="P237" s="1" t="str">
        <f t="shared" si="425"/>
        <v>0</v>
      </c>
      <c r="Q237" s="1" t="str">
        <f t="shared" si="352"/>
        <v>0.0070</v>
      </c>
      <c r="R237" s="1" t="s">
        <v>29</v>
      </c>
      <c r="S237" s="1">
        <v>-0.0014</v>
      </c>
      <c r="T237" s="1" t="str">
        <f t="shared" si="353"/>
        <v>0</v>
      </c>
      <c r="U237" s="1" t="str">
        <f t="shared" ref="U237:U239" si="426">"0.0056"</f>
        <v>0.0056</v>
      </c>
    </row>
    <row r="238" s="1" customFormat="1" spans="1:21">
      <c r="A238" s="1" t="str">
        <f>"4601991403631"</f>
        <v>4601991403631</v>
      </c>
      <c r="B238" s="1" t="s">
        <v>262</v>
      </c>
      <c r="C238" s="1" t="s">
        <v>24</v>
      </c>
      <c r="D238" s="1" t="str">
        <f t="shared" si="349"/>
        <v>2021</v>
      </c>
      <c r="E238" s="1" t="str">
        <f>"9.67"</f>
        <v>9.67</v>
      </c>
      <c r="F238" s="1" t="str">
        <f t="shared" ref="F238:I238" si="427">"0"</f>
        <v>0</v>
      </c>
      <c r="G238" s="1" t="str">
        <f t="shared" si="427"/>
        <v>0</v>
      </c>
      <c r="H238" s="1" t="str">
        <f t="shared" si="427"/>
        <v>0</v>
      </c>
      <c r="I238" s="1" t="str">
        <f t="shared" si="427"/>
        <v>0</v>
      </c>
      <c r="J238" s="1" t="str">
        <f>"2"</f>
        <v>2</v>
      </c>
      <c r="K238" s="1" t="str">
        <f t="shared" ref="K238:P238" si="428">"0"</f>
        <v>0</v>
      </c>
      <c r="L238" s="1" t="str">
        <f t="shared" si="428"/>
        <v>0</v>
      </c>
      <c r="M238" s="1" t="str">
        <f t="shared" si="428"/>
        <v>0</v>
      </c>
      <c r="N238" s="1" t="str">
        <f t="shared" si="428"/>
        <v>0</v>
      </c>
      <c r="O238" s="1" t="str">
        <f t="shared" si="428"/>
        <v>0</v>
      </c>
      <c r="P238" s="1" t="str">
        <f t="shared" si="428"/>
        <v>0</v>
      </c>
      <c r="Q238" s="1" t="str">
        <f t="shared" si="352"/>
        <v>0.0070</v>
      </c>
      <c r="R238" s="1" t="s">
        <v>29</v>
      </c>
      <c r="S238" s="1">
        <v>-0.0014</v>
      </c>
      <c r="T238" s="1" t="str">
        <f t="shared" si="353"/>
        <v>0</v>
      </c>
      <c r="U238" s="1" t="str">
        <f t="shared" si="426"/>
        <v>0.0056</v>
      </c>
    </row>
    <row r="239" s="1" customFormat="1" spans="1:21">
      <c r="A239" s="1" t="str">
        <f>"4601991404014"</f>
        <v>4601991404014</v>
      </c>
      <c r="B239" s="1" t="s">
        <v>263</v>
      </c>
      <c r="C239" s="1" t="s">
        <v>24</v>
      </c>
      <c r="D239" s="1" t="str">
        <f t="shared" si="349"/>
        <v>2021</v>
      </c>
      <c r="E239" s="1" t="str">
        <f>"9.67"</f>
        <v>9.67</v>
      </c>
      <c r="F239" s="1" t="str">
        <f t="shared" ref="F239:I239" si="429">"0"</f>
        <v>0</v>
      </c>
      <c r="G239" s="1" t="str">
        <f t="shared" si="429"/>
        <v>0</v>
      </c>
      <c r="H239" s="1" t="str">
        <f t="shared" si="429"/>
        <v>0</v>
      </c>
      <c r="I239" s="1" t="str">
        <f t="shared" si="429"/>
        <v>0</v>
      </c>
      <c r="J239" s="1" t="str">
        <f t="shared" ref="J239:J242" si="430">"1"</f>
        <v>1</v>
      </c>
      <c r="K239" s="1" t="str">
        <f t="shared" ref="K239:P239" si="431">"0"</f>
        <v>0</v>
      </c>
      <c r="L239" s="1" t="str">
        <f t="shared" si="431"/>
        <v>0</v>
      </c>
      <c r="M239" s="1" t="str">
        <f t="shared" si="431"/>
        <v>0</v>
      </c>
      <c r="N239" s="1" t="str">
        <f t="shared" si="431"/>
        <v>0</v>
      </c>
      <c r="O239" s="1" t="str">
        <f t="shared" si="431"/>
        <v>0</v>
      </c>
      <c r="P239" s="1" t="str">
        <f t="shared" si="431"/>
        <v>0</v>
      </c>
      <c r="Q239" s="1" t="str">
        <f t="shared" si="352"/>
        <v>0.0070</v>
      </c>
      <c r="R239" s="1" t="s">
        <v>29</v>
      </c>
      <c r="S239" s="1">
        <v>-0.0014</v>
      </c>
      <c r="T239" s="1" t="str">
        <f t="shared" si="353"/>
        <v>0</v>
      </c>
      <c r="U239" s="1" t="str">
        <f t="shared" si="426"/>
        <v>0.0056</v>
      </c>
    </row>
    <row r="240" s="1" customFormat="1" spans="1:21">
      <c r="A240" s="1" t="str">
        <f>"4601991403286"</f>
        <v>4601991403286</v>
      </c>
      <c r="B240" s="1" t="s">
        <v>264</v>
      </c>
      <c r="C240" s="1" t="s">
        <v>24</v>
      </c>
      <c r="D240" s="1" t="str">
        <f t="shared" si="349"/>
        <v>2021</v>
      </c>
      <c r="E240" s="1" t="str">
        <f t="shared" ref="E240:P240" si="432">"0"</f>
        <v>0</v>
      </c>
      <c r="F240" s="1" t="str">
        <f t="shared" si="432"/>
        <v>0</v>
      </c>
      <c r="G240" s="1" t="str">
        <f t="shared" si="432"/>
        <v>0</v>
      </c>
      <c r="H240" s="1" t="str">
        <f t="shared" si="432"/>
        <v>0</v>
      </c>
      <c r="I240" s="1" t="str">
        <f t="shared" si="432"/>
        <v>0</v>
      </c>
      <c r="J240" s="1" t="str">
        <f t="shared" si="432"/>
        <v>0</v>
      </c>
      <c r="K240" s="1" t="str">
        <f t="shared" si="432"/>
        <v>0</v>
      </c>
      <c r="L240" s="1" t="str">
        <f t="shared" si="432"/>
        <v>0</v>
      </c>
      <c r="M240" s="1" t="str">
        <f t="shared" si="432"/>
        <v>0</v>
      </c>
      <c r="N240" s="1" t="str">
        <f t="shared" si="432"/>
        <v>0</v>
      </c>
      <c r="O240" s="1" t="str">
        <f t="shared" si="432"/>
        <v>0</v>
      </c>
      <c r="P240" s="1" t="str">
        <f t="shared" si="432"/>
        <v>0</v>
      </c>
      <c r="Q240" s="1" t="str">
        <f t="shared" si="352"/>
        <v>0.0070</v>
      </c>
      <c r="R240" s="1" t="s">
        <v>25</v>
      </c>
      <c r="T240" s="1" t="str">
        <f t="shared" si="353"/>
        <v>0</v>
      </c>
      <c r="U240" s="1" t="str">
        <f>"0.0070"</f>
        <v>0.0070</v>
      </c>
    </row>
    <row r="241" s="1" customFormat="1" spans="1:21">
      <c r="A241" s="1" t="str">
        <f>"4601991403259"</f>
        <v>4601991403259</v>
      </c>
      <c r="B241" s="1" t="s">
        <v>265</v>
      </c>
      <c r="C241" s="1" t="s">
        <v>24</v>
      </c>
      <c r="D241" s="1" t="str">
        <f t="shared" si="349"/>
        <v>2021</v>
      </c>
      <c r="E241" s="1" t="str">
        <f>"12.09"</f>
        <v>12.09</v>
      </c>
      <c r="F241" s="1" t="str">
        <f t="shared" ref="F241:I241" si="433">"0"</f>
        <v>0</v>
      </c>
      <c r="G241" s="1" t="str">
        <f t="shared" si="433"/>
        <v>0</v>
      </c>
      <c r="H241" s="1" t="str">
        <f t="shared" si="433"/>
        <v>0</v>
      </c>
      <c r="I241" s="1" t="str">
        <f t="shared" si="433"/>
        <v>0</v>
      </c>
      <c r="J241" s="1" t="str">
        <f t="shared" si="430"/>
        <v>1</v>
      </c>
      <c r="K241" s="1" t="str">
        <f t="shared" ref="K241:P241" si="434">"0"</f>
        <v>0</v>
      </c>
      <c r="L241" s="1" t="str">
        <f t="shared" si="434"/>
        <v>0</v>
      </c>
      <c r="M241" s="1" t="str">
        <f t="shared" si="434"/>
        <v>0</v>
      </c>
      <c r="N241" s="1" t="str">
        <f t="shared" si="434"/>
        <v>0</v>
      </c>
      <c r="O241" s="1" t="str">
        <f t="shared" si="434"/>
        <v>0</v>
      </c>
      <c r="P241" s="1" t="str">
        <f t="shared" si="434"/>
        <v>0</v>
      </c>
      <c r="Q241" s="1" t="str">
        <f t="shared" si="352"/>
        <v>0.0070</v>
      </c>
      <c r="R241" s="1" t="s">
        <v>25</v>
      </c>
      <c r="T241" s="1" t="str">
        <f t="shared" si="353"/>
        <v>0</v>
      </c>
      <c r="U241" s="1" t="str">
        <f>"0.0070"</f>
        <v>0.0070</v>
      </c>
    </row>
    <row r="242" s="1" customFormat="1" spans="1:21">
      <c r="A242" s="1" t="str">
        <f>"4601991403268"</f>
        <v>4601991403268</v>
      </c>
      <c r="B242" s="1" t="s">
        <v>266</v>
      </c>
      <c r="C242" s="1" t="s">
        <v>24</v>
      </c>
      <c r="D242" s="1" t="str">
        <f t="shared" si="349"/>
        <v>2021</v>
      </c>
      <c r="E242" s="1" t="str">
        <f>"9.58"</f>
        <v>9.58</v>
      </c>
      <c r="F242" s="1" t="str">
        <f t="shared" ref="F242:I242" si="435">"0"</f>
        <v>0</v>
      </c>
      <c r="G242" s="1" t="str">
        <f t="shared" si="435"/>
        <v>0</v>
      </c>
      <c r="H242" s="1" t="str">
        <f t="shared" si="435"/>
        <v>0</v>
      </c>
      <c r="I242" s="1" t="str">
        <f t="shared" si="435"/>
        <v>0</v>
      </c>
      <c r="J242" s="1" t="str">
        <f t="shared" si="430"/>
        <v>1</v>
      </c>
      <c r="K242" s="1" t="str">
        <f t="shared" ref="K242:P242" si="436">"0"</f>
        <v>0</v>
      </c>
      <c r="L242" s="1" t="str">
        <f t="shared" si="436"/>
        <v>0</v>
      </c>
      <c r="M242" s="1" t="str">
        <f t="shared" si="436"/>
        <v>0</v>
      </c>
      <c r="N242" s="1" t="str">
        <f t="shared" si="436"/>
        <v>0</v>
      </c>
      <c r="O242" s="1" t="str">
        <f t="shared" si="436"/>
        <v>0</v>
      </c>
      <c r="P242" s="1" t="str">
        <f t="shared" si="436"/>
        <v>0</v>
      </c>
      <c r="Q242" s="1" t="str">
        <f t="shared" si="352"/>
        <v>0.0070</v>
      </c>
      <c r="R242" s="1" t="s">
        <v>29</v>
      </c>
      <c r="S242" s="1">
        <v>-0.0014</v>
      </c>
      <c r="T242" s="1" t="str">
        <f t="shared" si="353"/>
        <v>0</v>
      </c>
      <c r="U242" s="1" t="str">
        <f t="shared" ref="U242:U245" si="437">"0.0056"</f>
        <v>0.0056</v>
      </c>
    </row>
    <row r="243" s="1" customFormat="1" spans="1:21">
      <c r="A243" s="1" t="str">
        <f>"4601991403260"</f>
        <v>4601991403260</v>
      </c>
      <c r="B243" s="1" t="s">
        <v>267</v>
      </c>
      <c r="C243" s="1" t="s">
        <v>24</v>
      </c>
      <c r="D243" s="1" t="str">
        <f t="shared" si="349"/>
        <v>2021</v>
      </c>
      <c r="E243" s="1" t="str">
        <f>"1335.12"</f>
        <v>1335.12</v>
      </c>
      <c r="F243" s="1" t="str">
        <f>"74468.40"</f>
        <v>74468.40</v>
      </c>
      <c r="G243" s="1" t="str">
        <f t="shared" ref="G243:P243" si="438">"0"</f>
        <v>0</v>
      </c>
      <c r="H243" s="1" t="str">
        <f t="shared" si="438"/>
        <v>0</v>
      </c>
      <c r="I243" s="1" t="str">
        <f>"55.7766"</f>
        <v>55.7766</v>
      </c>
      <c r="J243" s="1" t="str">
        <f>"109"</f>
        <v>109</v>
      </c>
      <c r="K243" s="1" t="str">
        <f t="shared" si="438"/>
        <v>0</v>
      </c>
      <c r="L243" s="1" t="str">
        <f t="shared" si="438"/>
        <v>0</v>
      </c>
      <c r="M243" s="1" t="str">
        <f t="shared" si="438"/>
        <v>0</v>
      </c>
      <c r="N243" s="1" t="str">
        <f t="shared" si="438"/>
        <v>0</v>
      </c>
      <c r="O243" s="1" t="str">
        <f t="shared" si="438"/>
        <v>0</v>
      </c>
      <c r="P243" s="1" t="str">
        <f t="shared" si="438"/>
        <v>0</v>
      </c>
      <c r="Q243" s="1" t="str">
        <f t="shared" si="352"/>
        <v>0.0070</v>
      </c>
      <c r="R243" s="1" t="s">
        <v>69</v>
      </c>
      <c r="S243" s="1" t="str">
        <f>"0.0014"</f>
        <v>0.0014</v>
      </c>
      <c r="T243" s="1" t="str">
        <f t="shared" si="353"/>
        <v>0</v>
      </c>
      <c r="U243" s="1" t="str">
        <f>"0.0084"</f>
        <v>0.0084</v>
      </c>
    </row>
    <row r="244" s="1" customFormat="1" spans="1:21">
      <c r="A244" s="1" t="str">
        <f>"4601991404452"</f>
        <v>4601991404452</v>
      </c>
      <c r="B244" s="1" t="s">
        <v>268</v>
      </c>
      <c r="C244" s="1" t="s">
        <v>24</v>
      </c>
      <c r="D244" s="1" t="str">
        <f t="shared" si="349"/>
        <v>2021</v>
      </c>
      <c r="E244" s="1" t="str">
        <f>"77.27"</f>
        <v>77.27</v>
      </c>
      <c r="F244" s="1" t="str">
        <f t="shared" ref="F244:I244" si="439">"0"</f>
        <v>0</v>
      </c>
      <c r="G244" s="1" t="str">
        <f t="shared" si="439"/>
        <v>0</v>
      </c>
      <c r="H244" s="1" t="str">
        <f t="shared" si="439"/>
        <v>0</v>
      </c>
      <c r="I244" s="1" t="str">
        <f t="shared" si="439"/>
        <v>0</v>
      </c>
      <c r="J244" s="1" t="str">
        <f>"9"</f>
        <v>9</v>
      </c>
      <c r="K244" s="1" t="str">
        <f t="shared" ref="K244:P244" si="440">"0"</f>
        <v>0</v>
      </c>
      <c r="L244" s="1" t="str">
        <f t="shared" si="440"/>
        <v>0</v>
      </c>
      <c r="M244" s="1" t="str">
        <f t="shared" si="440"/>
        <v>0</v>
      </c>
      <c r="N244" s="1" t="str">
        <f t="shared" si="440"/>
        <v>0</v>
      </c>
      <c r="O244" s="1" t="str">
        <f t="shared" si="440"/>
        <v>0</v>
      </c>
      <c r="P244" s="1" t="str">
        <f t="shared" si="440"/>
        <v>0</v>
      </c>
      <c r="Q244" s="1" t="str">
        <f t="shared" si="352"/>
        <v>0.0070</v>
      </c>
      <c r="R244" s="1" t="s">
        <v>29</v>
      </c>
      <c r="S244" s="1">
        <v>-0.0014</v>
      </c>
      <c r="T244" s="1" t="str">
        <f t="shared" si="353"/>
        <v>0</v>
      </c>
      <c r="U244" s="1" t="str">
        <f t="shared" si="437"/>
        <v>0.0056</v>
      </c>
    </row>
    <row r="245" s="1" customFormat="1" spans="1:21">
      <c r="A245" s="1" t="str">
        <f>"4601991403660"</f>
        <v>4601991403660</v>
      </c>
      <c r="B245" s="1" t="s">
        <v>269</v>
      </c>
      <c r="C245" s="1" t="s">
        <v>24</v>
      </c>
      <c r="D245" s="1" t="str">
        <f t="shared" si="349"/>
        <v>2021</v>
      </c>
      <c r="E245" s="1" t="str">
        <f>"38.32"</f>
        <v>38.32</v>
      </c>
      <c r="F245" s="1" t="str">
        <f t="shared" ref="F245:I245" si="441">"0"</f>
        <v>0</v>
      </c>
      <c r="G245" s="1" t="str">
        <f t="shared" si="441"/>
        <v>0</v>
      </c>
      <c r="H245" s="1" t="str">
        <f t="shared" si="441"/>
        <v>0</v>
      </c>
      <c r="I245" s="1" t="str">
        <f t="shared" si="441"/>
        <v>0</v>
      </c>
      <c r="J245" s="1" t="str">
        <f>"3"</f>
        <v>3</v>
      </c>
      <c r="K245" s="1" t="str">
        <f t="shared" ref="K245:P245" si="442">"0"</f>
        <v>0</v>
      </c>
      <c r="L245" s="1" t="str">
        <f t="shared" si="442"/>
        <v>0</v>
      </c>
      <c r="M245" s="1" t="str">
        <f t="shared" si="442"/>
        <v>0</v>
      </c>
      <c r="N245" s="1" t="str">
        <f t="shared" si="442"/>
        <v>0</v>
      </c>
      <c r="O245" s="1" t="str">
        <f t="shared" si="442"/>
        <v>0</v>
      </c>
      <c r="P245" s="1" t="str">
        <f t="shared" si="442"/>
        <v>0</v>
      </c>
      <c r="Q245" s="1" t="str">
        <f t="shared" si="352"/>
        <v>0.0070</v>
      </c>
      <c r="R245" s="1" t="s">
        <v>29</v>
      </c>
      <c r="S245" s="1">
        <v>-0.0014</v>
      </c>
      <c r="T245" s="1" t="str">
        <f t="shared" si="353"/>
        <v>0</v>
      </c>
      <c r="U245" s="1" t="str">
        <f t="shared" si="437"/>
        <v>0.0056</v>
      </c>
    </row>
    <row r="246" s="1" customFormat="1" spans="1:21">
      <c r="A246" s="1" t="str">
        <f>"4601991404479"</f>
        <v>4601991404479</v>
      </c>
      <c r="B246" s="1" t="s">
        <v>270</v>
      </c>
      <c r="C246" s="1" t="s">
        <v>24</v>
      </c>
      <c r="D246" s="1" t="str">
        <f t="shared" si="349"/>
        <v>2021</v>
      </c>
      <c r="E246" s="1" t="str">
        <f t="shared" ref="E246:P246" si="443">"0"</f>
        <v>0</v>
      </c>
      <c r="F246" s="1" t="str">
        <f t="shared" si="443"/>
        <v>0</v>
      </c>
      <c r="G246" s="1" t="str">
        <f t="shared" si="443"/>
        <v>0</v>
      </c>
      <c r="H246" s="1" t="str">
        <f t="shared" si="443"/>
        <v>0</v>
      </c>
      <c r="I246" s="1" t="str">
        <f t="shared" si="443"/>
        <v>0</v>
      </c>
      <c r="J246" s="1" t="str">
        <f t="shared" si="443"/>
        <v>0</v>
      </c>
      <c r="K246" s="1" t="str">
        <f t="shared" si="443"/>
        <v>0</v>
      </c>
      <c r="L246" s="1" t="str">
        <f t="shared" si="443"/>
        <v>0</v>
      </c>
      <c r="M246" s="1" t="str">
        <f t="shared" si="443"/>
        <v>0</v>
      </c>
      <c r="N246" s="1" t="str">
        <f t="shared" si="443"/>
        <v>0</v>
      </c>
      <c r="O246" s="1" t="str">
        <f t="shared" si="443"/>
        <v>0</v>
      </c>
      <c r="P246" s="1" t="str">
        <f t="shared" si="443"/>
        <v>0</v>
      </c>
      <c r="Q246" s="1" t="str">
        <f t="shared" si="352"/>
        <v>0.0070</v>
      </c>
      <c r="R246" s="1" t="s">
        <v>25</v>
      </c>
      <c r="T246" s="1" t="str">
        <f t="shared" si="353"/>
        <v>0</v>
      </c>
      <c r="U246" s="1" t="str">
        <f t="shared" ref="U246:U250" si="444">"0.0070"</f>
        <v>0.0070</v>
      </c>
    </row>
    <row r="247" s="1" customFormat="1" spans="1:21">
      <c r="A247" s="1" t="str">
        <f>"4601991403668"</f>
        <v>4601991403668</v>
      </c>
      <c r="B247" s="1" t="s">
        <v>271</v>
      </c>
      <c r="C247" s="1" t="s">
        <v>24</v>
      </c>
      <c r="D247" s="1" t="str">
        <f t="shared" si="349"/>
        <v>2021</v>
      </c>
      <c r="E247" s="1" t="str">
        <f>"928.32"</f>
        <v>928.32</v>
      </c>
      <c r="F247" s="1" t="str">
        <f t="shared" ref="F247:I247" si="445">"0"</f>
        <v>0</v>
      </c>
      <c r="G247" s="1" t="str">
        <f t="shared" si="445"/>
        <v>0</v>
      </c>
      <c r="H247" s="1" t="str">
        <f t="shared" si="445"/>
        <v>0</v>
      </c>
      <c r="I247" s="1" t="str">
        <f t="shared" si="445"/>
        <v>0</v>
      </c>
      <c r="J247" s="1" t="str">
        <f>"97"</f>
        <v>97</v>
      </c>
      <c r="K247" s="1" t="str">
        <f t="shared" ref="K247:P247" si="446">"0"</f>
        <v>0</v>
      </c>
      <c r="L247" s="1" t="str">
        <f t="shared" si="446"/>
        <v>0</v>
      </c>
      <c r="M247" s="1" t="str">
        <f t="shared" si="446"/>
        <v>0</v>
      </c>
      <c r="N247" s="1" t="str">
        <f t="shared" si="446"/>
        <v>0</v>
      </c>
      <c r="O247" s="1" t="str">
        <f t="shared" si="446"/>
        <v>0</v>
      </c>
      <c r="P247" s="1" t="str">
        <f t="shared" si="446"/>
        <v>0</v>
      </c>
      <c r="Q247" s="1" t="str">
        <f t="shared" si="352"/>
        <v>0.0070</v>
      </c>
      <c r="R247" s="1" t="s">
        <v>29</v>
      </c>
      <c r="S247" s="1">
        <v>-0.0014</v>
      </c>
      <c r="T247" s="1" t="str">
        <f t="shared" si="353"/>
        <v>0</v>
      </c>
      <c r="U247" s="1" t="str">
        <f>"0.0056"</f>
        <v>0.0056</v>
      </c>
    </row>
    <row r="248" s="1" customFormat="1" spans="1:21">
      <c r="A248" s="1" t="str">
        <f>"4601991403669"</f>
        <v>4601991403669</v>
      </c>
      <c r="B248" s="1" t="s">
        <v>272</v>
      </c>
      <c r="C248" s="1" t="s">
        <v>24</v>
      </c>
      <c r="D248" s="1" t="str">
        <f t="shared" si="349"/>
        <v>2021</v>
      </c>
      <c r="E248" s="1" t="str">
        <f t="shared" ref="E248:P248" si="447">"0"</f>
        <v>0</v>
      </c>
      <c r="F248" s="1" t="str">
        <f t="shared" si="447"/>
        <v>0</v>
      </c>
      <c r="G248" s="1" t="str">
        <f t="shared" si="447"/>
        <v>0</v>
      </c>
      <c r="H248" s="1" t="str">
        <f t="shared" si="447"/>
        <v>0</v>
      </c>
      <c r="I248" s="1" t="str">
        <f t="shared" si="447"/>
        <v>0</v>
      </c>
      <c r="J248" s="1" t="str">
        <f t="shared" si="447"/>
        <v>0</v>
      </c>
      <c r="K248" s="1" t="str">
        <f t="shared" si="447"/>
        <v>0</v>
      </c>
      <c r="L248" s="1" t="str">
        <f t="shared" si="447"/>
        <v>0</v>
      </c>
      <c r="M248" s="1" t="str">
        <f t="shared" si="447"/>
        <v>0</v>
      </c>
      <c r="N248" s="1" t="str">
        <f t="shared" si="447"/>
        <v>0</v>
      </c>
      <c r="O248" s="1" t="str">
        <f t="shared" si="447"/>
        <v>0</v>
      </c>
      <c r="P248" s="1" t="str">
        <f t="shared" si="447"/>
        <v>0</v>
      </c>
      <c r="Q248" s="1" t="str">
        <f t="shared" si="352"/>
        <v>0.0070</v>
      </c>
      <c r="R248" s="1" t="s">
        <v>25</v>
      </c>
      <c r="T248" s="1" t="str">
        <f t="shared" si="353"/>
        <v>0</v>
      </c>
      <c r="U248" s="1" t="str">
        <f t="shared" si="444"/>
        <v>0.0070</v>
      </c>
    </row>
    <row r="249" s="1" customFormat="1" spans="1:21">
      <c r="A249" s="1" t="str">
        <f>"4601991403322"</f>
        <v>4601991403322</v>
      </c>
      <c r="B249" s="1" t="s">
        <v>273</v>
      </c>
      <c r="C249" s="1" t="s">
        <v>24</v>
      </c>
      <c r="D249" s="1" t="str">
        <f t="shared" si="349"/>
        <v>2021</v>
      </c>
      <c r="E249" s="1" t="str">
        <f t="shared" ref="E249:P249" si="448">"0"</f>
        <v>0</v>
      </c>
      <c r="F249" s="1" t="str">
        <f t="shared" si="448"/>
        <v>0</v>
      </c>
      <c r="G249" s="1" t="str">
        <f t="shared" si="448"/>
        <v>0</v>
      </c>
      <c r="H249" s="1" t="str">
        <f t="shared" si="448"/>
        <v>0</v>
      </c>
      <c r="I249" s="1" t="str">
        <f t="shared" si="448"/>
        <v>0</v>
      </c>
      <c r="J249" s="1" t="str">
        <f t="shared" si="448"/>
        <v>0</v>
      </c>
      <c r="K249" s="1" t="str">
        <f t="shared" si="448"/>
        <v>0</v>
      </c>
      <c r="L249" s="1" t="str">
        <f t="shared" si="448"/>
        <v>0</v>
      </c>
      <c r="M249" s="1" t="str">
        <f t="shared" si="448"/>
        <v>0</v>
      </c>
      <c r="N249" s="1" t="str">
        <f t="shared" si="448"/>
        <v>0</v>
      </c>
      <c r="O249" s="1" t="str">
        <f t="shared" si="448"/>
        <v>0</v>
      </c>
      <c r="P249" s="1" t="str">
        <f t="shared" si="448"/>
        <v>0</v>
      </c>
      <c r="Q249" s="1" t="str">
        <f t="shared" si="352"/>
        <v>0.0070</v>
      </c>
      <c r="R249" s="1" t="s">
        <v>25</v>
      </c>
      <c r="T249" s="1" t="str">
        <f t="shared" si="353"/>
        <v>0</v>
      </c>
      <c r="U249" s="1" t="str">
        <f t="shared" si="444"/>
        <v>0.0070</v>
      </c>
    </row>
    <row r="250" s="1" customFormat="1" spans="1:21">
      <c r="A250" s="1" t="str">
        <f>"4601991408891"</f>
        <v>4601991408891</v>
      </c>
      <c r="B250" s="1" t="s">
        <v>274</v>
      </c>
      <c r="C250" s="1" t="s">
        <v>24</v>
      </c>
      <c r="D250" s="1" t="str">
        <f t="shared" si="349"/>
        <v>2021</v>
      </c>
      <c r="E250" s="1" t="str">
        <f t="shared" ref="E250:P250" si="449">"0"</f>
        <v>0</v>
      </c>
      <c r="F250" s="1" t="str">
        <f t="shared" si="449"/>
        <v>0</v>
      </c>
      <c r="G250" s="1" t="str">
        <f t="shared" si="449"/>
        <v>0</v>
      </c>
      <c r="H250" s="1" t="str">
        <f t="shared" si="449"/>
        <v>0</v>
      </c>
      <c r="I250" s="1" t="str">
        <f t="shared" si="449"/>
        <v>0</v>
      </c>
      <c r="J250" s="1" t="str">
        <f t="shared" si="449"/>
        <v>0</v>
      </c>
      <c r="K250" s="1" t="str">
        <f t="shared" si="449"/>
        <v>0</v>
      </c>
      <c r="L250" s="1" t="str">
        <f t="shared" si="449"/>
        <v>0</v>
      </c>
      <c r="M250" s="1" t="str">
        <f t="shared" si="449"/>
        <v>0</v>
      </c>
      <c r="N250" s="1" t="str">
        <f t="shared" si="449"/>
        <v>0</v>
      </c>
      <c r="O250" s="1" t="str">
        <f t="shared" si="449"/>
        <v>0</v>
      </c>
      <c r="P250" s="1" t="str">
        <f t="shared" si="449"/>
        <v>0</v>
      </c>
      <c r="Q250" s="1" t="str">
        <f t="shared" si="352"/>
        <v>0.0070</v>
      </c>
      <c r="R250" s="1" t="s">
        <v>25</v>
      </c>
      <c r="T250" s="1" t="str">
        <f t="shared" si="353"/>
        <v>0</v>
      </c>
      <c r="U250" s="1" t="str">
        <f t="shared" si="444"/>
        <v>0.0070</v>
      </c>
    </row>
    <row r="251" s="1" customFormat="1" spans="1:21">
      <c r="A251" s="1" t="str">
        <f>"4601991404455"</f>
        <v>4601991404455</v>
      </c>
      <c r="B251" s="1" t="s">
        <v>275</v>
      </c>
      <c r="C251" s="1" t="s">
        <v>24</v>
      </c>
      <c r="D251" s="1" t="str">
        <f t="shared" si="349"/>
        <v>2021</v>
      </c>
      <c r="E251" s="1" t="str">
        <f>"2581.10"</f>
        <v>2581.10</v>
      </c>
      <c r="F251" s="1" t="str">
        <f>"34954.20"</f>
        <v>34954.20</v>
      </c>
      <c r="G251" s="1" t="str">
        <f t="shared" ref="G251:P251" si="450">"0"</f>
        <v>0</v>
      </c>
      <c r="H251" s="1" t="str">
        <f t="shared" si="450"/>
        <v>0</v>
      </c>
      <c r="I251" s="1" t="str">
        <f>"13.5424"</f>
        <v>13.5424</v>
      </c>
      <c r="J251" s="1" t="str">
        <f>"250"</f>
        <v>250</v>
      </c>
      <c r="K251" s="1" t="str">
        <f t="shared" si="450"/>
        <v>0</v>
      </c>
      <c r="L251" s="1" t="str">
        <f t="shared" si="450"/>
        <v>0</v>
      </c>
      <c r="M251" s="1" t="str">
        <f t="shared" si="450"/>
        <v>0</v>
      </c>
      <c r="N251" s="1" t="str">
        <f t="shared" si="450"/>
        <v>0</v>
      </c>
      <c r="O251" s="1" t="str">
        <f t="shared" si="450"/>
        <v>0</v>
      </c>
      <c r="P251" s="1" t="str">
        <f t="shared" si="450"/>
        <v>0</v>
      </c>
      <c r="Q251" s="1" t="str">
        <f t="shared" si="352"/>
        <v>0.0070</v>
      </c>
      <c r="R251" s="1" t="s">
        <v>69</v>
      </c>
      <c r="S251" s="1" t="str">
        <f>"0.0014"</f>
        <v>0.0014</v>
      </c>
      <c r="T251" s="1" t="str">
        <f t="shared" si="353"/>
        <v>0</v>
      </c>
      <c r="U251" s="1" t="str">
        <f>"0.0084"</f>
        <v>0.0084</v>
      </c>
    </row>
    <row r="252" s="1" customFormat="1" spans="1:21">
      <c r="A252" s="1" t="str">
        <f>"4601991408906"</f>
        <v>4601991408906</v>
      </c>
      <c r="B252" s="1" t="s">
        <v>276</v>
      </c>
      <c r="C252" s="1" t="s">
        <v>24</v>
      </c>
      <c r="D252" s="1" t="str">
        <f t="shared" si="349"/>
        <v>2021</v>
      </c>
      <c r="E252" s="1" t="str">
        <f t="shared" ref="E252:P252" si="451">"0"</f>
        <v>0</v>
      </c>
      <c r="F252" s="1" t="str">
        <f t="shared" si="451"/>
        <v>0</v>
      </c>
      <c r="G252" s="1" t="str">
        <f t="shared" si="451"/>
        <v>0</v>
      </c>
      <c r="H252" s="1" t="str">
        <f t="shared" si="451"/>
        <v>0</v>
      </c>
      <c r="I252" s="1" t="str">
        <f t="shared" si="451"/>
        <v>0</v>
      </c>
      <c r="J252" s="1" t="str">
        <f t="shared" si="451"/>
        <v>0</v>
      </c>
      <c r="K252" s="1" t="str">
        <f t="shared" si="451"/>
        <v>0</v>
      </c>
      <c r="L252" s="1" t="str">
        <f t="shared" si="451"/>
        <v>0</v>
      </c>
      <c r="M252" s="1" t="str">
        <f t="shared" si="451"/>
        <v>0</v>
      </c>
      <c r="N252" s="1" t="str">
        <f t="shared" si="451"/>
        <v>0</v>
      </c>
      <c r="O252" s="1" t="str">
        <f t="shared" si="451"/>
        <v>0</v>
      </c>
      <c r="P252" s="1" t="str">
        <f t="shared" si="451"/>
        <v>0</v>
      </c>
      <c r="Q252" s="1" t="str">
        <f t="shared" si="352"/>
        <v>0.0070</v>
      </c>
      <c r="R252" s="1" t="s">
        <v>25</v>
      </c>
      <c r="T252" s="1" t="str">
        <f t="shared" si="353"/>
        <v>0</v>
      </c>
      <c r="U252" s="1" t="str">
        <f t="shared" ref="U252:U256" si="452">"0.0070"</f>
        <v>0.0070</v>
      </c>
    </row>
    <row r="253" s="1" customFormat="1" spans="1:21">
      <c r="A253" s="1" t="str">
        <f>"4601991408907"</f>
        <v>4601991408907</v>
      </c>
      <c r="B253" s="1" t="s">
        <v>277</v>
      </c>
      <c r="C253" s="1" t="s">
        <v>24</v>
      </c>
      <c r="D253" s="1" t="str">
        <f t="shared" si="349"/>
        <v>2021</v>
      </c>
      <c r="E253" s="1" t="str">
        <f>"29.01"</f>
        <v>29.01</v>
      </c>
      <c r="F253" s="1" t="str">
        <f t="shared" ref="F253:I253" si="453">"0"</f>
        <v>0</v>
      </c>
      <c r="G253" s="1" t="str">
        <f t="shared" si="453"/>
        <v>0</v>
      </c>
      <c r="H253" s="1" t="str">
        <f t="shared" si="453"/>
        <v>0</v>
      </c>
      <c r="I253" s="1" t="str">
        <f t="shared" si="453"/>
        <v>0</v>
      </c>
      <c r="J253" s="1" t="str">
        <f>"3"</f>
        <v>3</v>
      </c>
      <c r="K253" s="1" t="str">
        <f t="shared" ref="K253:P253" si="454">"0"</f>
        <v>0</v>
      </c>
      <c r="L253" s="1" t="str">
        <f t="shared" si="454"/>
        <v>0</v>
      </c>
      <c r="M253" s="1" t="str">
        <f t="shared" si="454"/>
        <v>0</v>
      </c>
      <c r="N253" s="1" t="str">
        <f t="shared" si="454"/>
        <v>0</v>
      </c>
      <c r="O253" s="1" t="str">
        <f t="shared" si="454"/>
        <v>0</v>
      </c>
      <c r="P253" s="1" t="str">
        <f t="shared" si="454"/>
        <v>0</v>
      </c>
      <c r="Q253" s="1" t="str">
        <f t="shared" si="352"/>
        <v>0.0070</v>
      </c>
      <c r="R253" s="1" t="s">
        <v>29</v>
      </c>
      <c r="S253" s="1">
        <v>-0.0014</v>
      </c>
      <c r="T253" s="1" t="str">
        <f t="shared" si="353"/>
        <v>0</v>
      </c>
      <c r="U253" s="1" t="str">
        <f t="shared" ref="U253:U260" si="455">"0.0056"</f>
        <v>0.0056</v>
      </c>
    </row>
    <row r="254" s="1" customFormat="1" spans="1:21">
      <c r="A254" s="1" t="str">
        <f>"4601991410205"</f>
        <v>4601991410205</v>
      </c>
      <c r="B254" s="1" t="s">
        <v>278</v>
      </c>
      <c r="C254" s="1" t="s">
        <v>24</v>
      </c>
      <c r="D254" s="1" t="str">
        <f t="shared" si="349"/>
        <v>2021</v>
      </c>
      <c r="E254" s="1" t="str">
        <f t="shared" ref="E254:P254" si="456">"0"</f>
        <v>0</v>
      </c>
      <c r="F254" s="1" t="str">
        <f t="shared" si="456"/>
        <v>0</v>
      </c>
      <c r="G254" s="1" t="str">
        <f t="shared" si="456"/>
        <v>0</v>
      </c>
      <c r="H254" s="1" t="str">
        <f t="shared" si="456"/>
        <v>0</v>
      </c>
      <c r="I254" s="1" t="str">
        <f t="shared" si="456"/>
        <v>0</v>
      </c>
      <c r="J254" s="1" t="str">
        <f t="shared" si="456"/>
        <v>0</v>
      </c>
      <c r="K254" s="1" t="str">
        <f t="shared" si="456"/>
        <v>0</v>
      </c>
      <c r="L254" s="1" t="str">
        <f t="shared" si="456"/>
        <v>0</v>
      </c>
      <c r="M254" s="1" t="str">
        <f t="shared" si="456"/>
        <v>0</v>
      </c>
      <c r="N254" s="1" t="str">
        <f t="shared" si="456"/>
        <v>0</v>
      </c>
      <c r="O254" s="1" t="str">
        <f t="shared" si="456"/>
        <v>0</v>
      </c>
      <c r="P254" s="1" t="str">
        <f t="shared" si="456"/>
        <v>0</v>
      </c>
      <c r="Q254" s="1" t="str">
        <f t="shared" si="352"/>
        <v>0.0070</v>
      </c>
      <c r="R254" s="1" t="s">
        <v>25</v>
      </c>
      <c r="T254" s="1" t="str">
        <f t="shared" si="353"/>
        <v>0</v>
      </c>
      <c r="U254" s="1" t="str">
        <f t="shared" si="452"/>
        <v>0.0070</v>
      </c>
    </row>
    <row r="255" s="1" customFormat="1" spans="1:21">
      <c r="A255" s="1" t="str">
        <f>"4601991408899"</f>
        <v>4601991408899</v>
      </c>
      <c r="B255" s="1" t="s">
        <v>279</v>
      </c>
      <c r="C255" s="1" t="s">
        <v>24</v>
      </c>
      <c r="D255" s="1" t="str">
        <f t="shared" si="349"/>
        <v>2021</v>
      </c>
      <c r="E255" s="1" t="str">
        <f>"28.74"</f>
        <v>28.74</v>
      </c>
      <c r="F255" s="1" t="str">
        <f t="shared" ref="F255:I255" si="457">"0"</f>
        <v>0</v>
      </c>
      <c r="G255" s="1" t="str">
        <f t="shared" si="457"/>
        <v>0</v>
      </c>
      <c r="H255" s="1" t="str">
        <f t="shared" si="457"/>
        <v>0</v>
      </c>
      <c r="I255" s="1" t="str">
        <f t="shared" si="457"/>
        <v>0</v>
      </c>
      <c r="J255" s="1" t="str">
        <f>"3"</f>
        <v>3</v>
      </c>
      <c r="K255" s="1" t="str">
        <f t="shared" ref="K255:P255" si="458">"0"</f>
        <v>0</v>
      </c>
      <c r="L255" s="1" t="str">
        <f t="shared" si="458"/>
        <v>0</v>
      </c>
      <c r="M255" s="1" t="str">
        <f t="shared" si="458"/>
        <v>0</v>
      </c>
      <c r="N255" s="1" t="str">
        <f t="shared" si="458"/>
        <v>0</v>
      </c>
      <c r="O255" s="1" t="str">
        <f t="shared" si="458"/>
        <v>0</v>
      </c>
      <c r="P255" s="1" t="str">
        <f t="shared" si="458"/>
        <v>0</v>
      </c>
      <c r="Q255" s="1" t="str">
        <f t="shared" si="352"/>
        <v>0.0070</v>
      </c>
      <c r="R255" s="1" t="s">
        <v>29</v>
      </c>
      <c r="S255" s="1">
        <v>-0.0014</v>
      </c>
      <c r="T255" s="1" t="str">
        <f t="shared" si="353"/>
        <v>0</v>
      </c>
      <c r="U255" s="1" t="str">
        <f t="shared" si="455"/>
        <v>0.0056</v>
      </c>
    </row>
    <row r="256" s="1" customFormat="1" spans="1:21">
      <c r="A256" s="1" t="str">
        <f>"4601991410201"</f>
        <v>4601991410201</v>
      </c>
      <c r="B256" s="1" t="s">
        <v>280</v>
      </c>
      <c r="C256" s="1" t="s">
        <v>24</v>
      </c>
      <c r="D256" s="1" t="str">
        <f t="shared" si="349"/>
        <v>2021</v>
      </c>
      <c r="E256" s="1" t="str">
        <f t="shared" ref="E256:P256" si="459">"0"</f>
        <v>0</v>
      </c>
      <c r="F256" s="1" t="str">
        <f t="shared" si="459"/>
        <v>0</v>
      </c>
      <c r="G256" s="1" t="str">
        <f t="shared" si="459"/>
        <v>0</v>
      </c>
      <c r="H256" s="1" t="str">
        <f t="shared" si="459"/>
        <v>0</v>
      </c>
      <c r="I256" s="1" t="str">
        <f t="shared" si="459"/>
        <v>0</v>
      </c>
      <c r="J256" s="1" t="str">
        <f t="shared" si="459"/>
        <v>0</v>
      </c>
      <c r="K256" s="1" t="str">
        <f t="shared" si="459"/>
        <v>0</v>
      </c>
      <c r="L256" s="1" t="str">
        <f t="shared" si="459"/>
        <v>0</v>
      </c>
      <c r="M256" s="1" t="str">
        <f t="shared" si="459"/>
        <v>0</v>
      </c>
      <c r="N256" s="1" t="str">
        <f t="shared" si="459"/>
        <v>0</v>
      </c>
      <c r="O256" s="1" t="str">
        <f t="shared" si="459"/>
        <v>0</v>
      </c>
      <c r="P256" s="1" t="str">
        <f t="shared" si="459"/>
        <v>0</v>
      </c>
      <c r="Q256" s="1" t="str">
        <f t="shared" si="352"/>
        <v>0.0070</v>
      </c>
      <c r="R256" s="1" t="s">
        <v>25</v>
      </c>
      <c r="T256" s="1" t="str">
        <f t="shared" si="353"/>
        <v>0</v>
      </c>
      <c r="U256" s="1" t="str">
        <f t="shared" si="452"/>
        <v>0.0070</v>
      </c>
    </row>
    <row r="257" s="1" customFormat="1" spans="1:21">
      <c r="A257" s="1" t="str">
        <f>"4601991408923"</f>
        <v>4601991408923</v>
      </c>
      <c r="B257" s="1" t="s">
        <v>281</v>
      </c>
      <c r="C257" s="1" t="s">
        <v>24</v>
      </c>
      <c r="D257" s="1" t="str">
        <f t="shared" si="349"/>
        <v>2021</v>
      </c>
      <c r="E257" s="1" t="str">
        <f>"888.66"</f>
        <v>888.66</v>
      </c>
      <c r="F257" s="1" t="str">
        <f>"101509.40"</f>
        <v>101509.40</v>
      </c>
      <c r="G257" s="1" t="str">
        <f t="shared" ref="G257:P257" si="460">"0"</f>
        <v>0</v>
      </c>
      <c r="H257" s="1" t="str">
        <f t="shared" si="460"/>
        <v>0</v>
      </c>
      <c r="I257" s="1" t="str">
        <f>"114.2275"</f>
        <v>114.2275</v>
      </c>
      <c r="J257" s="1" t="str">
        <f>"80"</f>
        <v>80</v>
      </c>
      <c r="K257" s="1" t="str">
        <f t="shared" si="460"/>
        <v>0</v>
      </c>
      <c r="L257" s="1" t="str">
        <f t="shared" si="460"/>
        <v>0</v>
      </c>
      <c r="M257" s="1" t="str">
        <f t="shared" si="460"/>
        <v>0</v>
      </c>
      <c r="N257" s="1" t="str">
        <f t="shared" si="460"/>
        <v>0</v>
      </c>
      <c r="O257" s="1" t="str">
        <f t="shared" si="460"/>
        <v>0</v>
      </c>
      <c r="P257" s="1" t="str">
        <f t="shared" si="460"/>
        <v>0</v>
      </c>
      <c r="Q257" s="1" t="str">
        <f t="shared" si="352"/>
        <v>0.0070</v>
      </c>
      <c r="R257" s="1" t="s">
        <v>69</v>
      </c>
      <c r="S257" s="1" t="str">
        <f>"0.0014"</f>
        <v>0.0014</v>
      </c>
      <c r="T257" s="1" t="str">
        <f t="shared" si="353"/>
        <v>0</v>
      </c>
      <c r="U257" s="1" t="str">
        <f>"0.0084"</f>
        <v>0.0084</v>
      </c>
    </row>
    <row r="258" s="1" customFormat="1" spans="1:21">
      <c r="A258" s="1" t="str">
        <f>"4601991410861"</f>
        <v>4601991410861</v>
      </c>
      <c r="B258" s="1" t="s">
        <v>282</v>
      </c>
      <c r="C258" s="1" t="s">
        <v>24</v>
      </c>
      <c r="D258" s="1" t="str">
        <f t="shared" si="349"/>
        <v>2021</v>
      </c>
      <c r="E258" s="1" t="str">
        <f>"328.01"</f>
        <v>328.01</v>
      </c>
      <c r="F258" s="1" t="str">
        <f t="shared" ref="F258:I258" si="461">"0"</f>
        <v>0</v>
      </c>
      <c r="G258" s="1" t="str">
        <f t="shared" si="461"/>
        <v>0</v>
      </c>
      <c r="H258" s="1" t="str">
        <f t="shared" si="461"/>
        <v>0</v>
      </c>
      <c r="I258" s="1" t="str">
        <f t="shared" si="461"/>
        <v>0</v>
      </c>
      <c r="J258" s="1" t="str">
        <f>"30"</f>
        <v>30</v>
      </c>
      <c r="K258" s="1" t="str">
        <f t="shared" ref="K258:P258" si="462">"0"</f>
        <v>0</v>
      </c>
      <c r="L258" s="1" t="str">
        <f t="shared" si="462"/>
        <v>0</v>
      </c>
      <c r="M258" s="1" t="str">
        <f t="shared" si="462"/>
        <v>0</v>
      </c>
      <c r="N258" s="1" t="str">
        <f t="shared" si="462"/>
        <v>0</v>
      </c>
      <c r="O258" s="1" t="str">
        <f t="shared" si="462"/>
        <v>0</v>
      </c>
      <c r="P258" s="1" t="str">
        <f t="shared" si="462"/>
        <v>0</v>
      </c>
      <c r="Q258" s="1" t="str">
        <f t="shared" si="352"/>
        <v>0.0070</v>
      </c>
      <c r="R258" s="1" t="s">
        <v>29</v>
      </c>
      <c r="S258" s="1">
        <v>-0.0014</v>
      </c>
      <c r="T258" s="1" t="str">
        <f t="shared" si="353"/>
        <v>0</v>
      </c>
      <c r="U258" s="1" t="str">
        <f t="shared" si="455"/>
        <v>0.0056</v>
      </c>
    </row>
    <row r="259" s="1" customFormat="1" spans="1:21">
      <c r="A259" s="1" t="str">
        <f>"4601991410232"</f>
        <v>4601991410232</v>
      </c>
      <c r="B259" s="1" t="s">
        <v>283</v>
      </c>
      <c r="C259" s="1" t="s">
        <v>24</v>
      </c>
      <c r="D259" s="1" t="str">
        <f t="shared" ref="D259:D322" si="463">"2021"</f>
        <v>2021</v>
      </c>
      <c r="E259" s="1" t="str">
        <f t="shared" ref="E259:E264" si="464">"48.35"</f>
        <v>48.35</v>
      </c>
      <c r="F259" s="1" t="str">
        <f t="shared" ref="F259:I259" si="465">"0"</f>
        <v>0</v>
      </c>
      <c r="G259" s="1" t="str">
        <f t="shared" si="465"/>
        <v>0</v>
      </c>
      <c r="H259" s="1" t="str">
        <f t="shared" si="465"/>
        <v>0</v>
      </c>
      <c r="I259" s="1" t="str">
        <f t="shared" si="465"/>
        <v>0</v>
      </c>
      <c r="J259" s="1" t="str">
        <f>"5"</f>
        <v>5</v>
      </c>
      <c r="K259" s="1" t="str">
        <f t="shared" ref="K259:P259" si="466">"0"</f>
        <v>0</v>
      </c>
      <c r="L259" s="1" t="str">
        <f t="shared" si="466"/>
        <v>0</v>
      </c>
      <c r="M259" s="1" t="str">
        <f t="shared" si="466"/>
        <v>0</v>
      </c>
      <c r="N259" s="1" t="str">
        <f t="shared" si="466"/>
        <v>0</v>
      </c>
      <c r="O259" s="1" t="str">
        <f t="shared" si="466"/>
        <v>0</v>
      </c>
      <c r="P259" s="1" t="str">
        <f t="shared" si="466"/>
        <v>0</v>
      </c>
      <c r="Q259" s="1" t="str">
        <f t="shared" ref="Q259:Q322" si="467">"0.0070"</f>
        <v>0.0070</v>
      </c>
      <c r="R259" s="1" t="s">
        <v>29</v>
      </c>
      <c r="S259" s="1">
        <v>-0.0014</v>
      </c>
      <c r="T259" s="1" t="str">
        <f t="shared" ref="T259:T322" si="468">"0"</f>
        <v>0</v>
      </c>
      <c r="U259" s="1" t="str">
        <f t="shared" si="455"/>
        <v>0.0056</v>
      </c>
    </row>
    <row r="260" s="1" customFormat="1" spans="1:21">
      <c r="A260" s="1" t="str">
        <f>"4601991409587"</f>
        <v>4601991409587</v>
      </c>
      <c r="B260" s="1" t="s">
        <v>284</v>
      </c>
      <c r="C260" s="1" t="s">
        <v>24</v>
      </c>
      <c r="D260" s="1" t="str">
        <f t="shared" si="463"/>
        <v>2021</v>
      </c>
      <c r="E260" s="1" t="str">
        <f>"145.05"</f>
        <v>145.05</v>
      </c>
      <c r="F260" s="1" t="str">
        <f t="shared" ref="F260:I260" si="469">"0"</f>
        <v>0</v>
      </c>
      <c r="G260" s="1" t="str">
        <f t="shared" si="469"/>
        <v>0</v>
      </c>
      <c r="H260" s="1" t="str">
        <f t="shared" si="469"/>
        <v>0</v>
      </c>
      <c r="I260" s="1" t="str">
        <f t="shared" si="469"/>
        <v>0</v>
      </c>
      <c r="J260" s="1" t="str">
        <f>"15"</f>
        <v>15</v>
      </c>
      <c r="K260" s="1" t="str">
        <f t="shared" ref="K260:P260" si="470">"0"</f>
        <v>0</v>
      </c>
      <c r="L260" s="1" t="str">
        <f t="shared" si="470"/>
        <v>0</v>
      </c>
      <c r="M260" s="1" t="str">
        <f t="shared" si="470"/>
        <v>0</v>
      </c>
      <c r="N260" s="1" t="str">
        <f t="shared" si="470"/>
        <v>0</v>
      </c>
      <c r="O260" s="1" t="str">
        <f t="shared" si="470"/>
        <v>0</v>
      </c>
      <c r="P260" s="1" t="str">
        <f t="shared" si="470"/>
        <v>0</v>
      </c>
      <c r="Q260" s="1" t="str">
        <f t="shared" si="467"/>
        <v>0.0070</v>
      </c>
      <c r="R260" s="1" t="s">
        <v>29</v>
      </c>
      <c r="S260" s="1">
        <v>-0.0014</v>
      </c>
      <c r="T260" s="1" t="str">
        <f t="shared" si="468"/>
        <v>0</v>
      </c>
      <c r="U260" s="1" t="str">
        <f t="shared" si="455"/>
        <v>0.0056</v>
      </c>
    </row>
    <row r="261" s="1" customFormat="1" spans="1:21">
      <c r="A261" s="1" t="str">
        <f>"4601991408389"</f>
        <v>4601991408389</v>
      </c>
      <c r="B261" s="1" t="s">
        <v>285</v>
      </c>
      <c r="C261" s="1" t="s">
        <v>24</v>
      </c>
      <c r="D261" s="1" t="str">
        <f t="shared" si="463"/>
        <v>2021</v>
      </c>
      <c r="E261" s="1" t="str">
        <f t="shared" ref="E261:P261" si="471">"0"</f>
        <v>0</v>
      </c>
      <c r="F261" s="1" t="str">
        <f>"9643.20"</f>
        <v>9643.20</v>
      </c>
      <c r="G261" s="1" t="str">
        <f t="shared" si="471"/>
        <v>0</v>
      </c>
      <c r="H261" s="1" t="str">
        <f t="shared" si="471"/>
        <v>0</v>
      </c>
      <c r="I261" s="1" t="str">
        <f t="shared" si="471"/>
        <v>0</v>
      </c>
      <c r="J261" s="1" t="str">
        <f t="shared" si="471"/>
        <v>0</v>
      </c>
      <c r="K261" s="1" t="str">
        <f t="shared" si="471"/>
        <v>0</v>
      </c>
      <c r="L261" s="1" t="str">
        <f t="shared" si="471"/>
        <v>0</v>
      </c>
      <c r="M261" s="1" t="str">
        <f t="shared" si="471"/>
        <v>0</v>
      </c>
      <c r="N261" s="1" t="str">
        <f t="shared" si="471"/>
        <v>0</v>
      </c>
      <c r="O261" s="1" t="str">
        <f t="shared" si="471"/>
        <v>0</v>
      </c>
      <c r="P261" s="1" t="str">
        <f t="shared" si="471"/>
        <v>0</v>
      </c>
      <c r="Q261" s="1" t="str">
        <f t="shared" si="467"/>
        <v>0.0070</v>
      </c>
      <c r="R261" s="1" t="s">
        <v>25</v>
      </c>
      <c r="T261" s="1" t="str">
        <f t="shared" si="468"/>
        <v>0</v>
      </c>
      <c r="U261" s="1" t="str">
        <f>"0.0070"</f>
        <v>0.0070</v>
      </c>
    </row>
    <row r="262" s="1" customFormat="1" spans="1:21">
      <c r="A262" s="1" t="str">
        <f>"4601991408374"</f>
        <v>4601991408374</v>
      </c>
      <c r="B262" s="1" t="s">
        <v>286</v>
      </c>
      <c r="C262" s="1" t="s">
        <v>24</v>
      </c>
      <c r="D262" s="1" t="str">
        <f t="shared" si="463"/>
        <v>2021</v>
      </c>
      <c r="E262" s="1" t="str">
        <f t="shared" si="464"/>
        <v>48.35</v>
      </c>
      <c r="F262" s="1" t="str">
        <f t="shared" ref="F262:I262" si="472">"0"</f>
        <v>0</v>
      </c>
      <c r="G262" s="1" t="str">
        <f t="shared" si="472"/>
        <v>0</v>
      </c>
      <c r="H262" s="1" t="str">
        <f t="shared" si="472"/>
        <v>0</v>
      </c>
      <c r="I262" s="1" t="str">
        <f t="shared" si="472"/>
        <v>0</v>
      </c>
      <c r="J262" s="1" t="str">
        <f>"6"</f>
        <v>6</v>
      </c>
      <c r="K262" s="1" t="str">
        <f t="shared" ref="K262:P262" si="473">"0"</f>
        <v>0</v>
      </c>
      <c r="L262" s="1" t="str">
        <f t="shared" si="473"/>
        <v>0</v>
      </c>
      <c r="M262" s="1" t="str">
        <f t="shared" si="473"/>
        <v>0</v>
      </c>
      <c r="N262" s="1" t="str">
        <f t="shared" si="473"/>
        <v>0</v>
      </c>
      <c r="O262" s="1" t="str">
        <f t="shared" si="473"/>
        <v>0</v>
      </c>
      <c r="P262" s="1" t="str">
        <f t="shared" si="473"/>
        <v>0</v>
      </c>
      <c r="Q262" s="1" t="str">
        <f t="shared" si="467"/>
        <v>0.0070</v>
      </c>
      <c r="R262" s="1" t="s">
        <v>29</v>
      </c>
      <c r="S262" s="1">
        <v>-0.0014</v>
      </c>
      <c r="T262" s="1" t="str">
        <f t="shared" si="468"/>
        <v>0</v>
      </c>
      <c r="U262" s="1" t="str">
        <f t="shared" ref="U262:U265" si="474">"0.0056"</f>
        <v>0.0056</v>
      </c>
    </row>
    <row r="263" s="1" customFormat="1" spans="1:21">
      <c r="A263" s="1" t="str">
        <f>"4601991408390"</f>
        <v>4601991408390</v>
      </c>
      <c r="B263" s="1" t="s">
        <v>287</v>
      </c>
      <c r="C263" s="1" t="s">
        <v>24</v>
      </c>
      <c r="D263" s="1" t="str">
        <f t="shared" si="463"/>
        <v>2021</v>
      </c>
      <c r="E263" s="1" t="str">
        <f>"86.22"</f>
        <v>86.22</v>
      </c>
      <c r="F263" s="1" t="str">
        <f t="shared" ref="F263:I263" si="475">"0"</f>
        <v>0</v>
      </c>
      <c r="G263" s="1" t="str">
        <f t="shared" si="475"/>
        <v>0</v>
      </c>
      <c r="H263" s="1" t="str">
        <f t="shared" si="475"/>
        <v>0</v>
      </c>
      <c r="I263" s="1" t="str">
        <f t="shared" si="475"/>
        <v>0</v>
      </c>
      <c r="J263" s="1" t="str">
        <f>"8"</f>
        <v>8</v>
      </c>
      <c r="K263" s="1" t="str">
        <f t="shared" ref="K263:P263" si="476">"0"</f>
        <v>0</v>
      </c>
      <c r="L263" s="1" t="str">
        <f t="shared" si="476"/>
        <v>0</v>
      </c>
      <c r="M263" s="1" t="str">
        <f t="shared" si="476"/>
        <v>0</v>
      </c>
      <c r="N263" s="1" t="str">
        <f t="shared" si="476"/>
        <v>0</v>
      </c>
      <c r="O263" s="1" t="str">
        <f t="shared" si="476"/>
        <v>0</v>
      </c>
      <c r="P263" s="1" t="str">
        <f t="shared" si="476"/>
        <v>0</v>
      </c>
      <c r="Q263" s="1" t="str">
        <f t="shared" si="467"/>
        <v>0.0070</v>
      </c>
      <c r="R263" s="1" t="s">
        <v>29</v>
      </c>
      <c r="S263" s="1">
        <v>-0.0014</v>
      </c>
      <c r="T263" s="1" t="str">
        <f t="shared" si="468"/>
        <v>0</v>
      </c>
      <c r="U263" s="1" t="str">
        <f t="shared" si="474"/>
        <v>0.0056</v>
      </c>
    </row>
    <row r="264" s="1" customFormat="1" spans="1:21">
      <c r="A264" s="1" t="str">
        <f>"4601991410888"</f>
        <v>4601991410888</v>
      </c>
      <c r="B264" s="1" t="s">
        <v>288</v>
      </c>
      <c r="C264" s="1" t="s">
        <v>24</v>
      </c>
      <c r="D264" s="1" t="str">
        <f t="shared" si="463"/>
        <v>2021</v>
      </c>
      <c r="E264" s="1" t="str">
        <f t="shared" si="464"/>
        <v>48.35</v>
      </c>
      <c r="F264" s="1" t="str">
        <f t="shared" ref="F264:I264" si="477">"0"</f>
        <v>0</v>
      </c>
      <c r="G264" s="1" t="str">
        <f t="shared" si="477"/>
        <v>0</v>
      </c>
      <c r="H264" s="1" t="str">
        <f t="shared" si="477"/>
        <v>0</v>
      </c>
      <c r="I264" s="1" t="str">
        <f t="shared" si="477"/>
        <v>0</v>
      </c>
      <c r="J264" s="1" t="str">
        <f>"5"</f>
        <v>5</v>
      </c>
      <c r="K264" s="1" t="str">
        <f t="shared" ref="K264:P264" si="478">"0"</f>
        <v>0</v>
      </c>
      <c r="L264" s="1" t="str">
        <f t="shared" si="478"/>
        <v>0</v>
      </c>
      <c r="M264" s="1" t="str">
        <f t="shared" si="478"/>
        <v>0</v>
      </c>
      <c r="N264" s="1" t="str">
        <f t="shared" si="478"/>
        <v>0</v>
      </c>
      <c r="O264" s="1" t="str">
        <f t="shared" si="478"/>
        <v>0</v>
      </c>
      <c r="P264" s="1" t="str">
        <f t="shared" si="478"/>
        <v>0</v>
      </c>
      <c r="Q264" s="1" t="str">
        <f t="shared" si="467"/>
        <v>0.0070</v>
      </c>
      <c r="R264" s="1" t="s">
        <v>29</v>
      </c>
      <c r="S264" s="1">
        <v>-0.0014</v>
      </c>
      <c r="T264" s="1" t="str">
        <f t="shared" si="468"/>
        <v>0</v>
      </c>
      <c r="U264" s="1" t="str">
        <f t="shared" si="474"/>
        <v>0.0056</v>
      </c>
    </row>
    <row r="265" s="1" customFormat="1" spans="1:21">
      <c r="A265" s="1" t="str">
        <f>"4601991408391"</f>
        <v>4601991408391</v>
      </c>
      <c r="B265" s="1" t="s">
        <v>289</v>
      </c>
      <c r="C265" s="1" t="s">
        <v>24</v>
      </c>
      <c r="D265" s="1" t="str">
        <f t="shared" si="463"/>
        <v>2021</v>
      </c>
      <c r="E265" s="1" t="str">
        <f>"106.37"</f>
        <v>106.37</v>
      </c>
      <c r="F265" s="1" t="str">
        <f t="shared" ref="F265:I265" si="479">"0"</f>
        <v>0</v>
      </c>
      <c r="G265" s="1" t="str">
        <f t="shared" si="479"/>
        <v>0</v>
      </c>
      <c r="H265" s="1" t="str">
        <f t="shared" si="479"/>
        <v>0</v>
      </c>
      <c r="I265" s="1" t="str">
        <f t="shared" si="479"/>
        <v>0</v>
      </c>
      <c r="J265" s="1" t="str">
        <f>"9"</f>
        <v>9</v>
      </c>
      <c r="K265" s="1" t="str">
        <f t="shared" ref="K265:P265" si="480">"0"</f>
        <v>0</v>
      </c>
      <c r="L265" s="1" t="str">
        <f t="shared" si="480"/>
        <v>0</v>
      </c>
      <c r="M265" s="1" t="str">
        <f t="shared" si="480"/>
        <v>0</v>
      </c>
      <c r="N265" s="1" t="str">
        <f t="shared" si="480"/>
        <v>0</v>
      </c>
      <c r="O265" s="1" t="str">
        <f t="shared" si="480"/>
        <v>0</v>
      </c>
      <c r="P265" s="1" t="str">
        <f t="shared" si="480"/>
        <v>0</v>
      </c>
      <c r="Q265" s="1" t="str">
        <f t="shared" si="467"/>
        <v>0.0070</v>
      </c>
      <c r="R265" s="1" t="s">
        <v>29</v>
      </c>
      <c r="S265" s="1">
        <v>-0.0014</v>
      </c>
      <c r="T265" s="1" t="str">
        <f t="shared" si="468"/>
        <v>0</v>
      </c>
      <c r="U265" s="1" t="str">
        <f t="shared" si="474"/>
        <v>0.0056</v>
      </c>
    </row>
    <row r="266" s="1" customFormat="1" spans="1:21">
      <c r="A266" s="1" t="str">
        <f>"4601991409665"</f>
        <v>4601991409665</v>
      </c>
      <c r="B266" s="1" t="s">
        <v>290</v>
      </c>
      <c r="C266" s="1" t="s">
        <v>24</v>
      </c>
      <c r="D266" s="1" t="str">
        <f t="shared" si="463"/>
        <v>2021</v>
      </c>
      <c r="E266" s="1" t="str">
        <f t="shared" ref="E266:P266" si="481">"0"</f>
        <v>0</v>
      </c>
      <c r="F266" s="1" t="str">
        <f t="shared" si="481"/>
        <v>0</v>
      </c>
      <c r="G266" s="1" t="str">
        <f t="shared" si="481"/>
        <v>0</v>
      </c>
      <c r="H266" s="1" t="str">
        <f t="shared" si="481"/>
        <v>0</v>
      </c>
      <c r="I266" s="1" t="str">
        <f t="shared" si="481"/>
        <v>0</v>
      </c>
      <c r="J266" s="1" t="str">
        <f t="shared" si="481"/>
        <v>0</v>
      </c>
      <c r="K266" s="1" t="str">
        <f t="shared" si="481"/>
        <v>0</v>
      </c>
      <c r="L266" s="1" t="str">
        <f t="shared" si="481"/>
        <v>0</v>
      </c>
      <c r="M266" s="1" t="str">
        <f t="shared" si="481"/>
        <v>0</v>
      </c>
      <c r="N266" s="1" t="str">
        <f t="shared" si="481"/>
        <v>0</v>
      </c>
      <c r="O266" s="1" t="str">
        <f t="shared" si="481"/>
        <v>0</v>
      </c>
      <c r="P266" s="1" t="str">
        <f t="shared" si="481"/>
        <v>0</v>
      </c>
      <c r="Q266" s="1" t="str">
        <f t="shared" si="467"/>
        <v>0.0070</v>
      </c>
      <c r="R266" s="1" t="s">
        <v>25</v>
      </c>
      <c r="T266" s="1" t="str">
        <f t="shared" si="468"/>
        <v>0</v>
      </c>
      <c r="U266" s="1" t="str">
        <f t="shared" ref="U266:U268" si="482">"0.0070"</f>
        <v>0.0070</v>
      </c>
    </row>
    <row r="267" s="1" customFormat="1" spans="1:21">
      <c r="A267" s="1" t="str">
        <f>"4601991410353"</f>
        <v>4601991410353</v>
      </c>
      <c r="B267" s="1" t="s">
        <v>291</v>
      </c>
      <c r="C267" s="1" t="s">
        <v>24</v>
      </c>
      <c r="D267" s="1" t="str">
        <f t="shared" si="463"/>
        <v>2021</v>
      </c>
      <c r="E267" s="1" t="str">
        <f t="shared" ref="E267:P267" si="483">"0"</f>
        <v>0</v>
      </c>
      <c r="F267" s="1" t="str">
        <f t="shared" si="483"/>
        <v>0</v>
      </c>
      <c r="G267" s="1" t="str">
        <f t="shared" si="483"/>
        <v>0</v>
      </c>
      <c r="H267" s="1" t="str">
        <f t="shared" si="483"/>
        <v>0</v>
      </c>
      <c r="I267" s="1" t="str">
        <f t="shared" si="483"/>
        <v>0</v>
      </c>
      <c r="J267" s="1" t="str">
        <f t="shared" si="483"/>
        <v>0</v>
      </c>
      <c r="K267" s="1" t="str">
        <f t="shared" si="483"/>
        <v>0</v>
      </c>
      <c r="L267" s="1" t="str">
        <f t="shared" si="483"/>
        <v>0</v>
      </c>
      <c r="M267" s="1" t="str">
        <f t="shared" si="483"/>
        <v>0</v>
      </c>
      <c r="N267" s="1" t="str">
        <f t="shared" si="483"/>
        <v>0</v>
      </c>
      <c r="O267" s="1" t="str">
        <f t="shared" si="483"/>
        <v>0</v>
      </c>
      <c r="P267" s="1" t="str">
        <f t="shared" si="483"/>
        <v>0</v>
      </c>
      <c r="Q267" s="1" t="str">
        <f t="shared" si="467"/>
        <v>0.0070</v>
      </c>
      <c r="R267" s="1" t="s">
        <v>25</v>
      </c>
      <c r="T267" s="1" t="str">
        <f t="shared" si="468"/>
        <v>0</v>
      </c>
      <c r="U267" s="1" t="str">
        <f t="shared" si="482"/>
        <v>0.0070</v>
      </c>
    </row>
    <row r="268" s="1" customFormat="1" spans="1:21">
      <c r="A268" s="1" t="str">
        <f>"4601991409086"</f>
        <v>4601991409086</v>
      </c>
      <c r="B268" s="1" t="s">
        <v>292</v>
      </c>
      <c r="C268" s="1" t="s">
        <v>24</v>
      </c>
      <c r="D268" s="1" t="str">
        <f t="shared" si="463"/>
        <v>2021</v>
      </c>
      <c r="E268" s="1" t="str">
        <f t="shared" ref="E268:P268" si="484">"0"</f>
        <v>0</v>
      </c>
      <c r="F268" s="1" t="str">
        <f t="shared" si="484"/>
        <v>0</v>
      </c>
      <c r="G268" s="1" t="str">
        <f t="shared" si="484"/>
        <v>0</v>
      </c>
      <c r="H268" s="1" t="str">
        <f t="shared" si="484"/>
        <v>0</v>
      </c>
      <c r="I268" s="1" t="str">
        <f t="shared" si="484"/>
        <v>0</v>
      </c>
      <c r="J268" s="1" t="str">
        <f t="shared" si="484"/>
        <v>0</v>
      </c>
      <c r="K268" s="1" t="str">
        <f t="shared" si="484"/>
        <v>0</v>
      </c>
      <c r="L268" s="1" t="str">
        <f t="shared" si="484"/>
        <v>0</v>
      </c>
      <c r="M268" s="1" t="str">
        <f t="shared" si="484"/>
        <v>0</v>
      </c>
      <c r="N268" s="1" t="str">
        <f t="shared" si="484"/>
        <v>0</v>
      </c>
      <c r="O268" s="1" t="str">
        <f t="shared" si="484"/>
        <v>0</v>
      </c>
      <c r="P268" s="1" t="str">
        <f t="shared" si="484"/>
        <v>0</v>
      </c>
      <c r="Q268" s="1" t="str">
        <f t="shared" si="467"/>
        <v>0.0070</v>
      </c>
      <c r="R268" s="1" t="s">
        <v>25</v>
      </c>
      <c r="T268" s="1" t="str">
        <f t="shared" si="468"/>
        <v>0</v>
      </c>
      <c r="U268" s="1" t="str">
        <f t="shared" si="482"/>
        <v>0.0070</v>
      </c>
    </row>
    <row r="269" s="1" customFormat="1" spans="1:21">
      <c r="A269" s="1" t="str">
        <f>"4601991409040"</f>
        <v>4601991409040</v>
      </c>
      <c r="B269" s="1" t="s">
        <v>293</v>
      </c>
      <c r="C269" s="1" t="s">
        <v>24</v>
      </c>
      <c r="D269" s="1" t="str">
        <f t="shared" si="463"/>
        <v>2021</v>
      </c>
      <c r="E269" s="1" t="str">
        <f>"427.04"</f>
        <v>427.04</v>
      </c>
      <c r="F269" s="1" t="str">
        <f>"52194.24"</f>
        <v>52194.24</v>
      </c>
      <c r="G269" s="1" t="str">
        <f t="shared" ref="G269:P269" si="485">"0"</f>
        <v>0</v>
      </c>
      <c r="H269" s="1" t="str">
        <f t="shared" si="485"/>
        <v>0</v>
      </c>
      <c r="I269" s="1" t="str">
        <f>"122.2233"</f>
        <v>122.2233</v>
      </c>
      <c r="J269" s="1" t="str">
        <f>"31"</f>
        <v>31</v>
      </c>
      <c r="K269" s="1" t="str">
        <f t="shared" si="485"/>
        <v>0</v>
      </c>
      <c r="L269" s="1" t="str">
        <f t="shared" si="485"/>
        <v>0</v>
      </c>
      <c r="M269" s="1" t="str">
        <f t="shared" si="485"/>
        <v>0</v>
      </c>
      <c r="N269" s="1" t="str">
        <f t="shared" si="485"/>
        <v>0</v>
      </c>
      <c r="O269" s="1" t="str">
        <f t="shared" si="485"/>
        <v>0</v>
      </c>
      <c r="P269" s="1" t="str">
        <f t="shared" si="485"/>
        <v>0</v>
      </c>
      <c r="Q269" s="1" t="str">
        <f t="shared" si="467"/>
        <v>0.0070</v>
      </c>
      <c r="R269" s="1" t="s">
        <v>69</v>
      </c>
      <c r="S269" s="1" t="str">
        <f>"0.0014"</f>
        <v>0.0014</v>
      </c>
      <c r="T269" s="1" t="str">
        <f t="shared" si="468"/>
        <v>0</v>
      </c>
      <c r="U269" s="1" t="str">
        <f>"0.0084"</f>
        <v>0.0084</v>
      </c>
    </row>
    <row r="270" s="1" customFormat="1" spans="1:21">
      <c r="A270" s="1" t="str">
        <f>"4601991409044"</f>
        <v>4601991409044</v>
      </c>
      <c r="B270" s="1" t="s">
        <v>294</v>
      </c>
      <c r="C270" s="1" t="s">
        <v>24</v>
      </c>
      <c r="D270" s="1" t="str">
        <f t="shared" si="463"/>
        <v>2021</v>
      </c>
      <c r="E270" s="1" t="str">
        <f>"603.54"</f>
        <v>603.54</v>
      </c>
      <c r="F270" s="1" t="str">
        <f t="shared" ref="F270:I270" si="486">"0"</f>
        <v>0</v>
      </c>
      <c r="G270" s="1" t="str">
        <f t="shared" si="486"/>
        <v>0</v>
      </c>
      <c r="H270" s="1" t="str">
        <f t="shared" si="486"/>
        <v>0</v>
      </c>
      <c r="I270" s="1" t="str">
        <f t="shared" si="486"/>
        <v>0</v>
      </c>
      <c r="J270" s="1" t="str">
        <f>"57"</f>
        <v>57</v>
      </c>
      <c r="K270" s="1" t="str">
        <f>"1"</f>
        <v>1</v>
      </c>
      <c r="L270" s="1" t="str">
        <f t="shared" ref="L270:P270" si="487">"0"</f>
        <v>0</v>
      </c>
      <c r="M270" s="1" t="str">
        <f>"0.0175"</f>
        <v>0.0175</v>
      </c>
      <c r="N270" s="1" t="str">
        <f t="shared" si="487"/>
        <v>0</v>
      </c>
      <c r="O270" s="1" t="str">
        <f t="shared" si="487"/>
        <v>0</v>
      </c>
      <c r="P270" s="1" t="str">
        <f t="shared" si="487"/>
        <v>0</v>
      </c>
      <c r="Q270" s="1" t="str">
        <f t="shared" si="467"/>
        <v>0.0070</v>
      </c>
      <c r="R270" s="1" t="s">
        <v>29</v>
      </c>
      <c r="S270" s="1">
        <v>-0.0014</v>
      </c>
      <c r="T270" s="1" t="str">
        <f t="shared" si="468"/>
        <v>0</v>
      </c>
      <c r="U270" s="1" t="str">
        <f t="shared" ref="U270:U274" si="488">"0.0056"</f>
        <v>0.0056</v>
      </c>
    </row>
    <row r="271" s="1" customFormat="1" spans="1:21">
      <c r="A271" s="1" t="str">
        <f>"4601991408459"</f>
        <v>4601991408459</v>
      </c>
      <c r="B271" s="1" t="s">
        <v>295</v>
      </c>
      <c r="C271" s="1" t="s">
        <v>24</v>
      </c>
      <c r="D271" s="1" t="str">
        <f t="shared" si="463"/>
        <v>2021</v>
      </c>
      <c r="E271" s="1" t="str">
        <f t="shared" ref="E271:P271" si="489">"0"</f>
        <v>0</v>
      </c>
      <c r="F271" s="1" t="str">
        <f t="shared" si="489"/>
        <v>0</v>
      </c>
      <c r="G271" s="1" t="str">
        <f t="shared" si="489"/>
        <v>0</v>
      </c>
      <c r="H271" s="1" t="str">
        <f t="shared" si="489"/>
        <v>0</v>
      </c>
      <c r="I271" s="1" t="str">
        <f t="shared" si="489"/>
        <v>0</v>
      </c>
      <c r="J271" s="1" t="str">
        <f t="shared" si="489"/>
        <v>0</v>
      </c>
      <c r="K271" s="1" t="str">
        <f t="shared" si="489"/>
        <v>0</v>
      </c>
      <c r="L271" s="1" t="str">
        <f t="shared" si="489"/>
        <v>0</v>
      </c>
      <c r="M271" s="1" t="str">
        <f t="shared" si="489"/>
        <v>0</v>
      </c>
      <c r="N271" s="1" t="str">
        <f t="shared" si="489"/>
        <v>0</v>
      </c>
      <c r="O271" s="1" t="str">
        <f t="shared" si="489"/>
        <v>0</v>
      </c>
      <c r="P271" s="1" t="str">
        <f t="shared" si="489"/>
        <v>0</v>
      </c>
      <c r="Q271" s="1" t="str">
        <f t="shared" si="467"/>
        <v>0.0070</v>
      </c>
      <c r="R271" s="1" t="s">
        <v>25</v>
      </c>
      <c r="T271" s="1" t="str">
        <f t="shared" si="468"/>
        <v>0</v>
      </c>
      <c r="U271" s="1" t="str">
        <f t="shared" ref="U271:U275" si="490">"0.0070"</f>
        <v>0.0070</v>
      </c>
    </row>
    <row r="272" s="1" customFormat="1" spans="1:21">
      <c r="A272" s="1" t="str">
        <f>"4601991408458"</f>
        <v>4601991408458</v>
      </c>
      <c r="B272" s="1" t="s">
        <v>296</v>
      </c>
      <c r="C272" s="1" t="s">
        <v>24</v>
      </c>
      <c r="D272" s="1" t="str">
        <f t="shared" si="463"/>
        <v>2021</v>
      </c>
      <c r="E272" s="1" t="str">
        <f>"116.04"</f>
        <v>116.04</v>
      </c>
      <c r="F272" s="1" t="str">
        <f t="shared" ref="F272:I272" si="491">"0"</f>
        <v>0</v>
      </c>
      <c r="G272" s="1" t="str">
        <f t="shared" si="491"/>
        <v>0</v>
      </c>
      <c r="H272" s="1" t="str">
        <f t="shared" si="491"/>
        <v>0</v>
      </c>
      <c r="I272" s="1" t="str">
        <f t="shared" si="491"/>
        <v>0</v>
      </c>
      <c r="J272" s="1" t="str">
        <f>"14"</f>
        <v>14</v>
      </c>
      <c r="K272" s="1" t="str">
        <f t="shared" ref="K272:P272" si="492">"0"</f>
        <v>0</v>
      </c>
      <c r="L272" s="1" t="str">
        <f t="shared" si="492"/>
        <v>0</v>
      </c>
      <c r="M272" s="1" t="str">
        <f t="shared" si="492"/>
        <v>0</v>
      </c>
      <c r="N272" s="1" t="str">
        <f t="shared" si="492"/>
        <v>0</v>
      </c>
      <c r="O272" s="1" t="str">
        <f t="shared" si="492"/>
        <v>0</v>
      </c>
      <c r="P272" s="1" t="str">
        <f t="shared" si="492"/>
        <v>0</v>
      </c>
      <c r="Q272" s="1" t="str">
        <f t="shared" si="467"/>
        <v>0.0070</v>
      </c>
      <c r="R272" s="1" t="s">
        <v>29</v>
      </c>
      <c r="S272" s="1">
        <v>-0.0014</v>
      </c>
      <c r="T272" s="1" t="str">
        <f t="shared" si="468"/>
        <v>0</v>
      </c>
      <c r="U272" s="1" t="str">
        <f t="shared" si="488"/>
        <v>0.0056</v>
      </c>
    </row>
    <row r="273" s="1" customFormat="1" spans="1:21">
      <c r="A273" s="1" t="str">
        <f>"4601991409110"</f>
        <v>4601991409110</v>
      </c>
      <c r="B273" s="1" t="s">
        <v>297</v>
      </c>
      <c r="C273" s="1" t="s">
        <v>24</v>
      </c>
      <c r="D273" s="1" t="str">
        <f t="shared" si="463"/>
        <v>2021</v>
      </c>
      <c r="E273" s="1" t="str">
        <f t="shared" ref="E273:P273" si="493">"0"</f>
        <v>0</v>
      </c>
      <c r="F273" s="1" t="str">
        <f t="shared" si="493"/>
        <v>0</v>
      </c>
      <c r="G273" s="1" t="str">
        <f t="shared" si="493"/>
        <v>0</v>
      </c>
      <c r="H273" s="1" t="str">
        <f t="shared" si="493"/>
        <v>0</v>
      </c>
      <c r="I273" s="1" t="str">
        <f t="shared" si="493"/>
        <v>0</v>
      </c>
      <c r="J273" s="1" t="str">
        <f t="shared" si="493"/>
        <v>0</v>
      </c>
      <c r="K273" s="1" t="str">
        <f t="shared" si="493"/>
        <v>0</v>
      </c>
      <c r="L273" s="1" t="str">
        <f t="shared" si="493"/>
        <v>0</v>
      </c>
      <c r="M273" s="1" t="str">
        <f t="shared" si="493"/>
        <v>0</v>
      </c>
      <c r="N273" s="1" t="str">
        <f t="shared" si="493"/>
        <v>0</v>
      </c>
      <c r="O273" s="1" t="str">
        <f t="shared" si="493"/>
        <v>0</v>
      </c>
      <c r="P273" s="1" t="str">
        <f t="shared" si="493"/>
        <v>0</v>
      </c>
      <c r="Q273" s="1" t="str">
        <f t="shared" si="467"/>
        <v>0.0070</v>
      </c>
      <c r="R273" s="1" t="s">
        <v>25</v>
      </c>
      <c r="T273" s="1" t="str">
        <f t="shared" si="468"/>
        <v>0</v>
      </c>
      <c r="U273" s="1" t="str">
        <f t="shared" si="490"/>
        <v>0.0070</v>
      </c>
    </row>
    <row r="274" s="1" customFormat="1" spans="1:21">
      <c r="A274" s="1" t="str">
        <f>"4601991409107"</f>
        <v>4601991409107</v>
      </c>
      <c r="B274" s="1" t="s">
        <v>298</v>
      </c>
      <c r="C274" s="1" t="s">
        <v>24</v>
      </c>
      <c r="D274" s="1" t="str">
        <f t="shared" si="463"/>
        <v>2021</v>
      </c>
      <c r="E274" s="1" t="str">
        <f>"108.31"</f>
        <v>108.31</v>
      </c>
      <c r="F274" s="1" t="str">
        <f t="shared" ref="F274:I274" si="494">"0"</f>
        <v>0</v>
      </c>
      <c r="G274" s="1" t="str">
        <f t="shared" si="494"/>
        <v>0</v>
      </c>
      <c r="H274" s="1" t="str">
        <f t="shared" si="494"/>
        <v>0</v>
      </c>
      <c r="I274" s="1" t="str">
        <f t="shared" si="494"/>
        <v>0</v>
      </c>
      <c r="J274" s="1" t="str">
        <f>"9"</f>
        <v>9</v>
      </c>
      <c r="K274" s="1" t="str">
        <f t="shared" ref="K274:P274" si="495">"0"</f>
        <v>0</v>
      </c>
      <c r="L274" s="1" t="str">
        <f t="shared" si="495"/>
        <v>0</v>
      </c>
      <c r="M274" s="1" t="str">
        <f t="shared" si="495"/>
        <v>0</v>
      </c>
      <c r="N274" s="1" t="str">
        <f t="shared" si="495"/>
        <v>0</v>
      </c>
      <c r="O274" s="1" t="str">
        <f t="shared" si="495"/>
        <v>0</v>
      </c>
      <c r="P274" s="1" t="str">
        <f t="shared" si="495"/>
        <v>0</v>
      </c>
      <c r="Q274" s="1" t="str">
        <f t="shared" si="467"/>
        <v>0.0070</v>
      </c>
      <c r="R274" s="1" t="s">
        <v>29</v>
      </c>
      <c r="S274" s="1">
        <v>-0.0014</v>
      </c>
      <c r="T274" s="1" t="str">
        <f t="shared" si="468"/>
        <v>0</v>
      </c>
      <c r="U274" s="1" t="str">
        <f t="shared" si="488"/>
        <v>0.0056</v>
      </c>
    </row>
    <row r="275" s="1" customFormat="1" spans="1:21">
      <c r="A275" s="1" t="str">
        <f>"4601991408478"</f>
        <v>4601991408478</v>
      </c>
      <c r="B275" s="1" t="s">
        <v>299</v>
      </c>
      <c r="C275" s="1" t="s">
        <v>24</v>
      </c>
      <c r="D275" s="1" t="str">
        <f t="shared" si="463"/>
        <v>2021</v>
      </c>
      <c r="E275" s="1" t="str">
        <f t="shared" ref="E275:P275" si="496">"0"</f>
        <v>0</v>
      </c>
      <c r="F275" s="1" t="str">
        <f>"3276.50"</f>
        <v>3276.50</v>
      </c>
      <c r="G275" s="1" t="str">
        <f t="shared" si="496"/>
        <v>0</v>
      </c>
      <c r="H275" s="1" t="str">
        <f t="shared" si="496"/>
        <v>0</v>
      </c>
      <c r="I275" s="1" t="str">
        <f t="shared" si="496"/>
        <v>0</v>
      </c>
      <c r="J275" s="1" t="str">
        <f t="shared" si="496"/>
        <v>0</v>
      </c>
      <c r="K275" s="1" t="str">
        <f t="shared" si="496"/>
        <v>0</v>
      </c>
      <c r="L275" s="1" t="str">
        <f t="shared" si="496"/>
        <v>0</v>
      </c>
      <c r="M275" s="1" t="str">
        <f t="shared" si="496"/>
        <v>0</v>
      </c>
      <c r="N275" s="1" t="str">
        <f t="shared" si="496"/>
        <v>0</v>
      </c>
      <c r="O275" s="1" t="str">
        <f t="shared" si="496"/>
        <v>0</v>
      </c>
      <c r="P275" s="1" t="str">
        <f t="shared" si="496"/>
        <v>0</v>
      </c>
      <c r="Q275" s="1" t="str">
        <f t="shared" si="467"/>
        <v>0.0070</v>
      </c>
      <c r="R275" s="1" t="s">
        <v>25</v>
      </c>
      <c r="T275" s="1" t="str">
        <f t="shared" si="468"/>
        <v>0</v>
      </c>
      <c r="U275" s="1" t="str">
        <f t="shared" si="490"/>
        <v>0.0070</v>
      </c>
    </row>
    <row r="276" s="1" customFormat="1" spans="1:21">
      <c r="A276" s="1" t="str">
        <f>"4601991410401"</f>
        <v>4601991410401</v>
      </c>
      <c r="B276" s="1" t="s">
        <v>300</v>
      </c>
      <c r="C276" s="1" t="s">
        <v>24</v>
      </c>
      <c r="D276" s="1" t="str">
        <f t="shared" si="463"/>
        <v>2021</v>
      </c>
      <c r="E276" s="1" t="str">
        <f>"29.01"</f>
        <v>29.01</v>
      </c>
      <c r="F276" s="1" t="str">
        <f t="shared" ref="F276:I276" si="497">"0"</f>
        <v>0</v>
      </c>
      <c r="G276" s="1" t="str">
        <f t="shared" si="497"/>
        <v>0</v>
      </c>
      <c r="H276" s="1" t="str">
        <f t="shared" si="497"/>
        <v>0</v>
      </c>
      <c r="I276" s="1" t="str">
        <f t="shared" si="497"/>
        <v>0</v>
      </c>
      <c r="J276" s="1" t="str">
        <f>"3"</f>
        <v>3</v>
      </c>
      <c r="K276" s="1" t="str">
        <f t="shared" ref="K276:P276" si="498">"0"</f>
        <v>0</v>
      </c>
      <c r="L276" s="1" t="str">
        <f t="shared" si="498"/>
        <v>0</v>
      </c>
      <c r="M276" s="1" t="str">
        <f t="shared" si="498"/>
        <v>0</v>
      </c>
      <c r="N276" s="1" t="str">
        <f t="shared" si="498"/>
        <v>0</v>
      </c>
      <c r="O276" s="1" t="str">
        <f t="shared" si="498"/>
        <v>0</v>
      </c>
      <c r="P276" s="1" t="str">
        <f t="shared" si="498"/>
        <v>0</v>
      </c>
      <c r="Q276" s="1" t="str">
        <f t="shared" si="467"/>
        <v>0.0070</v>
      </c>
      <c r="R276" s="1" t="s">
        <v>29</v>
      </c>
      <c r="S276" s="1">
        <v>-0.0014</v>
      </c>
      <c r="T276" s="1" t="str">
        <f t="shared" si="468"/>
        <v>0</v>
      </c>
      <c r="U276" s="1" t="str">
        <f t="shared" ref="U276:U278" si="499">"0.0056"</f>
        <v>0.0056</v>
      </c>
    </row>
    <row r="277" s="1" customFormat="1" spans="1:21">
      <c r="A277" s="1" t="str">
        <f>"4601991409728"</f>
        <v>4601991409728</v>
      </c>
      <c r="B277" s="1" t="s">
        <v>301</v>
      </c>
      <c r="C277" s="1" t="s">
        <v>24</v>
      </c>
      <c r="D277" s="1" t="str">
        <f t="shared" si="463"/>
        <v>2021</v>
      </c>
      <c r="E277" s="1" t="str">
        <f>"124.83"</f>
        <v>124.83</v>
      </c>
      <c r="F277" s="1" t="str">
        <f t="shared" ref="F277:I277" si="500">"0"</f>
        <v>0</v>
      </c>
      <c r="G277" s="1" t="str">
        <f t="shared" si="500"/>
        <v>0</v>
      </c>
      <c r="H277" s="1" t="str">
        <f t="shared" si="500"/>
        <v>0</v>
      </c>
      <c r="I277" s="1" t="str">
        <f t="shared" si="500"/>
        <v>0</v>
      </c>
      <c r="J277" s="1" t="str">
        <f>"9"</f>
        <v>9</v>
      </c>
      <c r="K277" s="1" t="str">
        <f t="shared" ref="K277:P277" si="501">"0"</f>
        <v>0</v>
      </c>
      <c r="L277" s="1" t="str">
        <f t="shared" si="501"/>
        <v>0</v>
      </c>
      <c r="M277" s="1" t="str">
        <f t="shared" si="501"/>
        <v>0</v>
      </c>
      <c r="N277" s="1" t="str">
        <f t="shared" si="501"/>
        <v>0</v>
      </c>
      <c r="O277" s="1" t="str">
        <f t="shared" si="501"/>
        <v>0</v>
      </c>
      <c r="P277" s="1" t="str">
        <f t="shared" si="501"/>
        <v>0</v>
      </c>
      <c r="Q277" s="1" t="str">
        <f t="shared" si="467"/>
        <v>0.0070</v>
      </c>
      <c r="R277" s="1" t="s">
        <v>29</v>
      </c>
      <c r="S277" s="1">
        <v>-0.0014</v>
      </c>
      <c r="T277" s="1" t="str">
        <f t="shared" si="468"/>
        <v>0</v>
      </c>
      <c r="U277" s="1" t="str">
        <f t="shared" si="499"/>
        <v>0.0056</v>
      </c>
    </row>
    <row r="278" s="1" customFormat="1" spans="1:21">
      <c r="A278" s="1" t="str">
        <f>"4601991409134"</f>
        <v>4601991409134</v>
      </c>
      <c r="B278" s="1" t="s">
        <v>302</v>
      </c>
      <c r="C278" s="1" t="s">
        <v>24</v>
      </c>
      <c r="D278" s="1" t="str">
        <f t="shared" si="463"/>
        <v>2021</v>
      </c>
      <c r="E278" s="1" t="str">
        <f>"38.68"</f>
        <v>38.68</v>
      </c>
      <c r="F278" s="1" t="str">
        <f t="shared" ref="F278:I278" si="502">"0"</f>
        <v>0</v>
      </c>
      <c r="G278" s="1" t="str">
        <f t="shared" si="502"/>
        <v>0</v>
      </c>
      <c r="H278" s="1" t="str">
        <f t="shared" si="502"/>
        <v>0</v>
      </c>
      <c r="I278" s="1" t="str">
        <f t="shared" si="502"/>
        <v>0</v>
      </c>
      <c r="J278" s="1" t="str">
        <f>"4"</f>
        <v>4</v>
      </c>
      <c r="K278" s="1" t="str">
        <f t="shared" ref="K278:P278" si="503">"0"</f>
        <v>0</v>
      </c>
      <c r="L278" s="1" t="str">
        <f t="shared" si="503"/>
        <v>0</v>
      </c>
      <c r="M278" s="1" t="str">
        <f t="shared" si="503"/>
        <v>0</v>
      </c>
      <c r="N278" s="1" t="str">
        <f t="shared" si="503"/>
        <v>0</v>
      </c>
      <c r="O278" s="1" t="str">
        <f t="shared" si="503"/>
        <v>0</v>
      </c>
      <c r="P278" s="1" t="str">
        <f t="shared" si="503"/>
        <v>0</v>
      </c>
      <c r="Q278" s="1" t="str">
        <f t="shared" si="467"/>
        <v>0.0070</v>
      </c>
      <c r="R278" s="1" t="s">
        <v>29</v>
      </c>
      <c r="S278" s="1">
        <v>-0.0014</v>
      </c>
      <c r="T278" s="1" t="str">
        <f t="shared" si="468"/>
        <v>0</v>
      </c>
      <c r="U278" s="1" t="str">
        <f t="shared" si="499"/>
        <v>0.0056</v>
      </c>
    </row>
    <row r="279" s="1" customFormat="1" spans="1:21">
      <c r="A279" s="1" t="str">
        <f>"4601991409167"</f>
        <v>4601991409167</v>
      </c>
      <c r="B279" s="1" t="s">
        <v>303</v>
      </c>
      <c r="C279" s="1" t="s">
        <v>24</v>
      </c>
      <c r="D279" s="1" t="str">
        <f t="shared" si="463"/>
        <v>2021</v>
      </c>
      <c r="E279" s="1" t="str">
        <f>"9.67"</f>
        <v>9.67</v>
      </c>
      <c r="F279" s="1" t="str">
        <f t="shared" ref="F279:I279" si="504">"0"</f>
        <v>0</v>
      </c>
      <c r="G279" s="1" t="str">
        <f t="shared" si="504"/>
        <v>0</v>
      </c>
      <c r="H279" s="1" t="str">
        <f t="shared" si="504"/>
        <v>0</v>
      </c>
      <c r="I279" s="1" t="str">
        <f t="shared" si="504"/>
        <v>0</v>
      </c>
      <c r="J279" s="1" t="str">
        <f>"1"</f>
        <v>1</v>
      </c>
      <c r="K279" s="1" t="str">
        <f t="shared" ref="K279:P279" si="505">"0"</f>
        <v>0</v>
      </c>
      <c r="L279" s="1" t="str">
        <f t="shared" si="505"/>
        <v>0</v>
      </c>
      <c r="M279" s="1" t="str">
        <f t="shared" si="505"/>
        <v>0</v>
      </c>
      <c r="N279" s="1" t="str">
        <f t="shared" si="505"/>
        <v>0</v>
      </c>
      <c r="O279" s="1" t="str">
        <f t="shared" si="505"/>
        <v>0</v>
      </c>
      <c r="P279" s="1" t="str">
        <f t="shared" si="505"/>
        <v>0</v>
      </c>
      <c r="Q279" s="1" t="str">
        <f t="shared" si="467"/>
        <v>0.0070</v>
      </c>
      <c r="R279" s="1" t="s">
        <v>25</v>
      </c>
      <c r="T279" s="1" t="str">
        <f t="shared" si="468"/>
        <v>0</v>
      </c>
      <c r="U279" s="1" t="str">
        <f t="shared" ref="U279:U281" si="506">"0.0070"</f>
        <v>0.0070</v>
      </c>
    </row>
    <row r="280" s="1" customFormat="1" spans="1:21">
      <c r="A280" s="1" t="str">
        <f>"4601991408488"</f>
        <v>4601991408488</v>
      </c>
      <c r="B280" s="1" t="s">
        <v>304</v>
      </c>
      <c r="C280" s="1" t="s">
        <v>24</v>
      </c>
      <c r="D280" s="1" t="str">
        <f t="shared" si="463"/>
        <v>2021</v>
      </c>
      <c r="E280" s="1" t="str">
        <f>"19.34"</f>
        <v>19.34</v>
      </c>
      <c r="F280" s="1" t="str">
        <f t="shared" ref="F280:I280" si="507">"0"</f>
        <v>0</v>
      </c>
      <c r="G280" s="1" t="str">
        <f t="shared" si="507"/>
        <v>0</v>
      </c>
      <c r="H280" s="1" t="str">
        <f t="shared" si="507"/>
        <v>0</v>
      </c>
      <c r="I280" s="1" t="str">
        <f t="shared" si="507"/>
        <v>0</v>
      </c>
      <c r="J280" s="1" t="str">
        <f>"2"</f>
        <v>2</v>
      </c>
      <c r="K280" s="1" t="str">
        <f t="shared" ref="K280:P280" si="508">"0"</f>
        <v>0</v>
      </c>
      <c r="L280" s="1" t="str">
        <f t="shared" si="508"/>
        <v>0</v>
      </c>
      <c r="M280" s="1" t="str">
        <f t="shared" si="508"/>
        <v>0</v>
      </c>
      <c r="N280" s="1" t="str">
        <f t="shared" si="508"/>
        <v>0</v>
      </c>
      <c r="O280" s="1" t="str">
        <f t="shared" si="508"/>
        <v>0</v>
      </c>
      <c r="P280" s="1" t="str">
        <f t="shared" si="508"/>
        <v>0</v>
      </c>
      <c r="Q280" s="1" t="str">
        <f t="shared" si="467"/>
        <v>0.0070</v>
      </c>
      <c r="R280" s="1" t="s">
        <v>25</v>
      </c>
      <c r="T280" s="1" t="str">
        <f t="shared" si="468"/>
        <v>0</v>
      </c>
      <c r="U280" s="1" t="str">
        <f t="shared" si="506"/>
        <v>0.0070</v>
      </c>
    </row>
    <row r="281" s="1" customFormat="1" spans="1:21">
      <c r="A281" s="1" t="str">
        <f>"4601991410466"</f>
        <v>4601991410466</v>
      </c>
      <c r="B281" s="1" t="s">
        <v>305</v>
      </c>
      <c r="C281" s="1" t="s">
        <v>24</v>
      </c>
      <c r="D281" s="1" t="str">
        <f t="shared" si="463"/>
        <v>2021</v>
      </c>
      <c r="E281" s="1" t="str">
        <f t="shared" ref="E281:P281" si="509">"0"</f>
        <v>0</v>
      </c>
      <c r="F281" s="1" t="str">
        <f t="shared" si="509"/>
        <v>0</v>
      </c>
      <c r="G281" s="1" t="str">
        <f t="shared" si="509"/>
        <v>0</v>
      </c>
      <c r="H281" s="1" t="str">
        <f t="shared" si="509"/>
        <v>0</v>
      </c>
      <c r="I281" s="1" t="str">
        <f t="shared" si="509"/>
        <v>0</v>
      </c>
      <c r="J281" s="1" t="str">
        <f t="shared" si="509"/>
        <v>0</v>
      </c>
      <c r="K281" s="1" t="str">
        <f t="shared" si="509"/>
        <v>0</v>
      </c>
      <c r="L281" s="1" t="str">
        <f t="shared" si="509"/>
        <v>0</v>
      </c>
      <c r="M281" s="1" t="str">
        <f t="shared" si="509"/>
        <v>0</v>
      </c>
      <c r="N281" s="1" t="str">
        <f t="shared" si="509"/>
        <v>0</v>
      </c>
      <c r="O281" s="1" t="str">
        <f t="shared" si="509"/>
        <v>0</v>
      </c>
      <c r="P281" s="1" t="str">
        <f t="shared" si="509"/>
        <v>0</v>
      </c>
      <c r="Q281" s="1" t="str">
        <f t="shared" si="467"/>
        <v>0.0070</v>
      </c>
      <c r="R281" s="1" t="s">
        <v>25</v>
      </c>
      <c r="T281" s="1" t="str">
        <f t="shared" si="468"/>
        <v>0</v>
      </c>
      <c r="U281" s="1" t="str">
        <f t="shared" si="506"/>
        <v>0.0070</v>
      </c>
    </row>
    <row r="282" s="1" customFormat="1" spans="1:21">
      <c r="A282" s="1" t="str">
        <f>"4601991408450"</f>
        <v>4601991408450</v>
      </c>
      <c r="B282" s="1" t="s">
        <v>306</v>
      </c>
      <c r="C282" s="1" t="s">
        <v>24</v>
      </c>
      <c r="D282" s="1" t="str">
        <f t="shared" si="463"/>
        <v>2021</v>
      </c>
      <c r="E282" s="1" t="str">
        <f>"3105.01"</f>
        <v>3105.01</v>
      </c>
      <c r="F282" s="1" t="str">
        <f>"62920.35"</f>
        <v>62920.35</v>
      </c>
      <c r="G282" s="1" t="str">
        <f t="shared" ref="G282:L282" si="510">"0"</f>
        <v>0</v>
      </c>
      <c r="H282" s="1" t="str">
        <f t="shared" si="510"/>
        <v>0</v>
      </c>
      <c r="I282" s="1" t="str">
        <f>"20.2641"</f>
        <v>20.2641</v>
      </c>
      <c r="J282" s="1" t="str">
        <f>"290"</f>
        <v>290</v>
      </c>
      <c r="K282" s="1" t="str">
        <f>"1"</f>
        <v>1</v>
      </c>
      <c r="L282" s="1" t="str">
        <f t="shared" si="510"/>
        <v>0</v>
      </c>
      <c r="M282" s="1" t="str">
        <f>"0.0034"</f>
        <v>0.0034</v>
      </c>
      <c r="N282" s="1" t="str">
        <f t="shared" ref="N282:P282" si="511">"0"</f>
        <v>0</v>
      </c>
      <c r="O282" s="1" t="str">
        <f t="shared" si="511"/>
        <v>0</v>
      </c>
      <c r="P282" s="1" t="str">
        <f t="shared" si="511"/>
        <v>0</v>
      </c>
      <c r="Q282" s="1" t="str">
        <f t="shared" si="467"/>
        <v>0.0070</v>
      </c>
      <c r="R282" s="1" t="s">
        <v>69</v>
      </c>
      <c r="S282" s="1" t="str">
        <f>"0.0014"</f>
        <v>0.0014</v>
      </c>
      <c r="T282" s="1" t="str">
        <f t="shared" si="468"/>
        <v>0</v>
      </c>
      <c r="U282" s="1" t="str">
        <f>"0.0084"</f>
        <v>0.0084</v>
      </c>
    </row>
    <row r="283" s="1" customFormat="1" spans="1:21">
      <c r="A283" s="1" t="str">
        <f>"4601991409174"</f>
        <v>4601991409174</v>
      </c>
      <c r="B283" s="1" t="s">
        <v>307</v>
      </c>
      <c r="C283" s="1" t="s">
        <v>24</v>
      </c>
      <c r="D283" s="1" t="str">
        <f t="shared" si="463"/>
        <v>2021</v>
      </c>
      <c r="E283" s="1" t="str">
        <f t="shared" ref="E283:P283" si="512">"0"</f>
        <v>0</v>
      </c>
      <c r="F283" s="1" t="str">
        <f t="shared" si="512"/>
        <v>0</v>
      </c>
      <c r="G283" s="1" t="str">
        <f t="shared" si="512"/>
        <v>0</v>
      </c>
      <c r="H283" s="1" t="str">
        <f t="shared" si="512"/>
        <v>0</v>
      </c>
      <c r="I283" s="1" t="str">
        <f t="shared" si="512"/>
        <v>0</v>
      </c>
      <c r="J283" s="1" t="str">
        <f t="shared" si="512"/>
        <v>0</v>
      </c>
      <c r="K283" s="1" t="str">
        <f t="shared" si="512"/>
        <v>0</v>
      </c>
      <c r="L283" s="1" t="str">
        <f t="shared" si="512"/>
        <v>0</v>
      </c>
      <c r="M283" s="1" t="str">
        <f t="shared" si="512"/>
        <v>0</v>
      </c>
      <c r="N283" s="1" t="str">
        <f t="shared" si="512"/>
        <v>0</v>
      </c>
      <c r="O283" s="1" t="str">
        <f t="shared" si="512"/>
        <v>0</v>
      </c>
      <c r="P283" s="1" t="str">
        <f t="shared" si="512"/>
        <v>0</v>
      </c>
      <c r="Q283" s="1" t="str">
        <f t="shared" si="467"/>
        <v>0.0070</v>
      </c>
      <c r="R283" s="1" t="s">
        <v>25</v>
      </c>
      <c r="T283" s="1" t="str">
        <f t="shared" si="468"/>
        <v>0</v>
      </c>
      <c r="U283" s="1" t="str">
        <f t="shared" ref="U283:U286" si="513">"0.0070"</f>
        <v>0.0070</v>
      </c>
    </row>
    <row r="284" s="1" customFormat="1" spans="1:21">
      <c r="A284" s="1" t="str">
        <f>"4601991408529"</f>
        <v>4601991408529</v>
      </c>
      <c r="B284" s="1" t="s">
        <v>308</v>
      </c>
      <c r="C284" s="1" t="s">
        <v>24</v>
      </c>
      <c r="D284" s="1" t="str">
        <f t="shared" si="463"/>
        <v>2021</v>
      </c>
      <c r="E284" s="1" t="str">
        <f t="shared" ref="E284:P284" si="514">"0"</f>
        <v>0</v>
      </c>
      <c r="F284" s="1" t="str">
        <f t="shared" si="514"/>
        <v>0</v>
      </c>
      <c r="G284" s="1" t="str">
        <f t="shared" si="514"/>
        <v>0</v>
      </c>
      <c r="H284" s="1" t="str">
        <f t="shared" si="514"/>
        <v>0</v>
      </c>
      <c r="I284" s="1" t="str">
        <f t="shared" si="514"/>
        <v>0</v>
      </c>
      <c r="J284" s="1" t="str">
        <f t="shared" si="514"/>
        <v>0</v>
      </c>
      <c r="K284" s="1" t="str">
        <f t="shared" si="514"/>
        <v>0</v>
      </c>
      <c r="L284" s="1" t="str">
        <f t="shared" si="514"/>
        <v>0</v>
      </c>
      <c r="M284" s="1" t="str">
        <f t="shared" si="514"/>
        <v>0</v>
      </c>
      <c r="N284" s="1" t="str">
        <f t="shared" si="514"/>
        <v>0</v>
      </c>
      <c r="O284" s="1" t="str">
        <f t="shared" si="514"/>
        <v>0</v>
      </c>
      <c r="P284" s="1" t="str">
        <f t="shared" si="514"/>
        <v>0</v>
      </c>
      <c r="Q284" s="1" t="str">
        <f t="shared" si="467"/>
        <v>0.0070</v>
      </c>
      <c r="R284" s="1" t="s">
        <v>25</v>
      </c>
      <c r="T284" s="1" t="str">
        <f t="shared" si="468"/>
        <v>0</v>
      </c>
      <c r="U284" s="1" t="str">
        <f t="shared" si="513"/>
        <v>0.0070</v>
      </c>
    </row>
    <row r="285" s="1" customFormat="1" spans="1:21">
      <c r="A285" s="1" t="str">
        <f>"4601991409204"</f>
        <v>4601991409204</v>
      </c>
      <c r="B285" s="1" t="s">
        <v>309</v>
      </c>
      <c r="C285" s="1" t="s">
        <v>24</v>
      </c>
      <c r="D285" s="1" t="str">
        <f t="shared" si="463"/>
        <v>2021</v>
      </c>
      <c r="E285" s="1" t="str">
        <f t="shared" ref="E285:P285" si="515">"0"</f>
        <v>0</v>
      </c>
      <c r="F285" s="1" t="str">
        <f t="shared" si="515"/>
        <v>0</v>
      </c>
      <c r="G285" s="1" t="str">
        <f t="shared" si="515"/>
        <v>0</v>
      </c>
      <c r="H285" s="1" t="str">
        <f t="shared" si="515"/>
        <v>0</v>
      </c>
      <c r="I285" s="1" t="str">
        <f t="shared" si="515"/>
        <v>0</v>
      </c>
      <c r="J285" s="1" t="str">
        <f t="shared" si="515"/>
        <v>0</v>
      </c>
      <c r="K285" s="1" t="str">
        <f t="shared" si="515"/>
        <v>0</v>
      </c>
      <c r="L285" s="1" t="str">
        <f t="shared" si="515"/>
        <v>0</v>
      </c>
      <c r="M285" s="1" t="str">
        <f t="shared" si="515"/>
        <v>0</v>
      </c>
      <c r="N285" s="1" t="str">
        <f t="shared" si="515"/>
        <v>0</v>
      </c>
      <c r="O285" s="1" t="str">
        <f t="shared" si="515"/>
        <v>0</v>
      </c>
      <c r="P285" s="1" t="str">
        <f t="shared" si="515"/>
        <v>0</v>
      </c>
      <c r="Q285" s="1" t="str">
        <f t="shared" si="467"/>
        <v>0.0070</v>
      </c>
      <c r="R285" s="1" t="s">
        <v>25</v>
      </c>
      <c r="T285" s="1" t="str">
        <f t="shared" si="468"/>
        <v>0</v>
      </c>
      <c r="U285" s="1" t="str">
        <f t="shared" si="513"/>
        <v>0.0070</v>
      </c>
    </row>
    <row r="286" s="1" customFormat="1" spans="1:21">
      <c r="A286" s="1" t="str">
        <f>"4601991409823"</f>
        <v>4601991409823</v>
      </c>
      <c r="B286" s="1" t="s">
        <v>310</v>
      </c>
      <c r="C286" s="1" t="s">
        <v>24</v>
      </c>
      <c r="D286" s="1" t="str">
        <f t="shared" si="463"/>
        <v>2021</v>
      </c>
      <c r="E286" s="1" t="str">
        <f t="shared" ref="E286:P286" si="516">"0"</f>
        <v>0</v>
      </c>
      <c r="F286" s="1" t="str">
        <f t="shared" si="516"/>
        <v>0</v>
      </c>
      <c r="G286" s="1" t="str">
        <f t="shared" si="516"/>
        <v>0</v>
      </c>
      <c r="H286" s="1" t="str">
        <f t="shared" si="516"/>
        <v>0</v>
      </c>
      <c r="I286" s="1" t="str">
        <f t="shared" si="516"/>
        <v>0</v>
      </c>
      <c r="J286" s="1" t="str">
        <f t="shared" si="516"/>
        <v>0</v>
      </c>
      <c r="K286" s="1" t="str">
        <f t="shared" si="516"/>
        <v>0</v>
      </c>
      <c r="L286" s="1" t="str">
        <f t="shared" si="516"/>
        <v>0</v>
      </c>
      <c r="M286" s="1" t="str">
        <f t="shared" si="516"/>
        <v>0</v>
      </c>
      <c r="N286" s="1" t="str">
        <f t="shared" si="516"/>
        <v>0</v>
      </c>
      <c r="O286" s="1" t="str">
        <f t="shared" si="516"/>
        <v>0</v>
      </c>
      <c r="P286" s="1" t="str">
        <f t="shared" si="516"/>
        <v>0</v>
      </c>
      <c r="Q286" s="1" t="str">
        <f t="shared" si="467"/>
        <v>0.0070</v>
      </c>
      <c r="R286" s="1" t="s">
        <v>25</v>
      </c>
      <c r="T286" s="1" t="str">
        <f t="shared" si="468"/>
        <v>0</v>
      </c>
      <c r="U286" s="1" t="str">
        <f t="shared" si="513"/>
        <v>0.0070</v>
      </c>
    </row>
    <row r="287" s="1" customFormat="1" spans="1:21">
      <c r="A287" s="1" t="str">
        <f>"4601991409818"</f>
        <v>4601991409818</v>
      </c>
      <c r="B287" s="1" t="s">
        <v>311</v>
      </c>
      <c r="C287" s="1" t="s">
        <v>24</v>
      </c>
      <c r="D287" s="1" t="str">
        <f t="shared" si="463"/>
        <v>2021</v>
      </c>
      <c r="E287" s="1" t="str">
        <f>"164.39"</f>
        <v>164.39</v>
      </c>
      <c r="F287" s="1" t="str">
        <f t="shared" ref="F287:I287" si="517">"0"</f>
        <v>0</v>
      </c>
      <c r="G287" s="1" t="str">
        <f t="shared" si="517"/>
        <v>0</v>
      </c>
      <c r="H287" s="1" t="str">
        <f t="shared" si="517"/>
        <v>0</v>
      </c>
      <c r="I287" s="1" t="str">
        <f t="shared" si="517"/>
        <v>0</v>
      </c>
      <c r="J287" s="1" t="str">
        <f>"18"</f>
        <v>18</v>
      </c>
      <c r="K287" s="1" t="str">
        <f t="shared" ref="K287:P287" si="518">"0"</f>
        <v>0</v>
      </c>
      <c r="L287" s="1" t="str">
        <f t="shared" si="518"/>
        <v>0</v>
      </c>
      <c r="M287" s="1" t="str">
        <f t="shared" si="518"/>
        <v>0</v>
      </c>
      <c r="N287" s="1" t="str">
        <f t="shared" si="518"/>
        <v>0</v>
      </c>
      <c r="O287" s="1" t="str">
        <f t="shared" si="518"/>
        <v>0</v>
      </c>
      <c r="P287" s="1" t="str">
        <f t="shared" si="518"/>
        <v>0</v>
      </c>
      <c r="Q287" s="1" t="str">
        <f t="shared" si="467"/>
        <v>0.0070</v>
      </c>
      <c r="R287" s="1" t="s">
        <v>29</v>
      </c>
      <c r="S287" s="1">
        <v>-0.0014</v>
      </c>
      <c r="T287" s="1" t="str">
        <f t="shared" si="468"/>
        <v>0</v>
      </c>
      <c r="U287" s="1" t="str">
        <f>"0.0056"</f>
        <v>0.0056</v>
      </c>
    </row>
    <row r="288" s="1" customFormat="1" spans="1:21">
      <c r="A288" s="1" t="str">
        <f>"4601991409830"</f>
        <v>4601991409830</v>
      </c>
      <c r="B288" s="1" t="s">
        <v>312</v>
      </c>
      <c r="C288" s="1" t="s">
        <v>24</v>
      </c>
      <c r="D288" s="1" t="str">
        <f t="shared" si="463"/>
        <v>2021</v>
      </c>
      <c r="E288" s="1" t="str">
        <f t="shared" ref="E288:P288" si="519">"0"</f>
        <v>0</v>
      </c>
      <c r="F288" s="1" t="str">
        <f t="shared" si="519"/>
        <v>0</v>
      </c>
      <c r="G288" s="1" t="str">
        <f t="shared" si="519"/>
        <v>0</v>
      </c>
      <c r="H288" s="1" t="str">
        <f t="shared" si="519"/>
        <v>0</v>
      </c>
      <c r="I288" s="1" t="str">
        <f t="shared" si="519"/>
        <v>0</v>
      </c>
      <c r="J288" s="1" t="str">
        <f t="shared" si="519"/>
        <v>0</v>
      </c>
      <c r="K288" s="1" t="str">
        <f t="shared" si="519"/>
        <v>0</v>
      </c>
      <c r="L288" s="1" t="str">
        <f t="shared" si="519"/>
        <v>0</v>
      </c>
      <c r="M288" s="1" t="str">
        <f t="shared" si="519"/>
        <v>0</v>
      </c>
      <c r="N288" s="1" t="str">
        <f t="shared" si="519"/>
        <v>0</v>
      </c>
      <c r="O288" s="1" t="str">
        <f t="shared" si="519"/>
        <v>0</v>
      </c>
      <c r="P288" s="1" t="str">
        <f t="shared" si="519"/>
        <v>0</v>
      </c>
      <c r="Q288" s="1" t="str">
        <f t="shared" si="467"/>
        <v>0.0070</v>
      </c>
      <c r="R288" s="1" t="s">
        <v>25</v>
      </c>
      <c r="T288" s="1" t="str">
        <f t="shared" si="468"/>
        <v>0</v>
      </c>
      <c r="U288" s="1" t="str">
        <f t="shared" ref="U288:U294" si="520">"0.0070"</f>
        <v>0.0070</v>
      </c>
    </row>
    <row r="289" s="1" customFormat="1" spans="1:21">
      <c r="A289" s="1" t="str">
        <f>"4601991410499"</f>
        <v>4601991410499</v>
      </c>
      <c r="B289" s="1" t="s">
        <v>313</v>
      </c>
      <c r="C289" s="1" t="s">
        <v>24</v>
      </c>
      <c r="D289" s="1" t="str">
        <f t="shared" si="463"/>
        <v>2021</v>
      </c>
      <c r="E289" s="1" t="str">
        <f t="shared" ref="E289:G289" si="521">"0"</f>
        <v>0</v>
      </c>
      <c r="F289" s="1" t="str">
        <f t="shared" si="521"/>
        <v>0</v>
      </c>
      <c r="G289" s="1" t="str">
        <f t="shared" si="521"/>
        <v>0</v>
      </c>
      <c r="H289" s="1" t="str">
        <f>"24.18"</f>
        <v>24.18</v>
      </c>
      <c r="I289" s="1" t="str">
        <f t="shared" ref="I289:P289" si="522">"0"</f>
        <v>0</v>
      </c>
      <c r="J289" s="1" t="str">
        <f t="shared" si="522"/>
        <v>0</v>
      </c>
      <c r="K289" s="1" t="str">
        <f t="shared" si="522"/>
        <v>0</v>
      </c>
      <c r="L289" s="1" t="str">
        <f t="shared" si="522"/>
        <v>0</v>
      </c>
      <c r="M289" s="1" t="str">
        <f t="shared" si="522"/>
        <v>0</v>
      </c>
      <c r="N289" s="1" t="str">
        <f t="shared" si="522"/>
        <v>0</v>
      </c>
      <c r="O289" s="1" t="str">
        <f t="shared" si="522"/>
        <v>0</v>
      </c>
      <c r="P289" s="1" t="str">
        <f t="shared" si="522"/>
        <v>0</v>
      </c>
      <c r="Q289" s="1" t="str">
        <f t="shared" si="467"/>
        <v>0.0070</v>
      </c>
      <c r="R289" s="1" t="s">
        <v>25</v>
      </c>
      <c r="T289" s="1" t="str">
        <f t="shared" si="468"/>
        <v>0</v>
      </c>
      <c r="U289" s="1" t="str">
        <f t="shared" si="520"/>
        <v>0.0070</v>
      </c>
    </row>
    <row r="290" s="1" customFormat="1" spans="1:21">
      <c r="A290" s="1" t="str">
        <f>"4601991408581"</f>
        <v>4601991408581</v>
      </c>
      <c r="B290" s="1" t="s">
        <v>314</v>
      </c>
      <c r="C290" s="1" t="s">
        <v>24</v>
      </c>
      <c r="D290" s="1" t="str">
        <f t="shared" si="463"/>
        <v>2021</v>
      </c>
      <c r="E290" s="1" t="str">
        <f>"454.49"</f>
        <v>454.49</v>
      </c>
      <c r="F290" s="1" t="str">
        <f>"6009.54"</f>
        <v>6009.54</v>
      </c>
      <c r="G290" s="1" t="str">
        <f t="shared" ref="G290:L290" si="523">"0"</f>
        <v>0</v>
      </c>
      <c r="H290" s="1" t="str">
        <f t="shared" si="523"/>
        <v>0</v>
      </c>
      <c r="I290" s="1" t="str">
        <f>"13.2226"</f>
        <v>13.2226</v>
      </c>
      <c r="J290" s="1" t="str">
        <f>"55"</f>
        <v>55</v>
      </c>
      <c r="K290" s="1" t="str">
        <f>"1"</f>
        <v>1</v>
      </c>
      <c r="L290" s="1" t="str">
        <f t="shared" si="523"/>
        <v>0</v>
      </c>
      <c r="M290" s="1" t="str">
        <f>"0.0182"</f>
        <v>0.0182</v>
      </c>
      <c r="N290" s="1" t="str">
        <f t="shared" ref="N290:P290" si="524">"0"</f>
        <v>0</v>
      </c>
      <c r="O290" s="1" t="str">
        <f t="shared" si="524"/>
        <v>0</v>
      </c>
      <c r="P290" s="1" t="str">
        <f t="shared" si="524"/>
        <v>0</v>
      </c>
      <c r="Q290" s="1" t="str">
        <f t="shared" si="467"/>
        <v>0.0070</v>
      </c>
      <c r="R290" s="1" t="s">
        <v>69</v>
      </c>
      <c r="S290" s="1" t="str">
        <f>"0.0014"</f>
        <v>0.0014</v>
      </c>
      <c r="T290" s="1" t="str">
        <f t="shared" si="468"/>
        <v>0</v>
      </c>
      <c r="U290" s="1" t="str">
        <f>"0.0084"</f>
        <v>0.0084</v>
      </c>
    </row>
    <row r="291" s="1" customFormat="1" spans="1:21">
      <c r="A291" s="1" t="str">
        <f>"4601991408614"</f>
        <v>4601991408614</v>
      </c>
      <c r="B291" s="1" t="s">
        <v>315</v>
      </c>
      <c r="C291" s="1" t="s">
        <v>24</v>
      </c>
      <c r="D291" s="1" t="str">
        <f t="shared" si="463"/>
        <v>2021</v>
      </c>
      <c r="E291" s="1" t="str">
        <f t="shared" ref="E291:P291" si="525">"0"</f>
        <v>0</v>
      </c>
      <c r="F291" s="1" t="str">
        <f t="shared" si="525"/>
        <v>0</v>
      </c>
      <c r="G291" s="1" t="str">
        <f t="shared" si="525"/>
        <v>0</v>
      </c>
      <c r="H291" s="1" t="str">
        <f t="shared" si="525"/>
        <v>0</v>
      </c>
      <c r="I291" s="1" t="str">
        <f t="shared" si="525"/>
        <v>0</v>
      </c>
      <c r="J291" s="1" t="str">
        <f t="shared" si="525"/>
        <v>0</v>
      </c>
      <c r="K291" s="1" t="str">
        <f t="shared" si="525"/>
        <v>0</v>
      </c>
      <c r="L291" s="1" t="str">
        <f t="shared" si="525"/>
        <v>0</v>
      </c>
      <c r="M291" s="1" t="str">
        <f t="shared" si="525"/>
        <v>0</v>
      </c>
      <c r="N291" s="1" t="str">
        <f t="shared" si="525"/>
        <v>0</v>
      </c>
      <c r="O291" s="1" t="str">
        <f t="shared" si="525"/>
        <v>0</v>
      </c>
      <c r="P291" s="1" t="str">
        <f t="shared" si="525"/>
        <v>0</v>
      </c>
      <c r="Q291" s="1" t="str">
        <f t="shared" si="467"/>
        <v>0.0070</v>
      </c>
      <c r="R291" s="1" t="s">
        <v>25</v>
      </c>
      <c r="T291" s="1" t="str">
        <f t="shared" si="468"/>
        <v>0</v>
      </c>
      <c r="U291" s="1" t="str">
        <f t="shared" si="520"/>
        <v>0.0070</v>
      </c>
    </row>
    <row r="292" s="1" customFormat="1" spans="1:21">
      <c r="A292" s="1" t="str">
        <f>"4601991408615"</f>
        <v>4601991408615</v>
      </c>
      <c r="B292" s="1" t="s">
        <v>316</v>
      </c>
      <c r="C292" s="1" t="s">
        <v>24</v>
      </c>
      <c r="D292" s="1" t="str">
        <f t="shared" si="463"/>
        <v>2021</v>
      </c>
      <c r="E292" s="1" t="str">
        <f t="shared" ref="E292:P292" si="526">"0"</f>
        <v>0</v>
      </c>
      <c r="F292" s="1" t="str">
        <f t="shared" si="526"/>
        <v>0</v>
      </c>
      <c r="G292" s="1" t="str">
        <f t="shared" si="526"/>
        <v>0</v>
      </c>
      <c r="H292" s="1" t="str">
        <f t="shared" si="526"/>
        <v>0</v>
      </c>
      <c r="I292" s="1" t="str">
        <f t="shared" si="526"/>
        <v>0</v>
      </c>
      <c r="J292" s="1" t="str">
        <f t="shared" si="526"/>
        <v>0</v>
      </c>
      <c r="K292" s="1" t="str">
        <f t="shared" si="526"/>
        <v>0</v>
      </c>
      <c r="L292" s="1" t="str">
        <f t="shared" si="526"/>
        <v>0</v>
      </c>
      <c r="M292" s="1" t="str">
        <f t="shared" si="526"/>
        <v>0</v>
      </c>
      <c r="N292" s="1" t="str">
        <f t="shared" si="526"/>
        <v>0</v>
      </c>
      <c r="O292" s="1" t="str">
        <f t="shared" si="526"/>
        <v>0</v>
      </c>
      <c r="P292" s="1" t="str">
        <f t="shared" si="526"/>
        <v>0</v>
      </c>
      <c r="Q292" s="1" t="str">
        <f t="shared" si="467"/>
        <v>0.0070</v>
      </c>
      <c r="R292" s="1" t="s">
        <v>25</v>
      </c>
      <c r="T292" s="1" t="str">
        <f t="shared" si="468"/>
        <v>0</v>
      </c>
      <c r="U292" s="1" t="str">
        <f t="shared" si="520"/>
        <v>0.0070</v>
      </c>
    </row>
    <row r="293" s="1" customFormat="1" spans="1:21">
      <c r="A293" s="1" t="str">
        <f>"4601991409260"</f>
        <v>4601991409260</v>
      </c>
      <c r="B293" s="1" t="s">
        <v>317</v>
      </c>
      <c r="C293" s="1" t="s">
        <v>24</v>
      </c>
      <c r="D293" s="1" t="str">
        <f t="shared" si="463"/>
        <v>2021</v>
      </c>
      <c r="E293" s="1" t="str">
        <f t="shared" ref="E293:P293" si="527">"0"</f>
        <v>0</v>
      </c>
      <c r="F293" s="1" t="str">
        <f t="shared" si="527"/>
        <v>0</v>
      </c>
      <c r="G293" s="1" t="str">
        <f t="shared" si="527"/>
        <v>0</v>
      </c>
      <c r="H293" s="1" t="str">
        <f t="shared" si="527"/>
        <v>0</v>
      </c>
      <c r="I293" s="1" t="str">
        <f t="shared" si="527"/>
        <v>0</v>
      </c>
      <c r="J293" s="1" t="str">
        <f t="shared" si="527"/>
        <v>0</v>
      </c>
      <c r="K293" s="1" t="str">
        <f t="shared" si="527"/>
        <v>0</v>
      </c>
      <c r="L293" s="1" t="str">
        <f t="shared" si="527"/>
        <v>0</v>
      </c>
      <c r="M293" s="1" t="str">
        <f t="shared" si="527"/>
        <v>0</v>
      </c>
      <c r="N293" s="1" t="str">
        <f t="shared" si="527"/>
        <v>0</v>
      </c>
      <c r="O293" s="1" t="str">
        <f t="shared" si="527"/>
        <v>0</v>
      </c>
      <c r="P293" s="1" t="str">
        <f t="shared" si="527"/>
        <v>0</v>
      </c>
      <c r="Q293" s="1" t="str">
        <f t="shared" si="467"/>
        <v>0.0070</v>
      </c>
      <c r="R293" s="1" t="s">
        <v>25</v>
      </c>
      <c r="T293" s="1" t="str">
        <f t="shared" si="468"/>
        <v>0</v>
      </c>
      <c r="U293" s="1" t="str">
        <f t="shared" si="520"/>
        <v>0.0070</v>
      </c>
    </row>
    <row r="294" s="1" customFormat="1" spans="1:21">
      <c r="A294" s="1" t="str">
        <f>"4601991409261"</f>
        <v>4601991409261</v>
      </c>
      <c r="B294" s="1" t="s">
        <v>318</v>
      </c>
      <c r="C294" s="1" t="s">
        <v>24</v>
      </c>
      <c r="D294" s="1" t="str">
        <f t="shared" si="463"/>
        <v>2021</v>
      </c>
      <c r="E294" s="1" t="str">
        <f t="shared" ref="E294:P294" si="528">"0"</f>
        <v>0</v>
      </c>
      <c r="F294" s="1" t="str">
        <f t="shared" si="528"/>
        <v>0</v>
      </c>
      <c r="G294" s="1" t="str">
        <f t="shared" si="528"/>
        <v>0</v>
      </c>
      <c r="H294" s="1" t="str">
        <f t="shared" si="528"/>
        <v>0</v>
      </c>
      <c r="I294" s="1" t="str">
        <f t="shared" si="528"/>
        <v>0</v>
      </c>
      <c r="J294" s="1" t="str">
        <f t="shared" si="528"/>
        <v>0</v>
      </c>
      <c r="K294" s="1" t="str">
        <f t="shared" si="528"/>
        <v>0</v>
      </c>
      <c r="L294" s="1" t="str">
        <f t="shared" si="528"/>
        <v>0</v>
      </c>
      <c r="M294" s="1" t="str">
        <f t="shared" si="528"/>
        <v>0</v>
      </c>
      <c r="N294" s="1" t="str">
        <f t="shared" si="528"/>
        <v>0</v>
      </c>
      <c r="O294" s="1" t="str">
        <f t="shared" si="528"/>
        <v>0</v>
      </c>
      <c r="P294" s="1" t="str">
        <f t="shared" si="528"/>
        <v>0</v>
      </c>
      <c r="Q294" s="1" t="str">
        <f t="shared" si="467"/>
        <v>0.0070</v>
      </c>
      <c r="R294" s="1" t="s">
        <v>25</v>
      </c>
      <c r="T294" s="1" t="str">
        <f t="shared" si="468"/>
        <v>0</v>
      </c>
      <c r="U294" s="1" t="str">
        <f t="shared" si="520"/>
        <v>0.0070</v>
      </c>
    </row>
    <row r="295" s="1" customFormat="1" spans="1:21">
      <c r="A295" s="1" t="str">
        <f>"4601991408640"</f>
        <v>4601991408640</v>
      </c>
      <c r="B295" s="1" t="s">
        <v>319</v>
      </c>
      <c r="C295" s="1" t="s">
        <v>24</v>
      </c>
      <c r="D295" s="1" t="str">
        <f t="shared" si="463"/>
        <v>2021</v>
      </c>
      <c r="E295" s="1" t="str">
        <f>"145.05"</f>
        <v>145.05</v>
      </c>
      <c r="F295" s="1" t="str">
        <f t="shared" ref="F295:I295" si="529">"0"</f>
        <v>0</v>
      </c>
      <c r="G295" s="1" t="str">
        <f t="shared" si="529"/>
        <v>0</v>
      </c>
      <c r="H295" s="1" t="str">
        <f t="shared" si="529"/>
        <v>0</v>
      </c>
      <c r="I295" s="1" t="str">
        <f t="shared" si="529"/>
        <v>0</v>
      </c>
      <c r="J295" s="1" t="str">
        <f>"15"</f>
        <v>15</v>
      </c>
      <c r="K295" s="1" t="str">
        <f t="shared" ref="K295:P295" si="530">"0"</f>
        <v>0</v>
      </c>
      <c r="L295" s="1" t="str">
        <f t="shared" si="530"/>
        <v>0</v>
      </c>
      <c r="M295" s="1" t="str">
        <f t="shared" si="530"/>
        <v>0</v>
      </c>
      <c r="N295" s="1" t="str">
        <f t="shared" si="530"/>
        <v>0</v>
      </c>
      <c r="O295" s="1" t="str">
        <f t="shared" si="530"/>
        <v>0</v>
      </c>
      <c r="P295" s="1" t="str">
        <f t="shared" si="530"/>
        <v>0</v>
      </c>
      <c r="Q295" s="1" t="str">
        <f t="shared" si="467"/>
        <v>0.0070</v>
      </c>
      <c r="R295" s="1" t="s">
        <v>29</v>
      </c>
      <c r="S295" s="1">
        <v>-0.0014</v>
      </c>
      <c r="T295" s="1" t="str">
        <f t="shared" si="468"/>
        <v>0</v>
      </c>
      <c r="U295" s="1" t="str">
        <f t="shared" ref="U295:U300" si="531">"0.0056"</f>
        <v>0.0056</v>
      </c>
    </row>
    <row r="296" s="1" customFormat="1" spans="1:21">
      <c r="A296" s="1" t="str">
        <f>"4601991409874"</f>
        <v>4601991409874</v>
      </c>
      <c r="B296" s="1" t="s">
        <v>320</v>
      </c>
      <c r="C296" s="1" t="s">
        <v>24</v>
      </c>
      <c r="D296" s="1" t="str">
        <f t="shared" si="463"/>
        <v>2021</v>
      </c>
      <c r="E296" s="1" t="str">
        <f>"701.22"</f>
        <v>701.22</v>
      </c>
      <c r="F296" s="1" t="str">
        <f t="shared" ref="F296:I296" si="532">"0"</f>
        <v>0</v>
      </c>
      <c r="G296" s="1" t="str">
        <f t="shared" si="532"/>
        <v>0</v>
      </c>
      <c r="H296" s="1" t="str">
        <f t="shared" si="532"/>
        <v>0</v>
      </c>
      <c r="I296" s="1" t="str">
        <f t="shared" si="532"/>
        <v>0</v>
      </c>
      <c r="J296" s="1" t="str">
        <f>"57"</f>
        <v>57</v>
      </c>
      <c r="K296" s="1" t="str">
        <f t="shared" ref="K296:P296" si="533">"0"</f>
        <v>0</v>
      </c>
      <c r="L296" s="1" t="str">
        <f t="shared" si="533"/>
        <v>0</v>
      </c>
      <c r="M296" s="1" t="str">
        <f t="shared" si="533"/>
        <v>0</v>
      </c>
      <c r="N296" s="1" t="str">
        <f t="shared" si="533"/>
        <v>0</v>
      </c>
      <c r="O296" s="1" t="str">
        <f t="shared" si="533"/>
        <v>0</v>
      </c>
      <c r="P296" s="1" t="str">
        <f t="shared" si="533"/>
        <v>0</v>
      </c>
      <c r="Q296" s="1" t="str">
        <f t="shared" si="467"/>
        <v>0.0070</v>
      </c>
      <c r="R296" s="1" t="s">
        <v>29</v>
      </c>
      <c r="S296" s="1">
        <v>-0.0014</v>
      </c>
      <c r="T296" s="1" t="str">
        <f t="shared" si="468"/>
        <v>0</v>
      </c>
      <c r="U296" s="1" t="str">
        <f t="shared" si="531"/>
        <v>0.0056</v>
      </c>
    </row>
    <row r="297" s="1" customFormat="1" spans="1:21">
      <c r="A297" s="1" t="str">
        <f>"4601991409271"</f>
        <v>4601991409271</v>
      </c>
      <c r="B297" s="1" t="s">
        <v>321</v>
      </c>
      <c r="C297" s="1" t="s">
        <v>24</v>
      </c>
      <c r="D297" s="1" t="str">
        <f t="shared" si="463"/>
        <v>2021</v>
      </c>
      <c r="E297" s="1" t="str">
        <f t="shared" ref="E297:P297" si="534">"0"</f>
        <v>0</v>
      </c>
      <c r="F297" s="1" t="str">
        <f t="shared" si="534"/>
        <v>0</v>
      </c>
      <c r="G297" s="1" t="str">
        <f t="shared" si="534"/>
        <v>0</v>
      </c>
      <c r="H297" s="1" t="str">
        <f t="shared" si="534"/>
        <v>0</v>
      </c>
      <c r="I297" s="1" t="str">
        <f t="shared" si="534"/>
        <v>0</v>
      </c>
      <c r="J297" s="1" t="str">
        <f t="shared" si="534"/>
        <v>0</v>
      </c>
      <c r="K297" s="1" t="str">
        <f t="shared" si="534"/>
        <v>0</v>
      </c>
      <c r="L297" s="1" t="str">
        <f t="shared" si="534"/>
        <v>0</v>
      </c>
      <c r="M297" s="1" t="str">
        <f t="shared" si="534"/>
        <v>0</v>
      </c>
      <c r="N297" s="1" t="str">
        <f t="shared" si="534"/>
        <v>0</v>
      </c>
      <c r="O297" s="1" t="str">
        <f t="shared" si="534"/>
        <v>0</v>
      </c>
      <c r="P297" s="1" t="str">
        <f t="shared" si="534"/>
        <v>0</v>
      </c>
      <c r="Q297" s="1" t="str">
        <f t="shared" si="467"/>
        <v>0.0070</v>
      </c>
      <c r="R297" s="1" t="s">
        <v>25</v>
      </c>
      <c r="T297" s="1" t="str">
        <f t="shared" si="468"/>
        <v>0</v>
      </c>
      <c r="U297" s="1" t="str">
        <f t="shared" ref="U297:U299" si="535">"0.0070"</f>
        <v>0.0070</v>
      </c>
    </row>
    <row r="298" s="1" customFormat="1" spans="1:21">
      <c r="A298" s="1" t="str">
        <f>"4601991409911"</f>
        <v>4601991409911</v>
      </c>
      <c r="B298" s="1" t="s">
        <v>322</v>
      </c>
      <c r="C298" s="1" t="s">
        <v>24</v>
      </c>
      <c r="D298" s="1" t="str">
        <f t="shared" si="463"/>
        <v>2021</v>
      </c>
      <c r="E298" s="1" t="str">
        <f t="shared" ref="E298:P298" si="536">"0"</f>
        <v>0</v>
      </c>
      <c r="F298" s="1" t="str">
        <f t="shared" si="536"/>
        <v>0</v>
      </c>
      <c r="G298" s="1" t="str">
        <f t="shared" si="536"/>
        <v>0</v>
      </c>
      <c r="H298" s="1" t="str">
        <f t="shared" si="536"/>
        <v>0</v>
      </c>
      <c r="I298" s="1" t="str">
        <f t="shared" si="536"/>
        <v>0</v>
      </c>
      <c r="J298" s="1" t="str">
        <f t="shared" si="536"/>
        <v>0</v>
      </c>
      <c r="K298" s="1" t="str">
        <f t="shared" si="536"/>
        <v>0</v>
      </c>
      <c r="L298" s="1" t="str">
        <f t="shared" si="536"/>
        <v>0</v>
      </c>
      <c r="M298" s="1" t="str">
        <f t="shared" si="536"/>
        <v>0</v>
      </c>
      <c r="N298" s="1" t="str">
        <f t="shared" si="536"/>
        <v>0</v>
      </c>
      <c r="O298" s="1" t="str">
        <f t="shared" si="536"/>
        <v>0</v>
      </c>
      <c r="P298" s="1" t="str">
        <f t="shared" si="536"/>
        <v>0</v>
      </c>
      <c r="Q298" s="1" t="str">
        <f t="shared" si="467"/>
        <v>0.0070</v>
      </c>
      <c r="R298" s="1" t="s">
        <v>25</v>
      </c>
      <c r="T298" s="1" t="str">
        <f t="shared" si="468"/>
        <v>0</v>
      </c>
      <c r="U298" s="1" t="str">
        <f t="shared" si="535"/>
        <v>0.0070</v>
      </c>
    </row>
    <row r="299" s="1" customFormat="1" spans="1:21">
      <c r="A299" s="1" t="str">
        <f>"4601991408670"</f>
        <v>4601991408670</v>
      </c>
      <c r="B299" s="1" t="s">
        <v>323</v>
      </c>
      <c r="C299" s="1" t="s">
        <v>24</v>
      </c>
      <c r="D299" s="1" t="str">
        <f t="shared" si="463"/>
        <v>2021</v>
      </c>
      <c r="E299" s="1" t="str">
        <f t="shared" ref="E299:P299" si="537">"0"</f>
        <v>0</v>
      </c>
      <c r="F299" s="1" t="str">
        <f t="shared" si="537"/>
        <v>0</v>
      </c>
      <c r="G299" s="1" t="str">
        <f t="shared" si="537"/>
        <v>0</v>
      </c>
      <c r="H299" s="1" t="str">
        <f t="shared" si="537"/>
        <v>0</v>
      </c>
      <c r="I299" s="1" t="str">
        <f t="shared" si="537"/>
        <v>0</v>
      </c>
      <c r="J299" s="1" t="str">
        <f t="shared" si="537"/>
        <v>0</v>
      </c>
      <c r="K299" s="1" t="str">
        <f t="shared" si="537"/>
        <v>0</v>
      </c>
      <c r="L299" s="1" t="str">
        <f t="shared" si="537"/>
        <v>0</v>
      </c>
      <c r="M299" s="1" t="str">
        <f t="shared" si="537"/>
        <v>0</v>
      </c>
      <c r="N299" s="1" t="str">
        <f t="shared" si="537"/>
        <v>0</v>
      </c>
      <c r="O299" s="1" t="str">
        <f t="shared" si="537"/>
        <v>0</v>
      </c>
      <c r="P299" s="1" t="str">
        <f t="shared" si="537"/>
        <v>0</v>
      </c>
      <c r="Q299" s="1" t="str">
        <f t="shared" si="467"/>
        <v>0.0070</v>
      </c>
      <c r="R299" s="1" t="s">
        <v>25</v>
      </c>
      <c r="T299" s="1" t="str">
        <f t="shared" si="468"/>
        <v>0</v>
      </c>
      <c r="U299" s="1" t="str">
        <f t="shared" si="535"/>
        <v>0.0070</v>
      </c>
    </row>
    <row r="300" s="1" customFormat="1" spans="1:21">
      <c r="A300" s="1" t="str">
        <f>"4601991408669"</f>
        <v>4601991408669</v>
      </c>
      <c r="B300" s="1" t="s">
        <v>324</v>
      </c>
      <c r="C300" s="1" t="s">
        <v>24</v>
      </c>
      <c r="D300" s="1" t="str">
        <f t="shared" si="463"/>
        <v>2021</v>
      </c>
      <c r="E300" s="1" t="str">
        <f>"1417.03"</f>
        <v>1417.03</v>
      </c>
      <c r="F300" s="1" t="str">
        <f t="shared" ref="F300:I300" si="538">"0"</f>
        <v>0</v>
      </c>
      <c r="G300" s="1" t="str">
        <f t="shared" si="538"/>
        <v>0</v>
      </c>
      <c r="H300" s="1" t="str">
        <f t="shared" si="538"/>
        <v>0</v>
      </c>
      <c r="I300" s="1" t="str">
        <f t="shared" si="538"/>
        <v>0</v>
      </c>
      <c r="J300" s="1" t="str">
        <f>"106"</f>
        <v>106</v>
      </c>
      <c r="K300" s="1" t="str">
        <f t="shared" ref="K300:P300" si="539">"0"</f>
        <v>0</v>
      </c>
      <c r="L300" s="1" t="str">
        <f t="shared" si="539"/>
        <v>0</v>
      </c>
      <c r="M300" s="1" t="str">
        <f t="shared" si="539"/>
        <v>0</v>
      </c>
      <c r="N300" s="1" t="str">
        <f t="shared" si="539"/>
        <v>0</v>
      </c>
      <c r="O300" s="1" t="str">
        <f t="shared" si="539"/>
        <v>0</v>
      </c>
      <c r="P300" s="1" t="str">
        <f t="shared" si="539"/>
        <v>0</v>
      </c>
      <c r="Q300" s="1" t="str">
        <f t="shared" si="467"/>
        <v>0.0070</v>
      </c>
      <c r="R300" s="1" t="s">
        <v>29</v>
      </c>
      <c r="S300" s="1">
        <v>-0.0014</v>
      </c>
      <c r="T300" s="1" t="str">
        <f t="shared" si="468"/>
        <v>0</v>
      </c>
      <c r="U300" s="1" t="str">
        <f t="shared" si="531"/>
        <v>0.0056</v>
      </c>
    </row>
    <row r="301" s="1" customFormat="1" spans="1:21">
      <c r="A301" s="1" t="str">
        <f>"4601991408671"</f>
        <v>4601991408671</v>
      </c>
      <c r="B301" s="1" t="s">
        <v>325</v>
      </c>
      <c r="C301" s="1" t="s">
        <v>24</v>
      </c>
      <c r="D301" s="1" t="str">
        <f t="shared" si="463"/>
        <v>2021</v>
      </c>
      <c r="E301" s="1" t="str">
        <f t="shared" ref="E301:P301" si="540">"0"</f>
        <v>0</v>
      </c>
      <c r="F301" s="1" t="str">
        <f t="shared" si="540"/>
        <v>0</v>
      </c>
      <c r="G301" s="1" t="str">
        <f t="shared" si="540"/>
        <v>0</v>
      </c>
      <c r="H301" s="1" t="str">
        <f t="shared" si="540"/>
        <v>0</v>
      </c>
      <c r="I301" s="1" t="str">
        <f t="shared" si="540"/>
        <v>0</v>
      </c>
      <c r="J301" s="1" t="str">
        <f t="shared" si="540"/>
        <v>0</v>
      </c>
      <c r="K301" s="1" t="str">
        <f t="shared" si="540"/>
        <v>0</v>
      </c>
      <c r="L301" s="1" t="str">
        <f t="shared" si="540"/>
        <v>0</v>
      </c>
      <c r="M301" s="1" t="str">
        <f t="shared" si="540"/>
        <v>0</v>
      </c>
      <c r="N301" s="1" t="str">
        <f t="shared" si="540"/>
        <v>0</v>
      </c>
      <c r="O301" s="1" t="str">
        <f t="shared" si="540"/>
        <v>0</v>
      </c>
      <c r="P301" s="1" t="str">
        <f t="shared" si="540"/>
        <v>0</v>
      </c>
      <c r="Q301" s="1" t="str">
        <f t="shared" si="467"/>
        <v>0.0070</v>
      </c>
      <c r="R301" s="1" t="s">
        <v>25</v>
      </c>
      <c r="T301" s="1" t="str">
        <f t="shared" si="468"/>
        <v>0</v>
      </c>
      <c r="U301" s="1" t="str">
        <f t="shared" ref="U301:U306" si="541">"0.0070"</f>
        <v>0.0070</v>
      </c>
    </row>
    <row r="302" s="1" customFormat="1" spans="1:21">
      <c r="A302" s="1" t="str">
        <f>"4601991408600"</f>
        <v>4601991408600</v>
      </c>
      <c r="B302" s="1" t="s">
        <v>326</v>
      </c>
      <c r="C302" s="1" t="s">
        <v>24</v>
      </c>
      <c r="D302" s="1" t="str">
        <f t="shared" si="463"/>
        <v>2021</v>
      </c>
      <c r="E302" s="1" t="str">
        <f>"6650.58"</f>
        <v>6650.58</v>
      </c>
      <c r="F302" s="1" t="str">
        <f>"18290.46"</f>
        <v>18290.46</v>
      </c>
      <c r="G302" s="1" t="str">
        <f t="shared" ref="G302:L302" si="542">"0"</f>
        <v>0</v>
      </c>
      <c r="H302" s="1" t="str">
        <f t="shared" si="542"/>
        <v>0</v>
      </c>
      <c r="I302" s="1" t="str">
        <f>"2.7502"</f>
        <v>2.7502</v>
      </c>
      <c r="J302" s="1" t="str">
        <f>"558"</f>
        <v>558</v>
      </c>
      <c r="K302" s="1" t="str">
        <f>"2"</f>
        <v>2</v>
      </c>
      <c r="L302" s="1" t="str">
        <f t="shared" si="542"/>
        <v>0</v>
      </c>
      <c r="M302" s="1" t="str">
        <f>"0.0036"</f>
        <v>0.0036</v>
      </c>
      <c r="N302" s="1" t="str">
        <f t="shared" ref="N302:P302" si="543">"0"</f>
        <v>0</v>
      </c>
      <c r="O302" s="1" t="str">
        <f t="shared" si="543"/>
        <v>0</v>
      </c>
      <c r="P302" s="1" t="str">
        <f t="shared" si="543"/>
        <v>0</v>
      </c>
      <c r="Q302" s="1" t="str">
        <f t="shared" si="467"/>
        <v>0.0070</v>
      </c>
      <c r="R302" s="1" t="s">
        <v>25</v>
      </c>
      <c r="T302" s="1" t="str">
        <f t="shared" si="468"/>
        <v>0</v>
      </c>
      <c r="U302" s="1" t="str">
        <f t="shared" si="541"/>
        <v>0.0070</v>
      </c>
    </row>
    <row r="303" s="1" customFormat="1" spans="1:21">
      <c r="A303" s="1" t="str">
        <f>"4601991409941"</f>
        <v>4601991409941</v>
      </c>
      <c r="B303" s="1" t="s">
        <v>327</v>
      </c>
      <c r="C303" s="1" t="s">
        <v>24</v>
      </c>
      <c r="D303" s="1" t="str">
        <f t="shared" si="463"/>
        <v>2021</v>
      </c>
      <c r="E303" s="1" t="str">
        <f>"87.03"</f>
        <v>87.03</v>
      </c>
      <c r="F303" s="1" t="str">
        <f t="shared" ref="F303:I303" si="544">"0"</f>
        <v>0</v>
      </c>
      <c r="G303" s="1" t="str">
        <f t="shared" si="544"/>
        <v>0</v>
      </c>
      <c r="H303" s="1" t="str">
        <f t="shared" si="544"/>
        <v>0</v>
      </c>
      <c r="I303" s="1" t="str">
        <f t="shared" si="544"/>
        <v>0</v>
      </c>
      <c r="J303" s="1" t="str">
        <f>"9"</f>
        <v>9</v>
      </c>
      <c r="K303" s="1" t="str">
        <f t="shared" ref="K303:P303" si="545">"0"</f>
        <v>0</v>
      </c>
      <c r="L303" s="1" t="str">
        <f t="shared" si="545"/>
        <v>0</v>
      </c>
      <c r="M303" s="1" t="str">
        <f t="shared" si="545"/>
        <v>0</v>
      </c>
      <c r="N303" s="1" t="str">
        <f t="shared" si="545"/>
        <v>0</v>
      </c>
      <c r="O303" s="1" t="str">
        <f t="shared" si="545"/>
        <v>0</v>
      </c>
      <c r="P303" s="1" t="str">
        <f t="shared" si="545"/>
        <v>0</v>
      </c>
      <c r="Q303" s="1" t="str">
        <f t="shared" si="467"/>
        <v>0.0070</v>
      </c>
      <c r="R303" s="1" t="s">
        <v>29</v>
      </c>
      <c r="S303" s="1">
        <v>-0.0014</v>
      </c>
      <c r="T303" s="1" t="str">
        <f t="shared" si="468"/>
        <v>0</v>
      </c>
      <c r="U303" s="1" t="str">
        <f t="shared" ref="U303:U307" si="546">"0.0056"</f>
        <v>0.0056</v>
      </c>
    </row>
    <row r="304" s="1" customFormat="1" spans="1:21">
      <c r="A304" s="1" t="str">
        <f>"4601991409960"</f>
        <v>4601991409960</v>
      </c>
      <c r="B304" s="1" t="s">
        <v>328</v>
      </c>
      <c r="C304" s="1" t="s">
        <v>24</v>
      </c>
      <c r="D304" s="1" t="str">
        <f t="shared" si="463"/>
        <v>2021</v>
      </c>
      <c r="E304" s="1" t="str">
        <f>"210.76"</f>
        <v>210.76</v>
      </c>
      <c r="F304" s="1" t="str">
        <f t="shared" ref="F304:I304" si="547">"0"</f>
        <v>0</v>
      </c>
      <c r="G304" s="1" t="str">
        <f t="shared" si="547"/>
        <v>0</v>
      </c>
      <c r="H304" s="1" t="str">
        <f t="shared" si="547"/>
        <v>0</v>
      </c>
      <c r="I304" s="1" t="str">
        <f t="shared" si="547"/>
        <v>0</v>
      </c>
      <c r="J304" s="1" t="str">
        <f>"17"</f>
        <v>17</v>
      </c>
      <c r="K304" s="1" t="str">
        <f t="shared" ref="K304:P304" si="548">"0"</f>
        <v>0</v>
      </c>
      <c r="L304" s="1" t="str">
        <f t="shared" si="548"/>
        <v>0</v>
      </c>
      <c r="M304" s="1" t="str">
        <f t="shared" si="548"/>
        <v>0</v>
      </c>
      <c r="N304" s="1" t="str">
        <f t="shared" si="548"/>
        <v>0</v>
      </c>
      <c r="O304" s="1" t="str">
        <f t="shared" si="548"/>
        <v>0</v>
      </c>
      <c r="P304" s="1" t="str">
        <f t="shared" si="548"/>
        <v>0</v>
      </c>
      <c r="Q304" s="1" t="str">
        <f t="shared" si="467"/>
        <v>0.0070</v>
      </c>
      <c r="R304" s="1" t="s">
        <v>29</v>
      </c>
      <c r="S304" s="1">
        <v>-0.0014</v>
      </c>
      <c r="T304" s="1" t="str">
        <f t="shared" si="468"/>
        <v>0</v>
      </c>
      <c r="U304" s="1" t="str">
        <f t="shared" si="546"/>
        <v>0.0056</v>
      </c>
    </row>
    <row r="305" s="1" customFormat="1" spans="1:21">
      <c r="A305" s="1" t="str">
        <f>"4601991409347"</f>
        <v>4601991409347</v>
      </c>
      <c r="B305" s="1" t="s">
        <v>329</v>
      </c>
      <c r="C305" s="1" t="s">
        <v>24</v>
      </c>
      <c r="D305" s="1" t="str">
        <f t="shared" si="463"/>
        <v>2021</v>
      </c>
      <c r="E305" s="1" t="str">
        <f t="shared" ref="E305:P305" si="549">"0"</f>
        <v>0</v>
      </c>
      <c r="F305" s="1" t="str">
        <f t="shared" si="549"/>
        <v>0</v>
      </c>
      <c r="G305" s="1" t="str">
        <f t="shared" si="549"/>
        <v>0</v>
      </c>
      <c r="H305" s="1" t="str">
        <f t="shared" si="549"/>
        <v>0</v>
      </c>
      <c r="I305" s="1" t="str">
        <f t="shared" si="549"/>
        <v>0</v>
      </c>
      <c r="J305" s="1" t="str">
        <f t="shared" si="549"/>
        <v>0</v>
      </c>
      <c r="K305" s="1" t="str">
        <f t="shared" si="549"/>
        <v>0</v>
      </c>
      <c r="L305" s="1" t="str">
        <f t="shared" si="549"/>
        <v>0</v>
      </c>
      <c r="M305" s="1" t="str">
        <f t="shared" si="549"/>
        <v>0</v>
      </c>
      <c r="N305" s="1" t="str">
        <f t="shared" si="549"/>
        <v>0</v>
      </c>
      <c r="O305" s="1" t="str">
        <f t="shared" si="549"/>
        <v>0</v>
      </c>
      <c r="P305" s="1" t="str">
        <f t="shared" si="549"/>
        <v>0</v>
      </c>
      <c r="Q305" s="1" t="str">
        <f t="shared" si="467"/>
        <v>0.0070</v>
      </c>
      <c r="R305" s="1" t="s">
        <v>25</v>
      </c>
      <c r="T305" s="1" t="str">
        <f t="shared" si="468"/>
        <v>0</v>
      </c>
      <c r="U305" s="1" t="str">
        <f t="shared" si="541"/>
        <v>0.0070</v>
      </c>
    </row>
    <row r="306" s="1" customFormat="1" spans="1:21">
      <c r="A306" s="1" t="str">
        <f>"4601991408710"</f>
        <v>4601991408710</v>
      </c>
      <c r="B306" s="1" t="s">
        <v>330</v>
      </c>
      <c r="C306" s="1" t="s">
        <v>24</v>
      </c>
      <c r="D306" s="1" t="str">
        <f t="shared" si="463"/>
        <v>2021</v>
      </c>
      <c r="E306" s="1" t="str">
        <f t="shared" ref="E306:P306" si="550">"0"</f>
        <v>0</v>
      </c>
      <c r="F306" s="1" t="str">
        <f t="shared" si="550"/>
        <v>0</v>
      </c>
      <c r="G306" s="1" t="str">
        <f t="shared" si="550"/>
        <v>0</v>
      </c>
      <c r="H306" s="1" t="str">
        <f t="shared" si="550"/>
        <v>0</v>
      </c>
      <c r="I306" s="1" t="str">
        <f t="shared" si="550"/>
        <v>0</v>
      </c>
      <c r="J306" s="1" t="str">
        <f t="shared" si="550"/>
        <v>0</v>
      </c>
      <c r="K306" s="1" t="str">
        <f t="shared" si="550"/>
        <v>0</v>
      </c>
      <c r="L306" s="1" t="str">
        <f t="shared" si="550"/>
        <v>0</v>
      </c>
      <c r="M306" s="1" t="str">
        <f t="shared" si="550"/>
        <v>0</v>
      </c>
      <c r="N306" s="1" t="str">
        <f t="shared" si="550"/>
        <v>0</v>
      </c>
      <c r="O306" s="1" t="str">
        <f t="shared" si="550"/>
        <v>0</v>
      </c>
      <c r="P306" s="1" t="str">
        <f t="shared" si="550"/>
        <v>0</v>
      </c>
      <c r="Q306" s="1" t="str">
        <f t="shared" si="467"/>
        <v>0.0070</v>
      </c>
      <c r="R306" s="1" t="s">
        <v>25</v>
      </c>
      <c r="T306" s="1" t="str">
        <f t="shared" si="468"/>
        <v>0</v>
      </c>
      <c r="U306" s="1" t="str">
        <f t="shared" si="541"/>
        <v>0.0070</v>
      </c>
    </row>
    <row r="307" s="1" customFormat="1" spans="1:21">
      <c r="A307" s="1" t="str">
        <f>"4601991409362"</f>
        <v>4601991409362</v>
      </c>
      <c r="B307" s="1" t="s">
        <v>331</v>
      </c>
      <c r="C307" s="1" t="s">
        <v>24</v>
      </c>
      <c r="D307" s="1" t="str">
        <f t="shared" si="463"/>
        <v>2021</v>
      </c>
      <c r="E307" s="1" t="str">
        <f>"123.05"</f>
        <v>123.05</v>
      </c>
      <c r="F307" s="1" t="str">
        <f t="shared" ref="F307:I307" si="551">"0"</f>
        <v>0</v>
      </c>
      <c r="G307" s="1" t="str">
        <f t="shared" si="551"/>
        <v>0</v>
      </c>
      <c r="H307" s="1" t="str">
        <f t="shared" si="551"/>
        <v>0</v>
      </c>
      <c r="I307" s="1" t="str">
        <f t="shared" si="551"/>
        <v>0</v>
      </c>
      <c r="J307" s="1" t="str">
        <f>"7"</f>
        <v>7</v>
      </c>
      <c r="K307" s="1" t="str">
        <f t="shared" ref="K307:P307" si="552">"0"</f>
        <v>0</v>
      </c>
      <c r="L307" s="1" t="str">
        <f t="shared" si="552"/>
        <v>0</v>
      </c>
      <c r="M307" s="1" t="str">
        <f t="shared" si="552"/>
        <v>0</v>
      </c>
      <c r="N307" s="1" t="str">
        <f t="shared" si="552"/>
        <v>0</v>
      </c>
      <c r="O307" s="1" t="str">
        <f t="shared" si="552"/>
        <v>0</v>
      </c>
      <c r="P307" s="1" t="str">
        <f t="shared" si="552"/>
        <v>0</v>
      </c>
      <c r="Q307" s="1" t="str">
        <f t="shared" si="467"/>
        <v>0.0070</v>
      </c>
      <c r="R307" s="1" t="s">
        <v>29</v>
      </c>
      <c r="S307" s="1">
        <v>-0.0014</v>
      </c>
      <c r="T307" s="1" t="str">
        <f t="shared" si="468"/>
        <v>0</v>
      </c>
      <c r="U307" s="1" t="str">
        <f t="shared" si="546"/>
        <v>0.0056</v>
      </c>
    </row>
    <row r="308" s="1" customFormat="1" spans="1:21">
      <c r="A308" s="1" t="str">
        <f>"4601991410598"</f>
        <v>4601991410598</v>
      </c>
      <c r="B308" s="1" t="s">
        <v>332</v>
      </c>
      <c r="C308" s="1" t="s">
        <v>24</v>
      </c>
      <c r="D308" s="1" t="str">
        <f t="shared" si="463"/>
        <v>2021</v>
      </c>
      <c r="E308" s="1" t="str">
        <f t="shared" ref="E308:P308" si="553">"0"</f>
        <v>0</v>
      </c>
      <c r="F308" s="1" t="str">
        <f t="shared" si="553"/>
        <v>0</v>
      </c>
      <c r="G308" s="1" t="str">
        <f t="shared" si="553"/>
        <v>0</v>
      </c>
      <c r="H308" s="1" t="str">
        <f t="shared" si="553"/>
        <v>0</v>
      </c>
      <c r="I308" s="1" t="str">
        <f t="shared" si="553"/>
        <v>0</v>
      </c>
      <c r="J308" s="1" t="str">
        <f t="shared" si="553"/>
        <v>0</v>
      </c>
      <c r="K308" s="1" t="str">
        <f t="shared" si="553"/>
        <v>0</v>
      </c>
      <c r="L308" s="1" t="str">
        <f t="shared" si="553"/>
        <v>0</v>
      </c>
      <c r="M308" s="1" t="str">
        <f t="shared" si="553"/>
        <v>0</v>
      </c>
      <c r="N308" s="1" t="str">
        <f t="shared" si="553"/>
        <v>0</v>
      </c>
      <c r="O308" s="1" t="str">
        <f t="shared" si="553"/>
        <v>0</v>
      </c>
      <c r="P308" s="1" t="str">
        <f t="shared" si="553"/>
        <v>0</v>
      </c>
      <c r="Q308" s="1" t="str">
        <f t="shared" si="467"/>
        <v>0.0070</v>
      </c>
      <c r="R308" s="1" t="s">
        <v>25</v>
      </c>
      <c r="T308" s="1" t="str">
        <f t="shared" si="468"/>
        <v>0</v>
      </c>
      <c r="U308" s="1" t="str">
        <f t="shared" ref="U308:U312" si="554">"0.0070"</f>
        <v>0.0070</v>
      </c>
    </row>
    <row r="309" s="1" customFormat="1" spans="1:21">
      <c r="A309" s="1" t="str">
        <f>"4601991408730"</f>
        <v>4601991408730</v>
      </c>
      <c r="B309" s="1" t="s">
        <v>333</v>
      </c>
      <c r="C309" s="1" t="s">
        <v>24</v>
      </c>
      <c r="D309" s="1" t="str">
        <f t="shared" si="463"/>
        <v>2021</v>
      </c>
      <c r="E309" s="1" t="str">
        <f t="shared" ref="E309:P309" si="555">"0"</f>
        <v>0</v>
      </c>
      <c r="F309" s="1" t="str">
        <f t="shared" si="555"/>
        <v>0</v>
      </c>
      <c r="G309" s="1" t="str">
        <f t="shared" si="555"/>
        <v>0</v>
      </c>
      <c r="H309" s="1" t="str">
        <f t="shared" si="555"/>
        <v>0</v>
      </c>
      <c r="I309" s="1" t="str">
        <f t="shared" si="555"/>
        <v>0</v>
      </c>
      <c r="J309" s="1" t="str">
        <f t="shared" si="555"/>
        <v>0</v>
      </c>
      <c r="K309" s="1" t="str">
        <f t="shared" si="555"/>
        <v>0</v>
      </c>
      <c r="L309" s="1" t="str">
        <f t="shared" si="555"/>
        <v>0</v>
      </c>
      <c r="M309" s="1" t="str">
        <f t="shared" si="555"/>
        <v>0</v>
      </c>
      <c r="N309" s="1" t="str">
        <f t="shared" si="555"/>
        <v>0</v>
      </c>
      <c r="O309" s="1" t="str">
        <f t="shared" si="555"/>
        <v>0</v>
      </c>
      <c r="P309" s="1" t="str">
        <f t="shared" si="555"/>
        <v>0</v>
      </c>
      <c r="Q309" s="1" t="str">
        <f t="shared" si="467"/>
        <v>0.0070</v>
      </c>
      <c r="R309" s="1" t="s">
        <v>25</v>
      </c>
      <c r="T309" s="1" t="str">
        <f t="shared" si="468"/>
        <v>0</v>
      </c>
      <c r="U309" s="1" t="str">
        <f t="shared" si="554"/>
        <v>0.0070</v>
      </c>
    </row>
    <row r="310" s="1" customFormat="1" spans="1:21">
      <c r="A310" s="1" t="str">
        <f>"4601991409395"</f>
        <v>4601991409395</v>
      </c>
      <c r="B310" s="1" t="s">
        <v>334</v>
      </c>
      <c r="C310" s="1" t="s">
        <v>24</v>
      </c>
      <c r="D310" s="1" t="str">
        <f t="shared" si="463"/>
        <v>2021</v>
      </c>
      <c r="E310" s="1" t="str">
        <f t="shared" ref="E310:I310" si="556">"0"</f>
        <v>0</v>
      </c>
      <c r="F310" s="1" t="str">
        <f t="shared" si="556"/>
        <v>0</v>
      </c>
      <c r="G310" s="1" t="str">
        <f t="shared" si="556"/>
        <v>0</v>
      </c>
      <c r="H310" s="1" t="str">
        <f t="shared" si="556"/>
        <v>0</v>
      </c>
      <c r="I310" s="1" t="str">
        <f t="shared" si="556"/>
        <v>0</v>
      </c>
      <c r="J310" s="1" t="str">
        <f>"7"</f>
        <v>7</v>
      </c>
      <c r="K310" s="1" t="str">
        <f t="shared" ref="K310:P310" si="557">"0"</f>
        <v>0</v>
      </c>
      <c r="L310" s="1" t="str">
        <f t="shared" si="557"/>
        <v>0</v>
      </c>
      <c r="M310" s="1" t="str">
        <f t="shared" si="557"/>
        <v>0</v>
      </c>
      <c r="N310" s="1" t="str">
        <f t="shared" si="557"/>
        <v>0</v>
      </c>
      <c r="O310" s="1" t="str">
        <f t="shared" si="557"/>
        <v>0</v>
      </c>
      <c r="P310" s="1" t="str">
        <f t="shared" si="557"/>
        <v>0</v>
      </c>
      <c r="Q310" s="1" t="str">
        <f t="shared" si="467"/>
        <v>0.0070</v>
      </c>
      <c r="R310" s="1" t="s">
        <v>25</v>
      </c>
      <c r="T310" s="1" t="str">
        <f t="shared" si="468"/>
        <v>0</v>
      </c>
      <c r="U310" s="1" t="str">
        <f t="shared" si="554"/>
        <v>0.0070</v>
      </c>
    </row>
    <row r="311" s="1" customFormat="1" spans="1:21">
      <c r="A311" s="1" t="str">
        <f>"4601991410047"</f>
        <v>4601991410047</v>
      </c>
      <c r="B311" s="1" t="s">
        <v>335</v>
      </c>
      <c r="C311" s="1" t="s">
        <v>24</v>
      </c>
      <c r="D311" s="1" t="str">
        <f t="shared" si="463"/>
        <v>2021</v>
      </c>
      <c r="E311" s="1" t="str">
        <f t="shared" ref="E311:P311" si="558">"0"</f>
        <v>0</v>
      </c>
      <c r="F311" s="1" t="str">
        <f t="shared" si="558"/>
        <v>0</v>
      </c>
      <c r="G311" s="1" t="str">
        <f t="shared" si="558"/>
        <v>0</v>
      </c>
      <c r="H311" s="1" t="str">
        <f t="shared" si="558"/>
        <v>0</v>
      </c>
      <c r="I311" s="1" t="str">
        <f t="shared" si="558"/>
        <v>0</v>
      </c>
      <c r="J311" s="1" t="str">
        <f t="shared" si="558"/>
        <v>0</v>
      </c>
      <c r="K311" s="1" t="str">
        <f t="shared" si="558"/>
        <v>0</v>
      </c>
      <c r="L311" s="1" t="str">
        <f t="shared" si="558"/>
        <v>0</v>
      </c>
      <c r="M311" s="1" t="str">
        <f t="shared" si="558"/>
        <v>0</v>
      </c>
      <c r="N311" s="1" t="str">
        <f t="shared" si="558"/>
        <v>0</v>
      </c>
      <c r="O311" s="1" t="str">
        <f t="shared" si="558"/>
        <v>0</v>
      </c>
      <c r="P311" s="1" t="str">
        <f t="shared" si="558"/>
        <v>0</v>
      </c>
      <c r="Q311" s="1" t="str">
        <f t="shared" si="467"/>
        <v>0.0070</v>
      </c>
      <c r="R311" s="1" t="s">
        <v>25</v>
      </c>
      <c r="T311" s="1" t="str">
        <f t="shared" si="468"/>
        <v>0</v>
      </c>
      <c r="U311" s="1" t="str">
        <f t="shared" si="554"/>
        <v>0.0070</v>
      </c>
    </row>
    <row r="312" s="1" customFormat="1" spans="1:21">
      <c r="A312" s="1" t="str">
        <f>"4601991408802"</f>
        <v>4601991408802</v>
      </c>
      <c r="B312" s="1" t="s">
        <v>336</v>
      </c>
      <c r="C312" s="1" t="s">
        <v>24</v>
      </c>
      <c r="D312" s="1" t="str">
        <f t="shared" si="463"/>
        <v>2021</v>
      </c>
      <c r="E312" s="1" t="str">
        <f t="shared" ref="E312:P312" si="559">"0"</f>
        <v>0</v>
      </c>
      <c r="F312" s="1" t="str">
        <f t="shared" si="559"/>
        <v>0</v>
      </c>
      <c r="G312" s="1" t="str">
        <f t="shared" si="559"/>
        <v>0</v>
      </c>
      <c r="H312" s="1" t="str">
        <f t="shared" si="559"/>
        <v>0</v>
      </c>
      <c r="I312" s="1" t="str">
        <f t="shared" si="559"/>
        <v>0</v>
      </c>
      <c r="J312" s="1" t="str">
        <f t="shared" si="559"/>
        <v>0</v>
      </c>
      <c r="K312" s="1" t="str">
        <f t="shared" si="559"/>
        <v>0</v>
      </c>
      <c r="L312" s="1" t="str">
        <f t="shared" si="559"/>
        <v>0</v>
      </c>
      <c r="M312" s="1" t="str">
        <f t="shared" si="559"/>
        <v>0</v>
      </c>
      <c r="N312" s="1" t="str">
        <f t="shared" si="559"/>
        <v>0</v>
      </c>
      <c r="O312" s="1" t="str">
        <f t="shared" si="559"/>
        <v>0</v>
      </c>
      <c r="P312" s="1" t="str">
        <f t="shared" si="559"/>
        <v>0</v>
      </c>
      <c r="Q312" s="1" t="str">
        <f t="shared" si="467"/>
        <v>0.0070</v>
      </c>
      <c r="R312" s="1" t="s">
        <v>25</v>
      </c>
      <c r="T312" s="1" t="str">
        <f t="shared" si="468"/>
        <v>0</v>
      </c>
      <c r="U312" s="1" t="str">
        <f t="shared" si="554"/>
        <v>0.0070</v>
      </c>
    </row>
    <row r="313" s="1" customFormat="1" spans="1:21">
      <c r="A313" s="1" t="str">
        <f>"4601991409451"</f>
        <v>4601991409451</v>
      </c>
      <c r="B313" s="1" t="s">
        <v>337</v>
      </c>
      <c r="C313" s="1" t="s">
        <v>24</v>
      </c>
      <c r="D313" s="1" t="str">
        <f t="shared" si="463"/>
        <v>2021</v>
      </c>
      <c r="E313" s="1" t="str">
        <f>"19.34"</f>
        <v>19.34</v>
      </c>
      <c r="F313" s="1" t="str">
        <f t="shared" ref="F313:I313" si="560">"0"</f>
        <v>0</v>
      </c>
      <c r="G313" s="1" t="str">
        <f t="shared" si="560"/>
        <v>0</v>
      </c>
      <c r="H313" s="1" t="str">
        <f t="shared" si="560"/>
        <v>0</v>
      </c>
      <c r="I313" s="1" t="str">
        <f t="shared" si="560"/>
        <v>0</v>
      </c>
      <c r="J313" s="1" t="str">
        <f>"2"</f>
        <v>2</v>
      </c>
      <c r="K313" s="1" t="str">
        <f t="shared" ref="K313:P313" si="561">"0"</f>
        <v>0</v>
      </c>
      <c r="L313" s="1" t="str">
        <f t="shared" si="561"/>
        <v>0</v>
      </c>
      <c r="M313" s="1" t="str">
        <f t="shared" si="561"/>
        <v>0</v>
      </c>
      <c r="N313" s="1" t="str">
        <f t="shared" si="561"/>
        <v>0</v>
      </c>
      <c r="O313" s="1" t="str">
        <f t="shared" si="561"/>
        <v>0</v>
      </c>
      <c r="P313" s="1" t="str">
        <f t="shared" si="561"/>
        <v>0</v>
      </c>
      <c r="Q313" s="1" t="str">
        <f t="shared" si="467"/>
        <v>0.0070</v>
      </c>
      <c r="R313" s="1" t="s">
        <v>29</v>
      </c>
      <c r="S313" s="1">
        <v>-0.0014</v>
      </c>
      <c r="T313" s="1" t="str">
        <f t="shared" si="468"/>
        <v>0</v>
      </c>
      <c r="U313" s="1" t="str">
        <f t="shared" ref="U313:U316" si="562">"0.0056"</f>
        <v>0.0056</v>
      </c>
    </row>
    <row r="314" s="1" customFormat="1" spans="1:21">
      <c r="A314" s="1" t="str">
        <f>"4601991410740"</f>
        <v>4601991410740</v>
      </c>
      <c r="B314" s="1" t="s">
        <v>338</v>
      </c>
      <c r="C314" s="1" t="s">
        <v>24</v>
      </c>
      <c r="D314" s="1" t="str">
        <f t="shared" si="463"/>
        <v>2021</v>
      </c>
      <c r="E314" s="1" t="str">
        <f t="shared" ref="E314:P314" si="563">"0"</f>
        <v>0</v>
      </c>
      <c r="F314" s="1" t="str">
        <f t="shared" si="563"/>
        <v>0</v>
      </c>
      <c r="G314" s="1" t="str">
        <f t="shared" si="563"/>
        <v>0</v>
      </c>
      <c r="H314" s="1" t="str">
        <f t="shared" si="563"/>
        <v>0</v>
      </c>
      <c r="I314" s="1" t="str">
        <f t="shared" si="563"/>
        <v>0</v>
      </c>
      <c r="J314" s="1" t="str">
        <f t="shared" si="563"/>
        <v>0</v>
      </c>
      <c r="K314" s="1" t="str">
        <f t="shared" si="563"/>
        <v>0</v>
      </c>
      <c r="L314" s="1" t="str">
        <f t="shared" si="563"/>
        <v>0</v>
      </c>
      <c r="M314" s="1" t="str">
        <f t="shared" si="563"/>
        <v>0</v>
      </c>
      <c r="N314" s="1" t="str">
        <f t="shared" si="563"/>
        <v>0</v>
      </c>
      <c r="O314" s="1" t="str">
        <f t="shared" si="563"/>
        <v>0</v>
      </c>
      <c r="P314" s="1" t="str">
        <f t="shared" si="563"/>
        <v>0</v>
      </c>
      <c r="Q314" s="1" t="str">
        <f t="shared" si="467"/>
        <v>0.0070</v>
      </c>
      <c r="R314" s="1" t="s">
        <v>25</v>
      </c>
      <c r="T314" s="1" t="str">
        <f t="shared" si="468"/>
        <v>0</v>
      </c>
      <c r="U314" s="1" t="str">
        <f t="shared" ref="U314:U321" si="564">"0.0070"</f>
        <v>0.0070</v>
      </c>
    </row>
    <row r="315" s="1" customFormat="1" spans="1:21">
      <c r="A315" s="1" t="str">
        <f>"4601991410739"</f>
        <v>4601991410739</v>
      </c>
      <c r="B315" s="1" t="s">
        <v>339</v>
      </c>
      <c r="C315" s="1" t="s">
        <v>24</v>
      </c>
      <c r="D315" s="1" t="str">
        <f t="shared" si="463"/>
        <v>2021</v>
      </c>
      <c r="E315" s="1" t="str">
        <f>"403.18"</f>
        <v>403.18</v>
      </c>
      <c r="F315" s="1" t="str">
        <f t="shared" ref="F315:I315" si="565">"0"</f>
        <v>0</v>
      </c>
      <c r="G315" s="1" t="str">
        <f t="shared" si="565"/>
        <v>0</v>
      </c>
      <c r="H315" s="1" t="str">
        <f t="shared" si="565"/>
        <v>0</v>
      </c>
      <c r="I315" s="1" t="str">
        <f t="shared" si="565"/>
        <v>0</v>
      </c>
      <c r="J315" s="1" t="str">
        <f>"41"</f>
        <v>41</v>
      </c>
      <c r="K315" s="1" t="str">
        <f t="shared" ref="K315:P315" si="566">"0"</f>
        <v>0</v>
      </c>
      <c r="L315" s="1" t="str">
        <f t="shared" si="566"/>
        <v>0</v>
      </c>
      <c r="M315" s="1" t="str">
        <f t="shared" si="566"/>
        <v>0</v>
      </c>
      <c r="N315" s="1" t="str">
        <f t="shared" si="566"/>
        <v>0</v>
      </c>
      <c r="O315" s="1" t="str">
        <f t="shared" si="566"/>
        <v>0</v>
      </c>
      <c r="P315" s="1" t="str">
        <f t="shared" si="566"/>
        <v>0</v>
      </c>
      <c r="Q315" s="1" t="str">
        <f t="shared" si="467"/>
        <v>0.0070</v>
      </c>
      <c r="R315" s="1" t="s">
        <v>29</v>
      </c>
      <c r="S315" s="1">
        <v>-0.0014</v>
      </c>
      <c r="T315" s="1" t="str">
        <f t="shared" si="468"/>
        <v>0</v>
      </c>
      <c r="U315" s="1" t="str">
        <f t="shared" si="562"/>
        <v>0.0056</v>
      </c>
    </row>
    <row r="316" s="1" customFormat="1" spans="1:21">
      <c r="A316" s="1" t="str">
        <f>"4601991410710"</f>
        <v>4601991410710</v>
      </c>
      <c r="B316" s="1" t="s">
        <v>340</v>
      </c>
      <c r="C316" s="1" t="s">
        <v>24</v>
      </c>
      <c r="D316" s="1" t="str">
        <f t="shared" si="463"/>
        <v>2021</v>
      </c>
      <c r="E316" s="1" t="str">
        <f>"48.35"</f>
        <v>48.35</v>
      </c>
      <c r="F316" s="1" t="str">
        <f t="shared" ref="F316:I316" si="567">"0"</f>
        <v>0</v>
      </c>
      <c r="G316" s="1" t="str">
        <f t="shared" si="567"/>
        <v>0</v>
      </c>
      <c r="H316" s="1" t="str">
        <f t="shared" si="567"/>
        <v>0</v>
      </c>
      <c r="I316" s="1" t="str">
        <f t="shared" si="567"/>
        <v>0</v>
      </c>
      <c r="J316" s="1" t="str">
        <f>"6"</f>
        <v>6</v>
      </c>
      <c r="K316" s="1" t="str">
        <f t="shared" ref="K316:P316" si="568">"0"</f>
        <v>0</v>
      </c>
      <c r="L316" s="1" t="str">
        <f t="shared" si="568"/>
        <v>0</v>
      </c>
      <c r="M316" s="1" t="str">
        <f t="shared" si="568"/>
        <v>0</v>
      </c>
      <c r="N316" s="1" t="str">
        <f t="shared" si="568"/>
        <v>0</v>
      </c>
      <c r="O316" s="1" t="str">
        <f t="shared" si="568"/>
        <v>0</v>
      </c>
      <c r="P316" s="1" t="str">
        <f t="shared" si="568"/>
        <v>0</v>
      </c>
      <c r="Q316" s="1" t="str">
        <f t="shared" si="467"/>
        <v>0.0070</v>
      </c>
      <c r="R316" s="1" t="s">
        <v>29</v>
      </c>
      <c r="S316" s="1">
        <v>-0.0014</v>
      </c>
      <c r="T316" s="1" t="str">
        <f t="shared" si="468"/>
        <v>0</v>
      </c>
      <c r="U316" s="1" t="str">
        <f t="shared" si="562"/>
        <v>0.0056</v>
      </c>
    </row>
    <row r="317" s="1" customFormat="1" spans="1:21">
      <c r="A317" s="1" t="str">
        <f>"4601991410128"</f>
        <v>4601991410128</v>
      </c>
      <c r="B317" s="1" t="s">
        <v>341</v>
      </c>
      <c r="C317" s="1" t="s">
        <v>24</v>
      </c>
      <c r="D317" s="1" t="str">
        <f t="shared" si="463"/>
        <v>2021</v>
      </c>
      <c r="E317" s="1" t="str">
        <f t="shared" ref="E317:P317" si="569">"0"</f>
        <v>0</v>
      </c>
      <c r="F317" s="1" t="str">
        <f t="shared" si="569"/>
        <v>0</v>
      </c>
      <c r="G317" s="1" t="str">
        <f t="shared" si="569"/>
        <v>0</v>
      </c>
      <c r="H317" s="1" t="str">
        <f t="shared" si="569"/>
        <v>0</v>
      </c>
      <c r="I317" s="1" t="str">
        <f t="shared" si="569"/>
        <v>0</v>
      </c>
      <c r="J317" s="1" t="str">
        <f t="shared" si="569"/>
        <v>0</v>
      </c>
      <c r="K317" s="1" t="str">
        <f t="shared" si="569"/>
        <v>0</v>
      </c>
      <c r="L317" s="1" t="str">
        <f t="shared" si="569"/>
        <v>0</v>
      </c>
      <c r="M317" s="1" t="str">
        <f t="shared" si="569"/>
        <v>0</v>
      </c>
      <c r="N317" s="1" t="str">
        <f t="shared" si="569"/>
        <v>0</v>
      </c>
      <c r="O317" s="1" t="str">
        <f t="shared" si="569"/>
        <v>0</v>
      </c>
      <c r="P317" s="1" t="str">
        <f t="shared" si="569"/>
        <v>0</v>
      </c>
      <c r="Q317" s="1" t="str">
        <f t="shared" si="467"/>
        <v>0.0070</v>
      </c>
      <c r="R317" s="1" t="s">
        <v>25</v>
      </c>
      <c r="T317" s="1" t="str">
        <f t="shared" si="468"/>
        <v>0</v>
      </c>
      <c r="U317" s="1" t="str">
        <f t="shared" si="564"/>
        <v>0.0070</v>
      </c>
    </row>
    <row r="318" s="1" customFormat="1" spans="1:21">
      <c r="A318" s="1" t="str">
        <f>"4601991408852"</f>
        <v>4601991408852</v>
      </c>
      <c r="B318" s="1" t="s">
        <v>342</v>
      </c>
      <c r="C318" s="1" t="s">
        <v>24</v>
      </c>
      <c r="D318" s="1" t="str">
        <f t="shared" si="463"/>
        <v>2021</v>
      </c>
      <c r="E318" s="1" t="str">
        <f t="shared" ref="E318:P318" si="570">"0"</f>
        <v>0</v>
      </c>
      <c r="F318" s="1" t="str">
        <f t="shared" si="570"/>
        <v>0</v>
      </c>
      <c r="G318" s="1" t="str">
        <f t="shared" si="570"/>
        <v>0</v>
      </c>
      <c r="H318" s="1" t="str">
        <f t="shared" si="570"/>
        <v>0</v>
      </c>
      <c r="I318" s="1" t="str">
        <f t="shared" si="570"/>
        <v>0</v>
      </c>
      <c r="J318" s="1" t="str">
        <f t="shared" si="570"/>
        <v>0</v>
      </c>
      <c r="K318" s="1" t="str">
        <f t="shared" si="570"/>
        <v>0</v>
      </c>
      <c r="L318" s="1" t="str">
        <f t="shared" si="570"/>
        <v>0</v>
      </c>
      <c r="M318" s="1" t="str">
        <f t="shared" si="570"/>
        <v>0</v>
      </c>
      <c r="N318" s="1" t="str">
        <f t="shared" si="570"/>
        <v>0</v>
      </c>
      <c r="O318" s="1" t="str">
        <f t="shared" si="570"/>
        <v>0</v>
      </c>
      <c r="P318" s="1" t="str">
        <f t="shared" si="570"/>
        <v>0</v>
      </c>
      <c r="Q318" s="1" t="str">
        <f t="shared" si="467"/>
        <v>0.0070</v>
      </c>
      <c r="R318" s="1" t="s">
        <v>25</v>
      </c>
      <c r="T318" s="1" t="str">
        <f t="shared" si="468"/>
        <v>0</v>
      </c>
      <c r="U318" s="1" t="str">
        <f t="shared" si="564"/>
        <v>0.0070</v>
      </c>
    </row>
    <row r="319" s="1" customFormat="1" spans="1:21">
      <c r="A319" s="1" t="str">
        <f>"4601991410143"</f>
        <v>4601991410143</v>
      </c>
      <c r="B319" s="1" t="s">
        <v>343</v>
      </c>
      <c r="C319" s="1" t="s">
        <v>24</v>
      </c>
      <c r="D319" s="1" t="str">
        <f t="shared" si="463"/>
        <v>2021</v>
      </c>
      <c r="E319" s="1" t="str">
        <f t="shared" ref="E319:P319" si="571">"0"</f>
        <v>0</v>
      </c>
      <c r="F319" s="1" t="str">
        <f t="shared" si="571"/>
        <v>0</v>
      </c>
      <c r="G319" s="1" t="str">
        <f t="shared" si="571"/>
        <v>0</v>
      </c>
      <c r="H319" s="1" t="str">
        <f t="shared" si="571"/>
        <v>0</v>
      </c>
      <c r="I319" s="1" t="str">
        <f t="shared" si="571"/>
        <v>0</v>
      </c>
      <c r="J319" s="1" t="str">
        <f t="shared" si="571"/>
        <v>0</v>
      </c>
      <c r="K319" s="1" t="str">
        <f t="shared" si="571"/>
        <v>0</v>
      </c>
      <c r="L319" s="1" t="str">
        <f t="shared" si="571"/>
        <v>0</v>
      </c>
      <c r="M319" s="1" t="str">
        <f t="shared" si="571"/>
        <v>0</v>
      </c>
      <c r="N319" s="1" t="str">
        <f t="shared" si="571"/>
        <v>0</v>
      </c>
      <c r="O319" s="1" t="str">
        <f t="shared" si="571"/>
        <v>0</v>
      </c>
      <c r="P319" s="1" t="str">
        <f t="shared" si="571"/>
        <v>0</v>
      </c>
      <c r="Q319" s="1" t="str">
        <f t="shared" si="467"/>
        <v>0.0070</v>
      </c>
      <c r="R319" s="1" t="s">
        <v>25</v>
      </c>
      <c r="T319" s="1" t="str">
        <f t="shared" si="468"/>
        <v>0</v>
      </c>
      <c r="U319" s="1" t="str">
        <f t="shared" si="564"/>
        <v>0.0070</v>
      </c>
    </row>
    <row r="320" s="1" customFormat="1" spans="1:21">
      <c r="A320" s="1" t="str">
        <f>"4601991408849"</f>
        <v>4601991408849</v>
      </c>
      <c r="B320" s="1" t="s">
        <v>344</v>
      </c>
      <c r="C320" s="1" t="s">
        <v>24</v>
      </c>
      <c r="D320" s="1" t="str">
        <f t="shared" si="463"/>
        <v>2021</v>
      </c>
      <c r="E320" s="1" t="str">
        <f t="shared" ref="E320:P320" si="572">"0"</f>
        <v>0</v>
      </c>
      <c r="F320" s="1" t="str">
        <f t="shared" si="572"/>
        <v>0</v>
      </c>
      <c r="G320" s="1" t="str">
        <f t="shared" si="572"/>
        <v>0</v>
      </c>
      <c r="H320" s="1" t="str">
        <f t="shared" si="572"/>
        <v>0</v>
      </c>
      <c r="I320" s="1" t="str">
        <f t="shared" si="572"/>
        <v>0</v>
      </c>
      <c r="J320" s="1" t="str">
        <f t="shared" si="572"/>
        <v>0</v>
      </c>
      <c r="K320" s="1" t="str">
        <f t="shared" si="572"/>
        <v>0</v>
      </c>
      <c r="L320" s="1" t="str">
        <f t="shared" si="572"/>
        <v>0</v>
      </c>
      <c r="M320" s="1" t="str">
        <f t="shared" si="572"/>
        <v>0</v>
      </c>
      <c r="N320" s="1" t="str">
        <f t="shared" si="572"/>
        <v>0</v>
      </c>
      <c r="O320" s="1" t="str">
        <f t="shared" si="572"/>
        <v>0</v>
      </c>
      <c r="P320" s="1" t="str">
        <f t="shared" si="572"/>
        <v>0</v>
      </c>
      <c r="Q320" s="1" t="str">
        <f t="shared" si="467"/>
        <v>0.0070</v>
      </c>
      <c r="R320" s="1" t="s">
        <v>25</v>
      </c>
      <c r="T320" s="1" t="str">
        <f t="shared" si="468"/>
        <v>0</v>
      </c>
      <c r="U320" s="1" t="str">
        <f t="shared" si="564"/>
        <v>0.0070</v>
      </c>
    </row>
    <row r="321" s="1" customFormat="1" spans="1:21">
      <c r="A321" s="1" t="str">
        <f>"4601991408869"</f>
        <v>4601991408869</v>
      </c>
      <c r="B321" s="1" t="s">
        <v>345</v>
      </c>
      <c r="C321" s="1" t="s">
        <v>24</v>
      </c>
      <c r="D321" s="1" t="str">
        <f t="shared" si="463"/>
        <v>2021</v>
      </c>
      <c r="E321" s="1" t="str">
        <f t="shared" ref="E321:P321" si="573">"0"</f>
        <v>0</v>
      </c>
      <c r="F321" s="1" t="str">
        <f t="shared" si="573"/>
        <v>0</v>
      </c>
      <c r="G321" s="1" t="str">
        <f t="shared" si="573"/>
        <v>0</v>
      </c>
      <c r="H321" s="1" t="str">
        <f t="shared" si="573"/>
        <v>0</v>
      </c>
      <c r="I321" s="1" t="str">
        <f t="shared" si="573"/>
        <v>0</v>
      </c>
      <c r="J321" s="1" t="str">
        <f t="shared" si="573"/>
        <v>0</v>
      </c>
      <c r="K321" s="1" t="str">
        <f t="shared" si="573"/>
        <v>0</v>
      </c>
      <c r="L321" s="1" t="str">
        <f t="shared" si="573"/>
        <v>0</v>
      </c>
      <c r="M321" s="1" t="str">
        <f t="shared" si="573"/>
        <v>0</v>
      </c>
      <c r="N321" s="1" t="str">
        <f t="shared" si="573"/>
        <v>0</v>
      </c>
      <c r="O321" s="1" t="str">
        <f t="shared" si="573"/>
        <v>0</v>
      </c>
      <c r="P321" s="1" t="str">
        <f t="shared" si="573"/>
        <v>0</v>
      </c>
      <c r="Q321" s="1" t="str">
        <f t="shared" si="467"/>
        <v>0.0070</v>
      </c>
      <c r="R321" s="1" t="s">
        <v>25</v>
      </c>
      <c r="T321" s="1" t="str">
        <f t="shared" si="468"/>
        <v>0</v>
      </c>
      <c r="U321" s="1" t="str">
        <f t="shared" si="564"/>
        <v>0.0070</v>
      </c>
    </row>
    <row r="322" s="1" customFormat="1" spans="1:21">
      <c r="A322" s="1" t="str">
        <f>"4601991406495"</f>
        <v>4601991406495</v>
      </c>
      <c r="B322" s="1" t="s">
        <v>346</v>
      </c>
      <c r="C322" s="1" t="s">
        <v>24</v>
      </c>
      <c r="D322" s="1" t="str">
        <f t="shared" si="463"/>
        <v>2021</v>
      </c>
      <c r="E322" s="1" t="str">
        <f>"217.66"</f>
        <v>217.66</v>
      </c>
      <c r="F322" s="1" t="str">
        <f t="shared" ref="F322:I322" si="574">"0"</f>
        <v>0</v>
      </c>
      <c r="G322" s="1" t="str">
        <f t="shared" si="574"/>
        <v>0</v>
      </c>
      <c r="H322" s="1" t="str">
        <f t="shared" si="574"/>
        <v>0</v>
      </c>
      <c r="I322" s="1" t="str">
        <f t="shared" si="574"/>
        <v>0</v>
      </c>
      <c r="J322" s="1" t="str">
        <f>"2"</f>
        <v>2</v>
      </c>
      <c r="K322" s="1" t="str">
        <f t="shared" ref="K322:P322" si="575">"0"</f>
        <v>0</v>
      </c>
      <c r="L322" s="1" t="str">
        <f t="shared" si="575"/>
        <v>0</v>
      </c>
      <c r="M322" s="1" t="str">
        <f t="shared" si="575"/>
        <v>0</v>
      </c>
      <c r="N322" s="1" t="str">
        <f t="shared" si="575"/>
        <v>0</v>
      </c>
      <c r="O322" s="1" t="str">
        <f t="shared" si="575"/>
        <v>0</v>
      </c>
      <c r="P322" s="1" t="str">
        <f t="shared" si="575"/>
        <v>0</v>
      </c>
      <c r="Q322" s="1" t="str">
        <f t="shared" si="467"/>
        <v>0.0070</v>
      </c>
      <c r="R322" s="1" t="s">
        <v>29</v>
      </c>
      <c r="S322" s="1">
        <v>-0.0014</v>
      </c>
      <c r="T322" s="1" t="str">
        <f t="shared" si="468"/>
        <v>0</v>
      </c>
      <c r="U322" s="1" t="str">
        <f t="shared" ref="U322:U325" si="576">"0.0056"</f>
        <v>0.0056</v>
      </c>
    </row>
    <row r="323" s="1" customFormat="1" spans="1:21">
      <c r="A323" s="1" t="str">
        <f>"4601991408875"</f>
        <v>4601991408875</v>
      </c>
      <c r="B323" s="1" t="s">
        <v>347</v>
      </c>
      <c r="C323" s="1" t="s">
        <v>24</v>
      </c>
      <c r="D323" s="1" t="str">
        <f t="shared" ref="D323:D386" si="577">"2021"</f>
        <v>2021</v>
      </c>
      <c r="E323" s="1" t="str">
        <f>"267.29"</f>
        <v>267.29</v>
      </c>
      <c r="F323" s="1" t="str">
        <f t="shared" ref="F323:I323" si="578">"0"</f>
        <v>0</v>
      </c>
      <c r="G323" s="1" t="str">
        <f t="shared" si="578"/>
        <v>0</v>
      </c>
      <c r="H323" s="1" t="str">
        <f t="shared" si="578"/>
        <v>0</v>
      </c>
      <c r="I323" s="1" t="str">
        <f t="shared" si="578"/>
        <v>0</v>
      </c>
      <c r="J323" s="1" t="str">
        <f>"25"</f>
        <v>25</v>
      </c>
      <c r="K323" s="1" t="str">
        <f t="shared" ref="K323:P323" si="579">"0"</f>
        <v>0</v>
      </c>
      <c r="L323" s="1" t="str">
        <f t="shared" si="579"/>
        <v>0</v>
      </c>
      <c r="M323" s="1" t="str">
        <f t="shared" si="579"/>
        <v>0</v>
      </c>
      <c r="N323" s="1" t="str">
        <f t="shared" si="579"/>
        <v>0</v>
      </c>
      <c r="O323" s="1" t="str">
        <f t="shared" si="579"/>
        <v>0</v>
      </c>
      <c r="P323" s="1" t="str">
        <f t="shared" si="579"/>
        <v>0</v>
      </c>
      <c r="Q323" s="1" t="str">
        <f t="shared" ref="Q323:Q386" si="580">"0.0070"</f>
        <v>0.0070</v>
      </c>
      <c r="R323" s="1" t="s">
        <v>29</v>
      </c>
      <c r="S323" s="1">
        <v>-0.0014</v>
      </c>
      <c r="T323" s="1" t="str">
        <f t="shared" ref="T323:T386" si="581">"0"</f>
        <v>0</v>
      </c>
      <c r="U323" s="1" t="str">
        <f t="shared" si="576"/>
        <v>0.0056</v>
      </c>
    </row>
    <row r="324" s="1" customFormat="1" spans="1:21">
      <c r="A324" s="1" t="str">
        <f>"4601991408225"</f>
        <v>4601991408225</v>
      </c>
      <c r="B324" s="1" t="s">
        <v>348</v>
      </c>
      <c r="C324" s="1" t="s">
        <v>24</v>
      </c>
      <c r="D324" s="1" t="str">
        <f t="shared" si="577"/>
        <v>2021</v>
      </c>
      <c r="E324" s="1" t="str">
        <f t="shared" ref="E324:P324" si="582">"0"</f>
        <v>0</v>
      </c>
      <c r="F324" s="1" t="str">
        <f t="shared" si="582"/>
        <v>0</v>
      </c>
      <c r="G324" s="1" t="str">
        <f t="shared" si="582"/>
        <v>0</v>
      </c>
      <c r="H324" s="1" t="str">
        <f t="shared" si="582"/>
        <v>0</v>
      </c>
      <c r="I324" s="1" t="str">
        <f t="shared" si="582"/>
        <v>0</v>
      </c>
      <c r="J324" s="1" t="str">
        <f t="shared" si="582"/>
        <v>0</v>
      </c>
      <c r="K324" s="1" t="str">
        <f t="shared" si="582"/>
        <v>0</v>
      </c>
      <c r="L324" s="1" t="str">
        <f t="shared" si="582"/>
        <v>0</v>
      </c>
      <c r="M324" s="1" t="str">
        <f t="shared" si="582"/>
        <v>0</v>
      </c>
      <c r="N324" s="1" t="str">
        <f t="shared" si="582"/>
        <v>0</v>
      </c>
      <c r="O324" s="1" t="str">
        <f t="shared" si="582"/>
        <v>0</v>
      </c>
      <c r="P324" s="1" t="str">
        <f t="shared" si="582"/>
        <v>0</v>
      </c>
      <c r="Q324" s="1" t="str">
        <f t="shared" si="580"/>
        <v>0.0070</v>
      </c>
      <c r="R324" s="1" t="s">
        <v>25</v>
      </c>
      <c r="T324" s="1" t="str">
        <f t="shared" si="581"/>
        <v>0</v>
      </c>
      <c r="U324" s="1" t="str">
        <f t="shared" ref="U324:U327" si="583">"0.0070"</f>
        <v>0.0070</v>
      </c>
    </row>
    <row r="325" s="1" customFormat="1" spans="1:21">
      <c r="A325" s="1" t="str">
        <f>"4601991408855"</f>
        <v>4601991408855</v>
      </c>
      <c r="B325" s="1" t="s">
        <v>349</v>
      </c>
      <c r="C325" s="1" t="s">
        <v>24</v>
      </c>
      <c r="D325" s="1" t="str">
        <f t="shared" si="577"/>
        <v>2021</v>
      </c>
      <c r="E325" s="1" t="str">
        <f>"39.18"</f>
        <v>39.18</v>
      </c>
      <c r="F325" s="1" t="str">
        <f t="shared" ref="F325:I325" si="584">"0"</f>
        <v>0</v>
      </c>
      <c r="G325" s="1" t="str">
        <f t="shared" si="584"/>
        <v>0</v>
      </c>
      <c r="H325" s="1" t="str">
        <f t="shared" si="584"/>
        <v>0</v>
      </c>
      <c r="I325" s="1" t="str">
        <f t="shared" si="584"/>
        <v>0</v>
      </c>
      <c r="J325" s="1" t="str">
        <f>"2"</f>
        <v>2</v>
      </c>
      <c r="K325" s="1" t="str">
        <f t="shared" ref="K325:P325" si="585">"0"</f>
        <v>0</v>
      </c>
      <c r="L325" s="1" t="str">
        <f t="shared" si="585"/>
        <v>0</v>
      </c>
      <c r="M325" s="1" t="str">
        <f t="shared" si="585"/>
        <v>0</v>
      </c>
      <c r="N325" s="1" t="str">
        <f t="shared" si="585"/>
        <v>0</v>
      </c>
      <c r="O325" s="1" t="str">
        <f t="shared" si="585"/>
        <v>0</v>
      </c>
      <c r="P325" s="1" t="str">
        <f t="shared" si="585"/>
        <v>0</v>
      </c>
      <c r="Q325" s="1" t="str">
        <f t="shared" si="580"/>
        <v>0.0070</v>
      </c>
      <c r="R325" s="1" t="s">
        <v>29</v>
      </c>
      <c r="S325" s="1">
        <v>-0.0014</v>
      </c>
      <c r="T325" s="1" t="str">
        <f t="shared" si="581"/>
        <v>0</v>
      </c>
      <c r="U325" s="1" t="str">
        <f t="shared" si="576"/>
        <v>0.0056</v>
      </c>
    </row>
    <row r="326" s="1" customFormat="1" spans="1:21">
      <c r="A326" s="1" t="str">
        <f>"4601991408222"</f>
        <v>4601991408222</v>
      </c>
      <c r="B326" s="1" t="s">
        <v>350</v>
      </c>
      <c r="C326" s="1" t="s">
        <v>24</v>
      </c>
      <c r="D326" s="1" t="str">
        <f t="shared" si="577"/>
        <v>2021</v>
      </c>
      <c r="E326" s="1" t="str">
        <f t="shared" ref="E326:P326" si="586">"0"</f>
        <v>0</v>
      </c>
      <c r="F326" s="1" t="str">
        <f t="shared" si="586"/>
        <v>0</v>
      </c>
      <c r="G326" s="1" t="str">
        <f t="shared" si="586"/>
        <v>0</v>
      </c>
      <c r="H326" s="1" t="str">
        <f t="shared" si="586"/>
        <v>0</v>
      </c>
      <c r="I326" s="1" t="str">
        <f t="shared" si="586"/>
        <v>0</v>
      </c>
      <c r="J326" s="1" t="str">
        <f t="shared" si="586"/>
        <v>0</v>
      </c>
      <c r="K326" s="1" t="str">
        <f t="shared" si="586"/>
        <v>0</v>
      </c>
      <c r="L326" s="1" t="str">
        <f t="shared" si="586"/>
        <v>0</v>
      </c>
      <c r="M326" s="1" t="str">
        <f t="shared" si="586"/>
        <v>0</v>
      </c>
      <c r="N326" s="1" t="str">
        <f t="shared" si="586"/>
        <v>0</v>
      </c>
      <c r="O326" s="1" t="str">
        <f t="shared" si="586"/>
        <v>0</v>
      </c>
      <c r="P326" s="1" t="str">
        <f t="shared" si="586"/>
        <v>0</v>
      </c>
      <c r="Q326" s="1" t="str">
        <f t="shared" si="580"/>
        <v>0.0070</v>
      </c>
      <c r="R326" s="1" t="s">
        <v>25</v>
      </c>
      <c r="T326" s="1" t="str">
        <f t="shared" si="581"/>
        <v>0</v>
      </c>
      <c r="U326" s="1" t="str">
        <f t="shared" si="583"/>
        <v>0.0070</v>
      </c>
    </row>
    <row r="327" s="1" customFormat="1" spans="1:21">
      <c r="A327" s="1" t="str">
        <f>"4601991408240"</f>
        <v>4601991408240</v>
      </c>
      <c r="B327" s="1" t="s">
        <v>351</v>
      </c>
      <c r="C327" s="1" t="s">
        <v>24</v>
      </c>
      <c r="D327" s="1" t="str">
        <f t="shared" si="577"/>
        <v>2021</v>
      </c>
      <c r="E327" s="1" t="str">
        <f t="shared" ref="E327:P327" si="587">"0"</f>
        <v>0</v>
      </c>
      <c r="F327" s="1" t="str">
        <f t="shared" si="587"/>
        <v>0</v>
      </c>
      <c r="G327" s="1" t="str">
        <f t="shared" si="587"/>
        <v>0</v>
      </c>
      <c r="H327" s="1" t="str">
        <f t="shared" si="587"/>
        <v>0</v>
      </c>
      <c r="I327" s="1" t="str">
        <f t="shared" si="587"/>
        <v>0</v>
      </c>
      <c r="J327" s="1" t="str">
        <f t="shared" si="587"/>
        <v>0</v>
      </c>
      <c r="K327" s="1" t="str">
        <f t="shared" si="587"/>
        <v>0</v>
      </c>
      <c r="L327" s="1" t="str">
        <f t="shared" si="587"/>
        <v>0</v>
      </c>
      <c r="M327" s="1" t="str">
        <f t="shared" si="587"/>
        <v>0</v>
      </c>
      <c r="N327" s="1" t="str">
        <f t="shared" si="587"/>
        <v>0</v>
      </c>
      <c r="O327" s="1" t="str">
        <f t="shared" si="587"/>
        <v>0</v>
      </c>
      <c r="P327" s="1" t="str">
        <f t="shared" si="587"/>
        <v>0</v>
      </c>
      <c r="Q327" s="1" t="str">
        <f t="shared" si="580"/>
        <v>0.0070</v>
      </c>
      <c r="R327" s="1" t="s">
        <v>25</v>
      </c>
      <c r="T327" s="1" t="str">
        <f t="shared" si="581"/>
        <v>0</v>
      </c>
      <c r="U327" s="1" t="str">
        <f t="shared" si="583"/>
        <v>0.0070</v>
      </c>
    </row>
    <row r="328" s="1" customFormat="1" spans="1:21">
      <c r="A328" s="1" t="str">
        <f>"4601991408237"</f>
        <v>4601991408237</v>
      </c>
      <c r="B328" s="1" t="s">
        <v>352</v>
      </c>
      <c r="C328" s="1" t="s">
        <v>24</v>
      </c>
      <c r="D328" s="1" t="str">
        <f t="shared" si="577"/>
        <v>2021</v>
      </c>
      <c r="E328" s="1" t="str">
        <f>"1367.63"</f>
        <v>1367.63</v>
      </c>
      <c r="F328" s="1" t="str">
        <f t="shared" ref="F328:I328" si="588">"0"</f>
        <v>0</v>
      </c>
      <c r="G328" s="1" t="str">
        <f t="shared" si="588"/>
        <v>0</v>
      </c>
      <c r="H328" s="1" t="str">
        <f t="shared" si="588"/>
        <v>0</v>
      </c>
      <c r="I328" s="1" t="str">
        <f t="shared" si="588"/>
        <v>0</v>
      </c>
      <c r="J328" s="1" t="str">
        <f>"115"</f>
        <v>115</v>
      </c>
      <c r="K328" s="1" t="str">
        <f t="shared" ref="K328:P328" si="589">"0"</f>
        <v>0</v>
      </c>
      <c r="L328" s="1" t="str">
        <f t="shared" si="589"/>
        <v>0</v>
      </c>
      <c r="M328" s="1" t="str">
        <f t="shared" si="589"/>
        <v>0</v>
      </c>
      <c r="N328" s="1" t="str">
        <f t="shared" si="589"/>
        <v>0</v>
      </c>
      <c r="O328" s="1" t="str">
        <f t="shared" si="589"/>
        <v>0</v>
      </c>
      <c r="P328" s="1" t="str">
        <f t="shared" si="589"/>
        <v>0</v>
      </c>
      <c r="Q328" s="1" t="str">
        <f t="shared" si="580"/>
        <v>0.0070</v>
      </c>
      <c r="R328" s="1" t="s">
        <v>29</v>
      </c>
      <c r="S328" s="1">
        <v>-0.0014</v>
      </c>
      <c r="T328" s="1" t="str">
        <f t="shared" si="581"/>
        <v>0</v>
      </c>
      <c r="U328" s="1" t="str">
        <f t="shared" ref="U328:U331" si="590">"0.0056"</f>
        <v>0.0056</v>
      </c>
    </row>
    <row r="329" s="1" customFormat="1" spans="1:21">
      <c r="A329" s="1" t="str">
        <f>"4601991408249"</f>
        <v>4601991408249</v>
      </c>
      <c r="B329" s="1" t="s">
        <v>353</v>
      </c>
      <c r="C329" s="1" t="s">
        <v>24</v>
      </c>
      <c r="D329" s="1" t="str">
        <f t="shared" si="577"/>
        <v>2021</v>
      </c>
      <c r="E329" s="1" t="str">
        <f>"220.43"</f>
        <v>220.43</v>
      </c>
      <c r="F329" s="1" t="str">
        <f t="shared" ref="F329:I329" si="591">"0"</f>
        <v>0</v>
      </c>
      <c r="G329" s="1" t="str">
        <f t="shared" si="591"/>
        <v>0</v>
      </c>
      <c r="H329" s="1" t="str">
        <f t="shared" si="591"/>
        <v>0</v>
      </c>
      <c r="I329" s="1" t="str">
        <f t="shared" si="591"/>
        <v>0</v>
      </c>
      <c r="J329" s="1" t="str">
        <f>"23"</f>
        <v>23</v>
      </c>
      <c r="K329" s="1" t="str">
        <f t="shared" ref="K329:P329" si="592">"0"</f>
        <v>0</v>
      </c>
      <c r="L329" s="1" t="str">
        <f t="shared" si="592"/>
        <v>0</v>
      </c>
      <c r="M329" s="1" t="str">
        <f t="shared" si="592"/>
        <v>0</v>
      </c>
      <c r="N329" s="1" t="str">
        <f t="shared" si="592"/>
        <v>0</v>
      </c>
      <c r="O329" s="1" t="str">
        <f t="shared" si="592"/>
        <v>0</v>
      </c>
      <c r="P329" s="1" t="str">
        <f t="shared" si="592"/>
        <v>0</v>
      </c>
      <c r="Q329" s="1" t="str">
        <f t="shared" si="580"/>
        <v>0.0070</v>
      </c>
      <c r="R329" s="1" t="s">
        <v>29</v>
      </c>
      <c r="S329" s="1">
        <v>-0.0014</v>
      </c>
      <c r="T329" s="1" t="str">
        <f t="shared" si="581"/>
        <v>0</v>
      </c>
      <c r="U329" s="1" t="str">
        <f t="shared" si="590"/>
        <v>0.0056</v>
      </c>
    </row>
    <row r="330" s="1" customFormat="1" spans="1:21">
      <c r="A330" s="1" t="str">
        <f>"4601991407656"</f>
        <v>4601991407656</v>
      </c>
      <c r="B330" s="1" t="s">
        <v>354</v>
      </c>
      <c r="C330" s="1" t="s">
        <v>24</v>
      </c>
      <c r="D330" s="1" t="str">
        <f t="shared" si="577"/>
        <v>2021</v>
      </c>
      <c r="E330" s="1" t="str">
        <f t="shared" ref="E330:P330" si="593">"0"</f>
        <v>0</v>
      </c>
      <c r="F330" s="1" t="str">
        <f t="shared" si="593"/>
        <v>0</v>
      </c>
      <c r="G330" s="1" t="str">
        <f t="shared" si="593"/>
        <v>0</v>
      </c>
      <c r="H330" s="1" t="str">
        <f t="shared" si="593"/>
        <v>0</v>
      </c>
      <c r="I330" s="1" t="str">
        <f t="shared" si="593"/>
        <v>0</v>
      </c>
      <c r="J330" s="1" t="str">
        <f t="shared" si="593"/>
        <v>0</v>
      </c>
      <c r="K330" s="1" t="str">
        <f t="shared" si="593"/>
        <v>0</v>
      </c>
      <c r="L330" s="1" t="str">
        <f t="shared" si="593"/>
        <v>0</v>
      </c>
      <c r="M330" s="1" t="str">
        <f t="shared" si="593"/>
        <v>0</v>
      </c>
      <c r="N330" s="1" t="str">
        <f t="shared" si="593"/>
        <v>0</v>
      </c>
      <c r="O330" s="1" t="str">
        <f t="shared" si="593"/>
        <v>0</v>
      </c>
      <c r="P330" s="1" t="str">
        <f t="shared" si="593"/>
        <v>0</v>
      </c>
      <c r="Q330" s="1" t="str">
        <f t="shared" si="580"/>
        <v>0.0070</v>
      </c>
      <c r="R330" s="1" t="s">
        <v>25</v>
      </c>
      <c r="T330" s="1" t="str">
        <f t="shared" si="581"/>
        <v>0</v>
      </c>
      <c r="U330" s="1" t="str">
        <f>"0.0070"</f>
        <v>0.0070</v>
      </c>
    </row>
    <row r="331" s="1" customFormat="1" spans="1:21">
      <c r="A331" s="1" t="str">
        <f>"4601991406988"</f>
        <v>4601991406988</v>
      </c>
      <c r="B331" s="1" t="s">
        <v>355</v>
      </c>
      <c r="C331" s="1" t="s">
        <v>24</v>
      </c>
      <c r="D331" s="1" t="str">
        <f t="shared" si="577"/>
        <v>2021</v>
      </c>
      <c r="E331" s="1" t="str">
        <f>"172.44"</f>
        <v>172.44</v>
      </c>
      <c r="F331" s="1" t="str">
        <f t="shared" ref="F331:I331" si="594">"0"</f>
        <v>0</v>
      </c>
      <c r="G331" s="1" t="str">
        <f t="shared" si="594"/>
        <v>0</v>
      </c>
      <c r="H331" s="1" t="str">
        <f t="shared" si="594"/>
        <v>0</v>
      </c>
      <c r="I331" s="1" t="str">
        <f t="shared" si="594"/>
        <v>0</v>
      </c>
      <c r="J331" s="1" t="str">
        <f>"19"</f>
        <v>19</v>
      </c>
      <c r="K331" s="1" t="str">
        <f t="shared" ref="K331:P331" si="595">"0"</f>
        <v>0</v>
      </c>
      <c r="L331" s="1" t="str">
        <f t="shared" si="595"/>
        <v>0</v>
      </c>
      <c r="M331" s="1" t="str">
        <f t="shared" si="595"/>
        <v>0</v>
      </c>
      <c r="N331" s="1" t="str">
        <f t="shared" si="595"/>
        <v>0</v>
      </c>
      <c r="O331" s="1" t="str">
        <f t="shared" si="595"/>
        <v>0</v>
      </c>
      <c r="P331" s="1" t="str">
        <f t="shared" si="595"/>
        <v>0</v>
      </c>
      <c r="Q331" s="1" t="str">
        <f t="shared" si="580"/>
        <v>0.0070</v>
      </c>
      <c r="R331" s="1" t="s">
        <v>29</v>
      </c>
      <c r="S331" s="1">
        <v>-0.0014</v>
      </c>
      <c r="T331" s="1" t="str">
        <f t="shared" si="581"/>
        <v>0</v>
      </c>
      <c r="U331" s="1" t="str">
        <f t="shared" si="590"/>
        <v>0.0056</v>
      </c>
    </row>
    <row r="332" s="1" customFormat="1" spans="1:21">
      <c r="A332" s="1" t="str">
        <f>"4601991408265"</f>
        <v>4601991408265</v>
      </c>
      <c r="B332" s="1" t="s">
        <v>356</v>
      </c>
      <c r="C332" s="1" t="s">
        <v>24</v>
      </c>
      <c r="D332" s="1" t="str">
        <f t="shared" si="577"/>
        <v>2021</v>
      </c>
      <c r="E332" s="1" t="str">
        <f t="shared" ref="E332:P332" si="596">"0"</f>
        <v>0</v>
      </c>
      <c r="F332" s="1" t="str">
        <f t="shared" si="596"/>
        <v>0</v>
      </c>
      <c r="G332" s="1" t="str">
        <f t="shared" si="596"/>
        <v>0</v>
      </c>
      <c r="H332" s="1" t="str">
        <f t="shared" si="596"/>
        <v>0</v>
      </c>
      <c r="I332" s="1" t="str">
        <f t="shared" si="596"/>
        <v>0</v>
      </c>
      <c r="J332" s="1" t="str">
        <f t="shared" si="596"/>
        <v>0</v>
      </c>
      <c r="K332" s="1" t="str">
        <f t="shared" si="596"/>
        <v>0</v>
      </c>
      <c r="L332" s="1" t="str">
        <f t="shared" si="596"/>
        <v>0</v>
      </c>
      <c r="M332" s="1" t="str">
        <f t="shared" si="596"/>
        <v>0</v>
      </c>
      <c r="N332" s="1" t="str">
        <f t="shared" si="596"/>
        <v>0</v>
      </c>
      <c r="O332" s="1" t="str">
        <f t="shared" si="596"/>
        <v>0</v>
      </c>
      <c r="P332" s="1" t="str">
        <f t="shared" si="596"/>
        <v>0</v>
      </c>
      <c r="Q332" s="1" t="str">
        <f t="shared" si="580"/>
        <v>0.0070</v>
      </c>
      <c r="R332" s="1" t="s">
        <v>25</v>
      </c>
      <c r="T332" s="1" t="str">
        <f t="shared" si="581"/>
        <v>0</v>
      </c>
      <c r="U332" s="1" t="str">
        <f>"0.0070"</f>
        <v>0.0070</v>
      </c>
    </row>
    <row r="333" s="1" customFormat="1" spans="1:21">
      <c r="A333" s="1" t="str">
        <f>"4601991408298"</f>
        <v>4601991408298</v>
      </c>
      <c r="B333" s="1" t="s">
        <v>357</v>
      </c>
      <c r="C333" s="1" t="s">
        <v>24</v>
      </c>
      <c r="D333" s="1" t="str">
        <f t="shared" si="577"/>
        <v>2021</v>
      </c>
      <c r="E333" s="1" t="str">
        <f>"114.96"</f>
        <v>114.96</v>
      </c>
      <c r="F333" s="1" t="str">
        <f t="shared" ref="F333:I333" si="597">"0"</f>
        <v>0</v>
      </c>
      <c r="G333" s="1" t="str">
        <f t="shared" si="597"/>
        <v>0</v>
      </c>
      <c r="H333" s="1" t="str">
        <f t="shared" si="597"/>
        <v>0</v>
      </c>
      <c r="I333" s="1" t="str">
        <f t="shared" si="597"/>
        <v>0</v>
      </c>
      <c r="J333" s="1" t="str">
        <f>"13"</f>
        <v>13</v>
      </c>
      <c r="K333" s="1" t="str">
        <f t="shared" ref="K333:P333" si="598">"0"</f>
        <v>0</v>
      </c>
      <c r="L333" s="1" t="str">
        <f t="shared" si="598"/>
        <v>0</v>
      </c>
      <c r="M333" s="1" t="str">
        <f t="shared" si="598"/>
        <v>0</v>
      </c>
      <c r="N333" s="1" t="str">
        <f t="shared" si="598"/>
        <v>0</v>
      </c>
      <c r="O333" s="1" t="str">
        <f t="shared" si="598"/>
        <v>0</v>
      </c>
      <c r="P333" s="1" t="str">
        <f t="shared" si="598"/>
        <v>0</v>
      </c>
      <c r="Q333" s="1" t="str">
        <f t="shared" si="580"/>
        <v>0.0070</v>
      </c>
      <c r="R333" s="1" t="s">
        <v>29</v>
      </c>
      <c r="S333" s="1">
        <v>-0.0014</v>
      </c>
      <c r="T333" s="1" t="str">
        <f t="shared" si="581"/>
        <v>0</v>
      </c>
      <c r="U333" s="1" t="str">
        <f t="shared" ref="U333:U337" si="599">"0.0056"</f>
        <v>0.0056</v>
      </c>
    </row>
    <row r="334" s="1" customFormat="1" spans="1:21">
      <c r="A334" s="1" t="str">
        <f>"4601991408279"</f>
        <v>4601991408279</v>
      </c>
      <c r="B334" s="1" t="s">
        <v>358</v>
      </c>
      <c r="C334" s="1" t="s">
        <v>24</v>
      </c>
      <c r="D334" s="1" t="str">
        <f t="shared" si="577"/>
        <v>2021</v>
      </c>
      <c r="E334" s="1" t="str">
        <f>"634.56"</f>
        <v>634.56</v>
      </c>
      <c r="F334" s="1" t="str">
        <f t="shared" ref="F334:I334" si="600">"0"</f>
        <v>0</v>
      </c>
      <c r="G334" s="1" t="str">
        <f t="shared" si="600"/>
        <v>0</v>
      </c>
      <c r="H334" s="1" t="str">
        <f t="shared" si="600"/>
        <v>0</v>
      </c>
      <c r="I334" s="1" t="str">
        <f t="shared" si="600"/>
        <v>0</v>
      </c>
      <c r="J334" s="1" t="str">
        <f>"60"</f>
        <v>60</v>
      </c>
      <c r="K334" s="1" t="str">
        <f t="shared" ref="K334:P334" si="601">"0"</f>
        <v>0</v>
      </c>
      <c r="L334" s="1" t="str">
        <f t="shared" si="601"/>
        <v>0</v>
      </c>
      <c r="M334" s="1" t="str">
        <f t="shared" si="601"/>
        <v>0</v>
      </c>
      <c r="N334" s="1" t="str">
        <f t="shared" si="601"/>
        <v>0</v>
      </c>
      <c r="O334" s="1" t="str">
        <f t="shared" si="601"/>
        <v>0</v>
      </c>
      <c r="P334" s="1" t="str">
        <f t="shared" si="601"/>
        <v>0</v>
      </c>
      <c r="Q334" s="1" t="str">
        <f t="shared" si="580"/>
        <v>0.0070</v>
      </c>
      <c r="R334" s="1" t="s">
        <v>29</v>
      </c>
      <c r="S334" s="1">
        <v>-0.0014</v>
      </c>
      <c r="T334" s="1" t="str">
        <f t="shared" si="581"/>
        <v>0</v>
      </c>
      <c r="U334" s="1" t="str">
        <f t="shared" si="599"/>
        <v>0.0056</v>
      </c>
    </row>
    <row r="335" s="1" customFormat="1" spans="1:21">
      <c r="A335" s="1" t="str">
        <f>"4601991407620"</f>
        <v>4601991407620</v>
      </c>
      <c r="B335" s="1" t="s">
        <v>359</v>
      </c>
      <c r="C335" s="1" t="s">
        <v>24</v>
      </c>
      <c r="D335" s="1" t="str">
        <f t="shared" si="577"/>
        <v>2021</v>
      </c>
      <c r="E335" s="1" t="str">
        <f>"19.25"</f>
        <v>19.25</v>
      </c>
      <c r="F335" s="1" t="str">
        <f t="shared" ref="F335:I335" si="602">"0"</f>
        <v>0</v>
      </c>
      <c r="G335" s="1" t="str">
        <f t="shared" si="602"/>
        <v>0</v>
      </c>
      <c r="H335" s="1" t="str">
        <f t="shared" si="602"/>
        <v>0</v>
      </c>
      <c r="I335" s="1" t="str">
        <f t="shared" si="602"/>
        <v>0</v>
      </c>
      <c r="J335" s="1" t="str">
        <f>"3"</f>
        <v>3</v>
      </c>
      <c r="K335" s="1" t="str">
        <f t="shared" ref="K335:P335" si="603">"0"</f>
        <v>0</v>
      </c>
      <c r="L335" s="1" t="str">
        <f t="shared" si="603"/>
        <v>0</v>
      </c>
      <c r="M335" s="1" t="str">
        <f t="shared" si="603"/>
        <v>0</v>
      </c>
      <c r="N335" s="1" t="str">
        <f t="shared" si="603"/>
        <v>0</v>
      </c>
      <c r="O335" s="1" t="str">
        <f t="shared" si="603"/>
        <v>0</v>
      </c>
      <c r="P335" s="1" t="str">
        <f t="shared" si="603"/>
        <v>0</v>
      </c>
      <c r="Q335" s="1" t="str">
        <f t="shared" si="580"/>
        <v>0.0070</v>
      </c>
      <c r="R335" s="1" t="s">
        <v>29</v>
      </c>
      <c r="S335" s="1">
        <v>-0.0014</v>
      </c>
      <c r="T335" s="1" t="str">
        <f t="shared" si="581"/>
        <v>0</v>
      </c>
      <c r="U335" s="1" t="str">
        <f t="shared" si="599"/>
        <v>0.0056</v>
      </c>
    </row>
    <row r="336" s="1" customFormat="1" spans="1:21">
      <c r="A336" s="1" t="str">
        <f>"4601991408314"</f>
        <v>4601991408314</v>
      </c>
      <c r="B336" s="1" t="s">
        <v>360</v>
      </c>
      <c r="C336" s="1" t="s">
        <v>24</v>
      </c>
      <c r="D336" s="1" t="str">
        <f t="shared" si="577"/>
        <v>2021</v>
      </c>
      <c r="E336" s="1" t="str">
        <f>"280.43"</f>
        <v>280.43</v>
      </c>
      <c r="F336" s="1" t="str">
        <f t="shared" ref="F336:I336" si="604">"0"</f>
        <v>0</v>
      </c>
      <c r="G336" s="1" t="str">
        <f t="shared" si="604"/>
        <v>0</v>
      </c>
      <c r="H336" s="1" t="str">
        <f t="shared" si="604"/>
        <v>0</v>
      </c>
      <c r="I336" s="1" t="str">
        <f t="shared" si="604"/>
        <v>0</v>
      </c>
      <c r="J336" s="1" t="str">
        <f>"29"</f>
        <v>29</v>
      </c>
      <c r="K336" s="1" t="str">
        <f t="shared" ref="K336:P336" si="605">"0"</f>
        <v>0</v>
      </c>
      <c r="L336" s="1" t="str">
        <f t="shared" si="605"/>
        <v>0</v>
      </c>
      <c r="M336" s="1" t="str">
        <f t="shared" si="605"/>
        <v>0</v>
      </c>
      <c r="N336" s="1" t="str">
        <f t="shared" si="605"/>
        <v>0</v>
      </c>
      <c r="O336" s="1" t="str">
        <f t="shared" si="605"/>
        <v>0</v>
      </c>
      <c r="P336" s="1" t="str">
        <f t="shared" si="605"/>
        <v>0</v>
      </c>
      <c r="Q336" s="1" t="str">
        <f t="shared" si="580"/>
        <v>0.0070</v>
      </c>
      <c r="R336" s="1" t="s">
        <v>29</v>
      </c>
      <c r="S336" s="1">
        <v>-0.0014</v>
      </c>
      <c r="T336" s="1" t="str">
        <f t="shared" si="581"/>
        <v>0</v>
      </c>
      <c r="U336" s="1" t="str">
        <f t="shared" si="599"/>
        <v>0.0056</v>
      </c>
    </row>
    <row r="337" s="1" customFormat="1" spans="1:21">
      <c r="A337" s="1" t="str">
        <f>"4601991406125"</f>
        <v>4601991406125</v>
      </c>
      <c r="B337" s="1" t="s">
        <v>361</v>
      </c>
      <c r="C337" s="1" t="s">
        <v>24</v>
      </c>
      <c r="D337" s="1" t="str">
        <f t="shared" si="577"/>
        <v>2021</v>
      </c>
      <c r="E337" s="1" t="str">
        <f>"134.37"</f>
        <v>134.37</v>
      </c>
      <c r="F337" s="1" t="str">
        <f t="shared" ref="F337:I337" si="606">"0"</f>
        <v>0</v>
      </c>
      <c r="G337" s="1" t="str">
        <f t="shared" si="606"/>
        <v>0</v>
      </c>
      <c r="H337" s="1" t="str">
        <f t="shared" si="606"/>
        <v>0</v>
      </c>
      <c r="I337" s="1" t="str">
        <f t="shared" si="606"/>
        <v>0</v>
      </c>
      <c r="J337" s="1" t="str">
        <f>"13"</f>
        <v>13</v>
      </c>
      <c r="K337" s="1" t="str">
        <f t="shared" ref="K337:P337" si="607">"0"</f>
        <v>0</v>
      </c>
      <c r="L337" s="1" t="str">
        <f t="shared" si="607"/>
        <v>0</v>
      </c>
      <c r="M337" s="1" t="str">
        <f t="shared" si="607"/>
        <v>0</v>
      </c>
      <c r="N337" s="1" t="str">
        <f t="shared" si="607"/>
        <v>0</v>
      </c>
      <c r="O337" s="1" t="str">
        <f t="shared" si="607"/>
        <v>0</v>
      </c>
      <c r="P337" s="1" t="str">
        <f t="shared" si="607"/>
        <v>0</v>
      </c>
      <c r="Q337" s="1" t="str">
        <f t="shared" si="580"/>
        <v>0.0070</v>
      </c>
      <c r="R337" s="1" t="s">
        <v>29</v>
      </c>
      <c r="S337" s="1">
        <v>-0.0014</v>
      </c>
      <c r="T337" s="1" t="str">
        <f t="shared" si="581"/>
        <v>0</v>
      </c>
      <c r="U337" s="1" t="str">
        <f t="shared" si="599"/>
        <v>0.0056</v>
      </c>
    </row>
    <row r="338" s="1" customFormat="1" spans="1:21">
      <c r="A338" s="1" t="str">
        <f>"4601991407709"</f>
        <v>4601991407709</v>
      </c>
      <c r="B338" s="1" t="s">
        <v>362</v>
      </c>
      <c r="C338" s="1" t="s">
        <v>24</v>
      </c>
      <c r="D338" s="1" t="str">
        <f t="shared" si="577"/>
        <v>2021</v>
      </c>
      <c r="E338" s="1" t="str">
        <f t="shared" ref="E338:P338" si="608">"0"</f>
        <v>0</v>
      </c>
      <c r="F338" s="1" t="str">
        <f t="shared" si="608"/>
        <v>0</v>
      </c>
      <c r="G338" s="1" t="str">
        <f t="shared" si="608"/>
        <v>0</v>
      </c>
      <c r="H338" s="1" t="str">
        <f t="shared" si="608"/>
        <v>0</v>
      </c>
      <c r="I338" s="1" t="str">
        <f t="shared" si="608"/>
        <v>0</v>
      </c>
      <c r="J338" s="1" t="str">
        <f t="shared" si="608"/>
        <v>0</v>
      </c>
      <c r="K338" s="1" t="str">
        <f t="shared" si="608"/>
        <v>0</v>
      </c>
      <c r="L338" s="1" t="str">
        <f t="shared" si="608"/>
        <v>0</v>
      </c>
      <c r="M338" s="1" t="str">
        <f t="shared" si="608"/>
        <v>0</v>
      </c>
      <c r="N338" s="1" t="str">
        <f t="shared" si="608"/>
        <v>0</v>
      </c>
      <c r="O338" s="1" t="str">
        <f t="shared" si="608"/>
        <v>0</v>
      </c>
      <c r="P338" s="1" t="str">
        <f t="shared" si="608"/>
        <v>0</v>
      </c>
      <c r="Q338" s="1" t="str">
        <f t="shared" si="580"/>
        <v>0.0070</v>
      </c>
      <c r="R338" s="1" t="s">
        <v>25</v>
      </c>
      <c r="T338" s="1" t="str">
        <f t="shared" si="581"/>
        <v>0</v>
      </c>
      <c r="U338" s="1" t="str">
        <f t="shared" ref="U338:U356" si="609">"0.0070"</f>
        <v>0.0070</v>
      </c>
    </row>
    <row r="339" s="1" customFormat="1" spans="1:21">
      <c r="A339" s="1" t="str">
        <f>"4601991406143"</f>
        <v>4601991406143</v>
      </c>
      <c r="B339" s="1" t="s">
        <v>363</v>
      </c>
      <c r="C339" s="1" t="s">
        <v>24</v>
      </c>
      <c r="D339" s="1" t="str">
        <f t="shared" si="577"/>
        <v>2021</v>
      </c>
      <c r="E339" s="1" t="str">
        <f>"9.67"</f>
        <v>9.67</v>
      </c>
      <c r="F339" s="1" t="str">
        <f t="shared" ref="F339:I339" si="610">"0"</f>
        <v>0</v>
      </c>
      <c r="G339" s="1" t="str">
        <f t="shared" si="610"/>
        <v>0</v>
      </c>
      <c r="H339" s="1" t="str">
        <f t="shared" si="610"/>
        <v>0</v>
      </c>
      <c r="I339" s="1" t="str">
        <f t="shared" si="610"/>
        <v>0</v>
      </c>
      <c r="J339" s="1" t="str">
        <f>"1"</f>
        <v>1</v>
      </c>
      <c r="K339" s="1" t="str">
        <f t="shared" ref="K339:P339" si="611">"0"</f>
        <v>0</v>
      </c>
      <c r="L339" s="1" t="str">
        <f t="shared" si="611"/>
        <v>0</v>
      </c>
      <c r="M339" s="1" t="str">
        <f t="shared" si="611"/>
        <v>0</v>
      </c>
      <c r="N339" s="1" t="str">
        <f t="shared" si="611"/>
        <v>0</v>
      </c>
      <c r="O339" s="1" t="str">
        <f t="shared" si="611"/>
        <v>0</v>
      </c>
      <c r="P339" s="1" t="str">
        <f t="shared" si="611"/>
        <v>0</v>
      </c>
      <c r="Q339" s="1" t="str">
        <f t="shared" si="580"/>
        <v>0.0070</v>
      </c>
      <c r="R339" s="1" t="s">
        <v>25</v>
      </c>
      <c r="T339" s="1" t="str">
        <f t="shared" si="581"/>
        <v>0</v>
      </c>
      <c r="U339" s="1" t="str">
        <f t="shared" si="609"/>
        <v>0.0070</v>
      </c>
    </row>
    <row r="340" s="1" customFormat="1" spans="1:21">
      <c r="A340" s="1" t="str">
        <f>"4601991406543"</f>
        <v>4601991406543</v>
      </c>
      <c r="B340" s="1" t="s">
        <v>364</v>
      </c>
      <c r="C340" s="1" t="s">
        <v>24</v>
      </c>
      <c r="D340" s="1" t="str">
        <f t="shared" si="577"/>
        <v>2021</v>
      </c>
      <c r="E340" s="1" t="str">
        <f t="shared" ref="E340:P340" si="612">"0"</f>
        <v>0</v>
      </c>
      <c r="F340" s="1" t="str">
        <f t="shared" si="612"/>
        <v>0</v>
      </c>
      <c r="G340" s="1" t="str">
        <f t="shared" si="612"/>
        <v>0</v>
      </c>
      <c r="H340" s="1" t="str">
        <f t="shared" si="612"/>
        <v>0</v>
      </c>
      <c r="I340" s="1" t="str">
        <f t="shared" si="612"/>
        <v>0</v>
      </c>
      <c r="J340" s="1" t="str">
        <f t="shared" si="612"/>
        <v>0</v>
      </c>
      <c r="K340" s="1" t="str">
        <f t="shared" si="612"/>
        <v>0</v>
      </c>
      <c r="L340" s="1" t="str">
        <f t="shared" si="612"/>
        <v>0</v>
      </c>
      <c r="M340" s="1" t="str">
        <f t="shared" si="612"/>
        <v>0</v>
      </c>
      <c r="N340" s="1" t="str">
        <f t="shared" si="612"/>
        <v>0</v>
      </c>
      <c r="O340" s="1" t="str">
        <f t="shared" si="612"/>
        <v>0</v>
      </c>
      <c r="P340" s="1" t="str">
        <f t="shared" si="612"/>
        <v>0</v>
      </c>
      <c r="Q340" s="1" t="str">
        <f t="shared" si="580"/>
        <v>0.0070</v>
      </c>
      <c r="R340" s="1" t="s">
        <v>25</v>
      </c>
      <c r="T340" s="1" t="str">
        <f t="shared" si="581"/>
        <v>0</v>
      </c>
      <c r="U340" s="1" t="str">
        <f t="shared" si="609"/>
        <v>0.0070</v>
      </c>
    </row>
    <row r="341" s="1" customFormat="1" spans="1:21">
      <c r="A341" s="1" t="str">
        <f>"4601991407093"</f>
        <v>4601991407093</v>
      </c>
      <c r="B341" s="1" t="s">
        <v>365</v>
      </c>
      <c r="C341" s="1" t="s">
        <v>24</v>
      </c>
      <c r="D341" s="1" t="str">
        <f t="shared" si="577"/>
        <v>2021</v>
      </c>
      <c r="E341" s="1" t="str">
        <f t="shared" ref="E341:P341" si="613">"0"</f>
        <v>0</v>
      </c>
      <c r="F341" s="1" t="str">
        <f t="shared" si="613"/>
        <v>0</v>
      </c>
      <c r="G341" s="1" t="str">
        <f t="shared" si="613"/>
        <v>0</v>
      </c>
      <c r="H341" s="1" t="str">
        <f t="shared" si="613"/>
        <v>0</v>
      </c>
      <c r="I341" s="1" t="str">
        <f t="shared" si="613"/>
        <v>0</v>
      </c>
      <c r="J341" s="1" t="str">
        <f t="shared" si="613"/>
        <v>0</v>
      </c>
      <c r="K341" s="1" t="str">
        <f t="shared" si="613"/>
        <v>0</v>
      </c>
      <c r="L341" s="1" t="str">
        <f t="shared" si="613"/>
        <v>0</v>
      </c>
      <c r="M341" s="1" t="str">
        <f t="shared" si="613"/>
        <v>0</v>
      </c>
      <c r="N341" s="1" t="str">
        <f t="shared" si="613"/>
        <v>0</v>
      </c>
      <c r="O341" s="1" t="str">
        <f t="shared" si="613"/>
        <v>0</v>
      </c>
      <c r="P341" s="1" t="str">
        <f t="shared" si="613"/>
        <v>0</v>
      </c>
      <c r="Q341" s="1" t="str">
        <f t="shared" si="580"/>
        <v>0.0070</v>
      </c>
      <c r="R341" s="1" t="s">
        <v>25</v>
      </c>
      <c r="T341" s="1" t="str">
        <f t="shared" si="581"/>
        <v>0</v>
      </c>
      <c r="U341" s="1" t="str">
        <f t="shared" si="609"/>
        <v>0.0070</v>
      </c>
    </row>
    <row r="342" s="1" customFormat="1" spans="1:21">
      <c r="A342" s="1" t="str">
        <f>"4601991407104"</f>
        <v>4601991407104</v>
      </c>
      <c r="B342" s="1" t="s">
        <v>366</v>
      </c>
      <c r="C342" s="1" t="s">
        <v>24</v>
      </c>
      <c r="D342" s="1" t="str">
        <f t="shared" si="577"/>
        <v>2021</v>
      </c>
      <c r="E342" s="1" t="str">
        <f t="shared" ref="E342:P342" si="614">"0"</f>
        <v>0</v>
      </c>
      <c r="F342" s="1" t="str">
        <f t="shared" si="614"/>
        <v>0</v>
      </c>
      <c r="G342" s="1" t="str">
        <f t="shared" si="614"/>
        <v>0</v>
      </c>
      <c r="H342" s="1" t="str">
        <f t="shared" si="614"/>
        <v>0</v>
      </c>
      <c r="I342" s="1" t="str">
        <f t="shared" si="614"/>
        <v>0</v>
      </c>
      <c r="J342" s="1" t="str">
        <f t="shared" si="614"/>
        <v>0</v>
      </c>
      <c r="K342" s="1" t="str">
        <f t="shared" si="614"/>
        <v>0</v>
      </c>
      <c r="L342" s="1" t="str">
        <f t="shared" si="614"/>
        <v>0</v>
      </c>
      <c r="M342" s="1" t="str">
        <f t="shared" si="614"/>
        <v>0</v>
      </c>
      <c r="N342" s="1" t="str">
        <f t="shared" si="614"/>
        <v>0</v>
      </c>
      <c r="O342" s="1" t="str">
        <f t="shared" si="614"/>
        <v>0</v>
      </c>
      <c r="P342" s="1" t="str">
        <f t="shared" si="614"/>
        <v>0</v>
      </c>
      <c r="Q342" s="1" t="str">
        <f t="shared" si="580"/>
        <v>0.0070</v>
      </c>
      <c r="R342" s="1" t="s">
        <v>25</v>
      </c>
      <c r="T342" s="1" t="str">
        <f t="shared" si="581"/>
        <v>0</v>
      </c>
      <c r="U342" s="1" t="str">
        <f t="shared" si="609"/>
        <v>0.0070</v>
      </c>
    </row>
    <row r="343" s="1" customFormat="1" spans="1:21">
      <c r="A343" s="1" t="str">
        <f>"4601991407110"</f>
        <v>4601991407110</v>
      </c>
      <c r="B343" s="1" t="s">
        <v>367</v>
      </c>
      <c r="C343" s="1" t="s">
        <v>24</v>
      </c>
      <c r="D343" s="1" t="str">
        <f t="shared" si="577"/>
        <v>2021</v>
      </c>
      <c r="E343" s="1" t="str">
        <f t="shared" ref="E343:P343" si="615">"0"</f>
        <v>0</v>
      </c>
      <c r="F343" s="1" t="str">
        <f t="shared" si="615"/>
        <v>0</v>
      </c>
      <c r="G343" s="1" t="str">
        <f t="shared" si="615"/>
        <v>0</v>
      </c>
      <c r="H343" s="1" t="str">
        <f t="shared" si="615"/>
        <v>0</v>
      </c>
      <c r="I343" s="1" t="str">
        <f t="shared" si="615"/>
        <v>0</v>
      </c>
      <c r="J343" s="1" t="str">
        <f t="shared" si="615"/>
        <v>0</v>
      </c>
      <c r="K343" s="1" t="str">
        <f t="shared" si="615"/>
        <v>0</v>
      </c>
      <c r="L343" s="1" t="str">
        <f t="shared" si="615"/>
        <v>0</v>
      </c>
      <c r="M343" s="1" t="str">
        <f t="shared" si="615"/>
        <v>0</v>
      </c>
      <c r="N343" s="1" t="str">
        <f t="shared" si="615"/>
        <v>0</v>
      </c>
      <c r="O343" s="1" t="str">
        <f t="shared" si="615"/>
        <v>0</v>
      </c>
      <c r="P343" s="1" t="str">
        <f t="shared" si="615"/>
        <v>0</v>
      </c>
      <c r="Q343" s="1" t="str">
        <f t="shared" si="580"/>
        <v>0.0070</v>
      </c>
      <c r="R343" s="1" t="s">
        <v>25</v>
      </c>
      <c r="T343" s="1" t="str">
        <f t="shared" si="581"/>
        <v>0</v>
      </c>
      <c r="U343" s="1" t="str">
        <f t="shared" si="609"/>
        <v>0.0070</v>
      </c>
    </row>
    <row r="344" s="1" customFormat="1" spans="1:21">
      <c r="A344" s="1" t="str">
        <f>"4601991407727"</f>
        <v>4601991407727</v>
      </c>
      <c r="B344" s="1" t="s">
        <v>368</v>
      </c>
      <c r="C344" s="1" t="s">
        <v>24</v>
      </c>
      <c r="D344" s="1" t="str">
        <f t="shared" si="577"/>
        <v>2021</v>
      </c>
      <c r="E344" s="1" t="str">
        <f t="shared" ref="E344:P344" si="616">"0"</f>
        <v>0</v>
      </c>
      <c r="F344" s="1" t="str">
        <f t="shared" si="616"/>
        <v>0</v>
      </c>
      <c r="G344" s="1" t="str">
        <f t="shared" si="616"/>
        <v>0</v>
      </c>
      <c r="H344" s="1" t="str">
        <f t="shared" si="616"/>
        <v>0</v>
      </c>
      <c r="I344" s="1" t="str">
        <f t="shared" si="616"/>
        <v>0</v>
      </c>
      <c r="J344" s="1" t="str">
        <f t="shared" si="616"/>
        <v>0</v>
      </c>
      <c r="K344" s="1" t="str">
        <f t="shared" si="616"/>
        <v>0</v>
      </c>
      <c r="L344" s="1" t="str">
        <f t="shared" si="616"/>
        <v>0</v>
      </c>
      <c r="M344" s="1" t="str">
        <f t="shared" si="616"/>
        <v>0</v>
      </c>
      <c r="N344" s="1" t="str">
        <f t="shared" si="616"/>
        <v>0</v>
      </c>
      <c r="O344" s="1" t="str">
        <f t="shared" si="616"/>
        <v>0</v>
      </c>
      <c r="P344" s="1" t="str">
        <f t="shared" si="616"/>
        <v>0</v>
      </c>
      <c r="Q344" s="1" t="str">
        <f t="shared" si="580"/>
        <v>0.0070</v>
      </c>
      <c r="R344" s="1" t="s">
        <v>25</v>
      </c>
      <c r="T344" s="1" t="str">
        <f t="shared" si="581"/>
        <v>0</v>
      </c>
      <c r="U344" s="1" t="str">
        <f t="shared" si="609"/>
        <v>0.0070</v>
      </c>
    </row>
    <row r="345" s="1" customFormat="1" spans="1:21">
      <c r="A345" s="1" t="str">
        <f>"4601991407132"</f>
        <v>4601991407132</v>
      </c>
      <c r="B345" s="1" t="s">
        <v>369</v>
      </c>
      <c r="C345" s="1" t="s">
        <v>24</v>
      </c>
      <c r="D345" s="1" t="str">
        <f t="shared" si="577"/>
        <v>2021</v>
      </c>
      <c r="E345" s="1" t="str">
        <f t="shared" ref="E345:P345" si="617">"0"</f>
        <v>0</v>
      </c>
      <c r="F345" s="1" t="str">
        <f t="shared" si="617"/>
        <v>0</v>
      </c>
      <c r="G345" s="1" t="str">
        <f t="shared" si="617"/>
        <v>0</v>
      </c>
      <c r="H345" s="1" t="str">
        <f t="shared" si="617"/>
        <v>0</v>
      </c>
      <c r="I345" s="1" t="str">
        <f t="shared" si="617"/>
        <v>0</v>
      </c>
      <c r="J345" s="1" t="str">
        <f t="shared" si="617"/>
        <v>0</v>
      </c>
      <c r="K345" s="1" t="str">
        <f t="shared" si="617"/>
        <v>0</v>
      </c>
      <c r="L345" s="1" t="str">
        <f t="shared" si="617"/>
        <v>0</v>
      </c>
      <c r="M345" s="1" t="str">
        <f t="shared" si="617"/>
        <v>0</v>
      </c>
      <c r="N345" s="1" t="str">
        <f t="shared" si="617"/>
        <v>0</v>
      </c>
      <c r="O345" s="1" t="str">
        <f t="shared" si="617"/>
        <v>0</v>
      </c>
      <c r="P345" s="1" t="str">
        <f t="shared" si="617"/>
        <v>0</v>
      </c>
      <c r="Q345" s="1" t="str">
        <f t="shared" si="580"/>
        <v>0.0070</v>
      </c>
      <c r="R345" s="1" t="s">
        <v>25</v>
      </c>
      <c r="T345" s="1" t="str">
        <f t="shared" si="581"/>
        <v>0</v>
      </c>
      <c r="U345" s="1" t="str">
        <f t="shared" si="609"/>
        <v>0.0070</v>
      </c>
    </row>
    <row r="346" s="1" customFormat="1" spans="1:21">
      <c r="A346" s="1" t="str">
        <f>"4601991407134"</f>
        <v>4601991407134</v>
      </c>
      <c r="B346" s="1" t="s">
        <v>370</v>
      </c>
      <c r="C346" s="1" t="s">
        <v>24</v>
      </c>
      <c r="D346" s="1" t="str">
        <f t="shared" si="577"/>
        <v>2021</v>
      </c>
      <c r="E346" s="1" t="str">
        <f t="shared" ref="E346:P346" si="618">"0"</f>
        <v>0</v>
      </c>
      <c r="F346" s="1" t="str">
        <f t="shared" si="618"/>
        <v>0</v>
      </c>
      <c r="G346" s="1" t="str">
        <f t="shared" si="618"/>
        <v>0</v>
      </c>
      <c r="H346" s="1" t="str">
        <f t="shared" si="618"/>
        <v>0</v>
      </c>
      <c r="I346" s="1" t="str">
        <f t="shared" si="618"/>
        <v>0</v>
      </c>
      <c r="J346" s="1" t="str">
        <f t="shared" si="618"/>
        <v>0</v>
      </c>
      <c r="K346" s="1" t="str">
        <f t="shared" si="618"/>
        <v>0</v>
      </c>
      <c r="L346" s="1" t="str">
        <f t="shared" si="618"/>
        <v>0</v>
      </c>
      <c r="M346" s="1" t="str">
        <f t="shared" si="618"/>
        <v>0</v>
      </c>
      <c r="N346" s="1" t="str">
        <f t="shared" si="618"/>
        <v>0</v>
      </c>
      <c r="O346" s="1" t="str">
        <f t="shared" si="618"/>
        <v>0</v>
      </c>
      <c r="P346" s="1" t="str">
        <f t="shared" si="618"/>
        <v>0</v>
      </c>
      <c r="Q346" s="1" t="str">
        <f t="shared" si="580"/>
        <v>0.0070</v>
      </c>
      <c r="R346" s="1" t="s">
        <v>25</v>
      </c>
      <c r="T346" s="1" t="str">
        <f t="shared" si="581"/>
        <v>0</v>
      </c>
      <c r="U346" s="1" t="str">
        <f t="shared" si="609"/>
        <v>0.0070</v>
      </c>
    </row>
    <row r="347" s="1" customFormat="1" spans="1:21">
      <c r="A347" s="1" t="str">
        <f>"4601991407100"</f>
        <v>4601991407100</v>
      </c>
      <c r="B347" s="1" t="s">
        <v>371</v>
      </c>
      <c r="C347" s="1" t="s">
        <v>24</v>
      </c>
      <c r="D347" s="1" t="str">
        <f t="shared" si="577"/>
        <v>2021</v>
      </c>
      <c r="E347" s="1" t="str">
        <f t="shared" ref="E347:P347" si="619">"0"</f>
        <v>0</v>
      </c>
      <c r="F347" s="1" t="str">
        <f t="shared" si="619"/>
        <v>0</v>
      </c>
      <c r="G347" s="1" t="str">
        <f t="shared" si="619"/>
        <v>0</v>
      </c>
      <c r="H347" s="1" t="str">
        <f t="shared" si="619"/>
        <v>0</v>
      </c>
      <c r="I347" s="1" t="str">
        <f t="shared" si="619"/>
        <v>0</v>
      </c>
      <c r="J347" s="1" t="str">
        <f t="shared" si="619"/>
        <v>0</v>
      </c>
      <c r="K347" s="1" t="str">
        <f t="shared" si="619"/>
        <v>0</v>
      </c>
      <c r="L347" s="1" t="str">
        <f t="shared" si="619"/>
        <v>0</v>
      </c>
      <c r="M347" s="1" t="str">
        <f t="shared" si="619"/>
        <v>0</v>
      </c>
      <c r="N347" s="1" t="str">
        <f t="shared" si="619"/>
        <v>0</v>
      </c>
      <c r="O347" s="1" t="str">
        <f t="shared" si="619"/>
        <v>0</v>
      </c>
      <c r="P347" s="1" t="str">
        <f t="shared" si="619"/>
        <v>0</v>
      </c>
      <c r="Q347" s="1" t="str">
        <f t="shared" si="580"/>
        <v>0.0070</v>
      </c>
      <c r="R347" s="1" t="s">
        <v>25</v>
      </c>
      <c r="T347" s="1" t="str">
        <f t="shared" si="581"/>
        <v>0</v>
      </c>
      <c r="U347" s="1" t="str">
        <f t="shared" si="609"/>
        <v>0.0070</v>
      </c>
    </row>
    <row r="348" s="1" customFormat="1" spans="1:21">
      <c r="A348" s="1" t="str">
        <f>"4601991406576"</f>
        <v>4601991406576</v>
      </c>
      <c r="B348" s="1" t="s">
        <v>372</v>
      </c>
      <c r="C348" s="1" t="s">
        <v>24</v>
      </c>
      <c r="D348" s="1" t="str">
        <f t="shared" si="577"/>
        <v>2021</v>
      </c>
      <c r="E348" s="1" t="str">
        <f t="shared" ref="E348:P348" si="620">"0"</f>
        <v>0</v>
      </c>
      <c r="F348" s="1" t="str">
        <f t="shared" si="620"/>
        <v>0</v>
      </c>
      <c r="G348" s="1" t="str">
        <f t="shared" si="620"/>
        <v>0</v>
      </c>
      <c r="H348" s="1" t="str">
        <f t="shared" si="620"/>
        <v>0</v>
      </c>
      <c r="I348" s="1" t="str">
        <f t="shared" si="620"/>
        <v>0</v>
      </c>
      <c r="J348" s="1" t="str">
        <f t="shared" si="620"/>
        <v>0</v>
      </c>
      <c r="K348" s="1" t="str">
        <f t="shared" si="620"/>
        <v>0</v>
      </c>
      <c r="L348" s="1" t="str">
        <f t="shared" si="620"/>
        <v>0</v>
      </c>
      <c r="M348" s="1" t="str">
        <f t="shared" si="620"/>
        <v>0</v>
      </c>
      <c r="N348" s="1" t="str">
        <f t="shared" si="620"/>
        <v>0</v>
      </c>
      <c r="O348" s="1" t="str">
        <f t="shared" si="620"/>
        <v>0</v>
      </c>
      <c r="P348" s="1" t="str">
        <f t="shared" si="620"/>
        <v>0</v>
      </c>
      <c r="Q348" s="1" t="str">
        <f t="shared" si="580"/>
        <v>0.0070</v>
      </c>
      <c r="R348" s="1" t="s">
        <v>25</v>
      </c>
      <c r="T348" s="1" t="str">
        <f t="shared" si="581"/>
        <v>0</v>
      </c>
      <c r="U348" s="1" t="str">
        <f t="shared" si="609"/>
        <v>0.0070</v>
      </c>
    </row>
    <row r="349" s="1" customFormat="1" spans="1:21">
      <c r="A349" s="1" t="str">
        <f>"4601991407183"</f>
        <v>4601991407183</v>
      </c>
      <c r="B349" s="1" t="s">
        <v>373</v>
      </c>
      <c r="C349" s="1" t="s">
        <v>24</v>
      </c>
      <c r="D349" s="1" t="str">
        <f t="shared" si="577"/>
        <v>2021</v>
      </c>
      <c r="E349" s="1" t="str">
        <f t="shared" ref="E349:P349" si="621">"0"</f>
        <v>0</v>
      </c>
      <c r="F349" s="1" t="str">
        <f t="shared" si="621"/>
        <v>0</v>
      </c>
      <c r="G349" s="1" t="str">
        <f t="shared" si="621"/>
        <v>0</v>
      </c>
      <c r="H349" s="1" t="str">
        <f t="shared" si="621"/>
        <v>0</v>
      </c>
      <c r="I349" s="1" t="str">
        <f t="shared" si="621"/>
        <v>0</v>
      </c>
      <c r="J349" s="1" t="str">
        <f t="shared" si="621"/>
        <v>0</v>
      </c>
      <c r="K349" s="1" t="str">
        <f t="shared" si="621"/>
        <v>0</v>
      </c>
      <c r="L349" s="1" t="str">
        <f t="shared" si="621"/>
        <v>0</v>
      </c>
      <c r="M349" s="1" t="str">
        <f t="shared" si="621"/>
        <v>0</v>
      </c>
      <c r="N349" s="1" t="str">
        <f t="shared" si="621"/>
        <v>0</v>
      </c>
      <c r="O349" s="1" t="str">
        <f t="shared" si="621"/>
        <v>0</v>
      </c>
      <c r="P349" s="1" t="str">
        <f t="shared" si="621"/>
        <v>0</v>
      </c>
      <c r="Q349" s="1" t="str">
        <f t="shared" si="580"/>
        <v>0.0070</v>
      </c>
      <c r="R349" s="1" t="s">
        <v>25</v>
      </c>
      <c r="T349" s="1" t="str">
        <f t="shared" si="581"/>
        <v>0</v>
      </c>
      <c r="U349" s="1" t="str">
        <f t="shared" si="609"/>
        <v>0.0070</v>
      </c>
    </row>
    <row r="350" s="1" customFormat="1" spans="1:21">
      <c r="A350" s="1" t="str">
        <f>"4601991407208"</f>
        <v>4601991407208</v>
      </c>
      <c r="B350" s="1" t="s">
        <v>374</v>
      </c>
      <c r="C350" s="1" t="s">
        <v>24</v>
      </c>
      <c r="D350" s="1" t="str">
        <f t="shared" si="577"/>
        <v>2021</v>
      </c>
      <c r="E350" s="1" t="str">
        <f t="shared" ref="E350:P350" si="622">"0"</f>
        <v>0</v>
      </c>
      <c r="F350" s="1" t="str">
        <f t="shared" si="622"/>
        <v>0</v>
      </c>
      <c r="G350" s="1" t="str">
        <f t="shared" si="622"/>
        <v>0</v>
      </c>
      <c r="H350" s="1" t="str">
        <f t="shared" si="622"/>
        <v>0</v>
      </c>
      <c r="I350" s="1" t="str">
        <f t="shared" si="622"/>
        <v>0</v>
      </c>
      <c r="J350" s="1" t="str">
        <f t="shared" si="622"/>
        <v>0</v>
      </c>
      <c r="K350" s="1" t="str">
        <f t="shared" si="622"/>
        <v>0</v>
      </c>
      <c r="L350" s="1" t="str">
        <f t="shared" si="622"/>
        <v>0</v>
      </c>
      <c r="M350" s="1" t="str">
        <f t="shared" si="622"/>
        <v>0</v>
      </c>
      <c r="N350" s="1" t="str">
        <f t="shared" si="622"/>
        <v>0</v>
      </c>
      <c r="O350" s="1" t="str">
        <f t="shared" si="622"/>
        <v>0</v>
      </c>
      <c r="P350" s="1" t="str">
        <f t="shared" si="622"/>
        <v>0</v>
      </c>
      <c r="Q350" s="1" t="str">
        <f t="shared" si="580"/>
        <v>0.0070</v>
      </c>
      <c r="R350" s="1" t="s">
        <v>25</v>
      </c>
      <c r="T350" s="1" t="str">
        <f t="shared" si="581"/>
        <v>0</v>
      </c>
      <c r="U350" s="1" t="str">
        <f t="shared" si="609"/>
        <v>0.0070</v>
      </c>
    </row>
    <row r="351" s="1" customFormat="1" spans="1:21">
      <c r="A351" s="1" t="str">
        <f>"4601991407784"</f>
        <v>4601991407784</v>
      </c>
      <c r="B351" s="1" t="s">
        <v>375</v>
      </c>
      <c r="C351" s="1" t="s">
        <v>24</v>
      </c>
      <c r="D351" s="1" t="str">
        <f t="shared" si="577"/>
        <v>2021</v>
      </c>
      <c r="E351" s="1" t="str">
        <f t="shared" ref="E351:P351" si="623">"0"</f>
        <v>0</v>
      </c>
      <c r="F351" s="1" t="str">
        <f t="shared" si="623"/>
        <v>0</v>
      </c>
      <c r="G351" s="1" t="str">
        <f t="shared" si="623"/>
        <v>0</v>
      </c>
      <c r="H351" s="1" t="str">
        <f t="shared" si="623"/>
        <v>0</v>
      </c>
      <c r="I351" s="1" t="str">
        <f t="shared" si="623"/>
        <v>0</v>
      </c>
      <c r="J351" s="1" t="str">
        <f t="shared" si="623"/>
        <v>0</v>
      </c>
      <c r="K351" s="1" t="str">
        <f t="shared" si="623"/>
        <v>0</v>
      </c>
      <c r="L351" s="1" t="str">
        <f t="shared" si="623"/>
        <v>0</v>
      </c>
      <c r="M351" s="1" t="str">
        <f t="shared" si="623"/>
        <v>0</v>
      </c>
      <c r="N351" s="1" t="str">
        <f t="shared" si="623"/>
        <v>0</v>
      </c>
      <c r="O351" s="1" t="str">
        <f t="shared" si="623"/>
        <v>0</v>
      </c>
      <c r="P351" s="1" t="str">
        <f t="shared" si="623"/>
        <v>0</v>
      </c>
      <c r="Q351" s="1" t="str">
        <f t="shared" si="580"/>
        <v>0.0070</v>
      </c>
      <c r="R351" s="1" t="s">
        <v>25</v>
      </c>
      <c r="T351" s="1" t="str">
        <f t="shared" si="581"/>
        <v>0</v>
      </c>
      <c r="U351" s="1" t="str">
        <f t="shared" si="609"/>
        <v>0.0070</v>
      </c>
    </row>
    <row r="352" s="1" customFormat="1" spans="1:21">
      <c r="A352" s="1" t="str">
        <f>"4601991406210"</f>
        <v>4601991406210</v>
      </c>
      <c r="B352" s="1" t="s">
        <v>376</v>
      </c>
      <c r="C352" s="1" t="s">
        <v>24</v>
      </c>
      <c r="D352" s="1" t="str">
        <f t="shared" si="577"/>
        <v>2021</v>
      </c>
      <c r="E352" s="1" t="str">
        <f t="shared" ref="E352:P352" si="624">"0"</f>
        <v>0</v>
      </c>
      <c r="F352" s="1" t="str">
        <f t="shared" si="624"/>
        <v>0</v>
      </c>
      <c r="G352" s="1" t="str">
        <f t="shared" si="624"/>
        <v>0</v>
      </c>
      <c r="H352" s="1" t="str">
        <f t="shared" si="624"/>
        <v>0</v>
      </c>
      <c r="I352" s="1" t="str">
        <f t="shared" si="624"/>
        <v>0</v>
      </c>
      <c r="J352" s="1" t="str">
        <f t="shared" si="624"/>
        <v>0</v>
      </c>
      <c r="K352" s="1" t="str">
        <f t="shared" si="624"/>
        <v>0</v>
      </c>
      <c r="L352" s="1" t="str">
        <f t="shared" si="624"/>
        <v>0</v>
      </c>
      <c r="M352" s="1" t="str">
        <f t="shared" si="624"/>
        <v>0</v>
      </c>
      <c r="N352" s="1" t="str">
        <f t="shared" si="624"/>
        <v>0</v>
      </c>
      <c r="O352" s="1" t="str">
        <f t="shared" si="624"/>
        <v>0</v>
      </c>
      <c r="P352" s="1" t="str">
        <f t="shared" si="624"/>
        <v>0</v>
      </c>
      <c r="Q352" s="1" t="str">
        <f t="shared" si="580"/>
        <v>0.0070</v>
      </c>
      <c r="R352" s="1" t="s">
        <v>25</v>
      </c>
      <c r="T352" s="1" t="str">
        <f t="shared" si="581"/>
        <v>0</v>
      </c>
      <c r="U352" s="1" t="str">
        <f t="shared" si="609"/>
        <v>0.0070</v>
      </c>
    </row>
    <row r="353" s="1" customFormat="1" spans="1:21">
      <c r="A353" s="1" t="str">
        <f>"4601991407840"</f>
        <v>4601991407840</v>
      </c>
      <c r="B353" s="1" t="s">
        <v>377</v>
      </c>
      <c r="C353" s="1" t="s">
        <v>24</v>
      </c>
      <c r="D353" s="1" t="str">
        <f t="shared" si="577"/>
        <v>2021</v>
      </c>
      <c r="E353" s="1" t="str">
        <f t="shared" ref="E353:P353" si="625">"0"</f>
        <v>0</v>
      </c>
      <c r="F353" s="1" t="str">
        <f t="shared" si="625"/>
        <v>0</v>
      </c>
      <c r="G353" s="1" t="str">
        <f t="shared" si="625"/>
        <v>0</v>
      </c>
      <c r="H353" s="1" t="str">
        <f t="shared" si="625"/>
        <v>0</v>
      </c>
      <c r="I353" s="1" t="str">
        <f t="shared" si="625"/>
        <v>0</v>
      </c>
      <c r="J353" s="1" t="str">
        <f t="shared" si="625"/>
        <v>0</v>
      </c>
      <c r="K353" s="1" t="str">
        <f t="shared" si="625"/>
        <v>0</v>
      </c>
      <c r="L353" s="1" t="str">
        <f t="shared" si="625"/>
        <v>0</v>
      </c>
      <c r="M353" s="1" t="str">
        <f t="shared" si="625"/>
        <v>0</v>
      </c>
      <c r="N353" s="1" t="str">
        <f t="shared" si="625"/>
        <v>0</v>
      </c>
      <c r="O353" s="1" t="str">
        <f t="shared" si="625"/>
        <v>0</v>
      </c>
      <c r="P353" s="1" t="str">
        <f t="shared" si="625"/>
        <v>0</v>
      </c>
      <c r="Q353" s="1" t="str">
        <f t="shared" si="580"/>
        <v>0.0070</v>
      </c>
      <c r="R353" s="1" t="s">
        <v>25</v>
      </c>
      <c r="T353" s="1" t="str">
        <f t="shared" si="581"/>
        <v>0</v>
      </c>
      <c r="U353" s="1" t="str">
        <f t="shared" si="609"/>
        <v>0.0070</v>
      </c>
    </row>
    <row r="354" s="1" customFormat="1" spans="1:21">
      <c r="A354" s="1" t="str">
        <f>"4601991407847"</f>
        <v>4601991407847</v>
      </c>
      <c r="B354" s="1" t="s">
        <v>378</v>
      </c>
      <c r="C354" s="1" t="s">
        <v>24</v>
      </c>
      <c r="D354" s="1" t="str">
        <f t="shared" si="577"/>
        <v>2021</v>
      </c>
      <c r="E354" s="1" t="str">
        <f t="shared" ref="E354:P354" si="626">"0"</f>
        <v>0</v>
      </c>
      <c r="F354" s="1" t="str">
        <f t="shared" si="626"/>
        <v>0</v>
      </c>
      <c r="G354" s="1" t="str">
        <f t="shared" si="626"/>
        <v>0</v>
      </c>
      <c r="H354" s="1" t="str">
        <f t="shared" si="626"/>
        <v>0</v>
      </c>
      <c r="I354" s="1" t="str">
        <f t="shared" si="626"/>
        <v>0</v>
      </c>
      <c r="J354" s="1" t="str">
        <f t="shared" si="626"/>
        <v>0</v>
      </c>
      <c r="K354" s="1" t="str">
        <f t="shared" si="626"/>
        <v>0</v>
      </c>
      <c r="L354" s="1" t="str">
        <f t="shared" si="626"/>
        <v>0</v>
      </c>
      <c r="M354" s="1" t="str">
        <f t="shared" si="626"/>
        <v>0</v>
      </c>
      <c r="N354" s="1" t="str">
        <f t="shared" si="626"/>
        <v>0</v>
      </c>
      <c r="O354" s="1" t="str">
        <f t="shared" si="626"/>
        <v>0</v>
      </c>
      <c r="P354" s="1" t="str">
        <f t="shared" si="626"/>
        <v>0</v>
      </c>
      <c r="Q354" s="1" t="str">
        <f t="shared" si="580"/>
        <v>0.0070</v>
      </c>
      <c r="R354" s="1" t="s">
        <v>25</v>
      </c>
      <c r="T354" s="1" t="str">
        <f t="shared" si="581"/>
        <v>0</v>
      </c>
      <c r="U354" s="1" t="str">
        <f t="shared" si="609"/>
        <v>0.0070</v>
      </c>
    </row>
    <row r="355" s="1" customFormat="1" spans="1:21">
      <c r="A355" s="1" t="str">
        <f>"4601991407887"</f>
        <v>4601991407887</v>
      </c>
      <c r="B355" s="1" t="s">
        <v>379</v>
      </c>
      <c r="C355" s="1" t="s">
        <v>24</v>
      </c>
      <c r="D355" s="1" t="str">
        <f t="shared" si="577"/>
        <v>2021</v>
      </c>
      <c r="E355" s="1" t="str">
        <f t="shared" ref="E355:P355" si="627">"0"</f>
        <v>0</v>
      </c>
      <c r="F355" s="1" t="str">
        <f t="shared" si="627"/>
        <v>0</v>
      </c>
      <c r="G355" s="1" t="str">
        <f t="shared" si="627"/>
        <v>0</v>
      </c>
      <c r="H355" s="1" t="str">
        <f t="shared" si="627"/>
        <v>0</v>
      </c>
      <c r="I355" s="1" t="str">
        <f t="shared" si="627"/>
        <v>0</v>
      </c>
      <c r="J355" s="1" t="str">
        <f t="shared" si="627"/>
        <v>0</v>
      </c>
      <c r="K355" s="1" t="str">
        <f t="shared" si="627"/>
        <v>0</v>
      </c>
      <c r="L355" s="1" t="str">
        <f t="shared" si="627"/>
        <v>0</v>
      </c>
      <c r="M355" s="1" t="str">
        <f t="shared" si="627"/>
        <v>0</v>
      </c>
      <c r="N355" s="1" t="str">
        <f t="shared" si="627"/>
        <v>0</v>
      </c>
      <c r="O355" s="1" t="str">
        <f t="shared" si="627"/>
        <v>0</v>
      </c>
      <c r="P355" s="1" t="str">
        <f t="shared" si="627"/>
        <v>0</v>
      </c>
      <c r="Q355" s="1" t="str">
        <f t="shared" si="580"/>
        <v>0.0070</v>
      </c>
      <c r="R355" s="1" t="s">
        <v>25</v>
      </c>
      <c r="T355" s="1" t="str">
        <f t="shared" si="581"/>
        <v>0</v>
      </c>
      <c r="U355" s="1" t="str">
        <f t="shared" si="609"/>
        <v>0.0070</v>
      </c>
    </row>
    <row r="356" s="1" customFormat="1" spans="1:21">
      <c r="A356" s="1" t="str">
        <f>"4601991406248"</f>
        <v>4601991406248</v>
      </c>
      <c r="B356" s="1" t="s">
        <v>380</v>
      </c>
      <c r="C356" s="1" t="s">
        <v>24</v>
      </c>
      <c r="D356" s="1" t="str">
        <f t="shared" si="577"/>
        <v>2021</v>
      </c>
      <c r="E356" s="1" t="str">
        <f t="shared" ref="E356:P356" si="628">"0"</f>
        <v>0</v>
      </c>
      <c r="F356" s="1" t="str">
        <f t="shared" si="628"/>
        <v>0</v>
      </c>
      <c r="G356" s="1" t="str">
        <f t="shared" si="628"/>
        <v>0</v>
      </c>
      <c r="H356" s="1" t="str">
        <f t="shared" si="628"/>
        <v>0</v>
      </c>
      <c r="I356" s="1" t="str">
        <f t="shared" si="628"/>
        <v>0</v>
      </c>
      <c r="J356" s="1" t="str">
        <f t="shared" si="628"/>
        <v>0</v>
      </c>
      <c r="K356" s="1" t="str">
        <f t="shared" si="628"/>
        <v>0</v>
      </c>
      <c r="L356" s="1" t="str">
        <f t="shared" si="628"/>
        <v>0</v>
      </c>
      <c r="M356" s="1" t="str">
        <f t="shared" si="628"/>
        <v>0</v>
      </c>
      <c r="N356" s="1" t="str">
        <f t="shared" si="628"/>
        <v>0</v>
      </c>
      <c r="O356" s="1" t="str">
        <f t="shared" si="628"/>
        <v>0</v>
      </c>
      <c r="P356" s="1" t="str">
        <f t="shared" si="628"/>
        <v>0</v>
      </c>
      <c r="Q356" s="1" t="str">
        <f t="shared" si="580"/>
        <v>0.0070</v>
      </c>
      <c r="R356" s="1" t="s">
        <v>25</v>
      </c>
      <c r="T356" s="1" t="str">
        <f t="shared" si="581"/>
        <v>0</v>
      </c>
      <c r="U356" s="1" t="str">
        <f t="shared" si="609"/>
        <v>0.0070</v>
      </c>
    </row>
    <row r="357" s="1" customFormat="1" spans="1:21">
      <c r="A357" s="1" t="str">
        <f>"4601991407209"</f>
        <v>4601991407209</v>
      </c>
      <c r="B357" s="1" t="s">
        <v>381</v>
      </c>
      <c r="C357" s="1" t="s">
        <v>24</v>
      </c>
      <c r="D357" s="1" t="str">
        <f t="shared" si="577"/>
        <v>2021</v>
      </c>
      <c r="E357" s="1" t="str">
        <f>"599.54"</f>
        <v>599.54</v>
      </c>
      <c r="F357" s="1" t="str">
        <f t="shared" ref="F357:I357" si="629">"0"</f>
        <v>0</v>
      </c>
      <c r="G357" s="1" t="str">
        <f t="shared" si="629"/>
        <v>0</v>
      </c>
      <c r="H357" s="1" t="str">
        <f t="shared" si="629"/>
        <v>0</v>
      </c>
      <c r="I357" s="1" t="str">
        <f t="shared" si="629"/>
        <v>0</v>
      </c>
      <c r="J357" s="1" t="str">
        <f>"56"</f>
        <v>56</v>
      </c>
      <c r="K357" s="1" t="str">
        <f t="shared" ref="K357:P357" si="630">"0"</f>
        <v>0</v>
      </c>
      <c r="L357" s="1" t="str">
        <f t="shared" si="630"/>
        <v>0</v>
      </c>
      <c r="M357" s="1" t="str">
        <f t="shared" si="630"/>
        <v>0</v>
      </c>
      <c r="N357" s="1" t="str">
        <f t="shared" si="630"/>
        <v>0</v>
      </c>
      <c r="O357" s="1" t="str">
        <f t="shared" si="630"/>
        <v>0</v>
      </c>
      <c r="P357" s="1" t="str">
        <f t="shared" si="630"/>
        <v>0</v>
      </c>
      <c r="Q357" s="1" t="str">
        <f t="shared" si="580"/>
        <v>0.0070</v>
      </c>
      <c r="R357" s="1" t="s">
        <v>29</v>
      </c>
      <c r="S357" s="1">
        <v>-0.0014</v>
      </c>
      <c r="T357" s="1" t="str">
        <f t="shared" si="581"/>
        <v>0</v>
      </c>
      <c r="U357" s="1" t="str">
        <f>"0.0056"</f>
        <v>0.0056</v>
      </c>
    </row>
    <row r="358" s="1" customFormat="1" spans="1:21">
      <c r="A358" s="1" t="str">
        <f>"4601991406273"</f>
        <v>4601991406273</v>
      </c>
      <c r="B358" s="1" t="s">
        <v>382</v>
      </c>
      <c r="C358" s="1" t="s">
        <v>24</v>
      </c>
      <c r="D358" s="1" t="str">
        <f t="shared" si="577"/>
        <v>2021</v>
      </c>
      <c r="E358" s="1" t="str">
        <f t="shared" ref="E358:P358" si="631">"0"</f>
        <v>0</v>
      </c>
      <c r="F358" s="1" t="str">
        <f t="shared" si="631"/>
        <v>0</v>
      </c>
      <c r="G358" s="1" t="str">
        <f t="shared" si="631"/>
        <v>0</v>
      </c>
      <c r="H358" s="1" t="str">
        <f t="shared" si="631"/>
        <v>0</v>
      </c>
      <c r="I358" s="1" t="str">
        <f t="shared" si="631"/>
        <v>0</v>
      </c>
      <c r="J358" s="1" t="str">
        <f t="shared" si="631"/>
        <v>0</v>
      </c>
      <c r="K358" s="1" t="str">
        <f t="shared" si="631"/>
        <v>0</v>
      </c>
      <c r="L358" s="1" t="str">
        <f t="shared" si="631"/>
        <v>0</v>
      </c>
      <c r="M358" s="1" t="str">
        <f t="shared" si="631"/>
        <v>0</v>
      </c>
      <c r="N358" s="1" t="str">
        <f t="shared" si="631"/>
        <v>0</v>
      </c>
      <c r="O358" s="1" t="str">
        <f t="shared" si="631"/>
        <v>0</v>
      </c>
      <c r="P358" s="1" t="str">
        <f t="shared" si="631"/>
        <v>0</v>
      </c>
      <c r="Q358" s="1" t="str">
        <f t="shared" si="580"/>
        <v>0.0070</v>
      </c>
      <c r="R358" s="1" t="s">
        <v>25</v>
      </c>
      <c r="T358" s="1" t="str">
        <f t="shared" si="581"/>
        <v>0</v>
      </c>
      <c r="U358" s="1" t="str">
        <f t="shared" ref="U358:U361" si="632">"0.0070"</f>
        <v>0.0070</v>
      </c>
    </row>
    <row r="359" s="1" customFormat="1" spans="1:21">
      <c r="A359" s="1" t="str">
        <f>"4601991407289"</f>
        <v>4601991407289</v>
      </c>
      <c r="B359" s="1" t="s">
        <v>383</v>
      </c>
      <c r="C359" s="1" t="s">
        <v>24</v>
      </c>
      <c r="D359" s="1" t="str">
        <f t="shared" si="577"/>
        <v>2021</v>
      </c>
      <c r="E359" s="1" t="str">
        <f t="shared" ref="E359:P359" si="633">"0"</f>
        <v>0</v>
      </c>
      <c r="F359" s="1" t="str">
        <f t="shared" si="633"/>
        <v>0</v>
      </c>
      <c r="G359" s="1" t="str">
        <f t="shared" si="633"/>
        <v>0</v>
      </c>
      <c r="H359" s="1" t="str">
        <f t="shared" si="633"/>
        <v>0</v>
      </c>
      <c r="I359" s="1" t="str">
        <f t="shared" si="633"/>
        <v>0</v>
      </c>
      <c r="J359" s="1" t="str">
        <f t="shared" si="633"/>
        <v>0</v>
      </c>
      <c r="K359" s="1" t="str">
        <f t="shared" si="633"/>
        <v>0</v>
      </c>
      <c r="L359" s="1" t="str">
        <f t="shared" si="633"/>
        <v>0</v>
      </c>
      <c r="M359" s="1" t="str">
        <f t="shared" si="633"/>
        <v>0</v>
      </c>
      <c r="N359" s="1" t="str">
        <f t="shared" si="633"/>
        <v>0</v>
      </c>
      <c r="O359" s="1" t="str">
        <f t="shared" si="633"/>
        <v>0</v>
      </c>
      <c r="P359" s="1" t="str">
        <f t="shared" si="633"/>
        <v>0</v>
      </c>
      <c r="Q359" s="1" t="str">
        <f t="shared" si="580"/>
        <v>0.0070</v>
      </c>
      <c r="R359" s="1" t="s">
        <v>25</v>
      </c>
      <c r="T359" s="1" t="str">
        <f t="shared" si="581"/>
        <v>0</v>
      </c>
      <c r="U359" s="1" t="str">
        <f t="shared" si="632"/>
        <v>0.0070</v>
      </c>
    </row>
    <row r="360" s="1" customFormat="1" spans="1:21">
      <c r="A360" s="1" t="str">
        <f>"4601991407307"</f>
        <v>4601991407307</v>
      </c>
      <c r="B360" s="1" t="s">
        <v>384</v>
      </c>
      <c r="C360" s="1" t="s">
        <v>24</v>
      </c>
      <c r="D360" s="1" t="str">
        <f t="shared" si="577"/>
        <v>2021</v>
      </c>
      <c r="E360" s="1" t="str">
        <f t="shared" ref="E360:P360" si="634">"0"</f>
        <v>0</v>
      </c>
      <c r="F360" s="1" t="str">
        <f t="shared" si="634"/>
        <v>0</v>
      </c>
      <c r="G360" s="1" t="str">
        <f t="shared" si="634"/>
        <v>0</v>
      </c>
      <c r="H360" s="1" t="str">
        <f t="shared" si="634"/>
        <v>0</v>
      </c>
      <c r="I360" s="1" t="str">
        <f t="shared" si="634"/>
        <v>0</v>
      </c>
      <c r="J360" s="1" t="str">
        <f t="shared" si="634"/>
        <v>0</v>
      </c>
      <c r="K360" s="1" t="str">
        <f t="shared" si="634"/>
        <v>0</v>
      </c>
      <c r="L360" s="1" t="str">
        <f t="shared" si="634"/>
        <v>0</v>
      </c>
      <c r="M360" s="1" t="str">
        <f t="shared" si="634"/>
        <v>0</v>
      </c>
      <c r="N360" s="1" t="str">
        <f t="shared" si="634"/>
        <v>0</v>
      </c>
      <c r="O360" s="1" t="str">
        <f t="shared" si="634"/>
        <v>0</v>
      </c>
      <c r="P360" s="1" t="str">
        <f t="shared" si="634"/>
        <v>0</v>
      </c>
      <c r="Q360" s="1" t="str">
        <f t="shared" si="580"/>
        <v>0.0070</v>
      </c>
      <c r="R360" s="1" t="s">
        <v>25</v>
      </c>
      <c r="T360" s="1" t="str">
        <f t="shared" si="581"/>
        <v>0</v>
      </c>
      <c r="U360" s="1" t="str">
        <f t="shared" si="632"/>
        <v>0.0070</v>
      </c>
    </row>
    <row r="361" s="1" customFormat="1" spans="1:21">
      <c r="A361" s="1" t="str">
        <f>"4601991406704"</f>
        <v>4601991406704</v>
      </c>
      <c r="B361" s="1" t="s">
        <v>385</v>
      </c>
      <c r="C361" s="1" t="s">
        <v>24</v>
      </c>
      <c r="D361" s="1" t="str">
        <f t="shared" si="577"/>
        <v>2021</v>
      </c>
      <c r="E361" s="1" t="str">
        <f t="shared" ref="E361:P361" si="635">"0"</f>
        <v>0</v>
      </c>
      <c r="F361" s="1" t="str">
        <f t="shared" si="635"/>
        <v>0</v>
      </c>
      <c r="G361" s="1" t="str">
        <f t="shared" si="635"/>
        <v>0</v>
      </c>
      <c r="H361" s="1" t="str">
        <f t="shared" si="635"/>
        <v>0</v>
      </c>
      <c r="I361" s="1" t="str">
        <f t="shared" si="635"/>
        <v>0</v>
      </c>
      <c r="J361" s="1" t="str">
        <f t="shared" si="635"/>
        <v>0</v>
      </c>
      <c r="K361" s="1" t="str">
        <f t="shared" si="635"/>
        <v>0</v>
      </c>
      <c r="L361" s="1" t="str">
        <f t="shared" si="635"/>
        <v>0</v>
      </c>
      <c r="M361" s="1" t="str">
        <f t="shared" si="635"/>
        <v>0</v>
      </c>
      <c r="N361" s="1" t="str">
        <f t="shared" si="635"/>
        <v>0</v>
      </c>
      <c r="O361" s="1" t="str">
        <f t="shared" si="635"/>
        <v>0</v>
      </c>
      <c r="P361" s="1" t="str">
        <f t="shared" si="635"/>
        <v>0</v>
      </c>
      <c r="Q361" s="1" t="str">
        <f t="shared" si="580"/>
        <v>0.0070</v>
      </c>
      <c r="R361" s="1" t="s">
        <v>25</v>
      </c>
      <c r="T361" s="1" t="str">
        <f t="shared" si="581"/>
        <v>0</v>
      </c>
      <c r="U361" s="1" t="str">
        <f t="shared" si="632"/>
        <v>0.0070</v>
      </c>
    </row>
    <row r="362" s="1" customFormat="1" spans="1:21">
      <c r="A362" s="1" t="str">
        <f>"4601991407318"</f>
        <v>4601991407318</v>
      </c>
      <c r="B362" s="1" t="s">
        <v>386</v>
      </c>
      <c r="C362" s="1" t="s">
        <v>24</v>
      </c>
      <c r="D362" s="1" t="str">
        <f t="shared" si="577"/>
        <v>2021</v>
      </c>
      <c r="E362" s="1" t="str">
        <f>"192.34"</f>
        <v>192.34</v>
      </c>
      <c r="F362" s="1" t="str">
        <f t="shared" ref="F362:I362" si="636">"0"</f>
        <v>0</v>
      </c>
      <c r="G362" s="1" t="str">
        <f t="shared" si="636"/>
        <v>0</v>
      </c>
      <c r="H362" s="1" t="str">
        <f t="shared" si="636"/>
        <v>0</v>
      </c>
      <c r="I362" s="1" t="str">
        <f t="shared" si="636"/>
        <v>0</v>
      </c>
      <c r="J362" s="1" t="str">
        <f>"14"</f>
        <v>14</v>
      </c>
      <c r="K362" s="1" t="str">
        <f t="shared" ref="K362:P362" si="637">"0"</f>
        <v>0</v>
      </c>
      <c r="L362" s="1" t="str">
        <f t="shared" si="637"/>
        <v>0</v>
      </c>
      <c r="M362" s="1" t="str">
        <f t="shared" si="637"/>
        <v>0</v>
      </c>
      <c r="N362" s="1" t="str">
        <f t="shared" si="637"/>
        <v>0</v>
      </c>
      <c r="O362" s="1" t="str">
        <f t="shared" si="637"/>
        <v>0</v>
      </c>
      <c r="P362" s="1" t="str">
        <f t="shared" si="637"/>
        <v>0</v>
      </c>
      <c r="Q362" s="1" t="str">
        <f t="shared" si="580"/>
        <v>0.0070</v>
      </c>
      <c r="R362" s="1" t="s">
        <v>29</v>
      </c>
      <c r="S362" s="1">
        <v>-0.0014</v>
      </c>
      <c r="T362" s="1" t="str">
        <f t="shared" si="581"/>
        <v>0</v>
      </c>
      <c r="U362" s="1" t="str">
        <f t="shared" ref="U362:U368" si="638">"0.0056"</f>
        <v>0.0056</v>
      </c>
    </row>
    <row r="363" s="1" customFormat="1" spans="1:21">
      <c r="A363" s="1" t="str">
        <f>"4601991407944"</f>
        <v>4601991407944</v>
      </c>
      <c r="B363" s="1" t="s">
        <v>387</v>
      </c>
      <c r="C363" s="1" t="s">
        <v>24</v>
      </c>
      <c r="D363" s="1" t="str">
        <f t="shared" si="577"/>
        <v>2021</v>
      </c>
      <c r="E363" s="1" t="str">
        <f t="shared" ref="E363:P363" si="639">"0"</f>
        <v>0</v>
      </c>
      <c r="F363" s="1" t="str">
        <f t="shared" si="639"/>
        <v>0</v>
      </c>
      <c r="G363" s="1" t="str">
        <f t="shared" si="639"/>
        <v>0</v>
      </c>
      <c r="H363" s="1" t="str">
        <f t="shared" si="639"/>
        <v>0</v>
      </c>
      <c r="I363" s="1" t="str">
        <f t="shared" si="639"/>
        <v>0</v>
      </c>
      <c r="J363" s="1" t="str">
        <f t="shared" si="639"/>
        <v>0</v>
      </c>
      <c r="K363" s="1" t="str">
        <f t="shared" si="639"/>
        <v>0</v>
      </c>
      <c r="L363" s="1" t="str">
        <f t="shared" si="639"/>
        <v>0</v>
      </c>
      <c r="M363" s="1" t="str">
        <f t="shared" si="639"/>
        <v>0</v>
      </c>
      <c r="N363" s="1" t="str">
        <f t="shared" si="639"/>
        <v>0</v>
      </c>
      <c r="O363" s="1" t="str">
        <f t="shared" si="639"/>
        <v>0</v>
      </c>
      <c r="P363" s="1" t="str">
        <f t="shared" si="639"/>
        <v>0</v>
      </c>
      <c r="Q363" s="1" t="str">
        <f t="shared" si="580"/>
        <v>0.0070</v>
      </c>
      <c r="R363" s="1" t="s">
        <v>25</v>
      </c>
      <c r="T363" s="1" t="str">
        <f t="shared" si="581"/>
        <v>0</v>
      </c>
      <c r="U363" s="1" t="str">
        <f t="shared" ref="U363:U366" si="640">"0.0070"</f>
        <v>0.0070</v>
      </c>
    </row>
    <row r="364" s="1" customFormat="1" spans="1:21">
      <c r="A364" s="1" t="str">
        <f>"4601991406695"</f>
        <v>4601991406695</v>
      </c>
      <c r="B364" s="1" t="s">
        <v>388</v>
      </c>
      <c r="C364" s="1" t="s">
        <v>24</v>
      </c>
      <c r="D364" s="1" t="str">
        <f t="shared" si="577"/>
        <v>2021</v>
      </c>
      <c r="E364" s="1" t="str">
        <f>"183.73"</f>
        <v>183.73</v>
      </c>
      <c r="F364" s="1" t="str">
        <f t="shared" ref="F364:I364" si="641">"0"</f>
        <v>0</v>
      </c>
      <c r="G364" s="1" t="str">
        <f t="shared" si="641"/>
        <v>0</v>
      </c>
      <c r="H364" s="1" t="str">
        <f t="shared" si="641"/>
        <v>0</v>
      </c>
      <c r="I364" s="1" t="str">
        <f t="shared" si="641"/>
        <v>0</v>
      </c>
      <c r="J364" s="1" t="str">
        <f>"21"</f>
        <v>21</v>
      </c>
      <c r="K364" s="1" t="str">
        <f t="shared" ref="K364:P364" si="642">"0"</f>
        <v>0</v>
      </c>
      <c r="L364" s="1" t="str">
        <f t="shared" si="642"/>
        <v>0</v>
      </c>
      <c r="M364" s="1" t="str">
        <f t="shared" si="642"/>
        <v>0</v>
      </c>
      <c r="N364" s="1" t="str">
        <f t="shared" si="642"/>
        <v>0</v>
      </c>
      <c r="O364" s="1" t="str">
        <f t="shared" si="642"/>
        <v>0</v>
      </c>
      <c r="P364" s="1" t="str">
        <f t="shared" si="642"/>
        <v>0</v>
      </c>
      <c r="Q364" s="1" t="str">
        <f t="shared" si="580"/>
        <v>0.0070</v>
      </c>
      <c r="R364" s="1" t="s">
        <v>29</v>
      </c>
      <c r="S364" s="1">
        <v>-0.0014</v>
      </c>
      <c r="T364" s="1" t="str">
        <f t="shared" si="581"/>
        <v>0</v>
      </c>
      <c r="U364" s="1" t="str">
        <f t="shared" si="638"/>
        <v>0.0056</v>
      </c>
    </row>
    <row r="365" s="1" customFormat="1" spans="1:21">
      <c r="A365" s="1" t="str">
        <f>"4601991407975"</f>
        <v>4601991407975</v>
      </c>
      <c r="B365" s="1" t="s">
        <v>389</v>
      </c>
      <c r="C365" s="1" t="s">
        <v>24</v>
      </c>
      <c r="D365" s="1" t="str">
        <f t="shared" si="577"/>
        <v>2021</v>
      </c>
      <c r="E365" s="1" t="str">
        <f t="shared" ref="E365:P365" si="643">"0"</f>
        <v>0</v>
      </c>
      <c r="F365" s="1" t="str">
        <f t="shared" si="643"/>
        <v>0</v>
      </c>
      <c r="G365" s="1" t="str">
        <f t="shared" si="643"/>
        <v>0</v>
      </c>
      <c r="H365" s="1" t="str">
        <f t="shared" si="643"/>
        <v>0</v>
      </c>
      <c r="I365" s="1" t="str">
        <f t="shared" si="643"/>
        <v>0</v>
      </c>
      <c r="J365" s="1" t="str">
        <f t="shared" si="643"/>
        <v>0</v>
      </c>
      <c r="K365" s="1" t="str">
        <f t="shared" si="643"/>
        <v>0</v>
      </c>
      <c r="L365" s="1" t="str">
        <f t="shared" si="643"/>
        <v>0</v>
      </c>
      <c r="M365" s="1" t="str">
        <f t="shared" si="643"/>
        <v>0</v>
      </c>
      <c r="N365" s="1" t="str">
        <f t="shared" si="643"/>
        <v>0</v>
      </c>
      <c r="O365" s="1" t="str">
        <f t="shared" si="643"/>
        <v>0</v>
      </c>
      <c r="P365" s="1" t="str">
        <f t="shared" si="643"/>
        <v>0</v>
      </c>
      <c r="Q365" s="1" t="str">
        <f t="shared" si="580"/>
        <v>0.0070</v>
      </c>
      <c r="R365" s="1" t="s">
        <v>25</v>
      </c>
      <c r="T365" s="1" t="str">
        <f t="shared" si="581"/>
        <v>0</v>
      </c>
      <c r="U365" s="1" t="str">
        <f t="shared" si="640"/>
        <v>0.0070</v>
      </c>
    </row>
    <row r="366" s="1" customFormat="1" spans="1:21">
      <c r="A366" s="1" t="str">
        <f>"4601991417891"</f>
        <v>4601991417891</v>
      </c>
      <c r="B366" s="1" t="s">
        <v>390</v>
      </c>
      <c r="C366" s="1" t="s">
        <v>24</v>
      </c>
      <c r="D366" s="1" t="str">
        <f t="shared" si="577"/>
        <v>2021</v>
      </c>
      <c r="E366" s="1" t="str">
        <f t="shared" ref="E366:P366" si="644">"0"</f>
        <v>0</v>
      </c>
      <c r="F366" s="1" t="str">
        <f t="shared" si="644"/>
        <v>0</v>
      </c>
      <c r="G366" s="1" t="str">
        <f t="shared" si="644"/>
        <v>0</v>
      </c>
      <c r="H366" s="1" t="str">
        <f t="shared" si="644"/>
        <v>0</v>
      </c>
      <c r="I366" s="1" t="str">
        <f t="shared" si="644"/>
        <v>0</v>
      </c>
      <c r="J366" s="1" t="str">
        <f t="shared" si="644"/>
        <v>0</v>
      </c>
      <c r="K366" s="1" t="str">
        <f t="shared" si="644"/>
        <v>0</v>
      </c>
      <c r="L366" s="1" t="str">
        <f t="shared" si="644"/>
        <v>0</v>
      </c>
      <c r="M366" s="1" t="str">
        <f t="shared" si="644"/>
        <v>0</v>
      </c>
      <c r="N366" s="1" t="str">
        <f t="shared" si="644"/>
        <v>0</v>
      </c>
      <c r="O366" s="1" t="str">
        <f t="shared" si="644"/>
        <v>0</v>
      </c>
      <c r="P366" s="1" t="str">
        <f t="shared" si="644"/>
        <v>0</v>
      </c>
      <c r="Q366" s="1" t="str">
        <f t="shared" si="580"/>
        <v>0.0070</v>
      </c>
      <c r="R366" s="1" t="s">
        <v>25</v>
      </c>
      <c r="T366" s="1" t="str">
        <f t="shared" si="581"/>
        <v>0</v>
      </c>
      <c r="U366" s="1" t="str">
        <f t="shared" si="640"/>
        <v>0.0070</v>
      </c>
    </row>
    <row r="367" s="1" customFormat="1" spans="1:21">
      <c r="A367" s="1" t="str">
        <f>"4601991416002"</f>
        <v>4601991416002</v>
      </c>
      <c r="B367" s="1" t="s">
        <v>391</v>
      </c>
      <c r="C367" s="1" t="s">
        <v>24</v>
      </c>
      <c r="D367" s="1" t="str">
        <f t="shared" si="577"/>
        <v>2021</v>
      </c>
      <c r="E367" s="1" t="str">
        <f>"95.80"</f>
        <v>95.80</v>
      </c>
      <c r="F367" s="1" t="str">
        <f t="shared" ref="F367:I367" si="645">"0"</f>
        <v>0</v>
      </c>
      <c r="G367" s="1" t="str">
        <f t="shared" si="645"/>
        <v>0</v>
      </c>
      <c r="H367" s="1" t="str">
        <f t="shared" si="645"/>
        <v>0</v>
      </c>
      <c r="I367" s="1" t="str">
        <f t="shared" si="645"/>
        <v>0</v>
      </c>
      <c r="J367" s="1" t="str">
        <f>"11"</f>
        <v>11</v>
      </c>
      <c r="K367" s="1" t="str">
        <f t="shared" ref="K367:P367" si="646">"0"</f>
        <v>0</v>
      </c>
      <c r="L367" s="1" t="str">
        <f t="shared" si="646"/>
        <v>0</v>
      </c>
      <c r="M367" s="1" t="str">
        <f t="shared" si="646"/>
        <v>0</v>
      </c>
      <c r="N367" s="1" t="str">
        <f t="shared" si="646"/>
        <v>0</v>
      </c>
      <c r="O367" s="1" t="str">
        <f t="shared" si="646"/>
        <v>0</v>
      </c>
      <c r="P367" s="1" t="str">
        <f t="shared" si="646"/>
        <v>0</v>
      </c>
      <c r="Q367" s="1" t="str">
        <f t="shared" si="580"/>
        <v>0.0070</v>
      </c>
      <c r="R367" s="1" t="s">
        <v>29</v>
      </c>
      <c r="S367" s="1">
        <v>-0.0014</v>
      </c>
      <c r="T367" s="1" t="str">
        <f t="shared" si="581"/>
        <v>0</v>
      </c>
      <c r="U367" s="1" t="str">
        <f t="shared" si="638"/>
        <v>0.0056</v>
      </c>
    </row>
    <row r="368" s="1" customFormat="1" spans="1:21">
      <c r="A368" s="1" t="str">
        <f>"4601991417894"</f>
        <v>4601991417894</v>
      </c>
      <c r="B368" s="1" t="s">
        <v>392</v>
      </c>
      <c r="C368" s="1" t="s">
        <v>24</v>
      </c>
      <c r="D368" s="1" t="str">
        <f t="shared" si="577"/>
        <v>2021</v>
      </c>
      <c r="E368" s="1" t="str">
        <f>"9.67"</f>
        <v>9.67</v>
      </c>
      <c r="F368" s="1" t="str">
        <f t="shared" ref="F368:I368" si="647">"0"</f>
        <v>0</v>
      </c>
      <c r="G368" s="1" t="str">
        <f t="shared" si="647"/>
        <v>0</v>
      </c>
      <c r="H368" s="1" t="str">
        <f t="shared" si="647"/>
        <v>0</v>
      </c>
      <c r="I368" s="1" t="str">
        <f t="shared" si="647"/>
        <v>0</v>
      </c>
      <c r="J368" s="1" t="str">
        <f>"1"</f>
        <v>1</v>
      </c>
      <c r="K368" s="1" t="str">
        <f t="shared" ref="K368:P368" si="648">"0"</f>
        <v>0</v>
      </c>
      <c r="L368" s="1" t="str">
        <f t="shared" si="648"/>
        <v>0</v>
      </c>
      <c r="M368" s="1" t="str">
        <f t="shared" si="648"/>
        <v>0</v>
      </c>
      <c r="N368" s="1" t="str">
        <f t="shared" si="648"/>
        <v>0</v>
      </c>
      <c r="O368" s="1" t="str">
        <f t="shared" si="648"/>
        <v>0</v>
      </c>
      <c r="P368" s="1" t="str">
        <f t="shared" si="648"/>
        <v>0</v>
      </c>
      <c r="Q368" s="1" t="str">
        <f t="shared" si="580"/>
        <v>0.0070</v>
      </c>
      <c r="R368" s="1" t="s">
        <v>29</v>
      </c>
      <c r="S368" s="1">
        <v>-0.0014</v>
      </c>
      <c r="T368" s="1" t="str">
        <f t="shared" si="581"/>
        <v>0</v>
      </c>
      <c r="U368" s="1" t="str">
        <f t="shared" si="638"/>
        <v>0.0056</v>
      </c>
    </row>
    <row r="369" s="1" customFormat="1" spans="1:21">
      <c r="A369" s="1" t="str">
        <f>"4601991417263"</f>
        <v>4601991417263</v>
      </c>
      <c r="B369" s="1" t="s">
        <v>393</v>
      </c>
      <c r="C369" s="1" t="s">
        <v>24</v>
      </c>
      <c r="D369" s="1" t="str">
        <f t="shared" si="577"/>
        <v>2021</v>
      </c>
      <c r="E369" s="1" t="str">
        <f t="shared" ref="E369:P369" si="649">"0"</f>
        <v>0</v>
      </c>
      <c r="F369" s="1" t="str">
        <f t="shared" si="649"/>
        <v>0</v>
      </c>
      <c r="G369" s="1" t="str">
        <f t="shared" si="649"/>
        <v>0</v>
      </c>
      <c r="H369" s="1" t="str">
        <f t="shared" si="649"/>
        <v>0</v>
      </c>
      <c r="I369" s="1" t="str">
        <f t="shared" si="649"/>
        <v>0</v>
      </c>
      <c r="J369" s="1" t="str">
        <f t="shared" si="649"/>
        <v>0</v>
      </c>
      <c r="K369" s="1" t="str">
        <f t="shared" si="649"/>
        <v>0</v>
      </c>
      <c r="L369" s="1" t="str">
        <f t="shared" si="649"/>
        <v>0</v>
      </c>
      <c r="M369" s="1" t="str">
        <f t="shared" si="649"/>
        <v>0</v>
      </c>
      <c r="N369" s="1" t="str">
        <f t="shared" si="649"/>
        <v>0</v>
      </c>
      <c r="O369" s="1" t="str">
        <f t="shared" si="649"/>
        <v>0</v>
      </c>
      <c r="P369" s="1" t="str">
        <f t="shared" si="649"/>
        <v>0</v>
      </c>
      <c r="Q369" s="1" t="str">
        <f t="shared" si="580"/>
        <v>0.0070</v>
      </c>
      <c r="R369" s="1" t="s">
        <v>25</v>
      </c>
      <c r="T369" s="1" t="str">
        <f t="shared" si="581"/>
        <v>0</v>
      </c>
      <c r="U369" s="1" t="str">
        <f t="shared" ref="U369:U374" si="650">"0.0070"</f>
        <v>0.0070</v>
      </c>
    </row>
    <row r="370" s="1" customFormat="1" spans="1:21">
      <c r="A370" s="1" t="str">
        <f>"4601991417892"</f>
        <v>4601991417892</v>
      </c>
      <c r="B370" s="1" t="s">
        <v>394</v>
      </c>
      <c r="C370" s="1" t="s">
        <v>24</v>
      </c>
      <c r="D370" s="1" t="str">
        <f t="shared" si="577"/>
        <v>2021</v>
      </c>
      <c r="E370" s="1" t="str">
        <f>"19.16"</f>
        <v>19.16</v>
      </c>
      <c r="F370" s="1" t="str">
        <f t="shared" ref="F370:I370" si="651">"0"</f>
        <v>0</v>
      </c>
      <c r="G370" s="1" t="str">
        <f t="shared" si="651"/>
        <v>0</v>
      </c>
      <c r="H370" s="1" t="str">
        <f t="shared" si="651"/>
        <v>0</v>
      </c>
      <c r="I370" s="1" t="str">
        <f t="shared" si="651"/>
        <v>0</v>
      </c>
      <c r="J370" s="1" t="str">
        <f>"2"</f>
        <v>2</v>
      </c>
      <c r="K370" s="1" t="str">
        <f t="shared" ref="K370:P370" si="652">"0"</f>
        <v>0</v>
      </c>
      <c r="L370" s="1" t="str">
        <f t="shared" si="652"/>
        <v>0</v>
      </c>
      <c r="M370" s="1" t="str">
        <f t="shared" si="652"/>
        <v>0</v>
      </c>
      <c r="N370" s="1" t="str">
        <f t="shared" si="652"/>
        <v>0</v>
      </c>
      <c r="O370" s="1" t="str">
        <f t="shared" si="652"/>
        <v>0</v>
      </c>
      <c r="P370" s="1" t="str">
        <f t="shared" si="652"/>
        <v>0</v>
      </c>
      <c r="Q370" s="1" t="str">
        <f t="shared" si="580"/>
        <v>0.0070</v>
      </c>
      <c r="R370" s="1" t="s">
        <v>29</v>
      </c>
      <c r="S370" s="1">
        <v>-0.0014</v>
      </c>
      <c r="T370" s="1" t="str">
        <f t="shared" si="581"/>
        <v>0</v>
      </c>
      <c r="U370" s="1" t="str">
        <f t="shared" ref="U370:U376" si="653">"0.0056"</f>
        <v>0.0056</v>
      </c>
    </row>
    <row r="371" s="1" customFormat="1" spans="1:21">
      <c r="A371" s="1" t="str">
        <f>"4601991416084"</f>
        <v>4601991416084</v>
      </c>
      <c r="B371" s="1" t="s">
        <v>395</v>
      </c>
      <c r="C371" s="1" t="s">
        <v>24</v>
      </c>
      <c r="D371" s="1" t="str">
        <f t="shared" si="577"/>
        <v>2021</v>
      </c>
      <c r="E371" s="1" t="str">
        <f t="shared" ref="E371:P371" si="654">"0"</f>
        <v>0</v>
      </c>
      <c r="F371" s="1" t="str">
        <f t="shared" si="654"/>
        <v>0</v>
      </c>
      <c r="G371" s="1" t="str">
        <f t="shared" si="654"/>
        <v>0</v>
      </c>
      <c r="H371" s="1" t="str">
        <f t="shared" si="654"/>
        <v>0</v>
      </c>
      <c r="I371" s="1" t="str">
        <f t="shared" si="654"/>
        <v>0</v>
      </c>
      <c r="J371" s="1" t="str">
        <f t="shared" si="654"/>
        <v>0</v>
      </c>
      <c r="K371" s="1" t="str">
        <f t="shared" si="654"/>
        <v>0</v>
      </c>
      <c r="L371" s="1" t="str">
        <f t="shared" si="654"/>
        <v>0</v>
      </c>
      <c r="M371" s="1" t="str">
        <f t="shared" si="654"/>
        <v>0</v>
      </c>
      <c r="N371" s="1" t="str">
        <f t="shared" si="654"/>
        <v>0</v>
      </c>
      <c r="O371" s="1" t="str">
        <f t="shared" si="654"/>
        <v>0</v>
      </c>
      <c r="P371" s="1" t="str">
        <f t="shared" si="654"/>
        <v>0</v>
      </c>
      <c r="Q371" s="1" t="str">
        <f t="shared" si="580"/>
        <v>0.0070</v>
      </c>
      <c r="R371" s="1" t="s">
        <v>25</v>
      </c>
      <c r="T371" s="1" t="str">
        <f t="shared" si="581"/>
        <v>0</v>
      </c>
      <c r="U371" s="1" t="str">
        <f t="shared" si="650"/>
        <v>0.0070</v>
      </c>
    </row>
    <row r="372" s="1" customFormat="1" spans="1:21">
      <c r="A372" s="1" t="str">
        <f>"4601991417947"</f>
        <v>4601991417947</v>
      </c>
      <c r="B372" s="1" t="s">
        <v>396</v>
      </c>
      <c r="C372" s="1" t="s">
        <v>24</v>
      </c>
      <c r="D372" s="1" t="str">
        <f t="shared" si="577"/>
        <v>2021</v>
      </c>
      <c r="E372" s="1" t="str">
        <f>"204.60"</f>
        <v>204.60</v>
      </c>
      <c r="F372" s="1" t="str">
        <f t="shared" ref="F372:I372" si="655">"0"</f>
        <v>0</v>
      </c>
      <c r="G372" s="1" t="str">
        <f t="shared" si="655"/>
        <v>0</v>
      </c>
      <c r="H372" s="1" t="str">
        <f t="shared" si="655"/>
        <v>0</v>
      </c>
      <c r="I372" s="1" t="str">
        <f t="shared" si="655"/>
        <v>0</v>
      </c>
      <c r="J372" s="1" t="str">
        <f>"18"</f>
        <v>18</v>
      </c>
      <c r="K372" s="1" t="str">
        <f t="shared" ref="K372:P372" si="656">"0"</f>
        <v>0</v>
      </c>
      <c r="L372" s="1" t="str">
        <f t="shared" si="656"/>
        <v>0</v>
      </c>
      <c r="M372" s="1" t="str">
        <f t="shared" si="656"/>
        <v>0</v>
      </c>
      <c r="N372" s="1" t="str">
        <f t="shared" si="656"/>
        <v>0</v>
      </c>
      <c r="O372" s="1" t="str">
        <f t="shared" si="656"/>
        <v>0</v>
      </c>
      <c r="P372" s="1" t="str">
        <f t="shared" si="656"/>
        <v>0</v>
      </c>
      <c r="Q372" s="1" t="str">
        <f t="shared" si="580"/>
        <v>0.0070</v>
      </c>
      <c r="R372" s="1" t="s">
        <v>29</v>
      </c>
      <c r="S372" s="1">
        <v>-0.0014</v>
      </c>
      <c r="T372" s="1" t="str">
        <f t="shared" si="581"/>
        <v>0</v>
      </c>
      <c r="U372" s="1" t="str">
        <f t="shared" si="653"/>
        <v>0.0056</v>
      </c>
    </row>
    <row r="373" s="1" customFormat="1" spans="1:21">
      <c r="A373" s="1" t="str">
        <f>"4601991417953"</f>
        <v>4601991417953</v>
      </c>
      <c r="B373" s="1" t="s">
        <v>397</v>
      </c>
      <c r="C373" s="1" t="s">
        <v>24</v>
      </c>
      <c r="D373" s="1" t="str">
        <f t="shared" si="577"/>
        <v>2021</v>
      </c>
      <c r="E373" s="1" t="str">
        <f t="shared" ref="E373:P373" si="657">"0"</f>
        <v>0</v>
      </c>
      <c r="F373" s="1" t="str">
        <f t="shared" si="657"/>
        <v>0</v>
      </c>
      <c r="G373" s="1" t="str">
        <f t="shared" si="657"/>
        <v>0</v>
      </c>
      <c r="H373" s="1" t="str">
        <f t="shared" si="657"/>
        <v>0</v>
      </c>
      <c r="I373" s="1" t="str">
        <f t="shared" si="657"/>
        <v>0</v>
      </c>
      <c r="J373" s="1" t="str">
        <f t="shared" si="657"/>
        <v>0</v>
      </c>
      <c r="K373" s="1" t="str">
        <f t="shared" si="657"/>
        <v>0</v>
      </c>
      <c r="L373" s="1" t="str">
        <f t="shared" si="657"/>
        <v>0</v>
      </c>
      <c r="M373" s="1" t="str">
        <f t="shared" si="657"/>
        <v>0</v>
      </c>
      <c r="N373" s="1" t="str">
        <f t="shared" si="657"/>
        <v>0</v>
      </c>
      <c r="O373" s="1" t="str">
        <f t="shared" si="657"/>
        <v>0</v>
      </c>
      <c r="P373" s="1" t="str">
        <f t="shared" si="657"/>
        <v>0</v>
      </c>
      <c r="Q373" s="1" t="str">
        <f t="shared" si="580"/>
        <v>0.0070</v>
      </c>
      <c r="R373" s="1" t="s">
        <v>25</v>
      </c>
      <c r="T373" s="1" t="str">
        <f t="shared" si="581"/>
        <v>0</v>
      </c>
      <c r="U373" s="1" t="str">
        <f t="shared" si="650"/>
        <v>0.0070</v>
      </c>
    </row>
    <row r="374" s="1" customFormat="1" spans="1:21">
      <c r="A374" s="1" t="str">
        <f>"4601991416143"</f>
        <v>4601991416143</v>
      </c>
      <c r="B374" s="1" t="s">
        <v>398</v>
      </c>
      <c r="C374" s="1" t="s">
        <v>24</v>
      </c>
      <c r="D374" s="1" t="str">
        <f t="shared" si="577"/>
        <v>2021</v>
      </c>
      <c r="E374" s="1" t="str">
        <f t="shared" ref="E374:P374" si="658">"0"</f>
        <v>0</v>
      </c>
      <c r="F374" s="1" t="str">
        <f t="shared" si="658"/>
        <v>0</v>
      </c>
      <c r="G374" s="1" t="str">
        <f t="shared" si="658"/>
        <v>0</v>
      </c>
      <c r="H374" s="1" t="str">
        <f t="shared" si="658"/>
        <v>0</v>
      </c>
      <c r="I374" s="1" t="str">
        <f t="shared" si="658"/>
        <v>0</v>
      </c>
      <c r="J374" s="1" t="str">
        <f t="shared" si="658"/>
        <v>0</v>
      </c>
      <c r="K374" s="1" t="str">
        <f t="shared" si="658"/>
        <v>0</v>
      </c>
      <c r="L374" s="1" t="str">
        <f t="shared" si="658"/>
        <v>0</v>
      </c>
      <c r="M374" s="1" t="str">
        <f t="shared" si="658"/>
        <v>0</v>
      </c>
      <c r="N374" s="1" t="str">
        <f t="shared" si="658"/>
        <v>0</v>
      </c>
      <c r="O374" s="1" t="str">
        <f t="shared" si="658"/>
        <v>0</v>
      </c>
      <c r="P374" s="1" t="str">
        <f t="shared" si="658"/>
        <v>0</v>
      </c>
      <c r="Q374" s="1" t="str">
        <f t="shared" si="580"/>
        <v>0.0070</v>
      </c>
      <c r="R374" s="1" t="s">
        <v>25</v>
      </c>
      <c r="T374" s="1" t="str">
        <f t="shared" si="581"/>
        <v>0</v>
      </c>
      <c r="U374" s="1" t="str">
        <f t="shared" si="650"/>
        <v>0.0070</v>
      </c>
    </row>
    <row r="375" s="1" customFormat="1" spans="1:21">
      <c r="A375" s="1" t="str">
        <f>"4601991416682"</f>
        <v>4601991416682</v>
      </c>
      <c r="B375" s="1" t="s">
        <v>399</v>
      </c>
      <c r="C375" s="1" t="s">
        <v>24</v>
      </c>
      <c r="D375" s="1" t="str">
        <f t="shared" si="577"/>
        <v>2021</v>
      </c>
      <c r="E375" s="1" t="str">
        <f>"67.69"</f>
        <v>67.69</v>
      </c>
      <c r="F375" s="1" t="str">
        <f t="shared" ref="F375:I375" si="659">"0"</f>
        <v>0</v>
      </c>
      <c r="G375" s="1" t="str">
        <f t="shared" si="659"/>
        <v>0</v>
      </c>
      <c r="H375" s="1" t="str">
        <f t="shared" si="659"/>
        <v>0</v>
      </c>
      <c r="I375" s="1" t="str">
        <f t="shared" si="659"/>
        <v>0</v>
      </c>
      <c r="J375" s="1" t="str">
        <f t="shared" ref="J375:J380" si="660">"3"</f>
        <v>3</v>
      </c>
      <c r="K375" s="1" t="str">
        <f t="shared" ref="K375:P375" si="661">"0"</f>
        <v>0</v>
      </c>
      <c r="L375" s="1" t="str">
        <f t="shared" si="661"/>
        <v>0</v>
      </c>
      <c r="M375" s="1" t="str">
        <f t="shared" si="661"/>
        <v>0</v>
      </c>
      <c r="N375" s="1" t="str">
        <f t="shared" si="661"/>
        <v>0</v>
      </c>
      <c r="O375" s="1" t="str">
        <f t="shared" si="661"/>
        <v>0</v>
      </c>
      <c r="P375" s="1" t="str">
        <f t="shared" si="661"/>
        <v>0</v>
      </c>
      <c r="Q375" s="1" t="str">
        <f t="shared" si="580"/>
        <v>0.0070</v>
      </c>
      <c r="R375" s="1" t="s">
        <v>29</v>
      </c>
      <c r="S375" s="1">
        <v>-0.0014</v>
      </c>
      <c r="T375" s="1" t="str">
        <f t="shared" si="581"/>
        <v>0</v>
      </c>
      <c r="U375" s="1" t="str">
        <f t="shared" si="653"/>
        <v>0.0056</v>
      </c>
    </row>
    <row r="376" s="1" customFormat="1" spans="1:21">
      <c r="A376" s="1" t="str">
        <f>"4601991416684"</f>
        <v>4601991416684</v>
      </c>
      <c r="B376" s="1" t="s">
        <v>400</v>
      </c>
      <c r="C376" s="1" t="s">
        <v>24</v>
      </c>
      <c r="D376" s="1" t="str">
        <f t="shared" si="577"/>
        <v>2021</v>
      </c>
      <c r="E376" s="1" t="str">
        <f>"38.68"</f>
        <v>38.68</v>
      </c>
      <c r="F376" s="1" t="str">
        <f t="shared" ref="F376:I376" si="662">"0"</f>
        <v>0</v>
      </c>
      <c r="G376" s="1" t="str">
        <f t="shared" si="662"/>
        <v>0</v>
      </c>
      <c r="H376" s="1" t="str">
        <f t="shared" si="662"/>
        <v>0</v>
      </c>
      <c r="I376" s="1" t="str">
        <f t="shared" si="662"/>
        <v>0</v>
      </c>
      <c r="J376" s="1" t="str">
        <f t="shared" si="660"/>
        <v>3</v>
      </c>
      <c r="K376" s="1" t="str">
        <f t="shared" ref="K376:P376" si="663">"0"</f>
        <v>0</v>
      </c>
      <c r="L376" s="1" t="str">
        <f t="shared" si="663"/>
        <v>0</v>
      </c>
      <c r="M376" s="1" t="str">
        <f t="shared" si="663"/>
        <v>0</v>
      </c>
      <c r="N376" s="1" t="str">
        <f t="shared" si="663"/>
        <v>0</v>
      </c>
      <c r="O376" s="1" t="str">
        <f t="shared" si="663"/>
        <v>0</v>
      </c>
      <c r="P376" s="1" t="str">
        <f t="shared" si="663"/>
        <v>0</v>
      </c>
      <c r="Q376" s="1" t="str">
        <f t="shared" si="580"/>
        <v>0.0070</v>
      </c>
      <c r="R376" s="1" t="s">
        <v>29</v>
      </c>
      <c r="S376" s="1">
        <v>-0.0014</v>
      </c>
      <c r="T376" s="1" t="str">
        <f t="shared" si="581"/>
        <v>0</v>
      </c>
      <c r="U376" s="1" t="str">
        <f t="shared" si="653"/>
        <v>0.0056</v>
      </c>
    </row>
    <row r="377" s="1" customFormat="1" spans="1:21">
      <c r="A377" s="1" t="str">
        <f>"4601991416710"</f>
        <v>4601991416710</v>
      </c>
      <c r="B377" s="1" t="s">
        <v>401</v>
      </c>
      <c r="C377" s="1" t="s">
        <v>24</v>
      </c>
      <c r="D377" s="1" t="str">
        <f t="shared" si="577"/>
        <v>2021</v>
      </c>
      <c r="E377" s="1" t="str">
        <f t="shared" ref="E377:P377" si="664">"0"</f>
        <v>0</v>
      </c>
      <c r="F377" s="1" t="str">
        <f t="shared" si="664"/>
        <v>0</v>
      </c>
      <c r="G377" s="1" t="str">
        <f t="shared" si="664"/>
        <v>0</v>
      </c>
      <c r="H377" s="1" t="str">
        <f t="shared" si="664"/>
        <v>0</v>
      </c>
      <c r="I377" s="1" t="str">
        <f t="shared" si="664"/>
        <v>0</v>
      </c>
      <c r="J377" s="1" t="str">
        <f t="shared" si="664"/>
        <v>0</v>
      </c>
      <c r="K377" s="1" t="str">
        <f t="shared" si="664"/>
        <v>0</v>
      </c>
      <c r="L377" s="1" t="str">
        <f t="shared" si="664"/>
        <v>0</v>
      </c>
      <c r="M377" s="1" t="str">
        <f t="shared" si="664"/>
        <v>0</v>
      </c>
      <c r="N377" s="1" t="str">
        <f t="shared" si="664"/>
        <v>0</v>
      </c>
      <c r="O377" s="1" t="str">
        <f t="shared" si="664"/>
        <v>0</v>
      </c>
      <c r="P377" s="1" t="str">
        <f t="shared" si="664"/>
        <v>0</v>
      </c>
      <c r="Q377" s="1" t="str">
        <f t="shared" si="580"/>
        <v>0.0070</v>
      </c>
      <c r="R377" s="1" t="s">
        <v>25</v>
      </c>
      <c r="T377" s="1" t="str">
        <f t="shared" si="581"/>
        <v>0</v>
      </c>
      <c r="U377" s="1" t="str">
        <f t="shared" ref="U377:U383" si="665">"0.0070"</f>
        <v>0.0070</v>
      </c>
    </row>
    <row r="378" s="1" customFormat="1" spans="1:21">
      <c r="A378" s="1" t="str">
        <f>"4601991418020"</f>
        <v>4601991418020</v>
      </c>
      <c r="B378" s="1" t="s">
        <v>402</v>
      </c>
      <c r="C378" s="1" t="s">
        <v>24</v>
      </c>
      <c r="D378" s="1" t="str">
        <f t="shared" si="577"/>
        <v>2021</v>
      </c>
      <c r="E378" s="1" t="str">
        <f>"183.73"</f>
        <v>183.73</v>
      </c>
      <c r="F378" s="1" t="str">
        <f t="shared" ref="F378:I378" si="666">"0"</f>
        <v>0</v>
      </c>
      <c r="G378" s="1" t="str">
        <f t="shared" si="666"/>
        <v>0</v>
      </c>
      <c r="H378" s="1" t="str">
        <f t="shared" si="666"/>
        <v>0</v>
      </c>
      <c r="I378" s="1" t="str">
        <f t="shared" si="666"/>
        <v>0</v>
      </c>
      <c r="J378" s="1" t="str">
        <f>"18"</f>
        <v>18</v>
      </c>
      <c r="K378" s="1" t="str">
        <f t="shared" ref="K378:P378" si="667">"0"</f>
        <v>0</v>
      </c>
      <c r="L378" s="1" t="str">
        <f t="shared" si="667"/>
        <v>0</v>
      </c>
      <c r="M378" s="1" t="str">
        <f t="shared" si="667"/>
        <v>0</v>
      </c>
      <c r="N378" s="1" t="str">
        <f t="shared" si="667"/>
        <v>0</v>
      </c>
      <c r="O378" s="1" t="str">
        <f t="shared" si="667"/>
        <v>0</v>
      </c>
      <c r="P378" s="1" t="str">
        <f t="shared" si="667"/>
        <v>0</v>
      </c>
      <c r="Q378" s="1" t="str">
        <f t="shared" si="580"/>
        <v>0.0070</v>
      </c>
      <c r="R378" s="1" t="s">
        <v>29</v>
      </c>
      <c r="S378" s="1">
        <v>-0.0014</v>
      </c>
      <c r="T378" s="1" t="str">
        <f t="shared" si="581"/>
        <v>0</v>
      </c>
      <c r="U378" s="1" t="str">
        <f>"0.0056"</f>
        <v>0.0056</v>
      </c>
    </row>
    <row r="379" s="1" customFormat="1" spans="1:21">
      <c r="A379" s="1" t="str">
        <f>"4601991417357"</f>
        <v>4601991417357</v>
      </c>
      <c r="B379" s="1" t="s">
        <v>403</v>
      </c>
      <c r="C379" s="1" t="s">
        <v>24</v>
      </c>
      <c r="D379" s="1" t="str">
        <f t="shared" si="577"/>
        <v>2021</v>
      </c>
      <c r="E379" s="1" t="str">
        <f t="shared" ref="E379:P379" si="668">"0"</f>
        <v>0</v>
      </c>
      <c r="F379" s="1" t="str">
        <f t="shared" si="668"/>
        <v>0</v>
      </c>
      <c r="G379" s="1" t="str">
        <f t="shared" si="668"/>
        <v>0</v>
      </c>
      <c r="H379" s="1" t="str">
        <f t="shared" si="668"/>
        <v>0</v>
      </c>
      <c r="I379" s="1" t="str">
        <f t="shared" si="668"/>
        <v>0</v>
      </c>
      <c r="J379" s="1" t="str">
        <f t="shared" si="668"/>
        <v>0</v>
      </c>
      <c r="K379" s="1" t="str">
        <f t="shared" si="668"/>
        <v>0</v>
      </c>
      <c r="L379" s="1" t="str">
        <f t="shared" si="668"/>
        <v>0</v>
      </c>
      <c r="M379" s="1" t="str">
        <f t="shared" si="668"/>
        <v>0</v>
      </c>
      <c r="N379" s="1" t="str">
        <f t="shared" si="668"/>
        <v>0</v>
      </c>
      <c r="O379" s="1" t="str">
        <f t="shared" si="668"/>
        <v>0</v>
      </c>
      <c r="P379" s="1" t="str">
        <f t="shared" si="668"/>
        <v>0</v>
      </c>
      <c r="Q379" s="1" t="str">
        <f t="shared" si="580"/>
        <v>0.0070</v>
      </c>
      <c r="R379" s="1" t="s">
        <v>25</v>
      </c>
      <c r="T379" s="1" t="str">
        <f t="shared" si="581"/>
        <v>0</v>
      </c>
      <c r="U379" s="1" t="str">
        <f t="shared" si="665"/>
        <v>0.0070</v>
      </c>
    </row>
    <row r="380" s="1" customFormat="1" spans="1:21">
      <c r="A380" s="1" t="str">
        <f>"4601991417321"</f>
        <v>4601991417321</v>
      </c>
      <c r="B380" s="1" t="s">
        <v>404</v>
      </c>
      <c r="C380" s="1" t="s">
        <v>24</v>
      </c>
      <c r="D380" s="1" t="str">
        <f t="shared" si="577"/>
        <v>2021</v>
      </c>
      <c r="E380" s="1" t="str">
        <f>"38.68"</f>
        <v>38.68</v>
      </c>
      <c r="F380" s="1" t="str">
        <f t="shared" ref="F380:I380" si="669">"0"</f>
        <v>0</v>
      </c>
      <c r="G380" s="1" t="str">
        <f t="shared" si="669"/>
        <v>0</v>
      </c>
      <c r="H380" s="1" t="str">
        <f t="shared" si="669"/>
        <v>0</v>
      </c>
      <c r="I380" s="1" t="str">
        <f t="shared" si="669"/>
        <v>0</v>
      </c>
      <c r="J380" s="1" t="str">
        <f t="shared" si="660"/>
        <v>3</v>
      </c>
      <c r="K380" s="1" t="str">
        <f t="shared" ref="K380:P380" si="670">"0"</f>
        <v>0</v>
      </c>
      <c r="L380" s="1" t="str">
        <f t="shared" si="670"/>
        <v>0</v>
      </c>
      <c r="M380" s="1" t="str">
        <f t="shared" si="670"/>
        <v>0</v>
      </c>
      <c r="N380" s="1" t="str">
        <f t="shared" si="670"/>
        <v>0</v>
      </c>
      <c r="O380" s="1" t="str">
        <f t="shared" si="670"/>
        <v>0</v>
      </c>
      <c r="P380" s="1" t="str">
        <f t="shared" si="670"/>
        <v>0</v>
      </c>
      <c r="Q380" s="1" t="str">
        <f t="shared" si="580"/>
        <v>0.0070</v>
      </c>
      <c r="R380" s="1" t="s">
        <v>29</v>
      </c>
      <c r="S380" s="1">
        <v>-0.0014</v>
      </c>
      <c r="T380" s="1" t="str">
        <f t="shared" si="581"/>
        <v>0</v>
      </c>
      <c r="U380" s="1" t="str">
        <f>"0.0056"</f>
        <v>0.0056</v>
      </c>
    </row>
    <row r="381" s="1" customFormat="1" spans="1:21">
      <c r="A381" s="1" t="str">
        <f>"4601991418036"</f>
        <v>4601991418036</v>
      </c>
      <c r="B381" s="1" t="s">
        <v>405</v>
      </c>
      <c r="C381" s="1" t="s">
        <v>24</v>
      </c>
      <c r="D381" s="1" t="str">
        <f t="shared" si="577"/>
        <v>2021</v>
      </c>
      <c r="E381" s="1" t="str">
        <f>"9.67"</f>
        <v>9.67</v>
      </c>
      <c r="F381" s="1" t="str">
        <f t="shared" ref="F381:I381" si="671">"0"</f>
        <v>0</v>
      </c>
      <c r="G381" s="1" t="str">
        <f t="shared" si="671"/>
        <v>0</v>
      </c>
      <c r="H381" s="1" t="str">
        <f t="shared" si="671"/>
        <v>0</v>
      </c>
      <c r="I381" s="1" t="str">
        <f t="shared" si="671"/>
        <v>0</v>
      </c>
      <c r="J381" s="1" t="str">
        <f>"1"</f>
        <v>1</v>
      </c>
      <c r="K381" s="1" t="str">
        <f t="shared" ref="K381:P381" si="672">"0"</f>
        <v>0</v>
      </c>
      <c r="L381" s="1" t="str">
        <f t="shared" si="672"/>
        <v>0</v>
      </c>
      <c r="M381" s="1" t="str">
        <f t="shared" si="672"/>
        <v>0</v>
      </c>
      <c r="N381" s="1" t="str">
        <f t="shared" si="672"/>
        <v>0</v>
      </c>
      <c r="O381" s="1" t="str">
        <f t="shared" si="672"/>
        <v>0</v>
      </c>
      <c r="P381" s="1" t="str">
        <f t="shared" si="672"/>
        <v>0</v>
      </c>
      <c r="Q381" s="1" t="str">
        <f t="shared" si="580"/>
        <v>0.0070</v>
      </c>
      <c r="R381" s="1" t="s">
        <v>25</v>
      </c>
      <c r="T381" s="1" t="str">
        <f t="shared" si="581"/>
        <v>0</v>
      </c>
      <c r="U381" s="1" t="str">
        <f t="shared" si="665"/>
        <v>0.0070</v>
      </c>
    </row>
    <row r="382" s="1" customFormat="1" spans="1:21">
      <c r="A382" s="1" t="str">
        <f>"4601991416185"</f>
        <v>4601991416185</v>
      </c>
      <c r="B382" s="1" t="s">
        <v>406</v>
      </c>
      <c r="C382" s="1" t="s">
        <v>24</v>
      </c>
      <c r="D382" s="1" t="str">
        <f t="shared" si="577"/>
        <v>2021</v>
      </c>
      <c r="E382" s="1" t="str">
        <f t="shared" ref="E382:P382" si="673">"0"</f>
        <v>0</v>
      </c>
      <c r="F382" s="1" t="str">
        <f t="shared" si="673"/>
        <v>0</v>
      </c>
      <c r="G382" s="1" t="str">
        <f t="shared" si="673"/>
        <v>0</v>
      </c>
      <c r="H382" s="1" t="str">
        <f t="shared" si="673"/>
        <v>0</v>
      </c>
      <c r="I382" s="1" t="str">
        <f t="shared" si="673"/>
        <v>0</v>
      </c>
      <c r="J382" s="1" t="str">
        <f t="shared" si="673"/>
        <v>0</v>
      </c>
      <c r="K382" s="1" t="str">
        <f t="shared" si="673"/>
        <v>0</v>
      </c>
      <c r="L382" s="1" t="str">
        <f t="shared" si="673"/>
        <v>0</v>
      </c>
      <c r="M382" s="1" t="str">
        <f t="shared" si="673"/>
        <v>0</v>
      </c>
      <c r="N382" s="1" t="str">
        <f t="shared" si="673"/>
        <v>0</v>
      </c>
      <c r="O382" s="1" t="str">
        <f t="shared" si="673"/>
        <v>0</v>
      </c>
      <c r="P382" s="1" t="str">
        <f t="shared" si="673"/>
        <v>0</v>
      </c>
      <c r="Q382" s="1" t="str">
        <f t="shared" si="580"/>
        <v>0.0070</v>
      </c>
      <c r="R382" s="1" t="s">
        <v>25</v>
      </c>
      <c r="T382" s="1" t="str">
        <f t="shared" si="581"/>
        <v>0</v>
      </c>
      <c r="U382" s="1" t="str">
        <f t="shared" si="665"/>
        <v>0.0070</v>
      </c>
    </row>
    <row r="383" s="1" customFormat="1" spans="1:21">
      <c r="A383" s="1" t="str">
        <f>"4601991418099"</f>
        <v>4601991418099</v>
      </c>
      <c r="B383" s="1" t="s">
        <v>407</v>
      </c>
      <c r="C383" s="1" t="s">
        <v>24</v>
      </c>
      <c r="D383" s="1" t="str">
        <f t="shared" si="577"/>
        <v>2021</v>
      </c>
      <c r="E383" s="1" t="str">
        <f t="shared" ref="E383:P383" si="674">"0"</f>
        <v>0</v>
      </c>
      <c r="F383" s="1" t="str">
        <f t="shared" si="674"/>
        <v>0</v>
      </c>
      <c r="G383" s="1" t="str">
        <f t="shared" si="674"/>
        <v>0</v>
      </c>
      <c r="H383" s="1" t="str">
        <f t="shared" si="674"/>
        <v>0</v>
      </c>
      <c r="I383" s="1" t="str">
        <f t="shared" si="674"/>
        <v>0</v>
      </c>
      <c r="J383" s="1" t="str">
        <f t="shared" si="674"/>
        <v>0</v>
      </c>
      <c r="K383" s="1" t="str">
        <f t="shared" si="674"/>
        <v>0</v>
      </c>
      <c r="L383" s="1" t="str">
        <f t="shared" si="674"/>
        <v>0</v>
      </c>
      <c r="M383" s="1" t="str">
        <f t="shared" si="674"/>
        <v>0</v>
      </c>
      <c r="N383" s="1" t="str">
        <f t="shared" si="674"/>
        <v>0</v>
      </c>
      <c r="O383" s="1" t="str">
        <f t="shared" si="674"/>
        <v>0</v>
      </c>
      <c r="P383" s="1" t="str">
        <f t="shared" si="674"/>
        <v>0</v>
      </c>
      <c r="Q383" s="1" t="str">
        <f t="shared" si="580"/>
        <v>0.0070</v>
      </c>
      <c r="R383" s="1" t="s">
        <v>25</v>
      </c>
      <c r="T383" s="1" t="str">
        <f t="shared" si="581"/>
        <v>0</v>
      </c>
      <c r="U383" s="1" t="str">
        <f t="shared" si="665"/>
        <v>0.0070</v>
      </c>
    </row>
    <row r="384" s="1" customFormat="1" spans="1:21">
      <c r="A384" s="1" t="str">
        <f>"4601991417454"</f>
        <v>4601991417454</v>
      </c>
      <c r="B384" s="1" t="s">
        <v>408</v>
      </c>
      <c r="C384" s="1" t="s">
        <v>24</v>
      </c>
      <c r="D384" s="1" t="str">
        <f t="shared" si="577"/>
        <v>2021</v>
      </c>
      <c r="E384" s="1" t="str">
        <f>"96.70"</f>
        <v>96.70</v>
      </c>
      <c r="F384" s="1" t="str">
        <f t="shared" ref="F384:I384" si="675">"0"</f>
        <v>0</v>
      </c>
      <c r="G384" s="1" t="str">
        <f t="shared" si="675"/>
        <v>0</v>
      </c>
      <c r="H384" s="1" t="str">
        <f t="shared" si="675"/>
        <v>0</v>
      </c>
      <c r="I384" s="1" t="str">
        <f t="shared" si="675"/>
        <v>0</v>
      </c>
      <c r="J384" s="1" t="str">
        <f>"10"</f>
        <v>10</v>
      </c>
      <c r="K384" s="1" t="str">
        <f t="shared" ref="K384:P384" si="676">"0"</f>
        <v>0</v>
      </c>
      <c r="L384" s="1" t="str">
        <f t="shared" si="676"/>
        <v>0</v>
      </c>
      <c r="M384" s="1" t="str">
        <f t="shared" si="676"/>
        <v>0</v>
      </c>
      <c r="N384" s="1" t="str">
        <f t="shared" si="676"/>
        <v>0</v>
      </c>
      <c r="O384" s="1" t="str">
        <f t="shared" si="676"/>
        <v>0</v>
      </c>
      <c r="P384" s="1" t="str">
        <f t="shared" si="676"/>
        <v>0</v>
      </c>
      <c r="Q384" s="1" t="str">
        <f t="shared" si="580"/>
        <v>0.0070</v>
      </c>
      <c r="R384" s="1" t="s">
        <v>29</v>
      </c>
      <c r="S384" s="1">
        <v>-0.0014</v>
      </c>
      <c r="T384" s="1" t="str">
        <f t="shared" si="581"/>
        <v>0</v>
      </c>
      <c r="U384" s="1" t="str">
        <f t="shared" ref="U384:U388" si="677">"0.0056"</f>
        <v>0.0056</v>
      </c>
    </row>
    <row r="385" s="1" customFormat="1" spans="1:21">
      <c r="A385" s="1" t="str">
        <f>"4601991416246"</f>
        <v>4601991416246</v>
      </c>
      <c r="B385" s="1" t="s">
        <v>409</v>
      </c>
      <c r="C385" s="1" t="s">
        <v>24</v>
      </c>
      <c r="D385" s="1" t="str">
        <f t="shared" si="577"/>
        <v>2021</v>
      </c>
      <c r="E385" s="1" t="str">
        <f t="shared" ref="E385:P385" si="678">"0"</f>
        <v>0</v>
      </c>
      <c r="F385" s="1" t="str">
        <f t="shared" si="678"/>
        <v>0</v>
      </c>
      <c r="G385" s="1" t="str">
        <f t="shared" si="678"/>
        <v>0</v>
      </c>
      <c r="H385" s="1" t="str">
        <f t="shared" si="678"/>
        <v>0</v>
      </c>
      <c r="I385" s="1" t="str">
        <f t="shared" si="678"/>
        <v>0</v>
      </c>
      <c r="J385" s="1" t="str">
        <f t="shared" si="678"/>
        <v>0</v>
      </c>
      <c r="K385" s="1" t="str">
        <f t="shared" si="678"/>
        <v>0</v>
      </c>
      <c r="L385" s="1" t="str">
        <f t="shared" si="678"/>
        <v>0</v>
      </c>
      <c r="M385" s="1" t="str">
        <f t="shared" si="678"/>
        <v>0</v>
      </c>
      <c r="N385" s="1" t="str">
        <f t="shared" si="678"/>
        <v>0</v>
      </c>
      <c r="O385" s="1" t="str">
        <f t="shared" si="678"/>
        <v>0</v>
      </c>
      <c r="P385" s="1" t="str">
        <f t="shared" si="678"/>
        <v>0</v>
      </c>
      <c r="Q385" s="1" t="str">
        <f t="shared" si="580"/>
        <v>0.0070</v>
      </c>
      <c r="R385" s="1" t="s">
        <v>25</v>
      </c>
      <c r="T385" s="1" t="str">
        <f t="shared" si="581"/>
        <v>0</v>
      </c>
      <c r="U385" s="1" t="str">
        <f>"0.0070"</f>
        <v>0.0070</v>
      </c>
    </row>
    <row r="386" s="1" customFormat="1" spans="1:21">
      <c r="A386" s="1" t="str">
        <f>"4601991418161"</f>
        <v>4601991418161</v>
      </c>
      <c r="B386" s="1" t="s">
        <v>410</v>
      </c>
      <c r="C386" s="1" t="s">
        <v>24</v>
      </c>
      <c r="D386" s="1" t="str">
        <f t="shared" si="577"/>
        <v>2021</v>
      </c>
      <c r="E386" s="1" t="str">
        <f>"48.35"</f>
        <v>48.35</v>
      </c>
      <c r="F386" s="1" t="str">
        <f t="shared" ref="F386:I386" si="679">"0"</f>
        <v>0</v>
      </c>
      <c r="G386" s="1" t="str">
        <f t="shared" si="679"/>
        <v>0</v>
      </c>
      <c r="H386" s="1" t="str">
        <f t="shared" si="679"/>
        <v>0</v>
      </c>
      <c r="I386" s="1" t="str">
        <f t="shared" si="679"/>
        <v>0</v>
      </c>
      <c r="J386" s="1" t="str">
        <f>"5"</f>
        <v>5</v>
      </c>
      <c r="K386" s="1" t="str">
        <f t="shared" ref="K386:P386" si="680">"0"</f>
        <v>0</v>
      </c>
      <c r="L386" s="1" t="str">
        <f t="shared" si="680"/>
        <v>0</v>
      </c>
      <c r="M386" s="1" t="str">
        <f t="shared" si="680"/>
        <v>0</v>
      </c>
      <c r="N386" s="1" t="str">
        <f t="shared" si="680"/>
        <v>0</v>
      </c>
      <c r="O386" s="1" t="str">
        <f t="shared" si="680"/>
        <v>0</v>
      </c>
      <c r="P386" s="1" t="str">
        <f t="shared" si="680"/>
        <v>0</v>
      </c>
      <c r="Q386" s="1" t="str">
        <f t="shared" si="580"/>
        <v>0.0070</v>
      </c>
      <c r="R386" s="1" t="s">
        <v>29</v>
      </c>
      <c r="S386" s="1">
        <v>-0.0014</v>
      </c>
      <c r="T386" s="1" t="str">
        <f t="shared" si="581"/>
        <v>0</v>
      </c>
      <c r="U386" s="1" t="str">
        <f t="shared" si="677"/>
        <v>0.0056</v>
      </c>
    </row>
    <row r="387" s="1" customFormat="1" spans="1:21">
      <c r="A387" s="1" t="str">
        <f>"4601991417383"</f>
        <v>4601991417383</v>
      </c>
      <c r="B387" s="1" t="s">
        <v>411</v>
      </c>
      <c r="C387" s="1" t="s">
        <v>24</v>
      </c>
      <c r="D387" s="1" t="str">
        <f t="shared" ref="D387:D450" si="681">"2021"</f>
        <v>2021</v>
      </c>
      <c r="E387" s="1" t="str">
        <f>"19.34"</f>
        <v>19.34</v>
      </c>
      <c r="F387" s="1" t="str">
        <f t="shared" ref="F387:I387" si="682">"0"</f>
        <v>0</v>
      </c>
      <c r="G387" s="1" t="str">
        <f t="shared" si="682"/>
        <v>0</v>
      </c>
      <c r="H387" s="1" t="str">
        <f t="shared" si="682"/>
        <v>0</v>
      </c>
      <c r="I387" s="1" t="str">
        <f t="shared" si="682"/>
        <v>0</v>
      </c>
      <c r="J387" s="1" t="str">
        <f>"2"</f>
        <v>2</v>
      </c>
      <c r="K387" s="1" t="str">
        <f t="shared" ref="K387:P387" si="683">"0"</f>
        <v>0</v>
      </c>
      <c r="L387" s="1" t="str">
        <f t="shared" si="683"/>
        <v>0</v>
      </c>
      <c r="M387" s="1" t="str">
        <f t="shared" si="683"/>
        <v>0</v>
      </c>
      <c r="N387" s="1" t="str">
        <f t="shared" si="683"/>
        <v>0</v>
      </c>
      <c r="O387" s="1" t="str">
        <f t="shared" si="683"/>
        <v>0</v>
      </c>
      <c r="P387" s="1" t="str">
        <f t="shared" si="683"/>
        <v>0</v>
      </c>
      <c r="Q387" s="1" t="str">
        <f t="shared" ref="Q387:Q450" si="684">"0.0070"</f>
        <v>0.0070</v>
      </c>
      <c r="R387" s="1" t="s">
        <v>29</v>
      </c>
      <c r="S387" s="1">
        <v>-0.0014</v>
      </c>
      <c r="T387" s="1" t="str">
        <f t="shared" ref="T387:T450" si="685">"0"</f>
        <v>0</v>
      </c>
      <c r="U387" s="1" t="str">
        <f t="shared" si="677"/>
        <v>0.0056</v>
      </c>
    </row>
    <row r="388" s="1" customFormat="1" spans="1:21">
      <c r="A388" s="1" t="str">
        <f>"4601991416835"</f>
        <v>4601991416835</v>
      </c>
      <c r="B388" s="1" t="s">
        <v>412</v>
      </c>
      <c r="C388" s="1" t="s">
        <v>24</v>
      </c>
      <c r="D388" s="1" t="str">
        <f t="shared" si="681"/>
        <v>2021</v>
      </c>
      <c r="E388" s="1" t="str">
        <f>"19.34"</f>
        <v>19.34</v>
      </c>
      <c r="F388" s="1" t="str">
        <f t="shared" ref="F388:I388" si="686">"0"</f>
        <v>0</v>
      </c>
      <c r="G388" s="1" t="str">
        <f t="shared" si="686"/>
        <v>0</v>
      </c>
      <c r="H388" s="1" t="str">
        <f t="shared" si="686"/>
        <v>0</v>
      </c>
      <c r="I388" s="1" t="str">
        <f t="shared" si="686"/>
        <v>0</v>
      </c>
      <c r="J388" s="1" t="str">
        <f>"2"</f>
        <v>2</v>
      </c>
      <c r="K388" s="1" t="str">
        <f t="shared" ref="K388:P388" si="687">"0"</f>
        <v>0</v>
      </c>
      <c r="L388" s="1" t="str">
        <f t="shared" si="687"/>
        <v>0</v>
      </c>
      <c r="M388" s="1" t="str">
        <f t="shared" si="687"/>
        <v>0</v>
      </c>
      <c r="N388" s="1" t="str">
        <f t="shared" si="687"/>
        <v>0</v>
      </c>
      <c r="O388" s="1" t="str">
        <f t="shared" si="687"/>
        <v>0</v>
      </c>
      <c r="P388" s="1" t="str">
        <f t="shared" si="687"/>
        <v>0</v>
      </c>
      <c r="Q388" s="1" t="str">
        <f t="shared" si="684"/>
        <v>0.0070</v>
      </c>
      <c r="R388" s="1" t="s">
        <v>29</v>
      </c>
      <c r="S388" s="1">
        <v>-0.0014</v>
      </c>
      <c r="T388" s="1" t="str">
        <f t="shared" si="685"/>
        <v>0</v>
      </c>
      <c r="U388" s="1" t="str">
        <f t="shared" si="677"/>
        <v>0.0056</v>
      </c>
    </row>
    <row r="389" s="1" customFormat="1" spans="1:21">
      <c r="A389" s="1" t="str">
        <f>"4601991416995"</f>
        <v>4601991416995</v>
      </c>
      <c r="B389" s="1" t="s">
        <v>413</v>
      </c>
      <c r="C389" s="1" t="s">
        <v>24</v>
      </c>
      <c r="D389" s="1" t="str">
        <f t="shared" si="681"/>
        <v>2021</v>
      </c>
      <c r="E389" s="1" t="str">
        <f t="shared" ref="E389:P389" si="688">"0"</f>
        <v>0</v>
      </c>
      <c r="F389" s="1" t="str">
        <f t="shared" si="688"/>
        <v>0</v>
      </c>
      <c r="G389" s="1" t="str">
        <f t="shared" si="688"/>
        <v>0</v>
      </c>
      <c r="H389" s="1" t="str">
        <f t="shared" si="688"/>
        <v>0</v>
      </c>
      <c r="I389" s="1" t="str">
        <f t="shared" si="688"/>
        <v>0</v>
      </c>
      <c r="J389" s="1" t="str">
        <f t="shared" si="688"/>
        <v>0</v>
      </c>
      <c r="K389" s="1" t="str">
        <f t="shared" si="688"/>
        <v>0</v>
      </c>
      <c r="L389" s="1" t="str">
        <f t="shared" si="688"/>
        <v>0</v>
      </c>
      <c r="M389" s="1" t="str">
        <f t="shared" si="688"/>
        <v>0</v>
      </c>
      <c r="N389" s="1" t="str">
        <f t="shared" si="688"/>
        <v>0</v>
      </c>
      <c r="O389" s="1" t="str">
        <f t="shared" si="688"/>
        <v>0</v>
      </c>
      <c r="P389" s="1" t="str">
        <f t="shared" si="688"/>
        <v>0</v>
      </c>
      <c r="Q389" s="1" t="str">
        <f t="shared" si="684"/>
        <v>0.0070</v>
      </c>
      <c r="R389" s="1" t="s">
        <v>25</v>
      </c>
      <c r="T389" s="1" t="str">
        <f t="shared" si="685"/>
        <v>0</v>
      </c>
      <c r="U389" s="1" t="str">
        <f>"0.0070"</f>
        <v>0.0070</v>
      </c>
    </row>
    <row r="390" s="1" customFormat="1" spans="1:21">
      <c r="A390" s="1" t="str">
        <f>"4601991417499"</f>
        <v>4601991417499</v>
      </c>
      <c r="B390" s="1" t="s">
        <v>414</v>
      </c>
      <c r="C390" s="1" t="s">
        <v>24</v>
      </c>
      <c r="D390" s="1" t="str">
        <f t="shared" si="681"/>
        <v>2021</v>
      </c>
      <c r="E390" s="1" t="str">
        <f>"84.63"</f>
        <v>84.63</v>
      </c>
      <c r="F390" s="1" t="str">
        <f t="shared" ref="F390:I390" si="689">"0"</f>
        <v>0</v>
      </c>
      <c r="G390" s="1" t="str">
        <f t="shared" si="689"/>
        <v>0</v>
      </c>
      <c r="H390" s="1" t="str">
        <f t="shared" si="689"/>
        <v>0</v>
      </c>
      <c r="I390" s="1" t="str">
        <f t="shared" si="689"/>
        <v>0</v>
      </c>
      <c r="J390" s="1" t="str">
        <f>"8"</f>
        <v>8</v>
      </c>
      <c r="K390" s="1" t="str">
        <f t="shared" ref="K390:P390" si="690">"0"</f>
        <v>0</v>
      </c>
      <c r="L390" s="1" t="str">
        <f t="shared" si="690"/>
        <v>0</v>
      </c>
      <c r="M390" s="1" t="str">
        <f t="shared" si="690"/>
        <v>0</v>
      </c>
      <c r="N390" s="1" t="str">
        <f t="shared" si="690"/>
        <v>0</v>
      </c>
      <c r="O390" s="1" t="str">
        <f t="shared" si="690"/>
        <v>0</v>
      </c>
      <c r="P390" s="1" t="str">
        <f t="shared" si="690"/>
        <v>0</v>
      </c>
      <c r="Q390" s="1" t="str">
        <f t="shared" si="684"/>
        <v>0.0070</v>
      </c>
      <c r="R390" s="1" t="s">
        <v>29</v>
      </c>
      <c r="S390" s="1">
        <v>-0.0014</v>
      </c>
      <c r="T390" s="1" t="str">
        <f t="shared" si="685"/>
        <v>0</v>
      </c>
      <c r="U390" s="1" t="str">
        <f t="shared" ref="U390:U395" si="691">"0.0056"</f>
        <v>0.0056</v>
      </c>
    </row>
    <row r="391" s="1" customFormat="1" spans="1:21">
      <c r="A391" s="1" t="str">
        <f>"4601991417497"</f>
        <v>4601991417497</v>
      </c>
      <c r="B391" s="1" t="s">
        <v>415</v>
      </c>
      <c r="C391" s="1" t="s">
        <v>24</v>
      </c>
      <c r="D391" s="1" t="str">
        <f t="shared" si="681"/>
        <v>2021</v>
      </c>
      <c r="E391" s="1" t="str">
        <f>"58.02"</f>
        <v>58.02</v>
      </c>
      <c r="F391" s="1" t="str">
        <f t="shared" ref="F391:I391" si="692">"0"</f>
        <v>0</v>
      </c>
      <c r="G391" s="1" t="str">
        <f t="shared" si="692"/>
        <v>0</v>
      </c>
      <c r="H391" s="1" t="str">
        <f t="shared" si="692"/>
        <v>0</v>
      </c>
      <c r="I391" s="1" t="str">
        <f t="shared" si="692"/>
        <v>0</v>
      </c>
      <c r="J391" s="1" t="str">
        <f>"6"</f>
        <v>6</v>
      </c>
      <c r="K391" s="1" t="str">
        <f t="shared" ref="K391:P391" si="693">"0"</f>
        <v>0</v>
      </c>
      <c r="L391" s="1" t="str">
        <f t="shared" si="693"/>
        <v>0</v>
      </c>
      <c r="M391" s="1" t="str">
        <f t="shared" si="693"/>
        <v>0</v>
      </c>
      <c r="N391" s="1" t="str">
        <f t="shared" si="693"/>
        <v>0</v>
      </c>
      <c r="O391" s="1" t="str">
        <f t="shared" si="693"/>
        <v>0</v>
      </c>
      <c r="P391" s="1" t="str">
        <f t="shared" si="693"/>
        <v>0</v>
      </c>
      <c r="Q391" s="1" t="str">
        <f t="shared" si="684"/>
        <v>0.0070</v>
      </c>
      <c r="R391" s="1" t="s">
        <v>29</v>
      </c>
      <c r="S391" s="1">
        <v>-0.0014</v>
      </c>
      <c r="T391" s="1" t="str">
        <f t="shared" si="685"/>
        <v>0</v>
      </c>
      <c r="U391" s="1" t="str">
        <f t="shared" si="691"/>
        <v>0.0056</v>
      </c>
    </row>
    <row r="392" s="1" customFormat="1" spans="1:21">
      <c r="A392" s="1" t="str">
        <f>"4601991416328"</f>
        <v>4601991416328</v>
      </c>
      <c r="B392" s="1" t="s">
        <v>416</v>
      </c>
      <c r="C392" s="1" t="s">
        <v>24</v>
      </c>
      <c r="D392" s="1" t="str">
        <f t="shared" si="681"/>
        <v>2021</v>
      </c>
      <c r="E392" s="1" t="str">
        <f>"9.67"</f>
        <v>9.67</v>
      </c>
      <c r="F392" s="1" t="str">
        <f t="shared" ref="F392:I392" si="694">"0"</f>
        <v>0</v>
      </c>
      <c r="G392" s="1" t="str">
        <f t="shared" si="694"/>
        <v>0</v>
      </c>
      <c r="H392" s="1" t="str">
        <f t="shared" si="694"/>
        <v>0</v>
      </c>
      <c r="I392" s="1" t="str">
        <f t="shared" si="694"/>
        <v>0</v>
      </c>
      <c r="J392" s="1" t="str">
        <f>"1"</f>
        <v>1</v>
      </c>
      <c r="K392" s="1" t="str">
        <f t="shared" ref="K392:P392" si="695">"0"</f>
        <v>0</v>
      </c>
      <c r="L392" s="1" t="str">
        <f t="shared" si="695"/>
        <v>0</v>
      </c>
      <c r="M392" s="1" t="str">
        <f t="shared" si="695"/>
        <v>0</v>
      </c>
      <c r="N392" s="1" t="str">
        <f t="shared" si="695"/>
        <v>0</v>
      </c>
      <c r="O392" s="1" t="str">
        <f t="shared" si="695"/>
        <v>0</v>
      </c>
      <c r="P392" s="1" t="str">
        <f t="shared" si="695"/>
        <v>0</v>
      </c>
      <c r="Q392" s="1" t="str">
        <f t="shared" si="684"/>
        <v>0.0070</v>
      </c>
      <c r="R392" s="1" t="s">
        <v>29</v>
      </c>
      <c r="S392" s="1">
        <v>-0.0014</v>
      </c>
      <c r="T392" s="1" t="str">
        <f t="shared" si="685"/>
        <v>0</v>
      </c>
      <c r="U392" s="1" t="str">
        <f t="shared" si="691"/>
        <v>0.0056</v>
      </c>
    </row>
    <row r="393" s="1" customFormat="1" spans="1:21">
      <c r="A393" s="1" t="str">
        <f>"4601991417049"</f>
        <v>4601991417049</v>
      </c>
      <c r="B393" s="1" t="s">
        <v>417</v>
      </c>
      <c r="C393" s="1" t="s">
        <v>24</v>
      </c>
      <c r="D393" s="1" t="str">
        <f t="shared" si="681"/>
        <v>2021</v>
      </c>
      <c r="E393" s="1" t="str">
        <f>"38.50"</f>
        <v>38.50</v>
      </c>
      <c r="F393" s="1" t="str">
        <f t="shared" ref="F393:I393" si="696">"0"</f>
        <v>0</v>
      </c>
      <c r="G393" s="1" t="str">
        <f t="shared" si="696"/>
        <v>0</v>
      </c>
      <c r="H393" s="1" t="str">
        <f t="shared" si="696"/>
        <v>0</v>
      </c>
      <c r="I393" s="1" t="str">
        <f t="shared" si="696"/>
        <v>0</v>
      </c>
      <c r="J393" s="1" t="str">
        <f>"4"</f>
        <v>4</v>
      </c>
      <c r="K393" s="1" t="str">
        <f t="shared" ref="K393:P393" si="697">"0"</f>
        <v>0</v>
      </c>
      <c r="L393" s="1" t="str">
        <f t="shared" si="697"/>
        <v>0</v>
      </c>
      <c r="M393" s="1" t="str">
        <f t="shared" si="697"/>
        <v>0</v>
      </c>
      <c r="N393" s="1" t="str">
        <f t="shared" si="697"/>
        <v>0</v>
      </c>
      <c r="O393" s="1" t="str">
        <f t="shared" si="697"/>
        <v>0</v>
      </c>
      <c r="P393" s="1" t="str">
        <f t="shared" si="697"/>
        <v>0</v>
      </c>
      <c r="Q393" s="1" t="str">
        <f t="shared" si="684"/>
        <v>0.0070</v>
      </c>
      <c r="R393" s="1" t="s">
        <v>29</v>
      </c>
      <c r="S393" s="1">
        <v>-0.0014</v>
      </c>
      <c r="T393" s="1" t="str">
        <f t="shared" si="685"/>
        <v>0</v>
      </c>
      <c r="U393" s="1" t="str">
        <f t="shared" si="691"/>
        <v>0.0056</v>
      </c>
    </row>
    <row r="394" s="1" customFormat="1" spans="1:21">
      <c r="A394" s="1" t="str">
        <f>"4601991418323"</f>
        <v>4601991418323</v>
      </c>
      <c r="B394" s="1" t="s">
        <v>418</v>
      </c>
      <c r="C394" s="1" t="s">
        <v>24</v>
      </c>
      <c r="D394" s="1" t="str">
        <f t="shared" si="681"/>
        <v>2021</v>
      </c>
      <c r="E394" s="1" t="str">
        <f>"76.64"</f>
        <v>76.64</v>
      </c>
      <c r="F394" s="1" t="str">
        <f t="shared" ref="F394:I394" si="698">"0"</f>
        <v>0</v>
      </c>
      <c r="G394" s="1" t="str">
        <f t="shared" si="698"/>
        <v>0</v>
      </c>
      <c r="H394" s="1" t="str">
        <f t="shared" si="698"/>
        <v>0</v>
      </c>
      <c r="I394" s="1" t="str">
        <f t="shared" si="698"/>
        <v>0</v>
      </c>
      <c r="J394" s="1" t="str">
        <f>"8"</f>
        <v>8</v>
      </c>
      <c r="K394" s="1" t="str">
        <f t="shared" ref="K394:P394" si="699">"0"</f>
        <v>0</v>
      </c>
      <c r="L394" s="1" t="str">
        <f t="shared" si="699"/>
        <v>0</v>
      </c>
      <c r="M394" s="1" t="str">
        <f t="shared" si="699"/>
        <v>0</v>
      </c>
      <c r="N394" s="1" t="str">
        <f t="shared" si="699"/>
        <v>0</v>
      </c>
      <c r="O394" s="1" t="str">
        <f t="shared" si="699"/>
        <v>0</v>
      </c>
      <c r="P394" s="1" t="str">
        <f t="shared" si="699"/>
        <v>0</v>
      </c>
      <c r="Q394" s="1" t="str">
        <f t="shared" si="684"/>
        <v>0.0070</v>
      </c>
      <c r="R394" s="1" t="s">
        <v>29</v>
      </c>
      <c r="S394" s="1">
        <v>-0.0014</v>
      </c>
      <c r="T394" s="1" t="str">
        <f t="shared" si="685"/>
        <v>0</v>
      </c>
      <c r="U394" s="1" t="str">
        <f t="shared" si="691"/>
        <v>0.0056</v>
      </c>
    </row>
    <row r="395" s="1" customFormat="1" spans="1:21">
      <c r="A395" s="1" t="str">
        <f>"4601991416439"</f>
        <v>4601991416439</v>
      </c>
      <c r="B395" s="1" t="s">
        <v>419</v>
      </c>
      <c r="C395" s="1" t="s">
        <v>24</v>
      </c>
      <c r="D395" s="1" t="str">
        <f t="shared" si="681"/>
        <v>2021</v>
      </c>
      <c r="E395" s="1" t="str">
        <f>"9.67"</f>
        <v>9.67</v>
      </c>
      <c r="F395" s="1" t="str">
        <f t="shared" ref="F395:I395" si="700">"0"</f>
        <v>0</v>
      </c>
      <c r="G395" s="1" t="str">
        <f t="shared" si="700"/>
        <v>0</v>
      </c>
      <c r="H395" s="1" t="str">
        <f t="shared" si="700"/>
        <v>0</v>
      </c>
      <c r="I395" s="1" t="str">
        <f t="shared" si="700"/>
        <v>0</v>
      </c>
      <c r="J395" s="1" t="str">
        <f>"1"</f>
        <v>1</v>
      </c>
      <c r="K395" s="1" t="str">
        <f t="shared" ref="K395:P395" si="701">"0"</f>
        <v>0</v>
      </c>
      <c r="L395" s="1" t="str">
        <f t="shared" si="701"/>
        <v>0</v>
      </c>
      <c r="M395" s="1" t="str">
        <f t="shared" si="701"/>
        <v>0</v>
      </c>
      <c r="N395" s="1" t="str">
        <f t="shared" si="701"/>
        <v>0</v>
      </c>
      <c r="O395" s="1" t="str">
        <f t="shared" si="701"/>
        <v>0</v>
      </c>
      <c r="P395" s="1" t="str">
        <f t="shared" si="701"/>
        <v>0</v>
      </c>
      <c r="Q395" s="1" t="str">
        <f t="shared" si="684"/>
        <v>0.0070</v>
      </c>
      <c r="R395" s="1" t="s">
        <v>29</v>
      </c>
      <c r="S395" s="1">
        <v>-0.0014</v>
      </c>
      <c r="T395" s="1" t="str">
        <f t="shared" si="685"/>
        <v>0</v>
      </c>
      <c r="U395" s="1" t="str">
        <f t="shared" si="691"/>
        <v>0.0056</v>
      </c>
    </row>
    <row r="396" s="1" customFormat="1" spans="1:21">
      <c r="A396" s="1" t="str">
        <f>"4601991416484"</f>
        <v>4601991416484</v>
      </c>
      <c r="B396" s="1" t="s">
        <v>420</v>
      </c>
      <c r="C396" s="1" t="s">
        <v>24</v>
      </c>
      <c r="D396" s="1" t="str">
        <f t="shared" si="681"/>
        <v>2021</v>
      </c>
      <c r="E396" s="1" t="str">
        <f t="shared" ref="E396:P396" si="702">"0"</f>
        <v>0</v>
      </c>
      <c r="F396" s="1" t="str">
        <f t="shared" si="702"/>
        <v>0</v>
      </c>
      <c r="G396" s="1" t="str">
        <f t="shared" si="702"/>
        <v>0</v>
      </c>
      <c r="H396" s="1" t="str">
        <f t="shared" si="702"/>
        <v>0</v>
      </c>
      <c r="I396" s="1" t="str">
        <f t="shared" si="702"/>
        <v>0</v>
      </c>
      <c r="J396" s="1" t="str">
        <f t="shared" si="702"/>
        <v>0</v>
      </c>
      <c r="K396" s="1" t="str">
        <f t="shared" si="702"/>
        <v>0</v>
      </c>
      <c r="L396" s="1" t="str">
        <f t="shared" si="702"/>
        <v>0</v>
      </c>
      <c r="M396" s="1" t="str">
        <f t="shared" si="702"/>
        <v>0</v>
      </c>
      <c r="N396" s="1" t="str">
        <f t="shared" si="702"/>
        <v>0</v>
      </c>
      <c r="O396" s="1" t="str">
        <f t="shared" si="702"/>
        <v>0</v>
      </c>
      <c r="P396" s="1" t="str">
        <f t="shared" si="702"/>
        <v>0</v>
      </c>
      <c r="Q396" s="1" t="str">
        <f t="shared" si="684"/>
        <v>0.0070</v>
      </c>
      <c r="R396" s="1" t="s">
        <v>25</v>
      </c>
      <c r="T396" s="1" t="str">
        <f t="shared" si="685"/>
        <v>0</v>
      </c>
      <c r="U396" s="1" t="str">
        <f>"0.0070"</f>
        <v>0.0070</v>
      </c>
    </row>
    <row r="397" s="1" customFormat="1" spans="1:21">
      <c r="A397" s="1" t="str">
        <f>"4601991416480"</f>
        <v>4601991416480</v>
      </c>
      <c r="B397" s="1" t="s">
        <v>421</v>
      </c>
      <c r="C397" s="1" t="s">
        <v>24</v>
      </c>
      <c r="D397" s="1" t="str">
        <f t="shared" si="681"/>
        <v>2021</v>
      </c>
      <c r="E397" s="1" t="str">
        <f>"38.68"</f>
        <v>38.68</v>
      </c>
      <c r="F397" s="1" t="str">
        <f t="shared" ref="F397:I397" si="703">"0"</f>
        <v>0</v>
      </c>
      <c r="G397" s="1" t="str">
        <f t="shared" si="703"/>
        <v>0</v>
      </c>
      <c r="H397" s="1" t="str">
        <f t="shared" si="703"/>
        <v>0</v>
      </c>
      <c r="I397" s="1" t="str">
        <f t="shared" si="703"/>
        <v>0</v>
      </c>
      <c r="J397" s="1" t="str">
        <f>"3"</f>
        <v>3</v>
      </c>
      <c r="K397" s="1" t="str">
        <f t="shared" ref="K397:P397" si="704">"0"</f>
        <v>0</v>
      </c>
      <c r="L397" s="1" t="str">
        <f t="shared" si="704"/>
        <v>0</v>
      </c>
      <c r="M397" s="1" t="str">
        <f t="shared" si="704"/>
        <v>0</v>
      </c>
      <c r="N397" s="1" t="str">
        <f t="shared" si="704"/>
        <v>0</v>
      </c>
      <c r="O397" s="1" t="str">
        <f t="shared" si="704"/>
        <v>0</v>
      </c>
      <c r="P397" s="1" t="str">
        <f t="shared" si="704"/>
        <v>0</v>
      </c>
      <c r="Q397" s="1" t="str">
        <f t="shared" si="684"/>
        <v>0.0070</v>
      </c>
      <c r="R397" s="1" t="s">
        <v>29</v>
      </c>
      <c r="S397" s="1">
        <v>-0.0014</v>
      </c>
      <c r="T397" s="1" t="str">
        <f t="shared" si="685"/>
        <v>0</v>
      </c>
      <c r="U397" s="1" t="str">
        <f t="shared" ref="U397:U401" si="705">"0.0056"</f>
        <v>0.0056</v>
      </c>
    </row>
    <row r="398" s="1" customFormat="1" spans="1:21">
      <c r="A398" s="1" t="str">
        <f>"4601991425887"</f>
        <v>4601991425887</v>
      </c>
      <c r="B398" s="1" t="s">
        <v>422</v>
      </c>
      <c r="C398" s="1" t="s">
        <v>24</v>
      </c>
      <c r="D398" s="1" t="str">
        <f t="shared" si="681"/>
        <v>2021</v>
      </c>
      <c r="E398" s="1" t="str">
        <f>"77.27"</f>
        <v>77.27</v>
      </c>
      <c r="F398" s="1" t="str">
        <f t="shared" ref="F398:I398" si="706">"0"</f>
        <v>0</v>
      </c>
      <c r="G398" s="1" t="str">
        <f t="shared" si="706"/>
        <v>0</v>
      </c>
      <c r="H398" s="1" t="str">
        <f t="shared" si="706"/>
        <v>0</v>
      </c>
      <c r="I398" s="1" t="str">
        <f t="shared" si="706"/>
        <v>0</v>
      </c>
      <c r="J398" s="1" t="str">
        <f>"8"</f>
        <v>8</v>
      </c>
      <c r="K398" s="1" t="str">
        <f t="shared" ref="K398:P398" si="707">"0"</f>
        <v>0</v>
      </c>
      <c r="L398" s="1" t="str">
        <f t="shared" si="707"/>
        <v>0</v>
      </c>
      <c r="M398" s="1" t="str">
        <f t="shared" si="707"/>
        <v>0</v>
      </c>
      <c r="N398" s="1" t="str">
        <f t="shared" si="707"/>
        <v>0</v>
      </c>
      <c r="O398" s="1" t="str">
        <f t="shared" si="707"/>
        <v>0</v>
      </c>
      <c r="P398" s="1" t="str">
        <f t="shared" si="707"/>
        <v>0</v>
      </c>
      <c r="Q398" s="1" t="str">
        <f t="shared" si="684"/>
        <v>0.0070</v>
      </c>
      <c r="R398" s="1" t="s">
        <v>29</v>
      </c>
      <c r="S398" s="1">
        <v>-0.0014</v>
      </c>
      <c r="T398" s="1" t="str">
        <f t="shared" si="685"/>
        <v>0</v>
      </c>
      <c r="U398" s="1" t="str">
        <f t="shared" si="705"/>
        <v>0.0056</v>
      </c>
    </row>
    <row r="399" s="1" customFormat="1" spans="1:21">
      <c r="A399" s="1" t="str">
        <f>"4601991425889"</f>
        <v>4601991425889</v>
      </c>
      <c r="B399" s="1" t="s">
        <v>423</v>
      </c>
      <c r="C399" s="1" t="s">
        <v>24</v>
      </c>
      <c r="D399" s="1" t="str">
        <f t="shared" si="681"/>
        <v>2021</v>
      </c>
      <c r="E399" s="1" t="str">
        <f>"239.68"</f>
        <v>239.68</v>
      </c>
      <c r="F399" s="1" t="str">
        <f t="shared" ref="F399:I399" si="708">"0"</f>
        <v>0</v>
      </c>
      <c r="G399" s="1" t="str">
        <f t="shared" si="708"/>
        <v>0</v>
      </c>
      <c r="H399" s="1" t="str">
        <f t="shared" si="708"/>
        <v>0</v>
      </c>
      <c r="I399" s="1" t="str">
        <f t="shared" si="708"/>
        <v>0</v>
      </c>
      <c r="J399" s="1" t="str">
        <f>"24"</f>
        <v>24</v>
      </c>
      <c r="K399" s="1" t="str">
        <f t="shared" ref="K399:P399" si="709">"0"</f>
        <v>0</v>
      </c>
      <c r="L399" s="1" t="str">
        <f t="shared" si="709"/>
        <v>0</v>
      </c>
      <c r="M399" s="1" t="str">
        <f t="shared" si="709"/>
        <v>0</v>
      </c>
      <c r="N399" s="1" t="str">
        <f t="shared" si="709"/>
        <v>0</v>
      </c>
      <c r="O399" s="1" t="str">
        <f t="shared" si="709"/>
        <v>0</v>
      </c>
      <c r="P399" s="1" t="str">
        <f t="shared" si="709"/>
        <v>0</v>
      </c>
      <c r="Q399" s="1" t="str">
        <f t="shared" si="684"/>
        <v>0.0070</v>
      </c>
      <c r="R399" s="1" t="s">
        <v>29</v>
      </c>
      <c r="S399" s="1">
        <v>-0.0014</v>
      </c>
      <c r="T399" s="1" t="str">
        <f t="shared" si="685"/>
        <v>0</v>
      </c>
      <c r="U399" s="1" t="str">
        <f t="shared" si="705"/>
        <v>0.0056</v>
      </c>
    </row>
    <row r="400" s="1" customFormat="1" spans="1:21">
      <c r="A400" s="1" t="str">
        <f>"4601991425880"</f>
        <v>4601991425880</v>
      </c>
      <c r="B400" s="1" t="s">
        <v>424</v>
      </c>
      <c r="C400" s="1" t="s">
        <v>24</v>
      </c>
      <c r="D400" s="1" t="str">
        <f t="shared" si="681"/>
        <v>2021</v>
      </c>
      <c r="E400" s="1" t="str">
        <f>"38.32"</f>
        <v>38.32</v>
      </c>
      <c r="F400" s="1" t="str">
        <f t="shared" ref="F400:I400" si="710">"0"</f>
        <v>0</v>
      </c>
      <c r="G400" s="1" t="str">
        <f t="shared" si="710"/>
        <v>0</v>
      </c>
      <c r="H400" s="1" t="str">
        <f t="shared" si="710"/>
        <v>0</v>
      </c>
      <c r="I400" s="1" t="str">
        <f t="shared" si="710"/>
        <v>0</v>
      </c>
      <c r="J400" s="1" t="str">
        <f>"4"</f>
        <v>4</v>
      </c>
      <c r="K400" s="1" t="str">
        <f t="shared" ref="K400:P400" si="711">"0"</f>
        <v>0</v>
      </c>
      <c r="L400" s="1" t="str">
        <f t="shared" si="711"/>
        <v>0</v>
      </c>
      <c r="M400" s="1" t="str">
        <f t="shared" si="711"/>
        <v>0</v>
      </c>
      <c r="N400" s="1" t="str">
        <f t="shared" si="711"/>
        <v>0</v>
      </c>
      <c r="O400" s="1" t="str">
        <f t="shared" si="711"/>
        <v>0</v>
      </c>
      <c r="P400" s="1" t="str">
        <f t="shared" si="711"/>
        <v>0</v>
      </c>
      <c r="Q400" s="1" t="str">
        <f t="shared" si="684"/>
        <v>0.0070</v>
      </c>
      <c r="R400" s="1" t="s">
        <v>29</v>
      </c>
      <c r="S400" s="1">
        <v>-0.0014</v>
      </c>
      <c r="T400" s="1" t="str">
        <f t="shared" si="685"/>
        <v>0</v>
      </c>
      <c r="U400" s="1" t="str">
        <f t="shared" si="705"/>
        <v>0.0056</v>
      </c>
    </row>
    <row r="401" s="1" customFormat="1" spans="1:21">
      <c r="A401" s="1" t="str">
        <f>"4601991424000"</f>
        <v>4601991424000</v>
      </c>
      <c r="B401" s="1" t="s">
        <v>425</v>
      </c>
      <c r="C401" s="1" t="s">
        <v>24</v>
      </c>
      <c r="D401" s="1" t="str">
        <f t="shared" si="681"/>
        <v>2021</v>
      </c>
      <c r="E401" s="1" t="str">
        <f>"114.96"</f>
        <v>114.96</v>
      </c>
      <c r="F401" s="1" t="str">
        <f t="shared" ref="F401:I401" si="712">"0"</f>
        <v>0</v>
      </c>
      <c r="G401" s="1" t="str">
        <f t="shared" si="712"/>
        <v>0</v>
      </c>
      <c r="H401" s="1" t="str">
        <f t="shared" si="712"/>
        <v>0</v>
      </c>
      <c r="I401" s="1" t="str">
        <f t="shared" si="712"/>
        <v>0</v>
      </c>
      <c r="J401" s="1" t="str">
        <f>"12"</f>
        <v>12</v>
      </c>
      <c r="K401" s="1" t="str">
        <f t="shared" ref="K401:P401" si="713">"0"</f>
        <v>0</v>
      </c>
      <c r="L401" s="1" t="str">
        <f t="shared" si="713"/>
        <v>0</v>
      </c>
      <c r="M401" s="1" t="str">
        <f t="shared" si="713"/>
        <v>0</v>
      </c>
      <c r="N401" s="1" t="str">
        <f t="shared" si="713"/>
        <v>0</v>
      </c>
      <c r="O401" s="1" t="str">
        <f t="shared" si="713"/>
        <v>0</v>
      </c>
      <c r="P401" s="1" t="str">
        <f t="shared" si="713"/>
        <v>0</v>
      </c>
      <c r="Q401" s="1" t="str">
        <f t="shared" si="684"/>
        <v>0.0070</v>
      </c>
      <c r="R401" s="1" t="s">
        <v>29</v>
      </c>
      <c r="S401" s="1">
        <v>-0.0014</v>
      </c>
      <c r="T401" s="1" t="str">
        <f t="shared" si="685"/>
        <v>0</v>
      </c>
      <c r="U401" s="1" t="str">
        <f t="shared" si="705"/>
        <v>0.0056</v>
      </c>
    </row>
    <row r="402" s="1" customFormat="1" spans="1:21">
      <c r="A402" s="1" t="str">
        <f>"4601991425902"</f>
        <v>4601991425902</v>
      </c>
      <c r="B402" s="1" t="s">
        <v>426</v>
      </c>
      <c r="C402" s="1" t="s">
        <v>24</v>
      </c>
      <c r="D402" s="1" t="str">
        <f t="shared" si="681"/>
        <v>2021</v>
      </c>
      <c r="E402" s="1" t="str">
        <f t="shared" ref="E402:P402" si="714">"0"</f>
        <v>0</v>
      </c>
      <c r="F402" s="1" t="str">
        <f t="shared" si="714"/>
        <v>0</v>
      </c>
      <c r="G402" s="1" t="str">
        <f t="shared" si="714"/>
        <v>0</v>
      </c>
      <c r="H402" s="1" t="str">
        <f t="shared" si="714"/>
        <v>0</v>
      </c>
      <c r="I402" s="1" t="str">
        <f t="shared" si="714"/>
        <v>0</v>
      </c>
      <c r="J402" s="1" t="str">
        <f t="shared" si="714"/>
        <v>0</v>
      </c>
      <c r="K402" s="1" t="str">
        <f t="shared" si="714"/>
        <v>0</v>
      </c>
      <c r="L402" s="1" t="str">
        <f t="shared" si="714"/>
        <v>0</v>
      </c>
      <c r="M402" s="1" t="str">
        <f t="shared" si="714"/>
        <v>0</v>
      </c>
      <c r="N402" s="1" t="str">
        <f t="shared" si="714"/>
        <v>0</v>
      </c>
      <c r="O402" s="1" t="str">
        <f t="shared" si="714"/>
        <v>0</v>
      </c>
      <c r="P402" s="1" t="str">
        <f t="shared" si="714"/>
        <v>0</v>
      </c>
      <c r="Q402" s="1" t="str">
        <f t="shared" si="684"/>
        <v>0.0070</v>
      </c>
      <c r="R402" s="1" t="s">
        <v>25</v>
      </c>
      <c r="T402" s="1" t="str">
        <f t="shared" si="685"/>
        <v>0</v>
      </c>
      <c r="U402" s="1" t="str">
        <f t="shared" ref="U402:U407" si="715">"0.0070"</f>
        <v>0.0070</v>
      </c>
    </row>
    <row r="403" s="1" customFormat="1" spans="1:21">
      <c r="A403" s="1" t="str">
        <f>"4601991424006"</f>
        <v>4601991424006</v>
      </c>
      <c r="B403" s="1" t="s">
        <v>427</v>
      </c>
      <c r="C403" s="1" t="s">
        <v>24</v>
      </c>
      <c r="D403" s="1" t="str">
        <f t="shared" si="681"/>
        <v>2021</v>
      </c>
      <c r="E403" s="1" t="str">
        <f>"19.34"</f>
        <v>19.34</v>
      </c>
      <c r="F403" s="1" t="str">
        <f t="shared" ref="F403:I403" si="716">"0"</f>
        <v>0</v>
      </c>
      <c r="G403" s="1" t="str">
        <f t="shared" si="716"/>
        <v>0</v>
      </c>
      <c r="H403" s="1" t="str">
        <f t="shared" si="716"/>
        <v>0</v>
      </c>
      <c r="I403" s="1" t="str">
        <f t="shared" si="716"/>
        <v>0</v>
      </c>
      <c r="J403" s="1" t="str">
        <f>"2"</f>
        <v>2</v>
      </c>
      <c r="K403" s="1" t="str">
        <f t="shared" ref="K403:P403" si="717">"0"</f>
        <v>0</v>
      </c>
      <c r="L403" s="1" t="str">
        <f t="shared" si="717"/>
        <v>0</v>
      </c>
      <c r="M403" s="1" t="str">
        <f t="shared" si="717"/>
        <v>0</v>
      </c>
      <c r="N403" s="1" t="str">
        <f t="shared" si="717"/>
        <v>0</v>
      </c>
      <c r="O403" s="1" t="str">
        <f t="shared" si="717"/>
        <v>0</v>
      </c>
      <c r="P403" s="1" t="str">
        <f t="shared" si="717"/>
        <v>0</v>
      </c>
      <c r="Q403" s="1" t="str">
        <f t="shared" si="684"/>
        <v>0.0070</v>
      </c>
      <c r="R403" s="1" t="s">
        <v>29</v>
      </c>
      <c r="S403" s="1">
        <v>-0.0014</v>
      </c>
      <c r="T403" s="1" t="str">
        <f t="shared" si="685"/>
        <v>0</v>
      </c>
      <c r="U403" s="1" t="str">
        <f t="shared" ref="U403:U405" si="718">"0.0056"</f>
        <v>0.0056</v>
      </c>
    </row>
    <row r="404" s="1" customFormat="1" spans="1:21">
      <c r="A404" s="1" t="str">
        <f>"4601991424602"</f>
        <v>4601991424602</v>
      </c>
      <c r="B404" s="1" t="s">
        <v>428</v>
      </c>
      <c r="C404" s="1" t="s">
        <v>24</v>
      </c>
      <c r="D404" s="1" t="str">
        <f t="shared" si="681"/>
        <v>2021</v>
      </c>
      <c r="E404" s="1" t="str">
        <f>"145.05"</f>
        <v>145.05</v>
      </c>
      <c r="F404" s="1" t="str">
        <f t="shared" ref="F404:I404" si="719">"0"</f>
        <v>0</v>
      </c>
      <c r="G404" s="1" t="str">
        <f t="shared" si="719"/>
        <v>0</v>
      </c>
      <c r="H404" s="1" t="str">
        <f t="shared" si="719"/>
        <v>0</v>
      </c>
      <c r="I404" s="1" t="str">
        <f t="shared" si="719"/>
        <v>0</v>
      </c>
      <c r="J404" s="1" t="str">
        <f>"15"</f>
        <v>15</v>
      </c>
      <c r="K404" s="1" t="str">
        <f t="shared" ref="K404:P404" si="720">"0"</f>
        <v>0</v>
      </c>
      <c r="L404" s="1" t="str">
        <f t="shared" si="720"/>
        <v>0</v>
      </c>
      <c r="M404" s="1" t="str">
        <f t="shared" si="720"/>
        <v>0</v>
      </c>
      <c r="N404" s="1" t="str">
        <f t="shared" si="720"/>
        <v>0</v>
      </c>
      <c r="O404" s="1" t="str">
        <f t="shared" si="720"/>
        <v>0</v>
      </c>
      <c r="P404" s="1" t="str">
        <f t="shared" si="720"/>
        <v>0</v>
      </c>
      <c r="Q404" s="1" t="str">
        <f t="shared" si="684"/>
        <v>0.0070</v>
      </c>
      <c r="R404" s="1" t="s">
        <v>29</v>
      </c>
      <c r="S404" s="1">
        <v>-0.0014</v>
      </c>
      <c r="T404" s="1" t="str">
        <f t="shared" si="685"/>
        <v>0</v>
      </c>
      <c r="U404" s="1" t="str">
        <f t="shared" si="718"/>
        <v>0.0056</v>
      </c>
    </row>
    <row r="405" s="1" customFormat="1" spans="1:21">
      <c r="A405" s="1" t="str">
        <f>"4601991424002"</f>
        <v>4601991424002</v>
      </c>
      <c r="B405" s="1" t="s">
        <v>429</v>
      </c>
      <c r="C405" s="1" t="s">
        <v>24</v>
      </c>
      <c r="D405" s="1" t="str">
        <f t="shared" si="681"/>
        <v>2021</v>
      </c>
      <c r="E405" s="1" t="str">
        <f>"12.09"</f>
        <v>12.09</v>
      </c>
      <c r="F405" s="1" t="str">
        <f t="shared" ref="F405:I405" si="721">"0"</f>
        <v>0</v>
      </c>
      <c r="G405" s="1" t="str">
        <f t="shared" si="721"/>
        <v>0</v>
      </c>
      <c r="H405" s="1" t="str">
        <f t="shared" si="721"/>
        <v>0</v>
      </c>
      <c r="I405" s="1" t="str">
        <f t="shared" si="721"/>
        <v>0</v>
      </c>
      <c r="J405" s="1" t="str">
        <f>"1"</f>
        <v>1</v>
      </c>
      <c r="K405" s="1" t="str">
        <f t="shared" ref="K405:P405" si="722">"0"</f>
        <v>0</v>
      </c>
      <c r="L405" s="1" t="str">
        <f t="shared" si="722"/>
        <v>0</v>
      </c>
      <c r="M405" s="1" t="str">
        <f t="shared" si="722"/>
        <v>0</v>
      </c>
      <c r="N405" s="1" t="str">
        <f t="shared" si="722"/>
        <v>0</v>
      </c>
      <c r="O405" s="1" t="str">
        <f t="shared" si="722"/>
        <v>0</v>
      </c>
      <c r="P405" s="1" t="str">
        <f t="shared" si="722"/>
        <v>0</v>
      </c>
      <c r="Q405" s="1" t="str">
        <f t="shared" si="684"/>
        <v>0.0070</v>
      </c>
      <c r="R405" s="1" t="s">
        <v>29</v>
      </c>
      <c r="S405" s="1">
        <v>-0.0014</v>
      </c>
      <c r="T405" s="1" t="str">
        <f t="shared" si="685"/>
        <v>0</v>
      </c>
      <c r="U405" s="1" t="str">
        <f t="shared" si="718"/>
        <v>0.0056</v>
      </c>
    </row>
    <row r="406" s="1" customFormat="1" spans="1:21">
      <c r="A406" s="1" t="str">
        <f>"4601991425288"</f>
        <v>4601991425288</v>
      </c>
      <c r="B406" s="1" t="s">
        <v>430</v>
      </c>
      <c r="C406" s="1" t="s">
        <v>24</v>
      </c>
      <c r="D406" s="1" t="str">
        <f t="shared" si="681"/>
        <v>2021</v>
      </c>
      <c r="E406" s="1" t="str">
        <f t="shared" ref="E406:P406" si="723">"0"</f>
        <v>0</v>
      </c>
      <c r="F406" s="1" t="str">
        <f t="shared" si="723"/>
        <v>0</v>
      </c>
      <c r="G406" s="1" t="str">
        <f t="shared" si="723"/>
        <v>0</v>
      </c>
      <c r="H406" s="1" t="str">
        <f t="shared" si="723"/>
        <v>0</v>
      </c>
      <c r="I406" s="1" t="str">
        <f t="shared" si="723"/>
        <v>0</v>
      </c>
      <c r="J406" s="1" t="str">
        <f t="shared" si="723"/>
        <v>0</v>
      </c>
      <c r="K406" s="1" t="str">
        <f t="shared" si="723"/>
        <v>0</v>
      </c>
      <c r="L406" s="1" t="str">
        <f t="shared" si="723"/>
        <v>0</v>
      </c>
      <c r="M406" s="1" t="str">
        <f t="shared" si="723"/>
        <v>0</v>
      </c>
      <c r="N406" s="1" t="str">
        <f t="shared" si="723"/>
        <v>0</v>
      </c>
      <c r="O406" s="1" t="str">
        <f t="shared" si="723"/>
        <v>0</v>
      </c>
      <c r="P406" s="1" t="str">
        <f t="shared" si="723"/>
        <v>0</v>
      </c>
      <c r="Q406" s="1" t="str">
        <f t="shared" si="684"/>
        <v>0.0070</v>
      </c>
      <c r="R406" s="1" t="s">
        <v>25</v>
      </c>
      <c r="T406" s="1" t="str">
        <f t="shared" si="685"/>
        <v>0</v>
      </c>
      <c r="U406" s="1" t="str">
        <f t="shared" si="715"/>
        <v>0.0070</v>
      </c>
    </row>
    <row r="407" s="1" customFormat="1" spans="1:21">
      <c r="A407" s="1" t="str">
        <f>"4601991424609"</f>
        <v>4601991424609</v>
      </c>
      <c r="B407" s="1" t="s">
        <v>431</v>
      </c>
      <c r="C407" s="1" t="s">
        <v>24</v>
      </c>
      <c r="D407" s="1" t="str">
        <f t="shared" si="681"/>
        <v>2021</v>
      </c>
      <c r="E407" s="1" t="str">
        <f t="shared" ref="E407:P407" si="724">"0"</f>
        <v>0</v>
      </c>
      <c r="F407" s="1" t="str">
        <f t="shared" si="724"/>
        <v>0</v>
      </c>
      <c r="G407" s="1" t="str">
        <f t="shared" si="724"/>
        <v>0</v>
      </c>
      <c r="H407" s="1" t="str">
        <f t="shared" si="724"/>
        <v>0</v>
      </c>
      <c r="I407" s="1" t="str">
        <f t="shared" si="724"/>
        <v>0</v>
      </c>
      <c r="J407" s="1" t="str">
        <f t="shared" si="724"/>
        <v>0</v>
      </c>
      <c r="K407" s="1" t="str">
        <f t="shared" si="724"/>
        <v>0</v>
      </c>
      <c r="L407" s="1" t="str">
        <f t="shared" si="724"/>
        <v>0</v>
      </c>
      <c r="M407" s="1" t="str">
        <f t="shared" si="724"/>
        <v>0</v>
      </c>
      <c r="N407" s="1" t="str">
        <f t="shared" si="724"/>
        <v>0</v>
      </c>
      <c r="O407" s="1" t="str">
        <f t="shared" si="724"/>
        <v>0</v>
      </c>
      <c r="P407" s="1" t="str">
        <f t="shared" si="724"/>
        <v>0</v>
      </c>
      <c r="Q407" s="1" t="str">
        <f t="shared" si="684"/>
        <v>0.0070</v>
      </c>
      <c r="R407" s="1" t="s">
        <v>25</v>
      </c>
      <c r="T407" s="1" t="str">
        <f t="shared" si="685"/>
        <v>0</v>
      </c>
      <c r="U407" s="1" t="str">
        <f t="shared" si="715"/>
        <v>0.0070</v>
      </c>
    </row>
    <row r="408" s="1" customFormat="1" spans="1:21">
      <c r="A408" s="1" t="str">
        <f>"4601991425922"</f>
        <v>4601991425922</v>
      </c>
      <c r="B408" s="1" t="s">
        <v>432</v>
      </c>
      <c r="C408" s="1" t="s">
        <v>24</v>
      </c>
      <c r="D408" s="1" t="str">
        <f t="shared" si="681"/>
        <v>2021</v>
      </c>
      <c r="E408" s="1" t="str">
        <f>"29.14"</f>
        <v>29.14</v>
      </c>
      <c r="F408" s="1" t="str">
        <f t="shared" ref="F408:I408" si="725">"0"</f>
        <v>0</v>
      </c>
      <c r="G408" s="1" t="str">
        <f t="shared" si="725"/>
        <v>0</v>
      </c>
      <c r="H408" s="1" t="str">
        <f t="shared" si="725"/>
        <v>0</v>
      </c>
      <c r="I408" s="1" t="str">
        <f t="shared" si="725"/>
        <v>0</v>
      </c>
      <c r="J408" s="1" t="str">
        <f>"3"</f>
        <v>3</v>
      </c>
      <c r="K408" s="1" t="str">
        <f t="shared" ref="K408:P408" si="726">"0"</f>
        <v>0</v>
      </c>
      <c r="L408" s="1" t="str">
        <f t="shared" si="726"/>
        <v>0</v>
      </c>
      <c r="M408" s="1" t="str">
        <f t="shared" si="726"/>
        <v>0</v>
      </c>
      <c r="N408" s="1" t="str">
        <f t="shared" si="726"/>
        <v>0</v>
      </c>
      <c r="O408" s="1" t="str">
        <f t="shared" si="726"/>
        <v>0</v>
      </c>
      <c r="P408" s="1" t="str">
        <f t="shared" si="726"/>
        <v>0</v>
      </c>
      <c r="Q408" s="1" t="str">
        <f t="shared" si="684"/>
        <v>0.0070</v>
      </c>
      <c r="R408" s="1" t="s">
        <v>29</v>
      </c>
      <c r="S408" s="1">
        <v>-0.0014</v>
      </c>
      <c r="T408" s="1" t="str">
        <f t="shared" si="685"/>
        <v>0</v>
      </c>
      <c r="U408" s="1" t="str">
        <f t="shared" ref="U408:U411" si="727">"0.0056"</f>
        <v>0.0056</v>
      </c>
    </row>
    <row r="409" s="1" customFormat="1" spans="1:21">
      <c r="A409" s="1" t="str">
        <f>"4601991425941"</f>
        <v>4601991425941</v>
      </c>
      <c r="B409" s="1" t="s">
        <v>433</v>
      </c>
      <c r="C409" s="1" t="s">
        <v>24</v>
      </c>
      <c r="D409" s="1" t="str">
        <f t="shared" si="681"/>
        <v>2021</v>
      </c>
      <c r="E409" s="1" t="str">
        <f>"29.01"</f>
        <v>29.01</v>
      </c>
      <c r="F409" s="1" t="str">
        <f t="shared" ref="F409:I409" si="728">"0"</f>
        <v>0</v>
      </c>
      <c r="G409" s="1" t="str">
        <f t="shared" si="728"/>
        <v>0</v>
      </c>
      <c r="H409" s="1" t="str">
        <f t="shared" si="728"/>
        <v>0</v>
      </c>
      <c r="I409" s="1" t="str">
        <f t="shared" si="728"/>
        <v>0</v>
      </c>
      <c r="J409" s="1" t="str">
        <f>"3"</f>
        <v>3</v>
      </c>
      <c r="K409" s="1" t="str">
        <f t="shared" ref="K409:P409" si="729">"0"</f>
        <v>0</v>
      </c>
      <c r="L409" s="1" t="str">
        <f t="shared" si="729"/>
        <v>0</v>
      </c>
      <c r="M409" s="1" t="str">
        <f t="shared" si="729"/>
        <v>0</v>
      </c>
      <c r="N409" s="1" t="str">
        <f t="shared" si="729"/>
        <v>0</v>
      </c>
      <c r="O409" s="1" t="str">
        <f t="shared" si="729"/>
        <v>0</v>
      </c>
      <c r="P409" s="1" t="str">
        <f t="shared" si="729"/>
        <v>0</v>
      </c>
      <c r="Q409" s="1" t="str">
        <f t="shared" si="684"/>
        <v>0.0070</v>
      </c>
      <c r="R409" s="1" t="s">
        <v>29</v>
      </c>
      <c r="S409" s="1">
        <v>-0.0014</v>
      </c>
      <c r="T409" s="1" t="str">
        <f t="shared" si="685"/>
        <v>0</v>
      </c>
      <c r="U409" s="1" t="str">
        <f t="shared" si="727"/>
        <v>0.0056</v>
      </c>
    </row>
    <row r="410" s="1" customFormat="1" spans="1:21">
      <c r="A410" s="1" t="str">
        <f>"4601991425926"</f>
        <v>4601991425926</v>
      </c>
      <c r="B410" s="1" t="s">
        <v>434</v>
      </c>
      <c r="C410" s="1" t="s">
        <v>24</v>
      </c>
      <c r="D410" s="1" t="str">
        <f t="shared" si="681"/>
        <v>2021</v>
      </c>
      <c r="E410" s="1" t="str">
        <f t="shared" ref="E410:P410" si="730">"0"</f>
        <v>0</v>
      </c>
      <c r="F410" s="1" t="str">
        <f t="shared" si="730"/>
        <v>0</v>
      </c>
      <c r="G410" s="1" t="str">
        <f t="shared" si="730"/>
        <v>0</v>
      </c>
      <c r="H410" s="1" t="str">
        <f t="shared" si="730"/>
        <v>0</v>
      </c>
      <c r="I410" s="1" t="str">
        <f t="shared" si="730"/>
        <v>0</v>
      </c>
      <c r="J410" s="1" t="str">
        <f t="shared" si="730"/>
        <v>0</v>
      </c>
      <c r="K410" s="1" t="str">
        <f t="shared" si="730"/>
        <v>0</v>
      </c>
      <c r="L410" s="1" t="str">
        <f t="shared" si="730"/>
        <v>0</v>
      </c>
      <c r="M410" s="1" t="str">
        <f t="shared" si="730"/>
        <v>0</v>
      </c>
      <c r="N410" s="1" t="str">
        <f t="shared" si="730"/>
        <v>0</v>
      </c>
      <c r="O410" s="1" t="str">
        <f t="shared" si="730"/>
        <v>0</v>
      </c>
      <c r="P410" s="1" t="str">
        <f t="shared" si="730"/>
        <v>0</v>
      </c>
      <c r="Q410" s="1" t="str">
        <f t="shared" si="684"/>
        <v>0.0070</v>
      </c>
      <c r="R410" s="1" t="s">
        <v>25</v>
      </c>
      <c r="T410" s="1" t="str">
        <f t="shared" si="685"/>
        <v>0</v>
      </c>
      <c r="U410" s="1" t="str">
        <f t="shared" ref="U410:U413" si="731">"0.0070"</f>
        <v>0.0070</v>
      </c>
    </row>
    <row r="411" s="1" customFormat="1" spans="1:21">
      <c r="A411" s="1" t="str">
        <f>"4601991425924"</f>
        <v>4601991425924</v>
      </c>
      <c r="B411" s="1" t="s">
        <v>435</v>
      </c>
      <c r="C411" s="1" t="s">
        <v>24</v>
      </c>
      <c r="D411" s="1" t="str">
        <f t="shared" si="681"/>
        <v>2021</v>
      </c>
      <c r="E411" s="1" t="str">
        <f>"38.68"</f>
        <v>38.68</v>
      </c>
      <c r="F411" s="1" t="str">
        <f t="shared" ref="F411:I411" si="732">"0"</f>
        <v>0</v>
      </c>
      <c r="G411" s="1" t="str">
        <f t="shared" si="732"/>
        <v>0</v>
      </c>
      <c r="H411" s="1" t="str">
        <f t="shared" si="732"/>
        <v>0</v>
      </c>
      <c r="I411" s="1" t="str">
        <f t="shared" si="732"/>
        <v>0</v>
      </c>
      <c r="J411" s="1" t="str">
        <f>"4"</f>
        <v>4</v>
      </c>
      <c r="K411" s="1" t="str">
        <f t="shared" ref="K411:P411" si="733">"0"</f>
        <v>0</v>
      </c>
      <c r="L411" s="1" t="str">
        <f t="shared" si="733"/>
        <v>0</v>
      </c>
      <c r="M411" s="1" t="str">
        <f t="shared" si="733"/>
        <v>0</v>
      </c>
      <c r="N411" s="1" t="str">
        <f t="shared" si="733"/>
        <v>0</v>
      </c>
      <c r="O411" s="1" t="str">
        <f t="shared" si="733"/>
        <v>0</v>
      </c>
      <c r="P411" s="1" t="str">
        <f t="shared" si="733"/>
        <v>0</v>
      </c>
      <c r="Q411" s="1" t="str">
        <f t="shared" si="684"/>
        <v>0.0070</v>
      </c>
      <c r="R411" s="1" t="s">
        <v>29</v>
      </c>
      <c r="S411" s="1">
        <v>-0.0014</v>
      </c>
      <c r="T411" s="1" t="str">
        <f t="shared" si="685"/>
        <v>0</v>
      </c>
      <c r="U411" s="1" t="str">
        <f t="shared" si="727"/>
        <v>0.0056</v>
      </c>
    </row>
    <row r="412" s="1" customFormat="1" spans="1:21">
      <c r="A412" s="1" t="str">
        <f>"4601991424032"</f>
        <v>4601991424032</v>
      </c>
      <c r="B412" s="1" t="s">
        <v>436</v>
      </c>
      <c r="C412" s="1" t="s">
        <v>24</v>
      </c>
      <c r="D412" s="1" t="str">
        <f t="shared" si="681"/>
        <v>2021</v>
      </c>
      <c r="E412" s="1" t="str">
        <f t="shared" ref="E412:P412" si="734">"0"</f>
        <v>0</v>
      </c>
      <c r="F412" s="1" t="str">
        <f t="shared" si="734"/>
        <v>0</v>
      </c>
      <c r="G412" s="1" t="str">
        <f t="shared" si="734"/>
        <v>0</v>
      </c>
      <c r="H412" s="1" t="str">
        <f t="shared" si="734"/>
        <v>0</v>
      </c>
      <c r="I412" s="1" t="str">
        <f t="shared" si="734"/>
        <v>0</v>
      </c>
      <c r="J412" s="1" t="str">
        <f t="shared" si="734"/>
        <v>0</v>
      </c>
      <c r="K412" s="1" t="str">
        <f t="shared" si="734"/>
        <v>0</v>
      </c>
      <c r="L412" s="1" t="str">
        <f t="shared" si="734"/>
        <v>0</v>
      </c>
      <c r="M412" s="1" t="str">
        <f t="shared" si="734"/>
        <v>0</v>
      </c>
      <c r="N412" s="1" t="str">
        <f t="shared" si="734"/>
        <v>0</v>
      </c>
      <c r="O412" s="1" t="str">
        <f t="shared" si="734"/>
        <v>0</v>
      </c>
      <c r="P412" s="1" t="str">
        <f t="shared" si="734"/>
        <v>0</v>
      </c>
      <c r="Q412" s="1" t="str">
        <f t="shared" si="684"/>
        <v>0.0070</v>
      </c>
      <c r="R412" s="1" t="s">
        <v>25</v>
      </c>
      <c r="T412" s="1" t="str">
        <f t="shared" si="685"/>
        <v>0</v>
      </c>
      <c r="U412" s="1" t="str">
        <f t="shared" si="731"/>
        <v>0.0070</v>
      </c>
    </row>
    <row r="413" s="1" customFormat="1" spans="1:21">
      <c r="A413" s="1" t="str">
        <f>"4601991425950"</f>
        <v>4601991425950</v>
      </c>
      <c r="B413" s="1" t="s">
        <v>437</v>
      </c>
      <c r="C413" s="1" t="s">
        <v>24</v>
      </c>
      <c r="D413" s="1" t="str">
        <f t="shared" si="681"/>
        <v>2021</v>
      </c>
      <c r="E413" s="1" t="str">
        <f t="shared" ref="E413:P413" si="735">"0"</f>
        <v>0</v>
      </c>
      <c r="F413" s="1" t="str">
        <f t="shared" si="735"/>
        <v>0</v>
      </c>
      <c r="G413" s="1" t="str">
        <f t="shared" si="735"/>
        <v>0</v>
      </c>
      <c r="H413" s="1" t="str">
        <f t="shared" si="735"/>
        <v>0</v>
      </c>
      <c r="I413" s="1" t="str">
        <f t="shared" si="735"/>
        <v>0</v>
      </c>
      <c r="J413" s="1" t="str">
        <f t="shared" si="735"/>
        <v>0</v>
      </c>
      <c r="K413" s="1" t="str">
        <f t="shared" si="735"/>
        <v>0</v>
      </c>
      <c r="L413" s="1" t="str">
        <f t="shared" si="735"/>
        <v>0</v>
      </c>
      <c r="M413" s="1" t="str">
        <f t="shared" si="735"/>
        <v>0</v>
      </c>
      <c r="N413" s="1" t="str">
        <f t="shared" si="735"/>
        <v>0</v>
      </c>
      <c r="O413" s="1" t="str">
        <f t="shared" si="735"/>
        <v>0</v>
      </c>
      <c r="P413" s="1" t="str">
        <f t="shared" si="735"/>
        <v>0</v>
      </c>
      <c r="Q413" s="1" t="str">
        <f t="shared" si="684"/>
        <v>0.0070</v>
      </c>
      <c r="R413" s="1" t="s">
        <v>25</v>
      </c>
      <c r="T413" s="1" t="str">
        <f t="shared" si="685"/>
        <v>0</v>
      </c>
      <c r="U413" s="1" t="str">
        <f t="shared" si="731"/>
        <v>0.0070</v>
      </c>
    </row>
    <row r="414" s="1" customFormat="1" spans="1:21">
      <c r="A414" s="1" t="str">
        <f>"4601991425943"</f>
        <v>4601991425943</v>
      </c>
      <c r="B414" s="1" t="s">
        <v>438</v>
      </c>
      <c r="C414" s="1" t="s">
        <v>24</v>
      </c>
      <c r="D414" s="1" t="str">
        <f t="shared" si="681"/>
        <v>2021</v>
      </c>
      <c r="E414" s="1" t="str">
        <f>"777.09"</f>
        <v>777.09</v>
      </c>
      <c r="F414" s="1" t="str">
        <f t="shared" ref="F414:I414" si="736">"0"</f>
        <v>0</v>
      </c>
      <c r="G414" s="1" t="str">
        <f t="shared" si="736"/>
        <v>0</v>
      </c>
      <c r="H414" s="1" t="str">
        <f t="shared" si="736"/>
        <v>0</v>
      </c>
      <c r="I414" s="1" t="str">
        <f t="shared" si="736"/>
        <v>0</v>
      </c>
      <c r="J414" s="1" t="str">
        <f>"80"</f>
        <v>80</v>
      </c>
      <c r="K414" s="1" t="str">
        <f t="shared" ref="K414:P414" si="737">"0"</f>
        <v>0</v>
      </c>
      <c r="L414" s="1" t="str">
        <f t="shared" si="737"/>
        <v>0</v>
      </c>
      <c r="M414" s="1" t="str">
        <f t="shared" si="737"/>
        <v>0</v>
      </c>
      <c r="N414" s="1" t="str">
        <f t="shared" si="737"/>
        <v>0</v>
      </c>
      <c r="O414" s="1" t="str">
        <f t="shared" si="737"/>
        <v>0</v>
      </c>
      <c r="P414" s="1" t="str">
        <f t="shared" si="737"/>
        <v>0</v>
      </c>
      <c r="Q414" s="1" t="str">
        <f t="shared" si="684"/>
        <v>0.0070</v>
      </c>
      <c r="R414" s="1" t="s">
        <v>29</v>
      </c>
      <c r="S414" s="1">
        <v>-0.0014</v>
      </c>
      <c r="T414" s="1" t="str">
        <f t="shared" si="685"/>
        <v>0</v>
      </c>
      <c r="U414" s="1" t="str">
        <f t="shared" ref="U414:U419" si="738">"0.0056"</f>
        <v>0.0056</v>
      </c>
    </row>
    <row r="415" s="1" customFormat="1" spans="1:21">
      <c r="A415" s="1" t="str">
        <f>"4601991424048"</f>
        <v>4601991424048</v>
      </c>
      <c r="B415" s="1" t="s">
        <v>439</v>
      </c>
      <c r="C415" s="1" t="s">
        <v>24</v>
      </c>
      <c r="D415" s="1" t="str">
        <f t="shared" si="681"/>
        <v>2021</v>
      </c>
      <c r="E415" s="1" t="str">
        <f>"61.90"</f>
        <v>61.90</v>
      </c>
      <c r="F415" s="1" t="str">
        <f t="shared" ref="F415:I415" si="739">"0"</f>
        <v>0</v>
      </c>
      <c r="G415" s="1" t="str">
        <f t="shared" si="739"/>
        <v>0</v>
      </c>
      <c r="H415" s="1" t="str">
        <f t="shared" si="739"/>
        <v>0</v>
      </c>
      <c r="I415" s="1" t="str">
        <f t="shared" si="739"/>
        <v>0</v>
      </c>
      <c r="J415" s="1" t="str">
        <f>"7"</f>
        <v>7</v>
      </c>
      <c r="K415" s="1" t="str">
        <f t="shared" ref="K415:P415" si="740">"0"</f>
        <v>0</v>
      </c>
      <c r="L415" s="1" t="str">
        <f t="shared" si="740"/>
        <v>0</v>
      </c>
      <c r="M415" s="1" t="str">
        <f t="shared" si="740"/>
        <v>0</v>
      </c>
      <c r="N415" s="1" t="str">
        <f t="shared" si="740"/>
        <v>0</v>
      </c>
      <c r="O415" s="1" t="str">
        <f t="shared" si="740"/>
        <v>0</v>
      </c>
      <c r="P415" s="1" t="str">
        <f t="shared" si="740"/>
        <v>0</v>
      </c>
      <c r="Q415" s="1" t="str">
        <f t="shared" si="684"/>
        <v>0.0070</v>
      </c>
      <c r="R415" s="1" t="s">
        <v>29</v>
      </c>
      <c r="S415" s="1">
        <v>-0.0014</v>
      </c>
      <c r="T415" s="1" t="str">
        <f t="shared" si="685"/>
        <v>0</v>
      </c>
      <c r="U415" s="1" t="str">
        <f t="shared" si="738"/>
        <v>0.0056</v>
      </c>
    </row>
    <row r="416" s="1" customFormat="1" spans="1:21">
      <c r="A416" s="1" t="str">
        <f>"4601991424672"</f>
        <v>4601991424672</v>
      </c>
      <c r="B416" s="1" t="s">
        <v>440</v>
      </c>
      <c r="C416" s="1" t="s">
        <v>24</v>
      </c>
      <c r="D416" s="1" t="str">
        <f t="shared" si="681"/>
        <v>2021</v>
      </c>
      <c r="E416" s="1" t="str">
        <f>"38.81"</f>
        <v>38.81</v>
      </c>
      <c r="F416" s="1" t="str">
        <f t="shared" ref="F416:I416" si="741">"0"</f>
        <v>0</v>
      </c>
      <c r="G416" s="1" t="str">
        <f t="shared" si="741"/>
        <v>0</v>
      </c>
      <c r="H416" s="1" t="str">
        <f t="shared" si="741"/>
        <v>0</v>
      </c>
      <c r="I416" s="1" t="str">
        <f t="shared" si="741"/>
        <v>0</v>
      </c>
      <c r="J416" s="1" t="str">
        <f>"4"</f>
        <v>4</v>
      </c>
      <c r="K416" s="1" t="str">
        <f t="shared" ref="K416:P416" si="742">"0"</f>
        <v>0</v>
      </c>
      <c r="L416" s="1" t="str">
        <f t="shared" si="742"/>
        <v>0</v>
      </c>
      <c r="M416" s="1" t="str">
        <f t="shared" si="742"/>
        <v>0</v>
      </c>
      <c r="N416" s="1" t="str">
        <f t="shared" si="742"/>
        <v>0</v>
      </c>
      <c r="O416" s="1" t="str">
        <f t="shared" si="742"/>
        <v>0</v>
      </c>
      <c r="P416" s="1" t="str">
        <f t="shared" si="742"/>
        <v>0</v>
      </c>
      <c r="Q416" s="1" t="str">
        <f t="shared" si="684"/>
        <v>0.0070</v>
      </c>
      <c r="R416" s="1" t="s">
        <v>29</v>
      </c>
      <c r="S416" s="1">
        <v>-0.0014</v>
      </c>
      <c r="T416" s="1" t="str">
        <f t="shared" si="685"/>
        <v>0</v>
      </c>
      <c r="U416" s="1" t="str">
        <f t="shared" si="738"/>
        <v>0.0056</v>
      </c>
    </row>
    <row r="417" s="1" customFormat="1" spans="1:21">
      <c r="A417" s="1" t="str">
        <f>"4601991425318"</f>
        <v>4601991425318</v>
      </c>
      <c r="B417" s="1" t="s">
        <v>441</v>
      </c>
      <c r="C417" s="1" t="s">
        <v>24</v>
      </c>
      <c r="D417" s="1" t="str">
        <f t="shared" si="681"/>
        <v>2021</v>
      </c>
      <c r="E417" s="1" t="str">
        <f>"19.34"</f>
        <v>19.34</v>
      </c>
      <c r="F417" s="1" t="str">
        <f t="shared" ref="F417:I417" si="743">"0"</f>
        <v>0</v>
      </c>
      <c r="G417" s="1" t="str">
        <f t="shared" si="743"/>
        <v>0</v>
      </c>
      <c r="H417" s="1" t="str">
        <f t="shared" si="743"/>
        <v>0</v>
      </c>
      <c r="I417" s="1" t="str">
        <f t="shared" si="743"/>
        <v>0</v>
      </c>
      <c r="J417" s="1" t="str">
        <f>"3"</f>
        <v>3</v>
      </c>
      <c r="K417" s="1" t="str">
        <f t="shared" ref="K417:P417" si="744">"0"</f>
        <v>0</v>
      </c>
      <c r="L417" s="1" t="str">
        <f t="shared" si="744"/>
        <v>0</v>
      </c>
      <c r="M417" s="1" t="str">
        <f t="shared" si="744"/>
        <v>0</v>
      </c>
      <c r="N417" s="1" t="str">
        <f t="shared" si="744"/>
        <v>0</v>
      </c>
      <c r="O417" s="1" t="str">
        <f t="shared" si="744"/>
        <v>0</v>
      </c>
      <c r="P417" s="1" t="str">
        <f t="shared" si="744"/>
        <v>0</v>
      </c>
      <c r="Q417" s="1" t="str">
        <f t="shared" si="684"/>
        <v>0.0070</v>
      </c>
      <c r="R417" s="1" t="s">
        <v>29</v>
      </c>
      <c r="S417" s="1">
        <v>-0.0014</v>
      </c>
      <c r="T417" s="1" t="str">
        <f t="shared" si="685"/>
        <v>0</v>
      </c>
      <c r="U417" s="1" t="str">
        <f t="shared" si="738"/>
        <v>0.0056</v>
      </c>
    </row>
    <row r="418" s="1" customFormat="1" spans="1:21">
      <c r="A418" s="1" t="str">
        <f>"4601991425323"</f>
        <v>4601991425323</v>
      </c>
      <c r="B418" s="1" t="s">
        <v>442</v>
      </c>
      <c r="C418" s="1" t="s">
        <v>24</v>
      </c>
      <c r="D418" s="1" t="str">
        <f t="shared" si="681"/>
        <v>2021</v>
      </c>
      <c r="E418" s="1" t="str">
        <f>"9.67"</f>
        <v>9.67</v>
      </c>
      <c r="F418" s="1" t="str">
        <f t="shared" ref="F418:I418" si="745">"0"</f>
        <v>0</v>
      </c>
      <c r="G418" s="1" t="str">
        <f t="shared" si="745"/>
        <v>0</v>
      </c>
      <c r="H418" s="1" t="str">
        <f t="shared" si="745"/>
        <v>0</v>
      </c>
      <c r="I418" s="1" t="str">
        <f t="shared" si="745"/>
        <v>0</v>
      </c>
      <c r="J418" s="1" t="str">
        <f>"1"</f>
        <v>1</v>
      </c>
      <c r="K418" s="1" t="str">
        <f t="shared" ref="K418:P418" si="746">"0"</f>
        <v>0</v>
      </c>
      <c r="L418" s="1" t="str">
        <f t="shared" si="746"/>
        <v>0</v>
      </c>
      <c r="M418" s="1" t="str">
        <f t="shared" si="746"/>
        <v>0</v>
      </c>
      <c r="N418" s="1" t="str">
        <f t="shared" si="746"/>
        <v>0</v>
      </c>
      <c r="O418" s="1" t="str">
        <f t="shared" si="746"/>
        <v>0</v>
      </c>
      <c r="P418" s="1" t="str">
        <f t="shared" si="746"/>
        <v>0</v>
      </c>
      <c r="Q418" s="1" t="str">
        <f t="shared" si="684"/>
        <v>0.0070</v>
      </c>
      <c r="R418" s="1" t="s">
        <v>29</v>
      </c>
      <c r="S418" s="1">
        <v>-0.0014</v>
      </c>
      <c r="T418" s="1" t="str">
        <f t="shared" si="685"/>
        <v>0</v>
      </c>
      <c r="U418" s="1" t="str">
        <f t="shared" si="738"/>
        <v>0.0056</v>
      </c>
    </row>
    <row r="419" s="1" customFormat="1" spans="1:21">
      <c r="A419" s="1" t="str">
        <f>"4601991425321"</f>
        <v>4601991425321</v>
      </c>
      <c r="B419" s="1" t="s">
        <v>443</v>
      </c>
      <c r="C419" s="1" t="s">
        <v>24</v>
      </c>
      <c r="D419" s="1" t="str">
        <f t="shared" si="681"/>
        <v>2021</v>
      </c>
      <c r="E419" s="1" t="str">
        <f>"29.01"</f>
        <v>29.01</v>
      </c>
      <c r="F419" s="1" t="str">
        <f t="shared" ref="F419:I419" si="747">"0"</f>
        <v>0</v>
      </c>
      <c r="G419" s="1" t="str">
        <f t="shared" si="747"/>
        <v>0</v>
      </c>
      <c r="H419" s="1" t="str">
        <f t="shared" si="747"/>
        <v>0</v>
      </c>
      <c r="I419" s="1" t="str">
        <f t="shared" si="747"/>
        <v>0</v>
      </c>
      <c r="J419" s="1" t="str">
        <f>"2"</f>
        <v>2</v>
      </c>
      <c r="K419" s="1" t="str">
        <f t="shared" ref="K419:P419" si="748">"0"</f>
        <v>0</v>
      </c>
      <c r="L419" s="1" t="str">
        <f t="shared" si="748"/>
        <v>0</v>
      </c>
      <c r="M419" s="1" t="str">
        <f t="shared" si="748"/>
        <v>0</v>
      </c>
      <c r="N419" s="1" t="str">
        <f t="shared" si="748"/>
        <v>0</v>
      </c>
      <c r="O419" s="1" t="str">
        <f t="shared" si="748"/>
        <v>0</v>
      </c>
      <c r="P419" s="1" t="str">
        <f t="shared" si="748"/>
        <v>0</v>
      </c>
      <c r="Q419" s="1" t="str">
        <f t="shared" si="684"/>
        <v>0.0070</v>
      </c>
      <c r="R419" s="1" t="s">
        <v>29</v>
      </c>
      <c r="S419" s="1">
        <v>-0.0014</v>
      </c>
      <c r="T419" s="1" t="str">
        <f t="shared" si="685"/>
        <v>0</v>
      </c>
      <c r="U419" s="1" t="str">
        <f t="shared" si="738"/>
        <v>0.0056</v>
      </c>
    </row>
    <row r="420" s="1" customFormat="1" spans="1:21">
      <c r="A420" s="1" t="str">
        <f>"4601991424069"</f>
        <v>4601991424069</v>
      </c>
      <c r="B420" s="1" t="s">
        <v>444</v>
      </c>
      <c r="C420" s="1" t="s">
        <v>24</v>
      </c>
      <c r="D420" s="1" t="str">
        <f t="shared" si="681"/>
        <v>2021</v>
      </c>
      <c r="E420" s="1" t="str">
        <f>"203.07"</f>
        <v>203.07</v>
      </c>
      <c r="F420" s="1" t="str">
        <f t="shared" ref="F420:I420" si="749">"0"</f>
        <v>0</v>
      </c>
      <c r="G420" s="1" t="str">
        <f t="shared" si="749"/>
        <v>0</v>
      </c>
      <c r="H420" s="1" t="str">
        <f t="shared" si="749"/>
        <v>0</v>
      </c>
      <c r="I420" s="1" t="str">
        <f t="shared" si="749"/>
        <v>0</v>
      </c>
      <c r="J420" s="1" t="str">
        <f>"21"</f>
        <v>21</v>
      </c>
      <c r="K420" s="1" t="str">
        <f t="shared" ref="K420:P420" si="750">"0"</f>
        <v>0</v>
      </c>
      <c r="L420" s="1" t="str">
        <f t="shared" si="750"/>
        <v>0</v>
      </c>
      <c r="M420" s="1" t="str">
        <f t="shared" si="750"/>
        <v>0</v>
      </c>
      <c r="N420" s="1" t="str">
        <f t="shared" si="750"/>
        <v>0</v>
      </c>
      <c r="O420" s="1" t="str">
        <f t="shared" si="750"/>
        <v>0</v>
      </c>
      <c r="P420" s="1" t="str">
        <f t="shared" si="750"/>
        <v>0</v>
      </c>
      <c r="Q420" s="1" t="str">
        <f t="shared" si="684"/>
        <v>0.0070</v>
      </c>
      <c r="R420" s="1" t="s">
        <v>25</v>
      </c>
      <c r="T420" s="1" t="str">
        <f t="shared" si="685"/>
        <v>0</v>
      </c>
      <c r="U420" s="1" t="str">
        <f>"0.0070"</f>
        <v>0.0070</v>
      </c>
    </row>
    <row r="421" s="1" customFormat="1" spans="1:21">
      <c r="A421" s="1" t="str">
        <f>"4601991425369"</f>
        <v>4601991425369</v>
      </c>
      <c r="B421" s="1" t="s">
        <v>445</v>
      </c>
      <c r="C421" s="1" t="s">
        <v>24</v>
      </c>
      <c r="D421" s="1" t="str">
        <f t="shared" si="681"/>
        <v>2021</v>
      </c>
      <c r="E421" s="1" t="str">
        <f>"67.69"</f>
        <v>67.69</v>
      </c>
      <c r="F421" s="1" t="str">
        <f t="shared" ref="F421:I421" si="751">"0"</f>
        <v>0</v>
      </c>
      <c r="G421" s="1" t="str">
        <f t="shared" si="751"/>
        <v>0</v>
      </c>
      <c r="H421" s="1" t="str">
        <f t="shared" si="751"/>
        <v>0</v>
      </c>
      <c r="I421" s="1" t="str">
        <f t="shared" si="751"/>
        <v>0</v>
      </c>
      <c r="J421" s="1" t="str">
        <f>"8"</f>
        <v>8</v>
      </c>
      <c r="K421" s="1" t="str">
        <f t="shared" ref="K421:P421" si="752">"0"</f>
        <v>0</v>
      </c>
      <c r="L421" s="1" t="str">
        <f t="shared" si="752"/>
        <v>0</v>
      </c>
      <c r="M421" s="1" t="str">
        <f t="shared" si="752"/>
        <v>0</v>
      </c>
      <c r="N421" s="1" t="str">
        <f t="shared" si="752"/>
        <v>0</v>
      </c>
      <c r="O421" s="1" t="str">
        <f t="shared" si="752"/>
        <v>0</v>
      </c>
      <c r="P421" s="1" t="str">
        <f t="shared" si="752"/>
        <v>0</v>
      </c>
      <c r="Q421" s="1" t="str">
        <f t="shared" si="684"/>
        <v>0.0070</v>
      </c>
      <c r="R421" s="1" t="s">
        <v>29</v>
      </c>
      <c r="S421" s="1">
        <v>-0.0014</v>
      </c>
      <c r="T421" s="1" t="str">
        <f t="shared" si="685"/>
        <v>0</v>
      </c>
      <c r="U421" s="1" t="str">
        <f t="shared" ref="U421:U424" si="753">"0.0056"</f>
        <v>0.0056</v>
      </c>
    </row>
    <row r="422" s="1" customFormat="1" spans="1:21">
      <c r="A422" s="1" t="str">
        <f>"4601991424693"</f>
        <v>4601991424693</v>
      </c>
      <c r="B422" s="1" t="s">
        <v>446</v>
      </c>
      <c r="C422" s="1" t="s">
        <v>24</v>
      </c>
      <c r="D422" s="1" t="str">
        <f t="shared" si="681"/>
        <v>2021</v>
      </c>
      <c r="E422" s="1" t="str">
        <f>"58.02"</f>
        <v>58.02</v>
      </c>
      <c r="F422" s="1" t="str">
        <f t="shared" ref="F422:I422" si="754">"0"</f>
        <v>0</v>
      </c>
      <c r="G422" s="1" t="str">
        <f t="shared" si="754"/>
        <v>0</v>
      </c>
      <c r="H422" s="1" t="str">
        <f t="shared" si="754"/>
        <v>0</v>
      </c>
      <c r="I422" s="1" t="str">
        <f t="shared" si="754"/>
        <v>0</v>
      </c>
      <c r="J422" s="1" t="str">
        <f>"6"</f>
        <v>6</v>
      </c>
      <c r="K422" s="1" t="str">
        <f t="shared" ref="K422:P422" si="755">"0"</f>
        <v>0</v>
      </c>
      <c r="L422" s="1" t="str">
        <f t="shared" si="755"/>
        <v>0</v>
      </c>
      <c r="M422" s="1" t="str">
        <f t="shared" si="755"/>
        <v>0</v>
      </c>
      <c r="N422" s="1" t="str">
        <f t="shared" si="755"/>
        <v>0</v>
      </c>
      <c r="O422" s="1" t="str">
        <f t="shared" si="755"/>
        <v>0</v>
      </c>
      <c r="P422" s="1" t="str">
        <f t="shared" si="755"/>
        <v>0</v>
      </c>
      <c r="Q422" s="1" t="str">
        <f t="shared" si="684"/>
        <v>0.0070</v>
      </c>
      <c r="R422" s="1" t="s">
        <v>29</v>
      </c>
      <c r="S422" s="1">
        <v>-0.0014</v>
      </c>
      <c r="T422" s="1" t="str">
        <f t="shared" si="685"/>
        <v>0</v>
      </c>
      <c r="U422" s="1" t="str">
        <f t="shared" si="753"/>
        <v>0.0056</v>
      </c>
    </row>
    <row r="423" s="1" customFormat="1" spans="1:21">
      <c r="A423" s="1" t="str">
        <f>"4601991424705"</f>
        <v>4601991424705</v>
      </c>
      <c r="B423" s="1" t="s">
        <v>447</v>
      </c>
      <c r="C423" s="1" t="s">
        <v>24</v>
      </c>
      <c r="D423" s="1" t="str">
        <f t="shared" si="681"/>
        <v>2021</v>
      </c>
      <c r="E423" s="1" t="str">
        <f>"24.34"</f>
        <v>24.34</v>
      </c>
      <c r="F423" s="1" t="str">
        <f t="shared" ref="F423:I423" si="756">"0"</f>
        <v>0</v>
      </c>
      <c r="G423" s="1" t="str">
        <f t="shared" si="756"/>
        <v>0</v>
      </c>
      <c r="H423" s="1" t="str">
        <f t="shared" si="756"/>
        <v>0</v>
      </c>
      <c r="I423" s="1" t="str">
        <f t="shared" si="756"/>
        <v>0</v>
      </c>
      <c r="J423" s="1" t="str">
        <f t="shared" ref="J423:J428" si="757">"1"</f>
        <v>1</v>
      </c>
      <c r="K423" s="1" t="str">
        <f t="shared" ref="K423:P423" si="758">"0"</f>
        <v>0</v>
      </c>
      <c r="L423" s="1" t="str">
        <f t="shared" si="758"/>
        <v>0</v>
      </c>
      <c r="M423" s="1" t="str">
        <f t="shared" si="758"/>
        <v>0</v>
      </c>
      <c r="N423" s="1" t="str">
        <f t="shared" si="758"/>
        <v>0</v>
      </c>
      <c r="O423" s="1" t="str">
        <f t="shared" si="758"/>
        <v>0</v>
      </c>
      <c r="P423" s="1" t="str">
        <f t="shared" si="758"/>
        <v>0</v>
      </c>
      <c r="Q423" s="1" t="str">
        <f t="shared" si="684"/>
        <v>0.0070</v>
      </c>
      <c r="R423" s="1" t="s">
        <v>29</v>
      </c>
      <c r="S423" s="1">
        <v>-0.0014</v>
      </c>
      <c r="T423" s="1" t="str">
        <f t="shared" si="685"/>
        <v>0</v>
      </c>
      <c r="U423" s="1" t="str">
        <f t="shared" si="753"/>
        <v>0.0056</v>
      </c>
    </row>
    <row r="424" s="1" customFormat="1" spans="1:21">
      <c r="A424" s="1" t="str">
        <f>"4601991424717"</f>
        <v>4601991424717</v>
      </c>
      <c r="B424" s="1" t="s">
        <v>448</v>
      </c>
      <c r="C424" s="1" t="s">
        <v>24</v>
      </c>
      <c r="D424" s="1" t="str">
        <f t="shared" si="681"/>
        <v>2021</v>
      </c>
      <c r="E424" s="1" t="str">
        <f>"191.60"</f>
        <v>191.60</v>
      </c>
      <c r="F424" s="1" t="str">
        <f t="shared" ref="F424:I424" si="759">"0"</f>
        <v>0</v>
      </c>
      <c r="G424" s="1" t="str">
        <f t="shared" si="759"/>
        <v>0</v>
      </c>
      <c r="H424" s="1" t="str">
        <f t="shared" si="759"/>
        <v>0</v>
      </c>
      <c r="I424" s="1" t="str">
        <f t="shared" si="759"/>
        <v>0</v>
      </c>
      <c r="J424" s="1" t="str">
        <f>"19"</f>
        <v>19</v>
      </c>
      <c r="K424" s="1" t="str">
        <f t="shared" ref="K424:P424" si="760">"0"</f>
        <v>0</v>
      </c>
      <c r="L424" s="1" t="str">
        <f t="shared" si="760"/>
        <v>0</v>
      </c>
      <c r="M424" s="1" t="str">
        <f t="shared" si="760"/>
        <v>0</v>
      </c>
      <c r="N424" s="1" t="str">
        <f t="shared" si="760"/>
        <v>0</v>
      </c>
      <c r="O424" s="1" t="str">
        <f t="shared" si="760"/>
        <v>0</v>
      </c>
      <c r="P424" s="1" t="str">
        <f t="shared" si="760"/>
        <v>0</v>
      </c>
      <c r="Q424" s="1" t="str">
        <f t="shared" si="684"/>
        <v>0.0070</v>
      </c>
      <c r="R424" s="1" t="s">
        <v>29</v>
      </c>
      <c r="S424" s="1">
        <v>-0.0014</v>
      </c>
      <c r="T424" s="1" t="str">
        <f t="shared" si="685"/>
        <v>0</v>
      </c>
      <c r="U424" s="1" t="str">
        <f t="shared" si="753"/>
        <v>0.0056</v>
      </c>
    </row>
    <row r="425" s="1" customFormat="1" spans="1:21">
      <c r="A425" s="1" t="str">
        <f>"4601991425374"</f>
        <v>4601991425374</v>
      </c>
      <c r="B425" s="1" t="s">
        <v>449</v>
      </c>
      <c r="C425" s="1" t="s">
        <v>24</v>
      </c>
      <c r="D425" s="1" t="str">
        <f t="shared" si="681"/>
        <v>2021</v>
      </c>
      <c r="E425" s="1" t="str">
        <f t="shared" ref="E425:P425" si="761">"0"</f>
        <v>0</v>
      </c>
      <c r="F425" s="1" t="str">
        <f t="shared" si="761"/>
        <v>0</v>
      </c>
      <c r="G425" s="1" t="str">
        <f t="shared" si="761"/>
        <v>0</v>
      </c>
      <c r="H425" s="1" t="str">
        <f t="shared" si="761"/>
        <v>0</v>
      </c>
      <c r="I425" s="1" t="str">
        <f t="shared" si="761"/>
        <v>0</v>
      </c>
      <c r="J425" s="1" t="str">
        <f t="shared" si="761"/>
        <v>0</v>
      </c>
      <c r="K425" s="1" t="str">
        <f t="shared" si="761"/>
        <v>0</v>
      </c>
      <c r="L425" s="1" t="str">
        <f t="shared" si="761"/>
        <v>0</v>
      </c>
      <c r="M425" s="1" t="str">
        <f t="shared" si="761"/>
        <v>0</v>
      </c>
      <c r="N425" s="1" t="str">
        <f t="shared" si="761"/>
        <v>0</v>
      </c>
      <c r="O425" s="1" t="str">
        <f t="shared" si="761"/>
        <v>0</v>
      </c>
      <c r="P425" s="1" t="str">
        <f t="shared" si="761"/>
        <v>0</v>
      </c>
      <c r="Q425" s="1" t="str">
        <f t="shared" si="684"/>
        <v>0.0070</v>
      </c>
      <c r="R425" s="1" t="s">
        <v>25</v>
      </c>
      <c r="T425" s="1" t="str">
        <f t="shared" si="685"/>
        <v>0</v>
      </c>
      <c r="U425" s="1" t="str">
        <f>"0.0070"</f>
        <v>0.0070</v>
      </c>
    </row>
    <row r="426" s="1" customFormat="1" spans="1:21">
      <c r="A426" s="1" t="str">
        <f>"4601991425378"</f>
        <v>4601991425378</v>
      </c>
      <c r="B426" s="1" t="s">
        <v>450</v>
      </c>
      <c r="C426" s="1" t="s">
        <v>24</v>
      </c>
      <c r="D426" s="1" t="str">
        <f t="shared" si="681"/>
        <v>2021</v>
      </c>
      <c r="E426" s="1" t="str">
        <f t="shared" ref="E426:E430" si="762">"9.67"</f>
        <v>9.67</v>
      </c>
      <c r="F426" s="1" t="str">
        <f t="shared" ref="F426:I426" si="763">"0"</f>
        <v>0</v>
      </c>
      <c r="G426" s="1" t="str">
        <f t="shared" si="763"/>
        <v>0</v>
      </c>
      <c r="H426" s="1" t="str">
        <f t="shared" si="763"/>
        <v>0</v>
      </c>
      <c r="I426" s="1" t="str">
        <f t="shared" si="763"/>
        <v>0</v>
      </c>
      <c r="J426" s="1" t="str">
        <f t="shared" si="757"/>
        <v>1</v>
      </c>
      <c r="K426" s="1" t="str">
        <f t="shared" ref="K426:P426" si="764">"0"</f>
        <v>0</v>
      </c>
      <c r="L426" s="1" t="str">
        <f t="shared" si="764"/>
        <v>0</v>
      </c>
      <c r="M426" s="1" t="str">
        <f t="shared" si="764"/>
        <v>0</v>
      </c>
      <c r="N426" s="1" t="str">
        <f t="shared" si="764"/>
        <v>0</v>
      </c>
      <c r="O426" s="1" t="str">
        <f t="shared" si="764"/>
        <v>0</v>
      </c>
      <c r="P426" s="1" t="str">
        <f t="shared" si="764"/>
        <v>0</v>
      </c>
      <c r="Q426" s="1" t="str">
        <f t="shared" si="684"/>
        <v>0.0070</v>
      </c>
      <c r="R426" s="1" t="s">
        <v>29</v>
      </c>
      <c r="S426" s="1">
        <v>-0.0014</v>
      </c>
      <c r="T426" s="1" t="str">
        <f t="shared" si="685"/>
        <v>0</v>
      </c>
      <c r="U426" s="1" t="str">
        <f t="shared" ref="U426:U428" si="765">"0.0056"</f>
        <v>0.0056</v>
      </c>
    </row>
    <row r="427" s="1" customFormat="1" spans="1:21">
      <c r="A427" s="1" t="str">
        <f>"4601991425377"</f>
        <v>4601991425377</v>
      </c>
      <c r="B427" s="1" t="s">
        <v>451</v>
      </c>
      <c r="C427" s="1" t="s">
        <v>24</v>
      </c>
      <c r="D427" s="1" t="str">
        <f t="shared" si="681"/>
        <v>2021</v>
      </c>
      <c r="E427" s="1" t="str">
        <f>"19.34"</f>
        <v>19.34</v>
      </c>
      <c r="F427" s="1" t="str">
        <f t="shared" ref="F427:I427" si="766">"0"</f>
        <v>0</v>
      </c>
      <c r="G427" s="1" t="str">
        <f t="shared" si="766"/>
        <v>0</v>
      </c>
      <c r="H427" s="1" t="str">
        <f t="shared" si="766"/>
        <v>0</v>
      </c>
      <c r="I427" s="1" t="str">
        <f t="shared" si="766"/>
        <v>0</v>
      </c>
      <c r="J427" s="1" t="str">
        <f>"2"</f>
        <v>2</v>
      </c>
      <c r="K427" s="1" t="str">
        <f t="shared" ref="K427:P427" si="767">"0"</f>
        <v>0</v>
      </c>
      <c r="L427" s="1" t="str">
        <f t="shared" si="767"/>
        <v>0</v>
      </c>
      <c r="M427" s="1" t="str">
        <f t="shared" si="767"/>
        <v>0</v>
      </c>
      <c r="N427" s="1" t="str">
        <f t="shared" si="767"/>
        <v>0</v>
      </c>
      <c r="O427" s="1" t="str">
        <f t="shared" si="767"/>
        <v>0</v>
      </c>
      <c r="P427" s="1" t="str">
        <f t="shared" si="767"/>
        <v>0</v>
      </c>
      <c r="Q427" s="1" t="str">
        <f t="shared" si="684"/>
        <v>0.0070</v>
      </c>
      <c r="R427" s="1" t="s">
        <v>29</v>
      </c>
      <c r="S427" s="1">
        <v>-0.0014</v>
      </c>
      <c r="T427" s="1" t="str">
        <f t="shared" si="685"/>
        <v>0</v>
      </c>
      <c r="U427" s="1" t="str">
        <f t="shared" si="765"/>
        <v>0.0056</v>
      </c>
    </row>
    <row r="428" s="1" customFormat="1" spans="1:21">
      <c r="A428" s="1" t="str">
        <f>"4601991424759"</f>
        <v>4601991424759</v>
      </c>
      <c r="B428" s="1" t="s">
        <v>452</v>
      </c>
      <c r="C428" s="1" t="s">
        <v>24</v>
      </c>
      <c r="D428" s="1" t="str">
        <f t="shared" si="681"/>
        <v>2021</v>
      </c>
      <c r="E428" s="1" t="str">
        <f t="shared" si="762"/>
        <v>9.67</v>
      </c>
      <c r="F428" s="1" t="str">
        <f t="shared" ref="F428:I428" si="768">"0"</f>
        <v>0</v>
      </c>
      <c r="G428" s="1" t="str">
        <f t="shared" si="768"/>
        <v>0</v>
      </c>
      <c r="H428" s="1" t="str">
        <f t="shared" si="768"/>
        <v>0</v>
      </c>
      <c r="I428" s="1" t="str">
        <f t="shared" si="768"/>
        <v>0</v>
      </c>
      <c r="J428" s="1" t="str">
        <f t="shared" si="757"/>
        <v>1</v>
      </c>
      <c r="K428" s="1" t="str">
        <f t="shared" ref="K428:P428" si="769">"0"</f>
        <v>0</v>
      </c>
      <c r="L428" s="1" t="str">
        <f t="shared" si="769"/>
        <v>0</v>
      </c>
      <c r="M428" s="1" t="str">
        <f t="shared" si="769"/>
        <v>0</v>
      </c>
      <c r="N428" s="1" t="str">
        <f t="shared" si="769"/>
        <v>0</v>
      </c>
      <c r="O428" s="1" t="str">
        <f t="shared" si="769"/>
        <v>0</v>
      </c>
      <c r="P428" s="1" t="str">
        <f t="shared" si="769"/>
        <v>0</v>
      </c>
      <c r="Q428" s="1" t="str">
        <f t="shared" si="684"/>
        <v>0.0070</v>
      </c>
      <c r="R428" s="1" t="s">
        <v>29</v>
      </c>
      <c r="S428" s="1">
        <v>-0.0014</v>
      </c>
      <c r="T428" s="1" t="str">
        <f t="shared" si="685"/>
        <v>0</v>
      </c>
      <c r="U428" s="1" t="str">
        <f t="shared" si="765"/>
        <v>0.0056</v>
      </c>
    </row>
    <row r="429" s="1" customFormat="1" spans="1:21">
      <c r="A429" s="1" t="str">
        <f>"4601991424133"</f>
        <v>4601991424133</v>
      </c>
      <c r="B429" s="1" t="s">
        <v>453</v>
      </c>
      <c r="C429" s="1" t="s">
        <v>24</v>
      </c>
      <c r="D429" s="1" t="str">
        <f t="shared" si="681"/>
        <v>2021</v>
      </c>
      <c r="E429" s="1" t="str">
        <f t="shared" ref="E429:G429" si="770">"0"</f>
        <v>0</v>
      </c>
      <c r="F429" s="1" t="str">
        <f t="shared" si="770"/>
        <v>0</v>
      </c>
      <c r="G429" s="1" t="str">
        <f t="shared" si="770"/>
        <v>0</v>
      </c>
      <c r="H429" s="1" t="str">
        <f>"24.18"</f>
        <v>24.18</v>
      </c>
      <c r="I429" s="1" t="str">
        <f t="shared" ref="I429:P429" si="771">"0"</f>
        <v>0</v>
      </c>
      <c r="J429" s="1" t="str">
        <f t="shared" si="771"/>
        <v>0</v>
      </c>
      <c r="K429" s="1" t="str">
        <f t="shared" si="771"/>
        <v>0</v>
      </c>
      <c r="L429" s="1" t="str">
        <f t="shared" si="771"/>
        <v>0</v>
      </c>
      <c r="M429" s="1" t="str">
        <f t="shared" si="771"/>
        <v>0</v>
      </c>
      <c r="N429" s="1" t="str">
        <f t="shared" si="771"/>
        <v>0</v>
      </c>
      <c r="O429" s="1" t="str">
        <f t="shared" si="771"/>
        <v>0</v>
      </c>
      <c r="P429" s="1" t="str">
        <f t="shared" si="771"/>
        <v>0</v>
      </c>
      <c r="Q429" s="1" t="str">
        <f t="shared" si="684"/>
        <v>0.0070</v>
      </c>
      <c r="R429" s="1" t="s">
        <v>25</v>
      </c>
      <c r="T429" s="1" t="str">
        <f t="shared" si="685"/>
        <v>0</v>
      </c>
      <c r="U429" s="1" t="str">
        <f>"0.0070"</f>
        <v>0.0070</v>
      </c>
    </row>
    <row r="430" s="1" customFormat="1" spans="1:21">
      <c r="A430" s="1" t="str">
        <f>"4601991425398"</f>
        <v>4601991425398</v>
      </c>
      <c r="B430" s="1" t="s">
        <v>454</v>
      </c>
      <c r="C430" s="1" t="s">
        <v>24</v>
      </c>
      <c r="D430" s="1" t="str">
        <f t="shared" si="681"/>
        <v>2021</v>
      </c>
      <c r="E430" s="1" t="str">
        <f t="shared" si="762"/>
        <v>9.67</v>
      </c>
      <c r="F430" s="1" t="str">
        <f t="shared" ref="F430:I430" si="772">"0"</f>
        <v>0</v>
      </c>
      <c r="G430" s="1" t="str">
        <f t="shared" si="772"/>
        <v>0</v>
      </c>
      <c r="H430" s="1" t="str">
        <f t="shared" si="772"/>
        <v>0</v>
      </c>
      <c r="I430" s="1" t="str">
        <f t="shared" si="772"/>
        <v>0</v>
      </c>
      <c r="J430" s="1" t="str">
        <f>"2"</f>
        <v>2</v>
      </c>
      <c r="K430" s="1" t="str">
        <f t="shared" ref="K430:P430" si="773">"0"</f>
        <v>0</v>
      </c>
      <c r="L430" s="1" t="str">
        <f t="shared" si="773"/>
        <v>0</v>
      </c>
      <c r="M430" s="1" t="str">
        <f t="shared" si="773"/>
        <v>0</v>
      </c>
      <c r="N430" s="1" t="str">
        <f t="shared" si="773"/>
        <v>0</v>
      </c>
      <c r="O430" s="1" t="str">
        <f t="shared" si="773"/>
        <v>0</v>
      </c>
      <c r="P430" s="1" t="str">
        <f t="shared" si="773"/>
        <v>0</v>
      </c>
      <c r="Q430" s="1" t="str">
        <f t="shared" si="684"/>
        <v>0.0070</v>
      </c>
      <c r="R430" s="1" t="s">
        <v>29</v>
      </c>
      <c r="S430" s="1">
        <v>-0.0014</v>
      </c>
      <c r="T430" s="1" t="str">
        <f t="shared" si="685"/>
        <v>0</v>
      </c>
      <c r="U430" s="1" t="str">
        <f t="shared" ref="U430:U432" si="774">"0.0056"</f>
        <v>0.0056</v>
      </c>
    </row>
    <row r="431" s="1" customFormat="1" spans="1:21">
      <c r="A431" s="1" t="str">
        <f>"4601991423468"</f>
        <v>4601991423468</v>
      </c>
      <c r="B431" s="1" t="s">
        <v>455</v>
      </c>
      <c r="C431" s="1" t="s">
        <v>24</v>
      </c>
      <c r="D431" s="1" t="str">
        <f t="shared" si="681"/>
        <v>2021</v>
      </c>
      <c r="E431" s="1" t="str">
        <f>"9.80"</f>
        <v>9.80</v>
      </c>
      <c r="F431" s="1" t="str">
        <f t="shared" ref="F431:I431" si="775">"0"</f>
        <v>0</v>
      </c>
      <c r="G431" s="1" t="str">
        <f t="shared" si="775"/>
        <v>0</v>
      </c>
      <c r="H431" s="1" t="str">
        <f t="shared" si="775"/>
        <v>0</v>
      </c>
      <c r="I431" s="1" t="str">
        <f t="shared" si="775"/>
        <v>0</v>
      </c>
      <c r="J431" s="1" t="str">
        <f t="shared" ref="J431:J436" si="776">"1"</f>
        <v>1</v>
      </c>
      <c r="K431" s="1" t="str">
        <f t="shared" ref="K431:P431" si="777">"0"</f>
        <v>0</v>
      </c>
      <c r="L431" s="1" t="str">
        <f t="shared" si="777"/>
        <v>0</v>
      </c>
      <c r="M431" s="1" t="str">
        <f t="shared" si="777"/>
        <v>0</v>
      </c>
      <c r="N431" s="1" t="str">
        <f t="shared" si="777"/>
        <v>0</v>
      </c>
      <c r="O431" s="1" t="str">
        <f t="shared" si="777"/>
        <v>0</v>
      </c>
      <c r="P431" s="1" t="str">
        <f t="shared" si="777"/>
        <v>0</v>
      </c>
      <c r="Q431" s="1" t="str">
        <f t="shared" si="684"/>
        <v>0.0070</v>
      </c>
      <c r="R431" s="1" t="s">
        <v>29</v>
      </c>
      <c r="S431" s="1">
        <v>-0.0014</v>
      </c>
      <c r="T431" s="1" t="str">
        <f t="shared" si="685"/>
        <v>0</v>
      </c>
      <c r="U431" s="1" t="str">
        <f t="shared" si="774"/>
        <v>0.0056</v>
      </c>
    </row>
    <row r="432" s="1" customFormat="1" spans="1:21">
      <c r="A432" s="1" t="str">
        <f>"4601991425411"</f>
        <v>4601991425411</v>
      </c>
      <c r="B432" s="1" t="s">
        <v>456</v>
      </c>
      <c r="C432" s="1" t="s">
        <v>24</v>
      </c>
      <c r="D432" s="1" t="str">
        <f t="shared" si="681"/>
        <v>2021</v>
      </c>
      <c r="E432" s="1" t="str">
        <f>"48.35"</f>
        <v>48.35</v>
      </c>
      <c r="F432" s="1" t="str">
        <f t="shared" ref="F432:I432" si="778">"0"</f>
        <v>0</v>
      </c>
      <c r="G432" s="1" t="str">
        <f t="shared" si="778"/>
        <v>0</v>
      </c>
      <c r="H432" s="1" t="str">
        <f t="shared" si="778"/>
        <v>0</v>
      </c>
      <c r="I432" s="1" t="str">
        <f t="shared" si="778"/>
        <v>0</v>
      </c>
      <c r="J432" s="1" t="str">
        <f>"5"</f>
        <v>5</v>
      </c>
      <c r="K432" s="1" t="str">
        <f t="shared" ref="K432:P432" si="779">"0"</f>
        <v>0</v>
      </c>
      <c r="L432" s="1" t="str">
        <f t="shared" si="779"/>
        <v>0</v>
      </c>
      <c r="M432" s="1" t="str">
        <f t="shared" si="779"/>
        <v>0</v>
      </c>
      <c r="N432" s="1" t="str">
        <f t="shared" si="779"/>
        <v>0</v>
      </c>
      <c r="O432" s="1" t="str">
        <f t="shared" si="779"/>
        <v>0</v>
      </c>
      <c r="P432" s="1" t="str">
        <f t="shared" si="779"/>
        <v>0</v>
      </c>
      <c r="Q432" s="1" t="str">
        <f t="shared" si="684"/>
        <v>0.0070</v>
      </c>
      <c r="R432" s="1" t="s">
        <v>29</v>
      </c>
      <c r="S432" s="1">
        <v>-0.0014</v>
      </c>
      <c r="T432" s="1" t="str">
        <f t="shared" si="685"/>
        <v>0</v>
      </c>
      <c r="U432" s="1" t="str">
        <f t="shared" si="774"/>
        <v>0.0056</v>
      </c>
    </row>
    <row r="433" s="1" customFormat="1" spans="1:21">
      <c r="A433" s="1" t="str">
        <f>"4601991424139"</f>
        <v>4601991424139</v>
      </c>
      <c r="B433" s="1" t="s">
        <v>457</v>
      </c>
      <c r="C433" s="1" t="s">
        <v>24</v>
      </c>
      <c r="D433" s="1" t="str">
        <f t="shared" si="681"/>
        <v>2021</v>
      </c>
      <c r="E433" s="1" t="str">
        <f>"14.00"</f>
        <v>14.00</v>
      </c>
      <c r="F433" s="1" t="str">
        <f t="shared" ref="F433:I433" si="780">"0"</f>
        <v>0</v>
      </c>
      <c r="G433" s="1" t="str">
        <f t="shared" si="780"/>
        <v>0</v>
      </c>
      <c r="H433" s="1" t="str">
        <f t="shared" si="780"/>
        <v>0</v>
      </c>
      <c r="I433" s="1" t="str">
        <f t="shared" si="780"/>
        <v>0</v>
      </c>
      <c r="J433" s="1" t="str">
        <f t="shared" si="776"/>
        <v>1</v>
      </c>
      <c r="K433" s="1" t="str">
        <f t="shared" ref="K433:P433" si="781">"0"</f>
        <v>0</v>
      </c>
      <c r="L433" s="1" t="str">
        <f t="shared" si="781"/>
        <v>0</v>
      </c>
      <c r="M433" s="1" t="str">
        <f t="shared" si="781"/>
        <v>0</v>
      </c>
      <c r="N433" s="1" t="str">
        <f t="shared" si="781"/>
        <v>0</v>
      </c>
      <c r="O433" s="1" t="str">
        <f t="shared" si="781"/>
        <v>0</v>
      </c>
      <c r="P433" s="1" t="str">
        <f t="shared" si="781"/>
        <v>0</v>
      </c>
      <c r="Q433" s="1" t="str">
        <f t="shared" si="684"/>
        <v>0.0070</v>
      </c>
      <c r="R433" s="1" t="s">
        <v>25</v>
      </c>
      <c r="T433" s="1" t="str">
        <f t="shared" si="685"/>
        <v>0</v>
      </c>
      <c r="U433" s="1" t="str">
        <f>"0.0070"</f>
        <v>0.0070</v>
      </c>
    </row>
    <row r="434" s="1" customFormat="1" spans="1:21">
      <c r="A434" s="1" t="str">
        <f>"4601991424778"</f>
        <v>4601991424778</v>
      </c>
      <c r="B434" s="1" t="s">
        <v>458</v>
      </c>
      <c r="C434" s="1" t="s">
        <v>24</v>
      </c>
      <c r="D434" s="1" t="str">
        <f t="shared" si="681"/>
        <v>2021</v>
      </c>
      <c r="E434" s="1" t="str">
        <f>"19.34"</f>
        <v>19.34</v>
      </c>
      <c r="F434" s="1" t="str">
        <f t="shared" ref="F434:I434" si="782">"0"</f>
        <v>0</v>
      </c>
      <c r="G434" s="1" t="str">
        <f t="shared" si="782"/>
        <v>0</v>
      </c>
      <c r="H434" s="1" t="str">
        <f t="shared" si="782"/>
        <v>0</v>
      </c>
      <c r="I434" s="1" t="str">
        <f t="shared" si="782"/>
        <v>0</v>
      </c>
      <c r="J434" s="1" t="str">
        <f>"2"</f>
        <v>2</v>
      </c>
      <c r="K434" s="1" t="str">
        <f t="shared" ref="K434:P434" si="783">"0"</f>
        <v>0</v>
      </c>
      <c r="L434" s="1" t="str">
        <f t="shared" si="783"/>
        <v>0</v>
      </c>
      <c r="M434" s="1" t="str">
        <f t="shared" si="783"/>
        <v>0</v>
      </c>
      <c r="N434" s="1" t="str">
        <f t="shared" si="783"/>
        <v>0</v>
      </c>
      <c r="O434" s="1" t="str">
        <f t="shared" si="783"/>
        <v>0</v>
      </c>
      <c r="P434" s="1" t="str">
        <f t="shared" si="783"/>
        <v>0</v>
      </c>
      <c r="Q434" s="1" t="str">
        <f t="shared" si="684"/>
        <v>0.0070</v>
      </c>
      <c r="R434" s="1" t="s">
        <v>29</v>
      </c>
      <c r="S434" s="1">
        <v>-0.0014</v>
      </c>
      <c r="T434" s="1" t="str">
        <f t="shared" si="685"/>
        <v>0</v>
      </c>
      <c r="U434" s="1" t="str">
        <f t="shared" ref="U434:U438" si="784">"0.0056"</f>
        <v>0.0056</v>
      </c>
    </row>
    <row r="435" s="1" customFormat="1" spans="1:21">
      <c r="A435" s="1" t="str">
        <f>"4601991424152"</f>
        <v>4601991424152</v>
      </c>
      <c r="B435" s="1" t="s">
        <v>459</v>
      </c>
      <c r="C435" s="1" t="s">
        <v>24</v>
      </c>
      <c r="D435" s="1" t="str">
        <f t="shared" si="681"/>
        <v>2021</v>
      </c>
      <c r="E435" s="1" t="str">
        <f>"28.74"</f>
        <v>28.74</v>
      </c>
      <c r="F435" s="1" t="str">
        <f t="shared" ref="F435:I435" si="785">"0"</f>
        <v>0</v>
      </c>
      <c r="G435" s="1" t="str">
        <f t="shared" si="785"/>
        <v>0</v>
      </c>
      <c r="H435" s="1" t="str">
        <f t="shared" si="785"/>
        <v>0</v>
      </c>
      <c r="I435" s="1" t="str">
        <f t="shared" si="785"/>
        <v>0</v>
      </c>
      <c r="J435" s="1" t="str">
        <f>"3"</f>
        <v>3</v>
      </c>
      <c r="K435" s="1" t="str">
        <f t="shared" ref="K435:P435" si="786">"0"</f>
        <v>0</v>
      </c>
      <c r="L435" s="1" t="str">
        <f t="shared" si="786"/>
        <v>0</v>
      </c>
      <c r="M435" s="1" t="str">
        <f t="shared" si="786"/>
        <v>0</v>
      </c>
      <c r="N435" s="1" t="str">
        <f t="shared" si="786"/>
        <v>0</v>
      </c>
      <c r="O435" s="1" t="str">
        <f t="shared" si="786"/>
        <v>0</v>
      </c>
      <c r="P435" s="1" t="str">
        <f t="shared" si="786"/>
        <v>0</v>
      </c>
      <c r="Q435" s="1" t="str">
        <f t="shared" si="684"/>
        <v>0.0070</v>
      </c>
      <c r="R435" s="1" t="s">
        <v>29</v>
      </c>
      <c r="S435" s="1">
        <v>-0.0014</v>
      </c>
      <c r="T435" s="1" t="str">
        <f t="shared" si="685"/>
        <v>0</v>
      </c>
      <c r="U435" s="1" t="str">
        <f t="shared" si="784"/>
        <v>0.0056</v>
      </c>
    </row>
    <row r="436" s="1" customFormat="1" spans="1:21">
      <c r="A436" s="1" t="str">
        <f>"4601991424783"</f>
        <v>4601991424783</v>
      </c>
      <c r="B436" s="1" t="s">
        <v>460</v>
      </c>
      <c r="C436" s="1" t="s">
        <v>24</v>
      </c>
      <c r="D436" s="1" t="str">
        <f t="shared" si="681"/>
        <v>2021</v>
      </c>
      <c r="E436" s="1" t="str">
        <f>"9.67"</f>
        <v>9.67</v>
      </c>
      <c r="F436" s="1" t="str">
        <f t="shared" ref="F436:I436" si="787">"0"</f>
        <v>0</v>
      </c>
      <c r="G436" s="1" t="str">
        <f t="shared" si="787"/>
        <v>0</v>
      </c>
      <c r="H436" s="1" t="str">
        <f t="shared" si="787"/>
        <v>0</v>
      </c>
      <c r="I436" s="1" t="str">
        <f t="shared" si="787"/>
        <v>0</v>
      </c>
      <c r="J436" s="1" t="str">
        <f t="shared" si="776"/>
        <v>1</v>
      </c>
      <c r="K436" s="1" t="str">
        <f t="shared" ref="K436:P436" si="788">"0"</f>
        <v>0</v>
      </c>
      <c r="L436" s="1" t="str">
        <f t="shared" si="788"/>
        <v>0</v>
      </c>
      <c r="M436" s="1" t="str">
        <f t="shared" si="788"/>
        <v>0</v>
      </c>
      <c r="N436" s="1" t="str">
        <f t="shared" si="788"/>
        <v>0</v>
      </c>
      <c r="O436" s="1" t="str">
        <f t="shared" si="788"/>
        <v>0</v>
      </c>
      <c r="P436" s="1" t="str">
        <f t="shared" si="788"/>
        <v>0</v>
      </c>
      <c r="Q436" s="1" t="str">
        <f t="shared" si="684"/>
        <v>0.0070</v>
      </c>
      <c r="R436" s="1" t="s">
        <v>29</v>
      </c>
      <c r="S436" s="1">
        <v>-0.0014</v>
      </c>
      <c r="T436" s="1" t="str">
        <f t="shared" si="685"/>
        <v>0</v>
      </c>
      <c r="U436" s="1" t="str">
        <f t="shared" si="784"/>
        <v>0.0056</v>
      </c>
    </row>
    <row r="437" s="1" customFormat="1" spans="1:21">
      <c r="A437" s="1" t="str">
        <f>"4601991423558"</f>
        <v>4601991423558</v>
      </c>
      <c r="B437" s="1" t="s">
        <v>461</v>
      </c>
      <c r="C437" s="1" t="s">
        <v>24</v>
      </c>
      <c r="D437" s="1" t="str">
        <f t="shared" si="681"/>
        <v>2021</v>
      </c>
      <c r="E437" s="1" t="str">
        <f>"29.01"</f>
        <v>29.01</v>
      </c>
      <c r="F437" s="1" t="str">
        <f t="shared" ref="F437:I437" si="789">"0"</f>
        <v>0</v>
      </c>
      <c r="G437" s="1" t="str">
        <f t="shared" si="789"/>
        <v>0</v>
      </c>
      <c r="H437" s="1" t="str">
        <f t="shared" si="789"/>
        <v>0</v>
      </c>
      <c r="I437" s="1" t="str">
        <f t="shared" si="789"/>
        <v>0</v>
      </c>
      <c r="J437" s="1" t="str">
        <f>"2"</f>
        <v>2</v>
      </c>
      <c r="K437" s="1" t="str">
        <f t="shared" ref="K437:P437" si="790">"0"</f>
        <v>0</v>
      </c>
      <c r="L437" s="1" t="str">
        <f t="shared" si="790"/>
        <v>0</v>
      </c>
      <c r="M437" s="1" t="str">
        <f t="shared" si="790"/>
        <v>0</v>
      </c>
      <c r="N437" s="1" t="str">
        <f t="shared" si="790"/>
        <v>0</v>
      </c>
      <c r="O437" s="1" t="str">
        <f t="shared" si="790"/>
        <v>0</v>
      </c>
      <c r="P437" s="1" t="str">
        <f t="shared" si="790"/>
        <v>0</v>
      </c>
      <c r="Q437" s="1" t="str">
        <f t="shared" si="684"/>
        <v>0.0070</v>
      </c>
      <c r="R437" s="1" t="s">
        <v>29</v>
      </c>
      <c r="S437" s="1">
        <v>-0.0014</v>
      </c>
      <c r="T437" s="1" t="str">
        <f t="shared" si="685"/>
        <v>0</v>
      </c>
      <c r="U437" s="1" t="str">
        <f t="shared" si="784"/>
        <v>0.0056</v>
      </c>
    </row>
    <row r="438" s="1" customFormat="1" spans="1:21">
      <c r="A438" s="1" t="str">
        <f>"4601991425467"</f>
        <v>4601991425467</v>
      </c>
      <c r="B438" s="1" t="s">
        <v>462</v>
      </c>
      <c r="C438" s="1" t="s">
        <v>24</v>
      </c>
      <c r="D438" s="1" t="str">
        <f t="shared" si="681"/>
        <v>2021</v>
      </c>
      <c r="E438" s="1" t="str">
        <f>"38.68"</f>
        <v>38.68</v>
      </c>
      <c r="F438" s="1" t="str">
        <f t="shared" ref="F438:I438" si="791">"0"</f>
        <v>0</v>
      </c>
      <c r="G438" s="1" t="str">
        <f t="shared" si="791"/>
        <v>0</v>
      </c>
      <c r="H438" s="1" t="str">
        <f t="shared" si="791"/>
        <v>0</v>
      </c>
      <c r="I438" s="1" t="str">
        <f t="shared" si="791"/>
        <v>0</v>
      </c>
      <c r="J438" s="1" t="str">
        <f>"3"</f>
        <v>3</v>
      </c>
      <c r="K438" s="1" t="str">
        <f t="shared" ref="K438:P438" si="792">"0"</f>
        <v>0</v>
      </c>
      <c r="L438" s="1" t="str">
        <f t="shared" si="792"/>
        <v>0</v>
      </c>
      <c r="M438" s="1" t="str">
        <f t="shared" si="792"/>
        <v>0</v>
      </c>
      <c r="N438" s="1" t="str">
        <f t="shared" si="792"/>
        <v>0</v>
      </c>
      <c r="O438" s="1" t="str">
        <f t="shared" si="792"/>
        <v>0</v>
      </c>
      <c r="P438" s="1" t="str">
        <f t="shared" si="792"/>
        <v>0</v>
      </c>
      <c r="Q438" s="1" t="str">
        <f t="shared" si="684"/>
        <v>0.0070</v>
      </c>
      <c r="R438" s="1" t="s">
        <v>29</v>
      </c>
      <c r="S438" s="1">
        <v>-0.0014</v>
      </c>
      <c r="T438" s="1" t="str">
        <f t="shared" si="685"/>
        <v>0</v>
      </c>
      <c r="U438" s="1" t="str">
        <f t="shared" si="784"/>
        <v>0.0056</v>
      </c>
    </row>
    <row r="439" s="1" customFormat="1" spans="1:21">
      <c r="A439" s="1" t="str">
        <f>"4601991423573"</f>
        <v>4601991423573</v>
      </c>
      <c r="B439" s="1" t="s">
        <v>463</v>
      </c>
      <c r="C439" s="1" t="s">
        <v>24</v>
      </c>
      <c r="D439" s="1" t="str">
        <f t="shared" si="681"/>
        <v>2021</v>
      </c>
      <c r="E439" s="1" t="str">
        <f t="shared" ref="E439:P439" si="793">"0"</f>
        <v>0</v>
      </c>
      <c r="F439" s="1" t="str">
        <f t="shared" si="793"/>
        <v>0</v>
      </c>
      <c r="G439" s="1" t="str">
        <f t="shared" si="793"/>
        <v>0</v>
      </c>
      <c r="H439" s="1" t="str">
        <f t="shared" si="793"/>
        <v>0</v>
      </c>
      <c r="I439" s="1" t="str">
        <f t="shared" si="793"/>
        <v>0</v>
      </c>
      <c r="J439" s="1" t="str">
        <f t="shared" si="793"/>
        <v>0</v>
      </c>
      <c r="K439" s="1" t="str">
        <f t="shared" si="793"/>
        <v>0</v>
      </c>
      <c r="L439" s="1" t="str">
        <f t="shared" si="793"/>
        <v>0</v>
      </c>
      <c r="M439" s="1" t="str">
        <f t="shared" si="793"/>
        <v>0</v>
      </c>
      <c r="N439" s="1" t="str">
        <f t="shared" si="793"/>
        <v>0</v>
      </c>
      <c r="O439" s="1" t="str">
        <f t="shared" si="793"/>
        <v>0</v>
      </c>
      <c r="P439" s="1" t="str">
        <f t="shared" si="793"/>
        <v>0</v>
      </c>
      <c r="Q439" s="1" t="str">
        <f t="shared" si="684"/>
        <v>0.0070</v>
      </c>
      <c r="R439" s="1" t="s">
        <v>25</v>
      </c>
      <c r="T439" s="1" t="str">
        <f t="shared" si="685"/>
        <v>0</v>
      </c>
      <c r="U439" s="1" t="str">
        <f>"0.0070"</f>
        <v>0.0070</v>
      </c>
    </row>
    <row r="440" s="1" customFormat="1" spans="1:21">
      <c r="A440" s="1" t="str">
        <f>"4601991423576"</f>
        <v>4601991423576</v>
      </c>
      <c r="B440" s="1" t="s">
        <v>464</v>
      </c>
      <c r="C440" s="1" t="s">
        <v>24</v>
      </c>
      <c r="D440" s="1" t="str">
        <f t="shared" si="681"/>
        <v>2021</v>
      </c>
      <c r="E440" s="1" t="str">
        <f>"12.09"</f>
        <v>12.09</v>
      </c>
      <c r="F440" s="1" t="str">
        <f t="shared" ref="F440:I440" si="794">"0"</f>
        <v>0</v>
      </c>
      <c r="G440" s="1" t="str">
        <f t="shared" si="794"/>
        <v>0</v>
      </c>
      <c r="H440" s="1" t="str">
        <f t="shared" si="794"/>
        <v>0</v>
      </c>
      <c r="I440" s="1" t="str">
        <f t="shared" si="794"/>
        <v>0</v>
      </c>
      <c r="J440" s="1" t="str">
        <f t="shared" ref="J440:J444" si="795">"1"</f>
        <v>1</v>
      </c>
      <c r="K440" s="1" t="str">
        <f t="shared" ref="K440:P440" si="796">"0"</f>
        <v>0</v>
      </c>
      <c r="L440" s="1" t="str">
        <f t="shared" si="796"/>
        <v>0</v>
      </c>
      <c r="M440" s="1" t="str">
        <f t="shared" si="796"/>
        <v>0</v>
      </c>
      <c r="N440" s="1" t="str">
        <f t="shared" si="796"/>
        <v>0</v>
      </c>
      <c r="O440" s="1" t="str">
        <f t="shared" si="796"/>
        <v>0</v>
      </c>
      <c r="P440" s="1" t="str">
        <f t="shared" si="796"/>
        <v>0</v>
      </c>
      <c r="Q440" s="1" t="str">
        <f t="shared" si="684"/>
        <v>0.0070</v>
      </c>
      <c r="R440" s="1" t="s">
        <v>29</v>
      </c>
      <c r="S440" s="1">
        <v>-0.0014</v>
      </c>
      <c r="T440" s="1" t="str">
        <f t="shared" si="685"/>
        <v>0</v>
      </c>
      <c r="U440" s="1" t="str">
        <f t="shared" ref="U440:U445" si="797">"0.0056"</f>
        <v>0.0056</v>
      </c>
    </row>
    <row r="441" s="1" customFormat="1" spans="1:21">
      <c r="A441" s="1" t="str">
        <f>"4601991424846"</f>
        <v>4601991424846</v>
      </c>
      <c r="B441" s="1" t="s">
        <v>465</v>
      </c>
      <c r="C441" s="1" t="s">
        <v>24</v>
      </c>
      <c r="D441" s="1" t="str">
        <f t="shared" si="681"/>
        <v>2021</v>
      </c>
      <c r="E441" s="1" t="str">
        <f>"9.67"</f>
        <v>9.67</v>
      </c>
      <c r="F441" s="1" t="str">
        <f t="shared" ref="F441:I441" si="798">"0"</f>
        <v>0</v>
      </c>
      <c r="G441" s="1" t="str">
        <f t="shared" si="798"/>
        <v>0</v>
      </c>
      <c r="H441" s="1" t="str">
        <f t="shared" si="798"/>
        <v>0</v>
      </c>
      <c r="I441" s="1" t="str">
        <f t="shared" si="798"/>
        <v>0</v>
      </c>
      <c r="J441" s="1" t="str">
        <f t="shared" si="795"/>
        <v>1</v>
      </c>
      <c r="K441" s="1" t="str">
        <f t="shared" ref="K441:P441" si="799">"0"</f>
        <v>0</v>
      </c>
      <c r="L441" s="1" t="str">
        <f t="shared" si="799"/>
        <v>0</v>
      </c>
      <c r="M441" s="1" t="str">
        <f t="shared" si="799"/>
        <v>0</v>
      </c>
      <c r="N441" s="1" t="str">
        <f t="shared" si="799"/>
        <v>0</v>
      </c>
      <c r="O441" s="1" t="str">
        <f t="shared" si="799"/>
        <v>0</v>
      </c>
      <c r="P441" s="1" t="str">
        <f t="shared" si="799"/>
        <v>0</v>
      </c>
      <c r="Q441" s="1" t="str">
        <f t="shared" si="684"/>
        <v>0.0070</v>
      </c>
      <c r="R441" s="1" t="s">
        <v>29</v>
      </c>
      <c r="S441" s="1">
        <v>-0.0014</v>
      </c>
      <c r="T441" s="1" t="str">
        <f t="shared" si="685"/>
        <v>0</v>
      </c>
      <c r="U441" s="1" t="str">
        <f t="shared" si="797"/>
        <v>0.0056</v>
      </c>
    </row>
    <row r="442" s="1" customFormat="1" spans="1:21">
      <c r="A442" s="1" t="str">
        <f>"4601991424823"</f>
        <v>4601991424823</v>
      </c>
      <c r="B442" s="1" t="s">
        <v>466</v>
      </c>
      <c r="C442" s="1" t="s">
        <v>24</v>
      </c>
      <c r="D442" s="1" t="str">
        <f t="shared" si="681"/>
        <v>2021</v>
      </c>
      <c r="E442" s="1" t="str">
        <f>"19.34"</f>
        <v>19.34</v>
      </c>
      <c r="F442" s="1" t="str">
        <f t="shared" ref="F442:I442" si="800">"0"</f>
        <v>0</v>
      </c>
      <c r="G442" s="1" t="str">
        <f t="shared" si="800"/>
        <v>0</v>
      </c>
      <c r="H442" s="1" t="str">
        <f t="shared" si="800"/>
        <v>0</v>
      </c>
      <c r="I442" s="1" t="str">
        <f t="shared" si="800"/>
        <v>0</v>
      </c>
      <c r="J442" s="1" t="str">
        <f>"2"</f>
        <v>2</v>
      </c>
      <c r="K442" s="1" t="str">
        <f t="shared" ref="K442:P442" si="801">"0"</f>
        <v>0</v>
      </c>
      <c r="L442" s="1" t="str">
        <f t="shared" si="801"/>
        <v>0</v>
      </c>
      <c r="M442" s="1" t="str">
        <f t="shared" si="801"/>
        <v>0</v>
      </c>
      <c r="N442" s="1" t="str">
        <f t="shared" si="801"/>
        <v>0</v>
      </c>
      <c r="O442" s="1" t="str">
        <f t="shared" si="801"/>
        <v>0</v>
      </c>
      <c r="P442" s="1" t="str">
        <f t="shared" si="801"/>
        <v>0</v>
      </c>
      <c r="Q442" s="1" t="str">
        <f t="shared" si="684"/>
        <v>0.0070</v>
      </c>
      <c r="R442" s="1" t="s">
        <v>29</v>
      </c>
      <c r="S442" s="1">
        <v>-0.0014</v>
      </c>
      <c r="T442" s="1" t="str">
        <f t="shared" si="685"/>
        <v>0</v>
      </c>
      <c r="U442" s="1" t="str">
        <f t="shared" si="797"/>
        <v>0.0056</v>
      </c>
    </row>
    <row r="443" s="1" customFormat="1" spans="1:21">
      <c r="A443" s="1" t="str">
        <f>"4601991425480"</f>
        <v>4601991425480</v>
      </c>
      <c r="B443" s="1" t="s">
        <v>467</v>
      </c>
      <c r="C443" s="1" t="s">
        <v>24</v>
      </c>
      <c r="D443" s="1" t="str">
        <f t="shared" si="681"/>
        <v>2021</v>
      </c>
      <c r="E443" s="1" t="str">
        <f>"36.27"</f>
        <v>36.27</v>
      </c>
      <c r="F443" s="1" t="str">
        <f t="shared" ref="F443:I443" si="802">"0"</f>
        <v>0</v>
      </c>
      <c r="G443" s="1" t="str">
        <f t="shared" si="802"/>
        <v>0</v>
      </c>
      <c r="H443" s="1" t="str">
        <f t="shared" si="802"/>
        <v>0</v>
      </c>
      <c r="I443" s="1" t="str">
        <f t="shared" si="802"/>
        <v>0</v>
      </c>
      <c r="J443" s="1" t="str">
        <f>"5"</f>
        <v>5</v>
      </c>
      <c r="K443" s="1" t="str">
        <f t="shared" ref="K443:P443" si="803">"0"</f>
        <v>0</v>
      </c>
      <c r="L443" s="1" t="str">
        <f t="shared" si="803"/>
        <v>0</v>
      </c>
      <c r="M443" s="1" t="str">
        <f t="shared" si="803"/>
        <v>0</v>
      </c>
      <c r="N443" s="1" t="str">
        <f t="shared" si="803"/>
        <v>0</v>
      </c>
      <c r="O443" s="1" t="str">
        <f t="shared" si="803"/>
        <v>0</v>
      </c>
      <c r="P443" s="1" t="str">
        <f t="shared" si="803"/>
        <v>0</v>
      </c>
      <c r="Q443" s="1" t="str">
        <f t="shared" si="684"/>
        <v>0.0070</v>
      </c>
      <c r="R443" s="1" t="s">
        <v>29</v>
      </c>
      <c r="S443" s="1">
        <v>-0.0014</v>
      </c>
      <c r="T443" s="1" t="str">
        <f t="shared" si="685"/>
        <v>0</v>
      </c>
      <c r="U443" s="1" t="str">
        <f t="shared" si="797"/>
        <v>0.0056</v>
      </c>
    </row>
    <row r="444" s="1" customFormat="1" spans="1:21">
      <c r="A444" s="1" t="str">
        <f>"4601991423617"</f>
        <v>4601991423617</v>
      </c>
      <c r="B444" s="1" t="s">
        <v>468</v>
      </c>
      <c r="C444" s="1" t="s">
        <v>24</v>
      </c>
      <c r="D444" s="1" t="str">
        <f t="shared" si="681"/>
        <v>2021</v>
      </c>
      <c r="E444" s="1" t="str">
        <f>"9.67"</f>
        <v>9.67</v>
      </c>
      <c r="F444" s="1" t="str">
        <f t="shared" ref="F444:I444" si="804">"0"</f>
        <v>0</v>
      </c>
      <c r="G444" s="1" t="str">
        <f t="shared" si="804"/>
        <v>0</v>
      </c>
      <c r="H444" s="1" t="str">
        <f t="shared" si="804"/>
        <v>0</v>
      </c>
      <c r="I444" s="1" t="str">
        <f t="shared" si="804"/>
        <v>0</v>
      </c>
      <c r="J444" s="1" t="str">
        <f t="shared" si="795"/>
        <v>1</v>
      </c>
      <c r="K444" s="1" t="str">
        <f t="shared" ref="K444:P444" si="805">"0"</f>
        <v>0</v>
      </c>
      <c r="L444" s="1" t="str">
        <f t="shared" si="805"/>
        <v>0</v>
      </c>
      <c r="M444" s="1" t="str">
        <f t="shared" si="805"/>
        <v>0</v>
      </c>
      <c r="N444" s="1" t="str">
        <f t="shared" si="805"/>
        <v>0</v>
      </c>
      <c r="O444" s="1" t="str">
        <f t="shared" si="805"/>
        <v>0</v>
      </c>
      <c r="P444" s="1" t="str">
        <f t="shared" si="805"/>
        <v>0</v>
      </c>
      <c r="Q444" s="1" t="str">
        <f t="shared" si="684"/>
        <v>0.0070</v>
      </c>
      <c r="R444" s="1" t="s">
        <v>29</v>
      </c>
      <c r="S444" s="1">
        <v>-0.0014</v>
      </c>
      <c r="T444" s="1" t="str">
        <f t="shared" si="685"/>
        <v>0</v>
      </c>
      <c r="U444" s="1" t="str">
        <f t="shared" si="797"/>
        <v>0.0056</v>
      </c>
    </row>
    <row r="445" s="1" customFormat="1" spans="1:21">
      <c r="A445" s="1" t="str">
        <f>"4601991423601"</f>
        <v>4601991423601</v>
      </c>
      <c r="B445" s="1" t="s">
        <v>469</v>
      </c>
      <c r="C445" s="1" t="s">
        <v>24</v>
      </c>
      <c r="D445" s="1" t="str">
        <f t="shared" si="681"/>
        <v>2021</v>
      </c>
      <c r="E445" s="1" t="str">
        <f>"19.34"</f>
        <v>19.34</v>
      </c>
      <c r="F445" s="1" t="str">
        <f t="shared" ref="F445:I445" si="806">"0"</f>
        <v>0</v>
      </c>
      <c r="G445" s="1" t="str">
        <f t="shared" si="806"/>
        <v>0</v>
      </c>
      <c r="H445" s="1" t="str">
        <f t="shared" si="806"/>
        <v>0</v>
      </c>
      <c r="I445" s="1" t="str">
        <f t="shared" si="806"/>
        <v>0</v>
      </c>
      <c r="J445" s="1" t="str">
        <f>"3"</f>
        <v>3</v>
      </c>
      <c r="K445" s="1" t="str">
        <f t="shared" ref="K445:P445" si="807">"0"</f>
        <v>0</v>
      </c>
      <c r="L445" s="1" t="str">
        <f t="shared" si="807"/>
        <v>0</v>
      </c>
      <c r="M445" s="1" t="str">
        <f t="shared" si="807"/>
        <v>0</v>
      </c>
      <c r="N445" s="1" t="str">
        <f t="shared" si="807"/>
        <v>0</v>
      </c>
      <c r="O445" s="1" t="str">
        <f t="shared" si="807"/>
        <v>0</v>
      </c>
      <c r="P445" s="1" t="str">
        <f t="shared" si="807"/>
        <v>0</v>
      </c>
      <c r="Q445" s="1" t="str">
        <f t="shared" si="684"/>
        <v>0.0070</v>
      </c>
      <c r="R445" s="1" t="s">
        <v>29</v>
      </c>
      <c r="S445" s="1">
        <v>-0.0014</v>
      </c>
      <c r="T445" s="1" t="str">
        <f t="shared" si="685"/>
        <v>0</v>
      </c>
      <c r="U445" s="1" t="str">
        <f t="shared" si="797"/>
        <v>0.0056</v>
      </c>
    </row>
    <row r="446" s="1" customFormat="1" spans="1:21">
      <c r="A446" s="1" t="str">
        <f>"4601991424851"</f>
        <v>4601991424851</v>
      </c>
      <c r="B446" s="1" t="s">
        <v>470</v>
      </c>
      <c r="C446" s="1" t="s">
        <v>24</v>
      </c>
      <c r="D446" s="1" t="str">
        <f t="shared" si="681"/>
        <v>2021</v>
      </c>
      <c r="E446" s="1" t="str">
        <f t="shared" ref="E446:P446" si="808">"0"</f>
        <v>0</v>
      </c>
      <c r="F446" s="1" t="str">
        <f t="shared" si="808"/>
        <v>0</v>
      </c>
      <c r="G446" s="1" t="str">
        <f t="shared" si="808"/>
        <v>0</v>
      </c>
      <c r="H446" s="1" t="str">
        <f t="shared" si="808"/>
        <v>0</v>
      </c>
      <c r="I446" s="1" t="str">
        <f t="shared" si="808"/>
        <v>0</v>
      </c>
      <c r="J446" s="1" t="str">
        <f t="shared" si="808"/>
        <v>0</v>
      </c>
      <c r="K446" s="1" t="str">
        <f t="shared" si="808"/>
        <v>0</v>
      </c>
      <c r="L446" s="1" t="str">
        <f t="shared" si="808"/>
        <v>0</v>
      </c>
      <c r="M446" s="1" t="str">
        <f t="shared" si="808"/>
        <v>0</v>
      </c>
      <c r="N446" s="1" t="str">
        <f t="shared" si="808"/>
        <v>0</v>
      </c>
      <c r="O446" s="1" t="str">
        <f t="shared" si="808"/>
        <v>0</v>
      </c>
      <c r="P446" s="1" t="str">
        <f t="shared" si="808"/>
        <v>0</v>
      </c>
      <c r="Q446" s="1" t="str">
        <f t="shared" si="684"/>
        <v>0.0070</v>
      </c>
      <c r="R446" s="1" t="s">
        <v>25</v>
      </c>
      <c r="T446" s="1" t="str">
        <f t="shared" si="685"/>
        <v>0</v>
      </c>
      <c r="U446" s="1" t="str">
        <f t="shared" ref="U446:U448" si="809">"0.0070"</f>
        <v>0.0070</v>
      </c>
    </row>
    <row r="447" s="1" customFormat="1" spans="1:21">
      <c r="A447" s="1" t="str">
        <f>"4601991424862"</f>
        <v>4601991424862</v>
      </c>
      <c r="B447" s="1" t="s">
        <v>471</v>
      </c>
      <c r="C447" s="1" t="s">
        <v>24</v>
      </c>
      <c r="D447" s="1" t="str">
        <f t="shared" si="681"/>
        <v>2021</v>
      </c>
      <c r="E447" s="1" t="str">
        <f t="shared" ref="E447:G447" si="810">"0"</f>
        <v>0</v>
      </c>
      <c r="F447" s="1" t="str">
        <f t="shared" si="810"/>
        <v>0</v>
      </c>
      <c r="G447" s="1" t="str">
        <f t="shared" si="810"/>
        <v>0</v>
      </c>
      <c r="H447" s="1" t="str">
        <f>"77.36"</f>
        <v>77.36</v>
      </c>
      <c r="I447" s="1" t="str">
        <f t="shared" ref="I447:P447" si="811">"0"</f>
        <v>0</v>
      </c>
      <c r="J447" s="1" t="str">
        <f t="shared" si="811"/>
        <v>0</v>
      </c>
      <c r="K447" s="1" t="str">
        <f t="shared" si="811"/>
        <v>0</v>
      </c>
      <c r="L447" s="1" t="str">
        <f t="shared" si="811"/>
        <v>0</v>
      </c>
      <c r="M447" s="1" t="str">
        <f t="shared" si="811"/>
        <v>0</v>
      </c>
      <c r="N447" s="1" t="str">
        <f t="shared" si="811"/>
        <v>0</v>
      </c>
      <c r="O447" s="1" t="str">
        <f t="shared" si="811"/>
        <v>0</v>
      </c>
      <c r="P447" s="1" t="str">
        <f t="shared" si="811"/>
        <v>0</v>
      </c>
      <c r="Q447" s="1" t="str">
        <f t="shared" si="684"/>
        <v>0.0070</v>
      </c>
      <c r="R447" s="1" t="s">
        <v>25</v>
      </c>
      <c r="T447" s="1" t="str">
        <f t="shared" si="685"/>
        <v>0</v>
      </c>
      <c r="U447" s="1" t="str">
        <f t="shared" si="809"/>
        <v>0.0070</v>
      </c>
    </row>
    <row r="448" s="1" customFormat="1" spans="1:21">
      <c r="A448" s="1" t="str">
        <f>"4601991424243"</f>
        <v>4601991424243</v>
      </c>
      <c r="B448" s="1" t="s">
        <v>472</v>
      </c>
      <c r="C448" s="1" t="s">
        <v>24</v>
      </c>
      <c r="D448" s="1" t="str">
        <f t="shared" si="681"/>
        <v>2021</v>
      </c>
      <c r="E448" s="1" t="str">
        <f t="shared" ref="E448:P448" si="812">"0"</f>
        <v>0</v>
      </c>
      <c r="F448" s="1" t="str">
        <f t="shared" si="812"/>
        <v>0</v>
      </c>
      <c r="G448" s="1" t="str">
        <f t="shared" si="812"/>
        <v>0</v>
      </c>
      <c r="H448" s="1" t="str">
        <f t="shared" si="812"/>
        <v>0</v>
      </c>
      <c r="I448" s="1" t="str">
        <f t="shared" si="812"/>
        <v>0</v>
      </c>
      <c r="J448" s="1" t="str">
        <f t="shared" si="812"/>
        <v>0</v>
      </c>
      <c r="K448" s="1" t="str">
        <f t="shared" si="812"/>
        <v>0</v>
      </c>
      <c r="L448" s="1" t="str">
        <f t="shared" si="812"/>
        <v>0</v>
      </c>
      <c r="M448" s="1" t="str">
        <f t="shared" si="812"/>
        <v>0</v>
      </c>
      <c r="N448" s="1" t="str">
        <f t="shared" si="812"/>
        <v>0</v>
      </c>
      <c r="O448" s="1" t="str">
        <f t="shared" si="812"/>
        <v>0</v>
      </c>
      <c r="P448" s="1" t="str">
        <f t="shared" si="812"/>
        <v>0</v>
      </c>
      <c r="Q448" s="1" t="str">
        <f t="shared" si="684"/>
        <v>0.0070</v>
      </c>
      <c r="R448" s="1" t="s">
        <v>25</v>
      </c>
      <c r="T448" s="1" t="str">
        <f t="shared" si="685"/>
        <v>0</v>
      </c>
      <c r="U448" s="1" t="str">
        <f t="shared" si="809"/>
        <v>0.0070</v>
      </c>
    </row>
    <row r="449" s="1" customFormat="1" spans="1:21">
      <c r="A449" s="1" t="str">
        <f>"4601991424858"</f>
        <v>4601991424858</v>
      </c>
      <c r="B449" s="1" t="s">
        <v>473</v>
      </c>
      <c r="C449" s="1" t="s">
        <v>24</v>
      </c>
      <c r="D449" s="1" t="str">
        <f t="shared" si="681"/>
        <v>2021</v>
      </c>
      <c r="E449" s="1" t="str">
        <f t="shared" ref="E449:E454" si="813">"9.67"</f>
        <v>9.67</v>
      </c>
      <c r="F449" s="1" t="str">
        <f t="shared" ref="F449:I449" si="814">"0"</f>
        <v>0</v>
      </c>
      <c r="G449" s="1" t="str">
        <f t="shared" si="814"/>
        <v>0</v>
      </c>
      <c r="H449" s="1" t="str">
        <f t="shared" si="814"/>
        <v>0</v>
      </c>
      <c r="I449" s="1" t="str">
        <f t="shared" si="814"/>
        <v>0</v>
      </c>
      <c r="J449" s="1" t="str">
        <f t="shared" ref="J449:J454" si="815">"1"</f>
        <v>1</v>
      </c>
      <c r="K449" s="1" t="str">
        <f t="shared" ref="K449:P449" si="816">"0"</f>
        <v>0</v>
      </c>
      <c r="L449" s="1" t="str">
        <f t="shared" si="816"/>
        <v>0</v>
      </c>
      <c r="M449" s="1" t="str">
        <f t="shared" si="816"/>
        <v>0</v>
      </c>
      <c r="N449" s="1" t="str">
        <f t="shared" si="816"/>
        <v>0</v>
      </c>
      <c r="O449" s="1" t="str">
        <f t="shared" si="816"/>
        <v>0</v>
      </c>
      <c r="P449" s="1" t="str">
        <f t="shared" si="816"/>
        <v>0</v>
      </c>
      <c r="Q449" s="1" t="str">
        <f t="shared" si="684"/>
        <v>0.0070</v>
      </c>
      <c r="R449" s="1" t="s">
        <v>29</v>
      </c>
      <c r="S449" s="1">
        <v>-0.0014</v>
      </c>
      <c r="T449" s="1" t="str">
        <f t="shared" si="685"/>
        <v>0</v>
      </c>
      <c r="U449" s="1" t="str">
        <f t="shared" ref="U449:U454" si="817">"0.0056"</f>
        <v>0.0056</v>
      </c>
    </row>
    <row r="450" s="1" customFormat="1" spans="1:21">
      <c r="A450" s="1" t="str">
        <f>"4601991425532"</f>
        <v>4601991425532</v>
      </c>
      <c r="B450" s="1" t="s">
        <v>474</v>
      </c>
      <c r="C450" s="1" t="s">
        <v>24</v>
      </c>
      <c r="D450" s="1" t="str">
        <f t="shared" si="681"/>
        <v>2021</v>
      </c>
      <c r="E450" s="1" t="str">
        <f>"19.34"</f>
        <v>19.34</v>
      </c>
      <c r="F450" s="1" t="str">
        <f t="shared" ref="F450:I450" si="818">"0"</f>
        <v>0</v>
      </c>
      <c r="G450" s="1" t="str">
        <f t="shared" si="818"/>
        <v>0</v>
      </c>
      <c r="H450" s="1" t="str">
        <f t="shared" si="818"/>
        <v>0</v>
      </c>
      <c r="I450" s="1" t="str">
        <f t="shared" si="818"/>
        <v>0</v>
      </c>
      <c r="J450" s="1" t="str">
        <f t="shared" si="815"/>
        <v>1</v>
      </c>
      <c r="K450" s="1" t="str">
        <f t="shared" ref="K450:P450" si="819">"0"</f>
        <v>0</v>
      </c>
      <c r="L450" s="1" t="str">
        <f t="shared" si="819"/>
        <v>0</v>
      </c>
      <c r="M450" s="1" t="str">
        <f t="shared" si="819"/>
        <v>0</v>
      </c>
      <c r="N450" s="1" t="str">
        <f t="shared" si="819"/>
        <v>0</v>
      </c>
      <c r="O450" s="1" t="str">
        <f t="shared" si="819"/>
        <v>0</v>
      </c>
      <c r="P450" s="1" t="str">
        <f t="shared" si="819"/>
        <v>0</v>
      </c>
      <c r="Q450" s="1" t="str">
        <f t="shared" si="684"/>
        <v>0.0070</v>
      </c>
      <c r="R450" s="1" t="s">
        <v>29</v>
      </c>
      <c r="S450" s="1">
        <v>-0.0014</v>
      </c>
      <c r="T450" s="1" t="str">
        <f t="shared" si="685"/>
        <v>0</v>
      </c>
      <c r="U450" s="1" t="str">
        <f t="shared" si="817"/>
        <v>0.0056</v>
      </c>
    </row>
    <row r="451" s="1" customFormat="1" spans="1:21">
      <c r="A451" s="1" t="str">
        <f>"4601991424882"</f>
        <v>4601991424882</v>
      </c>
      <c r="B451" s="1" t="s">
        <v>475</v>
      </c>
      <c r="C451" s="1" t="s">
        <v>24</v>
      </c>
      <c r="D451" s="1" t="str">
        <f t="shared" ref="D451:D514" si="820">"2021"</f>
        <v>2021</v>
      </c>
      <c r="E451" s="1" t="str">
        <f t="shared" si="813"/>
        <v>9.67</v>
      </c>
      <c r="F451" s="1" t="str">
        <f t="shared" ref="F451:I451" si="821">"0"</f>
        <v>0</v>
      </c>
      <c r="G451" s="1" t="str">
        <f t="shared" si="821"/>
        <v>0</v>
      </c>
      <c r="H451" s="1" t="str">
        <f t="shared" si="821"/>
        <v>0</v>
      </c>
      <c r="I451" s="1" t="str">
        <f t="shared" si="821"/>
        <v>0</v>
      </c>
      <c r="J451" s="1" t="str">
        <f>"2"</f>
        <v>2</v>
      </c>
      <c r="K451" s="1" t="str">
        <f t="shared" ref="K451:P451" si="822">"0"</f>
        <v>0</v>
      </c>
      <c r="L451" s="1" t="str">
        <f t="shared" si="822"/>
        <v>0</v>
      </c>
      <c r="M451" s="1" t="str">
        <f t="shared" si="822"/>
        <v>0</v>
      </c>
      <c r="N451" s="1" t="str">
        <f t="shared" si="822"/>
        <v>0</v>
      </c>
      <c r="O451" s="1" t="str">
        <f t="shared" si="822"/>
        <v>0</v>
      </c>
      <c r="P451" s="1" t="str">
        <f t="shared" si="822"/>
        <v>0</v>
      </c>
      <c r="Q451" s="1" t="str">
        <f t="shared" ref="Q451:Q514" si="823">"0.0070"</f>
        <v>0.0070</v>
      </c>
      <c r="R451" s="1" t="s">
        <v>29</v>
      </c>
      <c r="S451" s="1">
        <v>-0.0014</v>
      </c>
      <c r="T451" s="1" t="str">
        <f t="shared" ref="T451:T514" si="824">"0"</f>
        <v>0</v>
      </c>
      <c r="U451" s="1" t="str">
        <f t="shared" si="817"/>
        <v>0.0056</v>
      </c>
    </row>
    <row r="452" s="1" customFormat="1" spans="1:21">
      <c r="A452" s="1" t="str">
        <f>"4601991424868"</f>
        <v>4601991424868</v>
      </c>
      <c r="B452" s="1" t="s">
        <v>476</v>
      </c>
      <c r="C452" s="1" t="s">
        <v>24</v>
      </c>
      <c r="D452" s="1" t="str">
        <f t="shared" si="820"/>
        <v>2021</v>
      </c>
      <c r="E452" s="1" t="str">
        <f>"76.64"</f>
        <v>76.64</v>
      </c>
      <c r="F452" s="1" t="str">
        <f t="shared" ref="F452:I452" si="825">"0"</f>
        <v>0</v>
      </c>
      <c r="G452" s="1" t="str">
        <f t="shared" si="825"/>
        <v>0</v>
      </c>
      <c r="H452" s="1" t="str">
        <f t="shared" si="825"/>
        <v>0</v>
      </c>
      <c r="I452" s="1" t="str">
        <f t="shared" si="825"/>
        <v>0</v>
      </c>
      <c r="J452" s="1" t="str">
        <f>"6"</f>
        <v>6</v>
      </c>
      <c r="K452" s="1" t="str">
        <f t="shared" ref="K452:P452" si="826">"0"</f>
        <v>0</v>
      </c>
      <c r="L452" s="1" t="str">
        <f t="shared" si="826"/>
        <v>0</v>
      </c>
      <c r="M452" s="1" t="str">
        <f t="shared" si="826"/>
        <v>0</v>
      </c>
      <c r="N452" s="1" t="str">
        <f t="shared" si="826"/>
        <v>0</v>
      </c>
      <c r="O452" s="1" t="str">
        <f t="shared" si="826"/>
        <v>0</v>
      </c>
      <c r="P452" s="1" t="str">
        <f t="shared" si="826"/>
        <v>0</v>
      </c>
      <c r="Q452" s="1" t="str">
        <f t="shared" si="823"/>
        <v>0.0070</v>
      </c>
      <c r="R452" s="1" t="s">
        <v>29</v>
      </c>
      <c r="S452" s="1">
        <v>-0.0014</v>
      </c>
      <c r="T452" s="1" t="str">
        <f t="shared" si="824"/>
        <v>0</v>
      </c>
      <c r="U452" s="1" t="str">
        <f t="shared" si="817"/>
        <v>0.0056</v>
      </c>
    </row>
    <row r="453" s="1" customFormat="1" spans="1:21">
      <c r="A453" s="1" t="str">
        <f>"4601991424877"</f>
        <v>4601991424877</v>
      </c>
      <c r="B453" s="1" t="s">
        <v>477</v>
      </c>
      <c r="C453" s="1" t="s">
        <v>24</v>
      </c>
      <c r="D453" s="1" t="str">
        <f t="shared" si="820"/>
        <v>2021</v>
      </c>
      <c r="E453" s="1" t="str">
        <f>"357.92"</f>
        <v>357.92</v>
      </c>
      <c r="F453" s="1" t="str">
        <f t="shared" ref="F453:I453" si="827">"0"</f>
        <v>0</v>
      </c>
      <c r="G453" s="1" t="str">
        <f t="shared" si="827"/>
        <v>0</v>
      </c>
      <c r="H453" s="1" t="str">
        <f t="shared" si="827"/>
        <v>0</v>
      </c>
      <c r="I453" s="1" t="str">
        <f t="shared" si="827"/>
        <v>0</v>
      </c>
      <c r="J453" s="1" t="str">
        <f>"40"</f>
        <v>40</v>
      </c>
      <c r="K453" s="1" t="str">
        <f t="shared" ref="K453:P453" si="828">"0"</f>
        <v>0</v>
      </c>
      <c r="L453" s="1" t="str">
        <f t="shared" si="828"/>
        <v>0</v>
      </c>
      <c r="M453" s="1" t="str">
        <f t="shared" si="828"/>
        <v>0</v>
      </c>
      <c r="N453" s="1" t="str">
        <f t="shared" si="828"/>
        <v>0</v>
      </c>
      <c r="O453" s="1" t="str">
        <f t="shared" si="828"/>
        <v>0</v>
      </c>
      <c r="P453" s="1" t="str">
        <f t="shared" si="828"/>
        <v>0</v>
      </c>
      <c r="Q453" s="1" t="str">
        <f t="shared" si="823"/>
        <v>0.0070</v>
      </c>
      <c r="R453" s="1" t="s">
        <v>29</v>
      </c>
      <c r="S453" s="1">
        <v>-0.0014</v>
      </c>
      <c r="T453" s="1" t="str">
        <f t="shared" si="824"/>
        <v>0</v>
      </c>
      <c r="U453" s="1" t="str">
        <f t="shared" si="817"/>
        <v>0.0056</v>
      </c>
    </row>
    <row r="454" s="1" customFormat="1" spans="1:21">
      <c r="A454" s="1" t="str">
        <f>"4601991425549"</f>
        <v>4601991425549</v>
      </c>
      <c r="B454" s="1" t="s">
        <v>478</v>
      </c>
      <c r="C454" s="1" t="s">
        <v>24</v>
      </c>
      <c r="D454" s="1" t="str">
        <f t="shared" si="820"/>
        <v>2021</v>
      </c>
      <c r="E454" s="1" t="str">
        <f t="shared" si="813"/>
        <v>9.67</v>
      </c>
      <c r="F454" s="1" t="str">
        <f t="shared" ref="F454:I454" si="829">"0"</f>
        <v>0</v>
      </c>
      <c r="G454" s="1" t="str">
        <f t="shared" si="829"/>
        <v>0</v>
      </c>
      <c r="H454" s="1" t="str">
        <f t="shared" si="829"/>
        <v>0</v>
      </c>
      <c r="I454" s="1" t="str">
        <f t="shared" si="829"/>
        <v>0</v>
      </c>
      <c r="J454" s="1" t="str">
        <f t="shared" si="815"/>
        <v>1</v>
      </c>
      <c r="K454" s="1" t="str">
        <f t="shared" ref="K454:P454" si="830">"0"</f>
        <v>0</v>
      </c>
      <c r="L454" s="1" t="str">
        <f t="shared" si="830"/>
        <v>0</v>
      </c>
      <c r="M454" s="1" t="str">
        <f t="shared" si="830"/>
        <v>0</v>
      </c>
      <c r="N454" s="1" t="str">
        <f t="shared" si="830"/>
        <v>0</v>
      </c>
      <c r="O454" s="1" t="str">
        <f t="shared" si="830"/>
        <v>0</v>
      </c>
      <c r="P454" s="1" t="str">
        <f t="shared" si="830"/>
        <v>0</v>
      </c>
      <c r="Q454" s="1" t="str">
        <f t="shared" si="823"/>
        <v>0.0070</v>
      </c>
      <c r="R454" s="1" t="s">
        <v>29</v>
      </c>
      <c r="S454" s="1">
        <v>-0.0014</v>
      </c>
      <c r="T454" s="1" t="str">
        <f t="shared" si="824"/>
        <v>0</v>
      </c>
      <c r="U454" s="1" t="str">
        <f t="shared" si="817"/>
        <v>0.0056</v>
      </c>
    </row>
    <row r="455" s="1" customFormat="1" spans="1:21">
      <c r="A455" s="1" t="str">
        <f>"4601991424298"</f>
        <v>4601991424298</v>
      </c>
      <c r="B455" s="1" t="s">
        <v>479</v>
      </c>
      <c r="C455" s="1" t="s">
        <v>24</v>
      </c>
      <c r="D455" s="1" t="str">
        <f t="shared" si="820"/>
        <v>2021</v>
      </c>
      <c r="E455" s="1" t="str">
        <f t="shared" ref="E455:P455" si="831">"0"</f>
        <v>0</v>
      </c>
      <c r="F455" s="1" t="str">
        <f t="shared" si="831"/>
        <v>0</v>
      </c>
      <c r="G455" s="1" t="str">
        <f t="shared" si="831"/>
        <v>0</v>
      </c>
      <c r="H455" s="1" t="str">
        <f t="shared" si="831"/>
        <v>0</v>
      </c>
      <c r="I455" s="1" t="str">
        <f t="shared" si="831"/>
        <v>0</v>
      </c>
      <c r="J455" s="1" t="str">
        <f t="shared" si="831"/>
        <v>0</v>
      </c>
      <c r="K455" s="1" t="str">
        <f t="shared" si="831"/>
        <v>0</v>
      </c>
      <c r="L455" s="1" t="str">
        <f t="shared" si="831"/>
        <v>0</v>
      </c>
      <c r="M455" s="1" t="str">
        <f t="shared" si="831"/>
        <v>0</v>
      </c>
      <c r="N455" s="1" t="str">
        <f t="shared" si="831"/>
        <v>0</v>
      </c>
      <c r="O455" s="1" t="str">
        <f t="shared" si="831"/>
        <v>0</v>
      </c>
      <c r="P455" s="1" t="str">
        <f t="shared" si="831"/>
        <v>0</v>
      </c>
      <c r="Q455" s="1" t="str">
        <f t="shared" si="823"/>
        <v>0.0070</v>
      </c>
      <c r="R455" s="1" t="s">
        <v>25</v>
      </c>
      <c r="T455" s="1" t="str">
        <f t="shared" si="824"/>
        <v>0</v>
      </c>
      <c r="U455" s="1" t="str">
        <f>"0.0070"</f>
        <v>0.0070</v>
      </c>
    </row>
    <row r="456" s="1" customFormat="1" spans="1:21">
      <c r="A456" s="1" t="str">
        <f>"4601991424910"</f>
        <v>4601991424910</v>
      </c>
      <c r="B456" s="1" t="s">
        <v>480</v>
      </c>
      <c r="C456" s="1" t="s">
        <v>24</v>
      </c>
      <c r="D456" s="1" t="str">
        <f t="shared" si="820"/>
        <v>2021</v>
      </c>
      <c r="E456" s="1" t="str">
        <f>"9.67"</f>
        <v>9.67</v>
      </c>
      <c r="F456" s="1" t="str">
        <f t="shared" ref="F456:I456" si="832">"0"</f>
        <v>0</v>
      </c>
      <c r="G456" s="1" t="str">
        <f t="shared" si="832"/>
        <v>0</v>
      </c>
      <c r="H456" s="1" t="str">
        <f t="shared" si="832"/>
        <v>0</v>
      </c>
      <c r="I456" s="1" t="str">
        <f t="shared" si="832"/>
        <v>0</v>
      </c>
      <c r="J456" s="1" t="str">
        <f>"1"</f>
        <v>1</v>
      </c>
      <c r="K456" s="1" t="str">
        <f t="shared" ref="K456:P456" si="833">"0"</f>
        <v>0</v>
      </c>
      <c r="L456" s="1" t="str">
        <f t="shared" si="833"/>
        <v>0</v>
      </c>
      <c r="M456" s="1" t="str">
        <f t="shared" si="833"/>
        <v>0</v>
      </c>
      <c r="N456" s="1" t="str">
        <f t="shared" si="833"/>
        <v>0</v>
      </c>
      <c r="O456" s="1" t="str">
        <f t="shared" si="833"/>
        <v>0</v>
      </c>
      <c r="P456" s="1" t="str">
        <f t="shared" si="833"/>
        <v>0</v>
      </c>
      <c r="Q456" s="1" t="str">
        <f t="shared" si="823"/>
        <v>0.0070</v>
      </c>
      <c r="R456" s="1" t="s">
        <v>29</v>
      </c>
      <c r="S456" s="1">
        <v>-0.0014</v>
      </c>
      <c r="T456" s="1" t="str">
        <f t="shared" si="824"/>
        <v>0</v>
      </c>
      <c r="U456" s="1" t="str">
        <f t="shared" ref="U456:U464" si="834">"0.0056"</f>
        <v>0.0056</v>
      </c>
    </row>
    <row r="457" s="1" customFormat="1" spans="1:21">
      <c r="A457" s="1" t="str">
        <f>"4601991424274"</f>
        <v>4601991424274</v>
      </c>
      <c r="B457" s="1" t="s">
        <v>481</v>
      </c>
      <c r="C457" s="1" t="s">
        <v>24</v>
      </c>
      <c r="D457" s="1" t="str">
        <f t="shared" si="820"/>
        <v>2021</v>
      </c>
      <c r="E457" s="1" t="str">
        <f>"38.68"</f>
        <v>38.68</v>
      </c>
      <c r="F457" s="1" t="str">
        <f t="shared" ref="F457:I457" si="835">"0"</f>
        <v>0</v>
      </c>
      <c r="G457" s="1" t="str">
        <f t="shared" si="835"/>
        <v>0</v>
      </c>
      <c r="H457" s="1" t="str">
        <f t="shared" si="835"/>
        <v>0</v>
      </c>
      <c r="I457" s="1" t="str">
        <f t="shared" si="835"/>
        <v>0</v>
      </c>
      <c r="J457" s="1" t="str">
        <f>"4"</f>
        <v>4</v>
      </c>
      <c r="K457" s="1" t="str">
        <f t="shared" ref="K457:P457" si="836">"0"</f>
        <v>0</v>
      </c>
      <c r="L457" s="1" t="str">
        <f t="shared" si="836"/>
        <v>0</v>
      </c>
      <c r="M457" s="1" t="str">
        <f t="shared" si="836"/>
        <v>0</v>
      </c>
      <c r="N457" s="1" t="str">
        <f t="shared" si="836"/>
        <v>0</v>
      </c>
      <c r="O457" s="1" t="str">
        <f t="shared" si="836"/>
        <v>0</v>
      </c>
      <c r="P457" s="1" t="str">
        <f t="shared" si="836"/>
        <v>0</v>
      </c>
      <c r="Q457" s="1" t="str">
        <f t="shared" si="823"/>
        <v>0.0070</v>
      </c>
      <c r="R457" s="1" t="s">
        <v>29</v>
      </c>
      <c r="S457" s="1">
        <v>-0.0014</v>
      </c>
      <c r="T457" s="1" t="str">
        <f t="shared" si="824"/>
        <v>0</v>
      </c>
      <c r="U457" s="1" t="str">
        <f t="shared" si="834"/>
        <v>0.0056</v>
      </c>
    </row>
    <row r="458" s="1" customFormat="1" spans="1:21">
      <c r="A458" s="1" t="str">
        <f>"4601991424279"</f>
        <v>4601991424279</v>
      </c>
      <c r="B458" s="1" t="s">
        <v>482</v>
      </c>
      <c r="C458" s="1" t="s">
        <v>24</v>
      </c>
      <c r="D458" s="1" t="str">
        <f t="shared" si="820"/>
        <v>2021</v>
      </c>
      <c r="E458" s="1" t="str">
        <f>"193.40"</f>
        <v>193.40</v>
      </c>
      <c r="F458" s="1" t="str">
        <f t="shared" ref="F458:I458" si="837">"0"</f>
        <v>0</v>
      </c>
      <c r="G458" s="1" t="str">
        <f t="shared" si="837"/>
        <v>0</v>
      </c>
      <c r="H458" s="1" t="str">
        <f t="shared" si="837"/>
        <v>0</v>
      </c>
      <c r="I458" s="1" t="str">
        <f t="shared" si="837"/>
        <v>0</v>
      </c>
      <c r="J458" s="1" t="str">
        <f>"18"</f>
        <v>18</v>
      </c>
      <c r="K458" s="1" t="str">
        <f t="shared" ref="K458:P458" si="838">"0"</f>
        <v>0</v>
      </c>
      <c r="L458" s="1" t="str">
        <f t="shared" si="838"/>
        <v>0</v>
      </c>
      <c r="M458" s="1" t="str">
        <f t="shared" si="838"/>
        <v>0</v>
      </c>
      <c r="N458" s="1" t="str">
        <f t="shared" si="838"/>
        <v>0</v>
      </c>
      <c r="O458" s="1" t="str">
        <f t="shared" si="838"/>
        <v>0</v>
      </c>
      <c r="P458" s="1" t="str">
        <f t="shared" si="838"/>
        <v>0</v>
      </c>
      <c r="Q458" s="1" t="str">
        <f t="shared" si="823"/>
        <v>0.0070</v>
      </c>
      <c r="R458" s="1" t="s">
        <v>29</v>
      </c>
      <c r="S458" s="1">
        <v>-0.0014</v>
      </c>
      <c r="T458" s="1" t="str">
        <f t="shared" si="824"/>
        <v>0</v>
      </c>
      <c r="U458" s="1" t="str">
        <f t="shared" si="834"/>
        <v>0.0056</v>
      </c>
    </row>
    <row r="459" s="1" customFormat="1" spans="1:21">
      <c r="A459" s="1" t="str">
        <f>"4601991424924"</f>
        <v>4601991424924</v>
      </c>
      <c r="B459" s="1" t="s">
        <v>483</v>
      </c>
      <c r="C459" s="1" t="s">
        <v>24</v>
      </c>
      <c r="D459" s="1" t="str">
        <f t="shared" si="820"/>
        <v>2021</v>
      </c>
      <c r="E459" s="1" t="str">
        <f>"304.10"</f>
        <v>304.10</v>
      </c>
      <c r="F459" s="1" t="str">
        <f t="shared" ref="F459:I459" si="839">"0"</f>
        <v>0</v>
      </c>
      <c r="G459" s="1" t="str">
        <f t="shared" si="839"/>
        <v>0</v>
      </c>
      <c r="H459" s="1" t="str">
        <f t="shared" si="839"/>
        <v>0</v>
      </c>
      <c r="I459" s="1" t="str">
        <f t="shared" si="839"/>
        <v>0</v>
      </c>
      <c r="J459" s="1" t="str">
        <f>"35"</f>
        <v>35</v>
      </c>
      <c r="K459" s="1" t="str">
        <f t="shared" ref="K459:P459" si="840">"0"</f>
        <v>0</v>
      </c>
      <c r="L459" s="1" t="str">
        <f t="shared" si="840"/>
        <v>0</v>
      </c>
      <c r="M459" s="1" t="str">
        <f t="shared" si="840"/>
        <v>0</v>
      </c>
      <c r="N459" s="1" t="str">
        <f t="shared" si="840"/>
        <v>0</v>
      </c>
      <c r="O459" s="1" t="str">
        <f t="shared" si="840"/>
        <v>0</v>
      </c>
      <c r="P459" s="1" t="str">
        <f t="shared" si="840"/>
        <v>0</v>
      </c>
      <c r="Q459" s="1" t="str">
        <f t="shared" si="823"/>
        <v>0.0070</v>
      </c>
      <c r="R459" s="1" t="s">
        <v>29</v>
      </c>
      <c r="S459" s="1">
        <v>-0.0014</v>
      </c>
      <c r="T459" s="1" t="str">
        <f t="shared" si="824"/>
        <v>0</v>
      </c>
      <c r="U459" s="1" t="str">
        <f t="shared" si="834"/>
        <v>0.0056</v>
      </c>
    </row>
    <row r="460" s="1" customFormat="1" spans="1:21">
      <c r="A460" s="1" t="str">
        <f>"4601991423662"</f>
        <v>4601991423662</v>
      </c>
      <c r="B460" s="1" t="s">
        <v>484</v>
      </c>
      <c r="C460" s="1" t="s">
        <v>24</v>
      </c>
      <c r="D460" s="1" t="str">
        <f t="shared" si="820"/>
        <v>2021</v>
      </c>
      <c r="E460" s="1" t="str">
        <f>"96.61"</f>
        <v>96.61</v>
      </c>
      <c r="F460" s="1" t="str">
        <f t="shared" ref="F460:I460" si="841">"0"</f>
        <v>0</v>
      </c>
      <c r="G460" s="1" t="str">
        <f t="shared" si="841"/>
        <v>0</v>
      </c>
      <c r="H460" s="1" t="str">
        <f t="shared" si="841"/>
        <v>0</v>
      </c>
      <c r="I460" s="1" t="str">
        <f t="shared" si="841"/>
        <v>0</v>
      </c>
      <c r="J460" s="1" t="str">
        <f>"10"</f>
        <v>10</v>
      </c>
      <c r="K460" s="1" t="str">
        <f t="shared" ref="K460:P460" si="842">"0"</f>
        <v>0</v>
      </c>
      <c r="L460" s="1" t="str">
        <f t="shared" si="842"/>
        <v>0</v>
      </c>
      <c r="M460" s="1" t="str">
        <f t="shared" si="842"/>
        <v>0</v>
      </c>
      <c r="N460" s="1" t="str">
        <f t="shared" si="842"/>
        <v>0</v>
      </c>
      <c r="O460" s="1" t="str">
        <f t="shared" si="842"/>
        <v>0</v>
      </c>
      <c r="P460" s="1" t="str">
        <f t="shared" si="842"/>
        <v>0</v>
      </c>
      <c r="Q460" s="1" t="str">
        <f t="shared" si="823"/>
        <v>0.0070</v>
      </c>
      <c r="R460" s="1" t="s">
        <v>29</v>
      </c>
      <c r="S460" s="1">
        <v>-0.0014</v>
      </c>
      <c r="T460" s="1" t="str">
        <f t="shared" si="824"/>
        <v>0</v>
      </c>
      <c r="U460" s="1" t="str">
        <f t="shared" si="834"/>
        <v>0.0056</v>
      </c>
    </row>
    <row r="461" s="1" customFormat="1" spans="1:21">
      <c r="A461" s="1" t="str">
        <f>"4601991424912"</f>
        <v>4601991424912</v>
      </c>
      <c r="B461" s="1" t="s">
        <v>485</v>
      </c>
      <c r="C461" s="1" t="s">
        <v>24</v>
      </c>
      <c r="D461" s="1" t="str">
        <f t="shared" si="820"/>
        <v>2021</v>
      </c>
      <c r="E461" s="1" t="str">
        <f>"9.58"</f>
        <v>9.58</v>
      </c>
      <c r="F461" s="1" t="str">
        <f t="shared" ref="F461:I461" si="843">"0"</f>
        <v>0</v>
      </c>
      <c r="G461" s="1" t="str">
        <f t="shared" si="843"/>
        <v>0</v>
      </c>
      <c r="H461" s="1" t="str">
        <f t="shared" si="843"/>
        <v>0</v>
      </c>
      <c r="I461" s="1" t="str">
        <f t="shared" si="843"/>
        <v>0</v>
      </c>
      <c r="J461" s="1" t="str">
        <f t="shared" ref="J461:J464" si="844">"1"</f>
        <v>1</v>
      </c>
      <c r="K461" s="1" t="str">
        <f t="shared" ref="K461:P461" si="845">"0"</f>
        <v>0</v>
      </c>
      <c r="L461" s="1" t="str">
        <f t="shared" si="845"/>
        <v>0</v>
      </c>
      <c r="M461" s="1" t="str">
        <f t="shared" si="845"/>
        <v>0</v>
      </c>
      <c r="N461" s="1" t="str">
        <f t="shared" si="845"/>
        <v>0</v>
      </c>
      <c r="O461" s="1" t="str">
        <f t="shared" si="845"/>
        <v>0</v>
      </c>
      <c r="P461" s="1" t="str">
        <f t="shared" si="845"/>
        <v>0</v>
      </c>
      <c r="Q461" s="1" t="str">
        <f t="shared" si="823"/>
        <v>0.0070</v>
      </c>
      <c r="R461" s="1" t="s">
        <v>29</v>
      </c>
      <c r="S461" s="1">
        <v>-0.0014</v>
      </c>
      <c r="T461" s="1" t="str">
        <f t="shared" si="824"/>
        <v>0</v>
      </c>
      <c r="U461" s="1" t="str">
        <f t="shared" si="834"/>
        <v>0.0056</v>
      </c>
    </row>
    <row r="462" s="1" customFormat="1" spans="1:21">
      <c r="A462" s="1" t="str">
        <f>"4601991424306"</f>
        <v>4601991424306</v>
      </c>
      <c r="B462" s="1" t="s">
        <v>486</v>
      </c>
      <c r="C462" s="1" t="s">
        <v>24</v>
      </c>
      <c r="D462" s="1" t="str">
        <f t="shared" si="820"/>
        <v>2021</v>
      </c>
      <c r="E462" s="1" t="str">
        <f>"9.67"</f>
        <v>9.67</v>
      </c>
      <c r="F462" s="1" t="str">
        <f t="shared" ref="F462:I462" si="846">"0"</f>
        <v>0</v>
      </c>
      <c r="G462" s="1" t="str">
        <f t="shared" si="846"/>
        <v>0</v>
      </c>
      <c r="H462" s="1" t="str">
        <f t="shared" si="846"/>
        <v>0</v>
      </c>
      <c r="I462" s="1" t="str">
        <f t="shared" si="846"/>
        <v>0</v>
      </c>
      <c r="J462" s="1" t="str">
        <f t="shared" si="844"/>
        <v>1</v>
      </c>
      <c r="K462" s="1" t="str">
        <f t="shared" ref="K462:P462" si="847">"0"</f>
        <v>0</v>
      </c>
      <c r="L462" s="1" t="str">
        <f t="shared" si="847"/>
        <v>0</v>
      </c>
      <c r="M462" s="1" t="str">
        <f t="shared" si="847"/>
        <v>0</v>
      </c>
      <c r="N462" s="1" t="str">
        <f t="shared" si="847"/>
        <v>0</v>
      </c>
      <c r="O462" s="1" t="str">
        <f t="shared" si="847"/>
        <v>0</v>
      </c>
      <c r="P462" s="1" t="str">
        <f t="shared" si="847"/>
        <v>0</v>
      </c>
      <c r="Q462" s="1" t="str">
        <f t="shared" si="823"/>
        <v>0.0070</v>
      </c>
      <c r="R462" s="1" t="s">
        <v>29</v>
      </c>
      <c r="S462" s="1">
        <v>-0.0014</v>
      </c>
      <c r="T462" s="1" t="str">
        <f t="shared" si="824"/>
        <v>0</v>
      </c>
      <c r="U462" s="1" t="str">
        <f t="shared" si="834"/>
        <v>0.0056</v>
      </c>
    </row>
    <row r="463" s="1" customFormat="1" spans="1:21">
      <c r="A463" s="1" t="str">
        <f>"4601991424937"</f>
        <v>4601991424937</v>
      </c>
      <c r="B463" s="1" t="s">
        <v>487</v>
      </c>
      <c r="C463" s="1" t="s">
        <v>24</v>
      </c>
      <c r="D463" s="1" t="str">
        <f t="shared" si="820"/>
        <v>2021</v>
      </c>
      <c r="E463" s="1" t="str">
        <f>"135.39"</f>
        <v>135.39</v>
      </c>
      <c r="F463" s="1" t="str">
        <f t="shared" ref="F463:I463" si="848">"0"</f>
        <v>0</v>
      </c>
      <c r="G463" s="1" t="str">
        <f t="shared" si="848"/>
        <v>0</v>
      </c>
      <c r="H463" s="1" t="str">
        <f t="shared" si="848"/>
        <v>0</v>
      </c>
      <c r="I463" s="1" t="str">
        <f t="shared" si="848"/>
        <v>0</v>
      </c>
      <c r="J463" s="1" t="str">
        <f>"9"</f>
        <v>9</v>
      </c>
      <c r="K463" s="1" t="str">
        <f t="shared" ref="K463:P463" si="849">"0"</f>
        <v>0</v>
      </c>
      <c r="L463" s="1" t="str">
        <f t="shared" si="849"/>
        <v>0</v>
      </c>
      <c r="M463" s="1" t="str">
        <f t="shared" si="849"/>
        <v>0</v>
      </c>
      <c r="N463" s="1" t="str">
        <f t="shared" si="849"/>
        <v>0</v>
      </c>
      <c r="O463" s="1" t="str">
        <f t="shared" si="849"/>
        <v>0</v>
      </c>
      <c r="P463" s="1" t="str">
        <f t="shared" si="849"/>
        <v>0</v>
      </c>
      <c r="Q463" s="1" t="str">
        <f t="shared" si="823"/>
        <v>0.0070</v>
      </c>
      <c r="R463" s="1" t="s">
        <v>29</v>
      </c>
      <c r="S463" s="1">
        <v>-0.0014</v>
      </c>
      <c r="T463" s="1" t="str">
        <f t="shared" si="824"/>
        <v>0</v>
      </c>
      <c r="U463" s="1" t="str">
        <f t="shared" si="834"/>
        <v>0.0056</v>
      </c>
    </row>
    <row r="464" s="1" customFormat="1" spans="1:21">
      <c r="A464" s="1" t="str">
        <f>"4601991424948"</f>
        <v>4601991424948</v>
      </c>
      <c r="B464" s="1" t="s">
        <v>488</v>
      </c>
      <c r="C464" s="1" t="s">
        <v>24</v>
      </c>
      <c r="D464" s="1" t="str">
        <f t="shared" si="820"/>
        <v>2021</v>
      </c>
      <c r="E464" s="1" t="str">
        <f>"12.09"</f>
        <v>12.09</v>
      </c>
      <c r="F464" s="1" t="str">
        <f t="shared" ref="F464:I464" si="850">"0"</f>
        <v>0</v>
      </c>
      <c r="G464" s="1" t="str">
        <f t="shared" si="850"/>
        <v>0</v>
      </c>
      <c r="H464" s="1" t="str">
        <f t="shared" si="850"/>
        <v>0</v>
      </c>
      <c r="I464" s="1" t="str">
        <f t="shared" si="850"/>
        <v>0</v>
      </c>
      <c r="J464" s="1" t="str">
        <f t="shared" si="844"/>
        <v>1</v>
      </c>
      <c r="K464" s="1" t="str">
        <f t="shared" ref="K464:P464" si="851">"0"</f>
        <v>0</v>
      </c>
      <c r="L464" s="1" t="str">
        <f t="shared" si="851"/>
        <v>0</v>
      </c>
      <c r="M464" s="1" t="str">
        <f t="shared" si="851"/>
        <v>0</v>
      </c>
      <c r="N464" s="1" t="str">
        <f t="shared" si="851"/>
        <v>0</v>
      </c>
      <c r="O464" s="1" t="str">
        <f t="shared" si="851"/>
        <v>0</v>
      </c>
      <c r="P464" s="1" t="str">
        <f t="shared" si="851"/>
        <v>0</v>
      </c>
      <c r="Q464" s="1" t="str">
        <f t="shared" si="823"/>
        <v>0.0070</v>
      </c>
      <c r="R464" s="1" t="s">
        <v>29</v>
      </c>
      <c r="S464" s="1">
        <v>-0.0014</v>
      </c>
      <c r="T464" s="1" t="str">
        <f t="shared" si="824"/>
        <v>0</v>
      </c>
      <c r="U464" s="1" t="str">
        <f t="shared" si="834"/>
        <v>0.0056</v>
      </c>
    </row>
    <row r="465" s="1" customFormat="1" spans="1:21">
      <c r="A465" s="1" t="str">
        <f>"4601991424963"</f>
        <v>4601991424963</v>
      </c>
      <c r="B465" s="1" t="s">
        <v>489</v>
      </c>
      <c r="C465" s="1" t="s">
        <v>24</v>
      </c>
      <c r="D465" s="1" t="str">
        <f t="shared" si="820"/>
        <v>2021</v>
      </c>
      <c r="E465" s="1" t="str">
        <f t="shared" ref="E465:P465" si="852">"0"</f>
        <v>0</v>
      </c>
      <c r="F465" s="1" t="str">
        <f t="shared" si="852"/>
        <v>0</v>
      </c>
      <c r="G465" s="1" t="str">
        <f t="shared" si="852"/>
        <v>0</v>
      </c>
      <c r="H465" s="1" t="str">
        <f t="shared" si="852"/>
        <v>0</v>
      </c>
      <c r="I465" s="1" t="str">
        <f t="shared" si="852"/>
        <v>0</v>
      </c>
      <c r="J465" s="1" t="str">
        <f t="shared" si="852"/>
        <v>0</v>
      </c>
      <c r="K465" s="1" t="str">
        <f t="shared" si="852"/>
        <v>0</v>
      </c>
      <c r="L465" s="1" t="str">
        <f t="shared" si="852"/>
        <v>0</v>
      </c>
      <c r="M465" s="1" t="str">
        <f t="shared" si="852"/>
        <v>0</v>
      </c>
      <c r="N465" s="1" t="str">
        <f t="shared" si="852"/>
        <v>0</v>
      </c>
      <c r="O465" s="1" t="str">
        <f t="shared" si="852"/>
        <v>0</v>
      </c>
      <c r="P465" s="1" t="str">
        <f t="shared" si="852"/>
        <v>0</v>
      </c>
      <c r="Q465" s="1" t="str">
        <f t="shared" si="823"/>
        <v>0.0070</v>
      </c>
      <c r="R465" s="1" t="s">
        <v>25</v>
      </c>
      <c r="T465" s="1" t="str">
        <f t="shared" si="824"/>
        <v>0</v>
      </c>
      <c r="U465" s="1" t="str">
        <f t="shared" ref="U465:U469" si="853">"0.0070"</f>
        <v>0.0070</v>
      </c>
    </row>
    <row r="466" s="1" customFormat="1" spans="1:21">
      <c r="A466" s="1" t="str">
        <f>"4601991424323"</f>
        <v>4601991424323</v>
      </c>
      <c r="B466" s="1" t="s">
        <v>490</v>
      </c>
      <c r="C466" s="1" t="s">
        <v>24</v>
      </c>
      <c r="D466" s="1" t="str">
        <f t="shared" si="820"/>
        <v>2021</v>
      </c>
      <c r="E466" s="1" t="str">
        <f>"48.35"</f>
        <v>48.35</v>
      </c>
      <c r="F466" s="1" t="str">
        <f t="shared" ref="F466:I466" si="854">"0"</f>
        <v>0</v>
      </c>
      <c r="G466" s="1" t="str">
        <f t="shared" si="854"/>
        <v>0</v>
      </c>
      <c r="H466" s="1" t="str">
        <f t="shared" si="854"/>
        <v>0</v>
      </c>
      <c r="I466" s="1" t="str">
        <f t="shared" si="854"/>
        <v>0</v>
      </c>
      <c r="J466" s="1" t="str">
        <f>"6"</f>
        <v>6</v>
      </c>
      <c r="K466" s="1" t="str">
        <f t="shared" ref="K466:P466" si="855">"0"</f>
        <v>0</v>
      </c>
      <c r="L466" s="1" t="str">
        <f t="shared" si="855"/>
        <v>0</v>
      </c>
      <c r="M466" s="1" t="str">
        <f t="shared" si="855"/>
        <v>0</v>
      </c>
      <c r="N466" s="1" t="str">
        <f t="shared" si="855"/>
        <v>0</v>
      </c>
      <c r="O466" s="1" t="str">
        <f t="shared" si="855"/>
        <v>0</v>
      </c>
      <c r="P466" s="1" t="str">
        <f t="shared" si="855"/>
        <v>0</v>
      </c>
      <c r="Q466" s="1" t="str">
        <f t="shared" si="823"/>
        <v>0.0070</v>
      </c>
      <c r="R466" s="1" t="s">
        <v>29</v>
      </c>
      <c r="S466" s="1">
        <v>-0.0014</v>
      </c>
      <c r="T466" s="1" t="str">
        <f t="shared" si="824"/>
        <v>0</v>
      </c>
      <c r="U466" s="1" t="str">
        <f t="shared" ref="U466:U472" si="856">"0.0056"</f>
        <v>0.0056</v>
      </c>
    </row>
    <row r="467" s="1" customFormat="1" spans="1:21">
      <c r="A467" s="1" t="str">
        <f>"4601991424331"</f>
        <v>4601991424331</v>
      </c>
      <c r="B467" s="1" t="s">
        <v>491</v>
      </c>
      <c r="C467" s="1" t="s">
        <v>24</v>
      </c>
      <c r="D467" s="1" t="str">
        <f t="shared" si="820"/>
        <v>2021</v>
      </c>
      <c r="E467" s="1" t="str">
        <f>"1256.49"</f>
        <v>1256.49</v>
      </c>
      <c r="F467" s="1" t="str">
        <f t="shared" ref="F467:I467" si="857">"0"</f>
        <v>0</v>
      </c>
      <c r="G467" s="1" t="str">
        <f t="shared" si="857"/>
        <v>0</v>
      </c>
      <c r="H467" s="1" t="str">
        <f t="shared" si="857"/>
        <v>0</v>
      </c>
      <c r="I467" s="1" t="str">
        <f t="shared" si="857"/>
        <v>0</v>
      </c>
      <c r="J467" s="1" t="str">
        <f>"37"</f>
        <v>37</v>
      </c>
      <c r="K467" s="1" t="str">
        <f t="shared" ref="K467:P467" si="858">"0"</f>
        <v>0</v>
      </c>
      <c r="L467" s="1" t="str">
        <f t="shared" si="858"/>
        <v>0</v>
      </c>
      <c r="M467" s="1" t="str">
        <f t="shared" si="858"/>
        <v>0</v>
      </c>
      <c r="N467" s="1" t="str">
        <f t="shared" si="858"/>
        <v>0</v>
      </c>
      <c r="O467" s="1" t="str">
        <f t="shared" si="858"/>
        <v>0</v>
      </c>
      <c r="P467" s="1" t="str">
        <f t="shared" si="858"/>
        <v>0</v>
      </c>
      <c r="Q467" s="1" t="str">
        <f t="shared" si="823"/>
        <v>0.0070</v>
      </c>
      <c r="R467" s="1" t="s">
        <v>29</v>
      </c>
      <c r="S467" s="1">
        <v>-0.0014</v>
      </c>
      <c r="T467" s="1" t="str">
        <f t="shared" si="824"/>
        <v>0</v>
      </c>
      <c r="U467" s="1" t="str">
        <f t="shared" si="856"/>
        <v>0.0056</v>
      </c>
    </row>
    <row r="468" s="1" customFormat="1" spans="1:21">
      <c r="A468" s="1" t="str">
        <f>"4601991425623"</f>
        <v>4601991425623</v>
      </c>
      <c r="B468" s="1" t="s">
        <v>492</v>
      </c>
      <c r="C468" s="1" t="s">
        <v>24</v>
      </c>
      <c r="D468" s="1" t="str">
        <f t="shared" si="820"/>
        <v>2021</v>
      </c>
      <c r="E468" s="1" t="str">
        <f>"9.67"</f>
        <v>9.67</v>
      </c>
      <c r="F468" s="1" t="str">
        <f t="shared" ref="F468:I468" si="859">"0"</f>
        <v>0</v>
      </c>
      <c r="G468" s="1" t="str">
        <f t="shared" si="859"/>
        <v>0</v>
      </c>
      <c r="H468" s="1" t="str">
        <f t="shared" si="859"/>
        <v>0</v>
      </c>
      <c r="I468" s="1" t="str">
        <f t="shared" si="859"/>
        <v>0</v>
      </c>
      <c r="J468" s="1" t="str">
        <f>"1"</f>
        <v>1</v>
      </c>
      <c r="K468" s="1" t="str">
        <f t="shared" ref="K468:P468" si="860">"0"</f>
        <v>0</v>
      </c>
      <c r="L468" s="1" t="str">
        <f t="shared" si="860"/>
        <v>0</v>
      </c>
      <c r="M468" s="1" t="str">
        <f t="shared" si="860"/>
        <v>0</v>
      </c>
      <c r="N468" s="1" t="str">
        <f t="shared" si="860"/>
        <v>0</v>
      </c>
      <c r="O468" s="1" t="str">
        <f t="shared" si="860"/>
        <v>0</v>
      </c>
      <c r="P468" s="1" t="str">
        <f t="shared" si="860"/>
        <v>0</v>
      </c>
      <c r="Q468" s="1" t="str">
        <f t="shared" si="823"/>
        <v>0.0070</v>
      </c>
      <c r="R468" s="1" t="s">
        <v>25</v>
      </c>
      <c r="T468" s="1" t="str">
        <f t="shared" si="824"/>
        <v>0</v>
      </c>
      <c r="U468" s="1" t="str">
        <f t="shared" si="853"/>
        <v>0.0070</v>
      </c>
    </row>
    <row r="469" s="1" customFormat="1" spans="1:21">
      <c r="A469" s="1" t="str">
        <f>"4601991425612"</f>
        <v>4601991425612</v>
      </c>
      <c r="B469" s="1" t="s">
        <v>493</v>
      </c>
      <c r="C469" s="1" t="s">
        <v>24</v>
      </c>
      <c r="D469" s="1" t="str">
        <f t="shared" si="820"/>
        <v>2021</v>
      </c>
      <c r="E469" s="1" t="str">
        <f t="shared" ref="E469:G469" si="861">"0"</f>
        <v>0</v>
      </c>
      <c r="F469" s="1" t="str">
        <f t="shared" si="861"/>
        <v>0</v>
      </c>
      <c r="G469" s="1" t="str">
        <f t="shared" si="861"/>
        <v>0</v>
      </c>
      <c r="H469" s="1" t="str">
        <f>"12.09"</f>
        <v>12.09</v>
      </c>
      <c r="I469" s="1" t="str">
        <f t="shared" ref="I469:P469" si="862">"0"</f>
        <v>0</v>
      </c>
      <c r="J469" s="1" t="str">
        <f>"1"</f>
        <v>1</v>
      </c>
      <c r="K469" s="1" t="str">
        <f t="shared" si="862"/>
        <v>0</v>
      </c>
      <c r="L469" s="1" t="str">
        <f t="shared" si="862"/>
        <v>0</v>
      </c>
      <c r="M469" s="1" t="str">
        <f t="shared" si="862"/>
        <v>0</v>
      </c>
      <c r="N469" s="1" t="str">
        <f t="shared" si="862"/>
        <v>0</v>
      </c>
      <c r="O469" s="1" t="str">
        <f t="shared" si="862"/>
        <v>0</v>
      </c>
      <c r="P469" s="1" t="str">
        <f t="shared" si="862"/>
        <v>0</v>
      </c>
      <c r="Q469" s="1" t="str">
        <f t="shared" si="823"/>
        <v>0.0070</v>
      </c>
      <c r="R469" s="1" t="s">
        <v>25</v>
      </c>
      <c r="T469" s="1" t="str">
        <f t="shared" si="824"/>
        <v>0</v>
      </c>
      <c r="U469" s="1" t="str">
        <f t="shared" si="853"/>
        <v>0.0070</v>
      </c>
    </row>
    <row r="470" s="1" customFormat="1" spans="1:21">
      <c r="A470" s="1" t="str">
        <f>"4601991425614"</f>
        <v>4601991425614</v>
      </c>
      <c r="B470" s="1" t="s">
        <v>494</v>
      </c>
      <c r="C470" s="1" t="s">
        <v>24</v>
      </c>
      <c r="D470" s="1" t="str">
        <f t="shared" si="820"/>
        <v>2021</v>
      </c>
      <c r="E470" s="1" t="str">
        <f>"19.47"</f>
        <v>19.47</v>
      </c>
      <c r="F470" s="1" t="str">
        <f t="shared" ref="F470:I470" si="863">"0"</f>
        <v>0</v>
      </c>
      <c r="G470" s="1" t="str">
        <f t="shared" si="863"/>
        <v>0</v>
      </c>
      <c r="H470" s="1" t="str">
        <f t="shared" si="863"/>
        <v>0</v>
      </c>
      <c r="I470" s="1" t="str">
        <f t="shared" si="863"/>
        <v>0</v>
      </c>
      <c r="J470" s="1" t="str">
        <f>"2"</f>
        <v>2</v>
      </c>
      <c r="K470" s="1" t="str">
        <f t="shared" ref="K470:P470" si="864">"0"</f>
        <v>0</v>
      </c>
      <c r="L470" s="1" t="str">
        <f t="shared" si="864"/>
        <v>0</v>
      </c>
      <c r="M470" s="1" t="str">
        <f t="shared" si="864"/>
        <v>0</v>
      </c>
      <c r="N470" s="1" t="str">
        <f t="shared" si="864"/>
        <v>0</v>
      </c>
      <c r="O470" s="1" t="str">
        <f t="shared" si="864"/>
        <v>0</v>
      </c>
      <c r="P470" s="1" t="str">
        <f t="shared" si="864"/>
        <v>0</v>
      </c>
      <c r="Q470" s="1" t="str">
        <f t="shared" si="823"/>
        <v>0.0070</v>
      </c>
      <c r="R470" s="1" t="s">
        <v>29</v>
      </c>
      <c r="S470" s="1">
        <v>-0.0014</v>
      </c>
      <c r="T470" s="1" t="str">
        <f t="shared" si="824"/>
        <v>0</v>
      </c>
      <c r="U470" s="1" t="str">
        <f t="shared" si="856"/>
        <v>0.0056</v>
      </c>
    </row>
    <row r="471" s="1" customFormat="1" spans="1:21">
      <c r="A471" s="1" t="str">
        <f>"4601991424370"</f>
        <v>4601991424370</v>
      </c>
      <c r="B471" s="1" t="s">
        <v>495</v>
      </c>
      <c r="C471" s="1" t="s">
        <v>24</v>
      </c>
      <c r="D471" s="1" t="str">
        <f t="shared" si="820"/>
        <v>2021</v>
      </c>
      <c r="E471" s="1" t="str">
        <f>"70.75"</f>
        <v>70.75</v>
      </c>
      <c r="F471" s="1" t="str">
        <f t="shared" ref="F471:I471" si="865">"0"</f>
        <v>0</v>
      </c>
      <c r="G471" s="1" t="str">
        <f t="shared" si="865"/>
        <v>0</v>
      </c>
      <c r="H471" s="1" t="str">
        <f t="shared" si="865"/>
        <v>0</v>
      </c>
      <c r="I471" s="1" t="str">
        <f t="shared" si="865"/>
        <v>0</v>
      </c>
      <c r="J471" s="1" t="str">
        <f>"7"</f>
        <v>7</v>
      </c>
      <c r="K471" s="1" t="str">
        <f t="shared" ref="K471:P471" si="866">"0"</f>
        <v>0</v>
      </c>
      <c r="L471" s="1" t="str">
        <f t="shared" si="866"/>
        <v>0</v>
      </c>
      <c r="M471" s="1" t="str">
        <f t="shared" si="866"/>
        <v>0</v>
      </c>
      <c r="N471" s="1" t="str">
        <f t="shared" si="866"/>
        <v>0</v>
      </c>
      <c r="O471" s="1" t="str">
        <f t="shared" si="866"/>
        <v>0</v>
      </c>
      <c r="P471" s="1" t="str">
        <f t="shared" si="866"/>
        <v>0</v>
      </c>
      <c r="Q471" s="1" t="str">
        <f t="shared" si="823"/>
        <v>0.0070</v>
      </c>
      <c r="R471" s="1" t="s">
        <v>29</v>
      </c>
      <c r="S471" s="1">
        <v>-0.0014</v>
      </c>
      <c r="T471" s="1" t="str">
        <f t="shared" si="824"/>
        <v>0</v>
      </c>
      <c r="U471" s="1" t="str">
        <f t="shared" si="856"/>
        <v>0.0056</v>
      </c>
    </row>
    <row r="472" s="1" customFormat="1" spans="1:21">
      <c r="A472" s="1" t="str">
        <f>"4601991423726"</f>
        <v>4601991423726</v>
      </c>
      <c r="B472" s="1" t="s">
        <v>496</v>
      </c>
      <c r="C472" s="1" t="s">
        <v>24</v>
      </c>
      <c r="D472" s="1" t="str">
        <f t="shared" si="820"/>
        <v>2021</v>
      </c>
      <c r="E472" s="1" t="str">
        <f>"2193.01"</f>
        <v>2193.01</v>
      </c>
      <c r="F472" s="1" t="str">
        <f t="shared" ref="F472:I472" si="867">"0"</f>
        <v>0</v>
      </c>
      <c r="G472" s="1" t="str">
        <f t="shared" si="867"/>
        <v>0</v>
      </c>
      <c r="H472" s="1" t="str">
        <f t="shared" si="867"/>
        <v>0</v>
      </c>
      <c r="I472" s="1" t="str">
        <f t="shared" si="867"/>
        <v>0</v>
      </c>
      <c r="J472" s="1" t="str">
        <f>"106"</f>
        <v>106</v>
      </c>
      <c r="K472" s="1" t="str">
        <f t="shared" ref="K472:P472" si="868">"0"</f>
        <v>0</v>
      </c>
      <c r="L472" s="1" t="str">
        <f t="shared" si="868"/>
        <v>0</v>
      </c>
      <c r="M472" s="1" t="str">
        <f t="shared" si="868"/>
        <v>0</v>
      </c>
      <c r="N472" s="1" t="str">
        <f t="shared" si="868"/>
        <v>0</v>
      </c>
      <c r="O472" s="1" t="str">
        <f t="shared" si="868"/>
        <v>0</v>
      </c>
      <c r="P472" s="1" t="str">
        <f t="shared" si="868"/>
        <v>0</v>
      </c>
      <c r="Q472" s="1" t="str">
        <f t="shared" si="823"/>
        <v>0.0070</v>
      </c>
      <c r="R472" s="1" t="s">
        <v>29</v>
      </c>
      <c r="S472" s="1">
        <v>-0.0014</v>
      </c>
      <c r="T472" s="1" t="str">
        <f t="shared" si="824"/>
        <v>0</v>
      </c>
      <c r="U472" s="1" t="str">
        <f t="shared" si="856"/>
        <v>0.0056</v>
      </c>
    </row>
    <row r="473" s="1" customFormat="1" spans="1:21">
      <c r="A473" s="1" t="str">
        <f>"4601991425640"</f>
        <v>4601991425640</v>
      </c>
      <c r="B473" s="1" t="s">
        <v>497</v>
      </c>
      <c r="C473" s="1" t="s">
        <v>24</v>
      </c>
      <c r="D473" s="1" t="str">
        <f t="shared" si="820"/>
        <v>2021</v>
      </c>
      <c r="E473" s="1" t="str">
        <f t="shared" ref="E473:P473" si="869">"0"</f>
        <v>0</v>
      </c>
      <c r="F473" s="1" t="str">
        <f t="shared" si="869"/>
        <v>0</v>
      </c>
      <c r="G473" s="1" t="str">
        <f t="shared" si="869"/>
        <v>0</v>
      </c>
      <c r="H473" s="1" t="str">
        <f t="shared" si="869"/>
        <v>0</v>
      </c>
      <c r="I473" s="1" t="str">
        <f t="shared" si="869"/>
        <v>0</v>
      </c>
      <c r="J473" s="1" t="str">
        <f t="shared" si="869"/>
        <v>0</v>
      </c>
      <c r="K473" s="1" t="str">
        <f t="shared" si="869"/>
        <v>0</v>
      </c>
      <c r="L473" s="1" t="str">
        <f t="shared" si="869"/>
        <v>0</v>
      </c>
      <c r="M473" s="1" t="str">
        <f t="shared" si="869"/>
        <v>0</v>
      </c>
      <c r="N473" s="1" t="str">
        <f t="shared" si="869"/>
        <v>0</v>
      </c>
      <c r="O473" s="1" t="str">
        <f t="shared" si="869"/>
        <v>0</v>
      </c>
      <c r="P473" s="1" t="str">
        <f t="shared" si="869"/>
        <v>0</v>
      </c>
      <c r="Q473" s="1" t="str">
        <f t="shared" si="823"/>
        <v>0.0070</v>
      </c>
      <c r="R473" s="1" t="s">
        <v>25</v>
      </c>
      <c r="T473" s="1" t="str">
        <f t="shared" si="824"/>
        <v>0</v>
      </c>
      <c r="U473" s="1" t="str">
        <f t="shared" ref="U473:U478" si="870">"0.0070"</f>
        <v>0.0070</v>
      </c>
    </row>
    <row r="474" s="1" customFormat="1" spans="1:21">
      <c r="A474" s="1" t="str">
        <f>"4601991424981"</f>
        <v>4601991424981</v>
      </c>
      <c r="B474" s="1" t="s">
        <v>498</v>
      </c>
      <c r="C474" s="1" t="s">
        <v>24</v>
      </c>
      <c r="D474" s="1" t="str">
        <f t="shared" si="820"/>
        <v>2021</v>
      </c>
      <c r="E474" s="1" t="str">
        <f>"154.72"</f>
        <v>154.72</v>
      </c>
      <c r="F474" s="1" t="str">
        <f t="shared" ref="F474:I474" si="871">"0"</f>
        <v>0</v>
      </c>
      <c r="G474" s="1" t="str">
        <f t="shared" si="871"/>
        <v>0</v>
      </c>
      <c r="H474" s="1" t="str">
        <f t="shared" si="871"/>
        <v>0</v>
      </c>
      <c r="I474" s="1" t="str">
        <f t="shared" si="871"/>
        <v>0</v>
      </c>
      <c r="J474" s="1" t="str">
        <f>"16"</f>
        <v>16</v>
      </c>
      <c r="K474" s="1" t="str">
        <f t="shared" ref="K474:P474" si="872">"0"</f>
        <v>0</v>
      </c>
      <c r="L474" s="1" t="str">
        <f t="shared" si="872"/>
        <v>0</v>
      </c>
      <c r="M474" s="1" t="str">
        <f t="shared" si="872"/>
        <v>0</v>
      </c>
      <c r="N474" s="1" t="str">
        <f t="shared" si="872"/>
        <v>0</v>
      </c>
      <c r="O474" s="1" t="str">
        <f t="shared" si="872"/>
        <v>0</v>
      </c>
      <c r="P474" s="1" t="str">
        <f t="shared" si="872"/>
        <v>0</v>
      </c>
      <c r="Q474" s="1" t="str">
        <f t="shared" si="823"/>
        <v>0.0070</v>
      </c>
      <c r="R474" s="1" t="s">
        <v>29</v>
      </c>
      <c r="S474" s="1">
        <v>-0.0014</v>
      </c>
      <c r="T474" s="1" t="str">
        <f t="shared" si="824"/>
        <v>0</v>
      </c>
      <c r="U474" s="1" t="str">
        <f t="shared" ref="U474:U477" si="873">"0.0056"</f>
        <v>0.0056</v>
      </c>
    </row>
    <row r="475" s="1" customFormat="1" spans="1:21">
      <c r="A475" s="1" t="str">
        <f>"4601991423770"</f>
        <v>4601991423770</v>
      </c>
      <c r="B475" s="1" t="s">
        <v>499</v>
      </c>
      <c r="C475" s="1" t="s">
        <v>24</v>
      </c>
      <c r="D475" s="1" t="str">
        <f t="shared" si="820"/>
        <v>2021</v>
      </c>
      <c r="E475" s="1" t="str">
        <f t="shared" ref="E475:P475" si="874">"0"</f>
        <v>0</v>
      </c>
      <c r="F475" s="1" t="str">
        <f t="shared" si="874"/>
        <v>0</v>
      </c>
      <c r="G475" s="1" t="str">
        <f t="shared" si="874"/>
        <v>0</v>
      </c>
      <c r="H475" s="1" t="str">
        <f t="shared" si="874"/>
        <v>0</v>
      </c>
      <c r="I475" s="1" t="str">
        <f t="shared" si="874"/>
        <v>0</v>
      </c>
      <c r="J475" s="1" t="str">
        <f t="shared" si="874"/>
        <v>0</v>
      </c>
      <c r="K475" s="1" t="str">
        <f t="shared" si="874"/>
        <v>0</v>
      </c>
      <c r="L475" s="1" t="str">
        <f t="shared" si="874"/>
        <v>0</v>
      </c>
      <c r="M475" s="1" t="str">
        <f t="shared" si="874"/>
        <v>0</v>
      </c>
      <c r="N475" s="1" t="str">
        <f t="shared" si="874"/>
        <v>0</v>
      </c>
      <c r="O475" s="1" t="str">
        <f t="shared" si="874"/>
        <v>0</v>
      </c>
      <c r="P475" s="1" t="str">
        <f t="shared" si="874"/>
        <v>0</v>
      </c>
      <c r="Q475" s="1" t="str">
        <f t="shared" si="823"/>
        <v>0.0070</v>
      </c>
      <c r="R475" s="1" t="s">
        <v>25</v>
      </c>
      <c r="T475" s="1" t="str">
        <f t="shared" si="824"/>
        <v>0</v>
      </c>
      <c r="U475" s="1" t="str">
        <f t="shared" si="870"/>
        <v>0.0070</v>
      </c>
    </row>
    <row r="476" s="1" customFormat="1" spans="1:21">
      <c r="A476" s="1" t="str">
        <f>"4601991425659"</f>
        <v>4601991425659</v>
      </c>
      <c r="B476" s="1" t="s">
        <v>500</v>
      </c>
      <c r="C476" s="1" t="s">
        <v>24</v>
      </c>
      <c r="D476" s="1" t="str">
        <f t="shared" si="820"/>
        <v>2021</v>
      </c>
      <c r="E476" s="1" t="str">
        <f>"29.01"</f>
        <v>29.01</v>
      </c>
      <c r="F476" s="1" t="str">
        <f t="shared" ref="F476:I476" si="875">"0"</f>
        <v>0</v>
      </c>
      <c r="G476" s="1" t="str">
        <f t="shared" si="875"/>
        <v>0</v>
      </c>
      <c r="H476" s="1" t="str">
        <f t="shared" si="875"/>
        <v>0</v>
      </c>
      <c r="I476" s="1" t="str">
        <f t="shared" si="875"/>
        <v>0</v>
      </c>
      <c r="J476" s="1" t="str">
        <f>"3"</f>
        <v>3</v>
      </c>
      <c r="K476" s="1" t="str">
        <f t="shared" ref="K476:P476" si="876">"0"</f>
        <v>0</v>
      </c>
      <c r="L476" s="1" t="str">
        <f t="shared" si="876"/>
        <v>0</v>
      </c>
      <c r="M476" s="1" t="str">
        <f t="shared" si="876"/>
        <v>0</v>
      </c>
      <c r="N476" s="1" t="str">
        <f t="shared" si="876"/>
        <v>0</v>
      </c>
      <c r="O476" s="1" t="str">
        <f t="shared" si="876"/>
        <v>0</v>
      </c>
      <c r="P476" s="1" t="str">
        <f t="shared" si="876"/>
        <v>0</v>
      </c>
      <c r="Q476" s="1" t="str">
        <f t="shared" si="823"/>
        <v>0.0070</v>
      </c>
      <c r="R476" s="1" t="s">
        <v>29</v>
      </c>
      <c r="S476" s="1">
        <v>-0.0014</v>
      </c>
      <c r="T476" s="1" t="str">
        <f t="shared" si="824"/>
        <v>0</v>
      </c>
      <c r="U476" s="1" t="str">
        <f t="shared" si="873"/>
        <v>0.0056</v>
      </c>
    </row>
    <row r="477" s="1" customFormat="1" spans="1:21">
      <c r="A477" s="1" t="str">
        <f>"4601991423736"</f>
        <v>4601991423736</v>
      </c>
      <c r="B477" s="1" t="s">
        <v>501</v>
      </c>
      <c r="C477" s="1" t="s">
        <v>24</v>
      </c>
      <c r="D477" s="1" t="str">
        <f t="shared" si="820"/>
        <v>2021</v>
      </c>
      <c r="E477" s="1" t="str">
        <f>"29.14"</f>
        <v>29.14</v>
      </c>
      <c r="F477" s="1" t="str">
        <f t="shared" ref="F477:I477" si="877">"0"</f>
        <v>0</v>
      </c>
      <c r="G477" s="1" t="str">
        <f t="shared" si="877"/>
        <v>0</v>
      </c>
      <c r="H477" s="1" t="str">
        <f t="shared" si="877"/>
        <v>0</v>
      </c>
      <c r="I477" s="1" t="str">
        <f t="shared" si="877"/>
        <v>0</v>
      </c>
      <c r="J477" s="1" t="str">
        <f>"5"</f>
        <v>5</v>
      </c>
      <c r="K477" s="1" t="str">
        <f t="shared" ref="K477:P477" si="878">"0"</f>
        <v>0</v>
      </c>
      <c r="L477" s="1" t="str">
        <f t="shared" si="878"/>
        <v>0</v>
      </c>
      <c r="M477" s="1" t="str">
        <f t="shared" si="878"/>
        <v>0</v>
      </c>
      <c r="N477" s="1" t="str">
        <f t="shared" si="878"/>
        <v>0</v>
      </c>
      <c r="O477" s="1" t="str">
        <f t="shared" si="878"/>
        <v>0</v>
      </c>
      <c r="P477" s="1" t="str">
        <f t="shared" si="878"/>
        <v>0</v>
      </c>
      <c r="Q477" s="1" t="str">
        <f t="shared" si="823"/>
        <v>0.0070</v>
      </c>
      <c r="R477" s="1" t="s">
        <v>29</v>
      </c>
      <c r="S477" s="1">
        <v>-0.0014</v>
      </c>
      <c r="T477" s="1" t="str">
        <f t="shared" si="824"/>
        <v>0</v>
      </c>
      <c r="U477" s="1" t="str">
        <f t="shared" si="873"/>
        <v>0.0056</v>
      </c>
    </row>
    <row r="478" s="1" customFormat="1" spans="1:21">
      <c r="A478" s="1" t="str">
        <f>"4601991424390"</f>
        <v>4601991424390</v>
      </c>
      <c r="B478" s="1" t="s">
        <v>502</v>
      </c>
      <c r="C478" s="1" t="s">
        <v>24</v>
      </c>
      <c r="D478" s="1" t="str">
        <f t="shared" si="820"/>
        <v>2021</v>
      </c>
      <c r="E478" s="1" t="str">
        <f t="shared" ref="E478:P478" si="879">"0"</f>
        <v>0</v>
      </c>
      <c r="F478" s="1" t="str">
        <f t="shared" si="879"/>
        <v>0</v>
      </c>
      <c r="G478" s="1" t="str">
        <f t="shared" si="879"/>
        <v>0</v>
      </c>
      <c r="H478" s="1" t="str">
        <f t="shared" si="879"/>
        <v>0</v>
      </c>
      <c r="I478" s="1" t="str">
        <f t="shared" si="879"/>
        <v>0</v>
      </c>
      <c r="J478" s="1" t="str">
        <f t="shared" si="879"/>
        <v>0</v>
      </c>
      <c r="K478" s="1" t="str">
        <f t="shared" si="879"/>
        <v>0</v>
      </c>
      <c r="L478" s="1" t="str">
        <f t="shared" si="879"/>
        <v>0</v>
      </c>
      <c r="M478" s="1" t="str">
        <f t="shared" si="879"/>
        <v>0</v>
      </c>
      <c r="N478" s="1" t="str">
        <f t="shared" si="879"/>
        <v>0</v>
      </c>
      <c r="O478" s="1" t="str">
        <f t="shared" si="879"/>
        <v>0</v>
      </c>
      <c r="P478" s="1" t="str">
        <f t="shared" si="879"/>
        <v>0</v>
      </c>
      <c r="Q478" s="1" t="str">
        <f t="shared" si="823"/>
        <v>0.0070</v>
      </c>
      <c r="R478" s="1" t="s">
        <v>25</v>
      </c>
      <c r="T478" s="1" t="str">
        <f t="shared" si="824"/>
        <v>0</v>
      </c>
      <c r="U478" s="1" t="str">
        <f t="shared" si="870"/>
        <v>0.0070</v>
      </c>
    </row>
    <row r="479" s="1" customFormat="1" spans="1:21">
      <c r="A479" s="1" t="str">
        <f>"4601991425042"</f>
        <v>4601991425042</v>
      </c>
      <c r="B479" s="1" t="s">
        <v>503</v>
      </c>
      <c r="C479" s="1" t="s">
        <v>24</v>
      </c>
      <c r="D479" s="1" t="str">
        <f t="shared" si="820"/>
        <v>2021</v>
      </c>
      <c r="E479" s="1" t="str">
        <f>"19.16"</f>
        <v>19.16</v>
      </c>
      <c r="F479" s="1" t="str">
        <f t="shared" ref="F479:I479" si="880">"0"</f>
        <v>0</v>
      </c>
      <c r="G479" s="1" t="str">
        <f t="shared" si="880"/>
        <v>0</v>
      </c>
      <c r="H479" s="1" t="str">
        <f t="shared" si="880"/>
        <v>0</v>
      </c>
      <c r="I479" s="1" t="str">
        <f t="shared" si="880"/>
        <v>0</v>
      </c>
      <c r="J479" s="1" t="str">
        <f>"2"</f>
        <v>2</v>
      </c>
      <c r="K479" s="1" t="str">
        <f t="shared" ref="K479:P479" si="881">"0"</f>
        <v>0</v>
      </c>
      <c r="L479" s="1" t="str">
        <f t="shared" si="881"/>
        <v>0</v>
      </c>
      <c r="M479" s="1" t="str">
        <f t="shared" si="881"/>
        <v>0</v>
      </c>
      <c r="N479" s="1" t="str">
        <f t="shared" si="881"/>
        <v>0</v>
      </c>
      <c r="O479" s="1" t="str">
        <f t="shared" si="881"/>
        <v>0</v>
      </c>
      <c r="P479" s="1" t="str">
        <f t="shared" si="881"/>
        <v>0</v>
      </c>
      <c r="Q479" s="1" t="str">
        <f t="shared" si="823"/>
        <v>0.0070</v>
      </c>
      <c r="R479" s="1" t="s">
        <v>29</v>
      </c>
      <c r="S479" s="1">
        <v>-0.0014</v>
      </c>
      <c r="T479" s="1" t="str">
        <f t="shared" si="824"/>
        <v>0</v>
      </c>
      <c r="U479" s="1" t="str">
        <f t="shared" ref="U479:U482" si="882">"0.0056"</f>
        <v>0.0056</v>
      </c>
    </row>
    <row r="480" s="1" customFormat="1" spans="1:21">
      <c r="A480" s="1" t="str">
        <f>"4601991424405"</f>
        <v>4601991424405</v>
      </c>
      <c r="B480" s="1" t="s">
        <v>504</v>
      </c>
      <c r="C480" s="1" t="s">
        <v>24</v>
      </c>
      <c r="D480" s="1" t="str">
        <f t="shared" si="820"/>
        <v>2021</v>
      </c>
      <c r="E480" s="1" t="str">
        <f>"58.02"</f>
        <v>58.02</v>
      </c>
      <c r="F480" s="1" t="str">
        <f t="shared" ref="F480:I480" si="883">"0"</f>
        <v>0</v>
      </c>
      <c r="G480" s="1" t="str">
        <f t="shared" si="883"/>
        <v>0</v>
      </c>
      <c r="H480" s="1" t="str">
        <f t="shared" si="883"/>
        <v>0</v>
      </c>
      <c r="I480" s="1" t="str">
        <f t="shared" si="883"/>
        <v>0</v>
      </c>
      <c r="J480" s="1" t="str">
        <f>"7"</f>
        <v>7</v>
      </c>
      <c r="K480" s="1" t="str">
        <f t="shared" ref="K480:P480" si="884">"0"</f>
        <v>0</v>
      </c>
      <c r="L480" s="1" t="str">
        <f t="shared" si="884"/>
        <v>0</v>
      </c>
      <c r="M480" s="1" t="str">
        <f t="shared" si="884"/>
        <v>0</v>
      </c>
      <c r="N480" s="1" t="str">
        <f t="shared" si="884"/>
        <v>0</v>
      </c>
      <c r="O480" s="1" t="str">
        <f t="shared" si="884"/>
        <v>0</v>
      </c>
      <c r="P480" s="1" t="str">
        <f t="shared" si="884"/>
        <v>0</v>
      </c>
      <c r="Q480" s="1" t="str">
        <f t="shared" si="823"/>
        <v>0.0070</v>
      </c>
      <c r="R480" s="1" t="s">
        <v>29</v>
      </c>
      <c r="S480" s="1">
        <v>-0.0014</v>
      </c>
      <c r="T480" s="1" t="str">
        <f t="shared" si="824"/>
        <v>0</v>
      </c>
      <c r="U480" s="1" t="str">
        <f t="shared" si="882"/>
        <v>0.0056</v>
      </c>
    </row>
    <row r="481" s="1" customFormat="1" spans="1:21">
      <c r="A481" s="1" t="str">
        <f>"4601991425675"</f>
        <v>4601991425675</v>
      </c>
      <c r="B481" s="1" t="s">
        <v>505</v>
      </c>
      <c r="C481" s="1" t="s">
        <v>24</v>
      </c>
      <c r="D481" s="1" t="str">
        <f t="shared" si="820"/>
        <v>2021</v>
      </c>
      <c r="E481" s="1" t="str">
        <f>"19.16"</f>
        <v>19.16</v>
      </c>
      <c r="F481" s="1" t="str">
        <f t="shared" ref="F481:I481" si="885">"0"</f>
        <v>0</v>
      </c>
      <c r="G481" s="1" t="str">
        <f t="shared" si="885"/>
        <v>0</v>
      </c>
      <c r="H481" s="1" t="str">
        <f t="shared" si="885"/>
        <v>0</v>
      </c>
      <c r="I481" s="1" t="str">
        <f t="shared" si="885"/>
        <v>0</v>
      </c>
      <c r="J481" s="1" t="str">
        <f t="shared" ref="J481:J485" si="886">"4"</f>
        <v>4</v>
      </c>
      <c r="K481" s="1" t="str">
        <f t="shared" ref="K481:P481" si="887">"0"</f>
        <v>0</v>
      </c>
      <c r="L481" s="1" t="str">
        <f t="shared" si="887"/>
        <v>0</v>
      </c>
      <c r="M481" s="1" t="str">
        <f t="shared" si="887"/>
        <v>0</v>
      </c>
      <c r="N481" s="1" t="str">
        <f t="shared" si="887"/>
        <v>0</v>
      </c>
      <c r="O481" s="1" t="str">
        <f t="shared" si="887"/>
        <v>0</v>
      </c>
      <c r="P481" s="1" t="str">
        <f t="shared" si="887"/>
        <v>0</v>
      </c>
      <c r="Q481" s="1" t="str">
        <f t="shared" si="823"/>
        <v>0.0070</v>
      </c>
      <c r="R481" s="1" t="s">
        <v>29</v>
      </c>
      <c r="S481" s="1">
        <v>-0.0014</v>
      </c>
      <c r="T481" s="1" t="str">
        <f t="shared" si="824"/>
        <v>0</v>
      </c>
      <c r="U481" s="1" t="str">
        <f t="shared" si="882"/>
        <v>0.0056</v>
      </c>
    </row>
    <row r="482" s="1" customFormat="1" spans="1:21">
      <c r="A482" s="1" t="str">
        <f>"4601991425687"</f>
        <v>4601991425687</v>
      </c>
      <c r="B482" s="1" t="s">
        <v>506</v>
      </c>
      <c r="C482" s="1" t="s">
        <v>24</v>
      </c>
      <c r="D482" s="1" t="str">
        <f t="shared" si="820"/>
        <v>2021</v>
      </c>
      <c r="E482" s="1" t="str">
        <f>"28.92"</f>
        <v>28.92</v>
      </c>
      <c r="F482" s="1" t="str">
        <f t="shared" ref="F482:I482" si="888">"0"</f>
        <v>0</v>
      </c>
      <c r="G482" s="1" t="str">
        <f t="shared" si="888"/>
        <v>0</v>
      </c>
      <c r="H482" s="1" t="str">
        <f t="shared" si="888"/>
        <v>0</v>
      </c>
      <c r="I482" s="1" t="str">
        <f t="shared" si="888"/>
        <v>0</v>
      </c>
      <c r="J482" s="1" t="str">
        <f>"3"</f>
        <v>3</v>
      </c>
      <c r="K482" s="1" t="str">
        <f t="shared" ref="K482:P482" si="889">"0"</f>
        <v>0</v>
      </c>
      <c r="L482" s="1" t="str">
        <f t="shared" si="889"/>
        <v>0</v>
      </c>
      <c r="M482" s="1" t="str">
        <f t="shared" si="889"/>
        <v>0</v>
      </c>
      <c r="N482" s="1" t="str">
        <f t="shared" si="889"/>
        <v>0</v>
      </c>
      <c r="O482" s="1" t="str">
        <f t="shared" si="889"/>
        <v>0</v>
      </c>
      <c r="P482" s="1" t="str">
        <f t="shared" si="889"/>
        <v>0</v>
      </c>
      <c r="Q482" s="1" t="str">
        <f t="shared" si="823"/>
        <v>0.0070</v>
      </c>
      <c r="R482" s="1" t="s">
        <v>29</v>
      </c>
      <c r="S482" s="1">
        <v>-0.0014</v>
      </c>
      <c r="T482" s="1" t="str">
        <f t="shared" si="824"/>
        <v>0</v>
      </c>
      <c r="U482" s="1" t="str">
        <f t="shared" si="882"/>
        <v>0.0056</v>
      </c>
    </row>
    <row r="483" s="1" customFormat="1" spans="1:21">
      <c r="A483" s="1" t="str">
        <f>"4601991425712"</f>
        <v>4601991425712</v>
      </c>
      <c r="B483" s="1" t="s">
        <v>507</v>
      </c>
      <c r="C483" s="1" t="s">
        <v>24</v>
      </c>
      <c r="D483" s="1" t="str">
        <f t="shared" si="820"/>
        <v>2021</v>
      </c>
      <c r="E483" s="1" t="str">
        <f t="shared" ref="E483:I483" si="890">"0"</f>
        <v>0</v>
      </c>
      <c r="F483" s="1" t="str">
        <f t="shared" si="890"/>
        <v>0</v>
      </c>
      <c r="G483" s="1" t="str">
        <f t="shared" si="890"/>
        <v>0</v>
      </c>
      <c r="H483" s="1" t="str">
        <f t="shared" si="890"/>
        <v>0</v>
      </c>
      <c r="I483" s="1" t="str">
        <f t="shared" si="890"/>
        <v>0</v>
      </c>
      <c r="J483" s="1" t="str">
        <f>"1"</f>
        <v>1</v>
      </c>
      <c r="K483" s="1" t="str">
        <f t="shared" ref="K483:P483" si="891">"0"</f>
        <v>0</v>
      </c>
      <c r="L483" s="1" t="str">
        <f t="shared" si="891"/>
        <v>0</v>
      </c>
      <c r="M483" s="1" t="str">
        <f t="shared" si="891"/>
        <v>0</v>
      </c>
      <c r="N483" s="1" t="str">
        <f t="shared" si="891"/>
        <v>0</v>
      </c>
      <c r="O483" s="1" t="str">
        <f t="shared" si="891"/>
        <v>0</v>
      </c>
      <c r="P483" s="1" t="str">
        <f t="shared" si="891"/>
        <v>0</v>
      </c>
      <c r="Q483" s="1" t="str">
        <f t="shared" si="823"/>
        <v>0.0070</v>
      </c>
      <c r="R483" s="1" t="s">
        <v>25</v>
      </c>
      <c r="T483" s="1" t="str">
        <f t="shared" si="824"/>
        <v>0</v>
      </c>
      <c r="U483" s="1" t="str">
        <f>"0.0070"</f>
        <v>0.0070</v>
      </c>
    </row>
    <row r="484" s="1" customFormat="1" spans="1:21">
      <c r="A484" s="1" t="str">
        <f>"4601991425700"</f>
        <v>4601991425700</v>
      </c>
      <c r="B484" s="1" t="s">
        <v>508</v>
      </c>
      <c r="C484" s="1" t="s">
        <v>24</v>
      </c>
      <c r="D484" s="1" t="str">
        <f t="shared" si="820"/>
        <v>2021</v>
      </c>
      <c r="E484" s="1" t="str">
        <f>"38.68"</f>
        <v>38.68</v>
      </c>
      <c r="F484" s="1" t="str">
        <f t="shared" ref="F484:I484" si="892">"0"</f>
        <v>0</v>
      </c>
      <c r="G484" s="1" t="str">
        <f t="shared" si="892"/>
        <v>0</v>
      </c>
      <c r="H484" s="1" t="str">
        <f t="shared" si="892"/>
        <v>0</v>
      </c>
      <c r="I484" s="1" t="str">
        <f t="shared" si="892"/>
        <v>0</v>
      </c>
      <c r="J484" s="1" t="str">
        <f t="shared" si="886"/>
        <v>4</v>
      </c>
      <c r="K484" s="1" t="str">
        <f t="shared" ref="K484:P484" si="893">"0"</f>
        <v>0</v>
      </c>
      <c r="L484" s="1" t="str">
        <f t="shared" si="893"/>
        <v>0</v>
      </c>
      <c r="M484" s="1" t="str">
        <f t="shared" si="893"/>
        <v>0</v>
      </c>
      <c r="N484" s="1" t="str">
        <f t="shared" si="893"/>
        <v>0</v>
      </c>
      <c r="O484" s="1" t="str">
        <f t="shared" si="893"/>
        <v>0</v>
      </c>
      <c r="P484" s="1" t="str">
        <f t="shared" si="893"/>
        <v>0</v>
      </c>
      <c r="Q484" s="1" t="str">
        <f t="shared" si="823"/>
        <v>0.0070</v>
      </c>
      <c r="R484" s="1" t="s">
        <v>29</v>
      </c>
      <c r="S484" s="1">
        <v>-0.0014</v>
      </c>
      <c r="T484" s="1" t="str">
        <f t="shared" si="824"/>
        <v>0</v>
      </c>
      <c r="U484" s="1" t="str">
        <f t="shared" ref="U484:U486" si="894">"0.0056"</f>
        <v>0.0056</v>
      </c>
    </row>
    <row r="485" s="1" customFormat="1" spans="1:21">
      <c r="A485" s="1" t="str">
        <f>"4601991423789"</f>
        <v>4601991423789</v>
      </c>
      <c r="B485" s="1" t="s">
        <v>509</v>
      </c>
      <c r="C485" s="1" t="s">
        <v>24</v>
      </c>
      <c r="D485" s="1" t="str">
        <f t="shared" si="820"/>
        <v>2021</v>
      </c>
      <c r="E485" s="1" t="str">
        <f>"29.40"</f>
        <v>29.40</v>
      </c>
      <c r="F485" s="1" t="str">
        <f t="shared" ref="F485:I485" si="895">"0"</f>
        <v>0</v>
      </c>
      <c r="G485" s="1" t="str">
        <f t="shared" si="895"/>
        <v>0</v>
      </c>
      <c r="H485" s="1" t="str">
        <f t="shared" si="895"/>
        <v>0</v>
      </c>
      <c r="I485" s="1" t="str">
        <f t="shared" si="895"/>
        <v>0</v>
      </c>
      <c r="J485" s="1" t="str">
        <f t="shared" si="886"/>
        <v>4</v>
      </c>
      <c r="K485" s="1" t="str">
        <f t="shared" ref="K485:P485" si="896">"0"</f>
        <v>0</v>
      </c>
      <c r="L485" s="1" t="str">
        <f t="shared" si="896"/>
        <v>0</v>
      </c>
      <c r="M485" s="1" t="str">
        <f t="shared" si="896"/>
        <v>0</v>
      </c>
      <c r="N485" s="1" t="str">
        <f t="shared" si="896"/>
        <v>0</v>
      </c>
      <c r="O485" s="1" t="str">
        <f t="shared" si="896"/>
        <v>0</v>
      </c>
      <c r="P485" s="1" t="str">
        <f t="shared" si="896"/>
        <v>0</v>
      </c>
      <c r="Q485" s="1" t="str">
        <f t="shared" si="823"/>
        <v>0.0070</v>
      </c>
      <c r="R485" s="1" t="s">
        <v>29</v>
      </c>
      <c r="S485" s="1">
        <v>-0.0014</v>
      </c>
      <c r="T485" s="1" t="str">
        <f t="shared" si="824"/>
        <v>0</v>
      </c>
      <c r="U485" s="1" t="str">
        <f t="shared" si="894"/>
        <v>0.0056</v>
      </c>
    </row>
    <row r="486" s="1" customFormat="1" spans="1:21">
      <c r="A486" s="1" t="str">
        <f>"4601991424435"</f>
        <v>4601991424435</v>
      </c>
      <c r="B486" s="1" t="s">
        <v>510</v>
      </c>
      <c r="C486" s="1" t="s">
        <v>24</v>
      </c>
      <c r="D486" s="1" t="str">
        <f t="shared" si="820"/>
        <v>2021</v>
      </c>
      <c r="E486" s="1" t="str">
        <f>"58.02"</f>
        <v>58.02</v>
      </c>
      <c r="F486" s="1" t="str">
        <f t="shared" ref="F486:I486" si="897">"0"</f>
        <v>0</v>
      </c>
      <c r="G486" s="1" t="str">
        <f t="shared" si="897"/>
        <v>0</v>
      </c>
      <c r="H486" s="1" t="str">
        <f t="shared" si="897"/>
        <v>0</v>
      </c>
      <c r="I486" s="1" t="str">
        <f t="shared" si="897"/>
        <v>0</v>
      </c>
      <c r="J486" s="1" t="str">
        <f>"6"</f>
        <v>6</v>
      </c>
      <c r="K486" s="1" t="str">
        <f t="shared" ref="K486:P486" si="898">"0"</f>
        <v>0</v>
      </c>
      <c r="L486" s="1" t="str">
        <f t="shared" si="898"/>
        <v>0</v>
      </c>
      <c r="M486" s="1" t="str">
        <f t="shared" si="898"/>
        <v>0</v>
      </c>
      <c r="N486" s="1" t="str">
        <f t="shared" si="898"/>
        <v>0</v>
      </c>
      <c r="O486" s="1" t="str">
        <f t="shared" si="898"/>
        <v>0</v>
      </c>
      <c r="P486" s="1" t="str">
        <f t="shared" si="898"/>
        <v>0</v>
      </c>
      <c r="Q486" s="1" t="str">
        <f t="shared" si="823"/>
        <v>0.0070</v>
      </c>
      <c r="R486" s="1" t="s">
        <v>29</v>
      </c>
      <c r="S486" s="1">
        <v>-0.0014</v>
      </c>
      <c r="T486" s="1" t="str">
        <f t="shared" si="824"/>
        <v>0</v>
      </c>
      <c r="U486" s="1" t="str">
        <f t="shared" si="894"/>
        <v>0.0056</v>
      </c>
    </row>
    <row r="487" s="1" customFormat="1" spans="1:21">
      <c r="A487" s="1" t="str">
        <f>"4601991425725"</f>
        <v>4601991425725</v>
      </c>
      <c r="B487" s="1" t="s">
        <v>511</v>
      </c>
      <c r="C487" s="1" t="s">
        <v>24</v>
      </c>
      <c r="D487" s="1" t="str">
        <f t="shared" si="820"/>
        <v>2021</v>
      </c>
      <c r="E487" s="1" t="str">
        <f t="shared" ref="E487:P487" si="899">"0"</f>
        <v>0</v>
      </c>
      <c r="F487" s="1" t="str">
        <f t="shared" si="899"/>
        <v>0</v>
      </c>
      <c r="G487" s="1" t="str">
        <f t="shared" si="899"/>
        <v>0</v>
      </c>
      <c r="H487" s="1" t="str">
        <f t="shared" si="899"/>
        <v>0</v>
      </c>
      <c r="I487" s="1" t="str">
        <f t="shared" si="899"/>
        <v>0</v>
      </c>
      <c r="J487" s="1" t="str">
        <f t="shared" si="899"/>
        <v>0</v>
      </c>
      <c r="K487" s="1" t="str">
        <f t="shared" si="899"/>
        <v>0</v>
      </c>
      <c r="L487" s="1" t="str">
        <f t="shared" si="899"/>
        <v>0</v>
      </c>
      <c r="M487" s="1" t="str">
        <f t="shared" si="899"/>
        <v>0</v>
      </c>
      <c r="N487" s="1" t="str">
        <f t="shared" si="899"/>
        <v>0</v>
      </c>
      <c r="O487" s="1" t="str">
        <f t="shared" si="899"/>
        <v>0</v>
      </c>
      <c r="P487" s="1" t="str">
        <f t="shared" si="899"/>
        <v>0</v>
      </c>
      <c r="Q487" s="1" t="str">
        <f t="shared" si="823"/>
        <v>0.0070</v>
      </c>
      <c r="R487" s="1" t="s">
        <v>25</v>
      </c>
      <c r="T487" s="1" t="str">
        <f t="shared" si="824"/>
        <v>0</v>
      </c>
      <c r="U487" s="1" t="str">
        <f t="shared" ref="U487:U494" si="900">"0.0070"</f>
        <v>0.0070</v>
      </c>
    </row>
    <row r="488" s="1" customFormat="1" spans="1:21">
      <c r="A488" s="1" t="str">
        <f>"4601991425066"</f>
        <v>4601991425066</v>
      </c>
      <c r="B488" s="1" t="s">
        <v>512</v>
      </c>
      <c r="C488" s="1" t="s">
        <v>24</v>
      </c>
      <c r="D488" s="1" t="str">
        <f t="shared" si="820"/>
        <v>2021</v>
      </c>
      <c r="E488" s="1" t="str">
        <f>"24.34"</f>
        <v>24.34</v>
      </c>
      <c r="F488" s="1" t="str">
        <f t="shared" ref="F488:I488" si="901">"0"</f>
        <v>0</v>
      </c>
      <c r="G488" s="1" t="str">
        <f t="shared" si="901"/>
        <v>0</v>
      </c>
      <c r="H488" s="1" t="str">
        <f t="shared" si="901"/>
        <v>0</v>
      </c>
      <c r="I488" s="1" t="str">
        <f t="shared" si="901"/>
        <v>0</v>
      </c>
      <c r="J488" s="1" t="str">
        <f>"2"</f>
        <v>2</v>
      </c>
      <c r="K488" s="1" t="str">
        <f t="shared" ref="K488:P488" si="902">"0"</f>
        <v>0</v>
      </c>
      <c r="L488" s="1" t="str">
        <f t="shared" si="902"/>
        <v>0</v>
      </c>
      <c r="M488" s="1" t="str">
        <f t="shared" si="902"/>
        <v>0</v>
      </c>
      <c r="N488" s="1" t="str">
        <f t="shared" si="902"/>
        <v>0</v>
      </c>
      <c r="O488" s="1" t="str">
        <f t="shared" si="902"/>
        <v>0</v>
      </c>
      <c r="P488" s="1" t="str">
        <f t="shared" si="902"/>
        <v>0</v>
      </c>
      <c r="Q488" s="1" t="str">
        <f t="shared" si="823"/>
        <v>0.0070</v>
      </c>
      <c r="R488" s="1" t="s">
        <v>29</v>
      </c>
      <c r="S488" s="1">
        <v>-0.0014</v>
      </c>
      <c r="T488" s="1" t="str">
        <f t="shared" si="824"/>
        <v>0</v>
      </c>
      <c r="U488" s="1" t="str">
        <f>"0.0056"</f>
        <v>0.0056</v>
      </c>
    </row>
    <row r="489" s="1" customFormat="1" spans="1:21">
      <c r="A489" s="1" t="str">
        <f>"4601991425100"</f>
        <v>4601991425100</v>
      </c>
      <c r="B489" s="1" t="s">
        <v>513</v>
      </c>
      <c r="C489" s="1" t="s">
        <v>24</v>
      </c>
      <c r="D489" s="1" t="str">
        <f t="shared" si="820"/>
        <v>2021</v>
      </c>
      <c r="E489" s="1" t="str">
        <f>"28.74"</f>
        <v>28.74</v>
      </c>
      <c r="F489" s="1" t="str">
        <f>"1545.27"</f>
        <v>1545.27</v>
      </c>
      <c r="G489" s="1" t="str">
        <f t="shared" ref="G489:L489" si="903">"0"</f>
        <v>0</v>
      </c>
      <c r="H489" s="1" t="str">
        <f t="shared" si="903"/>
        <v>0</v>
      </c>
      <c r="I489" s="1" t="str">
        <f>"53.7672"</f>
        <v>53.7672</v>
      </c>
      <c r="J489" s="1" t="str">
        <f>"2"</f>
        <v>2</v>
      </c>
      <c r="K489" s="1" t="str">
        <f>"1"</f>
        <v>1</v>
      </c>
      <c r="L489" s="1" t="str">
        <f t="shared" si="903"/>
        <v>0</v>
      </c>
      <c r="M489" s="1" t="str">
        <f>"0.5000"</f>
        <v>0.5000</v>
      </c>
      <c r="N489" s="1" t="str">
        <f t="shared" ref="N489:P489" si="904">"0"</f>
        <v>0</v>
      </c>
      <c r="O489" s="1" t="str">
        <f t="shared" si="904"/>
        <v>0</v>
      </c>
      <c r="P489" s="1" t="str">
        <f t="shared" si="904"/>
        <v>0</v>
      </c>
      <c r="Q489" s="1" t="str">
        <f t="shared" si="823"/>
        <v>0.0070</v>
      </c>
      <c r="R489" s="1" t="s">
        <v>69</v>
      </c>
      <c r="S489" s="1" t="str">
        <f>"0.0014"</f>
        <v>0.0014</v>
      </c>
      <c r="T489" s="1" t="str">
        <f t="shared" si="824"/>
        <v>0</v>
      </c>
      <c r="U489" s="1" t="str">
        <f>"0.0084"</f>
        <v>0.0084</v>
      </c>
    </row>
    <row r="490" s="1" customFormat="1" spans="1:21">
      <c r="A490" s="1" t="str">
        <f>"4601991424481"</f>
        <v>4601991424481</v>
      </c>
      <c r="B490" s="1" t="s">
        <v>514</v>
      </c>
      <c r="C490" s="1" t="s">
        <v>24</v>
      </c>
      <c r="D490" s="1" t="str">
        <f t="shared" si="820"/>
        <v>2021</v>
      </c>
      <c r="E490" s="1" t="str">
        <f t="shared" ref="E490:P490" si="905">"0"</f>
        <v>0</v>
      </c>
      <c r="F490" s="1" t="str">
        <f t="shared" si="905"/>
        <v>0</v>
      </c>
      <c r="G490" s="1" t="str">
        <f t="shared" si="905"/>
        <v>0</v>
      </c>
      <c r="H490" s="1" t="str">
        <f t="shared" si="905"/>
        <v>0</v>
      </c>
      <c r="I490" s="1" t="str">
        <f t="shared" si="905"/>
        <v>0</v>
      </c>
      <c r="J490" s="1" t="str">
        <f t="shared" si="905"/>
        <v>0</v>
      </c>
      <c r="K490" s="1" t="str">
        <f t="shared" si="905"/>
        <v>0</v>
      </c>
      <c r="L490" s="1" t="str">
        <f t="shared" si="905"/>
        <v>0</v>
      </c>
      <c r="M490" s="1" t="str">
        <f t="shared" si="905"/>
        <v>0</v>
      </c>
      <c r="N490" s="1" t="str">
        <f t="shared" si="905"/>
        <v>0</v>
      </c>
      <c r="O490" s="1" t="str">
        <f t="shared" si="905"/>
        <v>0</v>
      </c>
      <c r="P490" s="1" t="str">
        <f t="shared" si="905"/>
        <v>0</v>
      </c>
      <c r="Q490" s="1" t="str">
        <f t="shared" si="823"/>
        <v>0.0070</v>
      </c>
      <c r="R490" s="1" t="s">
        <v>25</v>
      </c>
      <c r="T490" s="1" t="str">
        <f t="shared" si="824"/>
        <v>0</v>
      </c>
      <c r="U490" s="1" t="str">
        <f t="shared" si="900"/>
        <v>0.0070</v>
      </c>
    </row>
    <row r="491" s="1" customFormat="1" spans="1:21">
      <c r="A491" s="1" t="str">
        <f>"4601991425729"</f>
        <v>4601991425729</v>
      </c>
      <c r="B491" s="1" t="s">
        <v>515</v>
      </c>
      <c r="C491" s="1" t="s">
        <v>24</v>
      </c>
      <c r="D491" s="1" t="str">
        <f t="shared" si="820"/>
        <v>2021</v>
      </c>
      <c r="E491" s="1" t="str">
        <f>"425.67"</f>
        <v>425.67</v>
      </c>
      <c r="F491" s="1" t="str">
        <f t="shared" ref="F491:I491" si="906">"0"</f>
        <v>0</v>
      </c>
      <c r="G491" s="1" t="str">
        <f t="shared" si="906"/>
        <v>0</v>
      </c>
      <c r="H491" s="1" t="str">
        <f t="shared" si="906"/>
        <v>0</v>
      </c>
      <c r="I491" s="1" t="str">
        <f t="shared" si="906"/>
        <v>0</v>
      </c>
      <c r="J491" s="1" t="str">
        <f>"39"</f>
        <v>39</v>
      </c>
      <c r="K491" s="1" t="str">
        <f t="shared" ref="K491:P491" si="907">"0"</f>
        <v>0</v>
      </c>
      <c r="L491" s="1" t="str">
        <f t="shared" si="907"/>
        <v>0</v>
      </c>
      <c r="M491" s="1" t="str">
        <f t="shared" si="907"/>
        <v>0</v>
      </c>
      <c r="N491" s="1" t="str">
        <f t="shared" si="907"/>
        <v>0</v>
      </c>
      <c r="O491" s="1" t="str">
        <f t="shared" si="907"/>
        <v>0</v>
      </c>
      <c r="P491" s="1" t="str">
        <f t="shared" si="907"/>
        <v>0</v>
      </c>
      <c r="Q491" s="1" t="str">
        <f t="shared" si="823"/>
        <v>0.0070</v>
      </c>
      <c r="R491" s="1" t="s">
        <v>29</v>
      </c>
      <c r="S491" s="1">
        <v>-0.0014</v>
      </c>
      <c r="T491" s="1" t="str">
        <f t="shared" si="824"/>
        <v>0</v>
      </c>
      <c r="U491" s="1" t="str">
        <f t="shared" ref="U491:U497" si="908">"0.0056"</f>
        <v>0.0056</v>
      </c>
    </row>
    <row r="492" s="1" customFormat="1" spans="1:21">
      <c r="A492" s="1" t="str">
        <f>"4601991424484"</f>
        <v>4601991424484</v>
      </c>
      <c r="B492" s="1" t="s">
        <v>516</v>
      </c>
      <c r="C492" s="1" t="s">
        <v>24</v>
      </c>
      <c r="D492" s="1" t="str">
        <f t="shared" si="820"/>
        <v>2021</v>
      </c>
      <c r="E492" s="1" t="str">
        <f t="shared" ref="E492:P492" si="909">"0"</f>
        <v>0</v>
      </c>
      <c r="F492" s="1" t="str">
        <f t="shared" si="909"/>
        <v>0</v>
      </c>
      <c r="G492" s="1" t="str">
        <f t="shared" si="909"/>
        <v>0</v>
      </c>
      <c r="H492" s="1" t="str">
        <f t="shared" si="909"/>
        <v>0</v>
      </c>
      <c r="I492" s="1" t="str">
        <f t="shared" si="909"/>
        <v>0</v>
      </c>
      <c r="J492" s="1" t="str">
        <f t="shared" si="909"/>
        <v>0</v>
      </c>
      <c r="K492" s="1" t="str">
        <f t="shared" si="909"/>
        <v>0</v>
      </c>
      <c r="L492" s="1" t="str">
        <f t="shared" si="909"/>
        <v>0</v>
      </c>
      <c r="M492" s="1" t="str">
        <f t="shared" si="909"/>
        <v>0</v>
      </c>
      <c r="N492" s="1" t="str">
        <f t="shared" si="909"/>
        <v>0</v>
      </c>
      <c r="O492" s="1" t="str">
        <f t="shared" si="909"/>
        <v>0</v>
      </c>
      <c r="P492" s="1" t="str">
        <f t="shared" si="909"/>
        <v>0</v>
      </c>
      <c r="Q492" s="1" t="str">
        <f t="shared" si="823"/>
        <v>0.0070</v>
      </c>
      <c r="R492" s="1" t="s">
        <v>25</v>
      </c>
      <c r="T492" s="1" t="str">
        <f t="shared" si="824"/>
        <v>0</v>
      </c>
      <c r="U492" s="1" t="str">
        <f t="shared" si="900"/>
        <v>0.0070</v>
      </c>
    </row>
    <row r="493" s="1" customFormat="1" spans="1:21">
      <c r="A493" s="1" t="str">
        <f>"4601991425772"</f>
        <v>4601991425772</v>
      </c>
      <c r="B493" s="1" t="s">
        <v>517</v>
      </c>
      <c r="C493" s="1" t="s">
        <v>24</v>
      </c>
      <c r="D493" s="1" t="str">
        <f t="shared" si="820"/>
        <v>2021</v>
      </c>
      <c r="E493" s="1" t="str">
        <f t="shared" ref="E493:P493" si="910">"0"</f>
        <v>0</v>
      </c>
      <c r="F493" s="1" t="str">
        <f t="shared" si="910"/>
        <v>0</v>
      </c>
      <c r="G493" s="1" t="str">
        <f t="shared" si="910"/>
        <v>0</v>
      </c>
      <c r="H493" s="1" t="str">
        <f t="shared" si="910"/>
        <v>0</v>
      </c>
      <c r="I493" s="1" t="str">
        <f t="shared" si="910"/>
        <v>0</v>
      </c>
      <c r="J493" s="1" t="str">
        <f t="shared" si="910"/>
        <v>0</v>
      </c>
      <c r="K493" s="1" t="str">
        <f t="shared" si="910"/>
        <v>0</v>
      </c>
      <c r="L493" s="1" t="str">
        <f t="shared" si="910"/>
        <v>0</v>
      </c>
      <c r="M493" s="1" t="str">
        <f t="shared" si="910"/>
        <v>0</v>
      </c>
      <c r="N493" s="1" t="str">
        <f t="shared" si="910"/>
        <v>0</v>
      </c>
      <c r="O493" s="1" t="str">
        <f t="shared" si="910"/>
        <v>0</v>
      </c>
      <c r="P493" s="1" t="str">
        <f t="shared" si="910"/>
        <v>0</v>
      </c>
      <c r="Q493" s="1" t="str">
        <f t="shared" si="823"/>
        <v>0.0070</v>
      </c>
      <c r="R493" s="1" t="s">
        <v>25</v>
      </c>
      <c r="T493" s="1" t="str">
        <f t="shared" si="824"/>
        <v>0</v>
      </c>
      <c r="U493" s="1" t="str">
        <f t="shared" si="900"/>
        <v>0.0070</v>
      </c>
    </row>
    <row r="494" s="1" customFormat="1" spans="1:21">
      <c r="A494" s="1" t="str">
        <f>"4601991424504"</f>
        <v>4601991424504</v>
      </c>
      <c r="B494" s="1" t="s">
        <v>518</v>
      </c>
      <c r="C494" s="1" t="s">
        <v>24</v>
      </c>
      <c r="D494" s="1" t="str">
        <f t="shared" si="820"/>
        <v>2021</v>
      </c>
      <c r="E494" s="1" t="str">
        <f t="shared" ref="E494:P494" si="911">"0"</f>
        <v>0</v>
      </c>
      <c r="F494" s="1" t="str">
        <f t="shared" si="911"/>
        <v>0</v>
      </c>
      <c r="G494" s="1" t="str">
        <f t="shared" si="911"/>
        <v>0</v>
      </c>
      <c r="H494" s="1" t="str">
        <f t="shared" si="911"/>
        <v>0</v>
      </c>
      <c r="I494" s="1" t="str">
        <f t="shared" si="911"/>
        <v>0</v>
      </c>
      <c r="J494" s="1" t="str">
        <f t="shared" si="911"/>
        <v>0</v>
      </c>
      <c r="K494" s="1" t="str">
        <f t="shared" si="911"/>
        <v>0</v>
      </c>
      <c r="L494" s="1" t="str">
        <f t="shared" si="911"/>
        <v>0</v>
      </c>
      <c r="M494" s="1" t="str">
        <f t="shared" si="911"/>
        <v>0</v>
      </c>
      <c r="N494" s="1" t="str">
        <f t="shared" si="911"/>
        <v>0</v>
      </c>
      <c r="O494" s="1" t="str">
        <f t="shared" si="911"/>
        <v>0</v>
      </c>
      <c r="P494" s="1" t="str">
        <f t="shared" si="911"/>
        <v>0</v>
      </c>
      <c r="Q494" s="1" t="str">
        <f t="shared" si="823"/>
        <v>0.0070</v>
      </c>
      <c r="R494" s="1" t="s">
        <v>25</v>
      </c>
      <c r="T494" s="1" t="str">
        <f t="shared" si="824"/>
        <v>0</v>
      </c>
      <c r="U494" s="1" t="str">
        <f t="shared" si="900"/>
        <v>0.0070</v>
      </c>
    </row>
    <row r="495" s="1" customFormat="1" spans="1:21">
      <c r="A495" s="1" t="str">
        <f>"4601991424493"</f>
        <v>4601991424493</v>
      </c>
      <c r="B495" s="1" t="s">
        <v>519</v>
      </c>
      <c r="C495" s="1" t="s">
        <v>24</v>
      </c>
      <c r="D495" s="1" t="str">
        <f t="shared" si="820"/>
        <v>2021</v>
      </c>
      <c r="E495" s="1" t="str">
        <f>"28.83"</f>
        <v>28.83</v>
      </c>
      <c r="F495" s="1" t="str">
        <f t="shared" ref="F495:I495" si="912">"0"</f>
        <v>0</v>
      </c>
      <c r="G495" s="1" t="str">
        <f t="shared" si="912"/>
        <v>0</v>
      </c>
      <c r="H495" s="1" t="str">
        <f t="shared" si="912"/>
        <v>0</v>
      </c>
      <c r="I495" s="1" t="str">
        <f t="shared" si="912"/>
        <v>0</v>
      </c>
      <c r="J495" s="1" t="str">
        <f>"3"</f>
        <v>3</v>
      </c>
      <c r="K495" s="1" t="str">
        <f t="shared" ref="K495:P495" si="913">"0"</f>
        <v>0</v>
      </c>
      <c r="L495" s="1" t="str">
        <f t="shared" si="913"/>
        <v>0</v>
      </c>
      <c r="M495" s="1" t="str">
        <f t="shared" si="913"/>
        <v>0</v>
      </c>
      <c r="N495" s="1" t="str">
        <f t="shared" si="913"/>
        <v>0</v>
      </c>
      <c r="O495" s="1" t="str">
        <f t="shared" si="913"/>
        <v>0</v>
      </c>
      <c r="P495" s="1" t="str">
        <f t="shared" si="913"/>
        <v>0</v>
      </c>
      <c r="Q495" s="1" t="str">
        <f t="shared" si="823"/>
        <v>0.0070</v>
      </c>
      <c r="R495" s="1" t="s">
        <v>29</v>
      </c>
      <c r="S495" s="1">
        <v>-0.0014</v>
      </c>
      <c r="T495" s="1" t="str">
        <f t="shared" si="824"/>
        <v>0</v>
      </c>
      <c r="U495" s="1" t="str">
        <f t="shared" si="908"/>
        <v>0.0056</v>
      </c>
    </row>
    <row r="496" s="1" customFormat="1" spans="1:21">
      <c r="A496" s="1" t="str">
        <f>"4601991425794"</f>
        <v>4601991425794</v>
      </c>
      <c r="B496" s="1" t="s">
        <v>520</v>
      </c>
      <c r="C496" s="1" t="s">
        <v>24</v>
      </c>
      <c r="D496" s="1" t="str">
        <f t="shared" si="820"/>
        <v>2021</v>
      </c>
      <c r="E496" s="1" t="str">
        <f>"19.34"</f>
        <v>19.34</v>
      </c>
      <c r="F496" s="1" t="str">
        <f t="shared" ref="F496:I496" si="914">"0"</f>
        <v>0</v>
      </c>
      <c r="G496" s="1" t="str">
        <f t="shared" si="914"/>
        <v>0</v>
      </c>
      <c r="H496" s="1" t="str">
        <f t="shared" si="914"/>
        <v>0</v>
      </c>
      <c r="I496" s="1" t="str">
        <f t="shared" si="914"/>
        <v>0</v>
      </c>
      <c r="J496" s="1" t="str">
        <f>"2"</f>
        <v>2</v>
      </c>
      <c r="K496" s="1" t="str">
        <f t="shared" ref="K496:P496" si="915">"0"</f>
        <v>0</v>
      </c>
      <c r="L496" s="1" t="str">
        <f t="shared" si="915"/>
        <v>0</v>
      </c>
      <c r="M496" s="1" t="str">
        <f t="shared" si="915"/>
        <v>0</v>
      </c>
      <c r="N496" s="1" t="str">
        <f t="shared" si="915"/>
        <v>0</v>
      </c>
      <c r="O496" s="1" t="str">
        <f t="shared" si="915"/>
        <v>0</v>
      </c>
      <c r="P496" s="1" t="str">
        <f t="shared" si="915"/>
        <v>0</v>
      </c>
      <c r="Q496" s="1" t="str">
        <f t="shared" si="823"/>
        <v>0.0070</v>
      </c>
      <c r="R496" s="1" t="s">
        <v>29</v>
      </c>
      <c r="S496" s="1">
        <v>-0.0014</v>
      </c>
      <c r="T496" s="1" t="str">
        <f t="shared" si="824"/>
        <v>0</v>
      </c>
      <c r="U496" s="1" t="str">
        <f t="shared" si="908"/>
        <v>0.0056</v>
      </c>
    </row>
    <row r="497" s="1" customFormat="1" spans="1:21">
      <c r="A497" s="1" t="str">
        <f>"4601991425179"</f>
        <v>4601991425179</v>
      </c>
      <c r="B497" s="1" t="s">
        <v>521</v>
      </c>
      <c r="C497" s="1" t="s">
        <v>24</v>
      </c>
      <c r="D497" s="1" t="str">
        <f t="shared" si="820"/>
        <v>2021</v>
      </c>
      <c r="E497" s="1" t="str">
        <f>"67.06"</f>
        <v>67.06</v>
      </c>
      <c r="F497" s="1" t="str">
        <f t="shared" ref="F497:I497" si="916">"0"</f>
        <v>0</v>
      </c>
      <c r="G497" s="1" t="str">
        <f t="shared" si="916"/>
        <v>0</v>
      </c>
      <c r="H497" s="1" t="str">
        <f t="shared" si="916"/>
        <v>0</v>
      </c>
      <c r="I497" s="1" t="str">
        <f t="shared" si="916"/>
        <v>0</v>
      </c>
      <c r="J497" s="1" t="str">
        <f>"7"</f>
        <v>7</v>
      </c>
      <c r="K497" s="1" t="str">
        <f t="shared" ref="K497:P497" si="917">"0"</f>
        <v>0</v>
      </c>
      <c r="L497" s="1" t="str">
        <f t="shared" si="917"/>
        <v>0</v>
      </c>
      <c r="M497" s="1" t="str">
        <f t="shared" si="917"/>
        <v>0</v>
      </c>
      <c r="N497" s="1" t="str">
        <f t="shared" si="917"/>
        <v>0</v>
      </c>
      <c r="O497" s="1" t="str">
        <f t="shared" si="917"/>
        <v>0</v>
      </c>
      <c r="P497" s="1" t="str">
        <f t="shared" si="917"/>
        <v>0</v>
      </c>
      <c r="Q497" s="1" t="str">
        <f t="shared" si="823"/>
        <v>0.0070</v>
      </c>
      <c r="R497" s="1" t="s">
        <v>29</v>
      </c>
      <c r="S497" s="1">
        <v>-0.0014</v>
      </c>
      <c r="T497" s="1" t="str">
        <f t="shared" si="824"/>
        <v>0</v>
      </c>
      <c r="U497" s="1" t="str">
        <f t="shared" si="908"/>
        <v>0.0056</v>
      </c>
    </row>
    <row r="498" s="1" customFormat="1" spans="1:21">
      <c r="A498" s="1" t="str">
        <f>"4601991423898"</f>
        <v>4601991423898</v>
      </c>
      <c r="B498" s="1" t="s">
        <v>522</v>
      </c>
      <c r="C498" s="1" t="s">
        <v>24</v>
      </c>
      <c r="D498" s="1" t="str">
        <f t="shared" si="820"/>
        <v>2021</v>
      </c>
      <c r="E498" s="1" t="str">
        <f t="shared" ref="E498:P498" si="918">"0"</f>
        <v>0</v>
      </c>
      <c r="F498" s="1" t="str">
        <f t="shared" si="918"/>
        <v>0</v>
      </c>
      <c r="G498" s="1" t="str">
        <f t="shared" si="918"/>
        <v>0</v>
      </c>
      <c r="H498" s="1" t="str">
        <f t="shared" si="918"/>
        <v>0</v>
      </c>
      <c r="I498" s="1" t="str">
        <f t="shared" si="918"/>
        <v>0</v>
      </c>
      <c r="J498" s="1" t="str">
        <f t="shared" si="918"/>
        <v>0</v>
      </c>
      <c r="K498" s="1" t="str">
        <f t="shared" si="918"/>
        <v>0</v>
      </c>
      <c r="L498" s="1" t="str">
        <f t="shared" si="918"/>
        <v>0</v>
      </c>
      <c r="M498" s="1" t="str">
        <f t="shared" si="918"/>
        <v>0</v>
      </c>
      <c r="N498" s="1" t="str">
        <f t="shared" si="918"/>
        <v>0</v>
      </c>
      <c r="O498" s="1" t="str">
        <f t="shared" si="918"/>
        <v>0</v>
      </c>
      <c r="P498" s="1" t="str">
        <f t="shared" si="918"/>
        <v>0</v>
      </c>
      <c r="Q498" s="1" t="str">
        <f t="shared" si="823"/>
        <v>0.0070</v>
      </c>
      <c r="R498" s="1" t="s">
        <v>25</v>
      </c>
      <c r="T498" s="1" t="str">
        <f t="shared" si="824"/>
        <v>0</v>
      </c>
      <c r="U498" s="1" t="str">
        <f t="shared" ref="U498:U502" si="919">"0.0070"</f>
        <v>0.0070</v>
      </c>
    </row>
    <row r="499" s="1" customFormat="1" spans="1:21">
      <c r="A499" s="1" t="str">
        <f>"4601991424524"</f>
        <v>4601991424524</v>
      </c>
      <c r="B499" s="1" t="s">
        <v>523</v>
      </c>
      <c r="C499" s="1" t="s">
        <v>24</v>
      </c>
      <c r="D499" s="1" t="str">
        <f t="shared" si="820"/>
        <v>2021</v>
      </c>
      <c r="E499" s="1" t="str">
        <f t="shared" ref="E499:P499" si="920">"0"</f>
        <v>0</v>
      </c>
      <c r="F499" s="1" t="str">
        <f t="shared" si="920"/>
        <v>0</v>
      </c>
      <c r="G499" s="1" t="str">
        <f t="shared" si="920"/>
        <v>0</v>
      </c>
      <c r="H499" s="1" t="str">
        <f t="shared" si="920"/>
        <v>0</v>
      </c>
      <c r="I499" s="1" t="str">
        <f t="shared" si="920"/>
        <v>0</v>
      </c>
      <c r="J499" s="1" t="str">
        <f t="shared" si="920"/>
        <v>0</v>
      </c>
      <c r="K499" s="1" t="str">
        <f t="shared" si="920"/>
        <v>0</v>
      </c>
      <c r="L499" s="1" t="str">
        <f t="shared" si="920"/>
        <v>0</v>
      </c>
      <c r="M499" s="1" t="str">
        <f t="shared" si="920"/>
        <v>0</v>
      </c>
      <c r="N499" s="1" t="str">
        <f t="shared" si="920"/>
        <v>0</v>
      </c>
      <c r="O499" s="1" t="str">
        <f t="shared" si="920"/>
        <v>0</v>
      </c>
      <c r="P499" s="1" t="str">
        <f t="shared" si="920"/>
        <v>0</v>
      </c>
      <c r="Q499" s="1" t="str">
        <f t="shared" si="823"/>
        <v>0.0070</v>
      </c>
      <c r="R499" s="1" t="s">
        <v>25</v>
      </c>
      <c r="T499" s="1" t="str">
        <f t="shared" si="824"/>
        <v>0</v>
      </c>
      <c r="U499" s="1" t="str">
        <f t="shared" si="919"/>
        <v>0.0070</v>
      </c>
    </row>
    <row r="500" s="1" customFormat="1" spans="1:21">
      <c r="A500" s="1" t="str">
        <f>"4601991425809"</f>
        <v>4601991425809</v>
      </c>
      <c r="B500" s="1" t="s">
        <v>524</v>
      </c>
      <c r="C500" s="1" t="s">
        <v>24</v>
      </c>
      <c r="D500" s="1" t="str">
        <f t="shared" si="820"/>
        <v>2021</v>
      </c>
      <c r="E500" s="1" t="str">
        <f>"9.67"</f>
        <v>9.67</v>
      </c>
      <c r="F500" s="1" t="str">
        <f t="shared" ref="F500:I500" si="921">"0"</f>
        <v>0</v>
      </c>
      <c r="G500" s="1" t="str">
        <f t="shared" si="921"/>
        <v>0</v>
      </c>
      <c r="H500" s="1" t="str">
        <f t="shared" si="921"/>
        <v>0</v>
      </c>
      <c r="I500" s="1" t="str">
        <f t="shared" si="921"/>
        <v>0</v>
      </c>
      <c r="J500" s="1" t="str">
        <f>"2"</f>
        <v>2</v>
      </c>
      <c r="K500" s="1" t="str">
        <f t="shared" ref="K500:P500" si="922">"0"</f>
        <v>0</v>
      </c>
      <c r="L500" s="1" t="str">
        <f t="shared" si="922"/>
        <v>0</v>
      </c>
      <c r="M500" s="1" t="str">
        <f t="shared" si="922"/>
        <v>0</v>
      </c>
      <c r="N500" s="1" t="str">
        <f t="shared" si="922"/>
        <v>0</v>
      </c>
      <c r="O500" s="1" t="str">
        <f t="shared" si="922"/>
        <v>0</v>
      </c>
      <c r="P500" s="1" t="str">
        <f t="shared" si="922"/>
        <v>0</v>
      </c>
      <c r="Q500" s="1" t="str">
        <f t="shared" si="823"/>
        <v>0.0070</v>
      </c>
      <c r="R500" s="1" t="s">
        <v>29</v>
      </c>
      <c r="S500" s="1">
        <v>-0.0014</v>
      </c>
      <c r="T500" s="1" t="str">
        <f t="shared" si="824"/>
        <v>0</v>
      </c>
      <c r="U500" s="1" t="str">
        <f t="shared" ref="U500:U508" si="923">"0.0056"</f>
        <v>0.0056</v>
      </c>
    </row>
    <row r="501" s="1" customFormat="1" spans="1:21">
      <c r="A501" s="1" t="str">
        <f>"4601991425795"</f>
        <v>4601991425795</v>
      </c>
      <c r="B501" s="1" t="s">
        <v>525</v>
      </c>
      <c r="C501" s="1" t="s">
        <v>24</v>
      </c>
      <c r="D501" s="1" t="str">
        <f t="shared" si="820"/>
        <v>2021</v>
      </c>
      <c r="E501" s="1" t="str">
        <f>"19.34"</f>
        <v>19.34</v>
      </c>
      <c r="F501" s="1" t="str">
        <f t="shared" ref="F501:I501" si="924">"0"</f>
        <v>0</v>
      </c>
      <c r="G501" s="1" t="str">
        <f t="shared" si="924"/>
        <v>0</v>
      </c>
      <c r="H501" s="1" t="str">
        <f t="shared" si="924"/>
        <v>0</v>
      </c>
      <c r="I501" s="1" t="str">
        <f t="shared" si="924"/>
        <v>0</v>
      </c>
      <c r="J501" s="1" t="str">
        <f>"3"</f>
        <v>3</v>
      </c>
      <c r="K501" s="1" t="str">
        <f t="shared" ref="K501:P501" si="925">"0"</f>
        <v>0</v>
      </c>
      <c r="L501" s="1" t="str">
        <f t="shared" si="925"/>
        <v>0</v>
      </c>
      <c r="M501" s="1" t="str">
        <f t="shared" si="925"/>
        <v>0</v>
      </c>
      <c r="N501" s="1" t="str">
        <f t="shared" si="925"/>
        <v>0</v>
      </c>
      <c r="O501" s="1" t="str">
        <f t="shared" si="925"/>
        <v>0</v>
      </c>
      <c r="P501" s="1" t="str">
        <f t="shared" si="925"/>
        <v>0</v>
      </c>
      <c r="Q501" s="1" t="str">
        <f t="shared" si="823"/>
        <v>0.0070</v>
      </c>
      <c r="R501" s="1" t="s">
        <v>29</v>
      </c>
      <c r="S501" s="1">
        <v>-0.0014</v>
      </c>
      <c r="T501" s="1" t="str">
        <f t="shared" si="824"/>
        <v>0</v>
      </c>
      <c r="U501" s="1" t="str">
        <f t="shared" si="923"/>
        <v>0.0056</v>
      </c>
    </row>
    <row r="502" s="1" customFormat="1" spans="1:21">
      <c r="A502" s="1" t="str">
        <f>"4601991425191"</f>
        <v>4601991425191</v>
      </c>
      <c r="B502" s="1" t="s">
        <v>526</v>
      </c>
      <c r="C502" s="1" t="s">
        <v>24</v>
      </c>
      <c r="D502" s="1" t="str">
        <f t="shared" si="820"/>
        <v>2021</v>
      </c>
      <c r="E502" s="1" t="str">
        <f t="shared" ref="E502:P502" si="926">"0"</f>
        <v>0</v>
      </c>
      <c r="F502" s="1" t="str">
        <f t="shared" si="926"/>
        <v>0</v>
      </c>
      <c r="G502" s="1" t="str">
        <f t="shared" si="926"/>
        <v>0</v>
      </c>
      <c r="H502" s="1" t="str">
        <f t="shared" si="926"/>
        <v>0</v>
      </c>
      <c r="I502" s="1" t="str">
        <f t="shared" si="926"/>
        <v>0</v>
      </c>
      <c r="J502" s="1" t="str">
        <f t="shared" si="926"/>
        <v>0</v>
      </c>
      <c r="K502" s="1" t="str">
        <f t="shared" si="926"/>
        <v>0</v>
      </c>
      <c r="L502" s="1" t="str">
        <f t="shared" si="926"/>
        <v>0</v>
      </c>
      <c r="M502" s="1" t="str">
        <f t="shared" si="926"/>
        <v>0</v>
      </c>
      <c r="N502" s="1" t="str">
        <f t="shared" si="926"/>
        <v>0</v>
      </c>
      <c r="O502" s="1" t="str">
        <f t="shared" si="926"/>
        <v>0</v>
      </c>
      <c r="P502" s="1" t="str">
        <f t="shared" si="926"/>
        <v>0</v>
      </c>
      <c r="Q502" s="1" t="str">
        <f t="shared" si="823"/>
        <v>0.0070</v>
      </c>
      <c r="R502" s="1" t="s">
        <v>25</v>
      </c>
      <c r="T502" s="1" t="str">
        <f t="shared" si="824"/>
        <v>0</v>
      </c>
      <c r="U502" s="1" t="str">
        <f t="shared" si="919"/>
        <v>0.0070</v>
      </c>
    </row>
    <row r="503" s="1" customFormat="1" spans="1:21">
      <c r="A503" s="1" t="str">
        <f>"4601991424571"</f>
        <v>4601991424571</v>
      </c>
      <c r="B503" s="1" t="s">
        <v>527</v>
      </c>
      <c r="C503" s="1" t="s">
        <v>24</v>
      </c>
      <c r="D503" s="1" t="str">
        <f t="shared" si="820"/>
        <v>2021</v>
      </c>
      <c r="E503" s="1" t="str">
        <f>"19.25"</f>
        <v>19.25</v>
      </c>
      <c r="F503" s="1" t="str">
        <f t="shared" ref="F503:I503" si="927">"0"</f>
        <v>0</v>
      </c>
      <c r="G503" s="1" t="str">
        <f t="shared" si="927"/>
        <v>0</v>
      </c>
      <c r="H503" s="1" t="str">
        <f t="shared" si="927"/>
        <v>0</v>
      </c>
      <c r="I503" s="1" t="str">
        <f t="shared" si="927"/>
        <v>0</v>
      </c>
      <c r="J503" s="1" t="str">
        <f>"2"</f>
        <v>2</v>
      </c>
      <c r="K503" s="1" t="str">
        <f t="shared" ref="K503:P503" si="928">"0"</f>
        <v>0</v>
      </c>
      <c r="L503" s="1" t="str">
        <f t="shared" si="928"/>
        <v>0</v>
      </c>
      <c r="M503" s="1" t="str">
        <f t="shared" si="928"/>
        <v>0</v>
      </c>
      <c r="N503" s="1" t="str">
        <f t="shared" si="928"/>
        <v>0</v>
      </c>
      <c r="O503" s="1" t="str">
        <f t="shared" si="928"/>
        <v>0</v>
      </c>
      <c r="P503" s="1" t="str">
        <f t="shared" si="928"/>
        <v>0</v>
      </c>
      <c r="Q503" s="1" t="str">
        <f t="shared" si="823"/>
        <v>0.0070</v>
      </c>
      <c r="R503" s="1" t="s">
        <v>29</v>
      </c>
      <c r="S503" s="1">
        <v>-0.0014</v>
      </c>
      <c r="T503" s="1" t="str">
        <f t="shared" si="824"/>
        <v>0</v>
      </c>
      <c r="U503" s="1" t="str">
        <f t="shared" si="923"/>
        <v>0.0056</v>
      </c>
    </row>
    <row r="504" s="1" customFormat="1" spans="1:21">
      <c r="A504" s="1" t="str">
        <f>"4601991424592"</f>
        <v>4601991424592</v>
      </c>
      <c r="B504" s="1" t="s">
        <v>528</v>
      </c>
      <c r="C504" s="1" t="s">
        <v>24</v>
      </c>
      <c r="D504" s="1" t="str">
        <f t="shared" si="820"/>
        <v>2021</v>
      </c>
      <c r="E504" s="1" t="str">
        <f>"87.27"</f>
        <v>87.27</v>
      </c>
      <c r="F504" s="1" t="str">
        <f t="shared" ref="F504:I504" si="929">"0"</f>
        <v>0</v>
      </c>
      <c r="G504" s="1" t="str">
        <f t="shared" si="929"/>
        <v>0</v>
      </c>
      <c r="H504" s="1" t="str">
        <f t="shared" si="929"/>
        <v>0</v>
      </c>
      <c r="I504" s="1" t="str">
        <f t="shared" si="929"/>
        <v>0</v>
      </c>
      <c r="J504" s="1" t="str">
        <f>"9"</f>
        <v>9</v>
      </c>
      <c r="K504" s="1" t="str">
        <f t="shared" ref="K504:P504" si="930">"0"</f>
        <v>0</v>
      </c>
      <c r="L504" s="1" t="str">
        <f t="shared" si="930"/>
        <v>0</v>
      </c>
      <c r="M504" s="1" t="str">
        <f t="shared" si="930"/>
        <v>0</v>
      </c>
      <c r="N504" s="1" t="str">
        <f t="shared" si="930"/>
        <v>0</v>
      </c>
      <c r="O504" s="1" t="str">
        <f t="shared" si="930"/>
        <v>0</v>
      </c>
      <c r="P504" s="1" t="str">
        <f t="shared" si="930"/>
        <v>0</v>
      </c>
      <c r="Q504" s="1" t="str">
        <f t="shared" si="823"/>
        <v>0.0070</v>
      </c>
      <c r="R504" s="1" t="s">
        <v>29</v>
      </c>
      <c r="S504" s="1">
        <v>-0.0014</v>
      </c>
      <c r="T504" s="1" t="str">
        <f t="shared" si="824"/>
        <v>0</v>
      </c>
      <c r="U504" s="1" t="str">
        <f t="shared" si="923"/>
        <v>0.0056</v>
      </c>
    </row>
    <row r="505" s="1" customFormat="1" spans="1:21">
      <c r="A505" s="1" t="str">
        <f>"4601991425198"</f>
        <v>4601991425198</v>
      </c>
      <c r="B505" s="1" t="s">
        <v>529</v>
      </c>
      <c r="C505" s="1" t="s">
        <v>24</v>
      </c>
      <c r="D505" s="1" t="str">
        <f t="shared" si="820"/>
        <v>2021</v>
      </c>
      <c r="E505" s="1" t="str">
        <f>"10.05"</f>
        <v>10.05</v>
      </c>
      <c r="F505" s="1" t="str">
        <f t="shared" ref="F505:I505" si="931">"0"</f>
        <v>0</v>
      </c>
      <c r="G505" s="1" t="str">
        <f t="shared" si="931"/>
        <v>0</v>
      </c>
      <c r="H505" s="1" t="str">
        <f t="shared" si="931"/>
        <v>0</v>
      </c>
      <c r="I505" s="1" t="str">
        <f t="shared" si="931"/>
        <v>0</v>
      </c>
      <c r="J505" s="1" t="str">
        <f>"4"</f>
        <v>4</v>
      </c>
      <c r="K505" s="1" t="str">
        <f t="shared" ref="K505:P505" si="932">"0"</f>
        <v>0</v>
      </c>
      <c r="L505" s="1" t="str">
        <f t="shared" si="932"/>
        <v>0</v>
      </c>
      <c r="M505" s="1" t="str">
        <f t="shared" si="932"/>
        <v>0</v>
      </c>
      <c r="N505" s="1" t="str">
        <f t="shared" si="932"/>
        <v>0</v>
      </c>
      <c r="O505" s="1" t="str">
        <f t="shared" si="932"/>
        <v>0</v>
      </c>
      <c r="P505" s="1" t="str">
        <f t="shared" si="932"/>
        <v>0</v>
      </c>
      <c r="Q505" s="1" t="str">
        <f t="shared" si="823"/>
        <v>0.0070</v>
      </c>
      <c r="R505" s="1" t="s">
        <v>29</v>
      </c>
      <c r="S505" s="1">
        <v>-0.0014</v>
      </c>
      <c r="T505" s="1" t="str">
        <f t="shared" si="824"/>
        <v>0</v>
      </c>
      <c r="U505" s="1" t="str">
        <f t="shared" si="923"/>
        <v>0.0056</v>
      </c>
    </row>
    <row r="506" s="1" customFormat="1" spans="1:21">
      <c r="A506" s="1" t="str">
        <f>"4601991425210"</f>
        <v>4601991425210</v>
      </c>
      <c r="B506" s="1" t="s">
        <v>530</v>
      </c>
      <c r="C506" s="1" t="s">
        <v>24</v>
      </c>
      <c r="D506" s="1" t="str">
        <f t="shared" si="820"/>
        <v>2021</v>
      </c>
      <c r="E506" s="1" t="str">
        <f>"106.37"</f>
        <v>106.37</v>
      </c>
      <c r="F506" s="1" t="str">
        <f t="shared" ref="F506:I506" si="933">"0"</f>
        <v>0</v>
      </c>
      <c r="G506" s="1" t="str">
        <f t="shared" si="933"/>
        <v>0</v>
      </c>
      <c r="H506" s="1" t="str">
        <f t="shared" si="933"/>
        <v>0</v>
      </c>
      <c r="I506" s="1" t="str">
        <f t="shared" si="933"/>
        <v>0</v>
      </c>
      <c r="J506" s="1" t="str">
        <f>"10"</f>
        <v>10</v>
      </c>
      <c r="K506" s="1" t="str">
        <f t="shared" ref="K506:P506" si="934">"0"</f>
        <v>0</v>
      </c>
      <c r="L506" s="1" t="str">
        <f t="shared" si="934"/>
        <v>0</v>
      </c>
      <c r="M506" s="1" t="str">
        <f t="shared" si="934"/>
        <v>0</v>
      </c>
      <c r="N506" s="1" t="str">
        <f t="shared" si="934"/>
        <v>0</v>
      </c>
      <c r="O506" s="1" t="str">
        <f t="shared" si="934"/>
        <v>0</v>
      </c>
      <c r="P506" s="1" t="str">
        <f t="shared" si="934"/>
        <v>0</v>
      </c>
      <c r="Q506" s="1" t="str">
        <f t="shared" si="823"/>
        <v>0.0070</v>
      </c>
      <c r="R506" s="1" t="s">
        <v>29</v>
      </c>
      <c r="S506" s="1">
        <v>-0.0014</v>
      </c>
      <c r="T506" s="1" t="str">
        <f t="shared" si="824"/>
        <v>0</v>
      </c>
      <c r="U506" s="1" t="str">
        <f t="shared" si="923"/>
        <v>0.0056</v>
      </c>
    </row>
    <row r="507" s="1" customFormat="1" spans="1:21">
      <c r="A507" s="1" t="str">
        <f>"4601991425212"</f>
        <v>4601991425212</v>
      </c>
      <c r="B507" s="1" t="s">
        <v>531</v>
      </c>
      <c r="C507" s="1" t="s">
        <v>24</v>
      </c>
      <c r="D507" s="1" t="str">
        <f t="shared" si="820"/>
        <v>2021</v>
      </c>
      <c r="E507" s="1" t="str">
        <f>"9.67"</f>
        <v>9.67</v>
      </c>
      <c r="F507" s="1" t="str">
        <f t="shared" ref="F507:I507" si="935">"0"</f>
        <v>0</v>
      </c>
      <c r="G507" s="1" t="str">
        <f t="shared" si="935"/>
        <v>0</v>
      </c>
      <c r="H507" s="1" t="str">
        <f t="shared" si="935"/>
        <v>0</v>
      </c>
      <c r="I507" s="1" t="str">
        <f t="shared" si="935"/>
        <v>0</v>
      </c>
      <c r="J507" s="1" t="str">
        <f>"2"</f>
        <v>2</v>
      </c>
      <c r="K507" s="1" t="str">
        <f t="shared" ref="K507:P507" si="936">"0"</f>
        <v>0</v>
      </c>
      <c r="L507" s="1" t="str">
        <f t="shared" si="936"/>
        <v>0</v>
      </c>
      <c r="M507" s="1" t="str">
        <f t="shared" si="936"/>
        <v>0</v>
      </c>
      <c r="N507" s="1" t="str">
        <f t="shared" si="936"/>
        <v>0</v>
      </c>
      <c r="O507" s="1" t="str">
        <f t="shared" si="936"/>
        <v>0</v>
      </c>
      <c r="P507" s="1" t="str">
        <f t="shared" si="936"/>
        <v>0</v>
      </c>
      <c r="Q507" s="1" t="str">
        <f t="shared" si="823"/>
        <v>0.0070</v>
      </c>
      <c r="R507" s="1" t="s">
        <v>29</v>
      </c>
      <c r="S507" s="1">
        <v>-0.0014</v>
      </c>
      <c r="T507" s="1" t="str">
        <f t="shared" si="824"/>
        <v>0</v>
      </c>
      <c r="U507" s="1" t="str">
        <f t="shared" si="923"/>
        <v>0.0056</v>
      </c>
    </row>
    <row r="508" s="1" customFormat="1" spans="1:21">
      <c r="A508" s="1" t="str">
        <f>"4601991425214"</f>
        <v>4601991425214</v>
      </c>
      <c r="B508" s="1" t="s">
        <v>532</v>
      </c>
      <c r="C508" s="1" t="s">
        <v>24</v>
      </c>
      <c r="D508" s="1" t="str">
        <f t="shared" si="820"/>
        <v>2021</v>
      </c>
      <c r="E508" s="1" t="str">
        <f>"193.40"</f>
        <v>193.40</v>
      </c>
      <c r="F508" s="1" t="str">
        <f t="shared" ref="F508:I508" si="937">"0"</f>
        <v>0</v>
      </c>
      <c r="G508" s="1" t="str">
        <f t="shared" si="937"/>
        <v>0</v>
      </c>
      <c r="H508" s="1" t="str">
        <f t="shared" si="937"/>
        <v>0</v>
      </c>
      <c r="I508" s="1" t="str">
        <f t="shared" si="937"/>
        <v>0</v>
      </c>
      <c r="J508" s="1" t="str">
        <f>"21"</f>
        <v>21</v>
      </c>
      <c r="K508" s="1" t="str">
        <f t="shared" ref="K508:P508" si="938">"0"</f>
        <v>0</v>
      </c>
      <c r="L508" s="1" t="str">
        <f t="shared" si="938"/>
        <v>0</v>
      </c>
      <c r="M508" s="1" t="str">
        <f t="shared" si="938"/>
        <v>0</v>
      </c>
      <c r="N508" s="1" t="str">
        <f t="shared" si="938"/>
        <v>0</v>
      </c>
      <c r="O508" s="1" t="str">
        <f t="shared" si="938"/>
        <v>0</v>
      </c>
      <c r="P508" s="1" t="str">
        <f t="shared" si="938"/>
        <v>0</v>
      </c>
      <c r="Q508" s="1" t="str">
        <f t="shared" si="823"/>
        <v>0.0070</v>
      </c>
      <c r="R508" s="1" t="s">
        <v>29</v>
      </c>
      <c r="S508" s="1">
        <v>-0.0014</v>
      </c>
      <c r="T508" s="1" t="str">
        <f t="shared" si="824"/>
        <v>0</v>
      </c>
      <c r="U508" s="1" t="str">
        <f t="shared" si="923"/>
        <v>0.0056</v>
      </c>
    </row>
    <row r="509" s="1" customFormat="1" spans="1:21">
      <c r="A509" s="1" t="str">
        <f>"4601991425851"</f>
        <v>4601991425851</v>
      </c>
      <c r="B509" s="1" t="s">
        <v>533</v>
      </c>
      <c r="C509" s="1" t="s">
        <v>24</v>
      </c>
      <c r="D509" s="1" t="str">
        <f t="shared" si="820"/>
        <v>2021</v>
      </c>
      <c r="E509" s="1" t="str">
        <f t="shared" ref="E509:I509" si="939">"0"</f>
        <v>0</v>
      </c>
      <c r="F509" s="1" t="str">
        <f t="shared" si="939"/>
        <v>0</v>
      </c>
      <c r="G509" s="1" t="str">
        <f t="shared" si="939"/>
        <v>0</v>
      </c>
      <c r="H509" s="1" t="str">
        <f t="shared" si="939"/>
        <v>0</v>
      </c>
      <c r="I509" s="1" t="str">
        <f t="shared" si="939"/>
        <v>0</v>
      </c>
      <c r="J509" s="1" t="str">
        <f t="shared" ref="J509:J514" si="940">"1"</f>
        <v>1</v>
      </c>
      <c r="K509" s="1" t="str">
        <f t="shared" ref="K509:P509" si="941">"0"</f>
        <v>0</v>
      </c>
      <c r="L509" s="1" t="str">
        <f t="shared" si="941"/>
        <v>0</v>
      </c>
      <c r="M509" s="1" t="str">
        <f t="shared" si="941"/>
        <v>0</v>
      </c>
      <c r="N509" s="1" t="str">
        <f t="shared" si="941"/>
        <v>0</v>
      </c>
      <c r="O509" s="1" t="str">
        <f t="shared" si="941"/>
        <v>0</v>
      </c>
      <c r="P509" s="1" t="str">
        <f t="shared" si="941"/>
        <v>0</v>
      </c>
      <c r="Q509" s="1" t="str">
        <f t="shared" si="823"/>
        <v>0.0070</v>
      </c>
      <c r="R509" s="1" t="s">
        <v>25</v>
      </c>
      <c r="T509" s="1" t="str">
        <f t="shared" si="824"/>
        <v>0</v>
      </c>
      <c r="U509" s="1" t="str">
        <f>"0.0070"</f>
        <v>0.0070</v>
      </c>
    </row>
    <row r="510" s="1" customFormat="1" spans="1:21">
      <c r="A510" s="1" t="str">
        <f>"4601991425838"</f>
        <v>4601991425838</v>
      </c>
      <c r="B510" s="1" t="s">
        <v>534</v>
      </c>
      <c r="C510" s="1" t="s">
        <v>24</v>
      </c>
      <c r="D510" s="1" t="str">
        <f t="shared" si="820"/>
        <v>2021</v>
      </c>
      <c r="E510" s="1" t="str">
        <f>"58.02"</f>
        <v>58.02</v>
      </c>
      <c r="F510" s="1" t="str">
        <f t="shared" ref="F510:I510" si="942">"0"</f>
        <v>0</v>
      </c>
      <c r="G510" s="1" t="str">
        <f t="shared" si="942"/>
        <v>0</v>
      </c>
      <c r="H510" s="1" t="str">
        <f t="shared" si="942"/>
        <v>0</v>
      </c>
      <c r="I510" s="1" t="str">
        <f t="shared" si="942"/>
        <v>0</v>
      </c>
      <c r="J510" s="1" t="str">
        <f>"6"</f>
        <v>6</v>
      </c>
      <c r="K510" s="1" t="str">
        <f t="shared" ref="K510:P510" si="943">"0"</f>
        <v>0</v>
      </c>
      <c r="L510" s="1" t="str">
        <f t="shared" si="943"/>
        <v>0</v>
      </c>
      <c r="M510" s="1" t="str">
        <f t="shared" si="943"/>
        <v>0</v>
      </c>
      <c r="N510" s="1" t="str">
        <f t="shared" si="943"/>
        <v>0</v>
      </c>
      <c r="O510" s="1" t="str">
        <f t="shared" si="943"/>
        <v>0</v>
      </c>
      <c r="P510" s="1" t="str">
        <f t="shared" si="943"/>
        <v>0</v>
      </c>
      <c r="Q510" s="1" t="str">
        <f t="shared" si="823"/>
        <v>0.0070</v>
      </c>
      <c r="R510" s="1" t="s">
        <v>29</v>
      </c>
      <c r="S510" s="1">
        <v>-0.0014</v>
      </c>
      <c r="T510" s="1" t="str">
        <f t="shared" si="824"/>
        <v>0</v>
      </c>
      <c r="U510" s="1" t="str">
        <f t="shared" ref="U510:U514" si="944">"0.0056"</f>
        <v>0.0056</v>
      </c>
    </row>
    <row r="511" s="1" customFormat="1" spans="1:21">
      <c r="A511" s="1" t="str">
        <f>"4601991425875"</f>
        <v>4601991425875</v>
      </c>
      <c r="B511" s="1" t="s">
        <v>535</v>
      </c>
      <c r="C511" s="1" t="s">
        <v>24</v>
      </c>
      <c r="D511" s="1" t="str">
        <f t="shared" si="820"/>
        <v>2021</v>
      </c>
      <c r="E511" s="1" t="str">
        <f>"9.67"</f>
        <v>9.67</v>
      </c>
      <c r="F511" s="1" t="str">
        <f t="shared" ref="F511:I511" si="945">"0"</f>
        <v>0</v>
      </c>
      <c r="G511" s="1" t="str">
        <f t="shared" si="945"/>
        <v>0</v>
      </c>
      <c r="H511" s="1" t="str">
        <f t="shared" si="945"/>
        <v>0</v>
      </c>
      <c r="I511" s="1" t="str">
        <f t="shared" si="945"/>
        <v>0</v>
      </c>
      <c r="J511" s="1" t="str">
        <f t="shared" si="940"/>
        <v>1</v>
      </c>
      <c r="K511" s="1" t="str">
        <f t="shared" ref="K511:P511" si="946">"0"</f>
        <v>0</v>
      </c>
      <c r="L511" s="1" t="str">
        <f t="shared" si="946"/>
        <v>0</v>
      </c>
      <c r="M511" s="1" t="str">
        <f t="shared" si="946"/>
        <v>0</v>
      </c>
      <c r="N511" s="1" t="str">
        <f t="shared" si="946"/>
        <v>0</v>
      </c>
      <c r="O511" s="1" t="str">
        <f t="shared" si="946"/>
        <v>0</v>
      </c>
      <c r="P511" s="1" t="str">
        <f t="shared" si="946"/>
        <v>0</v>
      </c>
      <c r="Q511" s="1" t="str">
        <f t="shared" si="823"/>
        <v>0.0070</v>
      </c>
      <c r="R511" s="1" t="s">
        <v>29</v>
      </c>
      <c r="S511" s="1">
        <v>-0.0014</v>
      </c>
      <c r="T511" s="1" t="str">
        <f t="shared" si="824"/>
        <v>0</v>
      </c>
      <c r="U511" s="1" t="str">
        <f t="shared" si="944"/>
        <v>0.0056</v>
      </c>
    </row>
    <row r="512" s="1" customFormat="1" spans="1:21">
      <c r="A512" s="1" t="str">
        <f>"4601991425862"</f>
        <v>4601991425862</v>
      </c>
      <c r="B512" s="1" t="s">
        <v>536</v>
      </c>
      <c r="C512" s="1" t="s">
        <v>24</v>
      </c>
      <c r="D512" s="1" t="str">
        <f t="shared" si="820"/>
        <v>2021</v>
      </c>
      <c r="E512" s="1" t="str">
        <f>"153.37"</f>
        <v>153.37</v>
      </c>
      <c r="F512" s="1" t="str">
        <f t="shared" ref="F512:I512" si="947">"0"</f>
        <v>0</v>
      </c>
      <c r="G512" s="1" t="str">
        <f t="shared" si="947"/>
        <v>0</v>
      </c>
      <c r="H512" s="1" t="str">
        <f t="shared" si="947"/>
        <v>0</v>
      </c>
      <c r="I512" s="1" t="str">
        <f t="shared" si="947"/>
        <v>0</v>
      </c>
      <c r="J512" s="1" t="str">
        <f>"15"</f>
        <v>15</v>
      </c>
      <c r="K512" s="1" t="str">
        <f t="shared" ref="K512:P512" si="948">"0"</f>
        <v>0</v>
      </c>
      <c r="L512" s="1" t="str">
        <f t="shared" si="948"/>
        <v>0</v>
      </c>
      <c r="M512" s="1" t="str">
        <f t="shared" si="948"/>
        <v>0</v>
      </c>
      <c r="N512" s="1" t="str">
        <f t="shared" si="948"/>
        <v>0</v>
      </c>
      <c r="O512" s="1" t="str">
        <f t="shared" si="948"/>
        <v>0</v>
      </c>
      <c r="P512" s="1" t="str">
        <f t="shared" si="948"/>
        <v>0</v>
      </c>
      <c r="Q512" s="1" t="str">
        <f t="shared" si="823"/>
        <v>0.0070</v>
      </c>
      <c r="R512" s="1" t="s">
        <v>29</v>
      </c>
      <c r="S512" s="1">
        <v>-0.0014</v>
      </c>
      <c r="T512" s="1" t="str">
        <f t="shared" si="824"/>
        <v>0</v>
      </c>
      <c r="U512" s="1" t="str">
        <f t="shared" si="944"/>
        <v>0.0056</v>
      </c>
    </row>
    <row r="513" s="1" customFormat="1" spans="1:21">
      <c r="A513" s="1" t="str">
        <f>"4601991421456"</f>
        <v>4601991421456</v>
      </c>
      <c r="B513" s="1" t="s">
        <v>537</v>
      </c>
      <c r="C513" s="1" t="s">
        <v>24</v>
      </c>
      <c r="D513" s="1" t="str">
        <f t="shared" si="820"/>
        <v>2021</v>
      </c>
      <c r="E513" s="1" t="str">
        <f>"38.68"</f>
        <v>38.68</v>
      </c>
      <c r="F513" s="1" t="str">
        <f t="shared" ref="F513:I513" si="949">"0"</f>
        <v>0</v>
      </c>
      <c r="G513" s="1" t="str">
        <f t="shared" si="949"/>
        <v>0</v>
      </c>
      <c r="H513" s="1" t="str">
        <f t="shared" si="949"/>
        <v>0</v>
      </c>
      <c r="I513" s="1" t="str">
        <f t="shared" si="949"/>
        <v>0</v>
      </c>
      <c r="J513" s="1" t="str">
        <f>"6"</f>
        <v>6</v>
      </c>
      <c r="K513" s="1" t="str">
        <f t="shared" ref="K513:P513" si="950">"0"</f>
        <v>0</v>
      </c>
      <c r="L513" s="1" t="str">
        <f t="shared" si="950"/>
        <v>0</v>
      </c>
      <c r="M513" s="1" t="str">
        <f t="shared" si="950"/>
        <v>0</v>
      </c>
      <c r="N513" s="1" t="str">
        <f t="shared" si="950"/>
        <v>0</v>
      </c>
      <c r="O513" s="1" t="str">
        <f t="shared" si="950"/>
        <v>0</v>
      </c>
      <c r="P513" s="1" t="str">
        <f t="shared" si="950"/>
        <v>0</v>
      </c>
      <c r="Q513" s="1" t="str">
        <f t="shared" si="823"/>
        <v>0.0070</v>
      </c>
      <c r="R513" s="1" t="s">
        <v>29</v>
      </c>
      <c r="S513" s="1">
        <v>-0.0014</v>
      </c>
      <c r="T513" s="1" t="str">
        <f t="shared" si="824"/>
        <v>0</v>
      </c>
      <c r="U513" s="1" t="str">
        <f t="shared" si="944"/>
        <v>0.0056</v>
      </c>
    </row>
    <row r="514" s="1" customFormat="1" spans="1:21">
      <c r="A514" s="1" t="str">
        <f>"4601991421455"</f>
        <v>4601991421455</v>
      </c>
      <c r="B514" s="1" t="s">
        <v>538</v>
      </c>
      <c r="C514" s="1" t="s">
        <v>24</v>
      </c>
      <c r="D514" s="1" t="str">
        <f t="shared" si="820"/>
        <v>2021</v>
      </c>
      <c r="E514" s="1" t="str">
        <f>"9.67"</f>
        <v>9.67</v>
      </c>
      <c r="F514" s="1" t="str">
        <f t="shared" ref="F514:I514" si="951">"0"</f>
        <v>0</v>
      </c>
      <c r="G514" s="1" t="str">
        <f t="shared" si="951"/>
        <v>0</v>
      </c>
      <c r="H514" s="1" t="str">
        <f t="shared" si="951"/>
        <v>0</v>
      </c>
      <c r="I514" s="1" t="str">
        <f t="shared" si="951"/>
        <v>0</v>
      </c>
      <c r="J514" s="1" t="str">
        <f t="shared" si="940"/>
        <v>1</v>
      </c>
      <c r="K514" s="1" t="str">
        <f t="shared" ref="K514:P514" si="952">"0"</f>
        <v>0</v>
      </c>
      <c r="L514" s="1" t="str">
        <f t="shared" si="952"/>
        <v>0</v>
      </c>
      <c r="M514" s="1" t="str">
        <f t="shared" si="952"/>
        <v>0</v>
      </c>
      <c r="N514" s="1" t="str">
        <f t="shared" si="952"/>
        <v>0</v>
      </c>
      <c r="O514" s="1" t="str">
        <f t="shared" si="952"/>
        <v>0</v>
      </c>
      <c r="P514" s="1" t="str">
        <f t="shared" si="952"/>
        <v>0</v>
      </c>
      <c r="Q514" s="1" t="str">
        <f t="shared" si="823"/>
        <v>0.0070</v>
      </c>
      <c r="R514" s="1" t="s">
        <v>29</v>
      </c>
      <c r="S514" s="1">
        <v>-0.0014</v>
      </c>
      <c r="T514" s="1" t="str">
        <f t="shared" si="824"/>
        <v>0</v>
      </c>
      <c r="U514" s="1" t="str">
        <f t="shared" si="944"/>
        <v>0.0056</v>
      </c>
    </row>
    <row r="515" s="1" customFormat="1" spans="1:21">
      <c r="A515" s="1" t="str">
        <f>"4601991422044"</f>
        <v>4601991422044</v>
      </c>
      <c r="B515" s="1" t="s">
        <v>539</v>
      </c>
      <c r="C515" s="1" t="s">
        <v>24</v>
      </c>
      <c r="D515" s="1" t="str">
        <f t="shared" ref="D515:D578" si="953">"2021"</f>
        <v>2021</v>
      </c>
      <c r="E515" s="1" t="str">
        <f t="shared" ref="E515:P515" si="954">"0"</f>
        <v>0</v>
      </c>
      <c r="F515" s="1" t="str">
        <f t="shared" si="954"/>
        <v>0</v>
      </c>
      <c r="G515" s="1" t="str">
        <f t="shared" si="954"/>
        <v>0</v>
      </c>
      <c r="H515" s="1" t="str">
        <f t="shared" si="954"/>
        <v>0</v>
      </c>
      <c r="I515" s="1" t="str">
        <f t="shared" si="954"/>
        <v>0</v>
      </c>
      <c r="J515" s="1" t="str">
        <f t="shared" si="954"/>
        <v>0</v>
      </c>
      <c r="K515" s="1" t="str">
        <f t="shared" si="954"/>
        <v>0</v>
      </c>
      <c r="L515" s="1" t="str">
        <f t="shared" si="954"/>
        <v>0</v>
      </c>
      <c r="M515" s="1" t="str">
        <f t="shared" si="954"/>
        <v>0</v>
      </c>
      <c r="N515" s="1" t="str">
        <f t="shared" si="954"/>
        <v>0</v>
      </c>
      <c r="O515" s="1" t="str">
        <f t="shared" si="954"/>
        <v>0</v>
      </c>
      <c r="P515" s="1" t="str">
        <f t="shared" si="954"/>
        <v>0</v>
      </c>
      <c r="Q515" s="1" t="str">
        <f t="shared" ref="Q515:Q578" si="955">"0.0070"</f>
        <v>0.0070</v>
      </c>
      <c r="R515" s="1" t="s">
        <v>25</v>
      </c>
      <c r="T515" s="1" t="str">
        <f t="shared" ref="T515:T578" si="956">"0"</f>
        <v>0</v>
      </c>
      <c r="U515" s="1" t="str">
        <f t="shared" ref="U515:U519" si="957">"0.0070"</f>
        <v>0.0070</v>
      </c>
    </row>
    <row r="516" s="1" customFormat="1" spans="1:21">
      <c r="A516" s="1" t="str">
        <f>"4601991422727"</f>
        <v>4601991422727</v>
      </c>
      <c r="B516" s="1" t="s">
        <v>540</v>
      </c>
      <c r="C516" s="1" t="s">
        <v>24</v>
      </c>
      <c r="D516" s="1" t="str">
        <f t="shared" si="953"/>
        <v>2021</v>
      </c>
      <c r="E516" s="1" t="str">
        <f t="shared" ref="E516:P516" si="958">"0"</f>
        <v>0</v>
      </c>
      <c r="F516" s="1" t="str">
        <f t="shared" si="958"/>
        <v>0</v>
      </c>
      <c r="G516" s="1" t="str">
        <f t="shared" si="958"/>
        <v>0</v>
      </c>
      <c r="H516" s="1" t="str">
        <f t="shared" si="958"/>
        <v>0</v>
      </c>
      <c r="I516" s="1" t="str">
        <f t="shared" si="958"/>
        <v>0</v>
      </c>
      <c r="J516" s="1" t="str">
        <f t="shared" si="958"/>
        <v>0</v>
      </c>
      <c r="K516" s="1" t="str">
        <f t="shared" si="958"/>
        <v>0</v>
      </c>
      <c r="L516" s="1" t="str">
        <f t="shared" si="958"/>
        <v>0</v>
      </c>
      <c r="M516" s="1" t="str">
        <f t="shared" si="958"/>
        <v>0</v>
      </c>
      <c r="N516" s="1" t="str">
        <f t="shared" si="958"/>
        <v>0</v>
      </c>
      <c r="O516" s="1" t="str">
        <f t="shared" si="958"/>
        <v>0</v>
      </c>
      <c r="P516" s="1" t="str">
        <f t="shared" si="958"/>
        <v>0</v>
      </c>
      <c r="Q516" s="1" t="str">
        <f t="shared" si="955"/>
        <v>0.0070</v>
      </c>
      <c r="R516" s="1" t="s">
        <v>25</v>
      </c>
      <c r="T516" s="1" t="str">
        <f t="shared" si="956"/>
        <v>0</v>
      </c>
      <c r="U516" s="1" t="str">
        <f t="shared" si="957"/>
        <v>0.0070</v>
      </c>
    </row>
    <row r="517" s="1" customFormat="1" spans="1:21">
      <c r="A517" s="1" t="str">
        <f>"4601991422021"</f>
        <v>4601991422021</v>
      </c>
      <c r="B517" s="1" t="s">
        <v>541</v>
      </c>
      <c r="C517" s="1" t="s">
        <v>24</v>
      </c>
      <c r="D517" s="1" t="str">
        <f t="shared" si="953"/>
        <v>2021</v>
      </c>
      <c r="E517" s="1" t="str">
        <f>"28.92"</f>
        <v>28.92</v>
      </c>
      <c r="F517" s="1" t="str">
        <f t="shared" ref="F517:I517" si="959">"0"</f>
        <v>0</v>
      </c>
      <c r="G517" s="1" t="str">
        <f t="shared" si="959"/>
        <v>0</v>
      </c>
      <c r="H517" s="1" t="str">
        <f t="shared" si="959"/>
        <v>0</v>
      </c>
      <c r="I517" s="1" t="str">
        <f t="shared" si="959"/>
        <v>0</v>
      </c>
      <c r="J517" s="1" t="str">
        <f>"3"</f>
        <v>3</v>
      </c>
      <c r="K517" s="1" t="str">
        <f t="shared" ref="K517:P517" si="960">"0"</f>
        <v>0</v>
      </c>
      <c r="L517" s="1" t="str">
        <f t="shared" si="960"/>
        <v>0</v>
      </c>
      <c r="M517" s="1" t="str">
        <f t="shared" si="960"/>
        <v>0</v>
      </c>
      <c r="N517" s="1" t="str">
        <f t="shared" si="960"/>
        <v>0</v>
      </c>
      <c r="O517" s="1" t="str">
        <f t="shared" si="960"/>
        <v>0</v>
      </c>
      <c r="P517" s="1" t="str">
        <f t="shared" si="960"/>
        <v>0</v>
      </c>
      <c r="Q517" s="1" t="str">
        <f t="shared" si="955"/>
        <v>0.0070</v>
      </c>
      <c r="R517" s="1" t="s">
        <v>29</v>
      </c>
      <c r="S517" s="1">
        <v>-0.0014</v>
      </c>
      <c r="T517" s="1" t="str">
        <f t="shared" si="956"/>
        <v>0</v>
      </c>
      <c r="U517" s="1" t="str">
        <f t="shared" ref="U517:U524" si="961">"0.0056"</f>
        <v>0.0056</v>
      </c>
    </row>
    <row r="518" s="1" customFormat="1" spans="1:21">
      <c r="A518" s="1" t="str">
        <f>"4601991423383"</f>
        <v>4601991423383</v>
      </c>
      <c r="B518" s="1" t="s">
        <v>542</v>
      </c>
      <c r="C518" s="1" t="s">
        <v>24</v>
      </c>
      <c r="D518" s="1" t="str">
        <f t="shared" si="953"/>
        <v>2021</v>
      </c>
      <c r="E518" s="1" t="str">
        <f t="shared" ref="E518:P518" si="962">"0"</f>
        <v>0</v>
      </c>
      <c r="F518" s="1" t="str">
        <f t="shared" si="962"/>
        <v>0</v>
      </c>
      <c r="G518" s="1" t="str">
        <f t="shared" si="962"/>
        <v>0</v>
      </c>
      <c r="H518" s="1" t="str">
        <f t="shared" si="962"/>
        <v>0</v>
      </c>
      <c r="I518" s="1" t="str">
        <f t="shared" si="962"/>
        <v>0</v>
      </c>
      <c r="J518" s="1" t="str">
        <f t="shared" si="962"/>
        <v>0</v>
      </c>
      <c r="K518" s="1" t="str">
        <f t="shared" si="962"/>
        <v>0</v>
      </c>
      <c r="L518" s="1" t="str">
        <f t="shared" si="962"/>
        <v>0</v>
      </c>
      <c r="M518" s="1" t="str">
        <f t="shared" si="962"/>
        <v>0</v>
      </c>
      <c r="N518" s="1" t="str">
        <f t="shared" si="962"/>
        <v>0</v>
      </c>
      <c r="O518" s="1" t="str">
        <f t="shared" si="962"/>
        <v>0</v>
      </c>
      <c r="P518" s="1" t="str">
        <f t="shared" si="962"/>
        <v>0</v>
      </c>
      <c r="Q518" s="1" t="str">
        <f t="shared" si="955"/>
        <v>0.0070</v>
      </c>
      <c r="R518" s="1" t="s">
        <v>25</v>
      </c>
      <c r="T518" s="1" t="str">
        <f t="shared" si="956"/>
        <v>0</v>
      </c>
      <c r="U518" s="1" t="str">
        <f t="shared" si="957"/>
        <v>0.0070</v>
      </c>
    </row>
    <row r="519" s="1" customFormat="1" spans="1:21">
      <c r="A519" s="1" t="str">
        <f>"4601991423398"</f>
        <v>4601991423398</v>
      </c>
      <c r="B519" s="1" t="s">
        <v>543</v>
      </c>
      <c r="C519" s="1" t="s">
        <v>24</v>
      </c>
      <c r="D519" s="1" t="str">
        <f t="shared" si="953"/>
        <v>2021</v>
      </c>
      <c r="E519" s="1" t="str">
        <f t="shared" ref="E519:P519" si="963">"0"</f>
        <v>0</v>
      </c>
      <c r="F519" s="1" t="str">
        <f t="shared" si="963"/>
        <v>0</v>
      </c>
      <c r="G519" s="1" t="str">
        <f t="shared" si="963"/>
        <v>0</v>
      </c>
      <c r="H519" s="1" t="str">
        <f t="shared" si="963"/>
        <v>0</v>
      </c>
      <c r="I519" s="1" t="str">
        <f t="shared" si="963"/>
        <v>0</v>
      </c>
      <c r="J519" s="1" t="str">
        <f t="shared" si="963"/>
        <v>0</v>
      </c>
      <c r="K519" s="1" t="str">
        <f t="shared" si="963"/>
        <v>0</v>
      </c>
      <c r="L519" s="1" t="str">
        <f t="shared" si="963"/>
        <v>0</v>
      </c>
      <c r="M519" s="1" t="str">
        <f t="shared" si="963"/>
        <v>0</v>
      </c>
      <c r="N519" s="1" t="str">
        <f t="shared" si="963"/>
        <v>0</v>
      </c>
      <c r="O519" s="1" t="str">
        <f t="shared" si="963"/>
        <v>0</v>
      </c>
      <c r="P519" s="1" t="str">
        <f t="shared" si="963"/>
        <v>0</v>
      </c>
      <c r="Q519" s="1" t="str">
        <f t="shared" si="955"/>
        <v>0.0070</v>
      </c>
      <c r="R519" s="1" t="s">
        <v>25</v>
      </c>
      <c r="T519" s="1" t="str">
        <f t="shared" si="956"/>
        <v>0</v>
      </c>
      <c r="U519" s="1" t="str">
        <f t="shared" si="957"/>
        <v>0.0070</v>
      </c>
    </row>
    <row r="520" s="1" customFormat="1" spans="1:21">
      <c r="A520" s="1" t="str">
        <f>"4601991422701"</f>
        <v>4601991422701</v>
      </c>
      <c r="B520" s="1" t="s">
        <v>544</v>
      </c>
      <c r="C520" s="1" t="s">
        <v>24</v>
      </c>
      <c r="D520" s="1" t="str">
        <f t="shared" si="953"/>
        <v>2021</v>
      </c>
      <c r="E520" s="1" t="str">
        <f>"11.20"</f>
        <v>11.20</v>
      </c>
      <c r="F520" s="1" t="str">
        <f t="shared" ref="F520:I520" si="964">"0"</f>
        <v>0</v>
      </c>
      <c r="G520" s="1" t="str">
        <f t="shared" si="964"/>
        <v>0</v>
      </c>
      <c r="H520" s="1" t="str">
        <f t="shared" si="964"/>
        <v>0</v>
      </c>
      <c r="I520" s="1" t="str">
        <f t="shared" si="964"/>
        <v>0</v>
      </c>
      <c r="J520" s="1" t="str">
        <f>"3"</f>
        <v>3</v>
      </c>
      <c r="K520" s="1" t="str">
        <f t="shared" ref="K520:P520" si="965">"0"</f>
        <v>0</v>
      </c>
      <c r="L520" s="1" t="str">
        <f t="shared" si="965"/>
        <v>0</v>
      </c>
      <c r="M520" s="1" t="str">
        <f t="shared" si="965"/>
        <v>0</v>
      </c>
      <c r="N520" s="1" t="str">
        <f t="shared" si="965"/>
        <v>0</v>
      </c>
      <c r="O520" s="1" t="str">
        <f t="shared" si="965"/>
        <v>0</v>
      </c>
      <c r="P520" s="1" t="str">
        <f t="shared" si="965"/>
        <v>0</v>
      </c>
      <c r="Q520" s="1" t="str">
        <f t="shared" si="955"/>
        <v>0.0070</v>
      </c>
      <c r="R520" s="1" t="s">
        <v>29</v>
      </c>
      <c r="S520" s="1">
        <v>-0.0014</v>
      </c>
      <c r="T520" s="1" t="str">
        <f t="shared" si="956"/>
        <v>0</v>
      </c>
      <c r="U520" s="1" t="str">
        <f t="shared" si="961"/>
        <v>0.0056</v>
      </c>
    </row>
    <row r="521" s="1" customFormat="1" spans="1:21">
      <c r="A521" s="1" t="str">
        <f>"4601991422117"</f>
        <v>4601991422117</v>
      </c>
      <c r="B521" s="1" t="s">
        <v>545</v>
      </c>
      <c r="C521" s="1" t="s">
        <v>24</v>
      </c>
      <c r="D521" s="1" t="str">
        <f t="shared" si="953"/>
        <v>2021</v>
      </c>
      <c r="E521" s="1" t="str">
        <f>"310.79"</f>
        <v>310.79</v>
      </c>
      <c r="F521" s="1" t="str">
        <f t="shared" ref="F521:I521" si="966">"0"</f>
        <v>0</v>
      </c>
      <c r="G521" s="1" t="str">
        <f t="shared" si="966"/>
        <v>0</v>
      </c>
      <c r="H521" s="1" t="str">
        <f t="shared" si="966"/>
        <v>0</v>
      </c>
      <c r="I521" s="1" t="str">
        <f t="shared" si="966"/>
        <v>0</v>
      </c>
      <c r="J521" s="1" t="str">
        <f>"26"</f>
        <v>26</v>
      </c>
      <c r="K521" s="1" t="str">
        <f t="shared" ref="K521:P521" si="967">"0"</f>
        <v>0</v>
      </c>
      <c r="L521" s="1" t="str">
        <f t="shared" si="967"/>
        <v>0</v>
      </c>
      <c r="M521" s="1" t="str">
        <f t="shared" si="967"/>
        <v>0</v>
      </c>
      <c r="N521" s="1" t="str">
        <f t="shared" si="967"/>
        <v>0</v>
      </c>
      <c r="O521" s="1" t="str">
        <f t="shared" si="967"/>
        <v>0</v>
      </c>
      <c r="P521" s="1" t="str">
        <f t="shared" si="967"/>
        <v>0</v>
      </c>
      <c r="Q521" s="1" t="str">
        <f t="shared" si="955"/>
        <v>0.0070</v>
      </c>
      <c r="R521" s="1" t="s">
        <v>29</v>
      </c>
      <c r="S521" s="1">
        <v>-0.0014</v>
      </c>
      <c r="T521" s="1" t="str">
        <f t="shared" si="956"/>
        <v>0</v>
      </c>
      <c r="U521" s="1" t="str">
        <f t="shared" si="961"/>
        <v>0.0056</v>
      </c>
    </row>
    <row r="522" s="1" customFormat="1" spans="1:21">
      <c r="A522" s="1" t="str">
        <f>"4601991423415"</f>
        <v>4601991423415</v>
      </c>
      <c r="B522" s="1" t="s">
        <v>546</v>
      </c>
      <c r="C522" s="1" t="s">
        <v>24</v>
      </c>
      <c r="D522" s="1" t="str">
        <f t="shared" si="953"/>
        <v>2021</v>
      </c>
      <c r="E522" s="1" t="str">
        <f>"19.34"</f>
        <v>19.34</v>
      </c>
      <c r="F522" s="1" t="str">
        <f t="shared" ref="F522:I522" si="968">"0"</f>
        <v>0</v>
      </c>
      <c r="G522" s="1" t="str">
        <f t="shared" si="968"/>
        <v>0</v>
      </c>
      <c r="H522" s="1" t="str">
        <f t="shared" si="968"/>
        <v>0</v>
      </c>
      <c r="I522" s="1" t="str">
        <f t="shared" si="968"/>
        <v>0</v>
      </c>
      <c r="J522" s="1" t="str">
        <f>"2"</f>
        <v>2</v>
      </c>
      <c r="K522" s="1" t="str">
        <f t="shared" ref="K522:P522" si="969">"0"</f>
        <v>0</v>
      </c>
      <c r="L522" s="1" t="str">
        <f t="shared" si="969"/>
        <v>0</v>
      </c>
      <c r="M522" s="1" t="str">
        <f t="shared" si="969"/>
        <v>0</v>
      </c>
      <c r="N522" s="1" t="str">
        <f t="shared" si="969"/>
        <v>0</v>
      </c>
      <c r="O522" s="1" t="str">
        <f t="shared" si="969"/>
        <v>0</v>
      </c>
      <c r="P522" s="1" t="str">
        <f t="shared" si="969"/>
        <v>0</v>
      </c>
      <c r="Q522" s="1" t="str">
        <f t="shared" si="955"/>
        <v>0.0070</v>
      </c>
      <c r="R522" s="1" t="s">
        <v>29</v>
      </c>
      <c r="S522" s="1">
        <v>-0.0014</v>
      </c>
      <c r="T522" s="1" t="str">
        <f t="shared" si="956"/>
        <v>0</v>
      </c>
      <c r="U522" s="1" t="str">
        <f t="shared" si="961"/>
        <v>0.0056</v>
      </c>
    </row>
    <row r="523" s="1" customFormat="1" spans="1:21">
      <c r="A523" s="1" t="str">
        <f>"4601991422706"</f>
        <v>4601991422706</v>
      </c>
      <c r="B523" s="1" t="s">
        <v>547</v>
      </c>
      <c r="C523" s="1" t="s">
        <v>24</v>
      </c>
      <c r="D523" s="1" t="str">
        <f t="shared" si="953"/>
        <v>2021</v>
      </c>
      <c r="E523" s="1" t="str">
        <f>"163.94"</f>
        <v>163.94</v>
      </c>
      <c r="F523" s="1" t="str">
        <f t="shared" ref="F523:I523" si="970">"0"</f>
        <v>0</v>
      </c>
      <c r="G523" s="1" t="str">
        <f t="shared" si="970"/>
        <v>0</v>
      </c>
      <c r="H523" s="1" t="str">
        <f t="shared" si="970"/>
        <v>0</v>
      </c>
      <c r="I523" s="1" t="str">
        <f t="shared" si="970"/>
        <v>0</v>
      </c>
      <c r="J523" s="1" t="str">
        <f>"14"</f>
        <v>14</v>
      </c>
      <c r="K523" s="1" t="str">
        <f t="shared" ref="K523:P523" si="971">"0"</f>
        <v>0</v>
      </c>
      <c r="L523" s="1" t="str">
        <f t="shared" si="971"/>
        <v>0</v>
      </c>
      <c r="M523" s="1" t="str">
        <f t="shared" si="971"/>
        <v>0</v>
      </c>
      <c r="N523" s="1" t="str">
        <f t="shared" si="971"/>
        <v>0</v>
      </c>
      <c r="O523" s="1" t="str">
        <f t="shared" si="971"/>
        <v>0</v>
      </c>
      <c r="P523" s="1" t="str">
        <f t="shared" si="971"/>
        <v>0</v>
      </c>
      <c r="Q523" s="1" t="str">
        <f t="shared" si="955"/>
        <v>0.0070</v>
      </c>
      <c r="R523" s="1" t="s">
        <v>29</v>
      </c>
      <c r="S523" s="1">
        <v>-0.0014</v>
      </c>
      <c r="T523" s="1" t="str">
        <f t="shared" si="956"/>
        <v>0</v>
      </c>
      <c r="U523" s="1" t="str">
        <f t="shared" si="961"/>
        <v>0.0056</v>
      </c>
    </row>
    <row r="524" s="1" customFormat="1" spans="1:21">
      <c r="A524" s="1" t="str">
        <f>"4601991406732"</f>
        <v>4601991406732</v>
      </c>
      <c r="B524" s="1" t="s">
        <v>548</v>
      </c>
      <c r="C524" s="1" t="s">
        <v>24</v>
      </c>
      <c r="D524" s="1" t="str">
        <f t="shared" si="953"/>
        <v>2021</v>
      </c>
      <c r="E524" s="1" t="str">
        <f>"9.67"</f>
        <v>9.67</v>
      </c>
      <c r="F524" s="1" t="str">
        <f t="shared" ref="F524:I524" si="972">"0"</f>
        <v>0</v>
      </c>
      <c r="G524" s="1" t="str">
        <f t="shared" si="972"/>
        <v>0</v>
      </c>
      <c r="H524" s="1" t="str">
        <f t="shared" si="972"/>
        <v>0</v>
      </c>
      <c r="I524" s="1" t="str">
        <f t="shared" si="972"/>
        <v>0</v>
      </c>
      <c r="J524" s="1" t="str">
        <f>"1"</f>
        <v>1</v>
      </c>
      <c r="K524" s="1" t="str">
        <f t="shared" ref="K524:P524" si="973">"0"</f>
        <v>0</v>
      </c>
      <c r="L524" s="1" t="str">
        <f t="shared" si="973"/>
        <v>0</v>
      </c>
      <c r="M524" s="1" t="str">
        <f t="shared" si="973"/>
        <v>0</v>
      </c>
      <c r="N524" s="1" t="str">
        <f t="shared" si="973"/>
        <v>0</v>
      </c>
      <c r="O524" s="1" t="str">
        <f t="shared" si="973"/>
        <v>0</v>
      </c>
      <c r="P524" s="1" t="str">
        <f t="shared" si="973"/>
        <v>0</v>
      </c>
      <c r="Q524" s="1" t="str">
        <f t="shared" si="955"/>
        <v>0.0070</v>
      </c>
      <c r="R524" s="1" t="s">
        <v>29</v>
      </c>
      <c r="S524" s="1">
        <v>-0.0014</v>
      </c>
      <c r="T524" s="1" t="str">
        <f t="shared" si="956"/>
        <v>0</v>
      </c>
      <c r="U524" s="1" t="str">
        <f t="shared" si="961"/>
        <v>0.0056</v>
      </c>
    </row>
    <row r="525" s="1" customFormat="1" spans="1:21">
      <c r="A525" s="1" t="str">
        <f>"4601991407352"</f>
        <v>4601991407352</v>
      </c>
      <c r="B525" s="1" t="s">
        <v>549</v>
      </c>
      <c r="C525" s="1" t="s">
        <v>24</v>
      </c>
      <c r="D525" s="1" t="str">
        <f t="shared" si="953"/>
        <v>2021</v>
      </c>
      <c r="E525" s="1" t="str">
        <f t="shared" ref="E525:P525" si="974">"0"</f>
        <v>0</v>
      </c>
      <c r="F525" s="1" t="str">
        <f t="shared" si="974"/>
        <v>0</v>
      </c>
      <c r="G525" s="1" t="str">
        <f t="shared" si="974"/>
        <v>0</v>
      </c>
      <c r="H525" s="1" t="str">
        <f t="shared" si="974"/>
        <v>0</v>
      </c>
      <c r="I525" s="1" t="str">
        <f t="shared" si="974"/>
        <v>0</v>
      </c>
      <c r="J525" s="1" t="str">
        <f t="shared" si="974"/>
        <v>0</v>
      </c>
      <c r="K525" s="1" t="str">
        <f t="shared" si="974"/>
        <v>0</v>
      </c>
      <c r="L525" s="1" t="str">
        <f t="shared" si="974"/>
        <v>0</v>
      </c>
      <c r="M525" s="1" t="str">
        <f t="shared" si="974"/>
        <v>0</v>
      </c>
      <c r="N525" s="1" t="str">
        <f t="shared" si="974"/>
        <v>0</v>
      </c>
      <c r="O525" s="1" t="str">
        <f t="shared" si="974"/>
        <v>0</v>
      </c>
      <c r="P525" s="1" t="str">
        <f t="shared" si="974"/>
        <v>0</v>
      </c>
      <c r="Q525" s="1" t="str">
        <f t="shared" si="955"/>
        <v>0.0070</v>
      </c>
      <c r="R525" s="1" t="s">
        <v>25</v>
      </c>
      <c r="T525" s="1" t="str">
        <f t="shared" si="956"/>
        <v>0</v>
      </c>
      <c r="U525" s="1" t="str">
        <f t="shared" ref="U525:U531" si="975">"0.0070"</f>
        <v>0.0070</v>
      </c>
    </row>
    <row r="526" s="1" customFormat="1" spans="1:21">
      <c r="A526" s="1" t="str">
        <f>"4601991406752"</f>
        <v>4601991406752</v>
      </c>
      <c r="B526" s="1" t="s">
        <v>550</v>
      </c>
      <c r="C526" s="1" t="s">
        <v>24</v>
      </c>
      <c r="D526" s="1" t="str">
        <f t="shared" si="953"/>
        <v>2021</v>
      </c>
      <c r="E526" s="1" t="str">
        <f>"38.68"</f>
        <v>38.68</v>
      </c>
      <c r="F526" s="1" t="str">
        <f t="shared" ref="F526:I526" si="976">"0"</f>
        <v>0</v>
      </c>
      <c r="G526" s="1" t="str">
        <f t="shared" si="976"/>
        <v>0</v>
      </c>
      <c r="H526" s="1" t="str">
        <f t="shared" si="976"/>
        <v>0</v>
      </c>
      <c r="I526" s="1" t="str">
        <f t="shared" si="976"/>
        <v>0</v>
      </c>
      <c r="J526" s="1" t="str">
        <f>"4"</f>
        <v>4</v>
      </c>
      <c r="K526" s="1" t="str">
        <f t="shared" ref="K526:P526" si="977">"0"</f>
        <v>0</v>
      </c>
      <c r="L526" s="1" t="str">
        <f t="shared" si="977"/>
        <v>0</v>
      </c>
      <c r="M526" s="1" t="str">
        <f t="shared" si="977"/>
        <v>0</v>
      </c>
      <c r="N526" s="1" t="str">
        <f t="shared" si="977"/>
        <v>0</v>
      </c>
      <c r="O526" s="1" t="str">
        <f t="shared" si="977"/>
        <v>0</v>
      </c>
      <c r="P526" s="1" t="str">
        <f t="shared" si="977"/>
        <v>0</v>
      </c>
      <c r="Q526" s="1" t="str">
        <f t="shared" si="955"/>
        <v>0.0070</v>
      </c>
      <c r="R526" s="1" t="s">
        <v>29</v>
      </c>
      <c r="S526" s="1">
        <v>-0.0014</v>
      </c>
      <c r="T526" s="1" t="str">
        <f t="shared" si="956"/>
        <v>0</v>
      </c>
      <c r="U526" s="1" t="str">
        <f>"0.0056"</f>
        <v>0.0056</v>
      </c>
    </row>
    <row r="527" s="1" customFormat="1" spans="1:21">
      <c r="A527" s="1" t="str">
        <f>"4601991406737"</f>
        <v>4601991406737</v>
      </c>
      <c r="B527" s="1" t="s">
        <v>551</v>
      </c>
      <c r="C527" s="1" t="s">
        <v>24</v>
      </c>
      <c r="D527" s="1" t="str">
        <f t="shared" si="953"/>
        <v>2021</v>
      </c>
      <c r="E527" s="1" t="str">
        <f>"628.55"</f>
        <v>628.55</v>
      </c>
      <c r="F527" s="1" t="str">
        <f t="shared" ref="F527:I527" si="978">"0"</f>
        <v>0</v>
      </c>
      <c r="G527" s="1" t="str">
        <f t="shared" si="978"/>
        <v>0</v>
      </c>
      <c r="H527" s="1" t="str">
        <f t="shared" si="978"/>
        <v>0</v>
      </c>
      <c r="I527" s="1" t="str">
        <f t="shared" si="978"/>
        <v>0</v>
      </c>
      <c r="J527" s="1" t="str">
        <f>"63"</f>
        <v>63</v>
      </c>
      <c r="K527" s="1" t="str">
        <f t="shared" ref="K527:P527" si="979">"0"</f>
        <v>0</v>
      </c>
      <c r="L527" s="1" t="str">
        <f t="shared" si="979"/>
        <v>0</v>
      </c>
      <c r="M527" s="1" t="str">
        <f t="shared" si="979"/>
        <v>0</v>
      </c>
      <c r="N527" s="1" t="str">
        <f t="shared" si="979"/>
        <v>0</v>
      </c>
      <c r="O527" s="1" t="str">
        <f t="shared" si="979"/>
        <v>0</v>
      </c>
      <c r="P527" s="1" t="str">
        <f t="shared" si="979"/>
        <v>0</v>
      </c>
      <c r="Q527" s="1" t="str">
        <f t="shared" si="955"/>
        <v>0.0070</v>
      </c>
      <c r="R527" s="1" t="s">
        <v>29</v>
      </c>
      <c r="S527" s="1">
        <v>-0.0014</v>
      </c>
      <c r="T527" s="1" t="str">
        <f t="shared" si="956"/>
        <v>0</v>
      </c>
      <c r="U527" s="1" t="str">
        <f>"0.0056"</f>
        <v>0.0056</v>
      </c>
    </row>
    <row r="528" s="1" customFormat="1" spans="1:21">
      <c r="A528" s="1" t="str">
        <f>"4601991407373"</f>
        <v>4601991407373</v>
      </c>
      <c r="B528" s="1" t="s">
        <v>552</v>
      </c>
      <c r="C528" s="1" t="s">
        <v>24</v>
      </c>
      <c r="D528" s="1" t="str">
        <f t="shared" si="953"/>
        <v>2021</v>
      </c>
      <c r="E528" s="1" t="str">
        <f t="shared" ref="E528:P528" si="980">"0"</f>
        <v>0</v>
      </c>
      <c r="F528" s="1" t="str">
        <f t="shared" si="980"/>
        <v>0</v>
      </c>
      <c r="G528" s="1" t="str">
        <f t="shared" si="980"/>
        <v>0</v>
      </c>
      <c r="H528" s="1" t="str">
        <f t="shared" si="980"/>
        <v>0</v>
      </c>
      <c r="I528" s="1" t="str">
        <f t="shared" si="980"/>
        <v>0</v>
      </c>
      <c r="J528" s="1" t="str">
        <f t="shared" si="980"/>
        <v>0</v>
      </c>
      <c r="K528" s="1" t="str">
        <f t="shared" si="980"/>
        <v>0</v>
      </c>
      <c r="L528" s="1" t="str">
        <f t="shared" si="980"/>
        <v>0</v>
      </c>
      <c r="M528" s="1" t="str">
        <f t="shared" si="980"/>
        <v>0</v>
      </c>
      <c r="N528" s="1" t="str">
        <f t="shared" si="980"/>
        <v>0</v>
      </c>
      <c r="O528" s="1" t="str">
        <f t="shared" si="980"/>
        <v>0</v>
      </c>
      <c r="P528" s="1" t="str">
        <f t="shared" si="980"/>
        <v>0</v>
      </c>
      <c r="Q528" s="1" t="str">
        <f t="shared" si="955"/>
        <v>0.0070</v>
      </c>
      <c r="R528" s="1" t="s">
        <v>25</v>
      </c>
      <c r="T528" s="1" t="str">
        <f t="shared" si="956"/>
        <v>0</v>
      </c>
      <c r="U528" s="1" t="str">
        <f t="shared" si="975"/>
        <v>0.0070</v>
      </c>
    </row>
    <row r="529" s="1" customFormat="1" spans="1:21">
      <c r="A529" s="1" t="str">
        <f>"4601991408035"</f>
        <v>4601991408035</v>
      </c>
      <c r="B529" s="1" t="s">
        <v>553</v>
      </c>
      <c r="C529" s="1" t="s">
        <v>24</v>
      </c>
      <c r="D529" s="1" t="str">
        <f t="shared" si="953"/>
        <v>2021</v>
      </c>
      <c r="E529" s="1" t="str">
        <f t="shared" ref="E529:P529" si="981">"0"</f>
        <v>0</v>
      </c>
      <c r="F529" s="1" t="str">
        <f t="shared" si="981"/>
        <v>0</v>
      </c>
      <c r="G529" s="1" t="str">
        <f t="shared" si="981"/>
        <v>0</v>
      </c>
      <c r="H529" s="1" t="str">
        <f t="shared" si="981"/>
        <v>0</v>
      </c>
      <c r="I529" s="1" t="str">
        <f t="shared" si="981"/>
        <v>0</v>
      </c>
      <c r="J529" s="1" t="str">
        <f t="shared" si="981"/>
        <v>0</v>
      </c>
      <c r="K529" s="1" t="str">
        <f t="shared" si="981"/>
        <v>0</v>
      </c>
      <c r="L529" s="1" t="str">
        <f t="shared" si="981"/>
        <v>0</v>
      </c>
      <c r="M529" s="1" t="str">
        <f t="shared" si="981"/>
        <v>0</v>
      </c>
      <c r="N529" s="1" t="str">
        <f t="shared" si="981"/>
        <v>0</v>
      </c>
      <c r="O529" s="1" t="str">
        <f t="shared" si="981"/>
        <v>0</v>
      </c>
      <c r="P529" s="1" t="str">
        <f t="shared" si="981"/>
        <v>0</v>
      </c>
      <c r="Q529" s="1" t="str">
        <f t="shared" si="955"/>
        <v>0.0070</v>
      </c>
      <c r="R529" s="1" t="s">
        <v>25</v>
      </c>
      <c r="T529" s="1" t="str">
        <f t="shared" si="956"/>
        <v>0</v>
      </c>
      <c r="U529" s="1" t="str">
        <f t="shared" si="975"/>
        <v>0.0070</v>
      </c>
    </row>
    <row r="530" s="1" customFormat="1" spans="1:21">
      <c r="A530" s="1" t="str">
        <f>"4601991408055"</f>
        <v>4601991408055</v>
      </c>
      <c r="B530" s="1" t="s">
        <v>554</v>
      </c>
      <c r="C530" s="1" t="s">
        <v>24</v>
      </c>
      <c r="D530" s="1" t="str">
        <f t="shared" si="953"/>
        <v>2021</v>
      </c>
      <c r="E530" s="1" t="str">
        <f t="shared" ref="E530:P530" si="982">"0"</f>
        <v>0</v>
      </c>
      <c r="F530" s="1" t="str">
        <f t="shared" si="982"/>
        <v>0</v>
      </c>
      <c r="G530" s="1" t="str">
        <f t="shared" si="982"/>
        <v>0</v>
      </c>
      <c r="H530" s="1" t="str">
        <f t="shared" si="982"/>
        <v>0</v>
      </c>
      <c r="I530" s="1" t="str">
        <f t="shared" si="982"/>
        <v>0</v>
      </c>
      <c r="J530" s="1" t="str">
        <f t="shared" si="982"/>
        <v>0</v>
      </c>
      <c r="K530" s="1" t="str">
        <f t="shared" si="982"/>
        <v>0</v>
      </c>
      <c r="L530" s="1" t="str">
        <f t="shared" si="982"/>
        <v>0</v>
      </c>
      <c r="M530" s="1" t="str">
        <f t="shared" si="982"/>
        <v>0</v>
      </c>
      <c r="N530" s="1" t="str">
        <f t="shared" si="982"/>
        <v>0</v>
      </c>
      <c r="O530" s="1" t="str">
        <f t="shared" si="982"/>
        <v>0</v>
      </c>
      <c r="P530" s="1" t="str">
        <f t="shared" si="982"/>
        <v>0</v>
      </c>
      <c r="Q530" s="1" t="str">
        <f t="shared" si="955"/>
        <v>0.0070</v>
      </c>
      <c r="R530" s="1" t="s">
        <v>25</v>
      </c>
      <c r="T530" s="1" t="str">
        <f t="shared" si="956"/>
        <v>0</v>
      </c>
      <c r="U530" s="1" t="str">
        <f t="shared" si="975"/>
        <v>0.0070</v>
      </c>
    </row>
    <row r="531" s="1" customFormat="1" spans="1:21">
      <c r="A531" s="1" t="str">
        <f>"4601991406322"</f>
        <v>4601991406322</v>
      </c>
      <c r="B531" s="1" t="s">
        <v>555</v>
      </c>
      <c r="C531" s="1" t="s">
        <v>24</v>
      </c>
      <c r="D531" s="1" t="str">
        <f t="shared" si="953"/>
        <v>2021</v>
      </c>
      <c r="E531" s="1" t="str">
        <f t="shared" ref="E531:P531" si="983">"0"</f>
        <v>0</v>
      </c>
      <c r="F531" s="1" t="str">
        <f t="shared" si="983"/>
        <v>0</v>
      </c>
      <c r="G531" s="1" t="str">
        <f t="shared" si="983"/>
        <v>0</v>
      </c>
      <c r="H531" s="1" t="str">
        <f t="shared" si="983"/>
        <v>0</v>
      </c>
      <c r="I531" s="1" t="str">
        <f t="shared" si="983"/>
        <v>0</v>
      </c>
      <c r="J531" s="1" t="str">
        <f t="shared" si="983"/>
        <v>0</v>
      </c>
      <c r="K531" s="1" t="str">
        <f t="shared" si="983"/>
        <v>0</v>
      </c>
      <c r="L531" s="1" t="str">
        <f t="shared" si="983"/>
        <v>0</v>
      </c>
      <c r="M531" s="1" t="str">
        <f t="shared" si="983"/>
        <v>0</v>
      </c>
      <c r="N531" s="1" t="str">
        <f t="shared" si="983"/>
        <v>0</v>
      </c>
      <c r="O531" s="1" t="str">
        <f t="shared" si="983"/>
        <v>0</v>
      </c>
      <c r="P531" s="1" t="str">
        <f t="shared" si="983"/>
        <v>0</v>
      </c>
      <c r="Q531" s="1" t="str">
        <f t="shared" si="955"/>
        <v>0.0070</v>
      </c>
      <c r="R531" s="1" t="s">
        <v>25</v>
      </c>
      <c r="T531" s="1" t="str">
        <f t="shared" si="956"/>
        <v>0</v>
      </c>
      <c r="U531" s="1" t="str">
        <f t="shared" si="975"/>
        <v>0.0070</v>
      </c>
    </row>
    <row r="532" s="1" customFormat="1" spans="1:21">
      <c r="A532" s="1" t="str">
        <f>"4601991407367"</f>
        <v>4601991407367</v>
      </c>
      <c r="B532" s="1" t="s">
        <v>556</v>
      </c>
      <c r="C532" s="1" t="s">
        <v>24</v>
      </c>
      <c r="D532" s="1" t="str">
        <f t="shared" si="953"/>
        <v>2021</v>
      </c>
      <c r="E532" s="1" t="str">
        <f>"277.82"</f>
        <v>277.82</v>
      </c>
      <c r="F532" s="1" t="str">
        <f>"11562.06"</f>
        <v>11562.06</v>
      </c>
      <c r="G532" s="1" t="str">
        <f t="shared" ref="G532:L532" si="984">"0"</f>
        <v>0</v>
      </c>
      <c r="H532" s="1" t="str">
        <f t="shared" si="984"/>
        <v>0</v>
      </c>
      <c r="I532" s="1" t="str">
        <f>"41.6171"</f>
        <v>41.6171</v>
      </c>
      <c r="J532" s="1" t="str">
        <f>"30"</f>
        <v>30</v>
      </c>
      <c r="K532" s="1" t="str">
        <f>"1"</f>
        <v>1</v>
      </c>
      <c r="L532" s="1" t="str">
        <f t="shared" si="984"/>
        <v>0</v>
      </c>
      <c r="M532" s="1" t="str">
        <f>"0.0333"</f>
        <v>0.0333</v>
      </c>
      <c r="N532" s="1" t="str">
        <f t="shared" ref="N532:P532" si="985">"0"</f>
        <v>0</v>
      </c>
      <c r="O532" s="1" t="str">
        <f t="shared" si="985"/>
        <v>0</v>
      </c>
      <c r="P532" s="1" t="str">
        <f t="shared" si="985"/>
        <v>0</v>
      </c>
      <c r="Q532" s="1" t="str">
        <f t="shared" si="955"/>
        <v>0.0070</v>
      </c>
      <c r="R532" s="1" t="s">
        <v>69</v>
      </c>
      <c r="S532" s="1" t="str">
        <f>"0.0014"</f>
        <v>0.0014</v>
      </c>
      <c r="T532" s="1" t="str">
        <f t="shared" si="956"/>
        <v>0</v>
      </c>
      <c r="U532" s="1" t="str">
        <f>"0.0084"</f>
        <v>0.0084</v>
      </c>
    </row>
    <row r="533" s="1" customFormat="1" spans="1:21">
      <c r="A533" s="1" t="str">
        <f>"4601991407427"</f>
        <v>4601991407427</v>
      </c>
      <c r="B533" s="1" t="s">
        <v>557</v>
      </c>
      <c r="C533" s="1" t="s">
        <v>24</v>
      </c>
      <c r="D533" s="1" t="str">
        <f t="shared" si="953"/>
        <v>2021</v>
      </c>
      <c r="E533" s="1" t="str">
        <f t="shared" ref="E533:P533" si="986">"0"</f>
        <v>0</v>
      </c>
      <c r="F533" s="1" t="str">
        <f t="shared" si="986"/>
        <v>0</v>
      </c>
      <c r="G533" s="1" t="str">
        <f t="shared" si="986"/>
        <v>0</v>
      </c>
      <c r="H533" s="1" t="str">
        <f t="shared" si="986"/>
        <v>0</v>
      </c>
      <c r="I533" s="1" t="str">
        <f t="shared" si="986"/>
        <v>0</v>
      </c>
      <c r="J533" s="1" t="str">
        <f t="shared" si="986"/>
        <v>0</v>
      </c>
      <c r="K533" s="1" t="str">
        <f t="shared" si="986"/>
        <v>0</v>
      </c>
      <c r="L533" s="1" t="str">
        <f t="shared" si="986"/>
        <v>0</v>
      </c>
      <c r="M533" s="1" t="str">
        <f t="shared" si="986"/>
        <v>0</v>
      </c>
      <c r="N533" s="1" t="str">
        <f t="shared" si="986"/>
        <v>0</v>
      </c>
      <c r="O533" s="1" t="str">
        <f t="shared" si="986"/>
        <v>0</v>
      </c>
      <c r="P533" s="1" t="str">
        <f t="shared" si="986"/>
        <v>0</v>
      </c>
      <c r="Q533" s="1" t="str">
        <f t="shared" si="955"/>
        <v>0.0070</v>
      </c>
      <c r="R533" s="1" t="s">
        <v>25</v>
      </c>
      <c r="T533" s="1" t="str">
        <f t="shared" si="956"/>
        <v>0</v>
      </c>
      <c r="U533" s="1" t="str">
        <f t="shared" ref="U533:U539" si="987">"0.0070"</f>
        <v>0.0070</v>
      </c>
    </row>
    <row r="534" s="1" customFormat="1" spans="1:21">
      <c r="A534" s="1" t="str">
        <f>"4601991408119"</f>
        <v>4601991408119</v>
      </c>
      <c r="B534" s="1" t="s">
        <v>558</v>
      </c>
      <c r="C534" s="1" t="s">
        <v>24</v>
      </c>
      <c r="D534" s="1" t="str">
        <f t="shared" si="953"/>
        <v>2021</v>
      </c>
      <c r="E534" s="1" t="str">
        <f t="shared" ref="E534:P534" si="988">"0"</f>
        <v>0</v>
      </c>
      <c r="F534" s="1" t="str">
        <f t="shared" si="988"/>
        <v>0</v>
      </c>
      <c r="G534" s="1" t="str">
        <f t="shared" si="988"/>
        <v>0</v>
      </c>
      <c r="H534" s="1" t="str">
        <f t="shared" si="988"/>
        <v>0</v>
      </c>
      <c r="I534" s="1" t="str">
        <f t="shared" si="988"/>
        <v>0</v>
      </c>
      <c r="J534" s="1" t="str">
        <f t="shared" si="988"/>
        <v>0</v>
      </c>
      <c r="K534" s="1" t="str">
        <f t="shared" si="988"/>
        <v>0</v>
      </c>
      <c r="L534" s="1" t="str">
        <f t="shared" si="988"/>
        <v>0</v>
      </c>
      <c r="M534" s="1" t="str">
        <f t="shared" si="988"/>
        <v>0</v>
      </c>
      <c r="N534" s="1" t="str">
        <f t="shared" si="988"/>
        <v>0</v>
      </c>
      <c r="O534" s="1" t="str">
        <f t="shared" si="988"/>
        <v>0</v>
      </c>
      <c r="P534" s="1" t="str">
        <f t="shared" si="988"/>
        <v>0</v>
      </c>
      <c r="Q534" s="1" t="str">
        <f t="shared" si="955"/>
        <v>0.0070</v>
      </c>
      <c r="R534" s="1" t="s">
        <v>25</v>
      </c>
      <c r="T534" s="1" t="str">
        <f t="shared" si="956"/>
        <v>0</v>
      </c>
      <c r="U534" s="1" t="str">
        <f t="shared" si="987"/>
        <v>0.0070</v>
      </c>
    </row>
    <row r="535" s="1" customFormat="1" spans="1:21">
      <c r="A535" s="1" t="str">
        <f>"4601991408095"</f>
        <v>4601991408095</v>
      </c>
      <c r="B535" s="1" t="s">
        <v>559</v>
      </c>
      <c r="C535" s="1" t="s">
        <v>24</v>
      </c>
      <c r="D535" s="1" t="str">
        <f t="shared" si="953"/>
        <v>2021</v>
      </c>
      <c r="E535" s="1" t="str">
        <f>"12.25"</f>
        <v>12.25</v>
      </c>
      <c r="F535" s="1" t="str">
        <f t="shared" ref="F535:I535" si="989">"0"</f>
        <v>0</v>
      </c>
      <c r="G535" s="1" t="str">
        <f t="shared" si="989"/>
        <v>0</v>
      </c>
      <c r="H535" s="1" t="str">
        <f t="shared" si="989"/>
        <v>0</v>
      </c>
      <c r="I535" s="1" t="str">
        <f t="shared" si="989"/>
        <v>0</v>
      </c>
      <c r="J535" s="1" t="str">
        <f>"1"</f>
        <v>1</v>
      </c>
      <c r="K535" s="1" t="str">
        <f t="shared" ref="K535:P535" si="990">"0"</f>
        <v>0</v>
      </c>
      <c r="L535" s="1" t="str">
        <f t="shared" si="990"/>
        <v>0</v>
      </c>
      <c r="M535" s="1" t="str">
        <f t="shared" si="990"/>
        <v>0</v>
      </c>
      <c r="N535" s="1" t="str">
        <f t="shared" si="990"/>
        <v>0</v>
      </c>
      <c r="O535" s="1" t="str">
        <f t="shared" si="990"/>
        <v>0</v>
      </c>
      <c r="P535" s="1" t="str">
        <f t="shared" si="990"/>
        <v>0</v>
      </c>
      <c r="Q535" s="1" t="str">
        <f t="shared" si="955"/>
        <v>0.0070</v>
      </c>
      <c r="R535" s="1" t="s">
        <v>29</v>
      </c>
      <c r="S535" s="1">
        <v>-0.0014</v>
      </c>
      <c r="T535" s="1" t="str">
        <f t="shared" si="956"/>
        <v>0</v>
      </c>
      <c r="U535" s="1" t="str">
        <f t="shared" ref="U535:U540" si="991">"0.0056"</f>
        <v>0.0056</v>
      </c>
    </row>
    <row r="536" s="1" customFormat="1" spans="1:21">
      <c r="A536" s="1" t="str">
        <f>"4601991406376"</f>
        <v>4601991406376</v>
      </c>
      <c r="B536" s="1" t="s">
        <v>560</v>
      </c>
      <c r="C536" s="1" t="s">
        <v>24</v>
      </c>
      <c r="D536" s="1" t="str">
        <f t="shared" si="953"/>
        <v>2021</v>
      </c>
      <c r="E536" s="1" t="str">
        <f>"957.33"</f>
        <v>957.33</v>
      </c>
      <c r="F536" s="1" t="str">
        <f t="shared" ref="F536:I536" si="992">"0"</f>
        <v>0</v>
      </c>
      <c r="G536" s="1" t="str">
        <f t="shared" si="992"/>
        <v>0</v>
      </c>
      <c r="H536" s="1" t="str">
        <f t="shared" si="992"/>
        <v>0</v>
      </c>
      <c r="I536" s="1" t="str">
        <f t="shared" si="992"/>
        <v>0</v>
      </c>
      <c r="J536" s="1" t="str">
        <f>"110"</f>
        <v>110</v>
      </c>
      <c r="K536" s="1" t="str">
        <f t="shared" ref="K536:P536" si="993">"0"</f>
        <v>0</v>
      </c>
      <c r="L536" s="1" t="str">
        <f t="shared" si="993"/>
        <v>0</v>
      </c>
      <c r="M536" s="1" t="str">
        <f t="shared" si="993"/>
        <v>0</v>
      </c>
      <c r="N536" s="1" t="str">
        <f t="shared" si="993"/>
        <v>0</v>
      </c>
      <c r="O536" s="1" t="str">
        <f t="shared" si="993"/>
        <v>0</v>
      </c>
      <c r="P536" s="1" t="str">
        <f t="shared" si="993"/>
        <v>0</v>
      </c>
      <c r="Q536" s="1" t="str">
        <f t="shared" si="955"/>
        <v>0.0070</v>
      </c>
      <c r="R536" s="1" t="s">
        <v>29</v>
      </c>
      <c r="S536" s="1">
        <v>-0.0014</v>
      </c>
      <c r="T536" s="1" t="str">
        <f t="shared" si="956"/>
        <v>0</v>
      </c>
      <c r="U536" s="1" t="str">
        <f t="shared" si="991"/>
        <v>0.0056</v>
      </c>
    </row>
    <row r="537" s="1" customFormat="1" spans="1:21">
      <c r="A537" s="1" t="str">
        <f>"4601991408128"</f>
        <v>4601991408128</v>
      </c>
      <c r="B537" s="1" t="s">
        <v>561</v>
      </c>
      <c r="C537" s="1" t="s">
        <v>24</v>
      </c>
      <c r="D537" s="1" t="str">
        <f t="shared" si="953"/>
        <v>2021</v>
      </c>
      <c r="E537" s="1" t="str">
        <f t="shared" ref="E537:P537" si="994">"0"</f>
        <v>0</v>
      </c>
      <c r="F537" s="1" t="str">
        <f t="shared" si="994"/>
        <v>0</v>
      </c>
      <c r="G537" s="1" t="str">
        <f t="shared" si="994"/>
        <v>0</v>
      </c>
      <c r="H537" s="1" t="str">
        <f t="shared" si="994"/>
        <v>0</v>
      </c>
      <c r="I537" s="1" t="str">
        <f t="shared" si="994"/>
        <v>0</v>
      </c>
      <c r="J537" s="1" t="str">
        <f t="shared" si="994"/>
        <v>0</v>
      </c>
      <c r="K537" s="1" t="str">
        <f t="shared" si="994"/>
        <v>0</v>
      </c>
      <c r="L537" s="1" t="str">
        <f t="shared" si="994"/>
        <v>0</v>
      </c>
      <c r="M537" s="1" t="str">
        <f t="shared" si="994"/>
        <v>0</v>
      </c>
      <c r="N537" s="1" t="str">
        <f t="shared" si="994"/>
        <v>0</v>
      </c>
      <c r="O537" s="1" t="str">
        <f t="shared" si="994"/>
        <v>0</v>
      </c>
      <c r="P537" s="1" t="str">
        <f t="shared" si="994"/>
        <v>0</v>
      </c>
      <c r="Q537" s="1" t="str">
        <f t="shared" si="955"/>
        <v>0.0070</v>
      </c>
      <c r="R537" s="1" t="s">
        <v>25</v>
      </c>
      <c r="T537" s="1" t="str">
        <f t="shared" si="956"/>
        <v>0</v>
      </c>
      <c r="U537" s="1" t="str">
        <f t="shared" si="987"/>
        <v>0.0070</v>
      </c>
    </row>
    <row r="538" s="1" customFormat="1" spans="1:21">
      <c r="A538" s="1" t="str">
        <f>"4601991406887"</f>
        <v>4601991406887</v>
      </c>
      <c r="B538" s="1" t="s">
        <v>562</v>
      </c>
      <c r="C538" s="1" t="s">
        <v>24</v>
      </c>
      <c r="D538" s="1" t="str">
        <f t="shared" si="953"/>
        <v>2021</v>
      </c>
      <c r="E538" s="1" t="str">
        <f t="shared" ref="E538:P538" si="995">"0"</f>
        <v>0</v>
      </c>
      <c r="F538" s="1" t="str">
        <f t="shared" si="995"/>
        <v>0</v>
      </c>
      <c r="G538" s="1" t="str">
        <f t="shared" si="995"/>
        <v>0</v>
      </c>
      <c r="H538" s="1" t="str">
        <f t="shared" si="995"/>
        <v>0</v>
      </c>
      <c r="I538" s="1" t="str">
        <f t="shared" si="995"/>
        <v>0</v>
      </c>
      <c r="J538" s="1" t="str">
        <f t="shared" si="995"/>
        <v>0</v>
      </c>
      <c r="K538" s="1" t="str">
        <f t="shared" si="995"/>
        <v>0</v>
      </c>
      <c r="L538" s="1" t="str">
        <f t="shared" si="995"/>
        <v>0</v>
      </c>
      <c r="M538" s="1" t="str">
        <f t="shared" si="995"/>
        <v>0</v>
      </c>
      <c r="N538" s="1" t="str">
        <f t="shared" si="995"/>
        <v>0</v>
      </c>
      <c r="O538" s="1" t="str">
        <f t="shared" si="995"/>
        <v>0</v>
      </c>
      <c r="P538" s="1" t="str">
        <f t="shared" si="995"/>
        <v>0</v>
      </c>
      <c r="Q538" s="1" t="str">
        <f t="shared" si="955"/>
        <v>0.0070</v>
      </c>
      <c r="R538" s="1" t="s">
        <v>25</v>
      </c>
      <c r="T538" s="1" t="str">
        <f t="shared" si="956"/>
        <v>0</v>
      </c>
      <c r="U538" s="1" t="str">
        <f t="shared" si="987"/>
        <v>0.0070</v>
      </c>
    </row>
    <row r="539" s="1" customFormat="1" spans="1:21">
      <c r="A539" s="1" t="str">
        <f>"4601991406873"</f>
        <v>4601991406873</v>
      </c>
      <c r="B539" s="1" t="s">
        <v>563</v>
      </c>
      <c r="C539" s="1" t="s">
        <v>24</v>
      </c>
      <c r="D539" s="1" t="str">
        <f t="shared" si="953"/>
        <v>2021</v>
      </c>
      <c r="E539" s="1" t="str">
        <f t="shared" ref="E539:P539" si="996">"0"</f>
        <v>0</v>
      </c>
      <c r="F539" s="1" t="str">
        <f t="shared" si="996"/>
        <v>0</v>
      </c>
      <c r="G539" s="1" t="str">
        <f t="shared" si="996"/>
        <v>0</v>
      </c>
      <c r="H539" s="1" t="str">
        <f t="shared" si="996"/>
        <v>0</v>
      </c>
      <c r="I539" s="1" t="str">
        <f t="shared" si="996"/>
        <v>0</v>
      </c>
      <c r="J539" s="1" t="str">
        <f t="shared" si="996"/>
        <v>0</v>
      </c>
      <c r="K539" s="1" t="str">
        <f t="shared" si="996"/>
        <v>0</v>
      </c>
      <c r="L539" s="1" t="str">
        <f t="shared" si="996"/>
        <v>0</v>
      </c>
      <c r="M539" s="1" t="str">
        <f t="shared" si="996"/>
        <v>0</v>
      </c>
      <c r="N539" s="1" t="str">
        <f t="shared" si="996"/>
        <v>0</v>
      </c>
      <c r="O539" s="1" t="str">
        <f t="shared" si="996"/>
        <v>0</v>
      </c>
      <c r="P539" s="1" t="str">
        <f t="shared" si="996"/>
        <v>0</v>
      </c>
      <c r="Q539" s="1" t="str">
        <f t="shared" si="955"/>
        <v>0.0070</v>
      </c>
      <c r="R539" s="1" t="s">
        <v>25</v>
      </c>
      <c r="T539" s="1" t="str">
        <f t="shared" si="956"/>
        <v>0</v>
      </c>
      <c r="U539" s="1" t="str">
        <f t="shared" si="987"/>
        <v>0.0070</v>
      </c>
    </row>
    <row r="540" s="1" customFormat="1" spans="1:21">
      <c r="A540" s="1" t="str">
        <f>"4601991406882"</f>
        <v>4601991406882</v>
      </c>
      <c r="B540" s="1" t="s">
        <v>564</v>
      </c>
      <c r="C540" s="1" t="s">
        <v>24</v>
      </c>
      <c r="D540" s="1" t="str">
        <f t="shared" si="953"/>
        <v>2021</v>
      </c>
      <c r="E540" s="1" t="str">
        <f>"19.34"</f>
        <v>19.34</v>
      </c>
      <c r="F540" s="1" t="str">
        <f t="shared" ref="F540:I540" si="997">"0"</f>
        <v>0</v>
      </c>
      <c r="G540" s="1" t="str">
        <f t="shared" si="997"/>
        <v>0</v>
      </c>
      <c r="H540" s="1" t="str">
        <f t="shared" si="997"/>
        <v>0</v>
      </c>
      <c r="I540" s="1" t="str">
        <f t="shared" si="997"/>
        <v>0</v>
      </c>
      <c r="J540" s="1" t="str">
        <f>"3"</f>
        <v>3</v>
      </c>
      <c r="K540" s="1" t="str">
        <f t="shared" ref="K540:P540" si="998">"0"</f>
        <v>0</v>
      </c>
      <c r="L540" s="1" t="str">
        <f t="shared" si="998"/>
        <v>0</v>
      </c>
      <c r="M540" s="1" t="str">
        <f t="shared" si="998"/>
        <v>0</v>
      </c>
      <c r="N540" s="1" t="str">
        <f t="shared" si="998"/>
        <v>0</v>
      </c>
      <c r="O540" s="1" t="str">
        <f t="shared" si="998"/>
        <v>0</v>
      </c>
      <c r="P540" s="1" t="str">
        <f t="shared" si="998"/>
        <v>0</v>
      </c>
      <c r="Q540" s="1" t="str">
        <f t="shared" si="955"/>
        <v>0.0070</v>
      </c>
      <c r="R540" s="1" t="s">
        <v>29</v>
      </c>
      <c r="S540" s="1">
        <v>-0.0014</v>
      </c>
      <c r="T540" s="1" t="str">
        <f t="shared" si="956"/>
        <v>0</v>
      </c>
      <c r="U540" s="1" t="str">
        <f t="shared" si="991"/>
        <v>0.0056</v>
      </c>
    </row>
    <row r="541" s="1" customFormat="1" spans="1:21">
      <c r="A541" s="1" t="str">
        <f>"4601991408176"</f>
        <v>4601991408176</v>
      </c>
      <c r="B541" s="1" t="s">
        <v>565</v>
      </c>
      <c r="C541" s="1" t="s">
        <v>24</v>
      </c>
      <c r="D541" s="1" t="str">
        <f t="shared" si="953"/>
        <v>2021</v>
      </c>
      <c r="E541" s="1" t="str">
        <f>"174.06"</f>
        <v>174.06</v>
      </c>
      <c r="F541" s="1" t="str">
        <f>"1285.52"</f>
        <v>1285.52</v>
      </c>
      <c r="G541" s="1" t="str">
        <f t="shared" ref="G541:L541" si="999">"0"</f>
        <v>0</v>
      </c>
      <c r="H541" s="1" t="str">
        <f t="shared" si="999"/>
        <v>0</v>
      </c>
      <c r="I541" s="1" t="str">
        <f>"7.3855"</f>
        <v>7.3855</v>
      </c>
      <c r="J541" s="1" t="str">
        <f>"18"</f>
        <v>18</v>
      </c>
      <c r="K541" s="1" t="str">
        <f>"1"</f>
        <v>1</v>
      </c>
      <c r="L541" s="1" t="str">
        <f t="shared" si="999"/>
        <v>0</v>
      </c>
      <c r="M541" s="1" t="str">
        <f>"0.0556"</f>
        <v>0.0556</v>
      </c>
      <c r="N541" s="1" t="str">
        <f t="shared" ref="N541:P541" si="1000">"0"</f>
        <v>0</v>
      </c>
      <c r="O541" s="1" t="str">
        <f t="shared" si="1000"/>
        <v>0</v>
      </c>
      <c r="P541" s="1" t="str">
        <f t="shared" si="1000"/>
        <v>0</v>
      </c>
      <c r="Q541" s="1" t="str">
        <f t="shared" si="955"/>
        <v>0.0070</v>
      </c>
      <c r="R541" s="1" t="s">
        <v>69</v>
      </c>
      <c r="S541" s="1" t="str">
        <f>"0.0014"</f>
        <v>0.0014</v>
      </c>
      <c r="T541" s="1" t="str">
        <f t="shared" si="956"/>
        <v>0</v>
      </c>
      <c r="U541" s="1" t="str">
        <f>"0.0084"</f>
        <v>0.0084</v>
      </c>
    </row>
    <row r="542" s="1" customFormat="1" spans="1:21">
      <c r="A542" s="1" t="str">
        <f>"4601991408181"</f>
        <v>4601991408181</v>
      </c>
      <c r="B542" s="1" t="s">
        <v>566</v>
      </c>
      <c r="C542" s="1" t="s">
        <v>24</v>
      </c>
      <c r="D542" s="1" t="str">
        <f t="shared" si="953"/>
        <v>2021</v>
      </c>
      <c r="E542" s="1" t="str">
        <f>"48.96"</f>
        <v>48.96</v>
      </c>
      <c r="F542" s="1" t="str">
        <f t="shared" ref="F542:I542" si="1001">"0"</f>
        <v>0</v>
      </c>
      <c r="G542" s="1" t="str">
        <f t="shared" si="1001"/>
        <v>0</v>
      </c>
      <c r="H542" s="1" t="str">
        <f t="shared" si="1001"/>
        <v>0</v>
      </c>
      <c r="I542" s="1" t="str">
        <f t="shared" si="1001"/>
        <v>0</v>
      </c>
      <c r="J542" s="1" t="str">
        <f>"9"</f>
        <v>9</v>
      </c>
      <c r="K542" s="1" t="str">
        <f t="shared" ref="K542:P542" si="1002">"0"</f>
        <v>0</v>
      </c>
      <c r="L542" s="1" t="str">
        <f t="shared" si="1002"/>
        <v>0</v>
      </c>
      <c r="M542" s="1" t="str">
        <f t="shared" si="1002"/>
        <v>0</v>
      </c>
      <c r="N542" s="1" t="str">
        <f t="shared" si="1002"/>
        <v>0</v>
      </c>
      <c r="O542" s="1" t="str">
        <f t="shared" si="1002"/>
        <v>0</v>
      </c>
      <c r="P542" s="1" t="str">
        <f t="shared" si="1002"/>
        <v>0</v>
      </c>
      <c r="Q542" s="1" t="str">
        <f t="shared" si="955"/>
        <v>0.0070</v>
      </c>
      <c r="R542" s="1" t="s">
        <v>29</v>
      </c>
      <c r="S542" s="1">
        <v>-0.0014</v>
      </c>
      <c r="T542" s="1" t="str">
        <f t="shared" si="956"/>
        <v>0</v>
      </c>
      <c r="U542" s="1" t="str">
        <f>"0.0056"</f>
        <v>0.0056</v>
      </c>
    </row>
    <row r="543" s="1" customFormat="1" spans="1:21">
      <c r="A543" s="1" t="str">
        <f>"4601991408193"</f>
        <v>4601991408193</v>
      </c>
      <c r="B543" s="1" t="s">
        <v>567</v>
      </c>
      <c r="C543" s="1" t="s">
        <v>24</v>
      </c>
      <c r="D543" s="1" t="str">
        <f t="shared" si="953"/>
        <v>2021</v>
      </c>
      <c r="E543" s="1" t="str">
        <f t="shared" ref="E543:P543" si="1003">"0"</f>
        <v>0</v>
      </c>
      <c r="F543" s="1" t="str">
        <f t="shared" si="1003"/>
        <v>0</v>
      </c>
      <c r="G543" s="1" t="str">
        <f t="shared" si="1003"/>
        <v>0</v>
      </c>
      <c r="H543" s="1" t="str">
        <f t="shared" si="1003"/>
        <v>0</v>
      </c>
      <c r="I543" s="1" t="str">
        <f t="shared" si="1003"/>
        <v>0</v>
      </c>
      <c r="J543" s="1" t="str">
        <f t="shared" si="1003"/>
        <v>0</v>
      </c>
      <c r="K543" s="1" t="str">
        <f t="shared" si="1003"/>
        <v>0</v>
      </c>
      <c r="L543" s="1" t="str">
        <f t="shared" si="1003"/>
        <v>0</v>
      </c>
      <c r="M543" s="1" t="str">
        <f t="shared" si="1003"/>
        <v>0</v>
      </c>
      <c r="N543" s="1" t="str">
        <f t="shared" si="1003"/>
        <v>0</v>
      </c>
      <c r="O543" s="1" t="str">
        <f t="shared" si="1003"/>
        <v>0</v>
      </c>
      <c r="P543" s="1" t="str">
        <f t="shared" si="1003"/>
        <v>0</v>
      </c>
      <c r="Q543" s="1" t="str">
        <f t="shared" si="955"/>
        <v>0.0070</v>
      </c>
      <c r="R543" s="1" t="s">
        <v>25</v>
      </c>
      <c r="T543" s="1" t="str">
        <f t="shared" si="956"/>
        <v>0</v>
      </c>
      <c r="U543" s="1" t="str">
        <f t="shared" ref="U543:U548" si="1004">"0.0070"</f>
        <v>0.0070</v>
      </c>
    </row>
    <row r="544" s="1" customFormat="1" spans="1:21">
      <c r="A544" s="1" t="str">
        <f>"4601991408072"</f>
        <v>4601991408072</v>
      </c>
      <c r="B544" s="1" t="s">
        <v>568</v>
      </c>
      <c r="C544" s="1" t="s">
        <v>24</v>
      </c>
      <c r="D544" s="1" t="str">
        <f t="shared" si="953"/>
        <v>2021</v>
      </c>
      <c r="E544" s="1" t="str">
        <f>"6707.74"</f>
        <v>6707.74</v>
      </c>
      <c r="F544" s="1" t="str">
        <f>"94817.58"</f>
        <v>94817.58</v>
      </c>
      <c r="G544" s="1" t="str">
        <f t="shared" ref="G544:P544" si="1005">"0"</f>
        <v>0</v>
      </c>
      <c r="H544" s="1" t="str">
        <f t="shared" si="1005"/>
        <v>0</v>
      </c>
      <c r="I544" s="1" t="str">
        <f>"14.1355"</f>
        <v>14.1355</v>
      </c>
      <c r="J544" s="1" t="str">
        <f>"489"</f>
        <v>489</v>
      </c>
      <c r="K544" s="1" t="str">
        <f t="shared" si="1005"/>
        <v>0</v>
      </c>
      <c r="L544" s="1" t="str">
        <f t="shared" si="1005"/>
        <v>0</v>
      </c>
      <c r="M544" s="1" t="str">
        <f t="shared" si="1005"/>
        <v>0</v>
      </c>
      <c r="N544" s="1" t="str">
        <f t="shared" si="1005"/>
        <v>0</v>
      </c>
      <c r="O544" s="1" t="str">
        <f t="shared" si="1005"/>
        <v>0</v>
      </c>
      <c r="P544" s="1" t="str">
        <f t="shared" si="1005"/>
        <v>0</v>
      </c>
      <c r="Q544" s="1" t="str">
        <f t="shared" si="955"/>
        <v>0.0070</v>
      </c>
      <c r="R544" s="1" t="s">
        <v>69</v>
      </c>
      <c r="S544" s="1" t="str">
        <f>"0.0014"</f>
        <v>0.0014</v>
      </c>
      <c r="T544" s="1" t="str">
        <f t="shared" si="956"/>
        <v>0</v>
      </c>
      <c r="U544" s="1" t="str">
        <f>"0.0084"</f>
        <v>0.0084</v>
      </c>
    </row>
    <row r="545" s="1" customFormat="1" spans="1:21">
      <c r="A545" s="1" t="str">
        <f>"4601991406903"</f>
        <v>4601991406903</v>
      </c>
      <c r="B545" s="1" t="s">
        <v>569</v>
      </c>
      <c r="C545" s="1" t="s">
        <v>24</v>
      </c>
      <c r="D545" s="1" t="str">
        <f t="shared" si="953"/>
        <v>2021</v>
      </c>
      <c r="E545" s="1" t="str">
        <f>"483.50"</f>
        <v>483.50</v>
      </c>
      <c r="F545" s="1" t="str">
        <f t="shared" ref="F545:I545" si="1006">"0"</f>
        <v>0</v>
      </c>
      <c r="G545" s="1" t="str">
        <f t="shared" si="1006"/>
        <v>0</v>
      </c>
      <c r="H545" s="1" t="str">
        <f t="shared" si="1006"/>
        <v>0</v>
      </c>
      <c r="I545" s="1" t="str">
        <f t="shared" si="1006"/>
        <v>0</v>
      </c>
      <c r="J545" s="1" t="str">
        <f>"44"</f>
        <v>44</v>
      </c>
      <c r="K545" s="1" t="str">
        <f t="shared" ref="K545:P545" si="1007">"0"</f>
        <v>0</v>
      </c>
      <c r="L545" s="1" t="str">
        <f t="shared" si="1007"/>
        <v>0</v>
      </c>
      <c r="M545" s="1" t="str">
        <f t="shared" si="1007"/>
        <v>0</v>
      </c>
      <c r="N545" s="1" t="str">
        <f t="shared" si="1007"/>
        <v>0</v>
      </c>
      <c r="O545" s="1" t="str">
        <f t="shared" si="1007"/>
        <v>0</v>
      </c>
      <c r="P545" s="1" t="str">
        <f t="shared" si="1007"/>
        <v>0</v>
      </c>
      <c r="Q545" s="1" t="str">
        <f t="shared" si="955"/>
        <v>0.0070</v>
      </c>
      <c r="R545" s="1" t="s">
        <v>29</v>
      </c>
      <c r="S545" s="1">
        <v>-0.0014</v>
      </c>
      <c r="T545" s="1" t="str">
        <f t="shared" si="956"/>
        <v>0</v>
      </c>
      <c r="U545" s="1" t="str">
        <f t="shared" ref="U545:U550" si="1008">"0.0056"</f>
        <v>0.0056</v>
      </c>
    </row>
    <row r="546" s="1" customFormat="1" spans="1:21">
      <c r="A546" s="1" t="str">
        <f>"4601991406965"</f>
        <v>4601991406965</v>
      </c>
      <c r="B546" s="1" t="s">
        <v>570</v>
      </c>
      <c r="C546" s="1" t="s">
        <v>24</v>
      </c>
      <c r="D546" s="1" t="str">
        <f t="shared" si="953"/>
        <v>2021</v>
      </c>
      <c r="E546" s="1" t="str">
        <f t="shared" ref="E546:P546" si="1009">"0"</f>
        <v>0</v>
      </c>
      <c r="F546" s="1" t="str">
        <f t="shared" si="1009"/>
        <v>0</v>
      </c>
      <c r="G546" s="1" t="str">
        <f t="shared" si="1009"/>
        <v>0</v>
      </c>
      <c r="H546" s="1" t="str">
        <f t="shared" si="1009"/>
        <v>0</v>
      </c>
      <c r="I546" s="1" t="str">
        <f t="shared" si="1009"/>
        <v>0</v>
      </c>
      <c r="J546" s="1" t="str">
        <f t="shared" si="1009"/>
        <v>0</v>
      </c>
      <c r="K546" s="1" t="str">
        <f t="shared" si="1009"/>
        <v>0</v>
      </c>
      <c r="L546" s="1" t="str">
        <f t="shared" si="1009"/>
        <v>0</v>
      </c>
      <c r="M546" s="1" t="str">
        <f t="shared" si="1009"/>
        <v>0</v>
      </c>
      <c r="N546" s="1" t="str">
        <f t="shared" si="1009"/>
        <v>0</v>
      </c>
      <c r="O546" s="1" t="str">
        <f t="shared" si="1009"/>
        <v>0</v>
      </c>
      <c r="P546" s="1" t="str">
        <f t="shared" si="1009"/>
        <v>0</v>
      </c>
      <c r="Q546" s="1" t="str">
        <f t="shared" si="955"/>
        <v>0.0070</v>
      </c>
      <c r="R546" s="1" t="s">
        <v>25</v>
      </c>
      <c r="T546" s="1" t="str">
        <f t="shared" si="956"/>
        <v>0</v>
      </c>
      <c r="U546" s="1" t="str">
        <f t="shared" si="1004"/>
        <v>0.0070</v>
      </c>
    </row>
    <row r="547" s="1" customFormat="1" spans="1:21">
      <c r="A547" s="1" t="str">
        <f>"4601991407559"</f>
        <v>4601991407559</v>
      </c>
      <c r="B547" s="1" t="s">
        <v>571</v>
      </c>
      <c r="C547" s="1" t="s">
        <v>24</v>
      </c>
      <c r="D547" s="1" t="str">
        <f t="shared" si="953"/>
        <v>2021</v>
      </c>
      <c r="E547" s="1" t="str">
        <f t="shared" ref="E547:P547" si="1010">"0"</f>
        <v>0</v>
      </c>
      <c r="F547" s="1" t="str">
        <f t="shared" si="1010"/>
        <v>0</v>
      </c>
      <c r="G547" s="1" t="str">
        <f t="shared" si="1010"/>
        <v>0</v>
      </c>
      <c r="H547" s="1" t="str">
        <f t="shared" si="1010"/>
        <v>0</v>
      </c>
      <c r="I547" s="1" t="str">
        <f t="shared" si="1010"/>
        <v>0</v>
      </c>
      <c r="J547" s="1" t="str">
        <f t="shared" si="1010"/>
        <v>0</v>
      </c>
      <c r="K547" s="1" t="str">
        <f t="shared" si="1010"/>
        <v>0</v>
      </c>
      <c r="L547" s="1" t="str">
        <f t="shared" si="1010"/>
        <v>0</v>
      </c>
      <c r="M547" s="1" t="str">
        <f t="shared" si="1010"/>
        <v>0</v>
      </c>
      <c r="N547" s="1" t="str">
        <f t="shared" si="1010"/>
        <v>0</v>
      </c>
      <c r="O547" s="1" t="str">
        <f t="shared" si="1010"/>
        <v>0</v>
      </c>
      <c r="P547" s="1" t="str">
        <f t="shared" si="1010"/>
        <v>0</v>
      </c>
      <c r="Q547" s="1" t="str">
        <f t="shared" si="955"/>
        <v>0.0070</v>
      </c>
      <c r="R547" s="1" t="s">
        <v>25</v>
      </c>
      <c r="T547" s="1" t="str">
        <f t="shared" si="956"/>
        <v>0</v>
      </c>
      <c r="U547" s="1" t="str">
        <f t="shared" si="1004"/>
        <v>0.0070</v>
      </c>
    </row>
    <row r="548" s="1" customFormat="1" spans="1:21">
      <c r="A548" s="1" t="str">
        <f>"4601991408220"</f>
        <v>4601991408220</v>
      </c>
      <c r="B548" s="1" t="s">
        <v>572</v>
      </c>
      <c r="C548" s="1" t="s">
        <v>24</v>
      </c>
      <c r="D548" s="1" t="str">
        <f t="shared" si="953"/>
        <v>2021</v>
      </c>
      <c r="E548" s="1" t="str">
        <f t="shared" ref="E548:P548" si="1011">"0"</f>
        <v>0</v>
      </c>
      <c r="F548" s="1" t="str">
        <f t="shared" si="1011"/>
        <v>0</v>
      </c>
      <c r="G548" s="1" t="str">
        <f t="shared" si="1011"/>
        <v>0</v>
      </c>
      <c r="H548" s="1" t="str">
        <f t="shared" si="1011"/>
        <v>0</v>
      </c>
      <c r="I548" s="1" t="str">
        <f t="shared" si="1011"/>
        <v>0</v>
      </c>
      <c r="J548" s="1" t="str">
        <f t="shared" si="1011"/>
        <v>0</v>
      </c>
      <c r="K548" s="1" t="str">
        <f t="shared" si="1011"/>
        <v>0</v>
      </c>
      <c r="L548" s="1" t="str">
        <f t="shared" si="1011"/>
        <v>0</v>
      </c>
      <c r="M548" s="1" t="str">
        <f t="shared" si="1011"/>
        <v>0</v>
      </c>
      <c r="N548" s="1" t="str">
        <f t="shared" si="1011"/>
        <v>0</v>
      </c>
      <c r="O548" s="1" t="str">
        <f t="shared" si="1011"/>
        <v>0</v>
      </c>
      <c r="P548" s="1" t="str">
        <f t="shared" si="1011"/>
        <v>0</v>
      </c>
      <c r="Q548" s="1" t="str">
        <f t="shared" si="955"/>
        <v>0.0070</v>
      </c>
      <c r="R548" s="1" t="s">
        <v>25</v>
      </c>
      <c r="T548" s="1" t="str">
        <f t="shared" si="956"/>
        <v>0</v>
      </c>
      <c r="U548" s="1" t="str">
        <f t="shared" si="1004"/>
        <v>0.0070</v>
      </c>
    </row>
    <row r="549" s="1" customFormat="1" spans="1:21">
      <c r="A549" s="1" t="str">
        <f>"4601991407548"</f>
        <v>4601991407548</v>
      </c>
      <c r="B549" s="1" t="s">
        <v>573</v>
      </c>
      <c r="C549" s="1" t="s">
        <v>24</v>
      </c>
      <c r="D549" s="1" t="str">
        <f t="shared" si="953"/>
        <v>2021</v>
      </c>
      <c r="E549" s="1" t="str">
        <f>"441.79"</f>
        <v>441.79</v>
      </c>
      <c r="F549" s="1" t="str">
        <f t="shared" ref="F549:I549" si="1012">"0"</f>
        <v>0</v>
      </c>
      <c r="G549" s="1" t="str">
        <f t="shared" si="1012"/>
        <v>0</v>
      </c>
      <c r="H549" s="1" t="str">
        <f t="shared" si="1012"/>
        <v>0</v>
      </c>
      <c r="I549" s="1" t="str">
        <f t="shared" si="1012"/>
        <v>0</v>
      </c>
      <c r="J549" s="1" t="str">
        <f>"36"</f>
        <v>36</v>
      </c>
      <c r="K549" s="1" t="str">
        <f t="shared" ref="K549:P549" si="1013">"0"</f>
        <v>0</v>
      </c>
      <c r="L549" s="1" t="str">
        <f t="shared" si="1013"/>
        <v>0</v>
      </c>
      <c r="M549" s="1" t="str">
        <f t="shared" si="1013"/>
        <v>0</v>
      </c>
      <c r="N549" s="1" t="str">
        <f t="shared" si="1013"/>
        <v>0</v>
      </c>
      <c r="O549" s="1" t="str">
        <f t="shared" si="1013"/>
        <v>0</v>
      </c>
      <c r="P549" s="1" t="str">
        <f t="shared" si="1013"/>
        <v>0</v>
      </c>
      <c r="Q549" s="1" t="str">
        <f t="shared" si="955"/>
        <v>0.0070</v>
      </c>
      <c r="R549" s="1" t="s">
        <v>29</v>
      </c>
      <c r="S549" s="1">
        <v>-0.0014</v>
      </c>
      <c r="T549" s="1" t="str">
        <f t="shared" si="956"/>
        <v>0</v>
      </c>
      <c r="U549" s="1" t="str">
        <f t="shared" si="1008"/>
        <v>0.0056</v>
      </c>
    </row>
    <row r="550" s="1" customFormat="1" spans="1:21">
      <c r="A550" s="1" t="str">
        <f>"4601991415196"</f>
        <v>4601991415196</v>
      </c>
      <c r="B550" s="1" t="s">
        <v>574</v>
      </c>
      <c r="C550" s="1" t="s">
        <v>24</v>
      </c>
      <c r="D550" s="1" t="str">
        <f t="shared" si="953"/>
        <v>2021</v>
      </c>
      <c r="E550" s="1" t="str">
        <f>"38.68"</f>
        <v>38.68</v>
      </c>
      <c r="F550" s="1" t="str">
        <f t="shared" ref="F550:I550" si="1014">"0"</f>
        <v>0</v>
      </c>
      <c r="G550" s="1" t="str">
        <f t="shared" si="1014"/>
        <v>0</v>
      </c>
      <c r="H550" s="1" t="str">
        <f t="shared" si="1014"/>
        <v>0</v>
      </c>
      <c r="I550" s="1" t="str">
        <f t="shared" si="1014"/>
        <v>0</v>
      </c>
      <c r="J550" s="1" t="str">
        <f>"4"</f>
        <v>4</v>
      </c>
      <c r="K550" s="1" t="str">
        <f t="shared" ref="K550:P550" si="1015">"0"</f>
        <v>0</v>
      </c>
      <c r="L550" s="1" t="str">
        <f t="shared" si="1015"/>
        <v>0</v>
      </c>
      <c r="M550" s="1" t="str">
        <f t="shared" si="1015"/>
        <v>0</v>
      </c>
      <c r="N550" s="1" t="str">
        <f t="shared" si="1015"/>
        <v>0</v>
      </c>
      <c r="O550" s="1" t="str">
        <f t="shared" si="1015"/>
        <v>0</v>
      </c>
      <c r="P550" s="1" t="str">
        <f t="shared" si="1015"/>
        <v>0</v>
      </c>
      <c r="Q550" s="1" t="str">
        <f t="shared" si="955"/>
        <v>0.0070</v>
      </c>
      <c r="R550" s="1" t="s">
        <v>29</v>
      </c>
      <c r="S550" s="1">
        <v>-0.0014</v>
      </c>
      <c r="T550" s="1" t="str">
        <f t="shared" si="956"/>
        <v>0</v>
      </c>
      <c r="U550" s="1" t="str">
        <f t="shared" si="1008"/>
        <v>0.0056</v>
      </c>
    </row>
    <row r="551" s="1" customFormat="1" spans="1:21">
      <c r="A551" s="1" t="str">
        <f>"4601991415877"</f>
        <v>4601991415877</v>
      </c>
      <c r="B551" s="1" t="s">
        <v>575</v>
      </c>
      <c r="C551" s="1" t="s">
        <v>24</v>
      </c>
      <c r="D551" s="1" t="str">
        <f t="shared" si="953"/>
        <v>2021</v>
      </c>
      <c r="E551" s="1" t="str">
        <f t="shared" ref="E551:P551" si="1016">"0"</f>
        <v>0</v>
      </c>
      <c r="F551" s="1" t="str">
        <f t="shared" si="1016"/>
        <v>0</v>
      </c>
      <c r="G551" s="1" t="str">
        <f t="shared" si="1016"/>
        <v>0</v>
      </c>
      <c r="H551" s="1" t="str">
        <f t="shared" si="1016"/>
        <v>0</v>
      </c>
      <c r="I551" s="1" t="str">
        <f t="shared" si="1016"/>
        <v>0</v>
      </c>
      <c r="J551" s="1" t="str">
        <f t="shared" si="1016"/>
        <v>0</v>
      </c>
      <c r="K551" s="1" t="str">
        <f t="shared" si="1016"/>
        <v>0</v>
      </c>
      <c r="L551" s="1" t="str">
        <f t="shared" si="1016"/>
        <v>0</v>
      </c>
      <c r="M551" s="1" t="str">
        <f t="shared" si="1016"/>
        <v>0</v>
      </c>
      <c r="N551" s="1" t="str">
        <f t="shared" si="1016"/>
        <v>0</v>
      </c>
      <c r="O551" s="1" t="str">
        <f t="shared" si="1016"/>
        <v>0</v>
      </c>
      <c r="P551" s="1" t="str">
        <f t="shared" si="1016"/>
        <v>0</v>
      </c>
      <c r="Q551" s="1" t="str">
        <f t="shared" si="955"/>
        <v>0.0070</v>
      </c>
      <c r="R551" s="1" t="s">
        <v>25</v>
      </c>
      <c r="T551" s="1" t="str">
        <f t="shared" si="956"/>
        <v>0</v>
      </c>
      <c r="U551" s="1" t="str">
        <f t="shared" ref="U551:U556" si="1017">"0.0070"</f>
        <v>0.0070</v>
      </c>
    </row>
    <row r="552" s="1" customFormat="1" spans="1:21">
      <c r="A552" s="1" t="str">
        <f>"4601991414065"</f>
        <v>4601991414065</v>
      </c>
      <c r="B552" s="1" t="s">
        <v>576</v>
      </c>
      <c r="C552" s="1" t="s">
        <v>24</v>
      </c>
      <c r="D552" s="1" t="str">
        <f t="shared" si="953"/>
        <v>2021</v>
      </c>
      <c r="E552" s="1" t="str">
        <f t="shared" ref="E552:P552" si="1018">"0"</f>
        <v>0</v>
      </c>
      <c r="F552" s="1" t="str">
        <f t="shared" si="1018"/>
        <v>0</v>
      </c>
      <c r="G552" s="1" t="str">
        <f t="shared" si="1018"/>
        <v>0</v>
      </c>
      <c r="H552" s="1" t="str">
        <f t="shared" si="1018"/>
        <v>0</v>
      </c>
      <c r="I552" s="1" t="str">
        <f t="shared" si="1018"/>
        <v>0</v>
      </c>
      <c r="J552" s="1" t="str">
        <f t="shared" si="1018"/>
        <v>0</v>
      </c>
      <c r="K552" s="1" t="str">
        <f t="shared" si="1018"/>
        <v>0</v>
      </c>
      <c r="L552" s="1" t="str">
        <f t="shared" si="1018"/>
        <v>0</v>
      </c>
      <c r="M552" s="1" t="str">
        <f t="shared" si="1018"/>
        <v>0</v>
      </c>
      <c r="N552" s="1" t="str">
        <f t="shared" si="1018"/>
        <v>0</v>
      </c>
      <c r="O552" s="1" t="str">
        <f t="shared" si="1018"/>
        <v>0</v>
      </c>
      <c r="P552" s="1" t="str">
        <f t="shared" si="1018"/>
        <v>0</v>
      </c>
      <c r="Q552" s="1" t="str">
        <f t="shared" si="955"/>
        <v>0.0070</v>
      </c>
      <c r="R552" s="1" t="s">
        <v>25</v>
      </c>
      <c r="T552" s="1" t="str">
        <f t="shared" si="956"/>
        <v>0</v>
      </c>
      <c r="U552" s="1" t="str">
        <f t="shared" si="1017"/>
        <v>0.0070</v>
      </c>
    </row>
    <row r="553" s="1" customFormat="1" spans="1:21">
      <c r="A553" s="1" t="str">
        <f>"4601991414682"</f>
        <v>4601991414682</v>
      </c>
      <c r="B553" s="1" t="s">
        <v>577</v>
      </c>
      <c r="C553" s="1" t="s">
        <v>24</v>
      </c>
      <c r="D553" s="1" t="str">
        <f t="shared" si="953"/>
        <v>2021</v>
      </c>
      <c r="E553" s="1" t="str">
        <f>"9.67"</f>
        <v>9.67</v>
      </c>
      <c r="F553" s="1" t="str">
        <f t="shared" ref="F553:I553" si="1019">"0"</f>
        <v>0</v>
      </c>
      <c r="G553" s="1" t="str">
        <f t="shared" si="1019"/>
        <v>0</v>
      </c>
      <c r="H553" s="1" t="str">
        <f t="shared" si="1019"/>
        <v>0</v>
      </c>
      <c r="I553" s="1" t="str">
        <f t="shared" si="1019"/>
        <v>0</v>
      </c>
      <c r="J553" s="1" t="str">
        <f>"1"</f>
        <v>1</v>
      </c>
      <c r="K553" s="1" t="str">
        <f t="shared" ref="K553:P553" si="1020">"0"</f>
        <v>0</v>
      </c>
      <c r="L553" s="1" t="str">
        <f t="shared" si="1020"/>
        <v>0</v>
      </c>
      <c r="M553" s="1" t="str">
        <f t="shared" si="1020"/>
        <v>0</v>
      </c>
      <c r="N553" s="1" t="str">
        <f t="shared" si="1020"/>
        <v>0</v>
      </c>
      <c r="O553" s="1" t="str">
        <f t="shared" si="1020"/>
        <v>0</v>
      </c>
      <c r="P553" s="1" t="str">
        <f t="shared" si="1020"/>
        <v>0</v>
      </c>
      <c r="Q553" s="1" t="str">
        <f t="shared" si="955"/>
        <v>0.0070</v>
      </c>
      <c r="R553" s="1" t="s">
        <v>29</v>
      </c>
      <c r="S553" s="1">
        <v>-0.0014</v>
      </c>
      <c r="T553" s="1" t="str">
        <f t="shared" si="956"/>
        <v>0</v>
      </c>
      <c r="U553" s="1" t="str">
        <f t="shared" ref="U553:U555" si="1021">"0.0056"</f>
        <v>0.0056</v>
      </c>
    </row>
    <row r="554" s="1" customFormat="1" spans="1:21">
      <c r="A554" s="1" t="str">
        <f>"4601991414713"</f>
        <v>4601991414713</v>
      </c>
      <c r="B554" s="1" t="s">
        <v>578</v>
      </c>
      <c r="C554" s="1" t="s">
        <v>24</v>
      </c>
      <c r="D554" s="1" t="str">
        <f t="shared" si="953"/>
        <v>2021</v>
      </c>
      <c r="E554" s="1" t="str">
        <f>"19.34"</f>
        <v>19.34</v>
      </c>
      <c r="F554" s="1" t="str">
        <f t="shared" ref="F554:I554" si="1022">"0"</f>
        <v>0</v>
      </c>
      <c r="G554" s="1" t="str">
        <f t="shared" si="1022"/>
        <v>0</v>
      </c>
      <c r="H554" s="1" t="str">
        <f t="shared" si="1022"/>
        <v>0</v>
      </c>
      <c r="I554" s="1" t="str">
        <f t="shared" si="1022"/>
        <v>0</v>
      </c>
      <c r="J554" s="1" t="str">
        <f>"2"</f>
        <v>2</v>
      </c>
      <c r="K554" s="1" t="str">
        <f t="shared" ref="K554:P554" si="1023">"0"</f>
        <v>0</v>
      </c>
      <c r="L554" s="1" t="str">
        <f t="shared" si="1023"/>
        <v>0</v>
      </c>
      <c r="M554" s="1" t="str">
        <f t="shared" si="1023"/>
        <v>0</v>
      </c>
      <c r="N554" s="1" t="str">
        <f t="shared" si="1023"/>
        <v>0</v>
      </c>
      <c r="O554" s="1" t="str">
        <f t="shared" si="1023"/>
        <v>0</v>
      </c>
      <c r="P554" s="1" t="str">
        <f t="shared" si="1023"/>
        <v>0</v>
      </c>
      <c r="Q554" s="1" t="str">
        <f t="shared" si="955"/>
        <v>0.0070</v>
      </c>
      <c r="R554" s="1" t="s">
        <v>29</v>
      </c>
      <c r="S554" s="1">
        <v>-0.0014</v>
      </c>
      <c r="T554" s="1" t="str">
        <f t="shared" si="956"/>
        <v>0</v>
      </c>
      <c r="U554" s="1" t="str">
        <f t="shared" si="1021"/>
        <v>0.0056</v>
      </c>
    </row>
    <row r="555" s="1" customFormat="1" spans="1:21">
      <c r="A555" s="1" t="str">
        <f>"4601991414623"</f>
        <v>4601991414623</v>
      </c>
      <c r="B555" s="1" t="s">
        <v>579</v>
      </c>
      <c r="C555" s="1" t="s">
        <v>24</v>
      </c>
      <c r="D555" s="1" t="str">
        <f t="shared" si="953"/>
        <v>2021</v>
      </c>
      <c r="E555" s="1" t="str">
        <f>"19.34"</f>
        <v>19.34</v>
      </c>
      <c r="F555" s="1" t="str">
        <f t="shared" ref="F555:I555" si="1024">"0"</f>
        <v>0</v>
      </c>
      <c r="G555" s="1" t="str">
        <f t="shared" si="1024"/>
        <v>0</v>
      </c>
      <c r="H555" s="1" t="str">
        <f t="shared" si="1024"/>
        <v>0</v>
      </c>
      <c r="I555" s="1" t="str">
        <f t="shared" si="1024"/>
        <v>0</v>
      </c>
      <c r="J555" s="1" t="str">
        <f>"2"</f>
        <v>2</v>
      </c>
      <c r="K555" s="1" t="str">
        <f t="shared" ref="K555:P555" si="1025">"0"</f>
        <v>0</v>
      </c>
      <c r="L555" s="1" t="str">
        <f t="shared" si="1025"/>
        <v>0</v>
      </c>
      <c r="M555" s="1" t="str">
        <f t="shared" si="1025"/>
        <v>0</v>
      </c>
      <c r="N555" s="1" t="str">
        <f t="shared" si="1025"/>
        <v>0</v>
      </c>
      <c r="O555" s="1" t="str">
        <f t="shared" si="1025"/>
        <v>0</v>
      </c>
      <c r="P555" s="1" t="str">
        <f t="shared" si="1025"/>
        <v>0</v>
      </c>
      <c r="Q555" s="1" t="str">
        <f t="shared" si="955"/>
        <v>0.0070</v>
      </c>
      <c r="R555" s="1" t="s">
        <v>29</v>
      </c>
      <c r="S555" s="1">
        <v>-0.0014</v>
      </c>
      <c r="T555" s="1" t="str">
        <f t="shared" si="956"/>
        <v>0</v>
      </c>
      <c r="U555" s="1" t="str">
        <f t="shared" si="1021"/>
        <v>0.0056</v>
      </c>
    </row>
    <row r="556" s="1" customFormat="1" spans="1:21">
      <c r="A556" s="1" t="str">
        <f>"4601991414695"</f>
        <v>4601991414695</v>
      </c>
      <c r="B556" s="1" t="s">
        <v>580</v>
      </c>
      <c r="C556" s="1" t="s">
        <v>24</v>
      </c>
      <c r="D556" s="1" t="str">
        <f t="shared" si="953"/>
        <v>2021</v>
      </c>
      <c r="E556" s="1" t="str">
        <f t="shared" ref="E556:P556" si="1026">"0"</f>
        <v>0</v>
      </c>
      <c r="F556" s="1" t="str">
        <f t="shared" si="1026"/>
        <v>0</v>
      </c>
      <c r="G556" s="1" t="str">
        <f t="shared" si="1026"/>
        <v>0</v>
      </c>
      <c r="H556" s="1" t="str">
        <f t="shared" si="1026"/>
        <v>0</v>
      </c>
      <c r="I556" s="1" t="str">
        <f t="shared" si="1026"/>
        <v>0</v>
      </c>
      <c r="J556" s="1" t="str">
        <f t="shared" si="1026"/>
        <v>0</v>
      </c>
      <c r="K556" s="1" t="str">
        <f t="shared" si="1026"/>
        <v>0</v>
      </c>
      <c r="L556" s="1" t="str">
        <f t="shared" si="1026"/>
        <v>0</v>
      </c>
      <c r="M556" s="1" t="str">
        <f t="shared" si="1026"/>
        <v>0</v>
      </c>
      <c r="N556" s="1" t="str">
        <f t="shared" si="1026"/>
        <v>0</v>
      </c>
      <c r="O556" s="1" t="str">
        <f t="shared" si="1026"/>
        <v>0</v>
      </c>
      <c r="P556" s="1" t="str">
        <f t="shared" si="1026"/>
        <v>0</v>
      </c>
      <c r="Q556" s="1" t="str">
        <f t="shared" si="955"/>
        <v>0.0070</v>
      </c>
      <c r="R556" s="1" t="s">
        <v>25</v>
      </c>
      <c r="T556" s="1" t="str">
        <f t="shared" si="956"/>
        <v>0</v>
      </c>
      <c r="U556" s="1" t="str">
        <f t="shared" si="1017"/>
        <v>0.0070</v>
      </c>
    </row>
    <row r="557" s="1" customFormat="1" spans="1:21">
      <c r="A557" s="1" t="str">
        <f>"4601991415317"</f>
        <v>4601991415317</v>
      </c>
      <c r="B557" s="1" t="s">
        <v>581</v>
      </c>
      <c r="C557" s="1" t="s">
        <v>24</v>
      </c>
      <c r="D557" s="1" t="str">
        <f t="shared" si="953"/>
        <v>2021</v>
      </c>
      <c r="E557" s="1" t="str">
        <f>"164.39"</f>
        <v>164.39</v>
      </c>
      <c r="F557" s="1" t="str">
        <f t="shared" ref="F557:I557" si="1027">"0"</f>
        <v>0</v>
      </c>
      <c r="G557" s="1" t="str">
        <f t="shared" si="1027"/>
        <v>0</v>
      </c>
      <c r="H557" s="1" t="str">
        <f t="shared" si="1027"/>
        <v>0</v>
      </c>
      <c r="I557" s="1" t="str">
        <f t="shared" si="1027"/>
        <v>0</v>
      </c>
      <c r="J557" s="1" t="str">
        <f>"17"</f>
        <v>17</v>
      </c>
      <c r="K557" s="1" t="str">
        <f t="shared" ref="K557:P557" si="1028">"0"</f>
        <v>0</v>
      </c>
      <c r="L557" s="1" t="str">
        <f t="shared" si="1028"/>
        <v>0</v>
      </c>
      <c r="M557" s="1" t="str">
        <f t="shared" si="1028"/>
        <v>0</v>
      </c>
      <c r="N557" s="1" t="str">
        <f t="shared" si="1028"/>
        <v>0</v>
      </c>
      <c r="O557" s="1" t="str">
        <f t="shared" si="1028"/>
        <v>0</v>
      </c>
      <c r="P557" s="1" t="str">
        <f t="shared" si="1028"/>
        <v>0</v>
      </c>
      <c r="Q557" s="1" t="str">
        <f t="shared" si="955"/>
        <v>0.0070</v>
      </c>
      <c r="R557" s="1" t="s">
        <v>29</v>
      </c>
      <c r="S557" s="1">
        <v>-0.0014</v>
      </c>
      <c r="T557" s="1" t="str">
        <f t="shared" si="956"/>
        <v>0</v>
      </c>
      <c r="U557" s="1" t="str">
        <f t="shared" ref="U557:U561" si="1029">"0.0056"</f>
        <v>0.0056</v>
      </c>
    </row>
    <row r="558" s="1" customFormat="1" spans="1:21">
      <c r="A558" s="1" t="str">
        <f>"4601991413488"</f>
        <v>4601991413488</v>
      </c>
      <c r="B558" s="1" t="s">
        <v>582</v>
      </c>
      <c r="C558" s="1" t="s">
        <v>24</v>
      </c>
      <c r="D558" s="1" t="str">
        <f t="shared" si="953"/>
        <v>2021</v>
      </c>
      <c r="E558" s="1" t="str">
        <f>"29.01"</f>
        <v>29.01</v>
      </c>
      <c r="F558" s="1" t="str">
        <f t="shared" ref="F558:I558" si="1030">"0"</f>
        <v>0</v>
      </c>
      <c r="G558" s="1" t="str">
        <f t="shared" si="1030"/>
        <v>0</v>
      </c>
      <c r="H558" s="1" t="str">
        <f t="shared" si="1030"/>
        <v>0</v>
      </c>
      <c r="I558" s="1" t="str">
        <f t="shared" si="1030"/>
        <v>0</v>
      </c>
      <c r="J558" s="1" t="str">
        <f>"3"</f>
        <v>3</v>
      </c>
      <c r="K558" s="1" t="str">
        <f t="shared" ref="K558:P558" si="1031">"0"</f>
        <v>0</v>
      </c>
      <c r="L558" s="1" t="str">
        <f t="shared" si="1031"/>
        <v>0</v>
      </c>
      <c r="M558" s="1" t="str">
        <f t="shared" si="1031"/>
        <v>0</v>
      </c>
      <c r="N558" s="1" t="str">
        <f t="shared" si="1031"/>
        <v>0</v>
      </c>
      <c r="O558" s="1" t="str">
        <f t="shared" si="1031"/>
        <v>0</v>
      </c>
      <c r="P558" s="1" t="str">
        <f t="shared" si="1031"/>
        <v>0</v>
      </c>
      <c r="Q558" s="1" t="str">
        <f t="shared" si="955"/>
        <v>0.0070</v>
      </c>
      <c r="R558" s="1" t="s">
        <v>29</v>
      </c>
      <c r="S558" s="1">
        <v>-0.0014</v>
      </c>
      <c r="T558" s="1" t="str">
        <f t="shared" si="956"/>
        <v>0</v>
      </c>
      <c r="U558" s="1" t="str">
        <f t="shared" si="1029"/>
        <v>0.0056</v>
      </c>
    </row>
    <row r="559" s="1" customFormat="1" spans="1:21">
      <c r="A559" s="1" t="str">
        <f>"4601991415342"</f>
        <v>4601991415342</v>
      </c>
      <c r="B559" s="1" t="s">
        <v>583</v>
      </c>
      <c r="C559" s="1" t="s">
        <v>24</v>
      </c>
      <c r="D559" s="1" t="str">
        <f t="shared" si="953"/>
        <v>2021</v>
      </c>
      <c r="E559" s="1" t="str">
        <f t="shared" ref="E559:P559" si="1032">"0"</f>
        <v>0</v>
      </c>
      <c r="F559" s="1" t="str">
        <f t="shared" si="1032"/>
        <v>0</v>
      </c>
      <c r="G559" s="1" t="str">
        <f t="shared" si="1032"/>
        <v>0</v>
      </c>
      <c r="H559" s="1" t="str">
        <f t="shared" si="1032"/>
        <v>0</v>
      </c>
      <c r="I559" s="1" t="str">
        <f t="shared" si="1032"/>
        <v>0</v>
      </c>
      <c r="J559" s="1" t="str">
        <f t="shared" si="1032"/>
        <v>0</v>
      </c>
      <c r="K559" s="1" t="str">
        <f t="shared" si="1032"/>
        <v>0</v>
      </c>
      <c r="L559" s="1" t="str">
        <f t="shared" si="1032"/>
        <v>0</v>
      </c>
      <c r="M559" s="1" t="str">
        <f t="shared" si="1032"/>
        <v>0</v>
      </c>
      <c r="N559" s="1" t="str">
        <f t="shared" si="1032"/>
        <v>0</v>
      </c>
      <c r="O559" s="1" t="str">
        <f t="shared" si="1032"/>
        <v>0</v>
      </c>
      <c r="P559" s="1" t="str">
        <f t="shared" si="1032"/>
        <v>0</v>
      </c>
      <c r="Q559" s="1" t="str">
        <f t="shared" si="955"/>
        <v>0.0070</v>
      </c>
      <c r="R559" s="1" t="s">
        <v>25</v>
      </c>
      <c r="T559" s="1" t="str">
        <f t="shared" si="956"/>
        <v>0</v>
      </c>
      <c r="U559" s="1" t="str">
        <f t="shared" ref="U559:U564" si="1033">"0.0070"</f>
        <v>0.0070</v>
      </c>
    </row>
    <row r="560" s="1" customFormat="1" spans="1:21">
      <c r="A560" s="1" t="str">
        <f>"4601991413501"</f>
        <v>4601991413501</v>
      </c>
      <c r="B560" s="1" t="s">
        <v>584</v>
      </c>
      <c r="C560" s="1" t="s">
        <v>24</v>
      </c>
      <c r="D560" s="1" t="str">
        <f t="shared" si="953"/>
        <v>2021</v>
      </c>
      <c r="E560" s="1" t="str">
        <f>"38.32"</f>
        <v>38.32</v>
      </c>
      <c r="F560" s="1" t="str">
        <f t="shared" ref="F560:I560" si="1034">"0"</f>
        <v>0</v>
      </c>
      <c r="G560" s="1" t="str">
        <f t="shared" si="1034"/>
        <v>0</v>
      </c>
      <c r="H560" s="1" t="str">
        <f t="shared" si="1034"/>
        <v>0</v>
      </c>
      <c r="I560" s="1" t="str">
        <f t="shared" si="1034"/>
        <v>0</v>
      </c>
      <c r="J560" s="1" t="str">
        <f>"4"</f>
        <v>4</v>
      </c>
      <c r="K560" s="1" t="str">
        <f t="shared" ref="K560:P560" si="1035">"0"</f>
        <v>0</v>
      </c>
      <c r="L560" s="1" t="str">
        <f t="shared" si="1035"/>
        <v>0</v>
      </c>
      <c r="M560" s="1" t="str">
        <f t="shared" si="1035"/>
        <v>0</v>
      </c>
      <c r="N560" s="1" t="str">
        <f t="shared" si="1035"/>
        <v>0</v>
      </c>
      <c r="O560" s="1" t="str">
        <f t="shared" si="1035"/>
        <v>0</v>
      </c>
      <c r="P560" s="1" t="str">
        <f t="shared" si="1035"/>
        <v>0</v>
      </c>
      <c r="Q560" s="1" t="str">
        <f t="shared" si="955"/>
        <v>0.0070</v>
      </c>
      <c r="R560" s="1" t="s">
        <v>29</v>
      </c>
      <c r="S560" s="1">
        <v>-0.0014</v>
      </c>
      <c r="T560" s="1" t="str">
        <f t="shared" si="956"/>
        <v>0</v>
      </c>
      <c r="U560" s="1" t="str">
        <f t="shared" si="1029"/>
        <v>0.0056</v>
      </c>
    </row>
    <row r="561" s="1" customFormat="1" spans="1:21">
      <c r="A561" s="1" t="str">
        <f>"4601991414127"</f>
        <v>4601991414127</v>
      </c>
      <c r="B561" s="1" t="s">
        <v>585</v>
      </c>
      <c r="C561" s="1" t="s">
        <v>24</v>
      </c>
      <c r="D561" s="1" t="str">
        <f t="shared" si="953"/>
        <v>2021</v>
      </c>
      <c r="E561" s="1" t="str">
        <f>"228.38"</f>
        <v>228.38</v>
      </c>
      <c r="F561" s="1" t="str">
        <f t="shared" ref="F561:I561" si="1036">"0"</f>
        <v>0</v>
      </c>
      <c r="G561" s="1" t="str">
        <f t="shared" si="1036"/>
        <v>0</v>
      </c>
      <c r="H561" s="1" t="str">
        <f t="shared" si="1036"/>
        <v>0</v>
      </c>
      <c r="I561" s="1" t="str">
        <f t="shared" si="1036"/>
        <v>0</v>
      </c>
      <c r="J561" s="1" t="str">
        <f>"23"</f>
        <v>23</v>
      </c>
      <c r="K561" s="1" t="str">
        <f t="shared" ref="K561:P561" si="1037">"0"</f>
        <v>0</v>
      </c>
      <c r="L561" s="1" t="str">
        <f t="shared" si="1037"/>
        <v>0</v>
      </c>
      <c r="M561" s="1" t="str">
        <f t="shared" si="1037"/>
        <v>0</v>
      </c>
      <c r="N561" s="1" t="str">
        <f t="shared" si="1037"/>
        <v>0</v>
      </c>
      <c r="O561" s="1" t="str">
        <f t="shared" si="1037"/>
        <v>0</v>
      </c>
      <c r="P561" s="1" t="str">
        <f t="shared" si="1037"/>
        <v>0</v>
      </c>
      <c r="Q561" s="1" t="str">
        <f t="shared" si="955"/>
        <v>0.0070</v>
      </c>
      <c r="R561" s="1" t="s">
        <v>29</v>
      </c>
      <c r="S561" s="1">
        <v>-0.0014</v>
      </c>
      <c r="T561" s="1" t="str">
        <f t="shared" si="956"/>
        <v>0</v>
      </c>
      <c r="U561" s="1" t="str">
        <f t="shared" si="1029"/>
        <v>0.0056</v>
      </c>
    </row>
    <row r="562" s="1" customFormat="1" spans="1:21">
      <c r="A562" s="1" t="str">
        <f>"4601991414131"</f>
        <v>4601991414131</v>
      </c>
      <c r="B562" s="1" t="s">
        <v>586</v>
      </c>
      <c r="C562" s="1" t="s">
        <v>24</v>
      </c>
      <c r="D562" s="1" t="str">
        <f t="shared" si="953"/>
        <v>2021</v>
      </c>
      <c r="E562" s="1" t="str">
        <f t="shared" ref="E562:P562" si="1038">"0"</f>
        <v>0</v>
      </c>
      <c r="F562" s="1" t="str">
        <f t="shared" si="1038"/>
        <v>0</v>
      </c>
      <c r="G562" s="1" t="str">
        <f t="shared" si="1038"/>
        <v>0</v>
      </c>
      <c r="H562" s="1" t="str">
        <f t="shared" si="1038"/>
        <v>0</v>
      </c>
      <c r="I562" s="1" t="str">
        <f t="shared" si="1038"/>
        <v>0</v>
      </c>
      <c r="J562" s="1" t="str">
        <f t="shared" si="1038"/>
        <v>0</v>
      </c>
      <c r="K562" s="1" t="str">
        <f t="shared" si="1038"/>
        <v>0</v>
      </c>
      <c r="L562" s="1" t="str">
        <f t="shared" si="1038"/>
        <v>0</v>
      </c>
      <c r="M562" s="1" t="str">
        <f t="shared" si="1038"/>
        <v>0</v>
      </c>
      <c r="N562" s="1" t="str">
        <f t="shared" si="1038"/>
        <v>0</v>
      </c>
      <c r="O562" s="1" t="str">
        <f t="shared" si="1038"/>
        <v>0</v>
      </c>
      <c r="P562" s="1" t="str">
        <f t="shared" si="1038"/>
        <v>0</v>
      </c>
      <c r="Q562" s="1" t="str">
        <f t="shared" si="955"/>
        <v>0.0070</v>
      </c>
      <c r="R562" s="1" t="s">
        <v>25</v>
      </c>
      <c r="T562" s="1" t="str">
        <f t="shared" si="956"/>
        <v>0</v>
      </c>
      <c r="U562" s="1" t="str">
        <f t="shared" si="1033"/>
        <v>0.0070</v>
      </c>
    </row>
    <row r="563" s="1" customFormat="1" spans="1:21">
      <c r="A563" s="1" t="str">
        <f>"4601991415388"</f>
        <v>4601991415388</v>
      </c>
      <c r="B563" s="1" t="s">
        <v>587</v>
      </c>
      <c r="C563" s="1" t="s">
        <v>24</v>
      </c>
      <c r="D563" s="1" t="str">
        <f t="shared" si="953"/>
        <v>2021</v>
      </c>
      <c r="E563" s="1" t="str">
        <f>"212.74"</f>
        <v>212.74</v>
      </c>
      <c r="F563" s="1" t="str">
        <f t="shared" ref="F563:I563" si="1039">"0"</f>
        <v>0</v>
      </c>
      <c r="G563" s="1" t="str">
        <f t="shared" si="1039"/>
        <v>0</v>
      </c>
      <c r="H563" s="1" t="str">
        <f t="shared" si="1039"/>
        <v>0</v>
      </c>
      <c r="I563" s="1" t="str">
        <f t="shared" si="1039"/>
        <v>0</v>
      </c>
      <c r="J563" s="1" t="str">
        <f>"23"</f>
        <v>23</v>
      </c>
      <c r="K563" s="1" t="str">
        <f t="shared" ref="K563:P563" si="1040">"0"</f>
        <v>0</v>
      </c>
      <c r="L563" s="1" t="str">
        <f t="shared" si="1040"/>
        <v>0</v>
      </c>
      <c r="M563" s="1" t="str">
        <f t="shared" si="1040"/>
        <v>0</v>
      </c>
      <c r="N563" s="1" t="str">
        <f t="shared" si="1040"/>
        <v>0</v>
      </c>
      <c r="O563" s="1" t="str">
        <f t="shared" si="1040"/>
        <v>0</v>
      </c>
      <c r="P563" s="1" t="str">
        <f t="shared" si="1040"/>
        <v>0</v>
      </c>
      <c r="Q563" s="1" t="str">
        <f t="shared" si="955"/>
        <v>0.0070</v>
      </c>
      <c r="R563" s="1" t="s">
        <v>29</v>
      </c>
      <c r="S563" s="1">
        <v>-0.0014</v>
      </c>
      <c r="T563" s="1" t="str">
        <f t="shared" si="956"/>
        <v>0</v>
      </c>
      <c r="U563" s="1" t="str">
        <f t="shared" ref="U563:U566" si="1041">"0.0056"</f>
        <v>0.0056</v>
      </c>
    </row>
    <row r="564" s="1" customFormat="1" spans="1:21">
      <c r="A564" s="1" t="str">
        <f>"4601991414175"</f>
        <v>4601991414175</v>
      </c>
      <c r="B564" s="1" t="s">
        <v>588</v>
      </c>
      <c r="C564" s="1" t="s">
        <v>24</v>
      </c>
      <c r="D564" s="1" t="str">
        <f t="shared" si="953"/>
        <v>2021</v>
      </c>
      <c r="E564" s="1" t="str">
        <f t="shared" ref="E564:P564" si="1042">"0"</f>
        <v>0</v>
      </c>
      <c r="F564" s="1" t="str">
        <f t="shared" si="1042"/>
        <v>0</v>
      </c>
      <c r="G564" s="1" t="str">
        <f t="shared" si="1042"/>
        <v>0</v>
      </c>
      <c r="H564" s="1" t="str">
        <f t="shared" si="1042"/>
        <v>0</v>
      </c>
      <c r="I564" s="1" t="str">
        <f t="shared" si="1042"/>
        <v>0</v>
      </c>
      <c r="J564" s="1" t="str">
        <f t="shared" si="1042"/>
        <v>0</v>
      </c>
      <c r="K564" s="1" t="str">
        <f t="shared" si="1042"/>
        <v>0</v>
      </c>
      <c r="L564" s="1" t="str">
        <f t="shared" si="1042"/>
        <v>0</v>
      </c>
      <c r="M564" s="1" t="str">
        <f t="shared" si="1042"/>
        <v>0</v>
      </c>
      <c r="N564" s="1" t="str">
        <f t="shared" si="1042"/>
        <v>0</v>
      </c>
      <c r="O564" s="1" t="str">
        <f t="shared" si="1042"/>
        <v>0</v>
      </c>
      <c r="P564" s="1" t="str">
        <f t="shared" si="1042"/>
        <v>0</v>
      </c>
      <c r="Q564" s="1" t="str">
        <f t="shared" si="955"/>
        <v>0.0070</v>
      </c>
      <c r="R564" s="1" t="s">
        <v>25</v>
      </c>
      <c r="T564" s="1" t="str">
        <f t="shared" si="956"/>
        <v>0</v>
      </c>
      <c r="U564" s="1" t="str">
        <f t="shared" si="1033"/>
        <v>0.0070</v>
      </c>
    </row>
    <row r="565" s="1" customFormat="1" spans="1:21">
      <c r="A565" s="1" t="str">
        <f>"4601991414746"</f>
        <v>4601991414746</v>
      </c>
      <c r="B565" s="1" t="s">
        <v>589</v>
      </c>
      <c r="C565" s="1" t="s">
        <v>24</v>
      </c>
      <c r="D565" s="1" t="str">
        <f t="shared" si="953"/>
        <v>2021</v>
      </c>
      <c r="E565" s="1" t="str">
        <f>"116.04"</f>
        <v>116.04</v>
      </c>
      <c r="F565" s="1" t="str">
        <f t="shared" ref="F565:I565" si="1043">"0"</f>
        <v>0</v>
      </c>
      <c r="G565" s="1" t="str">
        <f t="shared" si="1043"/>
        <v>0</v>
      </c>
      <c r="H565" s="1" t="str">
        <f t="shared" si="1043"/>
        <v>0</v>
      </c>
      <c r="I565" s="1" t="str">
        <f t="shared" si="1043"/>
        <v>0</v>
      </c>
      <c r="J565" s="1" t="str">
        <f>"8"</f>
        <v>8</v>
      </c>
      <c r="K565" s="1" t="str">
        <f t="shared" ref="K565:P565" si="1044">"0"</f>
        <v>0</v>
      </c>
      <c r="L565" s="1" t="str">
        <f t="shared" si="1044"/>
        <v>0</v>
      </c>
      <c r="M565" s="1" t="str">
        <f t="shared" si="1044"/>
        <v>0</v>
      </c>
      <c r="N565" s="1" t="str">
        <f t="shared" si="1044"/>
        <v>0</v>
      </c>
      <c r="O565" s="1" t="str">
        <f t="shared" si="1044"/>
        <v>0</v>
      </c>
      <c r="P565" s="1" t="str">
        <f t="shared" si="1044"/>
        <v>0</v>
      </c>
      <c r="Q565" s="1" t="str">
        <f t="shared" si="955"/>
        <v>0.0070</v>
      </c>
      <c r="R565" s="1" t="s">
        <v>29</v>
      </c>
      <c r="S565" s="1">
        <v>-0.0014</v>
      </c>
      <c r="T565" s="1" t="str">
        <f t="shared" si="956"/>
        <v>0</v>
      </c>
      <c r="U565" s="1" t="str">
        <f t="shared" si="1041"/>
        <v>0.0056</v>
      </c>
    </row>
    <row r="566" s="1" customFormat="1" spans="1:21">
      <c r="A566" s="1" t="str">
        <f>"4601991414165"</f>
        <v>4601991414165</v>
      </c>
      <c r="B566" s="1" t="s">
        <v>590</v>
      </c>
      <c r="C566" s="1" t="s">
        <v>24</v>
      </c>
      <c r="D566" s="1" t="str">
        <f t="shared" si="953"/>
        <v>2021</v>
      </c>
      <c r="E566" s="1" t="str">
        <f>"19.34"</f>
        <v>19.34</v>
      </c>
      <c r="F566" s="1" t="str">
        <f t="shared" ref="F566:I566" si="1045">"0"</f>
        <v>0</v>
      </c>
      <c r="G566" s="1" t="str">
        <f t="shared" si="1045"/>
        <v>0</v>
      </c>
      <c r="H566" s="1" t="str">
        <f t="shared" si="1045"/>
        <v>0</v>
      </c>
      <c r="I566" s="1" t="str">
        <f t="shared" si="1045"/>
        <v>0</v>
      </c>
      <c r="J566" s="1" t="str">
        <f>"2"</f>
        <v>2</v>
      </c>
      <c r="K566" s="1" t="str">
        <f t="shared" ref="K566:P566" si="1046">"0"</f>
        <v>0</v>
      </c>
      <c r="L566" s="1" t="str">
        <f t="shared" si="1046"/>
        <v>0</v>
      </c>
      <c r="M566" s="1" t="str">
        <f t="shared" si="1046"/>
        <v>0</v>
      </c>
      <c r="N566" s="1" t="str">
        <f t="shared" si="1046"/>
        <v>0</v>
      </c>
      <c r="O566" s="1" t="str">
        <f t="shared" si="1046"/>
        <v>0</v>
      </c>
      <c r="P566" s="1" t="str">
        <f t="shared" si="1046"/>
        <v>0</v>
      </c>
      <c r="Q566" s="1" t="str">
        <f t="shared" si="955"/>
        <v>0.0070</v>
      </c>
      <c r="R566" s="1" t="s">
        <v>29</v>
      </c>
      <c r="S566" s="1">
        <v>-0.0014</v>
      </c>
      <c r="T566" s="1" t="str">
        <f t="shared" si="956"/>
        <v>0</v>
      </c>
      <c r="U566" s="1" t="str">
        <f t="shared" si="1041"/>
        <v>0.0056</v>
      </c>
    </row>
    <row r="567" s="1" customFormat="1" spans="1:21">
      <c r="A567" s="1" t="str">
        <f>"4601991414795"</f>
        <v>4601991414795</v>
      </c>
      <c r="B567" s="1" t="s">
        <v>591</v>
      </c>
      <c r="C567" s="1" t="s">
        <v>24</v>
      </c>
      <c r="D567" s="1" t="str">
        <f t="shared" si="953"/>
        <v>2021</v>
      </c>
      <c r="E567" s="1" t="str">
        <f t="shared" ref="E567:P567" si="1047">"0"</f>
        <v>0</v>
      </c>
      <c r="F567" s="1" t="str">
        <f t="shared" si="1047"/>
        <v>0</v>
      </c>
      <c r="G567" s="1" t="str">
        <f t="shared" si="1047"/>
        <v>0</v>
      </c>
      <c r="H567" s="1" t="str">
        <f t="shared" si="1047"/>
        <v>0</v>
      </c>
      <c r="I567" s="1" t="str">
        <f t="shared" si="1047"/>
        <v>0</v>
      </c>
      <c r="J567" s="1" t="str">
        <f t="shared" si="1047"/>
        <v>0</v>
      </c>
      <c r="K567" s="1" t="str">
        <f t="shared" si="1047"/>
        <v>0</v>
      </c>
      <c r="L567" s="1" t="str">
        <f t="shared" si="1047"/>
        <v>0</v>
      </c>
      <c r="M567" s="1" t="str">
        <f t="shared" si="1047"/>
        <v>0</v>
      </c>
      <c r="N567" s="1" t="str">
        <f t="shared" si="1047"/>
        <v>0</v>
      </c>
      <c r="O567" s="1" t="str">
        <f t="shared" si="1047"/>
        <v>0</v>
      </c>
      <c r="P567" s="1" t="str">
        <f t="shared" si="1047"/>
        <v>0</v>
      </c>
      <c r="Q567" s="1" t="str">
        <f t="shared" si="955"/>
        <v>0.0070</v>
      </c>
      <c r="R567" s="1" t="s">
        <v>25</v>
      </c>
      <c r="T567" s="1" t="str">
        <f t="shared" si="956"/>
        <v>0</v>
      </c>
      <c r="U567" s="1" t="str">
        <f t="shared" ref="U567:U572" si="1048">"0.0070"</f>
        <v>0.0070</v>
      </c>
    </row>
    <row r="568" s="1" customFormat="1" spans="1:21">
      <c r="A568" s="1" t="str">
        <f>"4601991414173"</f>
        <v>4601991414173</v>
      </c>
      <c r="B568" s="1" t="s">
        <v>592</v>
      </c>
      <c r="C568" s="1" t="s">
        <v>24</v>
      </c>
      <c r="D568" s="1" t="str">
        <f t="shared" si="953"/>
        <v>2021</v>
      </c>
      <c r="E568" s="1" t="str">
        <f>"116.04"</f>
        <v>116.04</v>
      </c>
      <c r="F568" s="1" t="str">
        <f t="shared" ref="F568:I568" si="1049">"0"</f>
        <v>0</v>
      </c>
      <c r="G568" s="1" t="str">
        <f t="shared" si="1049"/>
        <v>0</v>
      </c>
      <c r="H568" s="1" t="str">
        <f t="shared" si="1049"/>
        <v>0</v>
      </c>
      <c r="I568" s="1" t="str">
        <f t="shared" si="1049"/>
        <v>0</v>
      </c>
      <c r="J568" s="1" t="str">
        <f>"12"</f>
        <v>12</v>
      </c>
      <c r="K568" s="1" t="str">
        <f t="shared" ref="K568:P568" si="1050">"0"</f>
        <v>0</v>
      </c>
      <c r="L568" s="1" t="str">
        <f t="shared" si="1050"/>
        <v>0</v>
      </c>
      <c r="M568" s="1" t="str">
        <f t="shared" si="1050"/>
        <v>0</v>
      </c>
      <c r="N568" s="1" t="str">
        <f t="shared" si="1050"/>
        <v>0</v>
      </c>
      <c r="O568" s="1" t="str">
        <f t="shared" si="1050"/>
        <v>0</v>
      </c>
      <c r="P568" s="1" t="str">
        <f t="shared" si="1050"/>
        <v>0</v>
      </c>
      <c r="Q568" s="1" t="str">
        <f t="shared" si="955"/>
        <v>0.0070</v>
      </c>
      <c r="R568" s="1" t="s">
        <v>29</v>
      </c>
      <c r="S568" s="1">
        <v>-0.0014</v>
      </c>
      <c r="T568" s="1" t="str">
        <f t="shared" si="956"/>
        <v>0</v>
      </c>
      <c r="U568" s="1" t="str">
        <f>"0.0056"</f>
        <v>0.0056</v>
      </c>
    </row>
    <row r="569" s="1" customFormat="1" spans="1:21">
      <c r="A569" s="1" t="str">
        <f>"4601991414825"</f>
        <v>4601991414825</v>
      </c>
      <c r="B569" s="1" t="s">
        <v>593</v>
      </c>
      <c r="C569" s="1" t="s">
        <v>24</v>
      </c>
      <c r="D569" s="1" t="str">
        <f t="shared" si="953"/>
        <v>2021</v>
      </c>
      <c r="E569" s="1" t="str">
        <f t="shared" ref="E569:I569" si="1051">"0"</f>
        <v>0</v>
      </c>
      <c r="F569" s="1" t="str">
        <f t="shared" si="1051"/>
        <v>0</v>
      </c>
      <c r="G569" s="1" t="str">
        <f t="shared" si="1051"/>
        <v>0</v>
      </c>
      <c r="H569" s="1" t="str">
        <f t="shared" si="1051"/>
        <v>0</v>
      </c>
      <c r="I569" s="1" t="str">
        <f t="shared" si="1051"/>
        <v>0</v>
      </c>
      <c r="J569" s="1" t="str">
        <f>"1"</f>
        <v>1</v>
      </c>
      <c r="K569" s="1" t="str">
        <f t="shared" ref="K569:P569" si="1052">"0"</f>
        <v>0</v>
      </c>
      <c r="L569" s="1" t="str">
        <f t="shared" si="1052"/>
        <v>0</v>
      </c>
      <c r="M569" s="1" t="str">
        <f t="shared" si="1052"/>
        <v>0</v>
      </c>
      <c r="N569" s="1" t="str">
        <f t="shared" si="1052"/>
        <v>0</v>
      </c>
      <c r="O569" s="1" t="str">
        <f t="shared" si="1052"/>
        <v>0</v>
      </c>
      <c r="P569" s="1" t="str">
        <f t="shared" si="1052"/>
        <v>0</v>
      </c>
      <c r="Q569" s="1" t="str">
        <f t="shared" si="955"/>
        <v>0.0070</v>
      </c>
      <c r="R569" s="1" t="s">
        <v>25</v>
      </c>
      <c r="T569" s="1" t="str">
        <f t="shared" si="956"/>
        <v>0</v>
      </c>
      <c r="U569" s="1" t="str">
        <f t="shared" si="1048"/>
        <v>0.0070</v>
      </c>
    </row>
    <row r="570" s="1" customFormat="1" spans="1:21">
      <c r="A570" s="1" t="str">
        <f>"4601991415459"</f>
        <v>4601991415459</v>
      </c>
      <c r="B570" s="1" t="s">
        <v>594</v>
      </c>
      <c r="C570" s="1" t="s">
        <v>24</v>
      </c>
      <c r="D570" s="1" t="str">
        <f t="shared" si="953"/>
        <v>2021</v>
      </c>
      <c r="E570" s="1" t="str">
        <f t="shared" ref="E570:P570" si="1053">"0"</f>
        <v>0</v>
      </c>
      <c r="F570" s="1" t="str">
        <f t="shared" si="1053"/>
        <v>0</v>
      </c>
      <c r="G570" s="1" t="str">
        <f t="shared" si="1053"/>
        <v>0</v>
      </c>
      <c r="H570" s="1" t="str">
        <f t="shared" si="1053"/>
        <v>0</v>
      </c>
      <c r="I570" s="1" t="str">
        <f t="shared" si="1053"/>
        <v>0</v>
      </c>
      <c r="J570" s="1" t="str">
        <f t="shared" si="1053"/>
        <v>0</v>
      </c>
      <c r="K570" s="1" t="str">
        <f t="shared" si="1053"/>
        <v>0</v>
      </c>
      <c r="L570" s="1" t="str">
        <f t="shared" si="1053"/>
        <v>0</v>
      </c>
      <c r="M570" s="1" t="str">
        <f t="shared" si="1053"/>
        <v>0</v>
      </c>
      <c r="N570" s="1" t="str">
        <f t="shared" si="1053"/>
        <v>0</v>
      </c>
      <c r="O570" s="1" t="str">
        <f t="shared" si="1053"/>
        <v>0</v>
      </c>
      <c r="P570" s="1" t="str">
        <f t="shared" si="1053"/>
        <v>0</v>
      </c>
      <c r="Q570" s="1" t="str">
        <f t="shared" si="955"/>
        <v>0.0070</v>
      </c>
      <c r="R570" s="1" t="s">
        <v>25</v>
      </c>
      <c r="T570" s="1" t="str">
        <f t="shared" si="956"/>
        <v>0</v>
      </c>
      <c r="U570" s="1" t="str">
        <f t="shared" si="1048"/>
        <v>0.0070</v>
      </c>
    </row>
    <row r="571" s="1" customFormat="1" spans="1:21">
      <c r="A571" s="1" t="str">
        <f>"4601991414828"</f>
        <v>4601991414828</v>
      </c>
      <c r="B571" s="1" t="s">
        <v>595</v>
      </c>
      <c r="C571" s="1" t="s">
        <v>24</v>
      </c>
      <c r="D571" s="1" t="str">
        <f t="shared" si="953"/>
        <v>2021</v>
      </c>
      <c r="E571" s="1" t="str">
        <f t="shared" ref="E571:P571" si="1054">"0"</f>
        <v>0</v>
      </c>
      <c r="F571" s="1" t="str">
        <f t="shared" si="1054"/>
        <v>0</v>
      </c>
      <c r="G571" s="1" t="str">
        <f t="shared" si="1054"/>
        <v>0</v>
      </c>
      <c r="H571" s="1" t="str">
        <f t="shared" si="1054"/>
        <v>0</v>
      </c>
      <c r="I571" s="1" t="str">
        <f t="shared" si="1054"/>
        <v>0</v>
      </c>
      <c r="J571" s="1" t="str">
        <f t="shared" si="1054"/>
        <v>0</v>
      </c>
      <c r="K571" s="1" t="str">
        <f t="shared" si="1054"/>
        <v>0</v>
      </c>
      <c r="L571" s="1" t="str">
        <f t="shared" si="1054"/>
        <v>0</v>
      </c>
      <c r="M571" s="1" t="str">
        <f t="shared" si="1054"/>
        <v>0</v>
      </c>
      <c r="N571" s="1" t="str">
        <f t="shared" si="1054"/>
        <v>0</v>
      </c>
      <c r="O571" s="1" t="str">
        <f t="shared" si="1054"/>
        <v>0</v>
      </c>
      <c r="P571" s="1" t="str">
        <f t="shared" si="1054"/>
        <v>0</v>
      </c>
      <c r="Q571" s="1" t="str">
        <f t="shared" si="955"/>
        <v>0.0070</v>
      </c>
      <c r="R571" s="1" t="s">
        <v>25</v>
      </c>
      <c r="T571" s="1" t="str">
        <f t="shared" si="956"/>
        <v>0</v>
      </c>
      <c r="U571" s="1" t="str">
        <f t="shared" si="1048"/>
        <v>0.0070</v>
      </c>
    </row>
    <row r="572" s="1" customFormat="1" spans="1:21">
      <c r="A572" s="1" t="str">
        <f>"4601991414256"</f>
        <v>4601991414256</v>
      </c>
      <c r="B572" s="1" t="s">
        <v>596</v>
      </c>
      <c r="C572" s="1" t="s">
        <v>24</v>
      </c>
      <c r="D572" s="1" t="str">
        <f t="shared" si="953"/>
        <v>2021</v>
      </c>
      <c r="E572" s="1" t="str">
        <f t="shared" ref="E572:P572" si="1055">"0"</f>
        <v>0</v>
      </c>
      <c r="F572" s="1" t="str">
        <f t="shared" si="1055"/>
        <v>0</v>
      </c>
      <c r="G572" s="1" t="str">
        <f t="shared" si="1055"/>
        <v>0</v>
      </c>
      <c r="H572" s="1" t="str">
        <f t="shared" si="1055"/>
        <v>0</v>
      </c>
      <c r="I572" s="1" t="str">
        <f t="shared" si="1055"/>
        <v>0</v>
      </c>
      <c r="J572" s="1" t="str">
        <f t="shared" si="1055"/>
        <v>0</v>
      </c>
      <c r="K572" s="1" t="str">
        <f t="shared" si="1055"/>
        <v>0</v>
      </c>
      <c r="L572" s="1" t="str">
        <f t="shared" si="1055"/>
        <v>0</v>
      </c>
      <c r="M572" s="1" t="str">
        <f t="shared" si="1055"/>
        <v>0</v>
      </c>
      <c r="N572" s="1" t="str">
        <f t="shared" si="1055"/>
        <v>0</v>
      </c>
      <c r="O572" s="1" t="str">
        <f t="shared" si="1055"/>
        <v>0</v>
      </c>
      <c r="P572" s="1" t="str">
        <f t="shared" si="1055"/>
        <v>0</v>
      </c>
      <c r="Q572" s="1" t="str">
        <f t="shared" si="955"/>
        <v>0.0070</v>
      </c>
      <c r="R572" s="1" t="s">
        <v>25</v>
      </c>
      <c r="T572" s="1" t="str">
        <f t="shared" si="956"/>
        <v>0</v>
      </c>
      <c r="U572" s="1" t="str">
        <f t="shared" si="1048"/>
        <v>0.0070</v>
      </c>
    </row>
    <row r="573" s="1" customFormat="1" spans="1:21">
      <c r="A573" s="1" t="str">
        <f>"4601991415483"</f>
        <v>4601991415483</v>
      </c>
      <c r="B573" s="1" t="s">
        <v>597</v>
      </c>
      <c r="C573" s="1" t="s">
        <v>24</v>
      </c>
      <c r="D573" s="1" t="str">
        <f t="shared" si="953"/>
        <v>2021</v>
      </c>
      <c r="E573" s="1" t="str">
        <f>"38.59"</f>
        <v>38.59</v>
      </c>
      <c r="F573" s="1" t="str">
        <f t="shared" ref="F573:I573" si="1056">"0"</f>
        <v>0</v>
      </c>
      <c r="G573" s="1" t="str">
        <f t="shared" si="1056"/>
        <v>0</v>
      </c>
      <c r="H573" s="1" t="str">
        <f t="shared" si="1056"/>
        <v>0</v>
      </c>
      <c r="I573" s="1" t="str">
        <f t="shared" si="1056"/>
        <v>0</v>
      </c>
      <c r="J573" s="1" t="str">
        <f>"4"</f>
        <v>4</v>
      </c>
      <c r="K573" s="1" t="str">
        <f t="shared" ref="K573:P573" si="1057">"0"</f>
        <v>0</v>
      </c>
      <c r="L573" s="1" t="str">
        <f t="shared" si="1057"/>
        <v>0</v>
      </c>
      <c r="M573" s="1" t="str">
        <f t="shared" si="1057"/>
        <v>0</v>
      </c>
      <c r="N573" s="1" t="str">
        <f t="shared" si="1057"/>
        <v>0</v>
      </c>
      <c r="O573" s="1" t="str">
        <f t="shared" si="1057"/>
        <v>0</v>
      </c>
      <c r="P573" s="1" t="str">
        <f t="shared" si="1057"/>
        <v>0</v>
      </c>
      <c r="Q573" s="1" t="str">
        <f t="shared" si="955"/>
        <v>0.0070</v>
      </c>
      <c r="R573" s="1" t="s">
        <v>29</v>
      </c>
      <c r="S573" s="1">
        <v>-0.0014</v>
      </c>
      <c r="T573" s="1" t="str">
        <f t="shared" si="956"/>
        <v>0</v>
      </c>
      <c r="U573" s="1" t="str">
        <f t="shared" ref="U573:U579" si="1058">"0.0056"</f>
        <v>0.0056</v>
      </c>
    </row>
    <row r="574" s="1" customFormat="1" spans="1:21">
      <c r="A574" s="1" t="str">
        <f>"4601991414268"</f>
        <v>4601991414268</v>
      </c>
      <c r="B574" s="1" t="s">
        <v>598</v>
      </c>
      <c r="C574" s="1" t="s">
        <v>24</v>
      </c>
      <c r="D574" s="1" t="str">
        <f t="shared" si="953"/>
        <v>2021</v>
      </c>
      <c r="E574" s="1" t="str">
        <f>"116.04"</f>
        <v>116.04</v>
      </c>
      <c r="F574" s="1" t="str">
        <f t="shared" ref="F574:I574" si="1059">"0"</f>
        <v>0</v>
      </c>
      <c r="G574" s="1" t="str">
        <f t="shared" si="1059"/>
        <v>0</v>
      </c>
      <c r="H574" s="1" t="str">
        <f t="shared" si="1059"/>
        <v>0</v>
      </c>
      <c r="I574" s="1" t="str">
        <f t="shared" si="1059"/>
        <v>0</v>
      </c>
      <c r="J574" s="1" t="str">
        <f>"11"</f>
        <v>11</v>
      </c>
      <c r="K574" s="1" t="str">
        <f t="shared" ref="K574:P574" si="1060">"0"</f>
        <v>0</v>
      </c>
      <c r="L574" s="1" t="str">
        <f t="shared" si="1060"/>
        <v>0</v>
      </c>
      <c r="M574" s="1" t="str">
        <f t="shared" si="1060"/>
        <v>0</v>
      </c>
      <c r="N574" s="1" t="str">
        <f t="shared" si="1060"/>
        <v>0</v>
      </c>
      <c r="O574" s="1" t="str">
        <f t="shared" si="1060"/>
        <v>0</v>
      </c>
      <c r="P574" s="1" t="str">
        <f t="shared" si="1060"/>
        <v>0</v>
      </c>
      <c r="Q574" s="1" t="str">
        <f t="shared" si="955"/>
        <v>0.0070</v>
      </c>
      <c r="R574" s="1" t="s">
        <v>29</v>
      </c>
      <c r="S574" s="1">
        <v>-0.0014</v>
      </c>
      <c r="T574" s="1" t="str">
        <f t="shared" si="956"/>
        <v>0</v>
      </c>
      <c r="U574" s="1" t="str">
        <f t="shared" si="1058"/>
        <v>0.0056</v>
      </c>
    </row>
    <row r="575" s="1" customFormat="1" spans="1:21">
      <c r="A575" s="1" t="str">
        <f>"4601991414879"</f>
        <v>4601991414879</v>
      </c>
      <c r="B575" s="1" t="s">
        <v>599</v>
      </c>
      <c r="C575" s="1" t="s">
        <v>24</v>
      </c>
      <c r="D575" s="1" t="str">
        <f t="shared" si="953"/>
        <v>2021</v>
      </c>
      <c r="E575" s="1" t="str">
        <f t="shared" ref="E575:P575" si="1061">"0"</f>
        <v>0</v>
      </c>
      <c r="F575" s="1" t="str">
        <f t="shared" si="1061"/>
        <v>0</v>
      </c>
      <c r="G575" s="1" t="str">
        <f t="shared" si="1061"/>
        <v>0</v>
      </c>
      <c r="H575" s="1" t="str">
        <f t="shared" si="1061"/>
        <v>0</v>
      </c>
      <c r="I575" s="1" t="str">
        <f t="shared" si="1061"/>
        <v>0</v>
      </c>
      <c r="J575" s="1" t="str">
        <f t="shared" si="1061"/>
        <v>0</v>
      </c>
      <c r="K575" s="1" t="str">
        <f t="shared" si="1061"/>
        <v>0</v>
      </c>
      <c r="L575" s="1" t="str">
        <f t="shared" si="1061"/>
        <v>0</v>
      </c>
      <c r="M575" s="1" t="str">
        <f t="shared" si="1061"/>
        <v>0</v>
      </c>
      <c r="N575" s="1" t="str">
        <f t="shared" si="1061"/>
        <v>0</v>
      </c>
      <c r="O575" s="1" t="str">
        <f t="shared" si="1061"/>
        <v>0</v>
      </c>
      <c r="P575" s="1" t="str">
        <f t="shared" si="1061"/>
        <v>0</v>
      </c>
      <c r="Q575" s="1" t="str">
        <f t="shared" si="955"/>
        <v>0.0070</v>
      </c>
      <c r="R575" s="1" t="s">
        <v>25</v>
      </c>
      <c r="T575" s="1" t="str">
        <f t="shared" si="956"/>
        <v>0</v>
      </c>
      <c r="U575" s="1" t="str">
        <f t="shared" ref="U575:U577" si="1062">"0.0070"</f>
        <v>0.0070</v>
      </c>
    </row>
    <row r="576" s="1" customFormat="1" spans="1:21">
      <c r="A576" s="1" t="str">
        <f>"4601991413698"</f>
        <v>4601991413698</v>
      </c>
      <c r="B576" s="1" t="s">
        <v>600</v>
      </c>
      <c r="C576" s="1" t="s">
        <v>24</v>
      </c>
      <c r="D576" s="1" t="str">
        <f t="shared" si="953"/>
        <v>2021</v>
      </c>
      <c r="E576" s="1" t="str">
        <f t="shared" ref="E576:P576" si="1063">"0"</f>
        <v>0</v>
      </c>
      <c r="F576" s="1" t="str">
        <f t="shared" si="1063"/>
        <v>0</v>
      </c>
      <c r="G576" s="1" t="str">
        <f t="shared" si="1063"/>
        <v>0</v>
      </c>
      <c r="H576" s="1" t="str">
        <f t="shared" si="1063"/>
        <v>0</v>
      </c>
      <c r="I576" s="1" t="str">
        <f t="shared" si="1063"/>
        <v>0</v>
      </c>
      <c r="J576" s="1" t="str">
        <f t="shared" si="1063"/>
        <v>0</v>
      </c>
      <c r="K576" s="1" t="str">
        <f t="shared" si="1063"/>
        <v>0</v>
      </c>
      <c r="L576" s="1" t="str">
        <f t="shared" si="1063"/>
        <v>0</v>
      </c>
      <c r="M576" s="1" t="str">
        <f t="shared" si="1063"/>
        <v>0</v>
      </c>
      <c r="N576" s="1" t="str">
        <f t="shared" si="1063"/>
        <v>0</v>
      </c>
      <c r="O576" s="1" t="str">
        <f t="shared" si="1063"/>
        <v>0</v>
      </c>
      <c r="P576" s="1" t="str">
        <f t="shared" si="1063"/>
        <v>0</v>
      </c>
      <c r="Q576" s="1" t="str">
        <f t="shared" si="955"/>
        <v>0.0070</v>
      </c>
      <c r="R576" s="1" t="s">
        <v>25</v>
      </c>
      <c r="T576" s="1" t="str">
        <f t="shared" si="956"/>
        <v>0</v>
      </c>
      <c r="U576" s="1" t="str">
        <f t="shared" si="1062"/>
        <v>0.0070</v>
      </c>
    </row>
    <row r="577" s="1" customFormat="1" spans="1:21">
      <c r="A577" s="1" t="str">
        <f>"4601991413754"</f>
        <v>4601991413754</v>
      </c>
      <c r="B577" s="1" t="s">
        <v>601</v>
      </c>
      <c r="C577" s="1" t="s">
        <v>24</v>
      </c>
      <c r="D577" s="1" t="str">
        <f t="shared" si="953"/>
        <v>2021</v>
      </c>
      <c r="E577" s="1" t="str">
        <f t="shared" ref="E577:P577" si="1064">"0"</f>
        <v>0</v>
      </c>
      <c r="F577" s="1" t="str">
        <f t="shared" si="1064"/>
        <v>0</v>
      </c>
      <c r="G577" s="1" t="str">
        <f t="shared" si="1064"/>
        <v>0</v>
      </c>
      <c r="H577" s="1" t="str">
        <f t="shared" si="1064"/>
        <v>0</v>
      </c>
      <c r="I577" s="1" t="str">
        <f t="shared" si="1064"/>
        <v>0</v>
      </c>
      <c r="J577" s="1" t="str">
        <f t="shared" si="1064"/>
        <v>0</v>
      </c>
      <c r="K577" s="1" t="str">
        <f t="shared" si="1064"/>
        <v>0</v>
      </c>
      <c r="L577" s="1" t="str">
        <f t="shared" si="1064"/>
        <v>0</v>
      </c>
      <c r="M577" s="1" t="str">
        <f t="shared" si="1064"/>
        <v>0</v>
      </c>
      <c r="N577" s="1" t="str">
        <f t="shared" si="1064"/>
        <v>0</v>
      </c>
      <c r="O577" s="1" t="str">
        <f t="shared" si="1064"/>
        <v>0</v>
      </c>
      <c r="P577" s="1" t="str">
        <f t="shared" si="1064"/>
        <v>0</v>
      </c>
      <c r="Q577" s="1" t="str">
        <f t="shared" si="955"/>
        <v>0.0070</v>
      </c>
      <c r="R577" s="1" t="s">
        <v>25</v>
      </c>
      <c r="T577" s="1" t="str">
        <f t="shared" si="956"/>
        <v>0</v>
      </c>
      <c r="U577" s="1" t="str">
        <f t="shared" si="1062"/>
        <v>0.0070</v>
      </c>
    </row>
    <row r="578" s="1" customFormat="1" spans="1:21">
      <c r="A578" s="1" t="str">
        <f>"4601991414927"</f>
        <v>4601991414927</v>
      </c>
      <c r="B578" s="1" t="s">
        <v>602</v>
      </c>
      <c r="C578" s="1" t="s">
        <v>24</v>
      </c>
      <c r="D578" s="1" t="str">
        <f t="shared" si="953"/>
        <v>2021</v>
      </c>
      <c r="E578" s="1" t="str">
        <f>"48.35"</f>
        <v>48.35</v>
      </c>
      <c r="F578" s="1" t="str">
        <f t="shared" ref="F578:I578" si="1065">"0"</f>
        <v>0</v>
      </c>
      <c r="G578" s="1" t="str">
        <f t="shared" si="1065"/>
        <v>0</v>
      </c>
      <c r="H578" s="1" t="str">
        <f t="shared" si="1065"/>
        <v>0</v>
      </c>
      <c r="I578" s="1" t="str">
        <f t="shared" si="1065"/>
        <v>0</v>
      </c>
      <c r="J578" s="1" t="str">
        <f>"5"</f>
        <v>5</v>
      </c>
      <c r="K578" s="1" t="str">
        <f t="shared" ref="K578:P578" si="1066">"0"</f>
        <v>0</v>
      </c>
      <c r="L578" s="1" t="str">
        <f t="shared" si="1066"/>
        <v>0</v>
      </c>
      <c r="M578" s="1" t="str">
        <f t="shared" si="1066"/>
        <v>0</v>
      </c>
      <c r="N578" s="1" t="str">
        <f t="shared" si="1066"/>
        <v>0</v>
      </c>
      <c r="O578" s="1" t="str">
        <f t="shared" si="1066"/>
        <v>0</v>
      </c>
      <c r="P578" s="1" t="str">
        <f t="shared" si="1066"/>
        <v>0</v>
      </c>
      <c r="Q578" s="1" t="str">
        <f t="shared" si="955"/>
        <v>0.0070</v>
      </c>
      <c r="R578" s="1" t="s">
        <v>29</v>
      </c>
      <c r="S578" s="1">
        <v>-0.0014</v>
      </c>
      <c r="T578" s="1" t="str">
        <f t="shared" si="956"/>
        <v>0</v>
      </c>
      <c r="U578" s="1" t="str">
        <f t="shared" si="1058"/>
        <v>0.0056</v>
      </c>
    </row>
    <row r="579" s="1" customFormat="1" spans="1:21">
      <c r="A579" s="1" t="str">
        <f>"4601991415531"</f>
        <v>4601991415531</v>
      </c>
      <c r="B579" s="1" t="s">
        <v>603</v>
      </c>
      <c r="C579" s="1" t="s">
        <v>24</v>
      </c>
      <c r="D579" s="1" t="str">
        <f t="shared" ref="D579:D642" si="1067">"2021"</f>
        <v>2021</v>
      </c>
      <c r="E579" s="1" t="str">
        <f>"164.39"</f>
        <v>164.39</v>
      </c>
      <c r="F579" s="1" t="str">
        <f t="shared" ref="F579:I579" si="1068">"0"</f>
        <v>0</v>
      </c>
      <c r="G579" s="1" t="str">
        <f t="shared" si="1068"/>
        <v>0</v>
      </c>
      <c r="H579" s="1" t="str">
        <f t="shared" si="1068"/>
        <v>0</v>
      </c>
      <c r="I579" s="1" t="str">
        <f t="shared" si="1068"/>
        <v>0</v>
      </c>
      <c r="J579" s="1" t="str">
        <f>"17"</f>
        <v>17</v>
      </c>
      <c r="K579" s="1" t="str">
        <f t="shared" ref="K579:P579" si="1069">"0"</f>
        <v>0</v>
      </c>
      <c r="L579" s="1" t="str">
        <f t="shared" si="1069"/>
        <v>0</v>
      </c>
      <c r="M579" s="1" t="str">
        <f t="shared" si="1069"/>
        <v>0</v>
      </c>
      <c r="N579" s="1" t="str">
        <f t="shared" si="1069"/>
        <v>0</v>
      </c>
      <c r="O579" s="1" t="str">
        <f t="shared" si="1069"/>
        <v>0</v>
      </c>
      <c r="P579" s="1" t="str">
        <f t="shared" si="1069"/>
        <v>0</v>
      </c>
      <c r="Q579" s="1" t="str">
        <f t="shared" ref="Q579:Q642" si="1070">"0.0070"</f>
        <v>0.0070</v>
      </c>
      <c r="R579" s="1" t="s">
        <v>29</v>
      </c>
      <c r="S579" s="1">
        <v>-0.0014</v>
      </c>
      <c r="T579" s="1" t="str">
        <f t="shared" ref="T579:T642" si="1071">"0"</f>
        <v>0</v>
      </c>
      <c r="U579" s="1" t="str">
        <f t="shared" si="1058"/>
        <v>0.0056</v>
      </c>
    </row>
    <row r="580" s="1" customFormat="1" spans="1:21">
      <c r="A580" s="1" t="str">
        <f>"4601991414371"</f>
        <v>4601991414371</v>
      </c>
      <c r="B580" s="1" t="s">
        <v>604</v>
      </c>
      <c r="C580" s="1" t="s">
        <v>24</v>
      </c>
      <c r="D580" s="1" t="str">
        <f t="shared" si="1067"/>
        <v>2021</v>
      </c>
      <c r="E580" s="1" t="str">
        <f t="shared" ref="E580:P580" si="1072">"0"</f>
        <v>0</v>
      </c>
      <c r="F580" s="1" t="str">
        <f t="shared" si="1072"/>
        <v>0</v>
      </c>
      <c r="G580" s="1" t="str">
        <f t="shared" si="1072"/>
        <v>0</v>
      </c>
      <c r="H580" s="1" t="str">
        <f t="shared" si="1072"/>
        <v>0</v>
      </c>
      <c r="I580" s="1" t="str">
        <f t="shared" si="1072"/>
        <v>0</v>
      </c>
      <c r="J580" s="1" t="str">
        <f t="shared" si="1072"/>
        <v>0</v>
      </c>
      <c r="K580" s="1" t="str">
        <f t="shared" si="1072"/>
        <v>0</v>
      </c>
      <c r="L580" s="1" t="str">
        <f t="shared" si="1072"/>
        <v>0</v>
      </c>
      <c r="M580" s="1" t="str">
        <f t="shared" si="1072"/>
        <v>0</v>
      </c>
      <c r="N580" s="1" t="str">
        <f t="shared" si="1072"/>
        <v>0</v>
      </c>
      <c r="O580" s="1" t="str">
        <f t="shared" si="1072"/>
        <v>0</v>
      </c>
      <c r="P580" s="1" t="str">
        <f t="shared" si="1072"/>
        <v>0</v>
      </c>
      <c r="Q580" s="1" t="str">
        <f t="shared" si="1070"/>
        <v>0.0070</v>
      </c>
      <c r="R580" s="1" t="s">
        <v>25</v>
      </c>
      <c r="T580" s="1" t="str">
        <f t="shared" si="1071"/>
        <v>0</v>
      </c>
      <c r="U580" s="1" t="str">
        <f t="shared" ref="U580:U585" si="1073">"0.0070"</f>
        <v>0.0070</v>
      </c>
    </row>
    <row r="581" s="1" customFormat="1" spans="1:21">
      <c r="A581" s="1" t="str">
        <f>"4601991415590"</f>
        <v>4601991415590</v>
      </c>
      <c r="B581" s="1" t="s">
        <v>605</v>
      </c>
      <c r="C581" s="1" t="s">
        <v>24</v>
      </c>
      <c r="D581" s="1" t="str">
        <f t="shared" si="1067"/>
        <v>2021</v>
      </c>
      <c r="E581" s="1" t="str">
        <f>"9.67"</f>
        <v>9.67</v>
      </c>
      <c r="F581" s="1" t="str">
        <f t="shared" ref="F581:I581" si="1074">"0"</f>
        <v>0</v>
      </c>
      <c r="G581" s="1" t="str">
        <f t="shared" si="1074"/>
        <v>0</v>
      </c>
      <c r="H581" s="1" t="str">
        <f t="shared" si="1074"/>
        <v>0</v>
      </c>
      <c r="I581" s="1" t="str">
        <f t="shared" si="1074"/>
        <v>0</v>
      </c>
      <c r="J581" s="1" t="str">
        <f>"2"</f>
        <v>2</v>
      </c>
      <c r="K581" s="1" t="str">
        <f t="shared" ref="K581:P581" si="1075">"0"</f>
        <v>0</v>
      </c>
      <c r="L581" s="1" t="str">
        <f t="shared" si="1075"/>
        <v>0</v>
      </c>
      <c r="M581" s="1" t="str">
        <f t="shared" si="1075"/>
        <v>0</v>
      </c>
      <c r="N581" s="1" t="str">
        <f t="shared" si="1075"/>
        <v>0</v>
      </c>
      <c r="O581" s="1" t="str">
        <f t="shared" si="1075"/>
        <v>0</v>
      </c>
      <c r="P581" s="1" t="str">
        <f t="shared" si="1075"/>
        <v>0</v>
      </c>
      <c r="Q581" s="1" t="str">
        <f t="shared" si="1070"/>
        <v>0.0070</v>
      </c>
      <c r="R581" s="1" t="s">
        <v>29</v>
      </c>
      <c r="S581" s="1">
        <v>-0.0014</v>
      </c>
      <c r="T581" s="1" t="str">
        <f t="shared" si="1071"/>
        <v>0</v>
      </c>
      <c r="U581" s="1" t="str">
        <f t="shared" ref="U581:U586" si="1076">"0.0056"</f>
        <v>0.0056</v>
      </c>
    </row>
    <row r="582" s="1" customFormat="1" spans="1:21">
      <c r="A582" s="1" t="str">
        <f>"4601991414405"</f>
        <v>4601991414405</v>
      </c>
      <c r="B582" s="1" t="s">
        <v>606</v>
      </c>
      <c r="C582" s="1" t="s">
        <v>24</v>
      </c>
      <c r="D582" s="1" t="str">
        <f t="shared" si="1067"/>
        <v>2021</v>
      </c>
      <c r="E582" s="1" t="str">
        <f>"19.34"</f>
        <v>19.34</v>
      </c>
      <c r="F582" s="1" t="str">
        <f t="shared" ref="F582:I582" si="1077">"0"</f>
        <v>0</v>
      </c>
      <c r="G582" s="1" t="str">
        <f t="shared" si="1077"/>
        <v>0</v>
      </c>
      <c r="H582" s="1" t="str">
        <f t="shared" si="1077"/>
        <v>0</v>
      </c>
      <c r="I582" s="1" t="str">
        <f t="shared" si="1077"/>
        <v>0</v>
      </c>
      <c r="J582" s="1" t="str">
        <f>"2"</f>
        <v>2</v>
      </c>
      <c r="K582" s="1" t="str">
        <f t="shared" ref="K582:P582" si="1078">"0"</f>
        <v>0</v>
      </c>
      <c r="L582" s="1" t="str">
        <f t="shared" si="1078"/>
        <v>0</v>
      </c>
      <c r="M582" s="1" t="str">
        <f t="shared" si="1078"/>
        <v>0</v>
      </c>
      <c r="N582" s="1" t="str">
        <f t="shared" si="1078"/>
        <v>0</v>
      </c>
      <c r="O582" s="1" t="str">
        <f t="shared" si="1078"/>
        <v>0</v>
      </c>
      <c r="P582" s="1" t="str">
        <f t="shared" si="1078"/>
        <v>0</v>
      </c>
      <c r="Q582" s="1" t="str">
        <f t="shared" si="1070"/>
        <v>0.0070</v>
      </c>
      <c r="R582" s="1" t="s">
        <v>29</v>
      </c>
      <c r="S582" s="1">
        <v>-0.0014</v>
      </c>
      <c r="T582" s="1" t="str">
        <f t="shared" si="1071"/>
        <v>0</v>
      </c>
      <c r="U582" s="1" t="str">
        <f t="shared" si="1076"/>
        <v>0.0056</v>
      </c>
    </row>
    <row r="583" s="1" customFormat="1" spans="1:21">
      <c r="A583" s="1" t="str">
        <f>"4601991414393"</f>
        <v>4601991414393</v>
      </c>
      <c r="B583" s="1" t="s">
        <v>607</v>
      </c>
      <c r="C583" s="1" t="s">
        <v>24</v>
      </c>
      <c r="D583" s="1" t="str">
        <f t="shared" si="1067"/>
        <v>2021</v>
      </c>
      <c r="E583" s="1" t="str">
        <f t="shared" ref="E583:P583" si="1079">"0"</f>
        <v>0</v>
      </c>
      <c r="F583" s="1" t="str">
        <f t="shared" si="1079"/>
        <v>0</v>
      </c>
      <c r="G583" s="1" t="str">
        <f t="shared" si="1079"/>
        <v>0</v>
      </c>
      <c r="H583" s="1" t="str">
        <f t="shared" si="1079"/>
        <v>0</v>
      </c>
      <c r="I583" s="1" t="str">
        <f t="shared" si="1079"/>
        <v>0</v>
      </c>
      <c r="J583" s="1" t="str">
        <f t="shared" si="1079"/>
        <v>0</v>
      </c>
      <c r="K583" s="1" t="str">
        <f t="shared" si="1079"/>
        <v>0</v>
      </c>
      <c r="L583" s="1" t="str">
        <f t="shared" si="1079"/>
        <v>0</v>
      </c>
      <c r="M583" s="1" t="str">
        <f t="shared" si="1079"/>
        <v>0</v>
      </c>
      <c r="N583" s="1" t="str">
        <f t="shared" si="1079"/>
        <v>0</v>
      </c>
      <c r="O583" s="1" t="str">
        <f t="shared" si="1079"/>
        <v>0</v>
      </c>
      <c r="P583" s="1" t="str">
        <f t="shared" si="1079"/>
        <v>0</v>
      </c>
      <c r="Q583" s="1" t="str">
        <f t="shared" si="1070"/>
        <v>0.0070</v>
      </c>
      <c r="R583" s="1" t="s">
        <v>25</v>
      </c>
      <c r="T583" s="1" t="str">
        <f t="shared" si="1071"/>
        <v>0</v>
      </c>
      <c r="U583" s="1" t="str">
        <f t="shared" si="1073"/>
        <v>0.0070</v>
      </c>
    </row>
    <row r="584" s="1" customFormat="1" spans="1:21">
      <c r="A584" s="1" t="str">
        <f>"4601991415653"</f>
        <v>4601991415653</v>
      </c>
      <c r="B584" s="1" t="s">
        <v>608</v>
      </c>
      <c r="C584" s="1" t="s">
        <v>24</v>
      </c>
      <c r="D584" s="1" t="str">
        <f t="shared" si="1067"/>
        <v>2021</v>
      </c>
      <c r="E584" s="1" t="str">
        <f t="shared" ref="E584:P584" si="1080">"0"</f>
        <v>0</v>
      </c>
      <c r="F584" s="1" t="str">
        <f t="shared" si="1080"/>
        <v>0</v>
      </c>
      <c r="G584" s="1" t="str">
        <f t="shared" si="1080"/>
        <v>0</v>
      </c>
      <c r="H584" s="1" t="str">
        <f t="shared" si="1080"/>
        <v>0</v>
      </c>
      <c r="I584" s="1" t="str">
        <f t="shared" si="1080"/>
        <v>0</v>
      </c>
      <c r="J584" s="1" t="str">
        <f t="shared" si="1080"/>
        <v>0</v>
      </c>
      <c r="K584" s="1" t="str">
        <f t="shared" si="1080"/>
        <v>0</v>
      </c>
      <c r="L584" s="1" t="str">
        <f t="shared" si="1080"/>
        <v>0</v>
      </c>
      <c r="M584" s="1" t="str">
        <f t="shared" si="1080"/>
        <v>0</v>
      </c>
      <c r="N584" s="1" t="str">
        <f t="shared" si="1080"/>
        <v>0</v>
      </c>
      <c r="O584" s="1" t="str">
        <f t="shared" si="1080"/>
        <v>0</v>
      </c>
      <c r="P584" s="1" t="str">
        <f t="shared" si="1080"/>
        <v>0</v>
      </c>
      <c r="Q584" s="1" t="str">
        <f t="shared" si="1070"/>
        <v>0.0070</v>
      </c>
      <c r="R584" s="1" t="s">
        <v>25</v>
      </c>
      <c r="T584" s="1" t="str">
        <f t="shared" si="1071"/>
        <v>0</v>
      </c>
      <c r="U584" s="1" t="str">
        <f t="shared" si="1073"/>
        <v>0.0070</v>
      </c>
    </row>
    <row r="585" s="1" customFormat="1" spans="1:21">
      <c r="A585" s="1" t="str">
        <f>"4601991415002"</f>
        <v>4601991415002</v>
      </c>
      <c r="B585" s="1" t="s">
        <v>609</v>
      </c>
      <c r="C585" s="1" t="s">
        <v>24</v>
      </c>
      <c r="D585" s="1" t="str">
        <f t="shared" si="1067"/>
        <v>2021</v>
      </c>
      <c r="E585" s="1" t="str">
        <f>"9.67"</f>
        <v>9.67</v>
      </c>
      <c r="F585" s="1" t="str">
        <f t="shared" ref="F585:I585" si="1081">"0"</f>
        <v>0</v>
      </c>
      <c r="G585" s="1" t="str">
        <f t="shared" si="1081"/>
        <v>0</v>
      </c>
      <c r="H585" s="1" t="str">
        <f t="shared" si="1081"/>
        <v>0</v>
      </c>
      <c r="I585" s="1" t="str">
        <f t="shared" si="1081"/>
        <v>0</v>
      </c>
      <c r="J585" s="1" t="str">
        <f>"1"</f>
        <v>1</v>
      </c>
      <c r="K585" s="1" t="str">
        <f t="shared" ref="K585:P585" si="1082">"0"</f>
        <v>0</v>
      </c>
      <c r="L585" s="1" t="str">
        <f t="shared" si="1082"/>
        <v>0</v>
      </c>
      <c r="M585" s="1" t="str">
        <f t="shared" si="1082"/>
        <v>0</v>
      </c>
      <c r="N585" s="1" t="str">
        <f t="shared" si="1082"/>
        <v>0</v>
      </c>
      <c r="O585" s="1" t="str">
        <f t="shared" si="1082"/>
        <v>0</v>
      </c>
      <c r="P585" s="1" t="str">
        <f t="shared" si="1082"/>
        <v>0</v>
      </c>
      <c r="Q585" s="1" t="str">
        <f t="shared" si="1070"/>
        <v>0.0070</v>
      </c>
      <c r="R585" s="1" t="s">
        <v>25</v>
      </c>
      <c r="T585" s="1" t="str">
        <f t="shared" si="1071"/>
        <v>0</v>
      </c>
      <c r="U585" s="1" t="str">
        <f t="shared" si="1073"/>
        <v>0.0070</v>
      </c>
    </row>
    <row r="586" s="1" customFormat="1" spans="1:21">
      <c r="A586" s="1" t="str">
        <f>"4601991415654"</f>
        <v>4601991415654</v>
      </c>
      <c r="B586" s="1" t="s">
        <v>610</v>
      </c>
      <c r="C586" s="1" t="s">
        <v>24</v>
      </c>
      <c r="D586" s="1" t="str">
        <f t="shared" si="1067"/>
        <v>2021</v>
      </c>
      <c r="E586" s="1" t="str">
        <f>"67.06"</f>
        <v>67.06</v>
      </c>
      <c r="F586" s="1" t="str">
        <f t="shared" ref="F586:I586" si="1083">"0"</f>
        <v>0</v>
      </c>
      <c r="G586" s="1" t="str">
        <f t="shared" si="1083"/>
        <v>0</v>
      </c>
      <c r="H586" s="1" t="str">
        <f t="shared" si="1083"/>
        <v>0</v>
      </c>
      <c r="I586" s="1" t="str">
        <f t="shared" si="1083"/>
        <v>0</v>
      </c>
      <c r="J586" s="1" t="str">
        <f>"7"</f>
        <v>7</v>
      </c>
      <c r="K586" s="1" t="str">
        <f t="shared" ref="K586:P586" si="1084">"0"</f>
        <v>0</v>
      </c>
      <c r="L586" s="1" t="str">
        <f t="shared" si="1084"/>
        <v>0</v>
      </c>
      <c r="M586" s="1" t="str">
        <f t="shared" si="1084"/>
        <v>0</v>
      </c>
      <c r="N586" s="1" t="str">
        <f t="shared" si="1084"/>
        <v>0</v>
      </c>
      <c r="O586" s="1" t="str">
        <f t="shared" si="1084"/>
        <v>0</v>
      </c>
      <c r="P586" s="1" t="str">
        <f t="shared" si="1084"/>
        <v>0</v>
      </c>
      <c r="Q586" s="1" t="str">
        <f t="shared" si="1070"/>
        <v>0.0070</v>
      </c>
      <c r="R586" s="1" t="s">
        <v>29</v>
      </c>
      <c r="S586" s="1">
        <v>-0.0014</v>
      </c>
      <c r="T586" s="1" t="str">
        <f t="shared" si="1071"/>
        <v>0</v>
      </c>
      <c r="U586" s="1" t="str">
        <f t="shared" si="1076"/>
        <v>0.0056</v>
      </c>
    </row>
    <row r="587" s="1" customFormat="1" spans="1:21">
      <c r="A587" s="1" t="str">
        <f>"4601991415655"</f>
        <v>4601991415655</v>
      </c>
      <c r="B587" s="1" t="s">
        <v>611</v>
      </c>
      <c r="C587" s="1" t="s">
        <v>24</v>
      </c>
      <c r="D587" s="1" t="str">
        <f t="shared" si="1067"/>
        <v>2021</v>
      </c>
      <c r="E587" s="1" t="str">
        <f t="shared" ref="E587:P587" si="1085">"0"</f>
        <v>0</v>
      </c>
      <c r="F587" s="1" t="str">
        <f t="shared" si="1085"/>
        <v>0</v>
      </c>
      <c r="G587" s="1" t="str">
        <f t="shared" si="1085"/>
        <v>0</v>
      </c>
      <c r="H587" s="1" t="str">
        <f t="shared" si="1085"/>
        <v>0</v>
      </c>
      <c r="I587" s="1" t="str">
        <f t="shared" si="1085"/>
        <v>0</v>
      </c>
      <c r="J587" s="1" t="str">
        <f t="shared" si="1085"/>
        <v>0</v>
      </c>
      <c r="K587" s="1" t="str">
        <f t="shared" si="1085"/>
        <v>0</v>
      </c>
      <c r="L587" s="1" t="str">
        <f t="shared" si="1085"/>
        <v>0</v>
      </c>
      <c r="M587" s="1" t="str">
        <f t="shared" si="1085"/>
        <v>0</v>
      </c>
      <c r="N587" s="1" t="str">
        <f t="shared" si="1085"/>
        <v>0</v>
      </c>
      <c r="O587" s="1" t="str">
        <f t="shared" si="1085"/>
        <v>0</v>
      </c>
      <c r="P587" s="1" t="str">
        <f t="shared" si="1085"/>
        <v>0</v>
      </c>
      <c r="Q587" s="1" t="str">
        <f t="shared" si="1070"/>
        <v>0.0070</v>
      </c>
      <c r="R587" s="1" t="s">
        <v>25</v>
      </c>
      <c r="T587" s="1" t="str">
        <f t="shared" si="1071"/>
        <v>0</v>
      </c>
      <c r="U587" s="1" t="str">
        <f>"0.0070"</f>
        <v>0.0070</v>
      </c>
    </row>
    <row r="588" s="1" customFormat="1" spans="1:21">
      <c r="A588" s="1" t="str">
        <f>"4601991413803"</f>
        <v>4601991413803</v>
      </c>
      <c r="B588" s="1" t="s">
        <v>612</v>
      </c>
      <c r="C588" s="1" t="s">
        <v>24</v>
      </c>
      <c r="D588" s="1" t="str">
        <f t="shared" si="1067"/>
        <v>2021</v>
      </c>
      <c r="E588" s="1" t="str">
        <f>"9.67"</f>
        <v>9.67</v>
      </c>
      <c r="F588" s="1" t="str">
        <f t="shared" ref="F588:I588" si="1086">"0"</f>
        <v>0</v>
      </c>
      <c r="G588" s="1" t="str">
        <f t="shared" si="1086"/>
        <v>0</v>
      </c>
      <c r="H588" s="1" t="str">
        <f t="shared" si="1086"/>
        <v>0</v>
      </c>
      <c r="I588" s="1" t="str">
        <f t="shared" si="1086"/>
        <v>0</v>
      </c>
      <c r="J588" s="1" t="str">
        <f>"1"</f>
        <v>1</v>
      </c>
      <c r="K588" s="1" t="str">
        <f t="shared" ref="K588:P588" si="1087">"0"</f>
        <v>0</v>
      </c>
      <c r="L588" s="1" t="str">
        <f t="shared" si="1087"/>
        <v>0</v>
      </c>
      <c r="M588" s="1" t="str">
        <f t="shared" si="1087"/>
        <v>0</v>
      </c>
      <c r="N588" s="1" t="str">
        <f t="shared" si="1087"/>
        <v>0</v>
      </c>
      <c r="O588" s="1" t="str">
        <f t="shared" si="1087"/>
        <v>0</v>
      </c>
      <c r="P588" s="1" t="str">
        <f t="shared" si="1087"/>
        <v>0</v>
      </c>
      <c r="Q588" s="1" t="str">
        <f t="shared" si="1070"/>
        <v>0.0070</v>
      </c>
      <c r="R588" s="1" t="s">
        <v>29</v>
      </c>
      <c r="S588" s="1">
        <v>-0.0014</v>
      </c>
      <c r="T588" s="1" t="str">
        <f t="shared" si="1071"/>
        <v>0</v>
      </c>
      <c r="U588" s="1" t="str">
        <f t="shared" ref="U588:U591" si="1088">"0.0056"</f>
        <v>0.0056</v>
      </c>
    </row>
    <row r="589" s="1" customFormat="1" spans="1:21">
      <c r="A589" s="1" t="str">
        <f>"4601991415526"</f>
        <v>4601991415526</v>
      </c>
      <c r="B589" s="1" t="s">
        <v>613</v>
      </c>
      <c r="C589" s="1" t="s">
        <v>24</v>
      </c>
      <c r="D589" s="1" t="str">
        <f t="shared" si="1067"/>
        <v>2021</v>
      </c>
      <c r="E589" s="1" t="str">
        <f>"5956.75"</f>
        <v>5956.75</v>
      </c>
      <c r="F589" s="1" t="str">
        <f t="shared" ref="F589:I589" si="1089">"0"</f>
        <v>0</v>
      </c>
      <c r="G589" s="1" t="str">
        <f t="shared" si="1089"/>
        <v>0</v>
      </c>
      <c r="H589" s="1" t="str">
        <f t="shared" si="1089"/>
        <v>0</v>
      </c>
      <c r="I589" s="1" t="str">
        <f t="shared" si="1089"/>
        <v>0</v>
      </c>
      <c r="J589" s="1" t="str">
        <f>"378"</f>
        <v>378</v>
      </c>
      <c r="K589" s="1" t="str">
        <f t="shared" ref="K589:P589" si="1090">"0"</f>
        <v>0</v>
      </c>
      <c r="L589" s="1" t="str">
        <f t="shared" si="1090"/>
        <v>0</v>
      </c>
      <c r="M589" s="1" t="str">
        <f t="shared" si="1090"/>
        <v>0</v>
      </c>
      <c r="N589" s="1" t="str">
        <f t="shared" si="1090"/>
        <v>0</v>
      </c>
      <c r="O589" s="1" t="str">
        <f t="shared" si="1090"/>
        <v>0</v>
      </c>
      <c r="P589" s="1" t="str">
        <f t="shared" si="1090"/>
        <v>0</v>
      </c>
      <c r="Q589" s="1" t="str">
        <f t="shared" si="1070"/>
        <v>0.0070</v>
      </c>
      <c r="R589" s="1" t="s">
        <v>29</v>
      </c>
      <c r="S589" s="1">
        <v>-0.0014</v>
      </c>
      <c r="T589" s="1" t="str">
        <f t="shared" si="1071"/>
        <v>0</v>
      </c>
      <c r="U589" s="1" t="str">
        <f t="shared" si="1088"/>
        <v>0.0056</v>
      </c>
    </row>
    <row r="590" s="1" customFormat="1" spans="1:21">
      <c r="A590" s="1" t="str">
        <f>"4601991414447"</f>
        <v>4601991414447</v>
      </c>
      <c r="B590" s="1" t="s">
        <v>614</v>
      </c>
      <c r="C590" s="1" t="s">
        <v>24</v>
      </c>
      <c r="D590" s="1" t="str">
        <f t="shared" si="1067"/>
        <v>2021</v>
      </c>
      <c r="E590" s="1" t="str">
        <f>"29.01"</f>
        <v>29.01</v>
      </c>
      <c r="F590" s="1" t="str">
        <f t="shared" ref="F590:I590" si="1091">"0"</f>
        <v>0</v>
      </c>
      <c r="G590" s="1" t="str">
        <f t="shared" si="1091"/>
        <v>0</v>
      </c>
      <c r="H590" s="1" t="str">
        <f t="shared" si="1091"/>
        <v>0</v>
      </c>
      <c r="I590" s="1" t="str">
        <f t="shared" si="1091"/>
        <v>0</v>
      </c>
      <c r="J590" s="1" t="str">
        <f>"3"</f>
        <v>3</v>
      </c>
      <c r="K590" s="1" t="str">
        <f t="shared" ref="K590:P590" si="1092">"0"</f>
        <v>0</v>
      </c>
      <c r="L590" s="1" t="str">
        <f t="shared" si="1092"/>
        <v>0</v>
      </c>
      <c r="M590" s="1" t="str">
        <f t="shared" si="1092"/>
        <v>0</v>
      </c>
      <c r="N590" s="1" t="str">
        <f t="shared" si="1092"/>
        <v>0</v>
      </c>
      <c r="O590" s="1" t="str">
        <f t="shared" si="1092"/>
        <v>0</v>
      </c>
      <c r="P590" s="1" t="str">
        <f t="shared" si="1092"/>
        <v>0</v>
      </c>
      <c r="Q590" s="1" t="str">
        <f t="shared" si="1070"/>
        <v>0.0070</v>
      </c>
      <c r="R590" s="1" t="s">
        <v>29</v>
      </c>
      <c r="S590" s="1">
        <v>-0.0014</v>
      </c>
      <c r="T590" s="1" t="str">
        <f t="shared" si="1071"/>
        <v>0</v>
      </c>
      <c r="U590" s="1" t="str">
        <f t="shared" si="1088"/>
        <v>0.0056</v>
      </c>
    </row>
    <row r="591" s="1" customFormat="1" spans="1:21">
      <c r="A591" s="1" t="str">
        <f>"4601991415064"</f>
        <v>4601991415064</v>
      </c>
      <c r="B591" s="1" t="s">
        <v>615</v>
      </c>
      <c r="C591" s="1" t="s">
        <v>24</v>
      </c>
      <c r="D591" s="1" t="str">
        <f t="shared" si="1067"/>
        <v>2021</v>
      </c>
      <c r="E591" s="1" t="str">
        <f>"9.67"</f>
        <v>9.67</v>
      </c>
      <c r="F591" s="1" t="str">
        <f t="shared" ref="F591:I591" si="1093">"0"</f>
        <v>0</v>
      </c>
      <c r="G591" s="1" t="str">
        <f t="shared" si="1093"/>
        <v>0</v>
      </c>
      <c r="H591" s="1" t="str">
        <f t="shared" si="1093"/>
        <v>0</v>
      </c>
      <c r="I591" s="1" t="str">
        <f t="shared" si="1093"/>
        <v>0</v>
      </c>
      <c r="J591" s="1" t="str">
        <f>"1"</f>
        <v>1</v>
      </c>
      <c r="K591" s="1" t="str">
        <f t="shared" ref="K591:P591" si="1094">"0"</f>
        <v>0</v>
      </c>
      <c r="L591" s="1" t="str">
        <f t="shared" si="1094"/>
        <v>0</v>
      </c>
      <c r="M591" s="1" t="str">
        <f t="shared" si="1094"/>
        <v>0</v>
      </c>
      <c r="N591" s="1" t="str">
        <f t="shared" si="1094"/>
        <v>0</v>
      </c>
      <c r="O591" s="1" t="str">
        <f t="shared" si="1094"/>
        <v>0</v>
      </c>
      <c r="P591" s="1" t="str">
        <f t="shared" si="1094"/>
        <v>0</v>
      </c>
      <c r="Q591" s="1" t="str">
        <f t="shared" si="1070"/>
        <v>0.0070</v>
      </c>
      <c r="R591" s="1" t="s">
        <v>29</v>
      </c>
      <c r="S591" s="1">
        <v>-0.0014</v>
      </c>
      <c r="T591" s="1" t="str">
        <f t="shared" si="1071"/>
        <v>0</v>
      </c>
      <c r="U591" s="1" t="str">
        <f t="shared" si="1088"/>
        <v>0.0056</v>
      </c>
    </row>
    <row r="592" s="1" customFormat="1" spans="1:21">
      <c r="A592" s="1" t="str">
        <f>"4601991414481"</f>
        <v>4601991414481</v>
      </c>
      <c r="B592" s="1" t="s">
        <v>616</v>
      </c>
      <c r="C592" s="1" t="s">
        <v>24</v>
      </c>
      <c r="D592" s="1" t="str">
        <f t="shared" si="1067"/>
        <v>2021</v>
      </c>
      <c r="E592" s="1" t="str">
        <f t="shared" ref="E592:P592" si="1095">"0"</f>
        <v>0</v>
      </c>
      <c r="F592" s="1" t="str">
        <f t="shared" si="1095"/>
        <v>0</v>
      </c>
      <c r="G592" s="1" t="str">
        <f t="shared" si="1095"/>
        <v>0</v>
      </c>
      <c r="H592" s="1" t="str">
        <f t="shared" si="1095"/>
        <v>0</v>
      </c>
      <c r="I592" s="1" t="str">
        <f t="shared" si="1095"/>
        <v>0</v>
      </c>
      <c r="J592" s="1" t="str">
        <f t="shared" si="1095"/>
        <v>0</v>
      </c>
      <c r="K592" s="1" t="str">
        <f t="shared" si="1095"/>
        <v>0</v>
      </c>
      <c r="L592" s="1" t="str">
        <f t="shared" si="1095"/>
        <v>0</v>
      </c>
      <c r="M592" s="1" t="str">
        <f t="shared" si="1095"/>
        <v>0</v>
      </c>
      <c r="N592" s="1" t="str">
        <f t="shared" si="1095"/>
        <v>0</v>
      </c>
      <c r="O592" s="1" t="str">
        <f t="shared" si="1095"/>
        <v>0</v>
      </c>
      <c r="P592" s="1" t="str">
        <f t="shared" si="1095"/>
        <v>0</v>
      </c>
      <c r="Q592" s="1" t="str">
        <f t="shared" si="1070"/>
        <v>0.0070</v>
      </c>
      <c r="R592" s="1" t="s">
        <v>25</v>
      </c>
      <c r="T592" s="1" t="str">
        <f t="shared" si="1071"/>
        <v>0</v>
      </c>
      <c r="U592" s="1" t="str">
        <f t="shared" ref="U592:U594" si="1096">"0.0070"</f>
        <v>0.0070</v>
      </c>
    </row>
    <row r="593" s="1" customFormat="1" spans="1:21">
      <c r="A593" s="1" t="str">
        <f>"4601991413874"</f>
        <v>4601991413874</v>
      </c>
      <c r="B593" s="1" t="s">
        <v>617</v>
      </c>
      <c r="C593" s="1" t="s">
        <v>24</v>
      </c>
      <c r="D593" s="1" t="str">
        <f t="shared" si="1067"/>
        <v>2021</v>
      </c>
      <c r="E593" s="1" t="str">
        <f t="shared" ref="E593:P593" si="1097">"0"</f>
        <v>0</v>
      </c>
      <c r="F593" s="1" t="str">
        <f t="shared" si="1097"/>
        <v>0</v>
      </c>
      <c r="G593" s="1" t="str">
        <f t="shared" si="1097"/>
        <v>0</v>
      </c>
      <c r="H593" s="1" t="str">
        <f t="shared" si="1097"/>
        <v>0</v>
      </c>
      <c r="I593" s="1" t="str">
        <f t="shared" si="1097"/>
        <v>0</v>
      </c>
      <c r="J593" s="1" t="str">
        <f t="shared" si="1097"/>
        <v>0</v>
      </c>
      <c r="K593" s="1" t="str">
        <f t="shared" si="1097"/>
        <v>0</v>
      </c>
      <c r="L593" s="1" t="str">
        <f t="shared" si="1097"/>
        <v>0</v>
      </c>
      <c r="M593" s="1" t="str">
        <f t="shared" si="1097"/>
        <v>0</v>
      </c>
      <c r="N593" s="1" t="str">
        <f t="shared" si="1097"/>
        <v>0</v>
      </c>
      <c r="O593" s="1" t="str">
        <f t="shared" si="1097"/>
        <v>0</v>
      </c>
      <c r="P593" s="1" t="str">
        <f t="shared" si="1097"/>
        <v>0</v>
      </c>
      <c r="Q593" s="1" t="str">
        <f t="shared" si="1070"/>
        <v>0.0070</v>
      </c>
      <c r="R593" s="1" t="s">
        <v>25</v>
      </c>
      <c r="T593" s="1" t="str">
        <f t="shared" si="1071"/>
        <v>0</v>
      </c>
      <c r="U593" s="1" t="str">
        <f t="shared" si="1096"/>
        <v>0.0070</v>
      </c>
    </row>
    <row r="594" s="1" customFormat="1" spans="1:21">
      <c r="A594" s="1" t="str">
        <f>"4601991415089"</f>
        <v>4601991415089</v>
      </c>
      <c r="B594" s="1" t="s">
        <v>618</v>
      </c>
      <c r="C594" s="1" t="s">
        <v>24</v>
      </c>
      <c r="D594" s="1" t="str">
        <f t="shared" si="1067"/>
        <v>2021</v>
      </c>
      <c r="E594" s="1" t="str">
        <f t="shared" ref="E594:P594" si="1098">"0"</f>
        <v>0</v>
      </c>
      <c r="F594" s="1" t="str">
        <f t="shared" si="1098"/>
        <v>0</v>
      </c>
      <c r="G594" s="1" t="str">
        <f t="shared" si="1098"/>
        <v>0</v>
      </c>
      <c r="H594" s="1" t="str">
        <f t="shared" si="1098"/>
        <v>0</v>
      </c>
      <c r="I594" s="1" t="str">
        <f t="shared" si="1098"/>
        <v>0</v>
      </c>
      <c r="J594" s="1" t="str">
        <f t="shared" si="1098"/>
        <v>0</v>
      </c>
      <c r="K594" s="1" t="str">
        <f t="shared" si="1098"/>
        <v>0</v>
      </c>
      <c r="L594" s="1" t="str">
        <f t="shared" si="1098"/>
        <v>0</v>
      </c>
      <c r="M594" s="1" t="str">
        <f t="shared" si="1098"/>
        <v>0</v>
      </c>
      <c r="N594" s="1" t="str">
        <f t="shared" si="1098"/>
        <v>0</v>
      </c>
      <c r="O594" s="1" t="str">
        <f t="shared" si="1098"/>
        <v>0</v>
      </c>
      <c r="P594" s="1" t="str">
        <f t="shared" si="1098"/>
        <v>0</v>
      </c>
      <c r="Q594" s="1" t="str">
        <f t="shared" si="1070"/>
        <v>0.0070</v>
      </c>
      <c r="R594" s="1" t="s">
        <v>25</v>
      </c>
      <c r="T594" s="1" t="str">
        <f t="shared" si="1071"/>
        <v>0</v>
      </c>
      <c r="U594" s="1" t="str">
        <f t="shared" si="1096"/>
        <v>0.0070</v>
      </c>
    </row>
    <row r="595" s="1" customFormat="1" spans="1:21">
      <c r="A595" s="1" t="str">
        <f>"4601991415741"</f>
        <v>4601991415741</v>
      </c>
      <c r="B595" s="1" t="s">
        <v>619</v>
      </c>
      <c r="C595" s="1" t="s">
        <v>24</v>
      </c>
      <c r="D595" s="1" t="str">
        <f t="shared" si="1067"/>
        <v>2021</v>
      </c>
      <c r="E595" s="1" t="str">
        <f>"38.68"</f>
        <v>38.68</v>
      </c>
      <c r="F595" s="1" t="str">
        <f t="shared" ref="F595:I595" si="1099">"0"</f>
        <v>0</v>
      </c>
      <c r="G595" s="1" t="str">
        <f t="shared" si="1099"/>
        <v>0</v>
      </c>
      <c r="H595" s="1" t="str">
        <f t="shared" si="1099"/>
        <v>0</v>
      </c>
      <c r="I595" s="1" t="str">
        <f t="shared" si="1099"/>
        <v>0</v>
      </c>
      <c r="J595" s="1" t="str">
        <f>"4"</f>
        <v>4</v>
      </c>
      <c r="K595" s="1" t="str">
        <f t="shared" ref="K595:P595" si="1100">"0"</f>
        <v>0</v>
      </c>
      <c r="L595" s="1" t="str">
        <f t="shared" si="1100"/>
        <v>0</v>
      </c>
      <c r="M595" s="1" t="str">
        <f t="shared" si="1100"/>
        <v>0</v>
      </c>
      <c r="N595" s="1" t="str">
        <f t="shared" si="1100"/>
        <v>0</v>
      </c>
      <c r="O595" s="1" t="str">
        <f t="shared" si="1100"/>
        <v>0</v>
      </c>
      <c r="P595" s="1" t="str">
        <f t="shared" si="1100"/>
        <v>0</v>
      </c>
      <c r="Q595" s="1" t="str">
        <f t="shared" si="1070"/>
        <v>0.0070</v>
      </c>
      <c r="R595" s="1" t="s">
        <v>29</v>
      </c>
      <c r="S595" s="1">
        <v>-0.0014</v>
      </c>
      <c r="T595" s="1" t="str">
        <f t="shared" si="1071"/>
        <v>0</v>
      </c>
      <c r="U595" s="1" t="str">
        <f t="shared" ref="U595:U597" si="1101">"0.0056"</f>
        <v>0.0056</v>
      </c>
    </row>
    <row r="596" s="1" customFormat="1" spans="1:21">
      <c r="A596" s="1" t="str">
        <f>"4601991413884"</f>
        <v>4601991413884</v>
      </c>
      <c r="B596" s="1" t="s">
        <v>620</v>
      </c>
      <c r="C596" s="1" t="s">
        <v>24</v>
      </c>
      <c r="D596" s="1" t="str">
        <f t="shared" si="1067"/>
        <v>2021</v>
      </c>
      <c r="E596" s="1" t="str">
        <f>"46.76"</f>
        <v>46.76</v>
      </c>
      <c r="F596" s="1" t="str">
        <f t="shared" ref="F596:I596" si="1102">"0"</f>
        <v>0</v>
      </c>
      <c r="G596" s="1" t="str">
        <f t="shared" si="1102"/>
        <v>0</v>
      </c>
      <c r="H596" s="1" t="str">
        <f t="shared" si="1102"/>
        <v>0</v>
      </c>
      <c r="I596" s="1" t="str">
        <f t="shared" si="1102"/>
        <v>0</v>
      </c>
      <c r="J596" s="1" t="str">
        <f>"2"</f>
        <v>2</v>
      </c>
      <c r="K596" s="1" t="str">
        <f t="shared" ref="K596:P596" si="1103">"0"</f>
        <v>0</v>
      </c>
      <c r="L596" s="1" t="str">
        <f t="shared" si="1103"/>
        <v>0</v>
      </c>
      <c r="M596" s="1" t="str">
        <f t="shared" si="1103"/>
        <v>0</v>
      </c>
      <c r="N596" s="1" t="str">
        <f t="shared" si="1103"/>
        <v>0</v>
      </c>
      <c r="O596" s="1" t="str">
        <f t="shared" si="1103"/>
        <v>0</v>
      </c>
      <c r="P596" s="1" t="str">
        <f t="shared" si="1103"/>
        <v>0</v>
      </c>
      <c r="Q596" s="1" t="str">
        <f t="shared" si="1070"/>
        <v>0.0070</v>
      </c>
      <c r="R596" s="1" t="s">
        <v>29</v>
      </c>
      <c r="S596" s="1">
        <v>-0.0014</v>
      </c>
      <c r="T596" s="1" t="str">
        <f t="shared" si="1071"/>
        <v>0</v>
      </c>
      <c r="U596" s="1" t="str">
        <f t="shared" si="1101"/>
        <v>0.0056</v>
      </c>
    </row>
    <row r="597" s="1" customFormat="1" spans="1:21">
      <c r="A597" s="1" t="str">
        <f>"4601991415107"</f>
        <v>4601991415107</v>
      </c>
      <c r="B597" s="1" t="s">
        <v>621</v>
      </c>
      <c r="C597" s="1" t="s">
        <v>24</v>
      </c>
      <c r="D597" s="1" t="str">
        <f t="shared" si="1067"/>
        <v>2021</v>
      </c>
      <c r="E597" s="1" t="str">
        <f>"19.34"</f>
        <v>19.34</v>
      </c>
      <c r="F597" s="1" t="str">
        <f t="shared" ref="F597:I597" si="1104">"0"</f>
        <v>0</v>
      </c>
      <c r="G597" s="1" t="str">
        <f t="shared" si="1104"/>
        <v>0</v>
      </c>
      <c r="H597" s="1" t="str">
        <f t="shared" si="1104"/>
        <v>0</v>
      </c>
      <c r="I597" s="1" t="str">
        <f t="shared" si="1104"/>
        <v>0</v>
      </c>
      <c r="J597" s="1" t="str">
        <f>"2"</f>
        <v>2</v>
      </c>
      <c r="K597" s="1" t="str">
        <f t="shared" ref="K597:P597" si="1105">"0"</f>
        <v>0</v>
      </c>
      <c r="L597" s="1" t="str">
        <f t="shared" si="1105"/>
        <v>0</v>
      </c>
      <c r="M597" s="1" t="str">
        <f t="shared" si="1105"/>
        <v>0</v>
      </c>
      <c r="N597" s="1" t="str">
        <f t="shared" si="1105"/>
        <v>0</v>
      </c>
      <c r="O597" s="1" t="str">
        <f t="shared" si="1105"/>
        <v>0</v>
      </c>
      <c r="P597" s="1" t="str">
        <f t="shared" si="1105"/>
        <v>0</v>
      </c>
      <c r="Q597" s="1" t="str">
        <f t="shared" si="1070"/>
        <v>0.0070</v>
      </c>
      <c r="R597" s="1" t="s">
        <v>29</v>
      </c>
      <c r="S597" s="1">
        <v>-0.0014</v>
      </c>
      <c r="T597" s="1" t="str">
        <f t="shared" si="1071"/>
        <v>0</v>
      </c>
      <c r="U597" s="1" t="str">
        <f t="shared" si="1101"/>
        <v>0.0056</v>
      </c>
    </row>
    <row r="598" s="1" customFormat="1" spans="1:21">
      <c r="A598" s="1" t="str">
        <f>"4601991415111"</f>
        <v>4601991415111</v>
      </c>
      <c r="B598" s="1" t="s">
        <v>622</v>
      </c>
      <c r="C598" s="1" t="s">
        <v>24</v>
      </c>
      <c r="D598" s="1" t="str">
        <f t="shared" si="1067"/>
        <v>2021</v>
      </c>
      <c r="E598" s="1" t="str">
        <f t="shared" ref="E598:P598" si="1106">"0"</f>
        <v>0</v>
      </c>
      <c r="F598" s="1" t="str">
        <f t="shared" si="1106"/>
        <v>0</v>
      </c>
      <c r="G598" s="1" t="str">
        <f t="shared" si="1106"/>
        <v>0</v>
      </c>
      <c r="H598" s="1" t="str">
        <f t="shared" si="1106"/>
        <v>0</v>
      </c>
      <c r="I598" s="1" t="str">
        <f t="shared" si="1106"/>
        <v>0</v>
      </c>
      <c r="J598" s="1" t="str">
        <f t="shared" si="1106"/>
        <v>0</v>
      </c>
      <c r="K598" s="1" t="str">
        <f t="shared" si="1106"/>
        <v>0</v>
      </c>
      <c r="L598" s="1" t="str">
        <f t="shared" si="1106"/>
        <v>0</v>
      </c>
      <c r="M598" s="1" t="str">
        <f t="shared" si="1106"/>
        <v>0</v>
      </c>
      <c r="N598" s="1" t="str">
        <f t="shared" si="1106"/>
        <v>0</v>
      </c>
      <c r="O598" s="1" t="str">
        <f t="shared" si="1106"/>
        <v>0</v>
      </c>
      <c r="P598" s="1" t="str">
        <f t="shared" si="1106"/>
        <v>0</v>
      </c>
      <c r="Q598" s="1" t="str">
        <f t="shared" si="1070"/>
        <v>0.0070</v>
      </c>
      <c r="R598" s="1" t="s">
        <v>25</v>
      </c>
      <c r="T598" s="1" t="str">
        <f t="shared" si="1071"/>
        <v>0</v>
      </c>
      <c r="U598" s="1" t="str">
        <f t="shared" ref="U598:U602" si="1107">"0.0070"</f>
        <v>0.0070</v>
      </c>
    </row>
    <row r="599" s="1" customFormat="1" spans="1:21">
      <c r="A599" s="1" t="str">
        <f>"4601991413900"</f>
        <v>4601991413900</v>
      </c>
      <c r="B599" s="1" t="s">
        <v>623</v>
      </c>
      <c r="C599" s="1" t="s">
        <v>24</v>
      </c>
      <c r="D599" s="1" t="str">
        <f t="shared" si="1067"/>
        <v>2021</v>
      </c>
      <c r="E599" s="1" t="str">
        <f>"48.26"</f>
        <v>48.26</v>
      </c>
      <c r="F599" s="1" t="str">
        <f t="shared" ref="F599:I599" si="1108">"0"</f>
        <v>0</v>
      </c>
      <c r="G599" s="1" t="str">
        <f t="shared" si="1108"/>
        <v>0</v>
      </c>
      <c r="H599" s="1" t="str">
        <f t="shared" si="1108"/>
        <v>0</v>
      </c>
      <c r="I599" s="1" t="str">
        <f t="shared" si="1108"/>
        <v>0</v>
      </c>
      <c r="J599" s="1" t="str">
        <f>"8"</f>
        <v>8</v>
      </c>
      <c r="K599" s="1" t="str">
        <f t="shared" ref="K599:P599" si="1109">"0"</f>
        <v>0</v>
      </c>
      <c r="L599" s="1" t="str">
        <f t="shared" si="1109"/>
        <v>0</v>
      </c>
      <c r="M599" s="1" t="str">
        <f t="shared" si="1109"/>
        <v>0</v>
      </c>
      <c r="N599" s="1" t="str">
        <f t="shared" si="1109"/>
        <v>0</v>
      </c>
      <c r="O599" s="1" t="str">
        <f t="shared" si="1109"/>
        <v>0</v>
      </c>
      <c r="P599" s="1" t="str">
        <f t="shared" si="1109"/>
        <v>0</v>
      </c>
      <c r="Q599" s="1" t="str">
        <f t="shared" si="1070"/>
        <v>0.0070</v>
      </c>
      <c r="R599" s="1" t="s">
        <v>29</v>
      </c>
      <c r="S599" s="1">
        <v>-0.0014</v>
      </c>
      <c r="T599" s="1" t="str">
        <f t="shared" si="1071"/>
        <v>0</v>
      </c>
      <c r="U599" s="1" t="str">
        <f t="shared" ref="U599:U604" si="1110">"0.0056"</f>
        <v>0.0056</v>
      </c>
    </row>
    <row r="600" s="1" customFormat="1" spans="1:21">
      <c r="A600" s="1" t="str">
        <f>"4601991414526"</f>
        <v>4601991414526</v>
      </c>
      <c r="B600" s="1" t="s">
        <v>624</v>
      </c>
      <c r="C600" s="1" t="s">
        <v>24</v>
      </c>
      <c r="D600" s="1" t="str">
        <f t="shared" si="1067"/>
        <v>2021</v>
      </c>
      <c r="E600" s="1" t="str">
        <f t="shared" ref="E600:P600" si="1111">"0"</f>
        <v>0</v>
      </c>
      <c r="F600" s="1" t="str">
        <f t="shared" si="1111"/>
        <v>0</v>
      </c>
      <c r="G600" s="1" t="str">
        <f t="shared" si="1111"/>
        <v>0</v>
      </c>
      <c r="H600" s="1" t="str">
        <f t="shared" si="1111"/>
        <v>0</v>
      </c>
      <c r="I600" s="1" t="str">
        <f t="shared" si="1111"/>
        <v>0</v>
      </c>
      <c r="J600" s="1" t="str">
        <f t="shared" si="1111"/>
        <v>0</v>
      </c>
      <c r="K600" s="1" t="str">
        <f t="shared" si="1111"/>
        <v>0</v>
      </c>
      <c r="L600" s="1" t="str">
        <f t="shared" si="1111"/>
        <v>0</v>
      </c>
      <c r="M600" s="1" t="str">
        <f t="shared" si="1111"/>
        <v>0</v>
      </c>
      <c r="N600" s="1" t="str">
        <f t="shared" si="1111"/>
        <v>0</v>
      </c>
      <c r="O600" s="1" t="str">
        <f t="shared" si="1111"/>
        <v>0</v>
      </c>
      <c r="P600" s="1" t="str">
        <f t="shared" si="1111"/>
        <v>0</v>
      </c>
      <c r="Q600" s="1" t="str">
        <f t="shared" si="1070"/>
        <v>0.0070</v>
      </c>
      <c r="R600" s="1" t="s">
        <v>25</v>
      </c>
      <c r="T600" s="1" t="str">
        <f t="shared" si="1071"/>
        <v>0</v>
      </c>
      <c r="U600" s="1" t="str">
        <f t="shared" si="1107"/>
        <v>0.0070</v>
      </c>
    </row>
    <row r="601" s="1" customFormat="1" spans="1:21">
      <c r="A601" s="1" t="str">
        <f>"4601991415757"</f>
        <v>4601991415757</v>
      </c>
      <c r="B601" s="1" t="s">
        <v>625</v>
      </c>
      <c r="C601" s="1" t="s">
        <v>24</v>
      </c>
      <c r="D601" s="1" t="str">
        <f t="shared" si="1067"/>
        <v>2021</v>
      </c>
      <c r="E601" s="1" t="str">
        <f t="shared" ref="E601:P601" si="1112">"0"</f>
        <v>0</v>
      </c>
      <c r="F601" s="1" t="str">
        <f t="shared" si="1112"/>
        <v>0</v>
      </c>
      <c r="G601" s="1" t="str">
        <f t="shared" si="1112"/>
        <v>0</v>
      </c>
      <c r="H601" s="1" t="str">
        <f t="shared" si="1112"/>
        <v>0</v>
      </c>
      <c r="I601" s="1" t="str">
        <f t="shared" si="1112"/>
        <v>0</v>
      </c>
      <c r="J601" s="1" t="str">
        <f t="shared" si="1112"/>
        <v>0</v>
      </c>
      <c r="K601" s="1" t="str">
        <f t="shared" si="1112"/>
        <v>0</v>
      </c>
      <c r="L601" s="1" t="str">
        <f t="shared" si="1112"/>
        <v>0</v>
      </c>
      <c r="M601" s="1" t="str">
        <f t="shared" si="1112"/>
        <v>0</v>
      </c>
      <c r="N601" s="1" t="str">
        <f t="shared" si="1112"/>
        <v>0</v>
      </c>
      <c r="O601" s="1" t="str">
        <f t="shared" si="1112"/>
        <v>0</v>
      </c>
      <c r="P601" s="1" t="str">
        <f t="shared" si="1112"/>
        <v>0</v>
      </c>
      <c r="Q601" s="1" t="str">
        <f t="shared" si="1070"/>
        <v>0.0070</v>
      </c>
      <c r="R601" s="1" t="s">
        <v>25</v>
      </c>
      <c r="T601" s="1" t="str">
        <f t="shared" si="1071"/>
        <v>0</v>
      </c>
      <c r="U601" s="1" t="str">
        <f t="shared" si="1107"/>
        <v>0.0070</v>
      </c>
    </row>
    <row r="602" s="1" customFormat="1" spans="1:21">
      <c r="A602" s="1" t="str">
        <f>"4601991413940"</f>
        <v>4601991413940</v>
      </c>
      <c r="B602" s="1" t="s">
        <v>626</v>
      </c>
      <c r="C602" s="1" t="s">
        <v>24</v>
      </c>
      <c r="D602" s="1" t="str">
        <f t="shared" si="1067"/>
        <v>2021</v>
      </c>
      <c r="E602" s="1" t="str">
        <f t="shared" ref="E602:P602" si="1113">"0"</f>
        <v>0</v>
      </c>
      <c r="F602" s="1" t="str">
        <f t="shared" si="1113"/>
        <v>0</v>
      </c>
      <c r="G602" s="1" t="str">
        <f t="shared" si="1113"/>
        <v>0</v>
      </c>
      <c r="H602" s="1" t="str">
        <f t="shared" si="1113"/>
        <v>0</v>
      </c>
      <c r="I602" s="1" t="str">
        <f t="shared" si="1113"/>
        <v>0</v>
      </c>
      <c r="J602" s="1" t="str">
        <f t="shared" si="1113"/>
        <v>0</v>
      </c>
      <c r="K602" s="1" t="str">
        <f t="shared" si="1113"/>
        <v>0</v>
      </c>
      <c r="L602" s="1" t="str">
        <f t="shared" si="1113"/>
        <v>0</v>
      </c>
      <c r="M602" s="1" t="str">
        <f t="shared" si="1113"/>
        <v>0</v>
      </c>
      <c r="N602" s="1" t="str">
        <f t="shared" si="1113"/>
        <v>0</v>
      </c>
      <c r="O602" s="1" t="str">
        <f t="shared" si="1113"/>
        <v>0</v>
      </c>
      <c r="P602" s="1" t="str">
        <f t="shared" si="1113"/>
        <v>0</v>
      </c>
      <c r="Q602" s="1" t="str">
        <f t="shared" si="1070"/>
        <v>0.0070</v>
      </c>
      <c r="R602" s="1" t="s">
        <v>25</v>
      </c>
      <c r="T602" s="1" t="str">
        <f t="shared" si="1071"/>
        <v>0</v>
      </c>
      <c r="U602" s="1" t="str">
        <f t="shared" si="1107"/>
        <v>0.0070</v>
      </c>
    </row>
    <row r="603" s="1" customFormat="1" spans="1:21">
      <c r="A603" s="1" t="str">
        <f>"4601991415769"</f>
        <v>4601991415769</v>
      </c>
      <c r="B603" s="1" t="s">
        <v>627</v>
      </c>
      <c r="C603" s="1" t="s">
        <v>24</v>
      </c>
      <c r="D603" s="1" t="str">
        <f t="shared" si="1067"/>
        <v>2021</v>
      </c>
      <c r="E603" s="1" t="str">
        <f>"299.77"</f>
        <v>299.77</v>
      </c>
      <c r="F603" s="1" t="str">
        <f t="shared" ref="F603:I603" si="1114">"0"</f>
        <v>0</v>
      </c>
      <c r="G603" s="1" t="str">
        <f t="shared" si="1114"/>
        <v>0</v>
      </c>
      <c r="H603" s="1" t="str">
        <f t="shared" si="1114"/>
        <v>0</v>
      </c>
      <c r="I603" s="1" t="str">
        <f t="shared" si="1114"/>
        <v>0</v>
      </c>
      <c r="J603" s="1" t="str">
        <f>"29"</f>
        <v>29</v>
      </c>
      <c r="K603" s="1" t="str">
        <f t="shared" ref="K603:P603" si="1115">"0"</f>
        <v>0</v>
      </c>
      <c r="L603" s="1" t="str">
        <f t="shared" si="1115"/>
        <v>0</v>
      </c>
      <c r="M603" s="1" t="str">
        <f t="shared" si="1115"/>
        <v>0</v>
      </c>
      <c r="N603" s="1" t="str">
        <f t="shared" si="1115"/>
        <v>0</v>
      </c>
      <c r="O603" s="1" t="str">
        <f t="shared" si="1115"/>
        <v>0</v>
      </c>
      <c r="P603" s="1" t="str">
        <f t="shared" si="1115"/>
        <v>0</v>
      </c>
      <c r="Q603" s="1" t="str">
        <f t="shared" si="1070"/>
        <v>0.0070</v>
      </c>
      <c r="R603" s="1" t="s">
        <v>29</v>
      </c>
      <c r="S603" s="1">
        <v>-0.0014</v>
      </c>
      <c r="T603" s="1" t="str">
        <f t="shared" si="1071"/>
        <v>0</v>
      </c>
      <c r="U603" s="1" t="str">
        <f t="shared" si="1110"/>
        <v>0.0056</v>
      </c>
    </row>
    <row r="604" s="1" customFormat="1" spans="1:21">
      <c r="A604" s="1" t="str">
        <f>"4601991414558"</f>
        <v>4601991414558</v>
      </c>
      <c r="B604" s="1" t="s">
        <v>628</v>
      </c>
      <c r="C604" s="1" t="s">
        <v>24</v>
      </c>
      <c r="D604" s="1" t="str">
        <f t="shared" si="1067"/>
        <v>2021</v>
      </c>
      <c r="E604" s="1" t="str">
        <f>"2028.92"</f>
        <v>2028.92</v>
      </c>
      <c r="F604" s="1" t="str">
        <f t="shared" ref="F604:I604" si="1116">"0"</f>
        <v>0</v>
      </c>
      <c r="G604" s="1" t="str">
        <f t="shared" si="1116"/>
        <v>0</v>
      </c>
      <c r="H604" s="1" t="str">
        <f t="shared" si="1116"/>
        <v>0</v>
      </c>
      <c r="I604" s="1" t="str">
        <f t="shared" si="1116"/>
        <v>0</v>
      </c>
      <c r="J604" s="1" t="str">
        <f>"216"</f>
        <v>216</v>
      </c>
      <c r="K604" s="1" t="str">
        <f>"1"</f>
        <v>1</v>
      </c>
      <c r="L604" s="1" t="str">
        <f t="shared" ref="L604:P604" si="1117">"0"</f>
        <v>0</v>
      </c>
      <c r="M604" s="1" t="str">
        <f>"0.0046"</f>
        <v>0.0046</v>
      </c>
      <c r="N604" s="1" t="str">
        <f t="shared" si="1117"/>
        <v>0</v>
      </c>
      <c r="O604" s="1" t="str">
        <f t="shared" si="1117"/>
        <v>0</v>
      </c>
      <c r="P604" s="1" t="str">
        <f t="shared" si="1117"/>
        <v>0</v>
      </c>
      <c r="Q604" s="1" t="str">
        <f t="shared" si="1070"/>
        <v>0.0070</v>
      </c>
      <c r="R604" s="1" t="s">
        <v>29</v>
      </c>
      <c r="S604" s="1">
        <v>-0.0014</v>
      </c>
      <c r="T604" s="1" t="str">
        <f t="shared" si="1071"/>
        <v>0</v>
      </c>
      <c r="U604" s="1" t="str">
        <f t="shared" si="1110"/>
        <v>0.0056</v>
      </c>
    </row>
    <row r="605" s="1" customFormat="1" spans="1:21">
      <c r="A605" s="1" t="str">
        <f>"4601991415755"</f>
        <v>4601991415755</v>
      </c>
      <c r="B605" s="1" t="s">
        <v>629</v>
      </c>
      <c r="C605" s="1" t="s">
        <v>24</v>
      </c>
      <c r="D605" s="1" t="str">
        <f t="shared" si="1067"/>
        <v>2021</v>
      </c>
      <c r="E605" s="1" t="str">
        <f t="shared" ref="E605:P605" si="1118">"0"</f>
        <v>0</v>
      </c>
      <c r="F605" s="1" t="str">
        <f t="shared" si="1118"/>
        <v>0</v>
      </c>
      <c r="G605" s="1" t="str">
        <f t="shared" si="1118"/>
        <v>0</v>
      </c>
      <c r="H605" s="1" t="str">
        <f t="shared" si="1118"/>
        <v>0</v>
      </c>
      <c r="I605" s="1" t="str">
        <f t="shared" si="1118"/>
        <v>0</v>
      </c>
      <c r="J605" s="1" t="str">
        <f t="shared" si="1118"/>
        <v>0</v>
      </c>
      <c r="K605" s="1" t="str">
        <f t="shared" si="1118"/>
        <v>0</v>
      </c>
      <c r="L605" s="1" t="str">
        <f t="shared" si="1118"/>
        <v>0</v>
      </c>
      <c r="M605" s="1" t="str">
        <f t="shared" si="1118"/>
        <v>0</v>
      </c>
      <c r="N605" s="1" t="str">
        <f t="shared" si="1118"/>
        <v>0</v>
      </c>
      <c r="O605" s="1" t="str">
        <f t="shared" si="1118"/>
        <v>0</v>
      </c>
      <c r="P605" s="1" t="str">
        <f t="shared" si="1118"/>
        <v>0</v>
      </c>
      <c r="Q605" s="1" t="str">
        <f t="shared" si="1070"/>
        <v>0.0070</v>
      </c>
      <c r="R605" s="1" t="s">
        <v>25</v>
      </c>
      <c r="T605" s="1" t="str">
        <f t="shared" si="1071"/>
        <v>0</v>
      </c>
      <c r="U605" s="1" t="str">
        <f t="shared" ref="U605:U609" si="1119">"0.0070"</f>
        <v>0.0070</v>
      </c>
    </row>
    <row r="606" s="1" customFormat="1" spans="1:21">
      <c r="A606" s="1" t="str">
        <f>"4601991414587"</f>
        <v>4601991414587</v>
      </c>
      <c r="B606" s="1" t="s">
        <v>630</v>
      </c>
      <c r="C606" s="1" t="s">
        <v>24</v>
      </c>
      <c r="D606" s="1" t="str">
        <f t="shared" si="1067"/>
        <v>2021</v>
      </c>
      <c r="E606" s="1" t="str">
        <f t="shared" ref="E606:P606" si="1120">"0"</f>
        <v>0</v>
      </c>
      <c r="F606" s="1" t="str">
        <f t="shared" si="1120"/>
        <v>0</v>
      </c>
      <c r="G606" s="1" t="str">
        <f t="shared" si="1120"/>
        <v>0</v>
      </c>
      <c r="H606" s="1" t="str">
        <f t="shared" si="1120"/>
        <v>0</v>
      </c>
      <c r="I606" s="1" t="str">
        <f t="shared" si="1120"/>
        <v>0</v>
      </c>
      <c r="J606" s="1" t="str">
        <f t="shared" si="1120"/>
        <v>0</v>
      </c>
      <c r="K606" s="1" t="str">
        <f t="shared" si="1120"/>
        <v>0</v>
      </c>
      <c r="L606" s="1" t="str">
        <f t="shared" si="1120"/>
        <v>0</v>
      </c>
      <c r="M606" s="1" t="str">
        <f t="shared" si="1120"/>
        <v>0</v>
      </c>
      <c r="N606" s="1" t="str">
        <f t="shared" si="1120"/>
        <v>0</v>
      </c>
      <c r="O606" s="1" t="str">
        <f t="shared" si="1120"/>
        <v>0</v>
      </c>
      <c r="P606" s="1" t="str">
        <f t="shared" si="1120"/>
        <v>0</v>
      </c>
      <c r="Q606" s="1" t="str">
        <f t="shared" si="1070"/>
        <v>0.0070</v>
      </c>
      <c r="R606" s="1" t="s">
        <v>25</v>
      </c>
      <c r="T606" s="1" t="str">
        <f t="shared" si="1071"/>
        <v>0</v>
      </c>
      <c r="U606" s="1" t="str">
        <f t="shared" si="1119"/>
        <v>0.0070</v>
      </c>
    </row>
    <row r="607" s="1" customFormat="1" spans="1:21">
      <c r="A607" s="1" t="str">
        <f>"4601991412697"</f>
        <v>4601991412697</v>
      </c>
      <c r="B607" s="1" t="s">
        <v>631</v>
      </c>
      <c r="C607" s="1" t="s">
        <v>24</v>
      </c>
      <c r="D607" s="1" t="str">
        <f t="shared" si="1067"/>
        <v>2021</v>
      </c>
      <c r="E607" s="1" t="str">
        <f>"9.67"</f>
        <v>9.67</v>
      </c>
      <c r="F607" s="1" t="str">
        <f t="shared" ref="F607:I607" si="1121">"0"</f>
        <v>0</v>
      </c>
      <c r="G607" s="1" t="str">
        <f t="shared" si="1121"/>
        <v>0</v>
      </c>
      <c r="H607" s="1" t="str">
        <f t="shared" si="1121"/>
        <v>0</v>
      </c>
      <c r="I607" s="1" t="str">
        <f t="shared" si="1121"/>
        <v>0</v>
      </c>
      <c r="J607" s="1" t="str">
        <f>"1"</f>
        <v>1</v>
      </c>
      <c r="K607" s="1" t="str">
        <f t="shared" ref="K607:P607" si="1122">"0"</f>
        <v>0</v>
      </c>
      <c r="L607" s="1" t="str">
        <f t="shared" si="1122"/>
        <v>0</v>
      </c>
      <c r="M607" s="1" t="str">
        <f t="shared" si="1122"/>
        <v>0</v>
      </c>
      <c r="N607" s="1" t="str">
        <f t="shared" si="1122"/>
        <v>0</v>
      </c>
      <c r="O607" s="1" t="str">
        <f t="shared" si="1122"/>
        <v>0</v>
      </c>
      <c r="P607" s="1" t="str">
        <f t="shared" si="1122"/>
        <v>0</v>
      </c>
      <c r="Q607" s="1" t="str">
        <f t="shared" si="1070"/>
        <v>0.0070</v>
      </c>
      <c r="R607" s="1" t="s">
        <v>25</v>
      </c>
      <c r="T607" s="1" t="str">
        <f t="shared" si="1071"/>
        <v>0</v>
      </c>
      <c r="U607" s="1" t="str">
        <f t="shared" si="1119"/>
        <v>0.0070</v>
      </c>
    </row>
    <row r="608" s="1" customFormat="1" spans="1:21">
      <c r="A608" s="1" t="str">
        <f>"4601991413437"</f>
        <v>4601991413437</v>
      </c>
      <c r="B608" s="1" t="s">
        <v>632</v>
      </c>
      <c r="C608" s="1" t="s">
        <v>24</v>
      </c>
      <c r="D608" s="1" t="str">
        <f t="shared" si="1067"/>
        <v>2021</v>
      </c>
      <c r="E608" s="1" t="str">
        <f t="shared" ref="E608:P608" si="1123">"0"</f>
        <v>0</v>
      </c>
      <c r="F608" s="1" t="str">
        <f t="shared" si="1123"/>
        <v>0</v>
      </c>
      <c r="G608" s="1" t="str">
        <f t="shared" si="1123"/>
        <v>0</v>
      </c>
      <c r="H608" s="1" t="str">
        <f t="shared" si="1123"/>
        <v>0</v>
      </c>
      <c r="I608" s="1" t="str">
        <f t="shared" si="1123"/>
        <v>0</v>
      </c>
      <c r="J608" s="1" t="str">
        <f t="shared" si="1123"/>
        <v>0</v>
      </c>
      <c r="K608" s="1" t="str">
        <f t="shared" si="1123"/>
        <v>0</v>
      </c>
      <c r="L608" s="1" t="str">
        <f t="shared" si="1123"/>
        <v>0</v>
      </c>
      <c r="M608" s="1" t="str">
        <f t="shared" si="1123"/>
        <v>0</v>
      </c>
      <c r="N608" s="1" t="str">
        <f t="shared" si="1123"/>
        <v>0</v>
      </c>
      <c r="O608" s="1" t="str">
        <f t="shared" si="1123"/>
        <v>0</v>
      </c>
      <c r="P608" s="1" t="str">
        <f t="shared" si="1123"/>
        <v>0</v>
      </c>
      <c r="Q608" s="1" t="str">
        <f t="shared" si="1070"/>
        <v>0.0070</v>
      </c>
      <c r="R608" s="1" t="s">
        <v>25</v>
      </c>
      <c r="T608" s="1" t="str">
        <f t="shared" si="1071"/>
        <v>0</v>
      </c>
      <c r="U608" s="1" t="str">
        <f t="shared" si="1119"/>
        <v>0.0070</v>
      </c>
    </row>
    <row r="609" s="1" customFormat="1" spans="1:21">
      <c r="A609" s="1" t="str">
        <f>"4601991413459"</f>
        <v>4601991413459</v>
      </c>
      <c r="B609" s="1" t="s">
        <v>633</v>
      </c>
      <c r="C609" s="1" t="s">
        <v>24</v>
      </c>
      <c r="D609" s="1" t="str">
        <f t="shared" si="1067"/>
        <v>2021</v>
      </c>
      <c r="E609" s="1" t="str">
        <f t="shared" ref="E609:P609" si="1124">"0"</f>
        <v>0</v>
      </c>
      <c r="F609" s="1" t="str">
        <f t="shared" si="1124"/>
        <v>0</v>
      </c>
      <c r="G609" s="1" t="str">
        <f t="shared" si="1124"/>
        <v>0</v>
      </c>
      <c r="H609" s="1" t="str">
        <f t="shared" si="1124"/>
        <v>0</v>
      </c>
      <c r="I609" s="1" t="str">
        <f t="shared" si="1124"/>
        <v>0</v>
      </c>
      <c r="J609" s="1" t="str">
        <f t="shared" si="1124"/>
        <v>0</v>
      </c>
      <c r="K609" s="1" t="str">
        <f t="shared" si="1124"/>
        <v>0</v>
      </c>
      <c r="L609" s="1" t="str">
        <f t="shared" si="1124"/>
        <v>0</v>
      </c>
      <c r="M609" s="1" t="str">
        <f t="shared" si="1124"/>
        <v>0</v>
      </c>
      <c r="N609" s="1" t="str">
        <f t="shared" si="1124"/>
        <v>0</v>
      </c>
      <c r="O609" s="1" t="str">
        <f t="shared" si="1124"/>
        <v>0</v>
      </c>
      <c r="P609" s="1" t="str">
        <f t="shared" si="1124"/>
        <v>0</v>
      </c>
      <c r="Q609" s="1" t="str">
        <f t="shared" si="1070"/>
        <v>0.0070</v>
      </c>
      <c r="R609" s="1" t="s">
        <v>25</v>
      </c>
      <c r="T609" s="1" t="str">
        <f t="shared" si="1071"/>
        <v>0</v>
      </c>
      <c r="U609" s="1" t="str">
        <f t="shared" si="1119"/>
        <v>0.0070</v>
      </c>
    </row>
    <row r="610" s="1" customFormat="1" spans="1:21">
      <c r="A610" s="1" t="str">
        <f>"4601991412054"</f>
        <v>4601991412054</v>
      </c>
      <c r="B610" s="1" t="s">
        <v>634</v>
      </c>
      <c r="C610" s="1" t="s">
        <v>24</v>
      </c>
      <c r="D610" s="1" t="str">
        <f t="shared" si="1067"/>
        <v>2021</v>
      </c>
      <c r="E610" s="1" t="str">
        <f>"183.73"</f>
        <v>183.73</v>
      </c>
      <c r="F610" s="1" t="str">
        <f t="shared" ref="F610:I610" si="1125">"0"</f>
        <v>0</v>
      </c>
      <c r="G610" s="1" t="str">
        <f t="shared" si="1125"/>
        <v>0</v>
      </c>
      <c r="H610" s="1" t="str">
        <f t="shared" si="1125"/>
        <v>0</v>
      </c>
      <c r="I610" s="1" t="str">
        <f t="shared" si="1125"/>
        <v>0</v>
      </c>
      <c r="J610" s="1" t="str">
        <f>"19"</f>
        <v>19</v>
      </c>
      <c r="K610" s="1" t="str">
        <f t="shared" ref="K610:P610" si="1126">"0"</f>
        <v>0</v>
      </c>
      <c r="L610" s="1" t="str">
        <f t="shared" si="1126"/>
        <v>0</v>
      </c>
      <c r="M610" s="1" t="str">
        <f t="shared" si="1126"/>
        <v>0</v>
      </c>
      <c r="N610" s="1" t="str">
        <f t="shared" si="1126"/>
        <v>0</v>
      </c>
      <c r="O610" s="1" t="str">
        <f t="shared" si="1126"/>
        <v>0</v>
      </c>
      <c r="P610" s="1" t="str">
        <f t="shared" si="1126"/>
        <v>0</v>
      </c>
      <c r="Q610" s="1" t="str">
        <f t="shared" si="1070"/>
        <v>0.0070</v>
      </c>
      <c r="R610" s="1" t="s">
        <v>29</v>
      </c>
      <c r="S610" s="1">
        <v>-0.0014</v>
      </c>
      <c r="T610" s="1" t="str">
        <f t="shared" si="1071"/>
        <v>0</v>
      </c>
      <c r="U610" s="1" t="str">
        <f t="shared" ref="U610:U612" si="1127">"0.0056"</f>
        <v>0.0056</v>
      </c>
    </row>
    <row r="611" s="1" customFormat="1" spans="1:21">
      <c r="A611" s="1" t="str">
        <f>"4601991412134"</f>
        <v>4601991412134</v>
      </c>
      <c r="B611" s="1" t="s">
        <v>635</v>
      </c>
      <c r="C611" s="1" t="s">
        <v>24</v>
      </c>
      <c r="D611" s="1" t="str">
        <f t="shared" si="1067"/>
        <v>2021</v>
      </c>
      <c r="E611" s="1" t="str">
        <f>"9.67"</f>
        <v>9.67</v>
      </c>
      <c r="F611" s="1" t="str">
        <f t="shared" ref="F611:I611" si="1128">"0"</f>
        <v>0</v>
      </c>
      <c r="G611" s="1" t="str">
        <f t="shared" si="1128"/>
        <v>0</v>
      </c>
      <c r="H611" s="1" t="str">
        <f t="shared" si="1128"/>
        <v>0</v>
      </c>
      <c r="I611" s="1" t="str">
        <f t="shared" si="1128"/>
        <v>0</v>
      </c>
      <c r="J611" s="1" t="str">
        <f>"1"</f>
        <v>1</v>
      </c>
      <c r="K611" s="1" t="str">
        <f t="shared" ref="K611:P611" si="1129">"0"</f>
        <v>0</v>
      </c>
      <c r="L611" s="1" t="str">
        <f t="shared" si="1129"/>
        <v>0</v>
      </c>
      <c r="M611" s="1" t="str">
        <f t="shared" si="1129"/>
        <v>0</v>
      </c>
      <c r="N611" s="1" t="str">
        <f t="shared" si="1129"/>
        <v>0</v>
      </c>
      <c r="O611" s="1" t="str">
        <f t="shared" si="1129"/>
        <v>0</v>
      </c>
      <c r="P611" s="1" t="str">
        <f t="shared" si="1129"/>
        <v>0</v>
      </c>
      <c r="Q611" s="1" t="str">
        <f t="shared" si="1070"/>
        <v>0.0070</v>
      </c>
      <c r="R611" s="1" t="s">
        <v>29</v>
      </c>
      <c r="S611" s="1">
        <v>-0.0014</v>
      </c>
      <c r="T611" s="1" t="str">
        <f t="shared" si="1071"/>
        <v>0</v>
      </c>
      <c r="U611" s="1" t="str">
        <f t="shared" si="1127"/>
        <v>0.0056</v>
      </c>
    </row>
    <row r="612" s="1" customFormat="1" spans="1:21">
      <c r="A612" s="1" t="str">
        <f>"4601991412159"</f>
        <v>4601991412159</v>
      </c>
      <c r="B612" s="1" t="s">
        <v>636</v>
      </c>
      <c r="C612" s="1" t="s">
        <v>24</v>
      </c>
      <c r="D612" s="1" t="str">
        <f t="shared" si="1067"/>
        <v>2021</v>
      </c>
      <c r="E612" s="1" t="str">
        <f>"29.01"</f>
        <v>29.01</v>
      </c>
      <c r="F612" s="1" t="str">
        <f t="shared" ref="F612:I612" si="1130">"0"</f>
        <v>0</v>
      </c>
      <c r="G612" s="1" t="str">
        <f t="shared" si="1130"/>
        <v>0</v>
      </c>
      <c r="H612" s="1" t="str">
        <f t="shared" si="1130"/>
        <v>0</v>
      </c>
      <c r="I612" s="1" t="str">
        <f t="shared" si="1130"/>
        <v>0</v>
      </c>
      <c r="J612" s="1" t="str">
        <f>"3"</f>
        <v>3</v>
      </c>
      <c r="K612" s="1" t="str">
        <f t="shared" ref="K612:P612" si="1131">"0"</f>
        <v>0</v>
      </c>
      <c r="L612" s="1" t="str">
        <f t="shared" si="1131"/>
        <v>0</v>
      </c>
      <c r="M612" s="1" t="str">
        <f t="shared" si="1131"/>
        <v>0</v>
      </c>
      <c r="N612" s="1" t="str">
        <f t="shared" si="1131"/>
        <v>0</v>
      </c>
      <c r="O612" s="1" t="str">
        <f t="shared" si="1131"/>
        <v>0</v>
      </c>
      <c r="P612" s="1" t="str">
        <f t="shared" si="1131"/>
        <v>0</v>
      </c>
      <c r="Q612" s="1" t="str">
        <f t="shared" si="1070"/>
        <v>0.0070</v>
      </c>
      <c r="R612" s="1" t="s">
        <v>29</v>
      </c>
      <c r="S612" s="1">
        <v>-0.0014</v>
      </c>
      <c r="T612" s="1" t="str">
        <f t="shared" si="1071"/>
        <v>0</v>
      </c>
      <c r="U612" s="1" t="str">
        <f t="shared" si="1127"/>
        <v>0.0056</v>
      </c>
    </row>
    <row r="613" s="1" customFormat="1" spans="1:21">
      <c r="A613" s="1" t="str">
        <f>"4601991412165"</f>
        <v>4601991412165</v>
      </c>
      <c r="B613" s="1" t="s">
        <v>637</v>
      </c>
      <c r="C613" s="1" t="s">
        <v>24</v>
      </c>
      <c r="D613" s="1" t="str">
        <f t="shared" si="1067"/>
        <v>2021</v>
      </c>
      <c r="E613" s="1" t="str">
        <f t="shared" ref="E613:P613" si="1132">"0"</f>
        <v>0</v>
      </c>
      <c r="F613" s="1" t="str">
        <f t="shared" si="1132"/>
        <v>0</v>
      </c>
      <c r="G613" s="1" t="str">
        <f t="shared" si="1132"/>
        <v>0</v>
      </c>
      <c r="H613" s="1" t="str">
        <f t="shared" si="1132"/>
        <v>0</v>
      </c>
      <c r="I613" s="1" t="str">
        <f t="shared" si="1132"/>
        <v>0</v>
      </c>
      <c r="J613" s="1" t="str">
        <f t="shared" si="1132"/>
        <v>0</v>
      </c>
      <c r="K613" s="1" t="str">
        <f t="shared" si="1132"/>
        <v>0</v>
      </c>
      <c r="L613" s="1" t="str">
        <f t="shared" si="1132"/>
        <v>0</v>
      </c>
      <c r="M613" s="1" t="str">
        <f t="shared" si="1132"/>
        <v>0</v>
      </c>
      <c r="N613" s="1" t="str">
        <f t="shared" si="1132"/>
        <v>0</v>
      </c>
      <c r="O613" s="1" t="str">
        <f t="shared" si="1132"/>
        <v>0</v>
      </c>
      <c r="P613" s="1" t="str">
        <f t="shared" si="1132"/>
        <v>0</v>
      </c>
      <c r="Q613" s="1" t="str">
        <f t="shared" si="1070"/>
        <v>0.0070</v>
      </c>
      <c r="R613" s="1" t="s">
        <v>25</v>
      </c>
      <c r="T613" s="1" t="str">
        <f t="shared" si="1071"/>
        <v>0</v>
      </c>
      <c r="U613" s="1" t="str">
        <f t="shared" ref="U613:U617" si="1133">"0.0070"</f>
        <v>0.0070</v>
      </c>
    </row>
    <row r="614" s="1" customFormat="1" spans="1:21">
      <c r="A614" s="1" t="str">
        <f>"4601991412868"</f>
        <v>4601991412868</v>
      </c>
      <c r="B614" s="1" t="s">
        <v>638</v>
      </c>
      <c r="C614" s="1" t="s">
        <v>24</v>
      </c>
      <c r="D614" s="1" t="str">
        <f t="shared" si="1067"/>
        <v>2021</v>
      </c>
      <c r="E614" s="1" t="str">
        <f>"9.67"</f>
        <v>9.67</v>
      </c>
      <c r="F614" s="1" t="str">
        <f t="shared" ref="F614:I614" si="1134">"0"</f>
        <v>0</v>
      </c>
      <c r="G614" s="1" t="str">
        <f t="shared" si="1134"/>
        <v>0</v>
      </c>
      <c r="H614" s="1" t="str">
        <f t="shared" si="1134"/>
        <v>0</v>
      </c>
      <c r="I614" s="1" t="str">
        <f t="shared" si="1134"/>
        <v>0</v>
      </c>
      <c r="J614" s="1" t="str">
        <f>"1"</f>
        <v>1</v>
      </c>
      <c r="K614" s="1" t="str">
        <f t="shared" ref="K614:P614" si="1135">"0"</f>
        <v>0</v>
      </c>
      <c r="L614" s="1" t="str">
        <f t="shared" si="1135"/>
        <v>0</v>
      </c>
      <c r="M614" s="1" t="str">
        <f t="shared" si="1135"/>
        <v>0</v>
      </c>
      <c r="N614" s="1" t="str">
        <f t="shared" si="1135"/>
        <v>0</v>
      </c>
      <c r="O614" s="1" t="str">
        <f t="shared" si="1135"/>
        <v>0</v>
      </c>
      <c r="P614" s="1" t="str">
        <f t="shared" si="1135"/>
        <v>0</v>
      </c>
      <c r="Q614" s="1" t="str">
        <f t="shared" si="1070"/>
        <v>0.0070</v>
      </c>
      <c r="R614" s="1" t="s">
        <v>29</v>
      </c>
      <c r="S614" s="1">
        <v>-0.0014</v>
      </c>
      <c r="T614" s="1" t="str">
        <f t="shared" si="1071"/>
        <v>0</v>
      </c>
      <c r="U614" s="1" t="str">
        <f t="shared" ref="U614:U621" si="1136">"0.0056"</f>
        <v>0.0056</v>
      </c>
    </row>
    <row r="615" s="1" customFormat="1" spans="1:21">
      <c r="A615" s="1" t="str">
        <f>"4601991412858"</f>
        <v>4601991412858</v>
      </c>
      <c r="B615" s="1" t="s">
        <v>639</v>
      </c>
      <c r="C615" s="1" t="s">
        <v>24</v>
      </c>
      <c r="D615" s="1" t="str">
        <f t="shared" si="1067"/>
        <v>2021</v>
      </c>
      <c r="E615" s="1" t="str">
        <f>"174.06"</f>
        <v>174.06</v>
      </c>
      <c r="F615" s="1" t="str">
        <f t="shared" ref="F615:I615" si="1137">"0"</f>
        <v>0</v>
      </c>
      <c r="G615" s="1" t="str">
        <f t="shared" si="1137"/>
        <v>0</v>
      </c>
      <c r="H615" s="1" t="str">
        <f t="shared" si="1137"/>
        <v>0</v>
      </c>
      <c r="I615" s="1" t="str">
        <f t="shared" si="1137"/>
        <v>0</v>
      </c>
      <c r="J615" s="1" t="str">
        <f>"18"</f>
        <v>18</v>
      </c>
      <c r="K615" s="1" t="str">
        <f t="shared" ref="K615:P615" si="1138">"0"</f>
        <v>0</v>
      </c>
      <c r="L615" s="1" t="str">
        <f t="shared" si="1138"/>
        <v>0</v>
      </c>
      <c r="M615" s="1" t="str">
        <f t="shared" si="1138"/>
        <v>0</v>
      </c>
      <c r="N615" s="1" t="str">
        <f t="shared" si="1138"/>
        <v>0</v>
      </c>
      <c r="O615" s="1" t="str">
        <f t="shared" si="1138"/>
        <v>0</v>
      </c>
      <c r="P615" s="1" t="str">
        <f t="shared" si="1138"/>
        <v>0</v>
      </c>
      <c r="Q615" s="1" t="str">
        <f t="shared" si="1070"/>
        <v>0.0070</v>
      </c>
      <c r="R615" s="1" t="s">
        <v>29</v>
      </c>
      <c r="S615" s="1">
        <v>-0.0014</v>
      </c>
      <c r="T615" s="1" t="str">
        <f t="shared" si="1071"/>
        <v>0</v>
      </c>
      <c r="U615" s="1" t="str">
        <f t="shared" si="1136"/>
        <v>0.0056</v>
      </c>
    </row>
    <row r="616" s="1" customFormat="1" spans="1:21">
      <c r="A616" s="1" t="str">
        <f>"4601991422828"</f>
        <v>4601991422828</v>
      </c>
      <c r="B616" s="1" t="s">
        <v>640</v>
      </c>
      <c r="C616" s="1" t="s">
        <v>24</v>
      </c>
      <c r="D616" s="1" t="str">
        <f t="shared" si="1067"/>
        <v>2021</v>
      </c>
      <c r="E616" s="1" t="str">
        <f t="shared" ref="E616:P616" si="1139">"0"</f>
        <v>0</v>
      </c>
      <c r="F616" s="1" t="str">
        <f t="shared" si="1139"/>
        <v>0</v>
      </c>
      <c r="G616" s="1" t="str">
        <f t="shared" si="1139"/>
        <v>0</v>
      </c>
      <c r="H616" s="1" t="str">
        <f t="shared" si="1139"/>
        <v>0</v>
      </c>
      <c r="I616" s="1" t="str">
        <f t="shared" si="1139"/>
        <v>0</v>
      </c>
      <c r="J616" s="1" t="str">
        <f t="shared" si="1139"/>
        <v>0</v>
      </c>
      <c r="K616" s="1" t="str">
        <f t="shared" si="1139"/>
        <v>0</v>
      </c>
      <c r="L616" s="1" t="str">
        <f t="shared" si="1139"/>
        <v>0</v>
      </c>
      <c r="M616" s="1" t="str">
        <f t="shared" si="1139"/>
        <v>0</v>
      </c>
      <c r="N616" s="1" t="str">
        <f t="shared" si="1139"/>
        <v>0</v>
      </c>
      <c r="O616" s="1" t="str">
        <f t="shared" si="1139"/>
        <v>0</v>
      </c>
      <c r="P616" s="1" t="str">
        <f t="shared" si="1139"/>
        <v>0</v>
      </c>
      <c r="Q616" s="1" t="str">
        <f t="shared" si="1070"/>
        <v>0.0070</v>
      </c>
      <c r="R616" s="1" t="s">
        <v>25</v>
      </c>
      <c r="T616" s="1" t="str">
        <f t="shared" si="1071"/>
        <v>0</v>
      </c>
      <c r="U616" s="1" t="str">
        <f t="shared" si="1133"/>
        <v>0.0070</v>
      </c>
    </row>
    <row r="617" s="1" customFormat="1" spans="1:21">
      <c r="A617" s="1" t="str">
        <f>"4601991422184"</f>
        <v>4601991422184</v>
      </c>
      <c r="B617" s="1" t="s">
        <v>641</v>
      </c>
      <c r="C617" s="1" t="s">
        <v>24</v>
      </c>
      <c r="D617" s="1" t="str">
        <f t="shared" si="1067"/>
        <v>2021</v>
      </c>
      <c r="E617" s="1" t="str">
        <f t="shared" ref="E617:P617" si="1140">"0"</f>
        <v>0</v>
      </c>
      <c r="F617" s="1" t="str">
        <f t="shared" si="1140"/>
        <v>0</v>
      </c>
      <c r="G617" s="1" t="str">
        <f t="shared" si="1140"/>
        <v>0</v>
      </c>
      <c r="H617" s="1" t="str">
        <f t="shared" si="1140"/>
        <v>0</v>
      </c>
      <c r="I617" s="1" t="str">
        <f t="shared" si="1140"/>
        <v>0</v>
      </c>
      <c r="J617" s="1" t="str">
        <f t="shared" si="1140"/>
        <v>0</v>
      </c>
      <c r="K617" s="1" t="str">
        <f t="shared" si="1140"/>
        <v>0</v>
      </c>
      <c r="L617" s="1" t="str">
        <f t="shared" si="1140"/>
        <v>0</v>
      </c>
      <c r="M617" s="1" t="str">
        <f t="shared" si="1140"/>
        <v>0</v>
      </c>
      <c r="N617" s="1" t="str">
        <f t="shared" si="1140"/>
        <v>0</v>
      </c>
      <c r="O617" s="1" t="str">
        <f t="shared" si="1140"/>
        <v>0</v>
      </c>
      <c r="P617" s="1" t="str">
        <f t="shared" si="1140"/>
        <v>0</v>
      </c>
      <c r="Q617" s="1" t="str">
        <f t="shared" si="1070"/>
        <v>0.0070</v>
      </c>
      <c r="R617" s="1" t="s">
        <v>25</v>
      </c>
      <c r="T617" s="1" t="str">
        <f t="shared" si="1071"/>
        <v>0</v>
      </c>
      <c r="U617" s="1" t="str">
        <f t="shared" si="1133"/>
        <v>0.0070</v>
      </c>
    </row>
    <row r="618" s="1" customFormat="1" spans="1:21">
      <c r="A618" s="1" t="str">
        <f>"4601991422172"</f>
        <v>4601991422172</v>
      </c>
      <c r="B618" s="1" t="s">
        <v>642</v>
      </c>
      <c r="C618" s="1" t="s">
        <v>24</v>
      </c>
      <c r="D618" s="1" t="str">
        <f t="shared" si="1067"/>
        <v>2021</v>
      </c>
      <c r="E618" s="1" t="str">
        <f>"275.54"</f>
        <v>275.54</v>
      </c>
      <c r="F618" s="1" t="str">
        <f t="shared" ref="F618:I618" si="1141">"0"</f>
        <v>0</v>
      </c>
      <c r="G618" s="1" t="str">
        <f t="shared" si="1141"/>
        <v>0</v>
      </c>
      <c r="H618" s="1" t="str">
        <f t="shared" si="1141"/>
        <v>0</v>
      </c>
      <c r="I618" s="1" t="str">
        <f t="shared" si="1141"/>
        <v>0</v>
      </c>
      <c r="J618" s="1" t="str">
        <f>"20"</f>
        <v>20</v>
      </c>
      <c r="K618" s="1" t="str">
        <f t="shared" ref="K618:P618" si="1142">"0"</f>
        <v>0</v>
      </c>
      <c r="L618" s="1" t="str">
        <f t="shared" si="1142"/>
        <v>0</v>
      </c>
      <c r="M618" s="1" t="str">
        <f t="shared" si="1142"/>
        <v>0</v>
      </c>
      <c r="N618" s="1" t="str">
        <f t="shared" si="1142"/>
        <v>0</v>
      </c>
      <c r="O618" s="1" t="str">
        <f t="shared" si="1142"/>
        <v>0</v>
      </c>
      <c r="P618" s="1" t="str">
        <f t="shared" si="1142"/>
        <v>0</v>
      </c>
      <c r="Q618" s="1" t="str">
        <f t="shared" si="1070"/>
        <v>0.0070</v>
      </c>
      <c r="R618" s="1" t="s">
        <v>29</v>
      </c>
      <c r="S618" s="1">
        <v>-0.0014</v>
      </c>
      <c r="T618" s="1" t="str">
        <f t="shared" si="1071"/>
        <v>0</v>
      </c>
      <c r="U618" s="1" t="str">
        <f t="shared" si="1136"/>
        <v>0.0056</v>
      </c>
    </row>
    <row r="619" s="1" customFormat="1" spans="1:21">
      <c r="A619" s="1" t="str">
        <f>"4601991421015"</f>
        <v>4601991421015</v>
      </c>
      <c r="B619" s="1" t="s">
        <v>643</v>
      </c>
      <c r="C619" s="1" t="s">
        <v>24</v>
      </c>
      <c r="D619" s="1" t="str">
        <f t="shared" si="1067"/>
        <v>2021</v>
      </c>
      <c r="E619" s="1" t="str">
        <f>"48.35"</f>
        <v>48.35</v>
      </c>
      <c r="F619" s="1" t="str">
        <f t="shared" ref="F619:I619" si="1143">"0"</f>
        <v>0</v>
      </c>
      <c r="G619" s="1" t="str">
        <f t="shared" si="1143"/>
        <v>0</v>
      </c>
      <c r="H619" s="1" t="str">
        <f t="shared" si="1143"/>
        <v>0</v>
      </c>
      <c r="I619" s="1" t="str">
        <f t="shared" si="1143"/>
        <v>0</v>
      </c>
      <c r="J619" s="1" t="str">
        <f>"4"</f>
        <v>4</v>
      </c>
      <c r="K619" s="1" t="str">
        <f t="shared" ref="K619:P619" si="1144">"0"</f>
        <v>0</v>
      </c>
      <c r="L619" s="1" t="str">
        <f t="shared" si="1144"/>
        <v>0</v>
      </c>
      <c r="M619" s="1" t="str">
        <f t="shared" si="1144"/>
        <v>0</v>
      </c>
      <c r="N619" s="1" t="str">
        <f t="shared" si="1144"/>
        <v>0</v>
      </c>
      <c r="O619" s="1" t="str">
        <f t="shared" si="1144"/>
        <v>0</v>
      </c>
      <c r="P619" s="1" t="str">
        <f t="shared" si="1144"/>
        <v>0</v>
      </c>
      <c r="Q619" s="1" t="str">
        <f t="shared" si="1070"/>
        <v>0.0070</v>
      </c>
      <c r="R619" s="1" t="s">
        <v>29</v>
      </c>
      <c r="S619" s="1">
        <v>-0.0014</v>
      </c>
      <c r="T619" s="1" t="str">
        <f t="shared" si="1071"/>
        <v>0</v>
      </c>
      <c r="U619" s="1" t="str">
        <f t="shared" si="1136"/>
        <v>0.0056</v>
      </c>
    </row>
    <row r="620" s="1" customFormat="1" spans="1:21">
      <c r="A620" s="1" t="str">
        <f>"4601991421024"</f>
        <v>4601991421024</v>
      </c>
      <c r="B620" s="1" t="s">
        <v>644</v>
      </c>
      <c r="C620" s="1" t="s">
        <v>24</v>
      </c>
      <c r="D620" s="1" t="str">
        <f t="shared" si="1067"/>
        <v>2021</v>
      </c>
      <c r="E620" s="1" t="str">
        <f>"77.49"</f>
        <v>77.49</v>
      </c>
      <c r="F620" s="1" t="str">
        <f t="shared" ref="F620:I620" si="1145">"0"</f>
        <v>0</v>
      </c>
      <c r="G620" s="1" t="str">
        <f t="shared" si="1145"/>
        <v>0</v>
      </c>
      <c r="H620" s="1" t="str">
        <f t="shared" si="1145"/>
        <v>0</v>
      </c>
      <c r="I620" s="1" t="str">
        <f t="shared" si="1145"/>
        <v>0</v>
      </c>
      <c r="J620" s="1" t="str">
        <f>"9"</f>
        <v>9</v>
      </c>
      <c r="K620" s="1" t="str">
        <f t="shared" ref="K620:P620" si="1146">"0"</f>
        <v>0</v>
      </c>
      <c r="L620" s="1" t="str">
        <f t="shared" si="1146"/>
        <v>0</v>
      </c>
      <c r="M620" s="1" t="str">
        <f t="shared" si="1146"/>
        <v>0</v>
      </c>
      <c r="N620" s="1" t="str">
        <f t="shared" si="1146"/>
        <v>0</v>
      </c>
      <c r="O620" s="1" t="str">
        <f t="shared" si="1146"/>
        <v>0</v>
      </c>
      <c r="P620" s="1" t="str">
        <f t="shared" si="1146"/>
        <v>0</v>
      </c>
      <c r="Q620" s="1" t="str">
        <f t="shared" si="1070"/>
        <v>0.0070</v>
      </c>
      <c r="R620" s="1" t="s">
        <v>29</v>
      </c>
      <c r="S620" s="1">
        <v>-0.0014</v>
      </c>
      <c r="T620" s="1" t="str">
        <f t="shared" si="1071"/>
        <v>0</v>
      </c>
      <c r="U620" s="1" t="str">
        <f t="shared" si="1136"/>
        <v>0.0056</v>
      </c>
    </row>
    <row r="621" s="1" customFormat="1" spans="1:21">
      <c r="A621" s="1" t="str">
        <f>"4601991422904"</f>
        <v>4601991422904</v>
      </c>
      <c r="B621" s="1" t="s">
        <v>645</v>
      </c>
      <c r="C621" s="1" t="s">
        <v>24</v>
      </c>
      <c r="D621" s="1" t="str">
        <f t="shared" si="1067"/>
        <v>2021</v>
      </c>
      <c r="E621" s="1" t="str">
        <f>"19.34"</f>
        <v>19.34</v>
      </c>
      <c r="F621" s="1" t="str">
        <f t="shared" ref="F621:I621" si="1147">"0"</f>
        <v>0</v>
      </c>
      <c r="G621" s="1" t="str">
        <f t="shared" si="1147"/>
        <v>0</v>
      </c>
      <c r="H621" s="1" t="str">
        <f t="shared" si="1147"/>
        <v>0</v>
      </c>
      <c r="I621" s="1" t="str">
        <f t="shared" si="1147"/>
        <v>0</v>
      </c>
      <c r="J621" s="1" t="str">
        <f>"3"</f>
        <v>3</v>
      </c>
      <c r="K621" s="1" t="str">
        <f t="shared" ref="K621:P621" si="1148">"0"</f>
        <v>0</v>
      </c>
      <c r="L621" s="1" t="str">
        <f t="shared" si="1148"/>
        <v>0</v>
      </c>
      <c r="M621" s="1" t="str">
        <f t="shared" si="1148"/>
        <v>0</v>
      </c>
      <c r="N621" s="1" t="str">
        <f t="shared" si="1148"/>
        <v>0</v>
      </c>
      <c r="O621" s="1" t="str">
        <f t="shared" si="1148"/>
        <v>0</v>
      </c>
      <c r="P621" s="1" t="str">
        <f t="shared" si="1148"/>
        <v>0</v>
      </c>
      <c r="Q621" s="1" t="str">
        <f t="shared" si="1070"/>
        <v>0.0070</v>
      </c>
      <c r="R621" s="1" t="s">
        <v>29</v>
      </c>
      <c r="S621" s="1">
        <v>-0.0014</v>
      </c>
      <c r="T621" s="1" t="str">
        <f t="shared" si="1071"/>
        <v>0</v>
      </c>
      <c r="U621" s="1" t="str">
        <f t="shared" si="1136"/>
        <v>0.0056</v>
      </c>
    </row>
    <row r="622" s="1" customFormat="1" spans="1:21">
      <c r="A622" s="1" t="str">
        <f>"4601991422964"</f>
        <v>4601991422964</v>
      </c>
      <c r="B622" s="1" t="s">
        <v>646</v>
      </c>
      <c r="C622" s="1" t="s">
        <v>24</v>
      </c>
      <c r="D622" s="1" t="str">
        <f t="shared" si="1067"/>
        <v>2021</v>
      </c>
      <c r="E622" s="1" t="str">
        <f t="shared" ref="E622:P622" si="1149">"0"</f>
        <v>0</v>
      </c>
      <c r="F622" s="1" t="str">
        <f t="shared" si="1149"/>
        <v>0</v>
      </c>
      <c r="G622" s="1" t="str">
        <f t="shared" si="1149"/>
        <v>0</v>
      </c>
      <c r="H622" s="1" t="str">
        <f t="shared" si="1149"/>
        <v>0</v>
      </c>
      <c r="I622" s="1" t="str">
        <f t="shared" si="1149"/>
        <v>0</v>
      </c>
      <c r="J622" s="1" t="str">
        <f t="shared" si="1149"/>
        <v>0</v>
      </c>
      <c r="K622" s="1" t="str">
        <f t="shared" si="1149"/>
        <v>0</v>
      </c>
      <c r="L622" s="1" t="str">
        <f t="shared" si="1149"/>
        <v>0</v>
      </c>
      <c r="M622" s="1" t="str">
        <f t="shared" si="1149"/>
        <v>0</v>
      </c>
      <c r="N622" s="1" t="str">
        <f t="shared" si="1149"/>
        <v>0</v>
      </c>
      <c r="O622" s="1" t="str">
        <f t="shared" si="1149"/>
        <v>0</v>
      </c>
      <c r="P622" s="1" t="str">
        <f t="shared" si="1149"/>
        <v>0</v>
      </c>
      <c r="Q622" s="1" t="str">
        <f t="shared" si="1070"/>
        <v>0.0070</v>
      </c>
      <c r="R622" s="1" t="s">
        <v>25</v>
      </c>
      <c r="T622" s="1" t="str">
        <f t="shared" si="1071"/>
        <v>0</v>
      </c>
      <c r="U622" s="1" t="str">
        <f>"0.0070"</f>
        <v>0.0070</v>
      </c>
    </row>
    <row r="623" s="1" customFormat="1" spans="1:21">
      <c r="A623" s="1" t="str">
        <f>"4601991421586"</f>
        <v>4601991421586</v>
      </c>
      <c r="B623" s="1" t="s">
        <v>647</v>
      </c>
      <c r="C623" s="1" t="s">
        <v>24</v>
      </c>
      <c r="D623" s="1" t="str">
        <f t="shared" si="1067"/>
        <v>2021</v>
      </c>
      <c r="E623" s="1" t="str">
        <f>"19.34"</f>
        <v>19.34</v>
      </c>
      <c r="F623" s="1" t="str">
        <f t="shared" ref="F623:I623" si="1150">"0"</f>
        <v>0</v>
      </c>
      <c r="G623" s="1" t="str">
        <f t="shared" si="1150"/>
        <v>0</v>
      </c>
      <c r="H623" s="1" t="str">
        <f t="shared" si="1150"/>
        <v>0</v>
      </c>
      <c r="I623" s="1" t="str">
        <f t="shared" si="1150"/>
        <v>0</v>
      </c>
      <c r="J623" s="1" t="str">
        <f>"3"</f>
        <v>3</v>
      </c>
      <c r="K623" s="1" t="str">
        <f t="shared" ref="K623:P623" si="1151">"0"</f>
        <v>0</v>
      </c>
      <c r="L623" s="1" t="str">
        <f t="shared" si="1151"/>
        <v>0</v>
      </c>
      <c r="M623" s="1" t="str">
        <f t="shared" si="1151"/>
        <v>0</v>
      </c>
      <c r="N623" s="1" t="str">
        <f t="shared" si="1151"/>
        <v>0</v>
      </c>
      <c r="O623" s="1" t="str">
        <f t="shared" si="1151"/>
        <v>0</v>
      </c>
      <c r="P623" s="1" t="str">
        <f t="shared" si="1151"/>
        <v>0</v>
      </c>
      <c r="Q623" s="1" t="str">
        <f t="shared" si="1070"/>
        <v>0.0070</v>
      </c>
      <c r="R623" s="1" t="s">
        <v>29</v>
      </c>
      <c r="S623" s="1">
        <v>-0.0014</v>
      </c>
      <c r="T623" s="1" t="str">
        <f t="shared" si="1071"/>
        <v>0</v>
      </c>
      <c r="U623" s="1" t="str">
        <f t="shared" ref="U623:U628" si="1152">"0.0056"</f>
        <v>0.0056</v>
      </c>
    </row>
    <row r="624" s="1" customFormat="1" spans="1:21">
      <c r="A624" s="1" t="str">
        <f>"4601991421637"</f>
        <v>4601991421637</v>
      </c>
      <c r="B624" s="1" t="s">
        <v>648</v>
      </c>
      <c r="C624" s="1" t="s">
        <v>24</v>
      </c>
      <c r="D624" s="1" t="str">
        <f t="shared" si="1067"/>
        <v>2021</v>
      </c>
      <c r="E624" s="1" t="str">
        <f t="shared" ref="E624:P624" si="1153">"0"</f>
        <v>0</v>
      </c>
      <c r="F624" s="1" t="str">
        <f t="shared" si="1153"/>
        <v>0</v>
      </c>
      <c r="G624" s="1" t="str">
        <f t="shared" si="1153"/>
        <v>0</v>
      </c>
      <c r="H624" s="1" t="str">
        <f t="shared" si="1153"/>
        <v>0</v>
      </c>
      <c r="I624" s="1" t="str">
        <f t="shared" si="1153"/>
        <v>0</v>
      </c>
      <c r="J624" s="1" t="str">
        <f t="shared" si="1153"/>
        <v>0</v>
      </c>
      <c r="K624" s="1" t="str">
        <f t="shared" si="1153"/>
        <v>0</v>
      </c>
      <c r="L624" s="1" t="str">
        <f t="shared" si="1153"/>
        <v>0</v>
      </c>
      <c r="M624" s="1" t="str">
        <f t="shared" si="1153"/>
        <v>0</v>
      </c>
      <c r="N624" s="1" t="str">
        <f t="shared" si="1153"/>
        <v>0</v>
      </c>
      <c r="O624" s="1" t="str">
        <f t="shared" si="1153"/>
        <v>0</v>
      </c>
      <c r="P624" s="1" t="str">
        <f t="shared" si="1153"/>
        <v>0</v>
      </c>
      <c r="Q624" s="1" t="str">
        <f t="shared" si="1070"/>
        <v>0.0070</v>
      </c>
      <c r="R624" s="1" t="s">
        <v>25</v>
      </c>
      <c r="T624" s="1" t="str">
        <f t="shared" si="1071"/>
        <v>0</v>
      </c>
      <c r="U624" s="1" t="str">
        <f>"0.0070"</f>
        <v>0.0070</v>
      </c>
    </row>
    <row r="625" s="1" customFormat="1" spans="1:21">
      <c r="A625" s="1" t="str">
        <f>"4601991422281"</f>
        <v>4601991422281</v>
      </c>
      <c r="B625" s="1" t="s">
        <v>649</v>
      </c>
      <c r="C625" s="1" t="s">
        <v>24</v>
      </c>
      <c r="D625" s="1" t="str">
        <f t="shared" si="1067"/>
        <v>2021</v>
      </c>
      <c r="E625" s="1" t="str">
        <f>"38.32"</f>
        <v>38.32</v>
      </c>
      <c r="F625" s="1" t="str">
        <f t="shared" ref="F625:I625" si="1154">"0"</f>
        <v>0</v>
      </c>
      <c r="G625" s="1" t="str">
        <f t="shared" si="1154"/>
        <v>0</v>
      </c>
      <c r="H625" s="1" t="str">
        <f t="shared" si="1154"/>
        <v>0</v>
      </c>
      <c r="I625" s="1" t="str">
        <f t="shared" si="1154"/>
        <v>0</v>
      </c>
      <c r="J625" s="1" t="str">
        <f>"4"</f>
        <v>4</v>
      </c>
      <c r="K625" s="1" t="str">
        <f t="shared" ref="K625:P625" si="1155">"0"</f>
        <v>0</v>
      </c>
      <c r="L625" s="1" t="str">
        <f t="shared" si="1155"/>
        <v>0</v>
      </c>
      <c r="M625" s="1" t="str">
        <f t="shared" si="1155"/>
        <v>0</v>
      </c>
      <c r="N625" s="1" t="str">
        <f t="shared" si="1155"/>
        <v>0</v>
      </c>
      <c r="O625" s="1" t="str">
        <f t="shared" si="1155"/>
        <v>0</v>
      </c>
      <c r="P625" s="1" t="str">
        <f t="shared" si="1155"/>
        <v>0</v>
      </c>
      <c r="Q625" s="1" t="str">
        <f t="shared" si="1070"/>
        <v>0.0070</v>
      </c>
      <c r="R625" s="1" t="s">
        <v>29</v>
      </c>
      <c r="S625" s="1">
        <v>-0.0014</v>
      </c>
      <c r="T625" s="1" t="str">
        <f t="shared" si="1071"/>
        <v>0</v>
      </c>
      <c r="U625" s="1" t="str">
        <f t="shared" si="1152"/>
        <v>0.0056</v>
      </c>
    </row>
    <row r="626" s="1" customFormat="1" spans="1:21">
      <c r="A626" s="1" t="str">
        <f>"4601991422963"</f>
        <v>4601991422963</v>
      </c>
      <c r="B626" s="1" t="s">
        <v>650</v>
      </c>
      <c r="C626" s="1" t="s">
        <v>24</v>
      </c>
      <c r="D626" s="1" t="str">
        <f t="shared" si="1067"/>
        <v>2021</v>
      </c>
      <c r="E626" s="1" t="str">
        <f>"127.24"</f>
        <v>127.24</v>
      </c>
      <c r="F626" s="1" t="str">
        <f t="shared" ref="F626:I626" si="1156">"0"</f>
        <v>0</v>
      </c>
      <c r="G626" s="1" t="str">
        <f t="shared" si="1156"/>
        <v>0</v>
      </c>
      <c r="H626" s="1" t="str">
        <f t="shared" si="1156"/>
        <v>0</v>
      </c>
      <c r="I626" s="1" t="str">
        <f t="shared" si="1156"/>
        <v>0</v>
      </c>
      <c r="J626" s="1" t="str">
        <f>"13"</f>
        <v>13</v>
      </c>
      <c r="K626" s="1" t="str">
        <f t="shared" ref="K626:P626" si="1157">"0"</f>
        <v>0</v>
      </c>
      <c r="L626" s="1" t="str">
        <f t="shared" si="1157"/>
        <v>0</v>
      </c>
      <c r="M626" s="1" t="str">
        <f t="shared" si="1157"/>
        <v>0</v>
      </c>
      <c r="N626" s="1" t="str">
        <f t="shared" si="1157"/>
        <v>0</v>
      </c>
      <c r="O626" s="1" t="str">
        <f t="shared" si="1157"/>
        <v>0</v>
      </c>
      <c r="P626" s="1" t="str">
        <f t="shared" si="1157"/>
        <v>0</v>
      </c>
      <c r="Q626" s="1" t="str">
        <f t="shared" si="1070"/>
        <v>0.0070</v>
      </c>
      <c r="R626" s="1" t="s">
        <v>29</v>
      </c>
      <c r="S626" s="1">
        <v>-0.0014</v>
      </c>
      <c r="T626" s="1" t="str">
        <f t="shared" si="1071"/>
        <v>0</v>
      </c>
      <c r="U626" s="1" t="str">
        <f t="shared" si="1152"/>
        <v>0.0056</v>
      </c>
    </row>
    <row r="627" s="1" customFormat="1" spans="1:21">
      <c r="A627" s="1" t="str">
        <f>"4601991421617"</f>
        <v>4601991421617</v>
      </c>
      <c r="B627" s="1" t="s">
        <v>651</v>
      </c>
      <c r="C627" s="1" t="s">
        <v>24</v>
      </c>
      <c r="D627" s="1" t="str">
        <f t="shared" si="1067"/>
        <v>2021</v>
      </c>
      <c r="E627" s="1" t="str">
        <f>"87.03"</f>
        <v>87.03</v>
      </c>
      <c r="F627" s="1" t="str">
        <f t="shared" ref="F627:I627" si="1158">"0"</f>
        <v>0</v>
      </c>
      <c r="G627" s="1" t="str">
        <f t="shared" si="1158"/>
        <v>0</v>
      </c>
      <c r="H627" s="1" t="str">
        <f t="shared" si="1158"/>
        <v>0</v>
      </c>
      <c r="I627" s="1" t="str">
        <f t="shared" si="1158"/>
        <v>0</v>
      </c>
      <c r="J627" s="1" t="str">
        <f>"9"</f>
        <v>9</v>
      </c>
      <c r="K627" s="1" t="str">
        <f t="shared" ref="K627:P627" si="1159">"0"</f>
        <v>0</v>
      </c>
      <c r="L627" s="1" t="str">
        <f t="shared" si="1159"/>
        <v>0</v>
      </c>
      <c r="M627" s="1" t="str">
        <f t="shared" si="1159"/>
        <v>0</v>
      </c>
      <c r="N627" s="1" t="str">
        <f t="shared" si="1159"/>
        <v>0</v>
      </c>
      <c r="O627" s="1" t="str">
        <f t="shared" si="1159"/>
        <v>0</v>
      </c>
      <c r="P627" s="1" t="str">
        <f t="shared" si="1159"/>
        <v>0</v>
      </c>
      <c r="Q627" s="1" t="str">
        <f t="shared" si="1070"/>
        <v>0.0070</v>
      </c>
      <c r="R627" s="1" t="s">
        <v>29</v>
      </c>
      <c r="S627" s="1">
        <v>-0.0014</v>
      </c>
      <c r="T627" s="1" t="str">
        <f t="shared" si="1071"/>
        <v>0</v>
      </c>
      <c r="U627" s="1" t="str">
        <f t="shared" si="1152"/>
        <v>0.0056</v>
      </c>
    </row>
    <row r="628" s="1" customFormat="1" spans="1:21">
      <c r="A628" s="1" t="str">
        <f>"4601991422289"</f>
        <v>4601991422289</v>
      </c>
      <c r="B628" s="1" t="s">
        <v>652</v>
      </c>
      <c r="C628" s="1" t="s">
        <v>24</v>
      </c>
      <c r="D628" s="1" t="str">
        <f t="shared" si="1067"/>
        <v>2021</v>
      </c>
      <c r="E628" s="1" t="str">
        <f>"86.22"</f>
        <v>86.22</v>
      </c>
      <c r="F628" s="1" t="str">
        <f t="shared" ref="F628:I628" si="1160">"0"</f>
        <v>0</v>
      </c>
      <c r="G628" s="1" t="str">
        <f t="shared" si="1160"/>
        <v>0</v>
      </c>
      <c r="H628" s="1" t="str">
        <f t="shared" si="1160"/>
        <v>0</v>
      </c>
      <c r="I628" s="1" t="str">
        <f t="shared" si="1160"/>
        <v>0</v>
      </c>
      <c r="J628" s="1" t="str">
        <f>"9"</f>
        <v>9</v>
      </c>
      <c r="K628" s="1" t="str">
        <f t="shared" ref="K628:P628" si="1161">"0"</f>
        <v>0</v>
      </c>
      <c r="L628" s="1" t="str">
        <f t="shared" si="1161"/>
        <v>0</v>
      </c>
      <c r="M628" s="1" t="str">
        <f t="shared" si="1161"/>
        <v>0</v>
      </c>
      <c r="N628" s="1" t="str">
        <f t="shared" si="1161"/>
        <v>0</v>
      </c>
      <c r="O628" s="1" t="str">
        <f t="shared" si="1161"/>
        <v>0</v>
      </c>
      <c r="P628" s="1" t="str">
        <f t="shared" si="1161"/>
        <v>0</v>
      </c>
      <c r="Q628" s="1" t="str">
        <f t="shared" si="1070"/>
        <v>0.0070</v>
      </c>
      <c r="R628" s="1" t="s">
        <v>29</v>
      </c>
      <c r="S628" s="1">
        <v>-0.0014</v>
      </c>
      <c r="T628" s="1" t="str">
        <f t="shared" si="1071"/>
        <v>0</v>
      </c>
      <c r="U628" s="1" t="str">
        <f t="shared" si="1152"/>
        <v>0.0056</v>
      </c>
    </row>
    <row r="629" s="1" customFormat="1" spans="1:21">
      <c r="A629" s="1" t="str">
        <f>"4601991423003"</f>
        <v>4601991423003</v>
      </c>
      <c r="B629" s="1" t="s">
        <v>653</v>
      </c>
      <c r="C629" s="1" t="s">
        <v>24</v>
      </c>
      <c r="D629" s="1" t="str">
        <f t="shared" si="1067"/>
        <v>2021</v>
      </c>
      <c r="E629" s="1" t="str">
        <f t="shared" ref="E629:P629" si="1162">"0"</f>
        <v>0</v>
      </c>
      <c r="F629" s="1" t="str">
        <f t="shared" si="1162"/>
        <v>0</v>
      </c>
      <c r="G629" s="1" t="str">
        <f t="shared" si="1162"/>
        <v>0</v>
      </c>
      <c r="H629" s="1" t="str">
        <f t="shared" si="1162"/>
        <v>0</v>
      </c>
      <c r="I629" s="1" t="str">
        <f t="shared" si="1162"/>
        <v>0</v>
      </c>
      <c r="J629" s="1" t="str">
        <f t="shared" si="1162"/>
        <v>0</v>
      </c>
      <c r="K629" s="1" t="str">
        <f t="shared" si="1162"/>
        <v>0</v>
      </c>
      <c r="L629" s="1" t="str">
        <f t="shared" si="1162"/>
        <v>0</v>
      </c>
      <c r="M629" s="1" t="str">
        <f t="shared" si="1162"/>
        <v>0</v>
      </c>
      <c r="N629" s="1" t="str">
        <f t="shared" si="1162"/>
        <v>0</v>
      </c>
      <c r="O629" s="1" t="str">
        <f t="shared" si="1162"/>
        <v>0</v>
      </c>
      <c r="P629" s="1" t="str">
        <f t="shared" si="1162"/>
        <v>0</v>
      </c>
      <c r="Q629" s="1" t="str">
        <f t="shared" si="1070"/>
        <v>0.0070</v>
      </c>
      <c r="R629" s="1" t="s">
        <v>25</v>
      </c>
      <c r="T629" s="1" t="str">
        <f t="shared" si="1071"/>
        <v>0</v>
      </c>
      <c r="U629" s="1" t="str">
        <f>"0.0070"</f>
        <v>0.0070</v>
      </c>
    </row>
    <row r="630" s="1" customFormat="1" spans="1:21">
      <c r="A630" s="1" t="str">
        <f>"4601991422978"</f>
        <v>4601991422978</v>
      </c>
      <c r="B630" s="1" t="s">
        <v>654</v>
      </c>
      <c r="C630" s="1" t="s">
        <v>24</v>
      </c>
      <c r="D630" s="1" t="str">
        <f t="shared" si="1067"/>
        <v>2021</v>
      </c>
      <c r="E630" s="1" t="str">
        <f>"29.01"</f>
        <v>29.01</v>
      </c>
      <c r="F630" s="1" t="str">
        <f t="shared" ref="F630:I630" si="1163">"0"</f>
        <v>0</v>
      </c>
      <c r="G630" s="1" t="str">
        <f t="shared" si="1163"/>
        <v>0</v>
      </c>
      <c r="H630" s="1" t="str">
        <f t="shared" si="1163"/>
        <v>0</v>
      </c>
      <c r="I630" s="1" t="str">
        <f t="shared" si="1163"/>
        <v>0</v>
      </c>
      <c r="J630" s="1" t="str">
        <f>"3"</f>
        <v>3</v>
      </c>
      <c r="K630" s="1" t="str">
        <f t="shared" ref="K630:P630" si="1164">"0"</f>
        <v>0</v>
      </c>
      <c r="L630" s="1" t="str">
        <f t="shared" si="1164"/>
        <v>0</v>
      </c>
      <c r="M630" s="1" t="str">
        <f t="shared" si="1164"/>
        <v>0</v>
      </c>
      <c r="N630" s="1" t="str">
        <f t="shared" si="1164"/>
        <v>0</v>
      </c>
      <c r="O630" s="1" t="str">
        <f t="shared" si="1164"/>
        <v>0</v>
      </c>
      <c r="P630" s="1" t="str">
        <f t="shared" si="1164"/>
        <v>0</v>
      </c>
      <c r="Q630" s="1" t="str">
        <f t="shared" si="1070"/>
        <v>0.0070</v>
      </c>
      <c r="R630" s="1" t="s">
        <v>29</v>
      </c>
      <c r="S630" s="1">
        <v>-0.0014</v>
      </c>
      <c r="T630" s="1" t="str">
        <f t="shared" si="1071"/>
        <v>0</v>
      </c>
      <c r="U630" s="1" t="str">
        <f t="shared" ref="U630:U635" si="1165">"0.0056"</f>
        <v>0.0056</v>
      </c>
    </row>
    <row r="631" s="1" customFormat="1" spans="1:21">
      <c r="A631" s="1" t="str">
        <f>"4601991421682"</f>
        <v>4601991421682</v>
      </c>
      <c r="B631" s="1" t="s">
        <v>655</v>
      </c>
      <c r="C631" s="1" t="s">
        <v>24</v>
      </c>
      <c r="D631" s="1" t="str">
        <f t="shared" si="1067"/>
        <v>2021</v>
      </c>
      <c r="E631" s="1" t="str">
        <f t="shared" ref="E631:P631" si="1166">"0"</f>
        <v>0</v>
      </c>
      <c r="F631" s="1" t="str">
        <f t="shared" si="1166"/>
        <v>0</v>
      </c>
      <c r="G631" s="1" t="str">
        <f t="shared" si="1166"/>
        <v>0</v>
      </c>
      <c r="H631" s="1" t="str">
        <f t="shared" si="1166"/>
        <v>0</v>
      </c>
      <c r="I631" s="1" t="str">
        <f t="shared" si="1166"/>
        <v>0</v>
      </c>
      <c r="J631" s="1" t="str">
        <f t="shared" si="1166"/>
        <v>0</v>
      </c>
      <c r="K631" s="1" t="str">
        <f t="shared" si="1166"/>
        <v>0</v>
      </c>
      <c r="L631" s="1" t="str">
        <f t="shared" si="1166"/>
        <v>0</v>
      </c>
      <c r="M631" s="1" t="str">
        <f t="shared" si="1166"/>
        <v>0</v>
      </c>
      <c r="N631" s="1" t="str">
        <f t="shared" si="1166"/>
        <v>0</v>
      </c>
      <c r="O631" s="1" t="str">
        <f t="shared" si="1166"/>
        <v>0</v>
      </c>
      <c r="P631" s="1" t="str">
        <f t="shared" si="1166"/>
        <v>0</v>
      </c>
      <c r="Q631" s="1" t="str">
        <f t="shared" si="1070"/>
        <v>0.0070</v>
      </c>
      <c r="R631" s="1" t="s">
        <v>25</v>
      </c>
      <c r="T631" s="1" t="str">
        <f t="shared" si="1071"/>
        <v>0</v>
      </c>
      <c r="U631" s="1" t="str">
        <f>"0.0070"</f>
        <v>0.0070</v>
      </c>
    </row>
    <row r="632" s="1" customFormat="1" spans="1:21">
      <c r="A632" s="1" t="str">
        <f>"4601991422993"</f>
        <v>4601991422993</v>
      </c>
      <c r="B632" s="1" t="s">
        <v>656</v>
      </c>
      <c r="C632" s="1" t="s">
        <v>24</v>
      </c>
      <c r="D632" s="1" t="str">
        <f t="shared" si="1067"/>
        <v>2021</v>
      </c>
      <c r="E632" s="1" t="str">
        <f>"106.37"</f>
        <v>106.37</v>
      </c>
      <c r="F632" s="1" t="str">
        <f t="shared" ref="F632:I632" si="1167">"0"</f>
        <v>0</v>
      </c>
      <c r="G632" s="1" t="str">
        <f t="shared" si="1167"/>
        <v>0</v>
      </c>
      <c r="H632" s="1" t="str">
        <f t="shared" si="1167"/>
        <v>0</v>
      </c>
      <c r="I632" s="1" t="str">
        <f t="shared" si="1167"/>
        <v>0</v>
      </c>
      <c r="J632" s="1" t="str">
        <f>"10"</f>
        <v>10</v>
      </c>
      <c r="K632" s="1" t="str">
        <f t="shared" ref="K632:P632" si="1168">"0"</f>
        <v>0</v>
      </c>
      <c r="L632" s="1" t="str">
        <f t="shared" si="1168"/>
        <v>0</v>
      </c>
      <c r="M632" s="1" t="str">
        <f t="shared" si="1168"/>
        <v>0</v>
      </c>
      <c r="N632" s="1" t="str">
        <f t="shared" si="1168"/>
        <v>0</v>
      </c>
      <c r="O632" s="1" t="str">
        <f t="shared" si="1168"/>
        <v>0</v>
      </c>
      <c r="P632" s="1" t="str">
        <f t="shared" si="1168"/>
        <v>0</v>
      </c>
      <c r="Q632" s="1" t="str">
        <f t="shared" si="1070"/>
        <v>0.0070</v>
      </c>
      <c r="R632" s="1" t="s">
        <v>29</v>
      </c>
      <c r="S632" s="1">
        <v>-0.0014</v>
      </c>
      <c r="T632" s="1" t="str">
        <f t="shared" si="1071"/>
        <v>0</v>
      </c>
      <c r="U632" s="1" t="str">
        <f t="shared" si="1165"/>
        <v>0.0056</v>
      </c>
    </row>
    <row r="633" s="1" customFormat="1" spans="1:21">
      <c r="A633" s="1" t="str">
        <f>"4601991421679"</f>
        <v>4601991421679</v>
      </c>
      <c r="B633" s="1" t="s">
        <v>657</v>
      </c>
      <c r="C633" s="1" t="s">
        <v>24</v>
      </c>
      <c r="D633" s="1" t="str">
        <f t="shared" si="1067"/>
        <v>2021</v>
      </c>
      <c r="E633" s="1" t="str">
        <f>"193.40"</f>
        <v>193.40</v>
      </c>
      <c r="F633" s="1" t="str">
        <f t="shared" ref="F633:I633" si="1169">"0"</f>
        <v>0</v>
      </c>
      <c r="G633" s="1" t="str">
        <f t="shared" si="1169"/>
        <v>0</v>
      </c>
      <c r="H633" s="1" t="str">
        <f t="shared" si="1169"/>
        <v>0</v>
      </c>
      <c r="I633" s="1" t="str">
        <f t="shared" si="1169"/>
        <v>0</v>
      </c>
      <c r="J633" s="1" t="str">
        <f>"20"</f>
        <v>20</v>
      </c>
      <c r="K633" s="1" t="str">
        <f t="shared" ref="K633:P633" si="1170">"0"</f>
        <v>0</v>
      </c>
      <c r="L633" s="1" t="str">
        <f t="shared" si="1170"/>
        <v>0</v>
      </c>
      <c r="M633" s="1" t="str">
        <f t="shared" si="1170"/>
        <v>0</v>
      </c>
      <c r="N633" s="1" t="str">
        <f t="shared" si="1170"/>
        <v>0</v>
      </c>
      <c r="O633" s="1" t="str">
        <f t="shared" si="1170"/>
        <v>0</v>
      </c>
      <c r="P633" s="1" t="str">
        <f t="shared" si="1170"/>
        <v>0</v>
      </c>
      <c r="Q633" s="1" t="str">
        <f t="shared" si="1070"/>
        <v>0.0070</v>
      </c>
      <c r="R633" s="1" t="s">
        <v>29</v>
      </c>
      <c r="S633" s="1">
        <v>-0.0014</v>
      </c>
      <c r="T633" s="1" t="str">
        <f t="shared" si="1071"/>
        <v>0</v>
      </c>
      <c r="U633" s="1" t="str">
        <f t="shared" si="1165"/>
        <v>0.0056</v>
      </c>
    </row>
    <row r="634" s="1" customFormat="1" spans="1:21">
      <c r="A634" s="1" t="str">
        <f>"4601991423029"</f>
        <v>4601991423029</v>
      </c>
      <c r="B634" s="1" t="s">
        <v>658</v>
      </c>
      <c r="C634" s="1" t="s">
        <v>24</v>
      </c>
      <c r="D634" s="1" t="str">
        <f t="shared" si="1067"/>
        <v>2021</v>
      </c>
      <c r="E634" s="1" t="str">
        <f>"67.69"</f>
        <v>67.69</v>
      </c>
      <c r="F634" s="1" t="str">
        <f t="shared" ref="F634:I634" si="1171">"0"</f>
        <v>0</v>
      </c>
      <c r="G634" s="1" t="str">
        <f t="shared" si="1171"/>
        <v>0</v>
      </c>
      <c r="H634" s="1" t="str">
        <f t="shared" si="1171"/>
        <v>0</v>
      </c>
      <c r="I634" s="1" t="str">
        <f t="shared" si="1171"/>
        <v>0</v>
      </c>
      <c r="J634" s="1" t="str">
        <f>"7"</f>
        <v>7</v>
      </c>
      <c r="K634" s="1" t="str">
        <f t="shared" ref="K634:P634" si="1172">"0"</f>
        <v>0</v>
      </c>
      <c r="L634" s="1" t="str">
        <f t="shared" si="1172"/>
        <v>0</v>
      </c>
      <c r="M634" s="1" t="str">
        <f t="shared" si="1172"/>
        <v>0</v>
      </c>
      <c r="N634" s="1" t="str">
        <f t="shared" si="1172"/>
        <v>0</v>
      </c>
      <c r="O634" s="1" t="str">
        <f t="shared" si="1172"/>
        <v>0</v>
      </c>
      <c r="P634" s="1" t="str">
        <f t="shared" si="1172"/>
        <v>0</v>
      </c>
      <c r="Q634" s="1" t="str">
        <f t="shared" si="1070"/>
        <v>0.0070</v>
      </c>
      <c r="R634" s="1" t="s">
        <v>29</v>
      </c>
      <c r="S634" s="1">
        <v>-0.0014</v>
      </c>
      <c r="T634" s="1" t="str">
        <f t="shared" si="1071"/>
        <v>0</v>
      </c>
      <c r="U634" s="1" t="str">
        <f t="shared" si="1165"/>
        <v>0.0056</v>
      </c>
    </row>
    <row r="635" s="1" customFormat="1" spans="1:21">
      <c r="A635" s="1" t="str">
        <f>"4601991421693"</f>
        <v>4601991421693</v>
      </c>
      <c r="B635" s="1" t="s">
        <v>659</v>
      </c>
      <c r="C635" s="1" t="s">
        <v>24</v>
      </c>
      <c r="D635" s="1" t="str">
        <f t="shared" si="1067"/>
        <v>2021</v>
      </c>
      <c r="E635" s="1" t="str">
        <f>"106.37"</f>
        <v>106.37</v>
      </c>
      <c r="F635" s="1" t="str">
        <f t="shared" ref="F635:I635" si="1173">"0"</f>
        <v>0</v>
      </c>
      <c r="G635" s="1" t="str">
        <f t="shared" si="1173"/>
        <v>0</v>
      </c>
      <c r="H635" s="1" t="str">
        <f t="shared" si="1173"/>
        <v>0</v>
      </c>
      <c r="I635" s="1" t="str">
        <f t="shared" si="1173"/>
        <v>0</v>
      </c>
      <c r="J635" s="1" t="str">
        <f>"13"</f>
        <v>13</v>
      </c>
      <c r="K635" s="1" t="str">
        <f t="shared" ref="K635:P635" si="1174">"0"</f>
        <v>0</v>
      </c>
      <c r="L635" s="1" t="str">
        <f t="shared" si="1174"/>
        <v>0</v>
      </c>
      <c r="M635" s="1" t="str">
        <f t="shared" si="1174"/>
        <v>0</v>
      </c>
      <c r="N635" s="1" t="str">
        <f t="shared" si="1174"/>
        <v>0</v>
      </c>
      <c r="O635" s="1" t="str">
        <f t="shared" si="1174"/>
        <v>0</v>
      </c>
      <c r="P635" s="1" t="str">
        <f t="shared" si="1174"/>
        <v>0</v>
      </c>
      <c r="Q635" s="1" t="str">
        <f t="shared" si="1070"/>
        <v>0.0070</v>
      </c>
      <c r="R635" s="1" t="s">
        <v>29</v>
      </c>
      <c r="S635" s="1">
        <v>-0.0014</v>
      </c>
      <c r="T635" s="1" t="str">
        <f t="shared" si="1071"/>
        <v>0</v>
      </c>
      <c r="U635" s="1" t="str">
        <f t="shared" si="1165"/>
        <v>0.0056</v>
      </c>
    </row>
    <row r="636" s="1" customFormat="1" spans="1:21">
      <c r="A636" s="1" t="str">
        <f>"4601991423034"</f>
        <v>4601991423034</v>
      </c>
      <c r="B636" s="1" t="s">
        <v>660</v>
      </c>
      <c r="C636" s="1" t="s">
        <v>24</v>
      </c>
      <c r="D636" s="1" t="str">
        <f t="shared" si="1067"/>
        <v>2021</v>
      </c>
      <c r="E636" s="1" t="str">
        <f>"9.58"</f>
        <v>9.58</v>
      </c>
      <c r="F636" s="1" t="str">
        <f t="shared" ref="F636:I636" si="1175">"0"</f>
        <v>0</v>
      </c>
      <c r="G636" s="1" t="str">
        <f t="shared" si="1175"/>
        <v>0</v>
      </c>
      <c r="H636" s="1" t="str">
        <f t="shared" si="1175"/>
        <v>0</v>
      </c>
      <c r="I636" s="1" t="str">
        <f t="shared" si="1175"/>
        <v>0</v>
      </c>
      <c r="J636" s="1" t="str">
        <f>"1"</f>
        <v>1</v>
      </c>
      <c r="K636" s="1" t="str">
        <f t="shared" ref="K636:P636" si="1176">"0"</f>
        <v>0</v>
      </c>
      <c r="L636" s="1" t="str">
        <f t="shared" si="1176"/>
        <v>0</v>
      </c>
      <c r="M636" s="1" t="str">
        <f t="shared" si="1176"/>
        <v>0</v>
      </c>
      <c r="N636" s="1" t="str">
        <f t="shared" si="1176"/>
        <v>0</v>
      </c>
      <c r="O636" s="1" t="str">
        <f t="shared" si="1176"/>
        <v>0</v>
      </c>
      <c r="P636" s="1" t="str">
        <f t="shared" si="1176"/>
        <v>0</v>
      </c>
      <c r="Q636" s="1" t="str">
        <f t="shared" si="1070"/>
        <v>0.0070</v>
      </c>
      <c r="R636" s="1" t="s">
        <v>25</v>
      </c>
      <c r="T636" s="1" t="str">
        <f t="shared" si="1071"/>
        <v>0</v>
      </c>
      <c r="U636" s="1" t="str">
        <f t="shared" ref="U636:U641" si="1177">"0.0070"</f>
        <v>0.0070</v>
      </c>
    </row>
    <row r="637" s="1" customFormat="1" spans="1:21">
      <c r="A637" s="1" t="str">
        <f>"4601991423044"</f>
        <v>4601991423044</v>
      </c>
      <c r="B637" s="1" t="s">
        <v>661</v>
      </c>
      <c r="C637" s="1" t="s">
        <v>24</v>
      </c>
      <c r="D637" s="1" t="str">
        <f t="shared" si="1067"/>
        <v>2021</v>
      </c>
      <c r="E637" s="1" t="str">
        <f>"173.52"</f>
        <v>173.52</v>
      </c>
      <c r="F637" s="1" t="str">
        <f t="shared" ref="F637:I637" si="1178">"0"</f>
        <v>0</v>
      </c>
      <c r="G637" s="1" t="str">
        <f t="shared" si="1178"/>
        <v>0</v>
      </c>
      <c r="H637" s="1" t="str">
        <f t="shared" si="1178"/>
        <v>0</v>
      </c>
      <c r="I637" s="1" t="str">
        <f t="shared" si="1178"/>
        <v>0</v>
      </c>
      <c r="J637" s="1" t="str">
        <f>"19"</f>
        <v>19</v>
      </c>
      <c r="K637" s="1" t="str">
        <f t="shared" ref="K637:P637" si="1179">"0"</f>
        <v>0</v>
      </c>
      <c r="L637" s="1" t="str">
        <f t="shared" si="1179"/>
        <v>0</v>
      </c>
      <c r="M637" s="1" t="str">
        <f t="shared" si="1179"/>
        <v>0</v>
      </c>
      <c r="N637" s="1" t="str">
        <f t="shared" si="1179"/>
        <v>0</v>
      </c>
      <c r="O637" s="1" t="str">
        <f t="shared" si="1179"/>
        <v>0</v>
      </c>
      <c r="P637" s="1" t="str">
        <f t="shared" si="1179"/>
        <v>0</v>
      </c>
      <c r="Q637" s="1" t="str">
        <f t="shared" si="1070"/>
        <v>0.0070</v>
      </c>
      <c r="R637" s="1" t="s">
        <v>29</v>
      </c>
      <c r="S637" s="1">
        <v>-0.0014</v>
      </c>
      <c r="T637" s="1" t="str">
        <f t="shared" si="1071"/>
        <v>0</v>
      </c>
      <c r="U637" s="1" t="str">
        <f t="shared" ref="U637:U643" si="1180">"0.0056"</f>
        <v>0.0056</v>
      </c>
    </row>
    <row r="638" s="1" customFormat="1" spans="1:21">
      <c r="A638" s="1" t="str">
        <f>"4601991422353"</f>
        <v>4601991422353</v>
      </c>
      <c r="B638" s="1" t="s">
        <v>662</v>
      </c>
      <c r="C638" s="1" t="s">
        <v>24</v>
      </c>
      <c r="D638" s="1" t="str">
        <f t="shared" si="1067"/>
        <v>2021</v>
      </c>
      <c r="E638" s="1" t="str">
        <f t="shared" ref="E638:P638" si="1181">"0"</f>
        <v>0</v>
      </c>
      <c r="F638" s="1" t="str">
        <f t="shared" si="1181"/>
        <v>0</v>
      </c>
      <c r="G638" s="1" t="str">
        <f t="shared" si="1181"/>
        <v>0</v>
      </c>
      <c r="H638" s="1" t="str">
        <f t="shared" si="1181"/>
        <v>0</v>
      </c>
      <c r="I638" s="1" t="str">
        <f t="shared" si="1181"/>
        <v>0</v>
      </c>
      <c r="J638" s="1" t="str">
        <f t="shared" si="1181"/>
        <v>0</v>
      </c>
      <c r="K638" s="1" t="str">
        <f t="shared" si="1181"/>
        <v>0</v>
      </c>
      <c r="L638" s="1" t="str">
        <f t="shared" si="1181"/>
        <v>0</v>
      </c>
      <c r="M638" s="1" t="str">
        <f t="shared" si="1181"/>
        <v>0</v>
      </c>
      <c r="N638" s="1" t="str">
        <f t="shared" si="1181"/>
        <v>0</v>
      </c>
      <c r="O638" s="1" t="str">
        <f t="shared" si="1181"/>
        <v>0</v>
      </c>
      <c r="P638" s="1" t="str">
        <f t="shared" si="1181"/>
        <v>0</v>
      </c>
      <c r="Q638" s="1" t="str">
        <f t="shared" si="1070"/>
        <v>0.0070</v>
      </c>
      <c r="R638" s="1" t="s">
        <v>25</v>
      </c>
      <c r="T638" s="1" t="str">
        <f t="shared" si="1071"/>
        <v>0</v>
      </c>
      <c r="U638" s="1" t="str">
        <f t="shared" si="1177"/>
        <v>0.0070</v>
      </c>
    </row>
    <row r="639" s="1" customFormat="1" spans="1:21">
      <c r="A639" s="1" t="str">
        <f>"4601991422294"</f>
        <v>4601991422294</v>
      </c>
      <c r="B639" s="1" t="s">
        <v>663</v>
      </c>
      <c r="C639" s="1" t="s">
        <v>24</v>
      </c>
      <c r="D639" s="1" t="str">
        <f t="shared" si="1067"/>
        <v>2021</v>
      </c>
      <c r="E639" s="1" t="str">
        <f>"58.54"</f>
        <v>58.54</v>
      </c>
      <c r="F639" s="1" t="str">
        <f t="shared" ref="F639:I639" si="1182">"0"</f>
        <v>0</v>
      </c>
      <c r="G639" s="1" t="str">
        <f t="shared" si="1182"/>
        <v>0</v>
      </c>
      <c r="H639" s="1" t="str">
        <f t="shared" si="1182"/>
        <v>0</v>
      </c>
      <c r="I639" s="1" t="str">
        <f t="shared" si="1182"/>
        <v>0</v>
      </c>
      <c r="J639" s="1" t="str">
        <f>"6"</f>
        <v>6</v>
      </c>
      <c r="K639" s="1" t="str">
        <f t="shared" ref="K639:P639" si="1183">"0"</f>
        <v>0</v>
      </c>
      <c r="L639" s="1" t="str">
        <f t="shared" si="1183"/>
        <v>0</v>
      </c>
      <c r="M639" s="1" t="str">
        <f t="shared" si="1183"/>
        <v>0</v>
      </c>
      <c r="N639" s="1" t="str">
        <f t="shared" si="1183"/>
        <v>0</v>
      </c>
      <c r="O639" s="1" t="str">
        <f t="shared" si="1183"/>
        <v>0</v>
      </c>
      <c r="P639" s="1" t="str">
        <f t="shared" si="1183"/>
        <v>0</v>
      </c>
      <c r="Q639" s="1" t="str">
        <f t="shared" si="1070"/>
        <v>0.0070</v>
      </c>
      <c r="R639" s="1" t="s">
        <v>29</v>
      </c>
      <c r="S639" s="1">
        <v>-0.0014</v>
      </c>
      <c r="T639" s="1" t="str">
        <f t="shared" si="1071"/>
        <v>0</v>
      </c>
      <c r="U639" s="1" t="str">
        <f t="shared" si="1180"/>
        <v>0.0056</v>
      </c>
    </row>
    <row r="640" s="1" customFormat="1" spans="1:21">
      <c r="A640" s="1" t="str">
        <f>"4601991422352"</f>
        <v>4601991422352</v>
      </c>
      <c r="B640" s="1" t="s">
        <v>664</v>
      </c>
      <c r="C640" s="1" t="s">
        <v>24</v>
      </c>
      <c r="D640" s="1" t="str">
        <f t="shared" si="1067"/>
        <v>2021</v>
      </c>
      <c r="E640" s="1" t="str">
        <f t="shared" ref="E640:P640" si="1184">"0"</f>
        <v>0</v>
      </c>
      <c r="F640" s="1" t="str">
        <f t="shared" si="1184"/>
        <v>0</v>
      </c>
      <c r="G640" s="1" t="str">
        <f t="shared" si="1184"/>
        <v>0</v>
      </c>
      <c r="H640" s="1" t="str">
        <f t="shared" si="1184"/>
        <v>0</v>
      </c>
      <c r="I640" s="1" t="str">
        <f t="shared" si="1184"/>
        <v>0</v>
      </c>
      <c r="J640" s="1" t="str">
        <f t="shared" si="1184"/>
        <v>0</v>
      </c>
      <c r="K640" s="1" t="str">
        <f t="shared" si="1184"/>
        <v>0</v>
      </c>
      <c r="L640" s="1" t="str">
        <f t="shared" si="1184"/>
        <v>0</v>
      </c>
      <c r="M640" s="1" t="str">
        <f t="shared" si="1184"/>
        <v>0</v>
      </c>
      <c r="N640" s="1" t="str">
        <f t="shared" si="1184"/>
        <v>0</v>
      </c>
      <c r="O640" s="1" t="str">
        <f t="shared" si="1184"/>
        <v>0</v>
      </c>
      <c r="P640" s="1" t="str">
        <f t="shared" si="1184"/>
        <v>0</v>
      </c>
      <c r="Q640" s="1" t="str">
        <f t="shared" si="1070"/>
        <v>0.0070</v>
      </c>
      <c r="R640" s="1" t="s">
        <v>25</v>
      </c>
      <c r="T640" s="1" t="str">
        <f t="shared" si="1071"/>
        <v>0</v>
      </c>
      <c r="U640" s="1" t="str">
        <f t="shared" si="1177"/>
        <v>0.0070</v>
      </c>
    </row>
    <row r="641" s="1" customFormat="1" spans="1:21">
      <c r="A641" s="1" t="str">
        <f>"4601991421749"</f>
        <v>4601991421749</v>
      </c>
      <c r="B641" s="1" t="s">
        <v>665</v>
      </c>
      <c r="C641" s="1" t="s">
        <v>24</v>
      </c>
      <c r="D641" s="1" t="str">
        <f t="shared" si="1067"/>
        <v>2021</v>
      </c>
      <c r="E641" s="1" t="str">
        <f t="shared" ref="E641:P641" si="1185">"0"</f>
        <v>0</v>
      </c>
      <c r="F641" s="1" t="str">
        <f t="shared" si="1185"/>
        <v>0</v>
      </c>
      <c r="G641" s="1" t="str">
        <f t="shared" si="1185"/>
        <v>0</v>
      </c>
      <c r="H641" s="1" t="str">
        <f t="shared" si="1185"/>
        <v>0</v>
      </c>
      <c r="I641" s="1" t="str">
        <f t="shared" si="1185"/>
        <v>0</v>
      </c>
      <c r="J641" s="1" t="str">
        <f t="shared" si="1185"/>
        <v>0</v>
      </c>
      <c r="K641" s="1" t="str">
        <f t="shared" si="1185"/>
        <v>0</v>
      </c>
      <c r="L641" s="1" t="str">
        <f t="shared" si="1185"/>
        <v>0</v>
      </c>
      <c r="M641" s="1" t="str">
        <f t="shared" si="1185"/>
        <v>0</v>
      </c>
      <c r="N641" s="1" t="str">
        <f t="shared" si="1185"/>
        <v>0</v>
      </c>
      <c r="O641" s="1" t="str">
        <f t="shared" si="1185"/>
        <v>0</v>
      </c>
      <c r="P641" s="1" t="str">
        <f t="shared" si="1185"/>
        <v>0</v>
      </c>
      <c r="Q641" s="1" t="str">
        <f t="shared" si="1070"/>
        <v>0.0070</v>
      </c>
      <c r="R641" s="1" t="s">
        <v>25</v>
      </c>
      <c r="T641" s="1" t="str">
        <f t="shared" si="1071"/>
        <v>0</v>
      </c>
      <c r="U641" s="1" t="str">
        <f t="shared" si="1177"/>
        <v>0.0070</v>
      </c>
    </row>
    <row r="642" s="1" customFormat="1" spans="1:21">
      <c r="A642" s="1" t="str">
        <f>"4601991422334"</f>
        <v>4601991422334</v>
      </c>
      <c r="B642" s="1" t="s">
        <v>666</v>
      </c>
      <c r="C642" s="1" t="s">
        <v>24</v>
      </c>
      <c r="D642" s="1" t="str">
        <f t="shared" si="1067"/>
        <v>2021</v>
      </c>
      <c r="E642" s="1" t="str">
        <f>"14.37"</f>
        <v>14.37</v>
      </c>
      <c r="F642" s="1" t="str">
        <f t="shared" ref="F642:I642" si="1186">"0"</f>
        <v>0</v>
      </c>
      <c r="G642" s="1" t="str">
        <f t="shared" si="1186"/>
        <v>0</v>
      </c>
      <c r="H642" s="1" t="str">
        <f t="shared" si="1186"/>
        <v>0</v>
      </c>
      <c r="I642" s="1" t="str">
        <f t="shared" si="1186"/>
        <v>0</v>
      </c>
      <c r="J642" s="1" t="str">
        <f>"2"</f>
        <v>2</v>
      </c>
      <c r="K642" s="1" t="str">
        <f t="shared" ref="K642:P642" si="1187">"0"</f>
        <v>0</v>
      </c>
      <c r="L642" s="1" t="str">
        <f t="shared" si="1187"/>
        <v>0</v>
      </c>
      <c r="M642" s="1" t="str">
        <f t="shared" si="1187"/>
        <v>0</v>
      </c>
      <c r="N642" s="1" t="str">
        <f t="shared" si="1187"/>
        <v>0</v>
      </c>
      <c r="O642" s="1" t="str">
        <f t="shared" si="1187"/>
        <v>0</v>
      </c>
      <c r="P642" s="1" t="str">
        <f t="shared" si="1187"/>
        <v>0</v>
      </c>
      <c r="Q642" s="1" t="str">
        <f t="shared" si="1070"/>
        <v>0.0070</v>
      </c>
      <c r="R642" s="1" t="s">
        <v>29</v>
      </c>
      <c r="S642" s="1">
        <v>-0.0014</v>
      </c>
      <c r="T642" s="1" t="str">
        <f t="shared" si="1071"/>
        <v>0</v>
      </c>
      <c r="U642" s="1" t="str">
        <f t="shared" si="1180"/>
        <v>0.0056</v>
      </c>
    </row>
    <row r="643" s="1" customFormat="1" spans="1:21">
      <c r="A643" s="1" t="str">
        <f>"4601991421146"</f>
        <v>4601991421146</v>
      </c>
      <c r="B643" s="1" t="s">
        <v>667</v>
      </c>
      <c r="C643" s="1" t="s">
        <v>24</v>
      </c>
      <c r="D643" s="1" t="str">
        <f t="shared" ref="D643:D706" si="1188">"2021"</f>
        <v>2021</v>
      </c>
      <c r="E643" s="1" t="str">
        <f>"72.54"</f>
        <v>72.54</v>
      </c>
      <c r="F643" s="1" t="str">
        <f t="shared" ref="F643:I643" si="1189">"0"</f>
        <v>0</v>
      </c>
      <c r="G643" s="1" t="str">
        <f t="shared" si="1189"/>
        <v>0</v>
      </c>
      <c r="H643" s="1" t="str">
        <f t="shared" si="1189"/>
        <v>0</v>
      </c>
      <c r="I643" s="1" t="str">
        <f t="shared" si="1189"/>
        <v>0</v>
      </c>
      <c r="J643" s="1" t="str">
        <f>"6"</f>
        <v>6</v>
      </c>
      <c r="K643" s="1" t="str">
        <f t="shared" ref="K643:P643" si="1190">"0"</f>
        <v>0</v>
      </c>
      <c r="L643" s="1" t="str">
        <f t="shared" si="1190"/>
        <v>0</v>
      </c>
      <c r="M643" s="1" t="str">
        <f t="shared" si="1190"/>
        <v>0</v>
      </c>
      <c r="N643" s="1" t="str">
        <f t="shared" si="1190"/>
        <v>0</v>
      </c>
      <c r="O643" s="1" t="str">
        <f t="shared" si="1190"/>
        <v>0</v>
      </c>
      <c r="P643" s="1" t="str">
        <f t="shared" si="1190"/>
        <v>0</v>
      </c>
      <c r="Q643" s="1" t="str">
        <f t="shared" ref="Q643:Q706" si="1191">"0.0070"</f>
        <v>0.0070</v>
      </c>
      <c r="R643" s="1" t="s">
        <v>29</v>
      </c>
      <c r="S643" s="1">
        <v>-0.0014</v>
      </c>
      <c r="T643" s="1" t="str">
        <f t="shared" ref="T643:T706" si="1192">"0"</f>
        <v>0</v>
      </c>
      <c r="U643" s="1" t="str">
        <f t="shared" si="1180"/>
        <v>0.0056</v>
      </c>
    </row>
    <row r="644" s="1" customFormat="1" spans="1:21">
      <c r="A644" s="1" t="str">
        <f>"4601991421782"</f>
        <v>4601991421782</v>
      </c>
      <c r="B644" s="1" t="s">
        <v>668</v>
      </c>
      <c r="C644" s="1" t="s">
        <v>24</v>
      </c>
      <c r="D644" s="1" t="str">
        <f t="shared" si="1188"/>
        <v>2021</v>
      </c>
      <c r="E644" s="1" t="str">
        <f>"29.01"</f>
        <v>29.01</v>
      </c>
      <c r="F644" s="1" t="str">
        <f t="shared" ref="F644:I644" si="1193">"0"</f>
        <v>0</v>
      </c>
      <c r="G644" s="1" t="str">
        <f t="shared" si="1193"/>
        <v>0</v>
      </c>
      <c r="H644" s="1" t="str">
        <f t="shared" si="1193"/>
        <v>0</v>
      </c>
      <c r="I644" s="1" t="str">
        <f t="shared" si="1193"/>
        <v>0</v>
      </c>
      <c r="J644" s="1" t="str">
        <f>"3"</f>
        <v>3</v>
      </c>
      <c r="K644" s="1" t="str">
        <f t="shared" ref="K644:P644" si="1194">"0"</f>
        <v>0</v>
      </c>
      <c r="L644" s="1" t="str">
        <f t="shared" si="1194"/>
        <v>0</v>
      </c>
      <c r="M644" s="1" t="str">
        <f t="shared" si="1194"/>
        <v>0</v>
      </c>
      <c r="N644" s="1" t="str">
        <f t="shared" si="1194"/>
        <v>0</v>
      </c>
      <c r="O644" s="1" t="str">
        <f t="shared" si="1194"/>
        <v>0</v>
      </c>
      <c r="P644" s="1" t="str">
        <f t="shared" si="1194"/>
        <v>0</v>
      </c>
      <c r="Q644" s="1" t="str">
        <f t="shared" si="1191"/>
        <v>0.0070</v>
      </c>
      <c r="R644" s="1" t="s">
        <v>25</v>
      </c>
      <c r="T644" s="1" t="str">
        <f t="shared" si="1192"/>
        <v>0</v>
      </c>
      <c r="U644" s="1" t="str">
        <f t="shared" ref="U644:U646" si="1195">"0.0070"</f>
        <v>0.0070</v>
      </c>
    </row>
    <row r="645" s="1" customFormat="1" spans="1:21">
      <c r="A645" s="1" t="str">
        <f>"4601991421806"</f>
        <v>4601991421806</v>
      </c>
      <c r="B645" s="1" t="s">
        <v>669</v>
      </c>
      <c r="C645" s="1" t="s">
        <v>24</v>
      </c>
      <c r="D645" s="1" t="str">
        <f t="shared" si="1188"/>
        <v>2021</v>
      </c>
      <c r="E645" s="1" t="str">
        <f>"9.67"</f>
        <v>9.67</v>
      </c>
      <c r="F645" s="1" t="str">
        <f t="shared" ref="F645:I645" si="1196">"0"</f>
        <v>0</v>
      </c>
      <c r="G645" s="1" t="str">
        <f t="shared" si="1196"/>
        <v>0</v>
      </c>
      <c r="H645" s="1" t="str">
        <f t="shared" si="1196"/>
        <v>0</v>
      </c>
      <c r="I645" s="1" t="str">
        <f t="shared" si="1196"/>
        <v>0</v>
      </c>
      <c r="J645" s="1" t="str">
        <f>"1"</f>
        <v>1</v>
      </c>
      <c r="K645" s="1" t="str">
        <f t="shared" ref="K645:P645" si="1197">"0"</f>
        <v>0</v>
      </c>
      <c r="L645" s="1" t="str">
        <f t="shared" si="1197"/>
        <v>0</v>
      </c>
      <c r="M645" s="1" t="str">
        <f t="shared" si="1197"/>
        <v>0</v>
      </c>
      <c r="N645" s="1" t="str">
        <f t="shared" si="1197"/>
        <v>0</v>
      </c>
      <c r="O645" s="1" t="str">
        <f t="shared" si="1197"/>
        <v>0</v>
      </c>
      <c r="P645" s="1" t="str">
        <f t="shared" si="1197"/>
        <v>0</v>
      </c>
      <c r="Q645" s="1" t="str">
        <f t="shared" si="1191"/>
        <v>0.0070</v>
      </c>
      <c r="R645" s="1" t="s">
        <v>25</v>
      </c>
      <c r="T645" s="1" t="str">
        <f t="shared" si="1192"/>
        <v>0</v>
      </c>
      <c r="U645" s="1" t="str">
        <f t="shared" si="1195"/>
        <v>0.0070</v>
      </c>
    </row>
    <row r="646" s="1" customFormat="1" spans="1:21">
      <c r="A646" s="1" t="str">
        <f>"4601991421844"</f>
        <v>4601991421844</v>
      </c>
      <c r="B646" s="1" t="s">
        <v>670</v>
      </c>
      <c r="C646" s="1" t="s">
        <v>24</v>
      </c>
      <c r="D646" s="1" t="str">
        <f t="shared" si="1188"/>
        <v>2021</v>
      </c>
      <c r="E646" s="1" t="str">
        <f t="shared" ref="E646:P646" si="1198">"0"</f>
        <v>0</v>
      </c>
      <c r="F646" s="1" t="str">
        <f t="shared" si="1198"/>
        <v>0</v>
      </c>
      <c r="G646" s="1" t="str">
        <f t="shared" si="1198"/>
        <v>0</v>
      </c>
      <c r="H646" s="1" t="str">
        <f t="shared" si="1198"/>
        <v>0</v>
      </c>
      <c r="I646" s="1" t="str">
        <f t="shared" si="1198"/>
        <v>0</v>
      </c>
      <c r="J646" s="1" t="str">
        <f t="shared" si="1198"/>
        <v>0</v>
      </c>
      <c r="K646" s="1" t="str">
        <f t="shared" si="1198"/>
        <v>0</v>
      </c>
      <c r="L646" s="1" t="str">
        <f t="shared" si="1198"/>
        <v>0</v>
      </c>
      <c r="M646" s="1" t="str">
        <f t="shared" si="1198"/>
        <v>0</v>
      </c>
      <c r="N646" s="1" t="str">
        <f t="shared" si="1198"/>
        <v>0</v>
      </c>
      <c r="O646" s="1" t="str">
        <f t="shared" si="1198"/>
        <v>0</v>
      </c>
      <c r="P646" s="1" t="str">
        <f t="shared" si="1198"/>
        <v>0</v>
      </c>
      <c r="Q646" s="1" t="str">
        <f t="shared" si="1191"/>
        <v>0.0070</v>
      </c>
      <c r="R646" s="1" t="s">
        <v>25</v>
      </c>
      <c r="T646" s="1" t="str">
        <f t="shared" si="1192"/>
        <v>0</v>
      </c>
      <c r="U646" s="1" t="str">
        <f t="shared" si="1195"/>
        <v>0.0070</v>
      </c>
    </row>
    <row r="647" s="1" customFormat="1" spans="1:21">
      <c r="A647" s="1" t="str">
        <f>"4601991423118"</f>
        <v>4601991423118</v>
      </c>
      <c r="B647" s="1" t="s">
        <v>671</v>
      </c>
      <c r="C647" s="1" t="s">
        <v>24</v>
      </c>
      <c r="D647" s="1" t="str">
        <f t="shared" si="1188"/>
        <v>2021</v>
      </c>
      <c r="E647" s="1" t="str">
        <f>"514.20"</f>
        <v>514.20</v>
      </c>
      <c r="F647" s="1" t="str">
        <f t="shared" ref="F647:I647" si="1199">"0"</f>
        <v>0</v>
      </c>
      <c r="G647" s="1" t="str">
        <f t="shared" si="1199"/>
        <v>0</v>
      </c>
      <c r="H647" s="1" t="str">
        <f t="shared" si="1199"/>
        <v>0</v>
      </c>
      <c r="I647" s="1" t="str">
        <f t="shared" si="1199"/>
        <v>0</v>
      </c>
      <c r="J647" s="1" t="str">
        <f>"51"</f>
        <v>51</v>
      </c>
      <c r="K647" s="1" t="str">
        <f t="shared" ref="K647:P647" si="1200">"0"</f>
        <v>0</v>
      </c>
      <c r="L647" s="1" t="str">
        <f t="shared" si="1200"/>
        <v>0</v>
      </c>
      <c r="M647" s="1" t="str">
        <f t="shared" si="1200"/>
        <v>0</v>
      </c>
      <c r="N647" s="1" t="str">
        <f t="shared" si="1200"/>
        <v>0</v>
      </c>
      <c r="O647" s="1" t="str">
        <f t="shared" si="1200"/>
        <v>0</v>
      </c>
      <c r="P647" s="1" t="str">
        <f t="shared" si="1200"/>
        <v>0</v>
      </c>
      <c r="Q647" s="1" t="str">
        <f t="shared" si="1191"/>
        <v>0.0070</v>
      </c>
      <c r="R647" s="1" t="s">
        <v>29</v>
      </c>
      <c r="S647" s="1">
        <v>-0.0014</v>
      </c>
      <c r="T647" s="1" t="str">
        <f t="shared" si="1192"/>
        <v>0</v>
      </c>
      <c r="U647" s="1" t="str">
        <f t="shared" ref="U647:U656" si="1201">"0.0056"</f>
        <v>0.0056</v>
      </c>
    </row>
    <row r="648" s="1" customFormat="1" spans="1:21">
      <c r="A648" s="1" t="str">
        <f>"4601991423154"</f>
        <v>4601991423154</v>
      </c>
      <c r="B648" s="1" t="s">
        <v>672</v>
      </c>
      <c r="C648" s="1" t="s">
        <v>24</v>
      </c>
      <c r="D648" s="1" t="str">
        <f t="shared" si="1188"/>
        <v>2021</v>
      </c>
      <c r="E648" s="1" t="str">
        <f>"164.91"</f>
        <v>164.91</v>
      </c>
      <c r="F648" s="1" t="str">
        <f t="shared" ref="F648:I648" si="1202">"0"</f>
        <v>0</v>
      </c>
      <c r="G648" s="1" t="str">
        <f t="shared" si="1202"/>
        <v>0</v>
      </c>
      <c r="H648" s="1" t="str">
        <f t="shared" si="1202"/>
        <v>0</v>
      </c>
      <c r="I648" s="1" t="str">
        <f t="shared" si="1202"/>
        <v>0</v>
      </c>
      <c r="J648" s="1" t="str">
        <f>"16"</f>
        <v>16</v>
      </c>
      <c r="K648" s="1" t="str">
        <f t="shared" ref="K648:P648" si="1203">"0"</f>
        <v>0</v>
      </c>
      <c r="L648" s="1" t="str">
        <f t="shared" si="1203"/>
        <v>0</v>
      </c>
      <c r="M648" s="1" t="str">
        <f t="shared" si="1203"/>
        <v>0</v>
      </c>
      <c r="N648" s="1" t="str">
        <f t="shared" si="1203"/>
        <v>0</v>
      </c>
      <c r="O648" s="1" t="str">
        <f t="shared" si="1203"/>
        <v>0</v>
      </c>
      <c r="P648" s="1" t="str">
        <f t="shared" si="1203"/>
        <v>0</v>
      </c>
      <c r="Q648" s="1" t="str">
        <f t="shared" si="1191"/>
        <v>0.0070</v>
      </c>
      <c r="R648" s="1" t="s">
        <v>29</v>
      </c>
      <c r="S648" s="1">
        <v>-0.0014</v>
      </c>
      <c r="T648" s="1" t="str">
        <f t="shared" si="1192"/>
        <v>0</v>
      </c>
      <c r="U648" s="1" t="str">
        <f t="shared" si="1201"/>
        <v>0.0056</v>
      </c>
    </row>
    <row r="649" s="1" customFormat="1" spans="1:21">
      <c r="A649" s="1" t="str">
        <f>"4601991422455"</f>
        <v>4601991422455</v>
      </c>
      <c r="B649" s="1" t="s">
        <v>673</v>
      </c>
      <c r="C649" s="1" t="s">
        <v>24</v>
      </c>
      <c r="D649" s="1" t="str">
        <f t="shared" si="1188"/>
        <v>2021</v>
      </c>
      <c r="E649" s="1" t="str">
        <f t="shared" ref="E649:P649" si="1204">"0"</f>
        <v>0</v>
      </c>
      <c r="F649" s="1" t="str">
        <f t="shared" si="1204"/>
        <v>0</v>
      </c>
      <c r="G649" s="1" t="str">
        <f t="shared" si="1204"/>
        <v>0</v>
      </c>
      <c r="H649" s="1" t="str">
        <f t="shared" si="1204"/>
        <v>0</v>
      </c>
      <c r="I649" s="1" t="str">
        <f t="shared" si="1204"/>
        <v>0</v>
      </c>
      <c r="J649" s="1" t="str">
        <f t="shared" si="1204"/>
        <v>0</v>
      </c>
      <c r="K649" s="1" t="str">
        <f t="shared" si="1204"/>
        <v>0</v>
      </c>
      <c r="L649" s="1" t="str">
        <f t="shared" si="1204"/>
        <v>0</v>
      </c>
      <c r="M649" s="1" t="str">
        <f t="shared" si="1204"/>
        <v>0</v>
      </c>
      <c r="N649" s="1" t="str">
        <f t="shared" si="1204"/>
        <v>0</v>
      </c>
      <c r="O649" s="1" t="str">
        <f t="shared" si="1204"/>
        <v>0</v>
      </c>
      <c r="P649" s="1" t="str">
        <f t="shared" si="1204"/>
        <v>0</v>
      </c>
      <c r="Q649" s="1" t="str">
        <f t="shared" si="1191"/>
        <v>0.0070</v>
      </c>
      <c r="R649" s="1" t="s">
        <v>25</v>
      </c>
      <c r="T649" s="1" t="str">
        <f t="shared" si="1192"/>
        <v>0</v>
      </c>
      <c r="U649" s="1" t="str">
        <f t="shared" ref="U649:U651" si="1205">"0.0070"</f>
        <v>0.0070</v>
      </c>
    </row>
    <row r="650" s="1" customFormat="1" spans="1:21">
      <c r="A650" s="1" t="str">
        <f>"4601991421883"</f>
        <v>4601991421883</v>
      </c>
      <c r="B650" s="1" t="s">
        <v>674</v>
      </c>
      <c r="C650" s="1" t="s">
        <v>24</v>
      </c>
      <c r="D650" s="1" t="str">
        <f t="shared" si="1188"/>
        <v>2021</v>
      </c>
      <c r="E650" s="1" t="str">
        <f t="shared" ref="E650:P650" si="1206">"0"</f>
        <v>0</v>
      </c>
      <c r="F650" s="1" t="str">
        <f t="shared" si="1206"/>
        <v>0</v>
      </c>
      <c r="G650" s="1" t="str">
        <f t="shared" si="1206"/>
        <v>0</v>
      </c>
      <c r="H650" s="1" t="str">
        <f t="shared" si="1206"/>
        <v>0</v>
      </c>
      <c r="I650" s="1" t="str">
        <f t="shared" si="1206"/>
        <v>0</v>
      </c>
      <c r="J650" s="1" t="str">
        <f t="shared" si="1206"/>
        <v>0</v>
      </c>
      <c r="K650" s="1" t="str">
        <f t="shared" si="1206"/>
        <v>0</v>
      </c>
      <c r="L650" s="1" t="str">
        <f t="shared" si="1206"/>
        <v>0</v>
      </c>
      <c r="M650" s="1" t="str">
        <f t="shared" si="1206"/>
        <v>0</v>
      </c>
      <c r="N650" s="1" t="str">
        <f t="shared" si="1206"/>
        <v>0</v>
      </c>
      <c r="O650" s="1" t="str">
        <f t="shared" si="1206"/>
        <v>0</v>
      </c>
      <c r="P650" s="1" t="str">
        <f t="shared" si="1206"/>
        <v>0</v>
      </c>
      <c r="Q650" s="1" t="str">
        <f t="shared" si="1191"/>
        <v>0.0070</v>
      </c>
      <c r="R650" s="1" t="s">
        <v>25</v>
      </c>
      <c r="T650" s="1" t="str">
        <f t="shared" si="1192"/>
        <v>0</v>
      </c>
      <c r="U650" s="1" t="str">
        <f t="shared" si="1205"/>
        <v>0.0070</v>
      </c>
    </row>
    <row r="651" s="1" customFormat="1" spans="1:21">
      <c r="A651" s="1" t="str">
        <f>"4601991423231"</f>
        <v>4601991423231</v>
      </c>
      <c r="B651" s="1" t="s">
        <v>675</v>
      </c>
      <c r="C651" s="1" t="s">
        <v>24</v>
      </c>
      <c r="D651" s="1" t="str">
        <f t="shared" si="1188"/>
        <v>2021</v>
      </c>
      <c r="E651" s="1" t="str">
        <f t="shared" ref="E651:P651" si="1207">"0"</f>
        <v>0</v>
      </c>
      <c r="F651" s="1" t="str">
        <f t="shared" si="1207"/>
        <v>0</v>
      </c>
      <c r="G651" s="1" t="str">
        <f t="shared" si="1207"/>
        <v>0</v>
      </c>
      <c r="H651" s="1" t="str">
        <f t="shared" si="1207"/>
        <v>0</v>
      </c>
      <c r="I651" s="1" t="str">
        <f t="shared" si="1207"/>
        <v>0</v>
      </c>
      <c r="J651" s="1" t="str">
        <f t="shared" si="1207"/>
        <v>0</v>
      </c>
      <c r="K651" s="1" t="str">
        <f t="shared" si="1207"/>
        <v>0</v>
      </c>
      <c r="L651" s="1" t="str">
        <f t="shared" si="1207"/>
        <v>0</v>
      </c>
      <c r="M651" s="1" t="str">
        <f t="shared" si="1207"/>
        <v>0</v>
      </c>
      <c r="N651" s="1" t="str">
        <f t="shared" si="1207"/>
        <v>0</v>
      </c>
      <c r="O651" s="1" t="str">
        <f t="shared" si="1207"/>
        <v>0</v>
      </c>
      <c r="P651" s="1" t="str">
        <f t="shared" si="1207"/>
        <v>0</v>
      </c>
      <c r="Q651" s="1" t="str">
        <f t="shared" si="1191"/>
        <v>0.0070</v>
      </c>
      <c r="R651" s="1" t="s">
        <v>25</v>
      </c>
      <c r="T651" s="1" t="str">
        <f t="shared" si="1192"/>
        <v>0</v>
      </c>
      <c r="U651" s="1" t="str">
        <f t="shared" si="1205"/>
        <v>0.0070</v>
      </c>
    </row>
    <row r="652" s="1" customFormat="1" spans="1:21">
      <c r="A652" s="1" t="str">
        <f>"4601991421872"</f>
        <v>4601991421872</v>
      </c>
      <c r="B652" s="1" t="s">
        <v>676</v>
      </c>
      <c r="C652" s="1" t="s">
        <v>24</v>
      </c>
      <c r="D652" s="1" t="str">
        <f t="shared" si="1188"/>
        <v>2021</v>
      </c>
      <c r="E652" s="1" t="str">
        <f>"634.78"</f>
        <v>634.78</v>
      </c>
      <c r="F652" s="1" t="str">
        <f t="shared" ref="F652:I652" si="1208">"0"</f>
        <v>0</v>
      </c>
      <c r="G652" s="1" t="str">
        <f t="shared" si="1208"/>
        <v>0</v>
      </c>
      <c r="H652" s="1" t="str">
        <f t="shared" si="1208"/>
        <v>0</v>
      </c>
      <c r="I652" s="1" t="str">
        <f t="shared" si="1208"/>
        <v>0</v>
      </c>
      <c r="J652" s="1" t="str">
        <f>"64"</f>
        <v>64</v>
      </c>
      <c r="K652" s="1" t="str">
        <f t="shared" ref="K652:P652" si="1209">"0"</f>
        <v>0</v>
      </c>
      <c r="L652" s="1" t="str">
        <f t="shared" si="1209"/>
        <v>0</v>
      </c>
      <c r="M652" s="1" t="str">
        <f t="shared" si="1209"/>
        <v>0</v>
      </c>
      <c r="N652" s="1" t="str">
        <f t="shared" si="1209"/>
        <v>0</v>
      </c>
      <c r="O652" s="1" t="str">
        <f t="shared" si="1209"/>
        <v>0</v>
      </c>
      <c r="P652" s="1" t="str">
        <f t="shared" si="1209"/>
        <v>0</v>
      </c>
      <c r="Q652" s="1" t="str">
        <f t="shared" si="1191"/>
        <v>0.0070</v>
      </c>
      <c r="R652" s="1" t="s">
        <v>29</v>
      </c>
      <c r="S652" s="1">
        <v>-0.0014</v>
      </c>
      <c r="T652" s="1" t="str">
        <f t="shared" si="1192"/>
        <v>0</v>
      </c>
      <c r="U652" s="1" t="str">
        <f t="shared" si="1201"/>
        <v>0.0056</v>
      </c>
    </row>
    <row r="653" s="1" customFormat="1" spans="1:21">
      <c r="A653" s="1" t="str">
        <f>"4601991421887"</f>
        <v>4601991421887</v>
      </c>
      <c r="B653" s="1" t="s">
        <v>677</v>
      </c>
      <c r="C653" s="1" t="s">
        <v>24</v>
      </c>
      <c r="D653" s="1" t="str">
        <f t="shared" si="1188"/>
        <v>2021</v>
      </c>
      <c r="E653" s="1" t="str">
        <f>"87.45"</f>
        <v>87.45</v>
      </c>
      <c r="F653" s="1" t="str">
        <f t="shared" ref="F653:I653" si="1210">"0"</f>
        <v>0</v>
      </c>
      <c r="G653" s="1" t="str">
        <f t="shared" si="1210"/>
        <v>0</v>
      </c>
      <c r="H653" s="1" t="str">
        <f t="shared" si="1210"/>
        <v>0</v>
      </c>
      <c r="I653" s="1" t="str">
        <f t="shared" si="1210"/>
        <v>0</v>
      </c>
      <c r="J653" s="1" t="str">
        <f>"12"</f>
        <v>12</v>
      </c>
      <c r="K653" s="1" t="str">
        <f t="shared" ref="K653:P653" si="1211">"0"</f>
        <v>0</v>
      </c>
      <c r="L653" s="1" t="str">
        <f t="shared" si="1211"/>
        <v>0</v>
      </c>
      <c r="M653" s="1" t="str">
        <f t="shared" si="1211"/>
        <v>0</v>
      </c>
      <c r="N653" s="1" t="str">
        <f t="shared" si="1211"/>
        <v>0</v>
      </c>
      <c r="O653" s="1" t="str">
        <f t="shared" si="1211"/>
        <v>0</v>
      </c>
      <c r="P653" s="1" t="str">
        <f t="shared" si="1211"/>
        <v>0</v>
      </c>
      <c r="Q653" s="1" t="str">
        <f t="shared" si="1191"/>
        <v>0.0070</v>
      </c>
      <c r="R653" s="1" t="s">
        <v>29</v>
      </c>
      <c r="S653" s="1">
        <v>-0.0014</v>
      </c>
      <c r="T653" s="1" t="str">
        <f t="shared" si="1192"/>
        <v>0</v>
      </c>
      <c r="U653" s="1" t="str">
        <f t="shared" si="1201"/>
        <v>0.0056</v>
      </c>
    </row>
    <row r="654" s="1" customFormat="1" spans="1:21">
      <c r="A654" s="1" t="str">
        <f>"4601991421374"</f>
        <v>4601991421374</v>
      </c>
      <c r="B654" s="1" t="s">
        <v>678</v>
      </c>
      <c r="C654" s="1" t="s">
        <v>24</v>
      </c>
      <c r="D654" s="1" t="str">
        <f t="shared" si="1188"/>
        <v>2021</v>
      </c>
      <c r="E654" s="1" t="str">
        <f>"38.68"</f>
        <v>38.68</v>
      </c>
      <c r="F654" s="1" t="str">
        <f t="shared" ref="F654:I654" si="1212">"0"</f>
        <v>0</v>
      </c>
      <c r="G654" s="1" t="str">
        <f t="shared" si="1212"/>
        <v>0</v>
      </c>
      <c r="H654" s="1" t="str">
        <f t="shared" si="1212"/>
        <v>0</v>
      </c>
      <c r="I654" s="1" t="str">
        <f t="shared" si="1212"/>
        <v>0</v>
      </c>
      <c r="J654" s="1" t="str">
        <f>"4"</f>
        <v>4</v>
      </c>
      <c r="K654" s="1" t="str">
        <f t="shared" ref="K654:P654" si="1213">"0"</f>
        <v>0</v>
      </c>
      <c r="L654" s="1" t="str">
        <f t="shared" si="1213"/>
        <v>0</v>
      </c>
      <c r="M654" s="1" t="str">
        <f t="shared" si="1213"/>
        <v>0</v>
      </c>
      <c r="N654" s="1" t="str">
        <f t="shared" si="1213"/>
        <v>0</v>
      </c>
      <c r="O654" s="1" t="str">
        <f t="shared" si="1213"/>
        <v>0</v>
      </c>
      <c r="P654" s="1" t="str">
        <f t="shared" si="1213"/>
        <v>0</v>
      </c>
      <c r="Q654" s="1" t="str">
        <f t="shared" si="1191"/>
        <v>0.0070</v>
      </c>
      <c r="R654" s="1" t="s">
        <v>29</v>
      </c>
      <c r="S654" s="1">
        <v>-0.0014</v>
      </c>
      <c r="T654" s="1" t="str">
        <f t="shared" si="1192"/>
        <v>0</v>
      </c>
      <c r="U654" s="1" t="str">
        <f t="shared" si="1201"/>
        <v>0.0056</v>
      </c>
    </row>
    <row r="655" s="1" customFormat="1" spans="1:21">
      <c r="A655" s="1" t="str">
        <f>"4601991422535"</f>
        <v>4601991422535</v>
      </c>
      <c r="B655" s="1" t="s">
        <v>679</v>
      </c>
      <c r="C655" s="1" t="s">
        <v>24</v>
      </c>
      <c r="D655" s="1" t="str">
        <f t="shared" si="1188"/>
        <v>2021</v>
      </c>
      <c r="E655" s="1" t="str">
        <f>"9.58"</f>
        <v>9.58</v>
      </c>
      <c r="F655" s="1" t="str">
        <f t="shared" ref="F655:I655" si="1214">"0"</f>
        <v>0</v>
      </c>
      <c r="G655" s="1" t="str">
        <f t="shared" si="1214"/>
        <v>0</v>
      </c>
      <c r="H655" s="1" t="str">
        <f t="shared" si="1214"/>
        <v>0</v>
      </c>
      <c r="I655" s="1" t="str">
        <f t="shared" si="1214"/>
        <v>0</v>
      </c>
      <c r="J655" s="1" t="str">
        <f>"2"</f>
        <v>2</v>
      </c>
      <c r="K655" s="1" t="str">
        <f t="shared" ref="K655:P655" si="1215">"0"</f>
        <v>0</v>
      </c>
      <c r="L655" s="1" t="str">
        <f t="shared" si="1215"/>
        <v>0</v>
      </c>
      <c r="M655" s="1" t="str">
        <f t="shared" si="1215"/>
        <v>0</v>
      </c>
      <c r="N655" s="1" t="str">
        <f t="shared" si="1215"/>
        <v>0</v>
      </c>
      <c r="O655" s="1" t="str">
        <f t="shared" si="1215"/>
        <v>0</v>
      </c>
      <c r="P655" s="1" t="str">
        <f t="shared" si="1215"/>
        <v>0</v>
      </c>
      <c r="Q655" s="1" t="str">
        <f t="shared" si="1191"/>
        <v>0.0070</v>
      </c>
      <c r="R655" s="1" t="s">
        <v>29</v>
      </c>
      <c r="S655" s="1">
        <v>-0.0014</v>
      </c>
      <c r="T655" s="1" t="str">
        <f t="shared" si="1192"/>
        <v>0</v>
      </c>
      <c r="U655" s="1" t="str">
        <f t="shared" si="1201"/>
        <v>0.0056</v>
      </c>
    </row>
    <row r="656" s="1" customFormat="1" spans="1:21">
      <c r="A656" s="1" t="str">
        <f>"4601991422568"</f>
        <v>4601991422568</v>
      </c>
      <c r="B656" s="1" t="s">
        <v>680</v>
      </c>
      <c r="C656" s="1" t="s">
        <v>24</v>
      </c>
      <c r="D656" s="1" t="str">
        <f t="shared" si="1188"/>
        <v>2021</v>
      </c>
      <c r="E656" s="1" t="str">
        <f>"9.67"</f>
        <v>9.67</v>
      </c>
      <c r="F656" s="1" t="str">
        <f t="shared" ref="F656:I656" si="1216">"0"</f>
        <v>0</v>
      </c>
      <c r="G656" s="1" t="str">
        <f t="shared" si="1216"/>
        <v>0</v>
      </c>
      <c r="H656" s="1" t="str">
        <f t="shared" si="1216"/>
        <v>0</v>
      </c>
      <c r="I656" s="1" t="str">
        <f t="shared" si="1216"/>
        <v>0</v>
      </c>
      <c r="J656" s="1" t="str">
        <f>"3"</f>
        <v>3</v>
      </c>
      <c r="K656" s="1" t="str">
        <f t="shared" ref="K656:P656" si="1217">"0"</f>
        <v>0</v>
      </c>
      <c r="L656" s="1" t="str">
        <f t="shared" si="1217"/>
        <v>0</v>
      </c>
      <c r="M656" s="1" t="str">
        <f t="shared" si="1217"/>
        <v>0</v>
      </c>
      <c r="N656" s="1" t="str">
        <f t="shared" si="1217"/>
        <v>0</v>
      </c>
      <c r="O656" s="1" t="str">
        <f t="shared" si="1217"/>
        <v>0</v>
      </c>
      <c r="P656" s="1" t="str">
        <f t="shared" si="1217"/>
        <v>0</v>
      </c>
      <c r="Q656" s="1" t="str">
        <f t="shared" si="1191"/>
        <v>0.0070</v>
      </c>
      <c r="R656" s="1" t="s">
        <v>29</v>
      </c>
      <c r="S656" s="1">
        <v>-0.0014</v>
      </c>
      <c r="T656" s="1" t="str">
        <f t="shared" si="1192"/>
        <v>0</v>
      </c>
      <c r="U656" s="1" t="str">
        <f t="shared" si="1201"/>
        <v>0.0056</v>
      </c>
    </row>
    <row r="657" s="1" customFormat="1" spans="1:21">
      <c r="A657" s="1" t="str">
        <f>"4601991421378"</f>
        <v>4601991421378</v>
      </c>
      <c r="B657" s="1" t="s">
        <v>681</v>
      </c>
      <c r="C657" s="1" t="s">
        <v>24</v>
      </c>
      <c r="D657" s="1" t="str">
        <f t="shared" si="1188"/>
        <v>2021</v>
      </c>
      <c r="E657" s="1" t="str">
        <f t="shared" ref="E657:P657" si="1218">"0"</f>
        <v>0</v>
      </c>
      <c r="F657" s="1" t="str">
        <f t="shared" si="1218"/>
        <v>0</v>
      </c>
      <c r="G657" s="1" t="str">
        <f t="shared" si="1218"/>
        <v>0</v>
      </c>
      <c r="H657" s="1" t="str">
        <f t="shared" si="1218"/>
        <v>0</v>
      </c>
      <c r="I657" s="1" t="str">
        <f t="shared" si="1218"/>
        <v>0</v>
      </c>
      <c r="J657" s="1" t="str">
        <f t="shared" si="1218"/>
        <v>0</v>
      </c>
      <c r="K657" s="1" t="str">
        <f t="shared" si="1218"/>
        <v>0</v>
      </c>
      <c r="L657" s="1" t="str">
        <f t="shared" si="1218"/>
        <v>0</v>
      </c>
      <c r="M657" s="1" t="str">
        <f t="shared" si="1218"/>
        <v>0</v>
      </c>
      <c r="N657" s="1" t="str">
        <f t="shared" si="1218"/>
        <v>0</v>
      </c>
      <c r="O657" s="1" t="str">
        <f t="shared" si="1218"/>
        <v>0</v>
      </c>
      <c r="P657" s="1" t="str">
        <f t="shared" si="1218"/>
        <v>0</v>
      </c>
      <c r="Q657" s="1" t="str">
        <f t="shared" si="1191"/>
        <v>0.0070</v>
      </c>
      <c r="R657" s="1" t="s">
        <v>25</v>
      </c>
      <c r="T657" s="1" t="str">
        <f t="shared" si="1192"/>
        <v>0</v>
      </c>
      <c r="U657" s="1" t="str">
        <f t="shared" ref="U657:U662" si="1219">"0.0070"</f>
        <v>0.0070</v>
      </c>
    </row>
    <row r="658" s="1" customFormat="1" spans="1:21">
      <c r="A658" s="1" t="str">
        <f>"4601991422565"</f>
        <v>4601991422565</v>
      </c>
      <c r="B658" s="1" t="s">
        <v>682</v>
      </c>
      <c r="C658" s="1" t="s">
        <v>24</v>
      </c>
      <c r="D658" s="1" t="str">
        <f t="shared" si="1188"/>
        <v>2021</v>
      </c>
      <c r="E658" s="1" t="str">
        <f t="shared" ref="E658:P658" si="1220">"0"</f>
        <v>0</v>
      </c>
      <c r="F658" s="1" t="str">
        <f t="shared" si="1220"/>
        <v>0</v>
      </c>
      <c r="G658" s="1" t="str">
        <f t="shared" si="1220"/>
        <v>0</v>
      </c>
      <c r="H658" s="1" t="str">
        <f t="shared" si="1220"/>
        <v>0</v>
      </c>
      <c r="I658" s="1" t="str">
        <f t="shared" si="1220"/>
        <v>0</v>
      </c>
      <c r="J658" s="1" t="str">
        <f t="shared" si="1220"/>
        <v>0</v>
      </c>
      <c r="K658" s="1" t="str">
        <f t="shared" si="1220"/>
        <v>0</v>
      </c>
      <c r="L658" s="1" t="str">
        <f t="shared" si="1220"/>
        <v>0</v>
      </c>
      <c r="M658" s="1" t="str">
        <f t="shared" si="1220"/>
        <v>0</v>
      </c>
      <c r="N658" s="1" t="str">
        <f t="shared" si="1220"/>
        <v>0</v>
      </c>
      <c r="O658" s="1" t="str">
        <f t="shared" si="1220"/>
        <v>0</v>
      </c>
      <c r="P658" s="1" t="str">
        <f t="shared" si="1220"/>
        <v>0</v>
      </c>
      <c r="Q658" s="1" t="str">
        <f t="shared" si="1191"/>
        <v>0.0070</v>
      </c>
      <c r="R658" s="1" t="s">
        <v>25</v>
      </c>
      <c r="T658" s="1" t="str">
        <f t="shared" si="1192"/>
        <v>0</v>
      </c>
      <c r="U658" s="1" t="str">
        <f t="shared" si="1219"/>
        <v>0.0070</v>
      </c>
    </row>
    <row r="659" s="1" customFormat="1" spans="1:21">
      <c r="A659" s="1" t="str">
        <f>"4601991422624"</f>
        <v>4601991422624</v>
      </c>
      <c r="B659" s="1" t="s">
        <v>683</v>
      </c>
      <c r="C659" s="1" t="s">
        <v>24</v>
      </c>
      <c r="D659" s="1" t="str">
        <f t="shared" si="1188"/>
        <v>2021</v>
      </c>
      <c r="E659" s="1" t="str">
        <f>"118.20"</f>
        <v>118.20</v>
      </c>
      <c r="F659" s="1" t="str">
        <f t="shared" ref="F659:I659" si="1221">"0"</f>
        <v>0</v>
      </c>
      <c r="G659" s="1" t="str">
        <f t="shared" si="1221"/>
        <v>0</v>
      </c>
      <c r="H659" s="1" t="str">
        <f t="shared" si="1221"/>
        <v>0</v>
      </c>
      <c r="I659" s="1" t="str">
        <f t="shared" si="1221"/>
        <v>0</v>
      </c>
      <c r="J659" s="1" t="str">
        <f>"11"</f>
        <v>11</v>
      </c>
      <c r="K659" s="1" t="str">
        <f t="shared" ref="K659:P659" si="1222">"0"</f>
        <v>0</v>
      </c>
      <c r="L659" s="1" t="str">
        <f t="shared" si="1222"/>
        <v>0</v>
      </c>
      <c r="M659" s="1" t="str">
        <f t="shared" si="1222"/>
        <v>0</v>
      </c>
      <c r="N659" s="1" t="str">
        <f t="shared" si="1222"/>
        <v>0</v>
      </c>
      <c r="O659" s="1" t="str">
        <f t="shared" si="1222"/>
        <v>0</v>
      </c>
      <c r="P659" s="1" t="str">
        <f t="shared" si="1222"/>
        <v>0</v>
      </c>
      <c r="Q659" s="1" t="str">
        <f t="shared" si="1191"/>
        <v>0.0070</v>
      </c>
      <c r="R659" s="1" t="s">
        <v>29</v>
      </c>
      <c r="S659" s="1">
        <v>-0.0014</v>
      </c>
      <c r="T659" s="1" t="str">
        <f t="shared" si="1192"/>
        <v>0</v>
      </c>
      <c r="U659" s="1" t="str">
        <f t="shared" ref="U659:U663" si="1223">"0.0056"</f>
        <v>0.0056</v>
      </c>
    </row>
    <row r="660" s="1" customFormat="1" spans="1:21">
      <c r="A660" s="1" t="str">
        <f>"4601991422006"</f>
        <v>4601991422006</v>
      </c>
      <c r="B660" s="1" t="s">
        <v>684</v>
      </c>
      <c r="C660" s="1" t="s">
        <v>24</v>
      </c>
      <c r="D660" s="1" t="str">
        <f t="shared" si="1188"/>
        <v>2021</v>
      </c>
      <c r="E660" s="1" t="str">
        <f>"36.27"</f>
        <v>36.27</v>
      </c>
      <c r="F660" s="1" t="str">
        <f t="shared" ref="F660:I660" si="1224">"0"</f>
        <v>0</v>
      </c>
      <c r="G660" s="1" t="str">
        <f t="shared" si="1224"/>
        <v>0</v>
      </c>
      <c r="H660" s="1" t="str">
        <f t="shared" si="1224"/>
        <v>0</v>
      </c>
      <c r="I660" s="1" t="str">
        <f t="shared" si="1224"/>
        <v>0</v>
      </c>
      <c r="J660" s="1" t="str">
        <f>"8"</f>
        <v>8</v>
      </c>
      <c r="K660" s="1" t="str">
        <f t="shared" ref="K660:P660" si="1225">"0"</f>
        <v>0</v>
      </c>
      <c r="L660" s="1" t="str">
        <f t="shared" si="1225"/>
        <v>0</v>
      </c>
      <c r="M660" s="1" t="str">
        <f t="shared" si="1225"/>
        <v>0</v>
      </c>
      <c r="N660" s="1" t="str">
        <f t="shared" si="1225"/>
        <v>0</v>
      </c>
      <c r="O660" s="1" t="str">
        <f t="shared" si="1225"/>
        <v>0</v>
      </c>
      <c r="P660" s="1" t="str">
        <f t="shared" si="1225"/>
        <v>0</v>
      </c>
      <c r="Q660" s="1" t="str">
        <f t="shared" si="1191"/>
        <v>0.0070</v>
      </c>
      <c r="R660" s="1" t="s">
        <v>29</v>
      </c>
      <c r="S660" s="1">
        <v>-0.0014</v>
      </c>
      <c r="T660" s="1" t="str">
        <f t="shared" si="1192"/>
        <v>0</v>
      </c>
      <c r="U660" s="1" t="str">
        <f t="shared" si="1223"/>
        <v>0.0056</v>
      </c>
    </row>
    <row r="661" s="1" customFormat="1" spans="1:21">
      <c r="A661" s="1" t="str">
        <f>"4601991427114"</f>
        <v>4601991427114</v>
      </c>
      <c r="B661" s="1" t="s">
        <v>685</v>
      </c>
      <c r="C661" s="1" t="s">
        <v>24</v>
      </c>
      <c r="D661" s="1" t="str">
        <f t="shared" si="1188"/>
        <v>2021</v>
      </c>
      <c r="E661" s="1" t="str">
        <f t="shared" ref="E661:P661" si="1226">"0"</f>
        <v>0</v>
      </c>
      <c r="F661" s="1" t="str">
        <f t="shared" si="1226"/>
        <v>0</v>
      </c>
      <c r="G661" s="1" t="str">
        <f t="shared" si="1226"/>
        <v>0</v>
      </c>
      <c r="H661" s="1" t="str">
        <f t="shared" si="1226"/>
        <v>0</v>
      </c>
      <c r="I661" s="1" t="str">
        <f t="shared" si="1226"/>
        <v>0</v>
      </c>
      <c r="J661" s="1" t="str">
        <f t="shared" si="1226"/>
        <v>0</v>
      </c>
      <c r="K661" s="1" t="str">
        <f t="shared" si="1226"/>
        <v>0</v>
      </c>
      <c r="L661" s="1" t="str">
        <f t="shared" si="1226"/>
        <v>0</v>
      </c>
      <c r="M661" s="1" t="str">
        <f t="shared" si="1226"/>
        <v>0</v>
      </c>
      <c r="N661" s="1" t="str">
        <f t="shared" si="1226"/>
        <v>0</v>
      </c>
      <c r="O661" s="1" t="str">
        <f t="shared" si="1226"/>
        <v>0</v>
      </c>
      <c r="P661" s="1" t="str">
        <f t="shared" si="1226"/>
        <v>0</v>
      </c>
      <c r="Q661" s="1" t="str">
        <f t="shared" si="1191"/>
        <v>0.0070</v>
      </c>
      <c r="R661" s="1" t="s">
        <v>25</v>
      </c>
      <c r="T661" s="1" t="str">
        <f t="shared" si="1192"/>
        <v>0</v>
      </c>
      <c r="U661" s="1" t="str">
        <f t="shared" si="1219"/>
        <v>0.0070</v>
      </c>
    </row>
    <row r="662" s="1" customFormat="1" spans="1:21">
      <c r="A662" s="1" t="str">
        <f>"4601991423310"</f>
        <v>4601991423310</v>
      </c>
      <c r="B662" s="1" t="s">
        <v>686</v>
      </c>
      <c r="C662" s="1" t="s">
        <v>24</v>
      </c>
      <c r="D662" s="1" t="str">
        <f t="shared" si="1188"/>
        <v>2021</v>
      </c>
      <c r="E662" s="1" t="str">
        <f t="shared" ref="E662:P662" si="1227">"0"</f>
        <v>0</v>
      </c>
      <c r="F662" s="1" t="str">
        <f t="shared" si="1227"/>
        <v>0</v>
      </c>
      <c r="G662" s="1" t="str">
        <f t="shared" si="1227"/>
        <v>0</v>
      </c>
      <c r="H662" s="1" t="str">
        <f t="shared" si="1227"/>
        <v>0</v>
      </c>
      <c r="I662" s="1" t="str">
        <f t="shared" si="1227"/>
        <v>0</v>
      </c>
      <c r="J662" s="1" t="str">
        <f t="shared" si="1227"/>
        <v>0</v>
      </c>
      <c r="K662" s="1" t="str">
        <f t="shared" si="1227"/>
        <v>0</v>
      </c>
      <c r="L662" s="1" t="str">
        <f t="shared" si="1227"/>
        <v>0</v>
      </c>
      <c r="M662" s="1" t="str">
        <f t="shared" si="1227"/>
        <v>0</v>
      </c>
      <c r="N662" s="1" t="str">
        <f t="shared" si="1227"/>
        <v>0</v>
      </c>
      <c r="O662" s="1" t="str">
        <f t="shared" si="1227"/>
        <v>0</v>
      </c>
      <c r="P662" s="1" t="str">
        <f t="shared" si="1227"/>
        <v>0</v>
      </c>
      <c r="Q662" s="1" t="str">
        <f t="shared" si="1191"/>
        <v>0.0070</v>
      </c>
      <c r="R662" s="1" t="s">
        <v>25</v>
      </c>
      <c r="T662" s="1" t="str">
        <f t="shared" si="1192"/>
        <v>0</v>
      </c>
      <c r="U662" s="1" t="str">
        <f t="shared" si="1219"/>
        <v>0.0070</v>
      </c>
    </row>
    <row r="663" s="1" customFormat="1" spans="1:21">
      <c r="A663" s="1" t="str">
        <f>"4601991426574"</f>
        <v>4601991426574</v>
      </c>
      <c r="B663" s="1" t="s">
        <v>687</v>
      </c>
      <c r="C663" s="1" t="s">
        <v>24</v>
      </c>
      <c r="D663" s="1" t="str">
        <f t="shared" si="1188"/>
        <v>2021</v>
      </c>
      <c r="E663" s="1" t="str">
        <f>"49.00"</f>
        <v>49.00</v>
      </c>
      <c r="F663" s="1" t="str">
        <f t="shared" ref="F663:I663" si="1228">"0"</f>
        <v>0</v>
      </c>
      <c r="G663" s="1" t="str">
        <f t="shared" si="1228"/>
        <v>0</v>
      </c>
      <c r="H663" s="1" t="str">
        <f t="shared" si="1228"/>
        <v>0</v>
      </c>
      <c r="I663" s="1" t="str">
        <f t="shared" si="1228"/>
        <v>0</v>
      </c>
      <c r="J663" s="1" t="str">
        <f>"4"</f>
        <v>4</v>
      </c>
      <c r="K663" s="1" t="str">
        <f t="shared" ref="K663:P663" si="1229">"0"</f>
        <v>0</v>
      </c>
      <c r="L663" s="1" t="str">
        <f t="shared" si="1229"/>
        <v>0</v>
      </c>
      <c r="M663" s="1" t="str">
        <f t="shared" si="1229"/>
        <v>0</v>
      </c>
      <c r="N663" s="1" t="str">
        <f t="shared" si="1229"/>
        <v>0</v>
      </c>
      <c r="O663" s="1" t="str">
        <f t="shared" si="1229"/>
        <v>0</v>
      </c>
      <c r="P663" s="1" t="str">
        <f t="shared" si="1229"/>
        <v>0</v>
      </c>
      <c r="Q663" s="1" t="str">
        <f t="shared" si="1191"/>
        <v>0.0070</v>
      </c>
      <c r="R663" s="1" t="s">
        <v>29</v>
      </c>
      <c r="S663" s="1">
        <v>-0.0014</v>
      </c>
      <c r="T663" s="1" t="str">
        <f t="shared" si="1192"/>
        <v>0</v>
      </c>
      <c r="U663" s="1" t="str">
        <f t="shared" si="1223"/>
        <v>0.0056</v>
      </c>
    </row>
    <row r="664" s="1" customFormat="1" spans="1:21">
      <c r="A664" s="1" t="str">
        <f>"4601991427127"</f>
        <v>4601991427127</v>
      </c>
      <c r="B664" s="1" t="s">
        <v>688</v>
      </c>
      <c r="C664" s="1" t="s">
        <v>24</v>
      </c>
      <c r="D664" s="1" t="str">
        <f t="shared" si="1188"/>
        <v>2021</v>
      </c>
      <c r="E664" s="1" t="str">
        <f t="shared" ref="E664:P664" si="1230">"0"</f>
        <v>0</v>
      </c>
      <c r="F664" s="1" t="str">
        <f t="shared" si="1230"/>
        <v>0</v>
      </c>
      <c r="G664" s="1" t="str">
        <f t="shared" si="1230"/>
        <v>0</v>
      </c>
      <c r="H664" s="1" t="str">
        <f t="shared" si="1230"/>
        <v>0</v>
      </c>
      <c r="I664" s="1" t="str">
        <f t="shared" si="1230"/>
        <v>0</v>
      </c>
      <c r="J664" s="1" t="str">
        <f t="shared" si="1230"/>
        <v>0</v>
      </c>
      <c r="K664" s="1" t="str">
        <f t="shared" si="1230"/>
        <v>0</v>
      </c>
      <c r="L664" s="1" t="str">
        <f t="shared" si="1230"/>
        <v>0</v>
      </c>
      <c r="M664" s="1" t="str">
        <f t="shared" si="1230"/>
        <v>0</v>
      </c>
      <c r="N664" s="1" t="str">
        <f t="shared" si="1230"/>
        <v>0</v>
      </c>
      <c r="O664" s="1" t="str">
        <f t="shared" si="1230"/>
        <v>0</v>
      </c>
      <c r="P664" s="1" t="str">
        <f t="shared" si="1230"/>
        <v>0</v>
      </c>
      <c r="Q664" s="1" t="str">
        <f t="shared" si="1191"/>
        <v>0.0070</v>
      </c>
      <c r="R664" s="1" t="s">
        <v>25</v>
      </c>
      <c r="T664" s="1" t="str">
        <f t="shared" si="1192"/>
        <v>0</v>
      </c>
      <c r="U664" s="1" t="str">
        <f t="shared" ref="U664:U669" si="1231">"0.0070"</f>
        <v>0.0070</v>
      </c>
    </row>
    <row r="665" s="1" customFormat="1" spans="1:21">
      <c r="A665" s="1" t="str">
        <f>"4601991427118"</f>
        <v>4601991427118</v>
      </c>
      <c r="B665" s="1" t="s">
        <v>689</v>
      </c>
      <c r="C665" s="1" t="s">
        <v>24</v>
      </c>
      <c r="D665" s="1" t="str">
        <f t="shared" si="1188"/>
        <v>2021</v>
      </c>
      <c r="E665" s="1" t="str">
        <f>"24.18"</f>
        <v>24.18</v>
      </c>
      <c r="F665" s="1" t="str">
        <f t="shared" ref="F665:I665" si="1232">"0"</f>
        <v>0</v>
      </c>
      <c r="G665" s="1" t="str">
        <f t="shared" si="1232"/>
        <v>0</v>
      </c>
      <c r="H665" s="1" t="str">
        <f t="shared" si="1232"/>
        <v>0</v>
      </c>
      <c r="I665" s="1" t="str">
        <f t="shared" si="1232"/>
        <v>0</v>
      </c>
      <c r="J665" s="1" t="str">
        <f>"3"</f>
        <v>3</v>
      </c>
      <c r="K665" s="1" t="str">
        <f t="shared" ref="K665:P665" si="1233">"0"</f>
        <v>0</v>
      </c>
      <c r="L665" s="1" t="str">
        <f t="shared" si="1233"/>
        <v>0</v>
      </c>
      <c r="M665" s="1" t="str">
        <f t="shared" si="1233"/>
        <v>0</v>
      </c>
      <c r="N665" s="1" t="str">
        <f t="shared" si="1233"/>
        <v>0</v>
      </c>
      <c r="O665" s="1" t="str">
        <f t="shared" si="1233"/>
        <v>0</v>
      </c>
      <c r="P665" s="1" t="str">
        <f t="shared" si="1233"/>
        <v>0</v>
      </c>
      <c r="Q665" s="1" t="str">
        <f t="shared" si="1191"/>
        <v>0.0070</v>
      </c>
      <c r="R665" s="1" t="s">
        <v>29</v>
      </c>
      <c r="S665" s="1">
        <v>-0.0014</v>
      </c>
      <c r="T665" s="1" t="str">
        <f t="shared" si="1192"/>
        <v>0</v>
      </c>
      <c r="U665" s="1" t="str">
        <f t="shared" ref="U665:U670" si="1234">"0.0056"</f>
        <v>0.0056</v>
      </c>
    </row>
    <row r="666" s="1" customFormat="1" spans="1:21">
      <c r="A666" s="1" t="str">
        <f>"4601991427776"</f>
        <v>4601991427776</v>
      </c>
      <c r="B666" s="1" t="s">
        <v>690</v>
      </c>
      <c r="C666" s="1" t="s">
        <v>24</v>
      </c>
      <c r="D666" s="1" t="str">
        <f t="shared" si="1188"/>
        <v>2021</v>
      </c>
      <c r="E666" s="1" t="str">
        <f>"12.09"</f>
        <v>12.09</v>
      </c>
      <c r="F666" s="1" t="str">
        <f t="shared" ref="F666:I666" si="1235">"0"</f>
        <v>0</v>
      </c>
      <c r="G666" s="1" t="str">
        <f t="shared" si="1235"/>
        <v>0</v>
      </c>
      <c r="H666" s="1" t="str">
        <f t="shared" si="1235"/>
        <v>0</v>
      </c>
      <c r="I666" s="1" t="str">
        <f t="shared" si="1235"/>
        <v>0</v>
      </c>
      <c r="J666" s="1" t="str">
        <f>"1"</f>
        <v>1</v>
      </c>
      <c r="K666" s="1" t="str">
        <f t="shared" ref="K666:P666" si="1236">"0"</f>
        <v>0</v>
      </c>
      <c r="L666" s="1" t="str">
        <f t="shared" si="1236"/>
        <v>0</v>
      </c>
      <c r="M666" s="1" t="str">
        <f t="shared" si="1236"/>
        <v>0</v>
      </c>
      <c r="N666" s="1" t="str">
        <f t="shared" si="1236"/>
        <v>0</v>
      </c>
      <c r="O666" s="1" t="str">
        <f t="shared" si="1236"/>
        <v>0</v>
      </c>
      <c r="P666" s="1" t="str">
        <f t="shared" si="1236"/>
        <v>0</v>
      </c>
      <c r="Q666" s="1" t="str">
        <f t="shared" si="1191"/>
        <v>0.0070</v>
      </c>
      <c r="R666" s="1" t="s">
        <v>29</v>
      </c>
      <c r="S666" s="1">
        <v>-0.0014</v>
      </c>
      <c r="T666" s="1" t="str">
        <f t="shared" si="1192"/>
        <v>0</v>
      </c>
      <c r="U666" s="1" t="str">
        <f t="shared" si="1234"/>
        <v>0.0056</v>
      </c>
    </row>
    <row r="667" s="1" customFormat="1" spans="1:21">
      <c r="A667" s="1" t="str">
        <f>"4601991427133"</f>
        <v>4601991427133</v>
      </c>
      <c r="B667" s="1" t="s">
        <v>691</v>
      </c>
      <c r="C667" s="1" t="s">
        <v>24</v>
      </c>
      <c r="D667" s="1" t="str">
        <f t="shared" si="1188"/>
        <v>2021</v>
      </c>
      <c r="E667" s="1" t="str">
        <f>"19.34"</f>
        <v>19.34</v>
      </c>
      <c r="F667" s="1" t="str">
        <f t="shared" ref="F667:I667" si="1237">"0"</f>
        <v>0</v>
      </c>
      <c r="G667" s="1" t="str">
        <f t="shared" si="1237"/>
        <v>0</v>
      </c>
      <c r="H667" s="1" t="str">
        <f t="shared" si="1237"/>
        <v>0</v>
      </c>
      <c r="I667" s="1" t="str">
        <f t="shared" si="1237"/>
        <v>0</v>
      </c>
      <c r="J667" s="1" t="str">
        <f>"2"</f>
        <v>2</v>
      </c>
      <c r="K667" s="1" t="str">
        <f t="shared" ref="K667:P667" si="1238">"0"</f>
        <v>0</v>
      </c>
      <c r="L667" s="1" t="str">
        <f t="shared" si="1238"/>
        <v>0</v>
      </c>
      <c r="M667" s="1" t="str">
        <f t="shared" si="1238"/>
        <v>0</v>
      </c>
      <c r="N667" s="1" t="str">
        <f t="shared" si="1238"/>
        <v>0</v>
      </c>
      <c r="O667" s="1" t="str">
        <f t="shared" si="1238"/>
        <v>0</v>
      </c>
      <c r="P667" s="1" t="str">
        <f t="shared" si="1238"/>
        <v>0</v>
      </c>
      <c r="Q667" s="1" t="str">
        <f t="shared" si="1191"/>
        <v>0.0070</v>
      </c>
      <c r="R667" s="1" t="s">
        <v>25</v>
      </c>
      <c r="T667" s="1" t="str">
        <f t="shared" si="1192"/>
        <v>0</v>
      </c>
      <c r="U667" s="1" t="str">
        <f t="shared" si="1231"/>
        <v>0.0070</v>
      </c>
    </row>
    <row r="668" s="1" customFormat="1" spans="1:21">
      <c r="A668" s="1" t="str">
        <f>"4601991427190"</f>
        <v>4601991427190</v>
      </c>
      <c r="B668" s="1" t="s">
        <v>692</v>
      </c>
      <c r="C668" s="1" t="s">
        <v>24</v>
      </c>
      <c r="D668" s="1" t="str">
        <f t="shared" si="1188"/>
        <v>2021</v>
      </c>
      <c r="E668" s="1" t="str">
        <f t="shared" ref="E668:P668" si="1239">"0"</f>
        <v>0</v>
      </c>
      <c r="F668" s="1" t="str">
        <f t="shared" si="1239"/>
        <v>0</v>
      </c>
      <c r="G668" s="1" t="str">
        <f t="shared" si="1239"/>
        <v>0</v>
      </c>
      <c r="H668" s="1" t="str">
        <f t="shared" si="1239"/>
        <v>0</v>
      </c>
      <c r="I668" s="1" t="str">
        <f t="shared" si="1239"/>
        <v>0</v>
      </c>
      <c r="J668" s="1" t="str">
        <f t="shared" si="1239"/>
        <v>0</v>
      </c>
      <c r="K668" s="1" t="str">
        <f t="shared" si="1239"/>
        <v>0</v>
      </c>
      <c r="L668" s="1" t="str">
        <f t="shared" si="1239"/>
        <v>0</v>
      </c>
      <c r="M668" s="1" t="str">
        <f t="shared" si="1239"/>
        <v>0</v>
      </c>
      <c r="N668" s="1" t="str">
        <f t="shared" si="1239"/>
        <v>0</v>
      </c>
      <c r="O668" s="1" t="str">
        <f t="shared" si="1239"/>
        <v>0</v>
      </c>
      <c r="P668" s="1" t="str">
        <f t="shared" si="1239"/>
        <v>0</v>
      </c>
      <c r="Q668" s="1" t="str">
        <f t="shared" si="1191"/>
        <v>0.0070</v>
      </c>
      <c r="R668" s="1" t="s">
        <v>25</v>
      </c>
      <c r="T668" s="1" t="str">
        <f t="shared" si="1192"/>
        <v>0</v>
      </c>
      <c r="U668" s="1" t="str">
        <f t="shared" si="1231"/>
        <v>0.0070</v>
      </c>
    </row>
    <row r="669" s="1" customFormat="1" spans="1:21">
      <c r="A669" s="1" t="str">
        <f>"4601991427195"</f>
        <v>4601991427195</v>
      </c>
      <c r="B669" s="1" t="s">
        <v>693</v>
      </c>
      <c r="C669" s="1" t="s">
        <v>24</v>
      </c>
      <c r="D669" s="1" t="str">
        <f t="shared" si="1188"/>
        <v>2021</v>
      </c>
      <c r="E669" s="1" t="str">
        <f t="shared" ref="E669:P669" si="1240">"0"</f>
        <v>0</v>
      </c>
      <c r="F669" s="1" t="str">
        <f t="shared" si="1240"/>
        <v>0</v>
      </c>
      <c r="G669" s="1" t="str">
        <f t="shared" si="1240"/>
        <v>0</v>
      </c>
      <c r="H669" s="1" t="str">
        <f t="shared" si="1240"/>
        <v>0</v>
      </c>
      <c r="I669" s="1" t="str">
        <f t="shared" si="1240"/>
        <v>0</v>
      </c>
      <c r="J669" s="1" t="str">
        <f t="shared" si="1240"/>
        <v>0</v>
      </c>
      <c r="K669" s="1" t="str">
        <f t="shared" si="1240"/>
        <v>0</v>
      </c>
      <c r="L669" s="1" t="str">
        <f t="shared" si="1240"/>
        <v>0</v>
      </c>
      <c r="M669" s="1" t="str">
        <f t="shared" si="1240"/>
        <v>0</v>
      </c>
      <c r="N669" s="1" t="str">
        <f t="shared" si="1240"/>
        <v>0</v>
      </c>
      <c r="O669" s="1" t="str">
        <f t="shared" si="1240"/>
        <v>0</v>
      </c>
      <c r="P669" s="1" t="str">
        <f t="shared" si="1240"/>
        <v>0</v>
      </c>
      <c r="Q669" s="1" t="str">
        <f t="shared" si="1191"/>
        <v>0.0070</v>
      </c>
      <c r="R669" s="1" t="s">
        <v>25</v>
      </c>
      <c r="T669" s="1" t="str">
        <f t="shared" si="1192"/>
        <v>0</v>
      </c>
      <c r="U669" s="1" t="str">
        <f t="shared" si="1231"/>
        <v>0.0070</v>
      </c>
    </row>
    <row r="670" s="1" customFormat="1" spans="1:21">
      <c r="A670" s="1" t="str">
        <f>"4601991427800"</f>
        <v>4601991427800</v>
      </c>
      <c r="B670" s="1" t="s">
        <v>694</v>
      </c>
      <c r="C670" s="1" t="s">
        <v>24</v>
      </c>
      <c r="D670" s="1" t="str">
        <f t="shared" si="1188"/>
        <v>2021</v>
      </c>
      <c r="E670" s="1" t="str">
        <f>"77.36"</f>
        <v>77.36</v>
      </c>
      <c r="F670" s="1" t="str">
        <f t="shared" ref="F670:I670" si="1241">"0"</f>
        <v>0</v>
      </c>
      <c r="G670" s="1" t="str">
        <f t="shared" si="1241"/>
        <v>0</v>
      </c>
      <c r="H670" s="1" t="str">
        <f t="shared" si="1241"/>
        <v>0</v>
      </c>
      <c r="I670" s="1" t="str">
        <f t="shared" si="1241"/>
        <v>0</v>
      </c>
      <c r="J670" s="1" t="str">
        <f>"8"</f>
        <v>8</v>
      </c>
      <c r="K670" s="1" t="str">
        <f t="shared" ref="K670:P670" si="1242">"0"</f>
        <v>0</v>
      </c>
      <c r="L670" s="1" t="str">
        <f t="shared" si="1242"/>
        <v>0</v>
      </c>
      <c r="M670" s="1" t="str">
        <f t="shared" si="1242"/>
        <v>0</v>
      </c>
      <c r="N670" s="1" t="str">
        <f t="shared" si="1242"/>
        <v>0</v>
      </c>
      <c r="O670" s="1" t="str">
        <f t="shared" si="1242"/>
        <v>0</v>
      </c>
      <c r="P670" s="1" t="str">
        <f t="shared" si="1242"/>
        <v>0</v>
      </c>
      <c r="Q670" s="1" t="str">
        <f t="shared" si="1191"/>
        <v>0.0070</v>
      </c>
      <c r="R670" s="1" t="s">
        <v>29</v>
      </c>
      <c r="S670" s="1">
        <v>-0.0014</v>
      </c>
      <c r="T670" s="1" t="str">
        <f t="shared" si="1192"/>
        <v>0</v>
      </c>
      <c r="U670" s="1" t="str">
        <f t="shared" si="1234"/>
        <v>0.0056</v>
      </c>
    </row>
    <row r="671" s="1" customFormat="1" spans="1:21">
      <c r="A671" s="1" t="str">
        <f>"4601991427781"</f>
        <v>4601991427781</v>
      </c>
      <c r="B671" s="1" t="s">
        <v>695</v>
      </c>
      <c r="C671" s="1" t="s">
        <v>24</v>
      </c>
      <c r="D671" s="1" t="str">
        <f t="shared" si="1188"/>
        <v>2021</v>
      </c>
      <c r="E671" s="1" t="str">
        <f t="shared" ref="E671:P671" si="1243">"0"</f>
        <v>0</v>
      </c>
      <c r="F671" s="1" t="str">
        <f t="shared" si="1243"/>
        <v>0</v>
      </c>
      <c r="G671" s="1" t="str">
        <f t="shared" si="1243"/>
        <v>0</v>
      </c>
      <c r="H671" s="1" t="str">
        <f t="shared" si="1243"/>
        <v>0</v>
      </c>
      <c r="I671" s="1" t="str">
        <f t="shared" si="1243"/>
        <v>0</v>
      </c>
      <c r="J671" s="1" t="str">
        <f t="shared" si="1243"/>
        <v>0</v>
      </c>
      <c r="K671" s="1" t="str">
        <f t="shared" si="1243"/>
        <v>0</v>
      </c>
      <c r="L671" s="1" t="str">
        <f t="shared" si="1243"/>
        <v>0</v>
      </c>
      <c r="M671" s="1" t="str">
        <f t="shared" si="1243"/>
        <v>0</v>
      </c>
      <c r="N671" s="1" t="str">
        <f t="shared" si="1243"/>
        <v>0</v>
      </c>
      <c r="O671" s="1" t="str">
        <f t="shared" si="1243"/>
        <v>0</v>
      </c>
      <c r="P671" s="1" t="str">
        <f t="shared" si="1243"/>
        <v>0</v>
      </c>
      <c r="Q671" s="1" t="str">
        <f t="shared" si="1191"/>
        <v>0.0070</v>
      </c>
      <c r="R671" s="1" t="s">
        <v>25</v>
      </c>
      <c r="T671" s="1" t="str">
        <f t="shared" si="1192"/>
        <v>0</v>
      </c>
      <c r="U671" s="1" t="str">
        <f>"0.0070"</f>
        <v>0.0070</v>
      </c>
    </row>
    <row r="672" s="1" customFormat="1" spans="1:21">
      <c r="A672" s="1" t="str">
        <f>"4601991427198"</f>
        <v>4601991427198</v>
      </c>
      <c r="B672" s="1" t="s">
        <v>696</v>
      </c>
      <c r="C672" s="1" t="s">
        <v>24</v>
      </c>
      <c r="D672" s="1" t="str">
        <f t="shared" si="1188"/>
        <v>2021</v>
      </c>
      <c r="E672" s="1" t="str">
        <f>"157.17"</f>
        <v>157.17</v>
      </c>
      <c r="F672" s="1" t="str">
        <f t="shared" ref="F672:I672" si="1244">"0"</f>
        <v>0</v>
      </c>
      <c r="G672" s="1" t="str">
        <f t="shared" si="1244"/>
        <v>0</v>
      </c>
      <c r="H672" s="1" t="str">
        <f t="shared" si="1244"/>
        <v>0</v>
      </c>
      <c r="I672" s="1" t="str">
        <f t="shared" si="1244"/>
        <v>0</v>
      </c>
      <c r="J672" s="1" t="str">
        <f>"12"</f>
        <v>12</v>
      </c>
      <c r="K672" s="1" t="str">
        <f t="shared" ref="K672:P672" si="1245">"0"</f>
        <v>0</v>
      </c>
      <c r="L672" s="1" t="str">
        <f t="shared" si="1245"/>
        <v>0</v>
      </c>
      <c r="M672" s="1" t="str">
        <f t="shared" si="1245"/>
        <v>0</v>
      </c>
      <c r="N672" s="1" t="str">
        <f t="shared" si="1245"/>
        <v>0</v>
      </c>
      <c r="O672" s="1" t="str">
        <f t="shared" si="1245"/>
        <v>0</v>
      </c>
      <c r="P672" s="1" t="str">
        <f t="shared" si="1245"/>
        <v>0</v>
      </c>
      <c r="Q672" s="1" t="str">
        <f t="shared" si="1191"/>
        <v>0.0070</v>
      </c>
      <c r="R672" s="1" t="s">
        <v>29</v>
      </c>
      <c r="S672" s="1">
        <v>-0.0014</v>
      </c>
      <c r="T672" s="1" t="str">
        <f t="shared" si="1192"/>
        <v>0</v>
      </c>
      <c r="U672" s="1" t="str">
        <f t="shared" ref="U672:U675" si="1246">"0.0056"</f>
        <v>0.0056</v>
      </c>
    </row>
    <row r="673" s="1" customFormat="1" spans="1:21">
      <c r="A673" s="1" t="str">
        <f>"4601991427215"</f>
        <v>4601991427215</v>
      </c>
      <c r="B673" s="1" t="s">
        <v>697</v>
      </c>
      <c r="C673" s="1" t="s">
        <v>24</v>
      </c>
      <c r="D673" s="1" t="str">
        <f t="shared" si="1188"/>
        <v>2021</v>
      </c>
      <c r="E673" s="1" t="str">
        <f>"40.09"</f>
        <v>40.09</v>
      </c>
      <c r="F673" s="1" t="str">
        <f t="shared" ref="F673:I673" si="1247">"0"</f>
        <v>0</v>
      </c>
      <c r="G673" s="1" t="str">
        <f t="shared" si="1247"/>
        <v>0</v>
      </c>
      <c r="H673" s="1" t="str">
        <f t="shared" si="1247"/>
        <v>0</v>
      </c>
      <c r="I673" s="1" t="str">
        <f t="shared" si="1247"/>
        <v>0</v>
      </c>
      <c r="J673" s="1" t="str">
        <f>"3"</f>
        <v>3</v>
      </c>
      <c r="K673" s="1" t="str">
        <f t="shared" ref="K673:P673" si="1248">"0"</f>
        <v>0</v>
      </c>
      <c r="L673" s="1" t="str">
        <f t="shared" si="1248"/>
        <v>0</v>
      </c>
      <c r="M673" s="1" t="str">
        <f t="shared" si="1248"/>
        <v>0</v>
      </c>
      <c r="N673" s="1" t="str">
        <f t="shared" si="1248"/>
        <v>0</v>
      </c>
      <c r="O673" s="1" t="str">
        <f t="shared" si="1248"/>
        <v>0</v>
      </c>
      <c r="P673" s="1" t="str">
        <f t="shared" si="1248"/>
        <v>0</v>
      </c>
      <c r="Q673" s="1" t="str">
        <f t="shared" si="1191"/>
        <v>0.0070</v>
      </c>
      <c r="R673" s="1" t="s">
        <v>29</v>
      </c>
      <c r="S673" s="1">
        <v>-0.0014</v>
      </c>
      <c r="T673" s="1" t="str">
        <f t="shared" si="1192"/>
        <v>0</v>
      </c>
      <c r="U673" s="1" t="str">
        <f t="shared" si="1246"/>
        <v>0.0056</v>
      </c>
    </row>
    <row r="674" s="1" customFormat="1" spans="1:21">
      <c r="A674" s="1" t="str">
        <f>"4601991426602"</f>
        <v>4601991426602</v>
      </c>
      <c r="B674" s="1" t="s">
        <v>698</v>
      </c>
      <c r="C674" s="1" t="s">
        <v>24</v>
      </c>
      <c r="D674" s="1" t="str">
        <f t="shared" si="1188"/>
        <v>2021</v>
      </c>
      <c r="E674" s="1" t="str">
        <f>"19.34"</f>
        <v>19.34</v>
      </c>
      <c r="F674" s="1" t="str">
        <f t="shared" ref="F674:I674" si="1249">"0"</f>
        <v>0</v>
      </c>
      <c r="G674" s="1" t="str">
        <f t="shared" si="1249"/>
        <v>0</v>
      </c>
      <c r="H674" s="1" t="str">
        <f t="shared" si="1249"/>
        <v>0</v>
      </c>
      <c r="I674" s="1" t="str">
        <f t="shared" si="1249"/>
        <v>0</v>
      </c>
      <c r="J674" s="1" t="str">
        <f>"3"</f>
        <v>3</v>
      </c>
      <c r="K674" s="1" t="str">
        <f t="shared" ref="K674:P674" si="1250">"0"</f>
        <v>0</v>
      </c>
      <c r="L674" s="1" t="str">
        <f t="shared" si="1250"/>
        <v>0</v>
      </c>
      <c r="M674" s="1" t="str">
        <f t="shared" si="1250"/>
        <v>0</v>
      </c>
      <c r="N674" s="1" t="str">
        <f t="shared" si="1250"/>
        <v>0</v>
      </c>
      <c r="O674" s="1" t="str">
        <f t="shared" si="1250"/>
        <v>0</v>
      </c>
      <c r="P674" s="1" t="str">
        <f t="shared" si="1250"/>
        <v>0</v>
      </c>
      <c r="Q674" s="1" t="str">
        <f t="shared" si="1191"/>
        <v>0.0070</v>
      </c>
      <c r="R674" s="1" t="s">
        <v>29</v>
      </c>
      <c r="S674" s="1">
        <v>-0.0014</v>
      </c>
      <c r="T674" s="1" t="str">
        <f t="shared" si="1192"/>
        <v>0</v>
      </c>
      <c r="U674" s="1" t="str">
        <f t="shared" si="1246"/>
        <v>0.0056</v>
      </c>
    </row>
    <row r="675" s="1" customFormat="1" spans="1:21">
      <c r="A675" s="1" t="str">
        <f>"4601991426631"</f>
        <v>4601991426631</v>
      </c>
      <c r="B675" s="1" t="s">
        <v>699</v>
      </c>
      <c r="C675" s="1" t="s">
        <v>24</v>
      </c>
      <c r="D675" s="1" t="str">
        <f t="shared" si="1188"/>
        <v>2021</v>
      </c>
      <c r="E675" s="1" t="str">
        <f>"88.56"</f>
        <v>88.56</v>
      </c>
      <c r="F675" s="1" t="str">
        <f t="shared" ref="F675:I675" si="1251">"0"</f>
        <v>0</v>
      </c>
      <c r="G675" s="1" t="str">
        <f t="shared" si="1251"/>
        <v>0</v>
      </c>
      <c r="H675" s="1" t="str">
        <f t="shared" si="1251"/>
        <v>0</v>
      </c>
      <c r="I675" s="1" t="str">
        <f t="shared" si="1251"/>
        <v>0</v>
      </c>
      <c r="J675" s="1" t="str">
        <f>"8"</f>
        <v>8</v>
      </c>
      <c r="K675" s="1" t="str">
        <f t="shared" ref="K675:P675" si="1252">"0"</f>
        <v>0</v>
      </c>
      <c r="L675" s="1" t="str">
        <f t="shared" si="1252"/>
        <v>0</v>
      </c>
      <c r="M675" s="1" t="str">
        <f t="shared" si="1252"/>
        <v>0</v>
      </c>
      <c r="N675" s="1" t="str">
        <f t="shared" si="1252"/>
        <v>0</v>
      </c>
      <c r="O675" s="1" t="str">
        <f t="shared" si="1252"/>
        <v>0</v>
      </c>
      <c r="P675" s="1" t="str">
        <f t="shared" si="1252"/>
        <v>0</v>
      </c>
      <c r="Q675" s="1" t="str">
        <f t="shared" si="1191"/>
        <v>0.0070</v>
      </c>
      <c r="R675" s="1" t="s">
        <v>29</v>
      </c>
      <c r="S675" s="1">
        <v>-0.0014</v>
      </c>
      <c r="T675" s="1" t="str">
        <f t="shared" si="1192"/>
        <v>0</v>
      </c>
      <c r="U675" s="1" t="str">
        <f t="shared" si="1246"/>
        <v>0.0056</v>
      </c>
    </row>
    <row r="676" s="1" customFormat="1" spans="1:21">
      <c r="A676" s="1" t="str">
        <f>"4601991426600"</f>
        <v>4601991426600</v>
      </c>
      <c r="B676" s="1" t="s">
        <v>700</v>
      </c>
      <c r="C676" s="1" t="s">
        <v>24</v>
      </c>
      <c r="D676" s="1" t="str">
        <f t="shared" si="1188"/>
        <v>2021</v>
      </c>
      <c r="E676" s="1" t="str">
        <f t="shared" ref="E676:P676" si="1253">"0"</f>
        <v>0</v>
      </c>
      <c r="F676" s="1" t="str">
        <f t="shared" si="1253"/>
        <v>0</v>
      </c>
      <c r="G676" s="1" t="str">
        <f t="shared" si="1253"/>
        <v>0</v>
      </c>
      <c r="H676" s="1" t="str">
        <f t="shared" si="1253"/>
        <v>0</v>
      </c>
      <c r="I676" s="1" t="str">
        <f t="shared" si="1253"/>
        <v>0</v>
      </c>
      <c r="J676" s="1" t="str">
        <f t="shared" si="1253"/>
        <v>0</v>
      </c>
      <c r="K676" s="1" t="str">
        <f t="shared" si="1253"/>
        <v>0</v>
      </c>
      <c r="L676" s="1" t="str">
        <f t="shared" si="1253"/>
        <v>0</v>
      </c>
      <c r="M676" s="1" t="str">
        <f t="shared" si="1253"/>
        <v>0</v>
      </c>
      <c r="N676" s="1" t="str">
        <f t="shared" si="1253"/>
        <v>0</v>
      </c>
      <c r="O676" s="1" t="str">
        <f t="shared" si="1253"/>
        <v>0</v>
      </c>
      <c r="P676" s="1" t="str">
        <f t="shared" si="1253"/>
        <v>0</v>
      </c>
      <c r="Q676" s="1" t="str">
        <f t="shared" si="1191"/>
        <v>0.0070</v>
      </c>
      <c r="R676" s="1" t="s">
        <v>25</v>
      </c>
      <c r="T676" s="1" t="str">
        <f t="shared" si="1192"/>
        <v>0</v>
      </c>
      <c r="U676" s="1" t="str">
        <f t="shared" ref="U676:U680" si="1254">"0.0070"</f>
        <v>0.0070</v>
      </c>
    </row>
    <row r="677" s="1" customFormat="1" spans="1:21">
      <c r="A677" s="1" t="str">
        <f>"4601991426623"</f>
        <v>4601991426623</v>
      </c>
      <c r="B677" s="1" t="s">
        <v>701</v>
      </c>
      <c r="C677" s="1" t="s">
        <v>24</v>
      </c>
      <c r="D677" s="1" t="str">
        <f t="shared" si="1188"/>
        <v>2021</v>
      </c>
      <c r="E677" s="1" t="str">
        <f>"9.67"</f>
        <v>9.67</v>
      </c>
      <c r="F677" s="1" t="str">
        <f t="shared" ref="F677:I677" si="1255">"0"</f>
        <v>0</v>
      </c>
      <c r="G677" s="1" t="str">
        <f t="shared" si="1255"/>
        <v>0</v>
      </c>
      <c r="H677" s="1" t="str">
        <f t="shared" si="1255"/>
        <v>0</v>
      </c>
      <c r="I677" s="1" t="str">
        <f t="shared" si="1255"/>
        <v>0</v>
      </c>
      <c r="J677" s="1" t="str">
        <f>"1"</f>
        <v>1</v>
      </c>
      <c r="K677" s="1" t="str">
        <f t="shared" ref="K677:P677" si="1256">"0"</f>
        <v>0</v>
      </c>
      <c r="L677" s="1" t="str">
        <f t="shared" si="1256"/>
        <v>0</v>
      </c>
      <c r="M677" s="1" t="str">
        <f t="shared" si="1256"/>
        <v>0</v>
      </c>
      <c r="N677" s="1" t="str">
        <f t="shared" si="1256"/>
        <v>0</v>
      </c>
      <c r="O677" s="1" t="str">
        <f t="shared" si="1256"/>
        <v>0</v>
      </c>
      <c r="P677" s="1" t="str">
        <f t="shared" si="1256"/>
        <v>0</v>
      </c>
      <c r="Q677" s="1" t="str">
        <f t="shared" si="1191"/>
        <v>0.0070</v>
      </c>
      <c r="R677" s="1" t="s">
        <v>29</v>
      </c>
      <c r="S677" s="1">
        <v>-0.0014</v>
      </c>
      <c r="T677" s="1" t="str">
        <f t="shared" si="1192"/>
        <v>0</v>
      </c>
      <c r="U677" s="1" t="str">
        <f t="shared" ref="U677:U682" si="1257">"0.0056"</f>
        <v>0.0056</v>
      </c>
    </row>
    <row r="678" s="1" customFormat="1" spans="1:21">
      <c r="A678" s="1" t="str">
        <f>"4601991427265"</f>
        <v>4601991427265</v>
      </c>
      <c r="B678" s="1" t="s">
        <v>702</v>
      </c>
      <c r="C678" s="1" t="s">
        <v>24</v>
      </c>
      <c r="D678" s="1" t="str">
        <f t="shared" si="1188"/>
        <v>2021</v>
      </c>
      <c r="E678" s="1" t="str">
        <f t="shared" ref="E678:P678" si="1258">"0"</f>
        <v>0</v>
      </c>
      <c r="F678" s="1" t="str">
        <f t="shared" si="1258"/>
        <v>0</v>
      </c>
      <c r="G678" s="1" t="str">
        <f t="shared" si="1258"/>
        <v>0</v>
      </c>
      <c r="H678" s="1" t="str">
        <f t="shared" si="1258"/>
        <v>0</v>
      </c>
      <c r="I678" s="1" t="str">
        <f t="shared" si="1258"/>
        <v>0</v>
      </c>
      <c r="J678" s="1" t="str">
        <f t="shared" si="1258"/>
        <v>0</v>
      </c>
      <c r="K678" s="1" t="str">
        <f t="shared" si="1258"/>
        <v>0</v>
      </c>
      <c r="L678" s="1" t="str">
        <f t="shared" si="1258"/>
        <v>0</v>
      </c>
      <c r="M678" s="1" t="str">
        <f t="shared" si="1258"/>
        <v>0</v>
      </c>
      <c r="N678" s="1" t="str">
        <f t="shared" si="1258"/>
        <v>0</v>
      </c>
      <c r="O678" s="1" t="str">
        <f t="shared" si="1258"/>
        <v>0</v>
      </c>
      <c r="P678" s="1" t="str">
        <f t="shared" si="1258"/>
        <v>0</v>
      </c>
      <c r="Q678" s="1" t="str">
        <f t="shared" si="1191"/>
        <v>0.0070</v>
      </c>
      <c r="R678" s="1" t="s">
        <v>25</v>
      </c>
      <c r="T678" s="1" t="str">
        <f t="shared" si="1192"/>
        <v>0</v>
      </c>
      <c r="U678" s="1" t="str">
        <f t="shared" si="1254"/>
        <v>0.0070</v>
      </c>
    </row>
    <row r="679" s="1" customFormat="1" spans="1:21">
      <c r="A679" s="1" t="str">
        <f>"4601991426055"</f>
        <v>4601991426055</v>
      </c>
      <c r="B679" s="1" t="s">
        <v>703</v>
      </c>
      <c r="C679" s="1" t="s">
        <v>24</v>
      </c>
      <c r="D679" s="1" t="str">
        <f t="shared" si="1188"/>
        <v>2021</v>
      </c>
      <c r="E679" s="1" t="str">
        <f>"19.34"</f>
        <v>19.34</v>
      </c>
      <c r="F679" s="1" t="str">
        <f t="shared" ref="F679:I679" si="1259">"0"</f>
        <v>0</v>
      </c>
      <c r="G679" s="1" t="str">
        <f t="shared" si="1259"/>
        <v>0</v>
      </c>
      <c r="H679" s="1" t="str">
        <f t="shared" si="1259"/>
        <v>0</v>
      </c>
      <c r="I679" s="1" t="str">
        <f t="shared" si="1259"/>
        <v>0</v>
      </c>
      <c r="J679" s="1" t="str">
        <f>"3"</f>
        <v>3</v>
      </c>
      <c r="K679" s="1" t="str">
        <f t="shared" ref="K679:P679" si="1260">"0"</f>
        <v>0</v>
      </c>
      <c r="L679" s="1" t="str">
        <f t="shared" si="1260"/>
        <v>0</v>
      </c>
      <c r="M679" s="1" t="str">
        <f t="shared" si="1260"/>
        <v>0</v>
      </c>
      <c r="N679" s="1" t="str">
        <f t="shared" si="1260"/>
        <v>0</v>
      </c>
      <c r="O679" s="1" t="str">
        <f t="shared" si="1260"/>
        <v>0</v>
      </c>
      <c r="P679" s="1" t="str">
        <f t="shared" si="1260"/>
        <v>0</v>
      </c>
      <c r="Q679" s="1" t="str">
        <f t="shared" si="1191"/>
        <v>0.0070</v>
      </c>
      <c r="R679" s="1" t="s">
        <v>29</v>
      </c>
      <c r="S679" s="1">
        <v>-0.0014</v>
      </c>
      <c r="T679" s="1" t="str">
        <f t="shared" si="1192"/>
        <v>0</v>
      </c>
      <c r="U679" s="1" t="str">
        <f t="shared" si="1257"/>
        <v>0.0056</v>
      </c>
    </row>
    <row r="680" s="1" customFormat="1" spans="1:21">
      <c r="A680" s="1" t="str">
        <f>"4601991427236"</f>
        <v>4601991427236</v>
      </c>
      <c r="B680" s="1" t="s">
        <v>704</v>
      </c>
      <c r="C680" s="1" t="s">
        <v>24</v>
      </c>
      <c r="D680" s="1" t="str">
        <f t="shared" si="1188"/>
        <v>2021</v>
      </c>
      <c r="E680" s="1" t="str">
        <f t="shared" ref="E680:P680" si="1261">"0"</f>
        <v>0</v>
      </c>
      <c r="F680" s="1" t="str">
        <f t="shared" si="1261"/>
        <v>0</v>
      </c>
      <c r="G680" s="1" t="str">
        <f t="shared" si="1261"/>
        <v>0</v>
      </c>
      <c r="H680" s="1" t="str">
        <f t="shared" si="1261"/>
        <v>0</v>
      </c>
      <c r="I680" s="1" t="str">
        <f t="shared" si="1261"/>
        <v>0</v>
      </c>
      <c r="J680" s="1" t="str">
        <f t="shared" si="1261"/>
        <v>0</v>
      </c>
      <c r="K680" s="1" t="str">
        <f t="shared" si="1261"/>
        <v>0</v>
      </c>
      <c r="L680" s="1" t="str">
        <f t="shared" si="1261"/>
        <v>0</v>
      </c>
      <c r="M680" s="1" t="str">
        <f t="shared" si="1261"/>
        <v>0</v>
      </c>
      <c r="N680" s="1" t="str">
        <f t="shared" si="1261"/>
        <v>0</v>
      </c>
      <c r="O680" s="1" t="str">
        <f t="shared" si="1261"/>
        <v>0</v>
      </c>
      <c r="P680" s="1" t="str">
        <f t="shared" si="1261"/>
        <v>0</v>
      </c>
      <c r="Q680" s="1" t="str">
        <f t="shared" si="1191"/>
        <v>0.0070</v>
      </c>
      <c r="R680" s="1" t="s">
        <v>25</v>
      </c>
      <c r="T680" s="1" t="str">
        <f t="shared" si="1192"/>
        <v>0</v>
      </c>
      <c r="U680" s="1" t="str">
        <f t="shared" si="1254"/>
        <v>0.0070</v>
      </c>
    </row>
    <row r="681" s="1" customFormat="1" spans="1:21">
      <c r="A681" s="1" t="str">
        <f>"4601991426667"</f>
        <v>4601991426667</v>
      </c>
      <c r="B681" s="1" t="s">
        <v>705</v>
      </c>
      <c r="C681" s="1" t="s">
        <v>24</v>
      </c>
      <c r="D681" s="1" t="str">
        <f t="shared" si="1188"/>
        <v>2021</v>
      </c>
      <c r="E681" s="1" t="str">
        <f>"12.09"</f>
        <v>12.09</v>
      </c>
      <c r="F681" s="1" t="str">
        <f t="shared" ref="F681:I681" si="1262">"0"</f>
        <v>0</v>
      </c>
      <c r="G681" s="1" t="str">
        <f t="shared" si="1262"/>
        <v>0</v>
      </c>
      <c r="H681" s="1" t="str">
        <f t="shared" si="1262"/>
        <v>0</v>
      </c>
      <c r="I681" s="1" t="str">
        <f t="shared" si="1262"/>
        <v>0</v>
      </c>
      <c r="J681" s="1" t="str">
        <f>"3"</f>
        <v>3</v>
      </c>
      <c r="K681" s="1" t="str">
        <f t="shared" ref="K681:P681" si="1263">"0"</f>
        <v>0</v>
      </c>
      <c r="L681" s="1" t="str">
        <f t="shared" si="1263"/>
        <v>0</v>
      </c>
      <c r="M681" s="1" t="str">
        <f t="shared" si="1263"/>
        <v>0</v>
      </c>
      <c r="N681" s="1" t="str">
        <f t="shared" si="1263"/>
        <v>0</v>
      </c>
      <c r="O681" s="1" t="str">
        <f t="shared" si="1263"/>
        <v>0</v>
      </c>
      <c r="P681" s="1" t="str">
        <f t="shared" si="1263"/>
        <v>0</v>
      </c>
      <c r="Q681" s="1" t="str">
        <f t="shared" si="1191"/>
        <v>0.0070</v>
      </c>
      <c r="R681" s="1" t="s">
        <v>29</v>
      </c>
      <c r="S681" s="1">
        <v>-0.0014</v>
      </c>
      <c r="T681" s="1" t="str">
        <f t="shared" si="1192"/>
        <v>0</v>
      </c>
      <c r="U681" s="1" t="str">
        <f t="shared" si="1257"/>
        <v>0.0056</v>
      </c>
    </row>
    <row r="682" s="1" customFormat="1" spans="1:21">
      <c r="A682" s="1" t="str">
        <f>"4601991427301"</f>
        <v>4601991427301</v>
      </c>
      <c r="B682" s="1" t="s">
        <v>706</v>
      </c>
      <c r="C682" s="1" t="s">
        <v>24</v>
      </c>
      <c r="D682" s="1" t="str">
        <f t="shared" si="1188"/>
        <v>2021</v>
      </c>
      <c r="E682" s="1" t="str">
        <f>"77.36"</f>
        <v>77.36</v>
      </c>
      <c r="F682" s="1" t="str">
        <f t="shared" ref="F682:I682" si="1264">"0"</f>
        <v>0</v>
      </c>
      <c r="G682" s="1" t="str">
        <f t="shared" si="1264"/>
        <v>0</v>
      </c>
      <c r="H682" s="1" t="str">
        <f t="shared" si="1264"/>
        <v>0</v>
      </c>
      <c r="I682" s="1" t="str">
        <f t="shared" si="1264"/>
        <v>0</v>
      </c>
      <c r="J682" s="1" t="str">
        <f>"8"</f>
        <v>8</v>
      </c>
      <c r="K682" s="1" t="str">
        <f t="shared" ref="K682:P682" si="1265">"0"</f>
        <v>0</v>
      </c>
      <c r="L682" s="1" t="str">
        <f t="shared" si="1265"/>
        <v>0</v>
      </c>
      <c r="M682" s="1" t="str">
        <f t="shared" si="1265"/>
        <v>0</v>
      </c>
      <c r="N682" s="1" t="str">
        <f t="shared" si="1265"/>
        <v>0</v>
      </c>
      <c r="O682" s="1" t="str">
        <f t="shared" si="1265"/>
        <v>0</v>
      </c>
      <c r="P682" s="1" t="str">
        <f t="shared" si="1265"/>
        <v>0</v>
      </c>
      <c r="Q682" s="1" t="str">
        <f t="shared" si="1191"/>
        <v>0.0070</v>
      </c>
      <c r="R682" s="1" t="s">
        <v>29</v>
      </c>
      <c r="S682" s="1">
        <v>-0.0014</v>
      </c>
      <c r="T682" s="1" t="str">
        <f t="shared" si="1192"/>
        <v>0</v>
      </c>
      <c r="U682" s="1" t="str">
        <f t="shared" si="1257"/>
        <v>0.0056</v>
      </c>
    </row>
    <row r="683" s="1" customFormat="1" spans="1:21">
      <c r="A683" s="1" t="str">
        <f>"4601991426096"</f>
        <v>4601991426096</v>
      </c>
      <c r="B683" s="1" t="s">
        <v>707</v>
      </c>
      <c r="C683" s="1" t="s">
        <v>24</v>
      </c>
      <c r="D683" s="1" t="str">
        <f t="shared" si="1188"/>
        <v>2021</v>
      </c>
      <c r="E683" s="1" t="str">
        <f t="shared" ref="E683:P683" si="1266">"0"</f>
        <v>0</v>
      </c>
      <c r="F683" s="1" t="str">
        <f t="shared" si="1266"/>
        <v>0</v>
      </c>
      <c r="G683" s="1" t="str">
        <f t="shared" si="1266"/>
        <v>0</v>
      </c>
      <c r="H683" s="1" t="str">
        <f t="shared" si="1266"/>
        <v>0</v>
      </c>
      <c r="I683" s="1" t="str">
        <f t="shared" si="1266"/>
        <v>0</v>
      </c>
      <c r="J683" s="1" t="str">
        <f t="shared" si="1266"/>
        <v>0</v>
      </c>
      <c r="K683" s="1" t="str">
        <f t="shared" si="1266"/>
        <v>0</v>
      </c>
      <c r="L683" s="1" t="str">
        <f t="shared" si="1266"/>
        <v>0</v>
      </c>
      <c r="M683" s="1" t="str">
        <f t="shared" si="1266"/>
        <v>0</v>
      </c>
      <c r="N683" s="1" t="str">
        <f t="shared" si="1266"/>
        <v>0</v>
      </c>
      <c r="O683" s="1" t="str">
        <f t="shared" si="1266"/>
        <v>0</v>
      </c>
      <c r="P683" s="1" t="str">
        <f t="shared" si="1266"/>
        <v>0</v>
      </c>
      <c r="Q683" s="1" t="str">
        <f t="shared" si="1191"/>
        <v>0.0070</v>
      </c>
      <c r="R683" s="1" t="s">
        <v>25</v>
      </c>
      <c r="T683" s="1" t="str">
        <f t="shared" si="1192"/>
        <v>0</v>
      </c>
      <c r="U683" s="1" t="str">
        <f t="shared" ref="U683:U690" si="1267">"0.0070"</f>
        <v>0.0070</v>
      </c>
    </row>
    <row r="684" s="1" customFormat="1" spans="1:21">
      <c r="A684" s="1" t="str">
        <f>"4601991427298"</f>
        <v>4601991427298</v>
      </c>
      <c r="B684" s="1" t="s">
        <v>708</v>
      </c>
      <c r="C684" s="1" t="s">
        <v>24</v>
      </c>
      <c r="D684" s="1" t="str">
        <f t="shared" si="1188"/>
        <v>2021</v>
      </c>
      <c r="E684" s="1" t="str">
        <f>"9.67"</f>
        <v>9.67</v>
      </c>
      <c r="F684" s="1" t="str">
        <f t="shared" ref="F684:I684" si="1268">"0"</f>
        <v>0</v>
      </c>
      <c r="G684" s="1" t="str">
        <f t="shared" si="1268"/>
        <v>0</v>
      </c>
      <c r="H684" s="1" t="str">
        <f t="shared" si="1268"/>
        <v>0</v>
      </c>
      <c r="I684" s="1" t="str">
        <f t="shared" si="1268"/>
        <v>0</v>
      </c>
      <c r="J684" s="1" t="str">
        <f>"1"</f>
        <v>1</v>
      </c>
      <c r="K684" s="1" t="str">
        <f t="shared" ref="K684:P684" si="1269">"0"</f>
        <v>0</v>
      </c>
      <c r="L684" s="1" t="str">
        <f t="shared" si="1269"/>
        <v>0</v>
      </c>
      <c r="M684" s="1" t="str">
        <f t="shared" si="1269"/>
        <v>0</v>
      </c>
      <c r="N684" s="1" t="str">
        <f t="shared" si="1269"/>
        <v>0</v>
      </c>
      <c r="O684" s="1" t="str">
        <f t="shared" si="1269"/>
        <v>0</v>
      </c>
      <c r="P684" s="1" t="str">
        <f t="shared" si="1269"/>
        <v>0</v>
      </c>
      <c r="Q684" s="1" t="str">
        <f t="shared" si="1191"/>
        <v>0.0070</v>
      </c>
      <c r="R684" s="1" t="s">
        <v>29</v>
      </c>
      <c r="S684" s="1">
        <v>-0.0014</v>
      </c>
      <c r="T684" s="1" t="str">
        <f t="shared" si="1192"/>
        <v>0</v>
      </c>
      <c r="U684" s="1" t="str">
        <f t="shared" ref="U684:U686" si="1270">"0.0056"</f>
        <v>0.0056</v>
      </c>
    </row>
    <row r="685" s="1" customFormat="1" spans="1:21">
      <c r="A685" s="1" t="str">
        <f>"4601991426680"</f>
        <v>4601991426680</v>
      </c>
      <c r="B685" s="1" t="s">
        <v>709</v>
      </c>
      <c r="C685" s="1" t="s">
        <v>24</v>
      </c>
      <c r="D685" s="1" t="str">
        <f t="shared" si="1188"/>
        <v>2021</v>
      </c>
      <c r="E685" s="1" t="str">
        <f>"24.18"</f>
        <v>24.18</v>
      </c>
      <c r="F685" s="1" t="str">
        <f t="shared" ref="F685:I685" si="1271">"0"</f>
        <v>0</v>
      </c>
      <c r="G685" s="1" t="str">
        <f t="shared" si="1271"/>
        <v>0</v>
      </c>
      <c r="H685" s="1" t="str">
        <f t="shared" si="1271"/>
        <v>0</v>
      </c>
      <c r="I685" s="1" t="str">
        <f t="shared" si="1271"/>
        <v>0</v>
      </c>
      <c r="J685" s="1" t="str">
        <f>"2"</f>
        <v>2</v>
      </c>
      <c r="K685" s="1" t="str">
        <f t="shared" ref="K685:P685" si="1272">"0"</f>
        <v>0</v>
      </c>
      <c r="L685" s="1" t="str">
        <f t="shared" si="1272"/>
        <v>0</v>
      </c>
      <c r="M685" s="1" t="str">
        <f t="shared" si="1272"/>
        <v>0</v>
      </c>
      <c r="N685" s="1" t="str">
        <f t="shared" si="1272"/>
        <v>0</v>
      </c>
      <c r="O685" s="1" t="str">
        <f t="shared" si="1272"/>
        <v>0</v>
      </c>
      <c r="P685" s="1" t="str">
        <f t="shared" si="1272"/>
        <v>0</v>
      </c>
      <c r="Q685" s="1" t="str">
        <f t="shared" si="1191"/>
        <v>0.0070</v>
      </c>
      <c r="R685" s="1" t="s">
        <v>29</v>
      </c>
      <c r="S685" s="1">
        <v>-0.0014</v>
      </c>
      <c r="T685" s="1" t="str">
        <f t="shared" si="1192"/>
        <v>0</v>
      </c>
      <c r="U685" s="1" t="str">
        <f t="shared" si="1270"/>
        <v>0.0056</v>
      </c>
    </row>
    <row r="686" s="1" customFormat="1" spans="1:21">
      <c r="A686" s="1" t="str">
        <f>"4601991426112"</f>
        <v>4601991426112</v>
      </c>
      <c r="B686" s="1" t="s">
        <v>710</v>
      </c>
      <c r="C686" s="1" t="s">
        <v>24</v>
      </c>
      <c r="D686" s="1" t="str">
        <f t="shared" si="1188"/>
        <v>2021</v>
      </c>
      <c r="E686" s="1" t="str">
        <f>"29.01"</f>
        <v>29.01</v>
      </c>
      <c r="F686" s="1" t="str">
        <f t="shared" ref="F686:I686" si="1273">"0"</f>
        <v>0</v>
      </c>
      <c r="G686" s="1" t="str">
        <f t="shared" si="1273"/>
        <v>0</v>
      </c>
      <c r="H686" s="1" t="str">
        <f t="shared" si="1273"/>
        <v>0</v>
      </c>
      <c r="I686" s="1" t="str">
        <f t="shared" si="1273"/>
        <v>0</v>
      </c>
      <c r="J686" s="1" t="str">
        <f>"2"</f>
        <v>2</v>
      </c>
      <c r="K686" s="1" t="str">
        <f t="shared" ref="K686:P686" si="1274">"0"</f>
        <v>0</v>
      </c>
      <c r="L686" s="1" t="str">
        <f t="shared" si="1274"/>
        <v>0</v>
      </c>
      <c r="M686" s="1" t="str">
        <f t="shared" si="1274"/>
        <v>0</v>
      </c>
      <c r="N686" s="1" t="str">
        <f t="shared" si="1274"/>
        <v>0</v>
      </c>
      <c r="O686" s="1" t="str">
        <f t="shared" si="1274"/>
        <v>0</v>
      </c>
      <c r="P686" s="1" t="str">
        <f t="shared" si="1274"/>
        <v>0</v>
      </c>
      <c r="Q686" s="1" t="str">
        <f t="shared" si="1191"/>
        <v>0.0070</v>
      </c>
      <c r="R686" s="1" t="s">
        <v>29</v>
      </c>
      <c r="S686" s="1">
        <v>-0.0014</v>
      </c>
      <c r="T686" s="1" t="str">
        <f t="shared" si="1192"/>
        <v>0</v>
      </c>
      <c r="U686" s="1" t="str">
        <f t="shared" si="1270"/>
        <v>0.0056</v>
      </c>
    </row>
    <row r="687" s="1" customFormat="1" spans="1:21">
      <c r="A687" s="1" t="str">
        <f>"4601991427333"</f>
        <v>4601991427333</v>
      </c>
      <c r="B687" s="1" t="s">
        <v>711</v>
      </c>
      <c r="C687" s="1" t="s">
        <v>24</v>
      </c>
      <c r="D687" s="1" t="str">
        <f t="shared" si="1188"/>
        <v>2021</v>
      </c>
      <c r="E687" s="1" t="str">
        <f t="shared" ref="E687:P687" si="1275">"0"</f>
        <v>0</v>
      </c>
      <c r="F687" s="1" t="str">
        <f t="shared" si="1275"/>
        <v>0</v>
      </c>
      <c r="G687" s="1" t="str">
        <f t="shared" si="1275"/>
        <v>0</v>
      </c>
      <c r="H687" s="1" t="str">
        <f t="shared" si="1275"/>
        <v>0</v>
      </c>
      <c r="I687" s="1" t="str">
        <f t="shared" si="1275"/>
        <v>0</v>
      </c>
      <c r="J687" s="1" t="str">
        <f t="shared" si="1275"/>
        <v>0</v>
      </c>
      <c r="K687" s="1" t="str">
        <f t="shared" si="1275"/>
        <v>0</v>
      </c>
      <c r="L687" s="1" t="str">
        <f t="shared" si="1275"/>
        <v>0</v>
      </c>
      <c r="M687" s="1" t="str">
        <f t="shared" si="1275"/>
        <v>0</v>
      </c>
      <c r="N687" s="1" t="str">
        <f t="shared" si="1275"/>
        <v>0</v>
      </c>
      <c r="O687" s="1" t="str">
        <f t="shared" si="1275"/>
        <v>0</v>
      </c>
      <c r="P687" s="1" t="str">
        <f t="shared" si="1275"/>
        <v>0</v>
      </c>
      <c r="Q687" s="1" t="str">
        <f t="shared" si="1191"/>
        <v>0.0070</v>
      </c>
      <c r="R687" s="1" t="s">
        <v>25</v>
      </c>
      <c r="T687" s="1" t="str">
        <f t="shared" si="1192"/>
        <v>0</v>
      </c>
      <c r="U687" s="1" t="str">
        <f t="shared" si="1267"/>
        <v>0.0070</v>
      </c>
    </row>
    <row r="688" s="1" customFormat="1" spans="1:21">
      <c r="A688" s="1" t="str">
        <f>"4601991426706"</f>
        <v>4601991426706</v>
      </c>
      <c r="B688" s="1" t="s">
        <v>712</v>
      </c>
      <c r="C688" s="1" t="s">
        <v>24</v>
      </c>
      <c r="D688" s="1" t="str">
        <f t="shared" si="1188"/>
        <v>2021</v>
      </c>
      <c r="E688" s="1" t="str">
        <f t="shared" ref="E688:P688" si="1276">"0"</f>
        <v>0</v>
      </c>
      <c r="F688" s="1" t="str">
        <f t="shared" si="1276"/>
        <v>0</v>
      </c>
      <c r="G688" s="1" t="str">
        <f t="shared" si="1276"/>
        <v>0</v>
      </c>
      <c r="H688" s="1" t="str">
        <f t="shared" si="1276"/>
        <v>0</v>
      </c>
      <c r="I688" s="1" t="str">
        <f t="shared" si="1276"/>
        <v>0</v>
      </c>
      <c r="J688" s="1" t="str">
        <f t="shared" si="1276"/>
        <v>0</v>
      </c>
      <c r="K688" s="1" t="str">
        <f t="shared" si="1276"/>
        <v>0</v>
      </c>
      <c r="L688" s="1" t="str">
        <f t="shared" si="1276"/>
        <v>0</v>
      </c>
      <c r="M688" s="1" t="str">
        <f t="shared" si="1276"/>
        <v>0</v>
      </c>
      <c r="N688" s="1" t="str">
        <f t="shared" si="1276"/>
        <v>0</v>
      </c>
      <c r="O688" s="1" t="str">
        <f t="shared" si="1276"/>
        <v>0</v>
      </c>
      <c r="P688" s="1" t="str">
        <f t="shared" si="1276"/>
        <v>0</v>
      </c>
      <c r="Q688" s="1" t="str">
        <f t="shared" si="1191"/>
        <v>0.0070</v>
      </c>
      <c r="R688" s="1" t="s">
        <v>25</v>
      </c>
      <c r="T688" s="1" t="str">
        <f t="shared" si="1192"/>
        <v>0</v>
      </c>
      <c r="U688" s="1" t="str">
        <f t="shared" si="1267"/>
        <v>0.0070</v>
      </c>
    </row>
    <row r="689" s="1" customFormat="1" spans="1:21">
      <c r="A689" s="1" t="str">
        <f>"4601991427367"</f>
        <v>4601991427367</v>
      </c>
      <c r="B689" s="1" t="s">
        <v>713</v>
      </c>
      <c r="C689" s="1" t="s">
        <v>24</v>
      </c>
      <c r="D689" s="1" t="str">
        <f t="shared" si="1188"/>
        <v>2021</v>
      </c>
      <c r="E689" s="1" t="str">
        <f>"48.36"</f>
        <v>48.36</v>
      </c>
      <c r="F689" s="1" t="str">
        <f t="shared" ref="F689:I689" si="1277">"0"</f>
        <v>0</v>
      </c>
      <c r="G689" s="1" t="str">
        <f t="shared" si="1277"/>
        <v>0</v>
      </c>
      <c r="H689" s="1" t="str">
        <f t="shared" si="1277"/>
        <v>0</v>
      </c>
      <c r="I689" s="1" t="str">
        <f t="shared" si="1277"/>
        <v>0</v>
      </c>
      <c r="J689" s="1" t="str">
        <f>"4"</f>
        <v>4</v>
      </c>
      <c r="K689" s="1" t="str">
        <f t="shared" ref="K689:P689" si="1278">"0"</f>
        <v>0</v>
      </c>
      <c r="L689" s="1" t="str">
        <f t="shared" si="1278"/>
        <v>0</v>
      </c>
      <c r="M689" s="1" t="str">
        <f t="shared" si="1278"/>
        <v>0</v>
      </c>
      <c r="N689" s="1" t="str">
        <f t="shared" si="1278"/>
        <v>0</v>
      </c>
      <c r="O689" s="1" t="str">
        <f t="shared" si="1278"/>
        <v>0</v>
      </c>
      <c r="P689" s="1" t="str">
        <f t="shared" si="1278"/>
        <v>0</v>
      </c>
      <c r="Q689" s="1" t="str">
        <f t="shared" si="1191"/>
        <v>0.0070</v>
      </c>
      <c r="R689" s="1" t="s">
        <v>25</v>
      </c>
      <c r="T689" s="1" t="str">
        <f t="shared" si="1192"/>
        <v>0</v>
      </c>
      <c r="U689" s="1" t="str">
        <f t="shared" si="1267"/>
        <v>0.0070</v>
      </c>
    </row>
    <row r="690" s="1" customFormat="1" spans="1:21">
      <c r="A690" s="1" t="str">
        <f>"4601991427363"</f>
        <v>4601991427363</v>
      </c>
      <c r="B690" s="1" t="s">
        <v>714</v>
      </c>
      <c r="C690" s="1" t="s">
        <v>24</v>
      </c>
      <c r="D690" s="1" t="str">
        <f t="shared" si="1188"/>
        <v>2021</v>
      </c>
      <c r="E690" s="1" t="str">
        <f t="shared" ref="E690:P690" si="1279">"0"</f>
        <v>0</v>
      </c>
      <c r="F690" s="1" t="str">
        <f t="shared" si="1279"/>
        <v>0</v>
      </c>
      <c r="G690" s="1" t="str">
        <f t="shared" si="1279"/>
        <v>0</v>
      </c>
      <c r="H690" s="1" t="str">
        <f t="shared" si="1279"/>
        <v>0</v>
      </c>
      <c r="I690" s="1" t="str">
        <f t="shared" si="1279"/>
        <v>0</v>
      </c>
      <c r="J690" s="1" t="str">
        <f t="shared" si="1279"/>
        <v>0</v>
      </c>
      <c r="K690" s="1" t="str">
        <f t="shared" si="1279"/>
        <v>0</v>
      </c>
      <c r="L690" s="1" t="str">
        <f t="shared" si="1279"/>
        <v>0</v>
      </c>
      <c r="M690" s="1" t="str">
        <f t="shared" si="1279"/>
        <v>0</v>
      </c>
      <c r="N690" s="1" t="str">
        <f t="shared" si="1279"/>
        <v>0</v>
      </c>
      <c r="O690" s="1" t="str">
        <f t="shared" si="1279"/>
        <v>0</v>
      </c>
      <c r="P690" s="1" t="str">
        <f t="shared" si="1279"/>
        <v>0</v>
      </c>
      <c r="Q690" s="1" t="str">
        <f t="shared" si="1191"/>
        <v>0.0070</v>
      </c>
      <c r="R690" s="1" t="s">
        <v>25</v>
      </c>
      <c r="T690" s="1" t="str">
        <f t="shared" si="1192"/>
        <v>0</v>
      </c>
      <c r="U690" s="1" t="str">
        <f t="shared" si="1267"/>
        <v>0.0070</v>
      </c>
    </row>
    <row r="691" s="1" customFormat="1" spans="1:21">
      <c r="A691" s="1" t="str">
        <f>"4601991426726"</f>
        <v>4601991426726</v>
      </c>
      <c r="B691" s="1" t="s">
        <v>715</v>
      </c>
      <c r="C691" s="1" t="s">
        <v>24</v>
      </c>
      <c r="D691" s="1" t="str">
        <f t="shared" si="1188"/>
        <v>2021</v>
      </c>
      <c r="E691" s="1" t="str">
        <f>"83.36"</f>
        <v>83.36</v>
      </c>
      <c r="F691" s="1" t="str">
        <f t="shared" ref="F691:I691" si="1280">"0"</f>
        <v>0</v>
      </c>
      <c r="G691" s="1" t="str">
        <f t="shared" si="1280"/>
        <v>0</v>
      </c>
      <c r="H691" s="1" t="str">
        <f t="shared" si="1280"/>
        <v>0</v>
      </c>
      <c r="I691" s="1" t="str">
        <f t="shared" si="1280"/>
        <v>0</v>
      </c>
      <c r="J691" s="1" t="str">
        <f>"4"</f>
        <v>4</v>
      </c>
      <c r="K691" s="1" t="str">
        <f t="shared" ref="K691:P691" si="1281">"0"</f>
        <v>0</v>
      </c>
      <c r="L691" s="1" t="str">
        <f t="shared" si="1281"/>
        <v>0</v>
      </c>
      <c r="M691" s="1" t="str">
        <f t="shared" si="1281"/>
        <v>0</v>
      </c>
      <c r="N691" s="1" t="str">
        <f t="shared" si="1281"/>
        <v>0</v>
      </c>
      <c r="O691" s="1" t="str">
        <f t="shared" si="1281"/>
        <v>0</v>
      </c>
      <c r="P691" s="1" t="str">
        <f t="shared" si="1281"/>
        <v>0</v>
      </c>
      <c r="Q691" s="1" t="str">
        <f t="shared" si="1191"/>
        <v>0.0070</v>
      </c>
      <c r="R691" s="1" t="s">
        <v>29</v>
      </c>
      <c r="S691" s="1">
        <v>-0.0014</v>
      </c>
      <c r="T691" s="1" t="str">
        <f t="shared" si="1192"/>
        <v>0</v>
      </c>
      <c r="U691" s="1" t="str">
        <f t="shared" ref="U691:U693" si="1282">"0.0056"</f>
        <v>0.0056</v>
      </c>
    </row>
    <row r="692" s="1" customFormat="1" spans="1:21">
      <c r="A692" s="1" t="str">
        <f>"4601991426733"</f>
        <v>4601991426733</v>
      </c>
      <c r="B692" s="1" t="s">
        <v>716</v>
      </c>
      <c r="C692" s="1" t="s">
        <v>24</v>
      </c>
      <c r="D692" s="1" t="str">
        <f t="shared" si="1188"/>
        <v>2021</v>
      </c>
      <c r="E692" s="1" t="str">
        <f>"28.80"</f>
        <v>28.80</v>
      </c>
      <c r="F692" s="1" t="str">
        <f t="shared" ref="F692:I692" si="1283">"0"</f>
        <v>0</v>
      </c>
      <c r="G692" s="1" t="str">
        <f t="shared" si="1283"/>
        <v>0</v>
      </c>
      <c r="H692" s="1" t="str">
        <f t="shared" si="1283"/>
        <v>0</v>
      </c>
      <c r="I692" s="1" t="str">
        <f t="shared" si="1283"/>
        <v>0</v>
      </c>
      <c r="J692" s="1" t="str">
        <f>"6"</f>
        <v>6</v>
      </c>
      <c r="K692" s="1" t="str">
        <f t="shared" ref="K692:P692" si="1284">"0"</f>
        <v>0</v>
      </c>
      <c r="L692" s="1" t="str">
        <f t="shared" si="1284"/>
        <v>0</v>
      </c>
      <c r="M692" s="1" t="str">
        <f t="shared" si="1284"/>
        <v>0</v>
      </c>
      <c r="N692" s="1" t="str">
        <f t="shared" si="1284"/>
        <v>0</v>
      </c>
      <c r="O692" s="1" t="str">
        <f t="shared" si="1284"/>
        <v>0</v>
      </c>
      <c r="P692" s="1" t="str">
        <f t="shared" si="1284"/>
        <v>0</v>
      </c>
      <c r="Q692" s="1" t="str">
        <f t="shared" si="1191"/>
        <v>0.0070</v>
      </c>
      <c r="R692" s="1" t="s">
        <v>29</v>
      </c>
      <c r="S692" s="1">
        <v>-0.0014</v>
      </c>
      <c r="T692" s="1" t="str">
        <f t="shared" si="1192"/>
        <v>0</v>
      </c>
      <c r="U692" s="1" t="str">
        <f t="shared" si="1282"/>
        <v>0.0056</v>
      </c>
    </row>
    <row r="693" s="1" customFormat="1" spans="1:21">
      <c r="A693" s="1" t="str">
        <f>"4601991426760"</f>
        <v>4601991426760</v>
      </c>
      <c r="B693" s="1" t="s">
        <v>717</v>
      </c>
      <c r="C693" s="1" t="s">
        <v>24</v>
      </c>
      <c r="D693" s="1" t="str">
        <f t="shared" si="1188"/>
        <v>2021</v>
      </c>
      <c r="E693" s="1" t="str">
        <f>"19.89"</f>
        <v>19.89</v>
      </c>
      <c r="F693" s="1" t="str">
        <f t="shared" ref="F693:I693" si="1285">"0"</f>
        <v>0</v>
      </c>
      <c r="G693" s="1" t="str">
        <f t="shared" si="1285"/>
        <v>0</v>
      </c>
      <c r="H693" s="1" t="str">
        <f t="shared" si="1285"/>
        <v>0</v>
      </c>
      <c r="I693" s="1" t="str">
        <f t="shared" si="1285"/>
        <v>0</v>
      </c>
      <c r="J693" s="1" t="str">
        <f>"2"</f>
        <v>2</v>
      </c>
      <c r="K693" s="1" t="str">
        <f t="shared" ref="K693:P693" si="1286">"0"</f>
        <v>0</v>
      </c>
      <c r="L693" s="1" t="str">
        <f t="shared" si="1286"/>
        <v>0</v>
      </c>
      <c r="M693" s="1" t="str">
        <f t="shared" si="1286"/>
        <v>0</v>
      </c>
      <c r="N693" s="1" t="str">
        <f t="shared" si="1286"/>
        <v>0</v>
      </c>
      <c r="O693" s="1" t="str">
        <f t="shared" si="1286"/>
        <v>0</v>
      </c>
      <c r="P693" s="1" t="str">
        <f t="shared" si="1286"/>
        <v>0</v>
      </c>
      <c r="Q693" s="1" t="str">
        <f t="shared" si="1191"/>
        <v>0.0070</v>
      </c>
      <c r="R693" s="1" t="s">
        <v>29</v>
      </c>
      <c r="S693" s="1">
        <v>-0.0014</v>
      </c>
      <c r="T693" s="1" t="str">
        <f t="shared" si="1192"/>
        <v>0</v>
      </c>
      <c r="U693" s="1" t="str">
        <f t="shared" si="1282"/>
        <v>0.0056</v>
      </c>
    </row>
    <row r="694" s="1" customFormat="1" spans="1:21">
      <c r="A694" s="1" t="str">
        <f>"4601991427413"</f>
        <v>4601991427413</v>
      </c>
      <c r="B694" s="1" t="s">
        <v>718</v>
      </c>
      <c r="C694" s="1" t="s">
        <v>24</v>
      </c>
      <c r="D694" s="1" t="str">
        <f t="shared" si="1188"/>
        <v>2021</v>
      </c>
      <c r="E694" s="1" t="str">
        <f t="shared" ref="E694:P694" si="1287">"0"</f>
        <v>0</v>
      </c>
      <c r="F694" s="1" t="str">
        <f t="shared" si="1287"/>
        <v>0</v>
      </c>
      <c r="G694" s="1" t="str">
        <f t="shared" si="1287"/>
        <v>0</v>
      </c>
      <c r="H694" s="1" t="str">
        <f t="shared" si="1287"/>
        <v>0</v>
      </c>
      <c r="I694" s="1" t="str">
        <f t="shared" si="1287"/>
        <v>0</v>
      </c>
      <c r="J694" s="1" t="str">
        <f t="shared" si="1287"/>
        <v>0</v>
      </c>
      <c r="K694" s="1" t="str">
        <f t="shared" si="1287"/>
        <v>0</v>
      </c>
      <c r="L694" s="1" t="str">
        <f t="shared" si="1287"/>
        <v>0</v>
      </c>
      <c r="M694" s="1" t="str">
        <f t="shared" si="1287"/>
        <v>0</v>
      </c>
      <c r="N694" s="1" t="str">
        <f t="shared" si="1287"/>
        <v>0</v>
      </c>
      <c r="O694" s="1" t="str">
        <f t="shared" si="1287"/>
        <v>0</v>
      </c>
      <c r="P694" s="1" t="str">
        <f t="shared" si="1287"/>
        <v>0</v>
      </c>
      <c r="Q694" s="1" t="str">
        <f t="shared" si="1191"/>
        <v>0.0070</v>
      </c>
      <c r="R694" s="1" t="s">
        <v>25</v>
      </c>
      <c r="T694" s="1" t="str">
        <f t="shared" si="1192"/>
        <v>0</v>
      </c>
      <c r="U694" s="1" t="str">
        <f t="shared" ref="U694:U698" si="1288">"0.0070"</f>
        <v>0.0070</v>
      </c>
    </row>
    <row r="695" s="1" customFormat="1" spans="1:21">
      <c r="A695" s="1" t="str">
        <f>"4601991426226"</f>
        <v>4601991426226</v>
      </c>
      <c r="B695" s="1" t="s">
        <v>719</v>
      </c>
      <c r="C695" s="1" t="s">
        <v>24</v>
      </c>
      <c r="D695" s="1" t="str">
        <f t="shared" si="1188"/>
        <v>2021</v>
      </c>
      <c r="E695" s="1" t="str">
        <f>"9.58"</f>
        <v>9.58</v>
      </c>
      <c r="F695" s="1" t="str">
        <f t="shared" ref="F695:I695" si="1289">"0"</f>
        <v>0</v>
      </c>
      <c r="G695" s="1" t="str">
        <f t="shared" si="1289"/>
        <v>0</v>
      </c>
      <c r="H695" s="1" t="str">
        <f t="shared" si="1289"/>
        <v>0</v>
      </c>
      <c r="I695" s="1" t="str">
        <f t="shared" si="1289"/>
        <v>0</v>
      </c>
      <c r="J695" s="1" t="str">
        <f>"1"</f>
        <v>1</v>
      </c>
      <c r="K695" s="1" t="str">
        <f t="shared" ref="K695:P695" si="1290">"0"</f>
        <v>0</v>
      </c>
      <c r="L695" s="1" t="str">
        <f t="shared" si="1290"/>
        <v>0</v>
      </c>
      <c r="M695" s="1" t="str">
        <f t="shared" si="1290"/>
        <v>0</v>
      </c>
      <c r="N695" s="1" t="str">
        <f t="shared" si="1290"/>
        <v>0</v>
      </c>
      <c r="O695" s="1" t="str">
        <f t="shared" si="1290"/>
        <v>0</v>
      </c>
      <c r="P695" s="1" t="str">
        <f t="shared" si="1290"/>
        <v>0</v>
      </c>
      <c r="Q695" s="1" t="str">
        <f t="shared" si="1191"/>
        <v>0.0070</v>
      </c>
      <c r="R695" s="1" t="s">
        <v>29</v>
      </c>
      <c r="S695" s="1">
        <v>-0.0014</v>
      </c>
      <c r="T695" s="1" t="str">
        <f t="shared" si="1192"/>
        <v>0</v>
      </c>
      <c r="U695" s="1" t="str">
        <f t="shared" ref="U695:U700" si="1291">"0.0056"</f>
        <v>0.0056</v>
      </c>
    </row>
    <row r="696" s="1" customFormat="1" spans="1:21">
      <c r="A696" s="1" t="str">
        <f>"4601991426239"</f>
        <v>4601991426239</v>
      </c>
      <c r="B696" s="1" t="s">
        <v>720</v>
      </c>
      <c r="C696" s="1" t="s">
        <v>24</v>
      </c>
      <c r="D696" s="1" t="str">
        <f t="shared" si="1188"/>
        <v>2021</v>
      </c>
      <c r="E696" s="1" t="str">
        <f t="shared" ref="E696:G696" si="1292">"0"</f>
        <v>0</v>
      </c>
      <c r="F696" s="1" t="str">
        <f t="shared" si="1292"/>
        <v>0</v>
      </c>
      <c r="G696" s="1" t="str">
        <f t="shared" si="1292"/>
        <v>0</v>
      </c>
      <c r="H696" s="1" t="str">
        <f>"9.67"</f>
        <v>9.67</v>
      </c>
      <c r="I696" s="1" t="str">
        <f t="shared" ref="I696:P696" si="1293">"0"</f>
        <v>0</v>
      </c>
      <c r="J696" s="1" t="str">
        <f t="shared" si="1293"/>
        <v>0</v>
      </c>
      <c r="K696" s="1" t="str">
        <f t="shared" si="1293"/>
        <v>0</v>
      </c>
      <c r="L696" s="1" t="str">
        <f t="shared" si="1293"/>
        <v>0</v>
      </c>
      <c r="M696" s="1" t="str">
        <f t="shared" si="1293"/>
        <v>0</v>
      </c>
      <c r="N696" s="1" t="str">
        <f t="shared" si="1293"/>
        <v>0</v>
      </c>
      <c r="O696" s="1" t="str">
        <f t="shared" si="1293"/>
        <v>0</v>
      </c>
      <c r="P696" s="1" t="str">
        <f t="shared" si="1293"/>
        <v>0</v>
      </c>
      <c r="Q696" s="1" t="str">
        <f t="shared" si="1191"/>
        <v>0.0070</v>
      </c>
      <c r="R696" s="1" t="s">
        <v>25</v>
      </c>
      <c r="T696" s="1" t="str">
        <f t="shared" si="1192"/>
        <v>0</v>
      </c>
      <c r="U696" s="1" t="str">
        <f t="shared" si="1288"/>
        <v>0.0070</v>
      </c>
    </row>
    <row r="697" s="1" customFormat="1" spans="1:21">
      <c r="A697" s="1" t="str">
        <f>"4601991426785"</f>
        <v>4601991426785</v>
      </c>
      <c r="B697" s="1" t="s">
        <v>721</v>
      </c>
      <c r="C697" s="1" t="s">
        <v>24</v>
      </c>
      <c r="D697" s="1" t="str">
        <f t="shared" si="1188"/>
        <v>2021</v>
      </c>
      <c r="E697" s="1" t="str">
        <f t="shared" ref="E697:P697" si="1294">"0"</f>
        <v>0</v>
      </c>
      <c r="F697" s="1" t="str">
        <f t="shared" si="1294"/>
        <v>0</v>
      </c>
      <c r="G697" s="1" t="str">
        <f t="shared" si="1294"/>
        <v>0</v>
      </c>
      <c r="H697" s="1" t="str">
        <f t="shared" si="1294"/>
        <v>0</v>
      </c>
      <c r="I697" s="1" t="str">
        <f t="shared" si="1294"/>
        <v>0</v>
      </c>
      <c r="J697" s="1" t="str">
        <f t="shared" si="1294"/>
        <v>0</v>
      </c>
      <c r="K697" s="1" t="str">
        <f t="shared" si="1294"/>
        <v>0</v>
      </c>
      <c r="L697" s="1" t="str">
        <f t="shared" si="1294"/>
        <v>0</v>
      </c>
      <c r="M697" s="1" t="str">
        <f t="shared" si="1294"/>
        <v>0</v>
      </c>
      <c r="N697" s="1" t="str">
        <f t="shared" si="1294"/>
        <v>0</v>
      </c>
      <c r="O697" s="1" t="str">
        <f t="shared" si="1294"/>
        <v>0</v>
      </c>
      <c r="P697" s="1" t="str">
        <f t="shared" si="1294"/>
        <v>0</v>
      </c>
      <c r="Q697" s="1" t="str">
        <f t="shared" si="1191"/>
        <v>0.0070</v>
      </c>
      <c r="R697" s="1" t="s">
        <v>25</v>
      </c>
      <c r="T697" s="1" t="str">
        <f t="shared" si="1192"/>
        <v>0</v>
      </c>
      <c r="U697" s="1" t="str">
        <f t="shared" si="1288"/>
        <v>0.0070</v>
      </c>
    </row>
    <row r="698" s="1" customFormat="1" spans="1:21">
      <c r="A698" s="1" t="str">
        <f>"4601991426795"</f>
        <v>4601991426795</v>
      </c>
      <c r="B698" s="1" t="s">
        <v>722</v>
      </c>
      <c r="C698" s="1" t="s">
        <v>24</v>
      </c>
      <c r="D698" s="1" t="str">
        <f t="shared" si="1188"/>
        <v>2021</v>
      </c>
      <c r="E698" s="1" t="str">
        <f t="shared" ref="E698:P698" si="1295">"0"</f>
        <v>0</v>
      </c>
      <c r="F698" s="1" t="str">
        <f t="shared" si="1295"/>
        <v>0</v>
      </c>
      <c r="G698" s="1" t="str">
        <f t="shared" si="1295"/>
        <v>0</v>
      </c>
      <c r="H698" s="1" t="str">
        <f t="shared" si="1295"/>
        <v>0</v>
      </c>
      <c r="I698" s="1" t="str">
        <f t="shared" si="1295"/>
        <v>0</v>
      </c>
      <c r="J698" s="1" t="str">
        <f t="shared" si="1295"/>
        <v>0</v>
      </c>
      <c r="K698" s="1" t="str">
        <f t="shared" si="1295"/>
        <v>0</v>
      </c>
      <c r="L698" s="1" t="str">
        <f t="shared" si="1295"/>
        <v>0</v>
      </c>
      <c r="M698" s="1" t="str">
        <f t="shared" si="1295"/>
        <v>0</v>
      </c>
      <c r="N698" s="1" t="str">
        <f t="shared" si="1295"/>
        <v>0</v>
      </c>
      <c r="O698" s="1" t="str">
        <f t="shared" si="1295"/>
        <v>0</v>
      </c>
      <c r="P698" s="1" t="str">
        <f t="shared" si="1295"/>
        <v>0</v>
      </c>
      <c r="Q698" s="1" t="str">
        <f t="shared" si="1191"/>
        <v>0.0070</v>
      </c>
      <c r="R698" s="1" t="s">
        <v>25</v>
      </c>
      <c r="T698" s="1" t="str">
        <f t="shared" si="1192"/>
        <v>0</v>
      </c>
      <c r="U698" s="1" t="str">
        <f t="shared" si="1288"/>
        <v>0.0070</v>
      </c>
    </row>
    <row r="699" s="1" customFormat="1" spans="1:21">
      <c r="A699" s="1" t="str">
        <f>"4601991426762"</f>
        <v>4601991426762</v>
      </c>
      <c r="B699" s="1" t="s">
        <v>723</v>
      </c>
      <c r="C699" s="1" t="s">
        <v>24</v>
      </c>
      <c r="D699" s="1" t="str">
        <f t="shared" si="1188"/>
        <v>2021</v>
      </c>
      <c r="E699" s="1" t="str">
        <f>"38.68"</f>
        <v>38.68</v>
      </c>
      <c r="F699" s="1" t="str">
        <f t="shared" ref="F699:I699" si="1296">"0"</f>
        <v>0</v>
      </c>
      <c r="G699" s="1" t="str">
        <f t="shared" si="1296"/>
        <v>0</v>
      </c>
      <c r="H699" s="1" t="str">
        <f t="shared" si="1296"/>
        <v>0</v>
      </c>
      <c r="I699" s="1" t="str">
        <f t="shared" si="1296"/>
        <v>0</v>
      </c>
      <c r="J699" s="1" t="str">
        <f>"3"</f>
        <v>3</v>
      </c>
      <c r="K699" s="1" t="str">
        <f t="shared" ref="K699:P699" si="1297">"0"</f>
        <v>0</v>
      </c>
      <c r="L699" s="1" t="str">
        <f t="shared" si="1297"/>
        <v>0</v>
      </c>
      <c r="M699" s="1" t="str">
        <f t="shared" si="1297"/>
        <v>0</v>
      </c>
      <c r="N699" s="1" t="str">
        <f t="shared" si="1297"/>
        <v>0</v>
      </c>
      <c r="O699" s="1" t="str">
        <f t="shared" si="1297"/>
        <v>0</v>
      </c>
      <c r="P699" s="1" t="str">
        <f t="shared" si="1297"/>
        <v>0</v>
      </c>
      <c r="Q699" s="1" t="str">
        <f t="shared" si="1191"/>
        <v>0.0070</v>
      </c>
      <c r="R699" s="1" t="s">
        <v>29</v>
      </c>
      <c r="S699" s="1">
        <v>-0.0014</v>
      </c>
      <c r="T699" s="1" t="str">
        <f t="shared" si="1192"/>
        <v>0</v>
      </c>
      <c r="U699" s="1" t="str">
        <f t="shared" si="1291"/>
        <v>0.0056</v>
      </c>
    </row>
    <row r="700" s="1" customFormat="1" spans="1:21">
      <c r="A700" s="1" t="str">
        <f>"4601991427415"</f>
        <v>4601991427415</v>
      </c>
      <c r="B700" s="1" t="s">
        <v>724</v>
      </c>
      <c r="C700" s="1" t="s">
        <v>24</v>
      </c>
      <c r="D700" s="1" t="str">
        <f t="shared" si="1188"/>
        <v>2021</v>
      </c>
      <c r="E700" s="1" t="str">
        <f>"9.58"</f>
        <v>9.58</v>
      </c>
      <c r="F700" s="1" t="str">
        <f t="shared" ref="F700:I700" si="1298">"0"</f>
        <v>0</v>
      </c>
      <c r="G700" s="1" t="str">
        <f t="shared" si="1298"/>
        <v>0</v>
      </c>
      <c r="H700" s="1" t="str">
        <f t="shared" si="1298"/>
        <v>0</v>
      </c>
      <c r="I700" s="1" t="str">
        <f t="shared" si="1298"/>
        <v>0</v>
      </c>
      <c r="J700" s="1" t="str">
        <f>"2"</f>
        <v>2</v>
      </c>
      <c r="K700" s="1" t="str">
        <f t="shared" ref="K700:P700" si="1299">"0"</f>
        <v>0</v>
      </c>
      <c r="L700" s="1" t="str">
        <f t="shared" si="1299"/>
        <v>0</v>
      </c>
      <c r="M700" s="1" t="str">
        <f t="shared" si="1299"/>
        <v>0</v>
      </c>
      <c r="N700" s="1" t="str">
        <f t="shared" si="1299"/>
        <v>0</v>
      </c>
      <c r="O700" s="1" t="str">
        <f t="shared" si="1299"/>
        <v>0</v>
      </c>
      <c r="P700" s="1" t="str">
        <f t="shared" si="1299"/>
        <v>0</v>
      </c>
      <c r="Q700" s="1" t="str">
        <f t="shared" si="1191"/>
        <v>0.0070</v>
      </c>
      <c r="R700" s="1" t="s">
        <v>29</v>
      </c>
      <c r="S700" s="1">
        <v>-0.0014</v>
      </c>
      <c r="T700" s="1" t="str">
        <f t="shared" si="1192"/>
        <v>0</v>
      </c>
      <c r="U700" s="1" t="str">
        <f t="shared" si="1291"/>
        <v>0.0056</v>
      </c>
    </row>
    <row r="701" s="1" customFormat="1" spans="1:21">
      <c r="A701" s="1" t="str">
        <f>"4601991426806"</f>
        <v>4601991426806</v>
      </c>
      <c r="B701" s="1" t="s">
        <v>725</v>
      </c>
      <c r="C701" s="1" t="s">
        <v>24</v>
      </c>
      <c r="D701" s="1" t="str">
        <f t="shared" si="1188"/>
        <v>2021</v>
      </c>
      <c r="E701" s="1" t="str">
        <f t="shared" ref="E701:P701" si="1300">"0"</f>
        <v>0</v>
      </c>
      <c r="F701" s="1" t="str">
        <f t="shared" si="1300"/>
        <v>0</v>
      </c>
      <c r="G701" s="1" t="str">
        <f t="shared" si="1300"/>
        <v>0</v>
      </c>
      <c r="H701" s="1" t="str">
        <f t="shared" si="1300"/>
        <v>0</v>
      </c>
      <c r="I701" s="1" t="str">
        <f t="shared" si="1300"/>
        <v>0</v>
      </c>
      <c r="J701" s="1" t="str">
        <f t="shared" si="1300"/>
        <v>0</v>
      </c>
      <c r="K701" s="1" t="str">
        <f t="shared" si="1300"/>
        <v>0</v>
      </c>
      <c r="L701" s="1" t="str">
        <f t="shared" si="1300"/>
        <v>0</v>
      </c>
      <c r="M701" s="1" t="str">
        <f t="shared" si="1300"/>
        <v>0</v>
      </c>
      <c r="N701" s="1" t="str">
        <f t="shared" si="1300"/>
        <v>0</v>
      </c>
      <c r="O701" s="1" t="str">
        <f t="shared" si="1300"/>
        <v>0</v>
      </c>
      <c r="P701" s="1" t="str">
        <f t="shared" si="1300"/>
        <v>0</v>
      </c>
      <c r="Q701" s="1" t="str">
        <f t="shared" si="1191"/>
        <v>0.0070</v>
      </c>
      <c r="R701" s="1" t="s">
        <v>25</v>
      </c>
      <c r="T701" s="1" t="str">
        <f t="shared" si="1192"/>
        <v>0</v>
      </c>
      <c r="U701" s="1" t="str">
        <f t="shared" ref="U701:U705" si="1301">"0.0070"</f>
        <v>0.0070</v>
      </c>
    </row>
    <row r="702" s="1" customFormat="1" spans="1:21">
      <c r="A702" s="1" t="str">
        <f>"4601991427455"</f>
        <v>4601991427455</v>
      </c>
      <c r="B702" s="1" t="s">
        <v>726</v>
      </c>
      <c r="C702" s="1" t="s">
        <v>24</v>
      </c>
      <c r="D702" s="1" t="str">
        <f t="shared" si="1188"/>
        <v>2021</v>
      </c>
      <c r="E702" s="1" t="str">
        <f>"38.68"</f>
        <v>38.68</v>
      </c>
      <c r="F702" s="1" t="str">
        <f t="shared" ref="F702:I702" si="1302">"0"</f>
        <v>0</v>
      </c>
      <c r="G702" s="1" t="str">
        <f t="shared" si="1302"/>
        <v>0</v>
      </c>
      <c r="H702" s="1" t="str">
        <f t="shared" si="1302"/>
        <v>0</v>
      </c>
      <c r="I702" s="1" t="str">
        <f t="shared" si="1302"/>
        <v>0</v>
      </c>
      <c r="J702" s="1" t="str">
        <f>"4"</f>
        <v>4</v>
      </c>
      <c r="K702" s="1" t="str">
        <f t="shared" ref="K702:P702" si="1303">"0"</f>
        <v>0</v>
      </c>
      <c r="L702" s="1" t="str">
        <f t="shared" si="1303"/>
        <v>0</v>
      </c>
      <c r="M702" s="1" t="str">
        <f t="shared" si="1303"/>
        <v>0</v>
      </c>
      <c r="N702" s="1" t="str">
        <f t="shared" si="1303"/>
        <v>0</v>
      </c>
      <c r="O702" s="1" t="str">
        <f t="shared" si="1303"/>
        <v>0</v>
      </c>
      <c r="P702" s="1" t="str">
        <f t="shared" si="1303"/>
        <v>0</v>
      </c>
      <c r="Q702" s="1" t="str">
        <f t="shared" si="1191"/>
        <v>0.0070</v>
      </c>
      <c r="R702" s="1" t="s">
        <v>29</v>
      </c>
      <c r="S702" s="1">
        <v>-0.0014</v>
      </c>
      <c r="T702" s="1" t="str">
        <f t="shared" si="1192"/>
        <v>0</v>
      </c>
      <c r="U702" s="1" t="str">
        <f t="shared" ref="U702:U706" si="1304">"0.0056"</f>
        <v>0.0056</v>
      </c>
    </row>
    <row r="703" s="1" customFormat="1" spans="1:21">
      <c r="A703" s="1" t="str">
        <f>"4601991427471"</f>
        <v>4601991427471</v>
      </c>
      <c r="B703" s="1" t="s">
        <v>727</v>
      </c>
      <c r="C703" s="1" t="s">
        <v>24</v>
      </c>
      <c r="D703" s="1" t="str">
        <f t="shared" si="1188"/>
        <v>2021</v>
      </c>
      <c r="E703" s="1" t="str">
        <f t="shared" ref="E703:P703" si="1305">"0"</f>
        <v>0</v>
      </c>
      <c r="F703" s="1" t="str">
        <f t="shared" si="1305"/>
        <v>0</v>
      </c>
      <c r="G703" s="1" t="str">
        <f t="shared" si="1305"/>
        <v>0</v>
      </c>
      <c r="H703" s="1" t="str">
        <f t="shared" si="1305"/>
        <v>0</v>
      </c>
      <c r="I703" s="1" t="str">
        <f t="shared" si="1305"/>
        <v>0</v>
      </c>
      <c r="J703" s="1" t="str">
        <f t="shared" si="1305"/>
        <v>0</v>
      </c>
      <c r="K703" s="1" t="str">
        <f t="shared" si="1305"/>
        <v>0</v>
      </c>
      <c r="L703" s="1" t="str">
        <f t="shared" si="1305"/>
        <v>0</v>
      </c>
      <c r="M703" s="1" t="str">
        <f t="shared" si="1305"/>
        <v>0</v>
      </c>
      <c r="N703" s="1" t="str">
        <f t="shared" si="1305"/>
        <v>0</v>
      </c>
      <c r="O703" s="1" t="str">
        <f t="shared" si="1305"/>
        <v>0</v>
      </c>
      <c r="P703" s="1" t="str">
        <f t="shared" si="1305"/>
        <v>0</v>
      </c>
      <c r="Q703" s="1" t="str">
        <f t="shared" si="1191"/>
        <v>0.0070</v>
      </c>
      <c r="R703" s="1" t="s">
        <v>25</v>
      </c>
      <c r="T703" s="1" t="str">
        <f t="shared" si="1192"/>
        <v>0</v>
      </c>
      <c r="U703" s="1" t="str">
        <f t="shared" si="1301"/>
        <v>0.0070</v>
      </c>
    </row>
    <row r="704" s="1" customFormat="1" spans="1:21">
      <c r="A704" s="1" t="str">
        <f>"4601991426246"</f>
        <v>4601991426246</v>
      </c>
      <c r="B704" s="1" t="s">
        <v>728</v>
      </c>
      <c r="C704" s="1" t="s">
        <v>24</v>
      </c>
      <c r="D704" s="1" t="str">
        <f t="shared" si="1188"/>
        <v>2021</v>
      </c>
      <c r="E704" s="1" t="str">
        <f>"457.68"</f>
        <v>457.68</v>
      </c>
      <c r="F704" s="1" t="str">
        <f t="shared" ref="F704:I704" si="1306">"0"</f>
        <v>0</v>
      </c>
      <c r="G704" s="1" t="str">
        <f t="shared" si="1306"/>
        <v>0</v>
      </c>
      <c r="H704" s="1" t="str">
        <f t="shared" si="1306"/>
        <v>0</v>
      </c>
      <c r="I704" s="1" t="str">
        <f t="shared" si="1306"/>
        <v>0</v>
      </c>
      <c r="J704" s="1" t="str">
        <f>"49"</f>
        <v>49</v>
      </c>
      <c r="K704" s="1" t="str">
        <f t="shared" ref="K704:P704" si="1307">"0"</f>
        <v>0</v>
      </c>
      <c r="L704" s="1" t="str">
        <f t="shared" si="1307"/>
        <v>0</v>
      </c>
      <c r="M704" s="1" t="str">
        <f t="shared" si="1307"/>
        <v>0</v>
      </c>
      <c r="N704" s="1" t="str">
        <f t="shared" si="1307"/>
        <v>0</v>
      </c>
      <c r="O704" s="1" t="str">
        <f t="shared" si="1307"/>
        <v>0</v>
      </c>
      <c r="P704" s="1" t="str">
        <f t="shared" si="1307"/>
        <v>0</v>
      </c>
      <c r="Q704" s="1" t="str">
        <f t="shared" si="1191"/>
        <v>0.0070</v>
      </c>
      <c r="R704" s="1" t="s">
        <v>29</v>
      </c>
      <c r="S704" s="1">
        <v>-0.0014</v>
      </c>
      <c r="T704" s="1" t="str">
        <f t="shared" si="1192"/>
        <v>0</v>
      </c>
      <c r="U704" s="1" t="str">
        <f t="shared" si="1304"/>
        <v>0.0056</v>
      </c>
    </row>
    <row r="705" s="1" customFormat="1" spans="1:21">
      <c r="A705" s="1" t="str">
        <f>"4601991426265"</f>
        <v>4601991426265</v>
      </c>
      <c r="B705" s="1" t="s">
        <v>729</v>
      </c>
      <c r="C705" s="1" t="s">
        <v>24</v>
      </c>
      <c r="D705" s="1" t="str">
        <f t="shared" si="1188"/>
        <v>2021</v>
      </c>
      <c r="E705" s="1" t="str">
        <f t="shared" ref="E705:P705" si="1308">"0"</f>
        <v>0</v>
      </c>
      <c r="F705" s="1" t="str">
        <f t="shared" si="1308"/>
        <v>0</v>
      </c>
      <c r="G705" s="1" t="str">
        <f t="shared" si="1308"/>
        <v>0</v>
      </c>
      <c r="H705" s="1" t="str">
        <f t="shared" si="1308"/>
        <v>0</v>
      </c>
      <c r="I705" s="1" t="str">
        <f t="shared" si="1308"/>
        <v>0</v>
      </c>
      <c r="J705" s="1" t="str">
        <f t="shared" si="1308"/>
        <v>0</v>
      </c>
      <c r="K705" s="1" t="str">
        <f t="shared" si="1308"/>
        <v>0</v>
      </c>
      <c r="L705" s="1" t="str">
        <f t="shared" si="1308"/>
        <v>0</v>
      </c>
      <c r="M705" s="1" t="str">
        <f t="shared" si="1308"/>
        <v>0</v>
      </c>
      <c r="N705" s="1" t="str">
        <f t="shared" si="1308"/>
        <v>0</v>
      </c>
      <c r="O705" s="1" t="str">
        <f t="shared" si="1308"/>
        <v>0</v>
      </c>
      <c r="P705" s="1" t="str">
        <f t="shared" si="1308"/>
        <v>0</v>
      </c>
      <c r="Q705" s="1" t="str">
        <f t="shared" si="1191"/>
        <v>0.0070</v>
      </c>
      <c r="R705" s="1" t="s">
        <v>25</v>
      </c>
      <c r="T705" s="1" t="str">
        <f t="shared" si="1192"/>
        <v>0</v>
      </c>
      <c r="U705" s="1" t="str">
        <f t="shared" si="1301"/>
        <v>0.0070</v>
      </c>
    </row>
    <row r="706" s="1" customFormat="1" spans="1:21">
      <c r="A706" s="1" t="str">
        <f>"4601991427449"</f>
        <v>4601991427449</v>
      </c>
      <c r="B706" s="1" t="s">
        <v>730</v>
      </c>
      <c r="C706" s="1" t="s">
        <v>24</v>
      </c>
      <c r="D706" s="1" t="str">
        <f t="shared" si="1188"/>
        <v>2021</v>
      </c>
      <c r="E706" s="1" t="str">
        <f>"26.09"</f>
        <v>26.09</v>
      </c>
      <c r="F706" s="1" t="str">
        <f t="shared" ref="F706:I706" si="1309">"0"</f>
        <v>0</v>
      </c>
      <c r="G706" s="1" t="str">
        <f t="shared" si="1309"/>
        <v>0</v>
      </c>
      <c r="H706" s="1" t="str">
        <f t="shared" si="1309"/>
        <v>0</v>
      </c>
      <c r="I706" s="1" t="str">
        <f t="shared" si="1309"/>
        <v>0</v>
      </c>
      <c r="J706" s="1" t="str">
        <f>"3"</f>
        <v>3</v>
      </c>
      <c r="K706" s="1" t="str">
        <f t="shared" ref="K706:P706" si="1310">"0"</f>
        <v>0</v>
      </c>
      <c r="L706" s="1" t="str">
        <f t="shared" si="1310"/>
        <v>0</v>
      </c>
      <c r="M706" s="1" t="str">
        <f t="shared" si="1310"/>
        <v>0</v>
      </c>
      <c r="N706" s="1" t="str">
        <f t="shared" si="1310"/>
        <v>0</v>
      </c>
      <c r="O706" s="1" t="str">
        <f t="shared" si="1310"/>
        <v>0</v>
      </c>
      <c r="P706" s="1" t="str">
        <f t="shared" si="1310"/>
        <v>0</v>
      </c>
      <c r="Q706" s="1" t="str">
        <f t="shared" si="1191"/>
        <v>0.0070</v>
      </c>
      <c r="R706" s="1" t="s">
        <v>29</v>
      </c>
      <c r="S706" s="1">
        <v>-0.0014</v>
      </c>
      <c r="T706" s="1" t="str">
        <f t="shared" si="1192"/>
        <v>0</v>
      </c>
      <c r="U706" s="1" t="str">
        <f t="shared" si="1304"/>
        <v>0.0056</v>
      </c>
    </row>
    <row r="707" s="1" customFormat="1" spans="1:21">
      <c r="A707" s="1" t="str">
        <f>"4601991426252"</f>
        <v>4601991426252</v>
      </c>
      <c r="B707" s="1" t="s">
        <v>731</v>
      </c>
      <c r="C707" s="1" t="s">
        <v>24</v>
      </c>
      <c r="D707" s="1" t="str">
        <f t="shared" ref="D707:D770" si="1311">"2021"</f>
        <v>2021</v>
      </c>
      <c r="E707" s="1" t="str">
        <f>"9.67"</f>
        <v>9.67</v>
      </c>
      <c r="F707" s="1" t="str">
        <f t="shared" ref="F707:I707" si="1312">"0"</f>
        <v>0</v>
      </c>
      <c r="G707" s="1" t="str">
        <f t="shared" si="1312"/>
        <v>0</v>
      </c>
      <c r="H707" s="1" t="str">
        <f t="shared" si="1312"/>
        <v>0</v>
      </c>
      <c r="I707" s="1" t="str">
        <f t="shared" si="1312"/>
        <v>0</v>
      </c>
      <c r="J707" s="1" t="str">
        <f>"1"</f>
        <v>1</v>
      </c>
      <c r="K707" s="1" t="str">
        <f t="shared" ref="K707:P707" si="1313">"0"</f>
        <v>0</v>
      </c>
      <c r="L707" s="1" t="str">
        <f t="shared" si="1313"/>
        <v>0</v>
      </c>
      <c r="M707" s="1" t="str">
        <f t="shared" si="1313"/>
        <v>0</v>
      </c>
      <c r="N707" s="1" t="str">
        <f t="shared" si="1313"/>
        <v>0</v>
      </c>
      <c r="O707" s="1" t="str">
        <f t="shared" si="1313"/>
        <v>0</v>
      </c>
      <c r="P707" s="1" t="str">
        <f t="shared" si="1313"/>
        <v>0</v>
      </c>
      <c r="Q707" s="1" t="str">
        <f t="shared" ref="Q707:Q770" si="1314">"0.0070"</f>
        <v>0.0070</v>
      </c>
      <c r="R707" s="1" t="s">
        <v>25</v>
      </c>
      <c r="T707" s="1" t="str">
        <f t="shared" ref="T707:T770" si="1315">"0"</f>
        <v>0</v>
      </c>
      <c r="U707" s="1" t="str">
        <f>"0.0070"</f>
        <v>0.0070</v>
      </c>
    </row>
    <row r="708" s="1" customFormat="1" spans="1:21">
      <c r="A708" s="1" t="str">
        <f>"4601991427476"</f>
        <v>4601991427476</v>
      </c>
      <c r="B708" s="1" t="s">
        <v>732</v>
      </c>
      <c r="C708" s="1" t="s">
        <v>24</v>
      </c>
      <c r="D708" s="1" t="str">
        <f t="shared" si="1311"/>
        <v>2021</v>
      </c>
      <c r="E708" s="1" t="str">
        <f>"173.24"</f>
        <v>173.24</v>
      </c>
      <c r="F708" s="1" t="str">
        <f t="shared" ref="F708:I708" si="1316">"0"</f>
        <v>0</v>
      </c>
      <c r="G708" s="1" t="str">
        <f t="shared" si="1316"/>
        <v>0</v>
      </c>
      <c r="H708" s="1" t="str">
        <f t="shared" si="1316"/>
        <v>0</v>
      </c>
      <c r="I708" s="1" t="str">
        <f t="shared" si="1316"/>
        <v>0</v>
      </c>
      <c r="J708" s="1" t="str">
        <f>"15"</f>
        <v>15</v>
      </c>
      <c r="K708" s="1" t="str">
        <f t="shared" ref="K708:P708" si="1317">"0"</f>
        <v>0</v>
      </c>
      <c r="L708" s="1" t="str">
        <f t="shared" si="1317"/>
        <v>0</v>
      </c>
      <c r="M708" s="1" t="str">
        <f t="shared" si="1317"/>
        <v>0</v>
      </c>
      <c r="N708" s="1" t="str">
        <f t="shared" si="1317"/>
        <v>0</v>
      </c>
      <c r="O708" s="1" t="str">
        <f t="shared" si="1317"/>
        <v>0</v>
      </c>
      <c r="P708" s="1" t="str">
        <f t="shared" si="1317"/>
        <v>0</v>
      </c>
      <c r="Q708" s="1" t="str">
        <f t="shared" si="1314"/>
        <v>0.0070</v>
      </c>
      <c r="R708" s="1" t="s">
        <v>29</v>
      </c>
      <c r="S708" s="1">
        <v>-0.0014</v>
      </c>
      <c r="T708" s="1" t="str">
        <f t="shared" si="1315"/>
        <v>0</v>
      </c>
      <c r="U708" s="1" t="str">
        <f t="shared" ref="U708:U711" si="1318">"0.0056"</f>
        <v>0.0056</v>
      </c>
    </row>
    <row r="709" s="1" customFormat="1" spans="1:21">
      <c r="A709" s="1" t="str">
        <f>"4601991426856"</f>
        <v>4601991426856</v>
      </c>
      <c r="B709" s="1" t="s">
        <v>733</v>
      </c>
      <c r="C709" s="1" t="s">
        <v>24</v>
      </c>
      <c r="D709" s="1" t="str">
        <f t="shared" si="1311"/>
        <v>2021</v>
      </c>
      <c r="E709" s="1" t="str">
        <f>"19.34"</f>
        <v>19.34</v>
      </c>
      <c r="F709" s="1" t="str">
        <f t="shared" ref="F709:I709" si="1319">"0"</f>
        <v>0</v>
      </c>
      <c r="G709" s="1" t="str">
        <f t="shared" si="1319"/>
        <v>0</v>
      </c>
      <c r="H709" s="1" t="str">
        <f t="shared" si="1319"/>
        <v>0</v>
      </c>
      <c r="I709" s="1" t="str">
        <f t="shared" si="1319"/>
        <v>0</v>
      </c>
      <c r="J709" s="1" t="str">
        <f>"2"</f>
        <v>2</v>
      </c>
      <c r="K709" s="1" t="str">
        <f t="shared" ref="K709:P709" si="1320">"0"</f>
        <v>0</v>
      </c>
      <c r="L709" s="1" t="str">
        <f t="shared" si="1320"/>
        <v>0</v>
      </c>
      <c r="M709" s="1" t="str">
        <f t="shared" si="1320"/>
        <v>0</v>
      </c>
      <c r="N709" s="1" t="str">
        <f t="shared" si="1320"/>
        <v>0</v>
      </c>
      <c r="O709" s="1" t="str">
        <f t="shared" si="1320"/>
        <v>0</v>
      </c>
      <c r="P709" s="1" t="str">
        <f t="shared" si="1320"/>
        <v>0</v>
      </c>
      <c r="Q709" s="1" t="str">
        <f t="shared" si="1314"/>
        <v>0.0070</v>
      </c>
      <c r="R709" s="1" t="s">
        <v>29</v>
      </c>
      <c r="S709" s="1">
        <v>-0.0014</v>
      </c>
      <c r="T709" s="1" t="str">
        <f t="shared" si="1315"/>
        <v>0</v>
      </c>
      <c r="U709" s="1" t="str">
        <f t="shared" si="1318"/>
        <v>0.0056</v>
      </c>
    </row>
    <row r="710" s="1" customFormat="1" spans="1:21">
      <c r="A710" s="1" t="str">
        <f>"4601991427493"</f>
        <v>4601991427493</v>
      </c>
      <c r="B710" s="1" t="s">
        <v>734</v>
      </c>
      <c r="C710" s="1" t="s">
        <v>24</v>
      </c>
      <c r="D710" s="1" t="str">
        <f t="shared" si="1311"/>
        <v>2021</v>
      </c>
      <c r="E710" s="1" t="str">
        <f>"12.09"</f>
        <v>12.09</v>
      </c>
      <c r="F710" s="1" t="str">
        <f t="shared" ref="F710:I710" si="1321">"0"</f>
        <v>0</v>
      </c>
      <c r="G710" s="1" t="str">
        <f t="shared" si="1321"/>
        <v>0</v>
      </c>
      <c r="H710" s="1" t="str">
        <f t="shared" si="1321"/>
        <v>0</v>
      </c>
      <c r="I710" s="1" t="str">
        <f t="shared" si="1321"/>
        <v>0</v>
      </c>
      <c r="J710" s="1" t="str">
        <f>"3"</f>
        <v>3</v>
      </c>
      <c r="K710" s="1" t="str">
        <f t="shared" ref="K710:P710" si="1322">"0"</f>
        <v>0</v>
      </c>
      <c r="L710" s="1" t="str">
        <f t="shared" si="1322"/>
        <v>0</v>
      </c>
      <c r="M710" s="1" t="str">
        <f t="shared" si="1322"/>
        <v>0</v>
      </c>
      <c r="N710" s="1" t="str">
        <f t="shared" si="1322"/>
        <v>0</v>
      </c>
      <c r="O710" s="1" t="str">
        <f t="shared" si="1322"/>
        <v>0</v>
      </c>
      <c r="P710" s="1" t="str">
        <f t="shared" si="1322"/>
        <v>0</v>
      </c>
      <c r="Q710" s="1" t="str">
        <f t="shared" si="1314"/>
        <v>0.0070</v>
      </c>
      <c r="R710" s="1" t="s">
        <v>29</v>
      </c>
      <c r="S710" s="1">
        <v>-0.0014</v>
      </c>
      <c r="T710" s="1" t="str">
        <f t="shared" si="1315"/>
        <v>0</v>
      </c>
      <c r="U710" s="1" t="str">
        <f t="shared" si="1318"/>
        <v>0.0056</v>
      </c>
    </row>
    <row r="711" s="1" customFormat="1" spans="1:21">
      <c r="A711" s="1" t="str">
        <f>"4601991427496"</f>
        <v>4601991427496</v>
      </c>
      <c r="B711" s="1" t="s">
        <v>735</v>
      </c>
      <c r="C711" s="1" t="s">
        <v>24</v>
      </c>
      <c r="D711" s="1" t="str">
        <f t="shared" si="1311"/>
        <v>2021</v>
      </c>
      <c r="E711" s="1" t="str">
        <f>"19.34"</f>
        <v>19.34</v>
      </c>
      <c r="F711" s="1" t="str">
        <f t="shared" ref="F711:I711" si="1323">"0"</f>
        <v>0</v>
      </c>
      <c r="G711" s="1" t="str">
        <f t="shared" si="1323"/>
        <v>0</v>
      </c>
      <c r="H711" s="1" t="str">
        <f t="shared" si="1323"/>
        <v>0</v>
      </c>
      <c r="I711" s="1" t="str">
        <f t="shared" si="1323"/>
        <v>0</v>
      </c>
      <c r="J711" s="1" t="str">
        <f>"2"</f>
        <v>2</v>
      </c>
      <c r="K711" s="1" t="str">
        <f t="shared" ref="K711:P711" si="1324">"0"</f>
        <v>0</v>
      </c>
      <c r="L711" s="1" t="str">
        <f t="shared" si="1324"/>
        <v>0</v>
      </c>
      <c r="M711" s="1" t="str">
        <f t="shared" si="1324"/>
        <v>0</v>
      </c>
      <c r="N711" s="1" t="str">
        <f t="shared" si="1324"/>
        <v>0</v>
      </c>
      <c r="O711" s="1" t="str">
        <f t="shared" si="1324"/>
        <v>0</v>
      </c>
      <c r="P711" s="1" t="str">
        <f t="shared" si="1324"/>
        <v>0</v>
      </c>
      <c r="Q711" s="1" t="str">
        <f t="shared" si="1314"/>
        <v>0.0070</v>
      </c>
      <c r="R711" s="1" t="s">
        <v>29</v>
      </c>
      <c r="S711" s="1">
        <v>-0.0014</v>
      </c>
      <c r="T711" s="1" t="str">
        <f t="shared" si="1315"/>
        <v>0</v>
      </c>
      <c r="U711" s="1" t="str">
        <f t="shared" si="1318"/>
        <v>0.0056</v>
      </c>
    </row>
    <row r="712" s="1" customFormat="1" spans="1:21">
      <c r="A712" s="1" t="str">
        <f>"4601991427508"</f>
        <v>4601991427508</v>
      </c>
      <c r="B712" s="1" t="s">
        <v>736</v>
      </c>
      <c r="C712" s="1" t="s">
        <v>24</v>
      </c>
      <c r="D712" s="1" t="str">
        <f t="shared" si="1311"/>
        <v>2021</v>
      </c>
      <c r="E712" s="1" t="str">
        <f t="shared" ref="E712:P712" si="1325">"0"</f>
        <v>0</v>
      </c>
      <c r="F712" s="1" t="str">
        <f t="shared" si="1325"/>
        <v>0</v>
      </c>
      <c r="G712" s="1" t="str">
        <f t="shared" si="1325"/>
        <v>0</v>
      </c>
      <c r="H712" s="1" t="str">
        <f t="shared" si="1325"/>
        <v>0</v>
      </c>
      <c r="I712" s="1" t="str">
        <f t="shared" si="1325"/>
        <v>0</v>
      </c>
      <c r="J712" s="1" t="str">
        <f t="shared" si="1325"/>
        <v>0</v>
      </c>
      <c r="K712" s="1" t="str">
        <f t="shared" si="1325"/>
        <v>0</v>
      </c>
      <c r="L712" s="1" t="str">
        <f t="shared" si="1325"/>
        <v>0</v>
      </c>
      <c r="M712" s="1" t="str">
        <f t="shared" si="1325"/>
        <v>0</v>
      </c>
      <c r="N712" s="1" t="str">
        <f t="shared" si="1325"/>
        <v>0</v>
      </c>
      <c r="O712" s="1" t="str">
        <f t="shared" si="1325"/>
        <v>0</v>
      </c>
      <c r="P712" s="1" t="str">
        <f t="shared" si="1325"/>
        <v>0</v>
      </c>
      <c r="Q712" s="1" t="str">
        <f t="shared" si="1314"/>
        <v>0.0070</v>
      </c>
      <c r="R712" s="1" t="s">
        <v>25</v>
      </c>
      <c r="T712" s="1" t="str">
        <f t="shared" si="1315"/>
        <v>0</v>
      </c>
      <c r="U712" s="1" t="str">
        <f>"0.0070"</f>
        <v>0.0070</v>
      </c>
    </row>
    <row r="713" s="1" customFormat="1" spans="1:21">
      <c r="A713" s="1" t="str">
        <f>"4601991426298"</f>
        <v>4601991426298</v>
      </c>
      <c r="B713" s="1" t="s">
        <v>737</v>
      </c>
      <c r="C713" s="1" t="s">
        <v>24</v>
      </c>
      <c r="D713" s="1" t="str">
        <f t="shared" si="1311"/>
        <v>2021</v>
      </c>
      <c r="E713" s="1" t="str">
        <f>"107.16"</f>
        <v>107.16</v>
      </c>
      <c r="F713" s="1" t="str">
        <f t="shared" ref="F713:I713" si="1326">"0"</f>
        <v>0</v>
      </c>
      <c r="G713" s="1" t="str">
        <f t="shared" si="1326"/>
        <v>0</v>
      </c>
      <c r="H713" s="1" t="str">
        <f t="shared" si="1326"/>
        <v>0</v>
      </c>
      <c r="I713" s="1" t="str">
        <f t="shared" si="1326"/>
        <v>0</v>
      </c>
      <c r="J713" s="1" t="str">
        <f>"9"</f>
        <v>9</v>
      </c>
      <c r="K713" s="1" t="str">
        <f t="shared" ref="K713:P713" si="1327">"0"</f>
        <v>0</v>
      </c>
      <c r="L713" s="1" t="str">
        <f t="shared" si="1327"/>
        <v>0</v>
      </c>
      <c r="M713" s="1" t="str">
        <f t="shared" si="1327"/>
        <v>0</v>
      </c>
      <c r="N713" s="1" t="str">
        <f t="shared" si="1327"/>
        <v>0</v>
      </c>
      <c r="O713" s="1" t="str">
        <f t="shared" si="1327"/>
        <v>0</v>
      </c>
      <c r="P713" s="1" t="str">
        <f t="shared" si="1327"/>
        <v>0</v>
      </c>
      <c r="Q713" s="1" t="str">
        <f t="shared" si="1314"/>
        <v>0.0070</v>
      </c>
      <c r="R713" s="1" t="s">
        <v>29</v>
      </c>
      <c r="S713" s="1">
        <v>-0.0014</v>
      </c>
      <c r="T713" s="1" t="str">
        <f t="shared" si="1315"/>
        <v>0</v>
      </c>
      <c r="U713" s="1" t="str">
        <f t="shared" ref="U713:U715" si="1328">"0.0056"</f>
        <v>0.0056</v>
      </c>
    </row>
    <row r="714" s="1" customFormat="1" spans="1:21">
      <c r="A714" s="1" t="str">
        <f>"4601991426299"</f>
        <v>4601991426299</v>
      </c>
      <c r="B714" s="1" t="s">
        <v>738</v>
      </c>
      <c r="C714" s="1" t="s">
        <v>24</v>
      </c>
      <c r="D714" s="1" t="str">
        <f t="shared" si="1311"/>
        <v>2021</v>
      </c>
      <c r="E714" s="1" t="str">
        <f>"92.15"</f>
        <v>92.15</v>
      </c>
      <c r="F714" s="1" t="str">
        <f t="shared" ref="F714:I714" si="1329">"0"</f>
        <v>0</v>
      </c>
      <c r="G714" s="1" t="str">
        <f t="shared" si="1329"/>
        <v>0</v>
      </c>
      <c r="H714" s="1" t="str">
        <f t="shared" si="1329"/>
        <v>0</v>
      </c>
      <c r="I714" s="1" t="str">
        <f t="shared" si="1329"/>
        <v>0</v>
      </c>
      <c r="J714" s="1" t="str">
        <f>"8"</f>
        <v>8</v>
      </c>
      <c r="K714" s="1" t="str">
        <f t="shared" ref="K714:P714" si="1330">"0"</f>
        <v>0</v>
      </c>
      <c r="L714" s="1" t="str">
        <f t="shared" si="1330"/>
        <v>0</v>
      </c>
      <c r="M714" s="1" t="str">
        <f t="shared" si="1330"/>
        <v>0</v>
      </c>
      <c r="N714" s="1" t="str">
        <f t="shared" si="1330"/>
        <v>0</v>
      </c>
      <c r="O714" s="1" t="str">
        <f t="shared" si="1330"/>
        <v>0</v>
      </c>
      <c r="P714" s="1" t="str">
        <f t="shared" si="1330"/>
        <v>0</v>
      </c>
      <c r="Q714" s="1" t="str">
        <f t="shared" si="1314"/>
        <v>0.0070</v>
      </c>
      <c r="R714" s="1" t="s">
        <v>29</v>
      </c>
      <c r="S714" s="1">
        <v>-0.0014</v>
      </c>
      <c r="T714" s="1" t="str">
        <f t="shared" si="1315"/>
        <v>0</v>
      </c>
      <c r="U714" s="1" t="str">
        <f t="shared" si="1328"/>
        <v>0.0056</v>
      </c>
    </row>
    <row r="715" s="1" customFormat="1" spans="1:21">
      <c r="A715" s="1" t="str">
        <f>"4601991426880"</f>
        <v>4601991426880</v>
      </c>
      <c r="B715" s="1" t="s">
        <v>739</v>
      </c>
      <c r="C715" s="1" t="s">
        <v>24</v>
      </c>
      <c r="D715" s="1" t="str">
        <f t="shared" si="1311"/>
        <v>2021</v>
      </c>
      <c r="E715" s="1" t="str">
        <f>"12.09"</f>
        <v>12.09</v>
      </c>
      <c r="F715" s="1" t="str">
        <f t="shared" ref="F715:I715" si="1331">"0"</f>
        <v>0</v>
      </c>
      <c r="G715" s="1" t="str">
        <f t="shared" si="1331"/>
        <v>0</v>
      </c>
      <c r="H715" s="1" t="str">
        <f t="shared" si="1331"/>
        <v>0</v>
      </c>
      <c r="I715" s="1" t="str">
        <f t="shared" si="1331"/>
        <v>0</v>
      </c>
      <c r="J715" s="1" t="str">
        <f>"1"</f>
        <v>1</v>
      </c>
      <c r="K715" s="1" t="str">
        <f t="shared" ref="K715:P715" si="1332">"0"</f>
        <v>0</v>
      </c>
      <c r="L715" s="1" t="str">
        <f t="shared" si="1332"/>
        <v>0</v>
      </c>
      <c r="M715" s="1" t="str">
        <f t="shared" si="1332"/>
        <v>0</v>
      </c>
      <c r="N715" s="1" t="str">
        <f t="shared" si="1332"/>
        <v>0</v>
      </c>
      <c r="O715" s="1" t="str">
        <f t="shared" si="1332"/>
        <v>0</v>
      </c>
      <c r="P715" s="1" t="str">
        <f t="shared" si="1332"/>
        <v>0</v>
      </c>
      <c r="Q715" s="1" t="str">
        <f t="shared" si="1314"/>
        <v>0.0070</v>
      </c>
      <c r="R715" s="1" t="s">
        <v>29</v>
      </c>
      <c r="S715" s="1">
        <v>-0.0014</v>
      </c>
      <c r="T715" s="1" t="str">
        <f t="shared" si="1315"/>
        <v>0</v>
      </c>
      <c r="U715" s="1" t="str">
        <f t="shared" si="1328"/>
        <v>0.0056</v>
      </c>
    </row>
    <row r="716" s="1" customFormat="1" spans="1:21">
      <c r="A716" s="1" t="str">
        <f>"4601991426894"</f>
        <v>4601991426894</v>
      </c>
      <c r="B716" s="1" t="s">
        <v>740</v>
      </c>
      <c r="C716" s="1" t="s">
        <v>24</v>
      </c>
      <c r="D716" s="1" t="str">
        <f t="shared" si="1311"/>
        <v>2021</v>
      </c>
      <c r="E716" s="1" t="str">
        <f t="shared" ref="E716:G716" si="1333">"0"</f>
        <v>0</v>
      </c>
      <c r="F716" s="1" t="str">
        <f t="shared" si="1333"/>
        <v>0</v>
      </c>
      <c r="G716" s="1" t="str">
        <f t="shared" si="1333"/>
        <v>0</v>
      </c>
      <c r="H716" s="1" t="str">
        <f>"19.34"</f>
        <v>19.34</v>
      </c>
      <c r="I716" s="1" t="str">
        <f t="shared" ref="I716:P716" si="1334">"0"</f>
        <v>0</v>
      </c>
      <c r="J716" s="1" t="str">
        <f>"2"</f>
        <v>2</v>
      </c>
      <c r="K716" s="1" t="str">
        <f t="shared" si="1334"/>
        <v>0</v>
      </c>
      <c r="L716" s="1" t="str">
        <f t="shared" si="1334"/>
        <v>0</v>
      </c>
      <c r="M716" s="1" t="str">
        <f t="shared" si="1334"/>
        <v>0</v>
      </c>
      <c r="N716" s="1" t="str">
        <f t="shared" si="1334"/>
        <v>0</v>
      </c>
      <c r="O716" s="1" t="str">
        <f t="shared" si="1334"/>
        <v>0</v>
      </c>
      <c r="P716" s="1" t="str">
        <f t="shared" si="1334"/>
        <v>0</v>
      </c>
      <c r="Q716" s="1" t="str">
        <f t="shared" si="1314"/>
        <v>0.0070</v>
      </c>
      <c r="R716" s="1" t="s">
        <v>25</v>
      </c>
      <c r="T716" s="1" t="str">
        <f t="shared" si="1315"/>
        <v>0</v>
      </c>
      <c r="U716" s="1" t="str">
        <f t="shared" ref="U716:U722" si="1335">"0.0070"</f>
        <v>0.0070</v>
      </c>
    </row>
    <row r="717" s="1" customFormat="1" spans="1:21">
      <c r="A717" s="1" t="str">
        <f>"4601991426327"</f>
        <v>4601991426327</v>
      </c>
      <c r="B717" s="1" t="s">
        <v>741</v>
      </c>
      <c r="C717" s="1" t="s">
        <v>24</v>
      </c>
      <c r="D717" s="1" t="str">
        <f t="shared" si="1311"/>
        <v>2021</v>
      </c>
      <c r="E717" s="1" t="str">
        <f>"155.39"</f>
        <v>155.39</v>
      </c>
      <c r="F717" s="1" t="str">
        <f t="shared" ref="F717:I717" si="1336">"0"</f>
        <v>0</v>
      </c>
      <c r="G717" s="1" t="str">
        <f t="shared" si="1336"/>
        <v>0</v>
      </c>
      <c r="H717" s="1" t="str">
        <f t="shared" si="1336"/>
        <v>0</v>
      </c>
      <c r="I717" s="1" t="str">
        <f t="shared" si="1336"/>
        <v>0</v>
      </c>
      <c r="J717" s="1" t="str">
        <f>"16"</f>
        <v>16</v>
      </c>
      <c r="K717" s="1" t="str">
        <f t="shared" ref="K717:P717" si="1337">"0"</f>
        <v>0</v>
      </c>
      <c r="L717" s="1" t="str">
        <f t="shared" si="1337"/>
        <v>0</v>
      </c>
      <c r="M717" s="1" t="str">
        <f t="shared" si="1337"/>
        <v>0</v>
      </c>
      <c r="N717" s="1" t="str">
        <f t="shared" si="1337"/>
        <v>0</v>
      </c>
      <c r="O717" s="1" t="str">
        <f t="shared" si="1337"/>
        <v>0</v>
      </c>
      <c r="P717" s="1" t="str">
        <f t="shared" si="1337"/>
        <v>0</v>
      </c>
      <c r="Q717" s="1" t="str">
        <f t="shared" si="1314"/>
        <v>0.0070</v>
      </c>
      <c r="R717" s="1" t="s">
        <v>29</v>
      </c>
      <c r="S717" s="1">
        <v>-0.0014</v>
      </c>
      <c r="T717" s="1" t="str">
        <f t="shared" si="1315"/>
        <v>0</v>
      </c>
      <c r="U717" s="1" t="str">
        <f t="shared" ref="U717:U719" si="1338">"0.0056"</f>
        <v>0.0056</v>
      </c>
    </row>
    <row r="718" s="1" customFormat="1" spans="1:21">
      <c r="A718" s="1" t="str">
        <f>"4601991426888"</f>
        <v>4601991426888</v>
      </c>
      <c r="B718" s="1" t="s">
        <v>742</v>
      </c>
      <c r="C718" s="1" t="s">
        <v>24</v>
      </c>
      <c r="D718" s="1" t="str">
        <f t="shared" si="1311"/>
        <v>2021</v>
      </c>
      <c r="E718" s="1" t="str">
        <f>"19.34"</f>
        <v>19.34</v>
      </c>
      <c r="F718" s="1" t="str">
        <f t="shared" ref="F718:I718" si="1339">"0"</f>
        <v>0</v>
      </c>
      <c r="G718" s="1" t="str">
        <f t="shared" si="1339"/>
        <v>0</v>
      </c>
      <c r="H718" s="1" t="str">
        <f t="shared" si="1339"/>
        <v>0</v>
      </c>
      <c r="I718" s="1" t="str">
        <f t="shared" si="1339"/>
        <v>0</v>
      </c>
      <c r="J718" s="1" t="str">
        <f t="shared" ref="J718:J723" si="1340">"2"</f>
        <v>2</v>
      </c>
      <c r="K718" s="1" t="str">
        <f t="shared" ref="K718:P718" si="1341">"0"</f>
        <v>0</v>
      </c>
      <c r="L718" s="1" t="str">
        <f t="shared" si="1341"/>
        <v>0</v>
      </c>
      <c r="M718" s="1" t="str">
        <f t="shared" si="1341"/>
        <v>0</v>
      </c>
      <c r="N718" s="1" t="str">
        <f t="shared" si="1341"/>
        <v>0</v>
      </c>
      <c r="O718" s="1" t="str">
        <f t="shared" si="1341"/>
        <v>0</v>
      </c>
      <c r="P718" s="1" t="str">
        <f t="shared" si="1341"/>
        <v>0</v>
      </c>
      <c r="Q718" s="1" t="str">
        <f t="shared" si="1314"/>
        <v>0.0070</v>
      </c>
      <c r="R718" s="1" t="s">
        <v>29</v>
      </c>
      <c r="S718" s="1">
        <v>-0.0014</v>
      </c>
      <c r="T718" s="1" t="str">
        <f t="shared" si="1315"/>
        <v>0</v>
      </c>
      <c r="U718" s="1" t="str">
        <f t="shared" si="1338"/>
        <v>0.0056</v>
      </c>
    </row>
    <row r="719" s="1" customFormat="1" spans="1:21">
      <c r="A719" s="1" t="str">
        <f>"4601991427533"</f>
        <v>4601991427533</v>
      </c>
      <c r="B719" s="1" t="s">
        <v>743</v>
      </c>
      <c r="C719" s="1" t="s">
        <v>24</v>
      </c>
      <c r="D719" s="1" t="str">
        <f t="shared" si="1311"/>
        <v>2021</v>
      </c>
      <c r="E719" s="1" t="str">
        <f>"48.36"</f>
        <v>48.36</v>
      </c>
      <c r="F719" s="1" t="str">
        <f t="shared" ref="F719:I719" si="1342">"0"</f>
        <v>0</v>
      </c>
      <c r="G719" s="1" t="str">
        <f t="shared" si="1342"/>
        <v>0</v>
      </c>
      <c r="H719" s="1" t="str">
        <f t="shared" si="1342"/>
        <v>0</v>
      </c>
      <c r="I719" s="1" t="str">
        <f t="shared" si="1342"/>
        <v>0</v>
      </c>
      <c r="J719" s="1" t="str">
        <f>"3"</f>
        <v>3</v>
      </c>
      <c r="K719" s="1" t="str">
        <f t="shared" ref="K719:P719" si="1343">"0"</f>
        <v>0</v>
      </c>
      <c r="L719" s="1" t="str">
        <f t="shared" si="1343"/>
        <v>0</v>
      </c>
      <c r="M719" s="1" t="str">
        <f t="shared" si="1343"/>
        <v>0</v>
      </c>
      <c r="N719" s="1" t="str">
        <f t="shared" si="1343"/>
        <v>0</v>
      </c>
      <c r="O719" s="1" t="str">
        <f t="shared" si="1343"/>
        <v>0</v>
      </c>
      <c r="P719" s="1" t="str">
        <f t="shared" si="1343"/>
        <v>0</v>
      </c>
      <c r="Q719" s="1" t="str">
        <f t="shared" si="1314"/>
        <v>0.0070</v>
      </c>
      <c r="R719" s="1" t="s">
        <v>29</v>
      </c>
      <c r="S719" s="1">
        <v>-0.0014</v>
      </c>
      <c r="T719" s="1" t="str">
        <f t="shared" si="1315"/>
        <v>0</v>
      </c>
      <c r="U719" s="1" t="str">
        <f t="shared" si="1338"/>
        <v>0.0056</v>
      </c>
    </row>
    <row r="720" s="1" customFormat="1" spans="1:21">
      <c r="A720" s="1" t="str">
        <f>"4601991426906"</f>
        <v>4601991426906</v>
      </c>
      <c r="B720" s="1" t="s">
        <v>744</v>
      </c>
      <c r="C720" s="1" t="s">
        <v>24</v>
      </c>
      <c r="D720" s="1" t="str">
        <f t="shared" si="1311"/>
        <v>2021</v>
      </c>
      <c r="E720" s="1" t="str">
        <f t="shared" ref="E720:P720" si="1344">"0"</f>
        <v>0</v>
      </c>
      <c r="F720" s="1" t="str">
        <f t="shared" si="1344"/>
        <v>0</v>
      </c>
      <c r="G720" s="1" t="str">
        <f t="shared" si="1344"/>
        <v>0</v>
      </c>
      <c r="H720" s="1" t="str">
        <f t="shared" si="1344"/>
        <v>0</v>
      </c>
      <c r="I720" s="1" t="str">
        <f t="shared" si="1344"/>
        <v>0</v>
      </c>
      <c r="J720" s="1" t="str">
        <f t="shared" si="1344"/>
        <v>0</v>
      </c>
      <c r="K720" s="1" t="str">
        <f t="shared" si="1344"/>
        <v>0</v>
      </c>
      <c r="L720" s="1" t="str">
        <f t="shared" si="1344"/>
        <v>0</v>
      </c>
      <c r="M720" s="1" t="str">
        <f t="shared" si="1344"/>
        <v>0</v>
      </c>
      <c r="N720" s="1" t="str">
        <f t="shared" si="1344"/>
        <v>0</v>
      </c>
      <c r="O720" s="1" t="str">
        <f t="shared" si="1344"/>
        <v>0</v>
      </c>
      <c r="P720" s="1" t="str">
        <f t="shared" si="1344"/>
        <v>0</v>
      </c>
      <c r="Q720" s="1" t="str">
        <f t="shared" si="1314"/>
        <v>0.0070</v>
      </c>
      <c r="R720" s="1" t="s">
        <v>25</v>
      </c>
      <c r="T720" s="1" t="str">
        <f t="shared" si="1315"/>
        <v>0</v>
      </c>
      <c r="U720" s="1" t="str">
        <f t="shared" si="1335"/>
        <v>0.0070</v>
      </c>
    </row>
    <row r="721" s="1" customFormat="1" spans="1:21">
      <c r="A721" s="1" t="str">
        <f>"4601991426925"</f>
        <v>4601991426925</v>
      </c>
      <c r="B721" s="1" t="s">
        <v>745</v>
      </c>
      <c r="C721" s="1" t="s">
        <v>24</v>
      </c>
      <c r="D721" s="1" t="str">
        <f t="shared" si="1311"/>
        <v>2021</v>
      </c>
      <c r="E721" s="1" t="str">
        <f t="shared" ref="E721:G721" si="1345">"0"</f>
        <v>0</v>
      </c>
      <c r="F721" s="1" t="str">
        <f t="shared" si="1345"/>
        <v>0</v>
      </c>
      <c r="G721" s="1" t="str">
        <f t="shared" si="1345"/>
        <v>0</v>
      </c>
      <c r="H721" s="1" t="str">
        <f>"12.09"</f>
        <v>12.09</v>
      </c>
      <c r="I721" s="1" t="str">
        <f t="shared" ref="I721:P721" si="1346">"0"</f>
        <v>0</v>
      </c>
      <c r="J721" s="1" t="str">
        <f t="shared" si="1346"/>
        <v>0</v>
      </c>
      <c r="K721" s="1" t="str">
        <f t="shared" si="1346"/>
        <v>0</v>
      </c>
      <c r="L721" s="1" t="str">
        <f t="shared" si="1346"/>
        <v>0</v>
      </c>
      <c r="M721" s="1" t="str">
        <f t="shared" si="1346"/>
        <v>0</v>
      </c>
      <c r="N721" s="1" t="str">
        <f t="shared" si="1346"/>
        <v>0</v>
      </c>
      <c r="O721" s="1" t="str">
        <f t="shared" si="1346"/>
        <v>0</v>
      </c>
      <c r="P721" s="1" t="str">
        <f t="shared" si="1346"/>
        <v>0</v>
      </c>
      <c r="Q721" s="1" t="str">
        <f t="shared" si="1314"/>
        <v>0.0070</v>
      </c>
      <c r="R721" s="1" t="s">
        <v>25</v>
      </c>
      <c r="T721" s="1" t="str">
        <f t="shared" si="1315"/>
        <v>0</v>
      </c>
      <c r="U721" s="1" t="str">
        <f t="shared" si="1335"/>
        <v>0.0070</v>
      </c>
    </row>
    <row r="722" s="1" customFormat="1" spans="1:21">
      <c r="A722" s="1" t="str">
        <f>"4601991426908"</f>
        <v>4601991426908</v>
      </c>
      <c r="B722" s="1" t="s">
        <v>746</v>
      </c>
      <c r="C722" s="1" t="s">
        <v>24</v>
      </c>
      <c r="D722" s="1" t="str">
        <f t="shared" si="1311"/>
        <v>2021</v>
      </c>
      <c r="E722" s="1" t="str">
        <f>"23.96"</f>
        <v>23.96</v>
      </c>
      <c r="F722" s="1" t="str">
        <f t="shared" ref="F722:I722" si="1347">"0"</f>
        <v>0</v>
      </c>
      <c r="G722" s="1" t="str">
        <f t="shared" si="1347"/>
        <v>0</v>
      </c>
      <c r="H722" s="1" t="str">
        <f t="shared" si="1347"/>
        <v>0</v>
      </c>
      <c r="I722" s="1" t="str">
        <f t="shared" si="1347"/>
        <v>0</v>
      </c>
      <c r="J722" s="1" t="str">
        <f t="shared" si="1340"/>
        <v>2</v>
      </c>
      <c r="K722" s="1" t="str">
        <f t="shared" ref="K722:P722" si="1348">"0"</f>
        <v>0</v>
      </c>
      <c r="L722" s="1" t="str">
        <f t="shared" si="1348"/>
        <v>0</v>
      </c>
      <c r="M722" s="1" t="str">
        <f t="shared" si="1348"/>
        <v>0</v>
      </c>
      <c r="N722" s="1" t="str">
        <f t="shared" si="1348"/>
        <v>0</v>
      </c>
      <c r="O722" s="1" t="str">
        <f t="shared" si="1348"/>
        <v>0</v>
      </c>
      <c r="P722" s="1" t="str">
        <f t="shared" si="1348"/>
        <v>0</v>
      </c>
      <c r="Q722" s="1" t="str">
        <f t="shared" si="1314"/>
        <v>0.0070</v>
      </c>
      <c r="R722" s="1" t="s">
        <v>25</v>
      </c>
      <c r="T722" s="1" t="str">
        <f t="shared" si="1315"/>
        <v>0</v>
      </c>
      <c r="U722" s="1" t="str">
        <f t="shared" si="1335"/>
        <v>0.0070</v>
      </c>
    </row>
    <row r="723" s="1" customFormat="1" spans="1:21">
      <c r="A723" s="1" t="str">
        <f>"4601991426352"</f>
        <v>4601991426352</v>
      </c>
      <c r="B723" s="1" t="s">
        <v>747</v>
      </c>
      <c r="C723" s="1" t="s">
        <v>24</v>
      </c>
      <c r="D723" s="1" t="str">
        <f t="shared" si="1311"/>
        <v>2021</v>
      </c>
      <c r="E723" s="1" t="str">
        <f>"38.94"</f>
        <v>38.94</v>
      </c>
      <c r="F723" s="1" t="str">
        <f t="shared" ref="F723:I723" si="1349">"0"</f>
        <v>0</v>
      </c>
      <c r="G723" s="1" t="str">
        <f t="shared" si="1349"/>
        <v>0</v>
      </c>
      <c r="H723" s="1" t="str">
        <f t="shared" si="1349"/>
        <v>0</v>
      </c>
      <c r="I723" s="1" t="str">
        <f t="shared" si="1349"/>
        <v>0</v>
      </c>
      <c r="J723" s="1" t="str">
        <f t="shared" si="1340"/>
        <v>2</v>
      </c>
      <c r="K723" s="1" t="str">
        <f t="shared" ref="K723:P723" si="1350">"0"</f>
        <v>0</v>
      </c>
      <c r="L723" s="1" t="str">
        <f t="shared" si="1350"/>
        <v>0</v>
      </c>
      <c r="M723" s="1" t="str">
        <f t="shared" si="1350"/>
        <v>0</v>
      </c>
      <c r="N723" s="1" t="str">
        <f t="shared" si="1350"/>
        <v>0</v>
      </c>
      <c r="O723" s="1" t="str">
        <f t="shared" si="1350"/>
        <v>0</v>
      </c>
      <c r="P723" s="1" t="str">
        <f t="shared" si="1350"/>
        <v>0</v>
      </c>
      <c r="Q723" s="1" t="str">
        <f t="shared" si="1314"/>
        <v>0.0070</v>
      </c>
      <c r="R723" s="1" t="s">
        <v>29</v>
      </c>
      <c r="S723" s="1">
        <v>-0.0014</v>
      </c>
      <c r="T723" s="1" t="str">
        <f t="shared" si="1315"/>
        <v>0</v>
      </c>
      <c r="U723" s="1" t="str">
        <f t="shared" ref="U723:U730" si="1351">"0.0056"</f>
        <v>0.0056</v>
      </c>
    </row>
    <row r="724" s="1" customFormat="1" spans="1:21">
      <c r="A724" s="1" t="str">
        <f>"4601991427565"</f>
        <v>4601991427565</v>
      </c>
      <c r="B724" s="1" t="s">
        <v>748</v>
      </c>
      <c r="C724" s="1" t="s">
        <v>24</v>
      </c>
      <c r="D724" s="1" t="str">
        <f t="shared" si="1311"/>
        <v>2021</v>
      </c>
      <c r="E724" s="1" t="str">
        <f>"124.54"</f>
        <v>124.54</v>
      </c>
      <c r="F724" s="1" t="str">
        <f t="shared" ref="F724:I724" si="1352">"0"</f>
        <v>0</v>
      </c>
      <c r="G724" s="1" t="str">
        <f t="shared" si="1352"/>
        <v>0</v>
      </c>
      <c r="H724" s="1" t="str">
        <f t="shared" si="1352"/>
        <v>0</v>
      </c>
      <c r="I724" s="1" t="str">
        <f t="shared" si="1352"/>
        <v>0</v>
      </c>
      <c r="J724" s="1" t="str">
        <f>"10"</f>
        <v>10</v>
      </c>
      <c r="K724" s="1" t="str">
        <f t="shared" ref="K724:P724" si="1353">"0"</f>
        <v>0</v>
      </c>
      <c r="L724" s="1" t="str">
        <f t="shared" si="1353"/>
        <v>0</v>
      </c>
      <c r="M724" s="1" t="str">
        <f t="shared" si="1353"/>
        <v>0</v>
      </c>
      <c r="N724" s="1" t="str">
        <f t="shared" si="1353"/>
        <v>0</v>
      </c>
      <c r="O724" s="1" t="str">
        <f t="shared" si="1353"/>
        <v>0</v>
      </c>
      <c r="P724" s="1" t="str">
        <f t="shared" si="1353"/>
        <v>0</v>
      </c>
      <c r="Q724" s="1" t="str">
        <f t="shared" si="1314"/>
        <v>0.0070</v>
      </c>
      <c r="R724" s="1" t="s">
        <v>29</v>
      </c>
      <c r="S724" s="1">
        <v>-0.0014</v>
      </c>
      <c r="T724" s="1" t="str">
        <f t="shared" si="1315"/>
        <v>0</v>
      </c>
      <c r="U724" s="1" t="str">
        <f t="shared" si="1351"/>
        <v>0.0056</v>
      </c>
    </row>
    <row r="725" s="1" customFormat="1" spans="1:21">
      <c r="A725" s="1" t="str">
        <f>"4601991426391"</f>
        <v>4601991426391</v>
      </c>
      <c r="B725" s="1" t="s">
        <v>749</v>
      </c>
      <c r="C725" s="1" t="s">
        <v>24</v>
      </c>
      <c r="D725" s="1" t="str">
        <f t="shared" si="1311"/>
        <v>2021</v>
      </c>
      <c r="E725" s="1" t="str">
        <f>"9.67"</f>
        <v>9.67</v>
      </c>
      <c r="F725" s="1" t="str">
        <f t="shared" ref="F725:I725" si="1354">"0"</f>
        <v>0</v>
      </c>
      <c r="G725" s="1" t="str">
        <f t="shared" si="1354"/>
        <v>0</v>
      </c>
      <c r="H725" s="1" t="str">
        <f t="shared" si="1354"/>
        <v>0</v>
      </c>
      <c r="I725" s="1" t="str">
        <f t="shared" si="1354"/>
        <v>0</v>
      </c>
      <c r="J725" s="1" t="str">
        <f t="shared" ref="J725:J728" si="1355">"1"</f>
        <v>1</v>
      </c>
      <c r="K725" s="1" t="str">
        <f t="shared" ref="K725:P725" si="1356">"0"</f>
        <v>0</v>
      </c>
      <c r="L725" s="1" t="str">
        <f t="shared" si="1356"/>
        <v>0</v>
      </c>
      <c r="M725" s="1" t="str">
        <f t="shared" si="1356"/>
        <v>0</v>
      </c>
      <c r="N725" s="1" t="str">
        <f t="shared" si="1356"/>
        <v>0</v>
      </c>
      <c r="O725" s="1" t="str">
        <f t="shared" si="1356"/>
        <v>0</v>
      </c>
      <c r="P725" s="1" t="str">
        <f t="shared" si="1356"/>
        <v>0</v>
      </c>
      <c r="Q725" s="1" t="str">
        <f t="shared" si="1314"/>
        <v>0.0070</v>
      </c>
      <c r="R725" s="1" t="s">
        <v>29</v>
      </c>
      <c r="S725" s="1">
        <v>-0.0014</v>
      </c>
      <c r="T725" s="1" t="str">
        <f t="shared" si="1315"/>
        <v>0</v>
      </c>
      <c r="U725" s="1" t="str">
        <f t="shared" si="1351"/>
        <v>0.0056</v>
      </c>
    </row>
    <row r="726" s="1" customFormat="1" spans="1:21">
      <c r="A726" s="1" t="str">
        <f>"4601991426962"</f>
        <v>4601991426962</v>
      </c>
      <c r="B726" s="1" t="s">
        <v>750</v>
      </c>
      <c r="C726" s="1" t="s">
        <v>24</v>
      </c>
      <c r="D726" s="1" t="str">
        <f t="shared" si="1311"/>
        <v>2021</v>
      </c>
      <c r="E726" s="1" t="str">
        <f>"299.52"</f>
        <v>299.52</v>
      </c>
      <c r="F726" s="1" t="str">
        <f t="shared" ref="F726:I726" si="1357">"0"</f>
        <v>0</v>
      </c>
      <c r="G726" s="1" t="str">
        <f t="shared" si="1357"/>
        <v>0</v>
      </c>
      <c r="H726" s="1" t="str">
        <f t="shared" si="1357"/>
        <v>0</v>
      </c>
      <c r="I726" s="1" t="str">
        <f t="shared" si="1357"/>
        <v>0</v>
      </c>
      <c r="J726" s="1" t="str">
        <f>"24"</f>
        <v>24</v>
      </c>
      <c r="K726" s="1" t="str">
        <f t="shared" ref="K726:P726" si="1358">"0"</f>
        <v>0</v>
      </c>
      <c r="L726" s="1" t="str">
        <f t="shared" si="1358"/>
        <v>0</v>
      </c>
      <c r="M726" s="1" t="str">
        <f t="shared" si="1358"/>
        <v>0</v>
      </c>
      <c r="N726" s="1" t="str">
        <f t="shared" si="1358"/>
        <v>0</v>
      </c>
      <c r="O726" s="1" t="str">
        <f t="shared" si="1358"/>
        <v>0</v>
      </c>
      <c r="P726" s="1" t="str">
        <f t="shared" si="1358"/>
        <v>0</v>
      </c>
      <c r="Q726" s="1" t="str">
        <f t="shared" si="1314"/>
        <v>0.0070</v>
      </c>
      <c r="R726" s="1" t="s">
        <v>29</v>
      </c>
      <c r="S726" s="1">
        <v>-0.0014</v>
      </c>
      <c r="T726" s="1" t="str">
        <f t="shared" si="1315"/>
        <v>0</v>
      </c>
      <c r="U726" s="1" t="str">
        <f t="shared" si="1351"/>
        <v>0.0056</v>
      </c>
    </row>
    <row r="727" s="1" customFormat="1" spans="1:21">
      <c r="A727" s="1" t="str">
        <f>"4601991426394"</f>
        <v>4601991426394</v>
      </c>
      <c r="B727" s="1" t="s">
        <v>751</v>
      </c>
      <c r="C727" s="1" t="s">
        <v>24</v>
      </c>
      <c r="D727" s="1" t="str">
        <f t="shared" si="1311"/>
        <v>2021</v>
      </c>
      <c r="E727" s="1" t="str">
        <f>"9.67"</f>
        <v>9.67</v>
      </c>
      <c r="F727" s="1" t="str">
        <f t="shared" ref="F727:I727" si="1359">"0"</f>
        <v>0</v>
      </c>
      <c r="G727" s="1" t="str">
        <f t="shared" si="1359"/>
        <v>0</v>
      </c>
      <c r="H727" s="1" t="str">
        <f t="shared" si="1359"/>
        <v>0</v>
      </c>
      <c r="I727" s="1" t="str">
        <f t="shared" si="1359"/>
        <v>0</v>
      </c>
      <c r="J727" s="1" t="str">
        <f t="shared" si="1355"/>
        <v>1</v>
      </c>
      <c r="K727" s="1" t="str">
        <f t="shared" ref="K727:P727" si="1360">"0"</f>
        <v>0</v>
      </c>
      <c r="L727" s="1" t="str">
        <f t="shared" si="1360"/>
        <v>0</v>
      </c>
      <c r="M727" s="1" t="str">
        <f t="shared" si="1360"/>
        <v>0</v>
      </c>
      <c r="N727" s="1" t="str">
        <f t="shared" si="1360"/>
        <v>0</v>
      </c>
      <c r="O727" s="1" t="str">
        <f t="shared" si="1360"/>
        <v>0</v>
      </c>
      <c r="P727" s="1" t="str">
        <f t="shared" si="1360"/>
        <v>0</v>
      </c>
      <c r="Q727" s="1" t="str">
        <f t="shared" si="1314"/>
        <v>0.0070</v>
      </c>
      <c r="R727" s="1" t="s">
        <v>29</v>
      </c>
      <c r="S727" s="1">
        <v>-0.0014</v>
      </c>
      <c r="T727" s="1" t="str">
        <f t="shared" si="1315"/>
        <v>0</v>
      </c>
      <c r="U727" s="1" t="str">
        <f t="shared" si="1351"/>
        <v>0.0056</v>
      </c>
    </row>
    <row r="728" s="1" customFormat="1" spans="1:21">
      <c r="A728" s="1" t="str">
        <f>"4601991427630"</f>
        <v>4601991427630</v>
      </c>
      <c r="B728" s="1" t="s">
        <v>752</v>
      </c>
      <c r="C728" s="1" t="s">
        <v>24</v>
      </c>
      <c r="D728" s="1" t="str">
        <f t="shared" si="1311"/>
        <v>2021</v>
      </c>
      <c r="E728" s="1" t="str">
        <f>"11.98"</f>
        <v>11.98</v>
      </c>
      <c r="F728" s="1" t="str">
        <f t="shared" ref="F728:I728" si="1361">"0"</f>
        <v>0</v>
      </c>
      <c r="G728" s="1" t="str">
        <f t="shared" si="1361"/>
        <v>0</v>
      </c>
      <c r="H728" s="1" t="str">
        <f t="shared" si="1361"/>
        <v>0</v>
      </c>
      <c r="I728" s="1" t="str">
        <f t="shared" si="1361"/>
        <v>0</v>
      </c>
      <c r="J728" s="1" t="str">
        <f t="shared" si="1355"/>
        <v>1</v>
      </c>
      <c r="K728" s="1" t="str">
        <f t="shared" ref="K728:P728" si="1362">"0"</f>
        <v>0</v>
      </c>
      <c r="L728" s="1" t="str">
        <f t="shared" si="1362"/>
        <v>0</v>
      </c>
      <c r="M728" s="1" t="str">
        <f t="shared" si="1362"/>
        <v>0</v>
      </c>
      <c r="N728" s="1" t="str">
        <f t="shared" si="1362"/>
        <v>0</v>
      </c>
      <c r="O728" s="1" t="str">
        <f t="shared" si="1362"/>
        <v>0</v>
      </c>
      <c r="P728" s="1" t="str">
        <f t="shared" si="1362"/>
        <v>0</v>
      </c>
      <c r="Q728" s="1" t="str">
        <f t="shared" si="1314"/>
        <v>0.0070</v>
      </c>
      <c r="R728" s="1" t="s">
        <v>29</v>
      </c>
      <c r="S728" s="1">
        <v>-0.0014</v>
      </c>
      <c r="T728" s="1" t="str">
        <f t="shared" si="1315"/>
        <v>0</v>
      </c>
      <c r="U728" s="1" t="str">
        <f t="shared" si="1351"/>
        <v>0.0056</v>
      </c>
    </row>
    <row r="729" s="1" customFormat="1" spans="1:21">
      <c r="A729" s="1" t="str">
        <f>"4601991426412"</f>
        <v>4601991426412</v>
      </c>
      <c r="B729" s="1" t="s">
        <v>753</v>
      </c>
      <c r="C729" s="1" t="s">
        <v>24</v>
      </c>
      <c r="D729" s="1" t="str">
        <f t="shared" si="1311"/>
        <v>2021</v>
      </c>
      <c r="E729" s="1" t="str">
        <f>"135.44"</f>
        <v>135.44</v>
      </c>
      <c r="F729" s="1" t="str">
        <f t="shared" ref="F729:I729" si="1363">"0"</f>
        <v>0</v>
      </c>
      <c r="G729" s="1" t="str">
        <f t="shared" si="1363"/>
        <v>0</v>
      </c>
      <c r="H729" s="1" t="str">
        <f t="shared" si="1363"/>
        <v>0</v>
      </c>
      <c r="I729" s="1" t="str">
        <f t="shared" si="1363"/>
        <v>0</v>
      </c>
      <c r="J729" s="1" t="str">
        <f>"13"</f>
        <v>13</v>
      </c>
      <c r="K729" s="1" t="str">
        <f t="shared" ref="K729:P729" si="1364">"0"</f>
        <v>0</v>
      </c>
      <c r="L729" s="1" t="str">
        <f t="shared" si="1364"/>
        <v>0</v>
      </c>
      <c r="M729" s="1" t="str">
        <f t="shared" si="1364"/>
        <v>0</v>
      </c>
      <c r="N729" s="1" t="str">
        <f t="shared" si="1364"/>
        <v>0</v>
      </c>
      <c r="O729" s="1" t="str">
        <f t="shared" si="1364"/>
        <v>0</v>
      </c>
      <c r="P729" s="1" t="str">
        <f t="shared" si="1364"/>
        <v>0</v>
      </c>
      <c r="Q729" s="1" t="str">
        <f t="shared" si="1314"/>
        <v>0.0070</v>
      </c>
      <c r="R729" s="1" t="s">
        <v>29</v>
      </c>
      <c r="S729" s="1">
        <v>-0.0014</v>
      </c>
      <c r="T729" s="1" t="str">
        <f t="shared" si="1315"/>
        <v>0</v>
      </c>
      <c r="U729" s="1" t="str">
        <f t="shared" si="1351"/>
        <v>0.0056</v>
      </c>
    </row>
    <row r="730" s="1" customFormat="1" spans="1:21">
      <c r="A730" s="1" t="str">
        <f>"4601991426444"</f>
        <v>4601991426444</v>
      </c>
      <c r="B730" s="1" t="s">
        <v>754</v>
      </c>
      <c r="C730" s="1" t="s">
        <v>24</v>
      </c>
      <c r="D730" s="1" t="str">
        <f t="shared" si="1311"/>
        <v>2021</v>
      </c>
      <c r="E730" s="1" t="str">
        <f>"951.94"</f>
        <v>951.94</v>
      </c>
      <c r="F730" s="1" t="str">
        <f t="shared" ref="F730:I730" si="1365">"0"</f>
        <v>0</v>
      </c>
      <c r="G730" s="1" t="str">
        <f t="shared" si="1365"/>
        <v>0</v>
      </c>
      <c r="H730" s="1" t="str">
        <f t="shared" si="1365"/>
        <v>0</v>
      </c>
      <c r="I730" s="1" t="str">
        <f t="shared" si="1365"/>
        <v>0</v>
      </c>
      <c r="J730" s="1" t="str">
        <f>"74"</f>
        <v>74</v>
      </c>
      <c r="K730" s="1" t="str">
        <f>"1"</f>
        <v>1</v>
      </c>
      <c r="L730" s="1" t="str">
        <f t="shared" ref="L730:P730" si="1366">"0"</f>
        <v>0</v>
      </c>
      <c r="M730" s="1" t="str">
        <f>"0.0135"</f>
        <v>0.0135</v>
      </c>
      <c r="N730" s="1" t="str">
        <f t="shared" si="1366"/>
        <v>0</v>
      </c>
      <c r="O730" s="1" t="str">
        <f t="shared" si="1366"/>
        <v>0</v>
      </c>
      <c r="P730" s="1" t="str">
        <f t="shared" si="1366"/>
        <v>0</v>
      </c>
      <c r="Q730" s="1" t="str">
        <f t="shared" si="1314"/>
        <v>0.0070</v>
      </c>
      <c r="R730" s="1" t="s">
        <v>29</v>
      </c>
      <c r="S730" s="1">
        <v>-0.0014</v>
      </c>
      <c r="T730" s="1" t="str">
        <f t="shared" si="1315"/>
        <v>0</v>
      </c>
      <c r="U730" s="1" t="str">
        <f t="shared" si="1351"/>
        <v>0.0056</v>
      </c>
    </row>
    <row r="731" s="1" customFormat="1" spans="1:21">
      <c r="A731" s="1" t="str">
        <f>"4601991427010"</f>
        <v>4601991427010</v>
      </c>
      <c r="B731" s="1" t="s">
        <v>755</v>
      </c>
      <c r="C731" s="1" t="s">
        <v>24</v>
      </c>
      <c r="D731" s="1" t="str">
        <f t="shared" si="1311"/>
        <v>2021</v>
      </c>
      <c r="E731" s="1" t="str">
        <f t="shared" ref="E731:P731" si="1367">"0"</f>
        <v>0</v>
      </c>
      <c r="F731" s="1" t="str">
        <f t="shared" si="1367"/>
        <v>0</v>
      </c>
      <c r="G731" s="1" t="str">
        <f t="shared" si="1367"/>
        <v>0</v>
      </c>
      <c r="H731" s="1" t="str">
        <f t="shared" si="1367"/>
        <v>0</v>
      </c>
      <c r="I731" s="1" t="str">
        <f t="shared" si="1367"/>
        <v>0</v>
      </c>
      <c r="J731" s="1" t="str">
        <f t="shared" si="1367"/>
        <v>0</v>
      </c>
      <c r="K731" s="1" t="str">
        <f t="shared" si="1367"/>
        <v>0</v>
      </c>
      <c r="L731" s="1" t="str">
        <f t="shared" si="1367"/>
        <v>0</v>
      </c>
      <c r="M731" s="1" t="str">
        <f t="shared" si="1367"/>
        <v>0</v>
      </c>
      <c r="N731" s="1" t="str">
        <f t="shared" si="1367"/>
        <v>0</v>
      </c>
      <c r="O731" s="1" t="str">
        <f t="shared" si="1367"/>
        <v>0</v>
      </c>
      <c r="P731" s="1" t="str">
        <f t="shared" si="1367"/>
        <v>0</v>
      </c>
      <c r="Q731" s="1" t="str">
        <f t="shared" si="1314"/>
        <v>0.0070</v>
      </c>
      <c r="R731" s="1" t="s">
        <v>25</v>
      </c>
      <c r="T731" s="1" t="str">
        <f t="shared" si="1315"/>
        <v>0</v>
      </c>
      <c r="U731" s="1" t="str">
        <f t="shared" ref="U731:U736" si="1368">"0.0070"</f>
        <v>0.0070</v>
      </c>
    </row>
    <row r="732" s="1" customFormat="1" spans="1:21">
      <c r="A732" s="1" t="str">
        <f>"4601991427622"</f>
        <v>4601991427622</v>
      </c>
      <c r="B732" s="1" t="s">
        <v>756</v>
      </c>
      <c r="C732" s="1" t="s">
        <v>24</v>
      </c>
      <c r="D732" s="1" t="str">
        <f t="shared" si="1311"/>
        <v>2021</v>
      </c>
      <c r="E732" s="1" t="str">
        <f>"549.53"</f>
        <v>549.53</v>
      </c>
      <c r="F732" s="1" t="str">
        <f t="shared" ref="F732:I732" si="1369">"0"</f>
        <v>0</v>
      </c>
      <c r="G732" s="1" t="str">
        <f t="shared" si="1369"/>
        <v>0</v>
      </c>
      <c r="H732" s="1" t="str">
        <f t="shared" si="1369"/>
        <v>0</v>
      </c>
      <c r="I732" s="1" t="str">
        <f t="shared" si="1369"/>
        <v>0</v>
      </c>
      <c r="J732" s="1" t="str">
        <f>"46"</f>
        <v>46</v>
      </c>
      <c r="K732" s="1" t="str">
        <f t="shared" ref="K732:P732" si="1370">"0"</f>
        <v>0</v>
      </c>
      <c r="L732" s="1" t="str">
        <f t="shared" si="1370"/>
        <v>0</v>
      </c>
      <c r="M732" s="1" t="str">
        <f t="shared" si="1370"/>
        <v>0</v>
      </c>
      <c r="N732" s="1" t="str">
        <f t="shared" si="1370"/>
        <v>0</v>
      </c>
      <c r="O732" s="1" t="str">
        <f t="shared" si="1370"/>
        <v>0</v>
      </c>
      <c r="P732" s="1" t="str">
        <f t="shared" si="1370"/>
        <v>0</v>
      </c>
      <c r="Q732" s="1" t="str">
        <f t="shared" si="1314"/>
        <v>0.0070</v>
      </c>
      <c r="R732" s="1" t="s">
        <v>29</v>
      </c>
      <c r="S732" s="1">
        <v>-0.0014</v>
      </c>
      <c r="T732" s="1" t="str">
        <f t="shared" si="1315"/>
        <v>0</v>
      </c>
      <c r="U732" s="1" t="str">
        <f t="shared" ref="U732:U740" si="1371">"0.0056"</f>
        <v>0.0056</v>
      </c>
    </row>
    <row r="733" s="1" customFormat="1" spans="1:21">
      <c r="A733" s="1" t="str">
        <f>"4601991427644"</f>
        <v>4601991427644</v>
      </c>
      <c r="B733" s="1" t="s">
        <v>757</v>
      </c>
      <c r="C733" s="1" t="s">
        <v>24</v>
      </c>
      <c r="D733" s="1" t="str">
        <f t="shared" si="1311"/>
        <v>2021</v>
      </c>
      <c r="E733" s="1" t="str">
        <f>"48.08"</f>
        <v>48.08</v>
      </c>
      <c r="F733" s="1" t="str">
        <f t="shared" ref="F733:I733" si="1372">"0"</f>
        <v>0</v>
      </c>
      <c r="G733" s="1" t="str">
        <f t="shared" si="1372"/>
        <v>0</v>
      </c>
      <c r="H733" s="1" t="str">
        <f t="shared" si="1372"/>
        <v>0</v>
      </c>
      <c r="I733" s="1" t="str">
        <f t="shared" si="1372"/>
        <v>0</v>
      </c>
      <c r="J733" s="1" t="str">
        <f>"5"</f>
        <v>5</v>
      </c>
      <c r="K733" s="1" t="str">
        <f t="shared" ref="K733:P733" si="1373">"0"</f>
        <v>0</v>
      </c>
      <c r="L733" s="1" t="str">
        <f t="shared" si="1373"/>
        <v>0</v>
      </c>
      <c r="M733" s="1" t="str">
        <f t="shared" si="1373"/>
        <v>0</v>
      </c>
      <c r="N733" s="1" t="str">
        <f t="shared" si="1373"/>
        <v>0</v>
      </c>
      <c r="O733" s="1" t="str">
        <f t="shared" si="1373"/>
        <v>0</v>
      </c>
      <c r="P733" s="1" t="str">
        <f t="shared" si="1373"/>
        <v>0</v>
      </c>
      <c r="Q733" s="1" t="str">
        <f t="shared" si="1314"/>
        <v>0.0070</v>
      </c>
      <c r="R733" s="1" t="s">
        <v>29</v>
      </c>
      <c r="S733" s="1">
        <v>-0.0014</v>
      </c>
      <c r="T733" s="1" t="str">
        <f t="shared" si="1315"/>
        <v>0</v>
      </c>
      <c r="U733" s="1" t="str">
        <f t="shared" si="1371"/>
        <v>0.0056</v>
      </c>
    </row>
    <row r="734" s="1" customFormat="1" spans="1:21">
      <c r="A734" s="1" t="str">
        <f>"4601991426449"</f>
        <v>4601991426449</v>
      </c>
      <c r="B734" s="1" t="s">
        <v>758</v>
      </c>
      <c r="C734" s="1" t="s">
        <v>24</v>
      </c>
      <c r="D734" s="1" t="str">
        <f t="shared" si="1311"/>
        <v>2021</v>
      </c>
      <c r="E734" s="1" t="str">
        <f t="shared" ref="E734:P734" si="1374">"0"</f>
        <v>0</v>
      </c>
      <c r="F734" s="1" t="str">
        <f t="shared" si="1374"/>
        <v>0</v>
      </c>
      <c r="G734" s="1" t="str">
        <f t="shared" si="1374"/>
        <v>0</v>
      </c>
      <c r="H734" s="1" t="str">
        <f t="shared" si="1374"/>
        <v>0</v>
      </c>
      <c r="I734" s="1" t="str">
        <f t="shared" si="1374"/>
        <v>0</v>
      </c>
      <c r="J734" s="1" t="str">
        <f t="shared" si="1374"/>
        <v>0</v>
      </c>
      <c r="K734" s="1" t="str">
        <f t="shared" si="1374"/>
        <v>0</v>
      </c>
      <c r="L734" s="1" t="str">
        <f t="shared" si="1374"/>
        <v>0</v>
      </c>
      <c r="M734" s="1" t="str">
        <f t="shared" si="1374"/>
        <v>0</v>
      </c>
      <c r="N734" s="1" t="str">
        <f t="shared" si="1374"/>
        <v>0</v>
      </c>
      <c r="O734" s="1" t="str">
        <f t="shared" si="1374"/>
        <v>0</v>
      </c>
      <c r="P734" s="1" t="str">
        <f t="shared" si="1374"/>
        <v>0</v>
      </c>
      <c r="Q734" s="1" t="str">
        <f t="shared" si="1314"/>
        <v>0.0070</v>
      </c>
      <c r="R734" s="1" t="s">
        <v>25</v>
      </c>
      <c r="T734" s="1" t="str">
        <f t="shared" si="1315"/>
        <v>0</v>
      </c>
      <c r="U734" s="1" t="str">
        <f t="shared" si="1368"/>
        <v>0.0070</v>
      </c>
    </row>
    <row r="735" s="1" customFormat="1" spans="1:21">
      <c r="A735" s="1" t="str">
        <f>"4601991427658"</f>
        <v>4601991427658</v>
      </c>
      <c r="B735" s="1" t="s">
        <v>759</v>
      </c>
      <c r="C735" s="1" t="s">
        <v>24</v>
      </c>
      <c r="D735" s="1" t="str">
        <f t="shared" si="1311"/>
        <v>2021</v>
      </c>
      <c r="E735" s="1" t="str">
        <f t="shared" ref="E735:P735" si="1375">"0"</f>
        <v>0</v>
      </c>
      <c r="F735" s="1" t="str">
        <f t="shared" si="1375"/>
        <v>0</v>
      </c>
      <c r="G735" s="1" t="str">
        <f t="shared" si="1375"/>
        <v>0</v>
      </c>
      <c r="H735" s="1" t="str">
        <f t="shared" si="1375"/>
        <v>0</v>
      </c>
      <c r="I735" s="1" t="str">
        <f t="shared" si="1375"/>
        <v>0</v>
      </c>
      <c r="J735" s="1" t="str">
        <f t="shared" si="1375"/>
        <v>0</v>
      </c>
      <c r="K735" s="1" t="str">
        <f t="shared" si="1375"/>
        <v>0</v>
      </c>
      <c r="L735" s="1" t="str">
        <f t="shared" si="1375"/>
        <v>0</v>
      </c>
      <c r="M735" s="1" t="str">
        <f t="shared" si="1375"/>
        <v>0</v>
      </c>
      <c r="N735" s="1" t="str">
        <f t="shared" si="1375"/>
        <v>0</v>
      </c>
      <c r="O735" s="1" t="str">
        <f t="shared" si="1375"/>
        <v>0</v>
      </c>
      <c r="P735" s="1" t="str">
        <f t="shared" si="1375"/>
        <v>0</v>
      </c>
      <c r="Q735" s="1" t="str">
        <f t="shared" si="1314"/>
        <v>0.0070</v>
      </c>
      <c r="R735" s="1" t="s">
        <v>25</v>
      </c>
      <c r="T735" s="1" t="str">
        <f t="shared" si="1315"/>
        <v>0</v>
      </c>
      <c r="U735" s="1" t="str">
        <f t="shared" si="1368"/>
        <v>0.0070</v>
      </c>
    </row>
    <row r="736" s="1" customFormat="1" spans="1:21">
      <c r="A736" s="1" t="str">
        <f>"4601991426482"</f>
        <v>4601991426482</v>
      </c>
      <c r="B736" s="1" t="s">
        <v>760</v>
      </c>
      <c r="C736" s="1" t="s">
        <v>24</v>
      </c>
      <c r="D736" s="1" t="str">
        <f t="shared" si="1311"/>
        <v>2021</v>
      </c>
      <c r="E736" s="1" t="str">
        <f t="shared" ref="E736:G736" si="1376">"0"</f>
        <v>0</v>
      </c>
      <c r="F736" s="1" t="str">
        <f t="shared" si="1376"/>
        <v>0</v>
      </c>
      <c r="G736" s="1" t="str">
        <f t="shared" si="1376"/>
        <v>0</v>
      </c>
      <c r="H736" s="1" t="str">
        <f>"19.34"</f>
        <v>19.34</v>
      </c>
      <c r="I736" s="1" t="str">
        <f t="shared" ref="I736:P736" si="1377">"0"</f>
        <v>0</v>
      </c>
      <c r="J736" s="1" t="str">
        <f t="shared" si="1377"/>
        <v>0</v>
      </c>
      <c r="K736" s="1" t="str">
        <f t="shared" si="1377"/>
        <v>0</v>
      </c>
      <c r="L736" s="1" t="str">
        <f t="shared" si="1377"/>
        <v>0</v>
      </c>
      <c r="M736" s="1" t="str">
        <f t="shared" si="1377"/>
        <v>0</v>
      </c>
      <c r="N736" s="1" t="str">
        <f t="shared" si="1377"/>
        <v>0</v>
      </c>
      <c r="O736" s="1" t="str">
        <f t="shared" si="1377"/>
        <v>0</v>
      </c>
      <c r="P736" s="1" t="str">
        <f t="shared" si="1377"/>
        <v>0</v>
      </c>
      <c r="Q736" s="1" t="str">
        <f t="shared" si="1314"/>
        <v>0.0070</v>
      </c>
      <c r="R736" s="1" t="s">
        <v>25</v>
      </c>
      <c r="T736" s="1" t="str">
        <f t="shared" si="1315"/>
        <v>0</v>
      </c>
      <c r="U736" s="1" t="str">
        <f t="shared" si="1368"/>
        <v>0.0070</v>
      </c>
    </row>
    <row r="737" s="1" customFormat="1" spans="1:21">
      <c r="A737" s="1" t="str">
        <f>"4601991427670"</f>
        <v>4601991427670</v>
      </c>
      <c r="B737" s="1" t="s">
        <v>761</v>
      </c>
      <c r="C737" s="1" t="s">
        <v>24</v>
      </c>
      <c r="D737" s="1" t="str">
        <f t="shared" si="1311"/>
        <v>2021</v>
      </c>
      <c r="E737" s="1" t="str">
        <f>"222.41"</f>
        <v>222.41</v>
      </c>
      <c r="F737" s="1" t="str">
        <f t="shared" ref="F737:I737" si="1378">"0"</f>
        <v>0</v>
      </c>
      <c r="G737" s="1" t="str">
        <f t="shared" si="1378"/>
        <v>0</v>
      </c>
      <c r="H737" s="1" t="str">
        <f t="shared" si="1378"/>
        <v>0</v>
      </c>
      <c r="I737" s="1" t="str">
        <f t="shared" si="1378"/>
        <v>0</v>
      </c>
      <c r="J737" s="1" t="str">
        <f>"17"</f>
        <v>17</v>
      </c>
      <c r="K737" s="1" t="str">
        <f t="shared" ref="K737:P737" si="1379">"0"</f>
        <v>0</v>
      </c>
      <c r="L737" s="1" t="str">
        <f t="shared" si="1379"/>
        <v>0</v>
      </c>
      <c r="M737" s="1" t="str">
        <f t="shared" si="1379"/>
        <v>0</v>
      </c>
      <c r="N737" s="1" t="str">
        <f t="shared" si="1379"/>
        <v>0</v>
      </c>
      <c r="O737" s="1" t="str">
        <f t="shared" si="1379"/>
        <v>0</v>
      </c>
      <c r="P737" s="1" t="str">
        <f t="shared" si="1379"/>
        <v>0</v>
      </c>
      <c r="Q737" s="1" t="str">
        <f t="shared" si="1314"/>
        <v>0.0070</v>
      </c>
      <c r="R737" s="1" t="s">
        <v>29</v>
      </c>
      <c r="S737" s="1">
        <v>-0.0014</v>
      </c>
      <c r="T737" s="1" t="str">
        <f t="shared" si="1315"/>
        <v>0</v>
      </c>
      <c r="U737" s="1" t="str">
        <f t="shared" si="1371"/>
        <v>0.0056</v>
      </c>
    </row>
    <row r="738" s="1" customFormat="1" spans="1:21">
      <c r="A738" s="1" t="str">
        <f>"4601991427028"</f>
        <v>4601991427028</v>
      </c>
      <c r="B738" s="1" t="s">
        <v>762</v>
      </c>
      <c r="C738" s="1" t="s">
        <v>24</v>
      </c>
      <c r="D738" s="1" t="str">
        <f t="shared" si="1311"/>
        <v>2021</v>
      </c>
      <c r="E738" s="1" t="str">
        <f>"11.98"</f>
        <v>11.98</v>
      </c>
      <c r="F738" s="1" t="str">
        <f t="shared" ref="F738:I738" si="1380">"0"</f>
        <v>0</v>
      </c>
      <c r="G738" s="1" t="str">
        <f t="shared" si="1380"/>
        <v>0</v>
      </c>
      <c r="H738" s="1" t="str">
        <f t="shared" si="1380"/>
        <v>0</v>
      </c>
      <c r="I738" s="1" t="str">
        <f t="shared" si="1380"/>
        <v>0</v>
      </c>
      <c r="J738" s="1" t="str">
        <f>"1"</f>
        <v>1</v>
      </c>
      <c r="K738" s="1" t="str">
        <f t="shared" ref="K738:P738" si="1381">"0"</f>
        <v>0</v>
      </c>
      <c r="L738" s="1" t="str">
        <f t="shared" si="1381"/>
        <v>0</v>
      </c>
      <c r="M738" s="1" t="str">
        <f t="shared" si="1381"/>
        <v>0</v>
      </c>
      <c r="N738" s="1" t="str">
        <f t="shared" si="1381"/>
        <v>0</v>
      </c>
      <c r="O738" s="1" t="str">
        <f t="shared" si="1381"/>
        <v>0</v>
      </c>
      <c r="P738" s="1" t="str">
        <f t="shared" si="1381"/>
        <v>0</v>
      </c>
      <c r="Q738" s="1" t="str">
        <f t="shared" si="1314"/>
        <v>0.0070</v>
      </c>
      <c r="R738" s="1" t="s">
        <v>29</v>
      </c>
      <c r="S738" s="1">
        <v>-0.0014</v>
      </c>
      <c r="T738" s="1" t="str">
        <f t="shared" si="1315"/>
        <v>0</v>
      </c>
      <c r="U738" s="1" t="str">
        <f t="shared" si="1371"/>
        <v>0.0056</v>
      </c>
    </row>
    <row r="739" s="1" customFormat="1" spans="1:21">
      <c r="A739" s="1" t="str">
        <f>"4601991427038"</f>
        <v>4601991427038</v>
      </c>
      <c r="B739" s="1" t="s">
        <v>763</v>
      </c>
      <c r="C739" s="1" t="s">
        <v>24</v>
      </c>
      <c r="D739" s="1" t="str">
        <f t="shared" si="1311"/>
        <v>2021</v>
      </c>
      <c r="E739" s="1" t="str">
        <f>"19.34"</f>
        <v>19.34</v>
      </c>
      <c r="F739" s="1" t="str">
        <f t="shared" ref="F739:I739" si="1382">"0"</f>
        <v>0</v>
      </c>
      <c r="G739" s="1" t="str">
        <f t="shared" si="1382"/>
        <v>0</v>
      </c>
      <c r="H739" s="1" t="str">
        <f t="shared" si="1382"/>
        <v>0</v>
      </c>
      <c r="I739" s="1" t="str">
        <f t="shared" si="1382"/>
        <v>0</v>
      </c>
      <c r="J739" s="1" t="str">
        <f>"2"</f>
        <v>2</v>
      </c>
      <c r="K739" s="1" t="str">
        <f t="shared" ref="K739:P739" si="1383">"0"</f>
        <v>0</v>
      </c>
      <c r="L739" s="1" t="str">
        <f t="shared" si="1383"/>
        <v>0</v>
      </c>
      <c r="M739" s="1" t="str">
        <f t="shared" si="1383"/>
        <v>0</v>
      </c>
      <c r="N739" s="1" t="str">
        <f t="shared" si="1383"/>
        <v>0</v>
      </c>
      <c r="O739" s="1" t="str">
        <f t="shared" si="1383"/>
        <v>0</v>
      </c>
      <c r="P739" s="1" t="str">
        <f t="shared" si="1383"/>
        <v>0</v>
      </c>
      <c r="Q739" s="1" t="str">
        <f t="shared" si="1314"/>
        <v>0.0070</v>
      </c>
      <c r="R739" s="1" t="s">
        <v>29</v>
      </c>
      <c r="S739" s="1">
        <v>-0.0014</v>
      </c>
      <c r="T739" s="1" t="str">
        <f t="shared" si="1315"/>
        <v>0</v>
      </c>
      <c r="U739" s="1" t="str">
        <f t="shared" si="1371"/>
        <v>0.0056</v>
      </c>
    </row>
    <row r="740" s="1" customFormat="1" spans="1:21">
      <c r="A740" s="1" t="str">
        <f>"4601991427047"</f>
        <v>4601991427047</v>
      </c>
      <c r="B740" s="1" t="s">
        <v>764</v>
      </c>
      <c r="C740" s="1" t="s">
        <v>24</v>
      </c>
      <c r="D740" s="1" t="str">
        <f t="shared" si="1311"/>
        <v>2021</v>
      </c>
      <c r="E740" s="1" t="str">
        <f>"145.05"</f>
        <v>145.05</v>
      </c>
      <c r="F740" s="1" t="str">
        <f t="shared" ref="F740:I740" si="1384">"0"</f>
        <v>0</v>
      </c>
      <c r="G740" s="1" t="str">
        <f t="shared" si="1384"/>
        <v>0</v>
      </c>
      <c r="H740" s="1" t="str">
        <f t="shared" si="1384"/>
        <v>0</v>
      </c>
      <c r="I740" s="1" t="str">
        <f t="shared" si="1384"/>
        <v>0</v>
      </c>
      <c r="J740" s="1" t="str">
        <f>"20"</f>
        <v>20</v>
      </c>
      <c r="K740" s="1" t="str">
        <f t="shared" ref="K740:P740" si="1385">"0"</f>
        <v>0</v>
      </c>
      <c r="L740" s="1" t="str">
        <f t="shared" si="1385"/>
        <v>0</v>
      </c>
      <c r="M740" s="1" t="str">
        <f t="shared" si="1385"/>
        <v>0</v>
      </c>
      <c r="N740" s="1" t="str">
        <f t="shared" si="1385"/>
        <v>0</v>
      </c>
      <c r="O740" s="1" t="str">
        <f t="shared" si="1385"/>
        <v>0</v>
      </c>
      <c r="P740" s="1" t="str">
        <f t="shared" si="1385"/>
        <v>0</v>
      </c>
      <c r="Q740" s="1" t="str">
        <f t="shared" si="1314"/>
        <v>0.0070</v>
      </c>
      <c r="R740" s="1" t="s">
        <v>29</v>
      </c>
      <c r="S740" s="1">
        <v>-0.0014</v>
      </c>
      <c r="T740" s="1" t="str">
        <f t="shared" si="1315"/>
        <v>0</v>
      </c>
      <c r="U740" s="1" t="str">
        <f t="shared" si="1371"/>
        <v>0.0056</v>
      </c>
    </row>
    <row r="741" s="1" customFormat="1" spans="1:21">
      <c r="A741" s="1" t="str">
        <f>"4601991427060"</f>
        <v>4601991427060</v>
      </c>
      <c r="B741" s="1" t="s">
        <v>765</v>
      </c>
      <c r="C741" s="1" t="s">
        <v>24</v>
      </c>
      <c r="D741" s="1" t="str">
        <f t="shared" si="1311"/>
        <v>2021</v>
      </c>
      <c r="E741" s="1" t="str">
        <f t="shared" ref="E741:P741" si="1386">"0"</f>
        <v>0</v>
      </c>
      <c r="F741" s="1" t="str">
        <f t="shared" si="1386"/>
        <v>0</v>
      </c>
      <c r="G741" s="1" t="str">
        <f t="shared" si="1386"/>
        <v>0</v>
      </c>
      <c r="H741" s="1" t="str">
        <f t="shared" si="1386"/>
        <v>0</v>
      </c>
      <c r="I741" s="1" t="str">
        <f t="shared" si="1386"/>
        <v>0</v>
      </c>
      <c r="J741" s="1" t="str">
        <f t="shared" si="1386"/>
        <v>0</v>
      </c>
      <c r="K741" s="1" t="str">
        <f t="shared" si="1386"/>
        <v>0</v>
      </c>
      <c r="L741" s="1" t="str">
        <f t="shared" si="1386"/>
        <v>0</v>
      </c>
      <c r="M741" s="1" t="str">
        <f t="shared" si="1386"/>
        <v>0</v>
      </c>
      <c r="N741" s="1" t="str">
        <f t="shared" si="1386"/>
        <v>0</v>
      </c>
      <c r="O741" s="1" t="str">
        <f t="shared" si="1386"/>
        <v>0</v>
      </c>
      <c r="P741" s="1" t="str">
        <f t="shared" si="1386"/>
        <v>0</v>
      </c>
      <c r="Q741" s="1" t="str">
        <f t="shared" si="1314"/>
        <v>0.0070</v>
      </c>
      <c r="R741" s="1" t="s">
        <v>25</v>
      </c>
      <c r="T741" s="1" t="str">
        <f t="shared" si="1315"/>
        <v>0</v>
      </c>
      <c r="U741" s="1" t="str">
        <f t="shared" ref="U741:U743" si="1387">"0.0070"</f>
        <v>0.0070</v>
      </c>
    </row>
    <row r="742" s="1" customFormat="1" spans="1:21">
      <c r="A742" s="1" t="str">
        <f>"4601991427037"</f>
        <v>4601991427037</v>
      </c>
      <c r="B742" s="1" t="s">
        <v>766</v>
      </c>
      <c r="C742" s="1" t="s">
        <v>24</v>
      </c>
      <c r="D742" s="1" t="str">
        <f t="shared" si="1311"/>
        <v>2021</v>
      </c>
      <c r="E742" s="1" t="str">
        <f t="shared" ref="E742:P742" si="1388">"0"</f>
        <v>0</v>
      </c>
      <c r="F742" s="1" t="str">
        <f t="shared" si="1388"/>
        <v>0</v>
      </c>
      <c r="G742" s="1" t="str">
        <f t="shared" si="1388"/>
        <v>0</v>
      </c>
      <c r="H742" s="1" t="str">
        <f t="shared" si="1388"/>
        <v>0</v>
      </c>
      <c r="I742" s="1" t="str">
        <f t="shared" si="1388"/>
        <v>0</v>
      </c>
      <c r="J742" s="1" t="str">
        <f t="shared" si="1388"/>
        <v>0</v>
      </c>
      <c r="K742" s="1" t="str">
        <f t="shared" si="1388"/>
        <v>0</v>
      </c>
      <c r="L742" s="1" t="str">
        <f t="shared" si="1388"/>
        <v>0</v>
      </c>
      <c r="M742" s="1" t="str">
        <f t="shared" si="1388"/>
        <v>0</v>
      </c>
      <c r="N742" s="1" t="str">
        <f t="shared" si="1388"/>
        <v>0</v>
      </c>
      <c r="O742" s="1" t="str">
        <f t="shared" si="1388"/>
        <v>0</v>
      </c>
      <c r="P742" s="1" t="str">
        <f t="shared" si="1388"/>
        <v>0</v>
      </c>
      <c r="Q742" s="1" t="str">
        <f t="shared" si="1314"/>
        <v>0.0070</v>
      </c>
      <c r="R742" s="1" t="s">
        <v>25</v>
      </c>
      <c r="T742" s="1" t="str">
        <f t="shared" si="1315"/>
        <v>0</v>
      </c>
      <c r="U742" s="1" t="str">
        <f t="shared" si="1387"/>
        <v>0.0070</v>
      </c>
    </row>
    <row r="743" s="1" customFormat="1" spans="1:21">
      <c r="A743" s="1" t="str">
        <f>"4601991427062"</f>
        <v>4601991427062</v>
      </c>
      <c r="B743" s="1" t="s">
        <v>767</v>
      </c>
      <c r="C743" s="1" t="s">
        <v>24</v>
      </c>
      <c r="D743" s="1" t="str">
        <f t="shared" si="1311"/>
        <v>2021</v>
      </c>
      <c r="E743" s="1" t="str">
        <f>"12.09"</f>
        <v>12.09</v>
      </c>
      <c r="F743" s="1" t="str">
        <f t="shared" ref="F743:I743" si="1389">"0"</f>
        <v>0</v>
      </c>
      <c r="G743" s="1" t="str">
        <f t="shared" si="1389"/>
        <v>0</v>
      </c>
      <c r="H743" s="1" t="str">
        <f t="shared" si="1389"/>
        <v>0</v>
      </c>
      <c r="I743" s="1" t="str">
        <f t="shared" si="1389"/>
        <v>0</v>
      </c>
      <c r="J743" s="1" t="str">
        <f>"1"</f>
        <v>1</v>
      </c>
      <c r="K743" s="1" t="str">
        <f t="shared" ref="K743:P743" si="1390">"0"</f>
        <v>0</v>
      </c>
      <c r="L743" s="1" t="str">
        <f t="shared" si="1390"/>
        <v>0</v>
      </c>
      <c r="M743" s="1" t="str">
        <f t="shared" si="1390"/>
        <v>0</v>
      </c>
      <c r="N743" s="1" t="str">
        <f t="shared" si="1390"/>
        <v>0</v>
      </c>
      <c r="O743" s="1" t="str">
        <f t="shared" si="1390"/>
        <v>0</v>
      </c>
      <c r="P743" s="1" t="str">
        <f t="shared" si="1390"/>
        <v>0</v>
      </c>
      <c r="Q743" s="1" t="str">
        <f t="shared" si="1314"/>
        <v>0.0070</v>
      </c>
      <c r="R743" s="1" t="s">
        <v>25</v>
      </c>
      <c r="T743" s="1" t="str">
        <f t="shared" si="1315"/>
        <v>0</v>
      </c>
      <c r="U743" s="1" t="str">
        <f t="shared" si="1387"/>
        <v>0.0070</v>
      </c>
    </row>
    <row r="744" s="1" customFormat="1" spans="1:21">
      <c r="A744" s="1" t="str">
        <f>"4601991427709"</f>
        <v>4601991427709</v>
      </c>
      <c r="B744" s="1" t="s">
        <v>768</v>
      </c>
      <c r="C744" s="1" t="s">
        <v>24</v>
      </c>
      <c r="D744" s="1" t="str">
        <f t="shared" si="1311"/>
        <v>2021</v>
      </c>
      <c r="E744" s="1" t="str">
        <f>"24.18"</f>
        <v>24.18</v>
      </c>
      <c r="F744" s="1" t="str">
        <f t="shared" ref="F744:I744" si="1391">"0"</f>
        <v>0</v>
      </c>
      <c r="G744" s="1" t="str">
        <f t="shared" si="1391"/>
        <v>0</v>
      </c>
      <c r="H744" s="1" t="str">
        <f t="shared" si="1391"/>
        <v>0</v>
      </c>
      <c r="I744" s="1" t="str">
        <f t="shared" si="1391"/>
        <v>0</v>
      </c>
      <c r="J744" s="1" t="str">
        <f>"2"</f>
        <v>2</v>
      </c>
      <c r="K744" s="1" t="str">
        <f t="shared" ref="K744:P744" si="1392">"0"</f>
        <v>0</v>
      </c>
      <c r="L744" s="1" t="str">
        <f t="shared" si="1392"/>
        <v>0</v>
      </c>
      <c r="M744" s="1" t="str">
        <f t="shared" si="1392"/>
        <v>0</v>
      </c>
      <c r="N744" s="1" t="str">
        <f t="shared" si="1392"/>
        <v>0</v>
      </c>
      <c r="O744" s="1" t="str">
        <f t="shared" si="1392"/>
        <v>0</v>
      </c>
      <c r="P744" s="1" t="str">
        <f t="shared" si="1392"/>
        <v>0</v>
      </c>
      <c r="Q744" s="1" t="str">
        <f t="shared" si="1314"/>
        <v>0.0070</v>
      </c>
      <c r="R744" s="1" t="s">
        <v>29</v>
      </c>
      <c r="S744" s="1">
        <v>-0.0014</v>
      </c>
      <c r="T744" s="1" t="str">
        <f t="shared" si="1315"/>
        <v>0</v>
      </c>
      <c r="U744" s="1" t="str">
        <f t="shared" ref="U744:U746" si="1393">"0.0056"</f>
        <v>0.0056</v>
      </c>
    </row>
    <row r="745" s="1" customFormat="1" spans="1:21">
      <c r="A745" s="1" t="str">
        <f>"4601991427708"</f>
        <v>4601991427708</v>
      </c>
      <c r="B745" s="1" t="s">
        <v>769</v>
      </c>
      <c r="C745" s="1" t="s">
        <v>24</v>
      </c>
      <c r="D745" s="1" t="str">
        <f t="shared" si="1311"/>
        <v>2021</v>
      </c>
      <c r="E745" s="1" t="str">
        <f>"48.36"</f>
        <v>48.36</v>
      </c>
      <c r="F745" s="1" t="str">
        <f t="shared" ref="F745:I745" si="1394">"0"</f>
        <v>0</v>
      </c>
      <c r="G745" s="1" t="str">
        <f t="shared" si="1394"/>
        <v>0</v>
      </c>
      <c r="H745" s="1" t="str">
        <f t="shared" si="1394"/>
        <v>0</v>
      </c>
      <c r="I745" s="1" t="str">
        <f t="shared" si="1394"/>
        <v>0</v>
      </c>
      <c r="J745" s="1" t="str">
        <f>"4"</f>
        <v>4</v>
      </c>
      <c r="K745" s="1" t="str">
        <f t="shared" ref="K745:P745" si="1395">"0"</f>
        <v>0</v>
      </c>
      <c r="L745" s="1" t="str">
        <f t="shared" si="1395"/>
        <v>0</v>
      </c>
      <c r="M745" s="1" t="str">
        <f t="shared" si="1395"/>
        <v>0</v>
      </c>
      <c r="N745" s="1" t="str">
        <f t="shared" si="1395"/>
        <v>0</v>
      </c>
      <c r="O745" s="1" t="str">
        <f t="shared" si="1395"/>
        <v>0</v>
      </c>
      <c r="P745" s="1" t="str">
        <f t="shared" si="1395"/>
        <v>0</v>
      </c>
      <c r="Q745" s="1" t="str">
        <f t="shared" si="1314"/>
        <v>0.0070</v>
      </c>
      <c r="R745" s="1" t="s">
        <v>29</v>
      </c>
      <c r="S745" s="1">
        <v>-0.0014</v>
      </c>
      <c r="T745" s="1" t="str">
        <f t="shared" si="1315"/>
        <v>0</v>
      </c>
      <c r="U745" s="1" t="str">
        <f t="shared" si="1393"/>
        <v>0.0056</v>
      </c>
    </row>
    <row r="746" s="1" customFormat="1" spans="1:21">
      <c r="A746" s="1" t="str">
        <f>"4601991427688"</f>
        <v>4601991427688</v>
      </c>
      <c r="B746" s="1" t="s">
        <v>770</v>
      </c>
      <c r="C746" s="1" t="s">
        <v>24</v>
      </c>
      <c r="D746" s="1" t="str">
        <f t="shared" si="1311"/>
        <v>2021</v>
      </c>
      <c r="E746" s="1" t="str">
        <f>"29.01"</f>
        <v>29.01</v>
      </c>
      <c r="F746" s="1" t="str">
        <f t="shared" ref="F746:I746" si="1396">"0"</f>
        <v>0</v>
      </c>
      <c r="G746" s="1" t="str">
        <f t="shared" si="1396"/>
        <v>0</v>
      </c>
      <c r="H746" s="1" t="str">
        <f t="shared" si="1396"/>
        <v>0</v>
      </c>
      <c r="I746" s="1" t="str">
        <f t="shared" si="1396"/>
        <v>0</v>
      </c>
      <c r="J746" s="1" t="str">
        <f>"6"</f>
        <v>6</v>
      </c>
      <c r="K746" s="1" t="str">
        <f t="shared" ref="K746:P746" si="1397">"0"</f>
        <v>0</v>
      </c>
      <c r="L746" s="1" t="str">
        <f t="shared" si="1397"/>
        <v>0</v>
      </c>
      <c r="M746" s="1" t="str">
        <f t="shared" si="1397"/>
        <v>0</v>
      </c>
      <c r="N746" s="1" t="str">
        <f t="shared" si="1397"/>
        <v>0</v>
      </c>
      <c r="O746" s="1" t="str">
        <f t="shared" si="1397"/>
        <v>0</v>
      </c>
      <c r="P746" s="1" t="str">
        <f t="shared" si="1397"/>
        <v>0</v>
      </c>
      <c r="Q746" s="1" t="str">
        <f t="shared" si="1314"/>
        <v>0.0070</v>
      </c>
      <c r="R746" s="1" t="s">
        <v>29</v>
      </c>
      <c r="S746" s="1">
        <v>-0.0014</v>
      </c>
      <c r="T746" s="1" t="str">
        <f t="shared" si="1315"/>
        <v>0</v>
      </c>
      <c r="U746" s="1" t="str">
        <f t="shared" si="1393"/>
        <v>0.0056</v>
      </c>
    </row>
    <row r="747" s="1" customFormat="1" spans="1:21">
      <c r="A747" s="1" t="str">
        <f>"4601991427071"</f>
        <v>4601991427071</v>
      </c>
      <c r="B747" s="1" t="s">
        <v>771</v>
      </c>
      <c r="C747" s="1" t="s">
        <v>24</v>
      </c>
      <c r="D747" s="1" t="str">
        <f t="shared" si="1311"/>
        <v>2021</v>
      </c>
      <c r="E747" s="1" t="str">
        <f t="shared" ref="E747:P747" si="1398">"0"</f>
        <v>0</v>
      </c>
      <c r="F747" s="1" t="str">
        <f t="shared" si="1398"/>
        <v>0</v>
      </c>
      <c r="G747" s="1" t="str">
        <f t="shared" si="1398"/>
        <v>0</v>
      </c>
      <c r="H747" s="1" t="str">
        <f t="shared" si="1398"/>
        <v>0</v>
      </c>
      <c r="I747" s="1" t="str">
        <f t="shared" si="1398"/>
        <v>0</v>
      </c>
      <c r="J747" s="1" t="str">
        <f t="shared" si="1398"/>
        <v>0</v>
      </c>
      <c r="K747" s="1" t="str">
        <f t="shared" si="1398"/>
        <v>0</v>
      </c>
      <c r="L747" s="1" t="str">
        <f t="shared" si="1398"/>
        <v>0</v>
      </c>
      <c r="M747" s="1" t="str">
        <f t="shared" si="1398"/>
        <v>0</v>
      </c>
      <c r="N747" s="1" t="str">
        <f t="shared" si="1398"/>
        <v>0</v>
      </c>
      <c r="O747" s="1" t="str">
        <f t="shared" si="1398"/>
        <v>0</v>
      </c>
      <c r="P747" s="1" t="str">
        <f t="shared" si="1398"/>
        <v>0</v>
      </c>
      <c r="Q747" s="1" t="str">
        <f t="shared" si="1314"/>
        <v>0.0070</v>
      </c>
      <c r="R747" s="1" t="s">
        <v>25</v>
      </c>
      <c r="T747" s="1" t="str">
        <f t="shared" si="1315"/>
        <v>0</v>
      </c>
      <c r="U747" s="1" t="str">
        <f t="shared" ref="U747:U751" si="1399">"0.0070"</f>
        <v>0.0070</v>
      </c>
    </row>
    <row r="748" s="1" customFormat="1" spans="1:21">
      <c r="A748" s="1" t="str">
        <f>"4601991427077"</f>
        <v>4601991427077</v>
      </c>
      <c r="B748" s="1" t="s">
        <v>772</v>
      </c>
      <c r="C748" s="1" t="s">
        <v>24</v>
      </c>
      <c r="D748" s="1" t="str">
        <f t="shared" si="1311"/>
        <v>2021</v>
      </c>
      <c r="E748" s="1" t="str">
        <f t="shared" ref="E748:P748" si="1400">"0"</f>
        <v>0</v>
      </c>
      <c r="F748" s="1" t="str">
        <f t="shared" si="1400"/>
        <v>0</v>
      </c>
      <c r="G748" s="1" t="str">
        <f t="shared" si="1400"/>
        <v>0</v>
      </c>
      <c r="H748" s="1" t="str">
        <f t="shared" si="1400"/>
        <v>0</v>
      </c>
      <c r="I748" s="1" t="str">
        <f t="shared" si="1400"/>
        <v>0</v>
      </c>
      <c r="J748" s="1" t="str">
        <f t="shared" si="1400"/>
        <v>0</v>
      </c>
      <c r="K748" s="1" t="str">
        <f t="shared" si="1400"/>
        <v>0</v>
      </c>
      <c r="L748" s="1" t="str">
        <f t="shared" si="1400"/>
        <v>0</v>
      </c>
      <c r="M748" s="1" t="str">
        <f t="shared" si="1400"/>
        <v>0</v>
      </c>
      <c r="N748" s="1" t="str">
        <f t="shared" si="1400"/>
        <v>0</v>
      </c>
      <c r="O748" s="1" t="str">
        <f t="shared" si="1400"/>
        <v>0</v>
      </c>
      <c r="P748" s="1" t="str">
        <f t="shared" si="1400"/>
        <v>0</v>
      </c>
      <c r="Q748" s="1" t="str">
        <f t="shared" si="1314"/>
        <v>0.0070</v>
      </c>
      <c r="R748" s="1" t="s">
        <v>25</v>
      </c>
      <c r="T748" s="1" t="str">
        <f t="shared" si="1315"/>
        <v>0</v>
      </c>
      <c r="U748" s="1" t="str">
        <f t="shared" si="1399"/>
        <v>0.0070</v>
      </c>
    </row>
    <row r="749" s="1" customFormat="1" spans="1:21">
      <c r="A749" s="1" t="str">
        <f>"4601991426512"</f>
        <v>4601991426512</v>
      </c>
      <c r="B749" s="1" t="s">
        <v>773</v>
      </c>
      <c r="C749" s="1" t="s">
        <v>24</v>
      </c>
      <c r="D749" s="1" t="str">
        <f t="shared" si="1311"/>
        <v>2021</v>
      </c>
      <c r="E749" s="1" t="str">
        <f>"9.67"</f>
        <v>9.67</v>
      </c>
      <c r="F749" s="1" t="str">
        <f t="shared" ref="F749:I749" si="1401">"0"</f>
        <v>0</v>
      </c>
      <c r="G749" s="1" t="str">
        <f t="shared" si="1401"/>
        <v>0</v>
      </c>
      <c r="H749" s="1" t="str">
        <f t="shared" si="1401"/>
        <v>0</v>
      </c>
      <c r="I749" s="1" t="str">
        <f t="shared" si="1401"/>
        <v>0</v>
      </c>
      <c r="J749" s="1" t="str">
        <f>"1"</f>
        <v>1</v>
      </c>
      <c r="K749" s="1" t="str">
        <f t="shared" ref="K749:P749" si="1402">"0"</f>
        <v>0</v>
      </c>
      <c r="L749" s="1" t="str">
        <f t="shared" si="1402"/>
        <v>0</v>
      </c>
      <c r="M749" s="1" t="str">
        <f t="shared" si="1402"/>
        <v>0</v>
      </c>
      <c r="N749" s="1" t="str">
        <f t="shared" si="1402"/>
        <v>0</v>
      </c>
      <c r="O749" s="1" t="str">
        <f t="shared" si="1402"/>
        <v>0</v>
      </c>
      <c r="P749" s="1" t="str">
        <f t="shared" si="1402"/>
        <v>0</v>
      </c>
      <c r="Q749" s="1" t="str">
        <f t="shared" si="1314"/>
        <v>0.0070</v>
      </c>
      <c r="R749" s="1" t="s">
        <v>29</v>
      </c>
      <c r="S749" s="1">
        <v>-0.0014</v>
      </c>
      <c r="T749" s="1" t="str">
        <f t="shared" si="1315"/>
        <v>0</v>
      </c>
      <c r="U749" s="1" t="str">
        <f t="shared" ref="U749:U754" si="1403">"0.0056"</f>
        <v>0.0056</v>
      </c>
    </row>
    <row r="750" s="1" customFormat="1" spans="1:21">
      <c r="A750" s="1" t="str">
        <f>"4601991426510"</f>
        <v>4601991426510</v>
      </c>
      <c r="B750" s="1" t="s">
        <v>774</v>
      </c>
      <c r="C750" s="1" t="s">
        <v>24</v>
      </c>
      <c r="D750" s="1" t="str">
        <f t="shared" si="1311"/>
        <v>2021</v>
      </c>
      <c r="E750" s="1" t="str">
        <f>"134.12"</f>
        <v>134.12</v>
      </c>
      <c r="F750" s="1" t="str">
        <f t="shared" ref="F750:I750" si="1404">"0"</f>
        <v>0</v>
      </c>
      <c r="G750" s="1" t="str">
        <f t="shared" si="1404"/>
        <v>0</v>
      </c>
      <c r="H750" s="1" t="str">
        <f t="shared" si="1404"/>
        <v>0</v>
      </c>
      <c r="I750" s="1" t="str">
        <f t="shared" si="1404"/>
        <v>0</v>
      </c>
      <c r="J750" s="1" t="str">
        <f>"12"</f>
        <v>12</v>
      </c>
      <c r="K750" s="1" t="str">
        <f t="shared" ref="K750:P750" si="1405">"0"</f>
        <v>0</v>
      </c>
      <c r="L750" s="1" t="str">
        <f t="shared" si="1405"/>
        <v>0</v>
      </c>
      <c r="M750" s="1" t="str">
        <f t="shared" si="1405"/>
        <v>0</v>
      </c>
      <c r="N750" s="1" t="str">
        <f t="shared" si="1405"/>
        <v>0</v>
      </c>
      <c r="O750" s="1" t="str">
        <f t="shared" si="1405"/>
        <v>0</v>
      </c>
      <c r="P750" s="1" t="str">
        <f t="shared" si="1405"/>
        <v>0</v>
      </c>
      <c r="Q750" s="1" t="str">
        <f t="shared" si="1314"/>
        <v>0.0070</v>
      </c>
      <c r="R750" s="1" t="s">
        <v>29</v>
      </c>
      <c r="S750" s="1">
        <v>-0.0014</v>
      </c>
      <c r="T750" s="1" t="str">
        <f t="shared" si="1315"/>
        <v>0</v>
      </c>
      <c r="U750" s="1" t="str">
        <f t="shared" si="1403"/>
        <v>0.0056</v>
      </c>
    </row>
    <row r="751" s="1" customFormat="1" spans="1:21">
      <c r="A751" s="1" t="str">
        <f>"4601991426530"</f>
        <v>4601991426530</v>
      </c>
      <c r="B751" s="1" t="s">
        <v>775</v>
      </c>
      <c r="C751" s="1" t="s">
        <v>24</v>
      </c>
      <c r="D751" s="1" t="str">
        <f t="shared" si="1311"/>
        <v>2021</v>
      </c>
      <c r="E751" s="1" t="str">
        <f t="shared" ref="E751:P751" si="1406">"0"</f>
        <v>0</v>
      </c>
      <c r="F751" s="1" t="str">
        <f t="shared" si="1406"/>
        <v>0</v>
      </c>
      <c r="G751" s="1" t="str">
        <f t="shared" si="1406"/>
        <v>0</v>
      </c>
      <c r="H751" s="1" t="str">
        <f t="shared" si="1406"/>
        <v>0</v>
      </c>
      <c r="I751" s="1" t="str">
        <f t="shared" si="1406"/>
        <v>0</v>
      </c>
      <c r="J751" s="1" t="str">
        <f t="shared" si="1406"/>
        <v>0</v>
      </c>
      <c r="K751" s="1" t="str">
        <f t="shared" si="1406"/>
        <v>0</v>
      </c>
      <c r="L751" s="1" t="str">
        <f t="shared" si="1406"/>
        <v>0</v>
      </c>
      <c r="M751" s="1" t="str">
        <f t="shared" si="1406"/>
        <v>0</v>
      </c>
      <c r="N751" s="1" t="str">
        <f t="shared" si="1406"/>
        <v>0</v>
      </c>
      <c r="O751" s="1" t="str">
        <f t="shared" si="1406"/>
        <v>0</v>
      </c>
      <c r="P751" s="1" t="str">
        <f t="shared" si="1406"/>
        <v>0</v>
      </c>
      <c r="Q751" s="1" t="str">
        <f t="shared" si="1314"/>
        <v>0.0070</v>
      </c>
      <c r="R751" s="1" t="s">
        <v>25</v>
      </c>
      <c r="T751" s="1" t="str">
        <f t="shared" si="1315"/>
        <v>0</v>
      </c>
      <c r="U751" s="1" t="str">
        <f t="shared" si="1399"/>
        <v>0.0070</v>
      </c>
    </row>
    <row r="752" s="1" customFormat="1" spans="1:21">
      <c r="A752" s="1" t="str">
        <f>"4601991427101"</f>
        <v>4601991427101</v>
      </c>
      <c r="B752" s="1" t="s">
        <v>776</v>
      </c>
      <c r="C752" s="1" t="s">
        <v>24</v>
      </c>
      <c r="D752" s="1" t="str">
        <f t="shared" si="1311"/>
        <v>2021</v>
      </c>
      <c r="E752" s="1" t="str">
        <f>"105.38"</f>
        <v>105.38</v>
      </c>
      <c r="F752" s="1" t="str">
        <f t="shared" ref="F752:I752" si="1407">"0"</f>
        <v>0</v>
      </c>
      <c r="G752" s="1" t="str">
        <f t="shared" si="1407"/>
        <v>0</v>
      </c>
      <c r="H752" s="1" t="str">
        <f t="shared" si="1407"/>
        <v>0</v>
      </c>
      <c r="I752" s="1" t="str">
        <f t="shared" si="1407"/>
        <v>0</v>
      </c>
      <c r="J752" s="1" t="str">
        <f>"8"</f>
        <v>8</v>
      </c>
      <c r="K752" s="1" t="str">
        <f t="shared" ref="K752:P752" si="1408">"0"</f>
        <v>0</v>
      </c>
      <c r="L752" s="1" t="str">
        <f t="shared" si="1408"/>
        <v>0</v>
      </c>
      <c r="M752" s="1" t="str">
        <f t="shared" si="1408"/>
        <v>0</v>
      </c>
      <c r="N752" s="1" t="str">
        <f t="shared" si="1408"/>
        <v>0</v>
      </c>
      <c r="O752" s="1" t="str">
        <f t="shared" si="1408"/>
        <v>0</v>
      </c>
      <c r="P752" s="1" t="str">
        <f t="shared" si="1408"/>
        <v>0</v>
      </c>
      <c r="Q752" s="1" t="str">
        <f t="shared" si="1314"/>
        <v>0.0070</v>
      </c>
      <c r="R752" s="1" t="s">
        <v>29</v>
      </c>
      <c r="S752" s="1">
        <v>-0.0014</v>
      </c>
      <c r="T752" s="1" t="str">
        <f t="shared" si="1315"/>
        <v>0</v>
      </c>
      <c r="U752" s="1" t="str">
        <f t="shared" si="1403"/>
        <v>0.0056</v>
      </c>
    </row>
    <row r="753" s="1" customFormat="1" spans="1:21">
      <c r="A753" s="1" t="str">
        <f>"4601991427719"</f>
        <v>4601991427719</v>
      </c>
      <c r="B753" s="1" t="s">
        <v>777</v>
      </c>
      <c r="C753" s="1" t="s">
        <v>24</v>
      </c>
      <c r="D753" s="1" t="str">
        <f t="shared" si="1311"/>
        <v>2021</v>
      </c>
      <c r="E753" s="1" t="str">
        <f>"124.52"</f>
        <v>124.52</v>
      </c>
      <c r="F753" s="1" t="str">
        <f t="shared" ref="F753:I753" si="1409">"0"</f>
        <v>0</v>
      </c>
      <c r="G753" s="1" t="str">
        <f t="shared" si="1409"/>
        <v>0</v>
      </c>
      <c r="H753" s="1" t="str">
        <f t="shared" si="1409"/>
        <v>0</v>
      </c>
      <c r="I753" s="1" t="str">
        <f t="shared" si="1409"/>
        <v>0</v>
      </c>
      <c r="J753" s="1" t="str">
        <f>"11"</f>
        <v>11</v>
      </c>
      <c r="K753" s="1" t="str">
        <f t="shared" ref="K753:P753" si="1410">"0"</f>
        <v>0</v>
      </c>
      <c r="L753" s="1" t="str">
        <f t="shared" si="1410"/>
        <v>0</v>
      </c>
      <c r="M753" s="1" t="str">
        <f t="shared" si="1410"/>
        <v>0</v>
      </c>
      <c r="N753" s="1" t="str">
        <f t="shared" si="1410"/>
        <v>0</v>
      </c>
      <c r="O753" s="1" t="str">
        <f t="shared" si="1410"/>
        <v>0</v>
      </c>
      <c r="P753" s="1" t="str">
        <f t="shared" si="1410"/>
        <v>0</v>
      </c>
      <c r="Q753" s="1" t="str">
        <f t="shared" si="1314"/>
        <v>0.0070</v>
      </c>
      <c r="R753" s="1" t="s">
        <v>29</v>
      </c>
      <c r="S753" s="1">
        <v>-0.0014</v>
      </c>
      <c r="T753" s="1" t="str">
        <f t="shared" si="1315"/>
        <v>0</v>
      </c>
      <c r="U753" s="1" t="str">
        <f t="shared" si="1403"/>
        <v>0.0056</v>
      </c>
    </row>
    <row r="754" s="1" customFormat="1" spans="1:21">
      <c r="A754" s="1" t="str">
        <f>"4601991427105"</f>
        <v>4601991427105</v>
      </c>
      <c r="B754" s="1" t="s">
        <v>778</v>
      </c>
      <c r="C754" s="1" t="s">
        <v>24</v>
      </c>
      <c r="D754" s="1" t="str">
        <f t="shared" si="1311"/>
        <v>2021</v>
      </c>
      <c r="E754" s="1" t="str">
        <f>"48.36"</f>
        <v>48.36</v>
      </c>
      <c r="F754" s="1" t="str">
        <f t="shared" ref="F754:I754" si="1411">"0"</f>
        <v>0</v>
      </c>
      <c r="G754" s="1" t="str">
        <f t="shared" si="1411"/>
        <v>0</v>
      </c>
      <c r="H754" s="1" t="str">
        <f t="shared" si="1411"/>
        <v>0</v>
      </c>
      <c r="I754" s="1" t="str">
        <f t="shared" si="1411"/>
        <v>0</v>
      </c>
      <c r="J754" s="1" t="str">
        <f>"2"</f>
        <v>2</v>
      </c>
      <c r="K754" s="1" t="str">
        <f t="shared" ref="K754:P754" si="1412">"0"</f>
        <v>0</v>
      </c>
      <c r="L754" s="1" t="str">
        <f t="shared" si="1412"/>
        <v>0</v>
      </c>
      <c r="M754" s="1" t="str">
        <f t="shared" si="1412"/>
        <v>0</v>
      </c>
      <c r="N754" s="1" t="str">
        <f t="shared" si="1412"/>
        <v>0</v>
      </c>
      <c r="O754" s="1" t="str">
        <f t="shared" si="1412"/>
        <v>0</v>
      </c>
      <c r="P754" s="1" t="str">
        <f t="shared" si="1412"/>
        <v>0</v>
      </c>
      <c r="Q754" s="1" t="str">
        <f t="shared" si="1314"/>
        <v>0.0070</v>
      </c>
      <c r="R754" s="1" t="s">
        <v>29</v>
      </c>
      <c r="S754" s="1">
        <v>-0.0014</v>
      </c>
      <c r="T754" s="1" t="str">
        <f t="shared" si="1315"/>
        <v>0</v>
      </c>
      <c r="U754" s="1" t="str">
        <f t="shared" si="1403"/>
        <v>0.0056</v>
      </c>
    </row>
    <row r="755" s="1" customFormat="1" spans="1:21">
      <c r="A755" s="1" t="str">
        <f>"4601991426544"</f>
        <v>4601991426544</v>
      </c>
      <c r="B755" s="1" t="s">
        <v>779</v>
      </c>
      <c r="C755" s="1" t="s">
        <v>24</v>
      </c>
      <c r="D755" s="1" t="str">
        <f t="shared" si="1311"/>
        <v>2021</v>
      </c>
      <c r="E755" s="1" t="str">
        <f t="shared" ref="E755:P755" si="1413">"0"</f>
        <v>0</v>
      </c>
      <c r="F755" s="1" t="str">
        <f t="shared" si="1413"/>
        <v>0</v>
      </c>
      <c r="G755" s="1" t="str">
        <f t="shared" si="1413"/>
        <v>0</v>
      </c>
      <c r="H755" s="1" t="str">
        <f t="shared" si="1413"/>
        <v>0</v>
      </c>
      <c r="I755" s="1" t="str">
        <f t="shared" si="1413"/>
        <v>0</v>
      </c>
      <c r="J755" s="1" t="str">
        <f t="shared" si="1413"/>
        <v>0</v>
      </c>
      <c r="K755" s="1" t="str">
        <f t="shared" si="1413"/>
        <v>0</v>
      </c>
      <c r="L755" s="1" t="str">
        <f t="shared" si="1413"/>
        <v>0</v>
      </c>
      <c r="M755" s="1" t="str">
        <f t="shared" si="1413"/>
        <v>0</v>
      </c>
      <c r="N755" s="1" t="str">
        <f t="shared" si="1413"/>
        <v>0</v>
      </c>
      <c r="O755" s="1" t="str">
        <f t="shared" si="1413"/>
        <v>0</v>
      </c>
      <c r="P755" s="1" t="str">
        <f t="shared" si="1413"/>
        <v>0</v>
      </c>
      <c r="Q755" s="1" t="str">
        <f t="shared" si="1314"/>
        <v>0.0070</v>
      </c>
      <c r="R755" s="1" t="s">
        <v>25</v>
      </c>
      <c r="T755" s="1" t="str">
        <f t="shared" si="1315"/>
        <v>0</v>
      </c>
      <c r="U755" s="1" t="str">
        <f>"0.0070"</f>
        <v>0.0070</v>
      </c>
    </row>
    <row r="756" s="1" customFormat="1" spans="1:21">
      <c r="A756" s="1" t="str">
        <f>"4601991426532"</f>
        <v>4601991426532</v>
      </c>
      <c r="B756" s="1" t="s">
        <v>780</v>
      </c>
      <c r="C756" s="1" t="s">
        <v>24</v>
      </c>
      <c r="D756" s="1" t="str">
        <f t="shared" si="1311"/>
        <v>2021</v>
      </c>
      <c r="E756" s="1" t="str">
        <f>"19.16"</f>
        <v>19.16</v>
      </c>
      <c r="F756" s="1" t="str">
        <f t="shared" ref="F756:I756" si="1414">"0"</f>
        <v>0</v>
      </c>
      <c r="G756" s="1" t="str">
        <f t="shared" si="1414"/>
        <v>0</v>
      </c>
      <c r="H756" s="1" t="str">
        <f t="shared" si="1414"/>
        <v>0</v>
      </c>
      <c r="I756" s="1" t="str">
        <f t="shared" si="1414"/>
        <v>0</v>
      </c>
      <c r="J756" s="1" t="str">
        <f>"3"</f>
        <v>3</v>
      </c>
      <c r="K756" s="1" t="str">
        <f t="shared" ref="K756:P756" si="1415">"0"</f>
        <v>0</v>
      </c>
      <c r="L756" s="1" t="str">
        <f t="shared" si="1415"/>
        <v>0</v>
      </c>
      <c r="M756" s="1" t="str">
        <f t="shared" si="1415"/>
        <v>0</v>
      </c>
      <c r="N756" s="1" t="str">
        <f t="shared" si="1415"/>
        <v>0</v>
      </c>
      <c r="O756" s="1" t="str">
        <f t="shared" si="1415"/>
        <v>0</v>
      </c>
      <c r="P756" s="1" t="str">
        <f t="shared" si="1415"/>
        <v>0</v>
      </c>
      <c r="Q756" s="1" t="str">
        <f t="shared" si="1314"/>
        <v>0.0070</v>
      </c>
      <c r="R756" s="1" t="s">
        <v>29</v>
      </c>
      <c r="S756" s="1">
        <v>-0.0014</v>
      </c>
      <c r="T756" s="1" t="str">
        <f t="shared" si="1315"/>
        <v>0</v>
      </c>
      <c r="U756" s="1" t="str">
        <f t="shared" ref="U756:U758" si="1416">"0.0056"</f>
        <v>0.0056</v>
      </c>
    </row>
    <row r="757" s="1" customFormat="1" spans="1:21">
      <c r="A757" s="1" t="str">
        <f>"4601991420651"</f>
        <v>4601991420651</v>
      </c>
      <c r="B757" s="1" t="s">
        <v>781</v>
      </c>
      <c r="C757" s="1" t="s">
        <v>24</v>
      </c>
      <c r="D757" s="1" t="str">
        <f t="shared" si="1311"/>
        <v>2021</v>
      </c>
      <c r="E757" s="1" t="str">
        <f>"9.67"</f>
        <v>9.67</v>
      </c>
      <c r="F757" s="1" t="str">
        <f t="shared" ref="F757:I757" si="1417">"0"</f>
        <v>0</v>
      </c>
      <c r="G757" s="1" t="str">
        <f t="shared" si="1417"/>
        <v>0</v>
      </c>
      <c r="H757" s="1" t="str">
        <f t="shared" si="1417"/>
        <v>0</v>
      </c>
      <c r="I757" s="1" t="str">
        <f t="shared" si="1417"/>
        <v>0</v>
      </c>
      <c r="J757" s="1" t="str">
        <f>"1"</f>
        <v>1</v>
      </c>
      <c r="K757" s="1" t="str">
        <f t="shared" ref="K757:P757" si="1418">"0"</f>
        <v>0</v>
      </c>
      <c r="L757" s="1" t="str">
        <f t="shared" si="1418"/>
        <v>0</v>
      </c>
      <c r="M757" s="1" t="str">
        <f t="shared" si="1418"/>
        <v>0</v>
      </c>
      <c r="N757" s="1" t="str">
        <f t="shared" si="1418"/>
        <v>0</v>
      </c>
      <c r="O757" s="1" t="str">
        <f t="shared" si="1418"/>
        <v>0</v>
      </c>
      <c r="P757" s="1" t="str">
        <f t="shared" si="1418"/>
        <v>0</v>
      </c>
      <c r="Q757" s="1" t="str">
        <f t="shared" si="1314"/>
        <v>0.0070</v>
      </c>
      <c r="R757" s="1" t="s">
        <v>29</v>
      </c>
      <c r="S757" s="1">
        <v>-0.0014</v>
      </c>
      <c r="T757" s="1" t="str">
        <f t="shared" si="1315"/>
        <v>0</v>
      </c>
      <c r="U757" s="1" t="str">
        <f t="shared" si="1416"/>
        <v>0.0056</v>
      </c>
    </row>
    <row r="758" s="1" customFormat="1" spans="1:21">
      <c r="A758" s="1" t="str">
        <f>"4601991422383"</f>
        <v>4601991422383</v>
      </c>
      <c r="B758" s="1" t="s">
        <v>782</v>
      </c>
      <c r="C758" s="1" t="s">
        <v>24</v>
      </c>
      <c r="D758" s="1" t="str">
        <f t="shared" si="1311"/>
        <v>2021</v>
      </c>
      <c r="E758" s="1" t="str">
        <f>"9.67"</f>
        <v>9.67</v>
      </c>
      <c r="F758" s="1" t="str">
        <f t="shared" ref="F758:I758" si="1419">"0"</f>
        <v>0</v>
      </c>
      <c r="G758" s="1" t="str">
        <f t="shared" si="1419"/>
        <v>0</v>
      </c>
      <c r="H758" s="1" t="str">
        <f t="shared" si="1419"/>
        <v>0</v>
      </c>
      <c r="I758" s="1" t="str">
        <f t="shared" si="1419"/>
        <v>0</v>
      </c>
      <c r="J758" s="1" t="str">
        <f>"1"</f>
        <v>1</v>
      </c>
      <c r="K758" s="1" t="str">
        <f t="shared" ref="K758:P758" si="1420">"0"</f>
        <v>0</v>
      </c>
      <c r="L758" s="1" t="str">
        <f t="shared" si="1420"/>
        <v>0</v>
      </c>
      <c r="M758" s="1" t="str">
        <f t="shared" si="1420"/>
        <v>0</v>
      </c>
      <c r="N758" s="1" t="str">
        <f t="shared" si="1420"/>
        <v>0</v>
      </c>
      <c r="O758" s="1" t="str">
        <f t="shared" si="1420"/>
        <v>0</v>
      </c>
      <c r="P758" s="1" t="str">
        <f t="shared" si="1420"/>
        <v>0</v>
      </c>
      <c r="Q758" s="1" t="str">
        <f t="shared" si="1314"/>
        <v>0.0070</v>
      </c>
      <c r="R758" s="1" t="s">
        <v>29</v>
      </c>
      <c r="S758" s="1">
        <v>-0.0014</v>
      </c>
      <c r="T758" s="1" t="str">
        <f t="shared" si="1315"/>
        <v>0</v>
      </c>
      <c r="U758" s="1" t="str">
        <f t="shared" si="1416"/>
        <v>0.0056</v>
      </c>
    </row>
    <row r="759" s="1" customFormat="1" spans="1:21">
      <c r="A759" s="1" t="str">
        <f>"4601991422327"</f>
        <v>4601991422327</v>
      </c>
      <c r="B759" s="1" t="s">
        <v>783</v>
      </c>
      <c r="C759" s="1" t="s">
        <v>24</v>
      </c>
      <c r="D759" s="1" t="str">
        <f t="shared" si="1311"/>
        <v>2021</v>
      </c>
      <c r="E759" s="1" t="str">
        <f t="shared" ref="E759:P759" si="1421">"0"</f>
        <v>0</v>
      </c>
      <c r="F759" s="1" t="str">
        <f t="shared" si="1421"/>
        <v>0</v>
      </c>
      <c r="G759" s="1" t="str">
        <f t="shared" si="1421"/>
        <v>0</v>
      </c>
      <c r="H759" s="1" t="str">
        <f t="shared" si="1421"/>
        <v>0</v>
      </c>
      <c r="I759" s="1" t="str">
        <f t="shared" si="1421"/>
        <v>0</v>
      </c>
      <c r="J759" s="1" t="str">
        <f t="shared" si="1421"/>
        <v>0</v>
      </c>
      <c r="K759" s="1" t="str">
        <f t="shared" si="1421"/>
        <v>0</v>
      </c>
      <c r="L759" s="1" t="str">
        <f t="shared" si="1421"/>
        <v>0</v>
      </c>
      <c r="M759" s="1" t="str">
        <f t="shared" si="1421"/>
        <v>0</v>
      </c>
      <c r="N759" s="1" t="str">
        <f t="shared" si="1421"/>
        <v>0</v>
      </c>
      <c r="O759" s="1" t="str">
        <f t="shared" si="1421"/>
        <v>0</v>
      </c>
      <c r="P759" s="1" t="str">
        <f t="shared" si="1421"/>
        <v>0</v>
      </c>
      <c r="Q759" s="1" t="str">
        <f t="shared" si="1314"/>
        <v>0.0070</v>
      </c>
      <c r="R759" s="1" t="s">
        <v>25</v>
      </c>
      <c r="T759" s="1" t="str">
        <f t="shared" si="1315"/>
        <v>0</v>
      </c>
      <c r="U759" s="1" t="str">
        <f>"0.0070"</f>
        <v>0.0070</v>
      </c>
    </row>
    <row r="760" s="1" customFormat="1" spans="1:21">
      <c r="A760" s="1" t="str">
        <f>"4601991424236"</f>
        <v>4601991424236</v>
      </c>
      <c r="B760" s="1" t="s">
        <v>784</v>
      </c>
      <c r="C760" s="1" t="s">
        <v>24</v>
      </c>
      <c r="D760" s="1" t="str">
        <f t="shared" si="1311"/>
        <v>2021</v>
      </c>
      <c r="E760" s="1" t="str">
        <f>"57.84"</f>
        <v>57.84</v>
      </c>
      <c r="F760" s="1" t="str">
        <f t="shared" ref="F760:I760" si="1422">"0"</f>
        <v>0</v>
      </c>
      <c r="G760" s="1" t="str">
        <f t="shared" si="1422"/>
        <v>0</v>
      </c>
      <c r="H760" s="1" t="str">
        <f t="shared" si="1422"/>
        <v>0</v>
      </c>
      <c r="I760" s="1" t="str">
        <f t="shared" si="1422"/>
        <v>0</v>
      </c>
      <c r="J760" s="1" t="str">
        <f>"6"</f>
        <v>6</v>
      </c>
      <c r="K760" s="1" t="str">
        <f t="shared" ref="K760:P760" si="1423">"0"</f>
        <v>0</v>
      </c>
      <c r="L760" s="1" t="str">
        <f t="shared" si="1423"/>
        <v>0</v>
      </c>
      <c r="M760" s="1" t="str">
        <f t="shared" si="1423"/>
        <v>0</v>
      </c>
      <c r="N760" s="1" t="str">
        <f t="shared" si="1423"/>
        <v>0</v>
      </c>
      <c r="O760" s="1" t="str">
        <f t="shared" si="1423"/>
        <v>0</v>
      </c>
      <c r="P760" s="1" t="str">
        <f t="shared" si="1423"/>
        <v>0</v>
      </c>
      <c r="Q760" s="1" t="str">
        <f t="shared" si="1314"/>
        <v>0.0070</v>
      </c>
      <c r="R760" s="1" t="s">
        <v>29</v>
      </c>
      <c r="S760" s="1">
        <v>-0.0014</v>
      </c>
      <c r="T760" s="1" t="str">
        <f t="shared" si="1315"/>
        <v>0</v>
      </c>
      <c r="U760" s="1" t="str">
        <f t="shared" ref="U760:U762" si="1424">"0.0056"</f>
        <v>0.0056</v>
      </c>
    </row>
    <row r="761" s="1" customFormat="1" spans="1:21">
      <c r="A761" s="1" t="str">
        <f>"4601991414610"</f>
        <v>4601991414610</v>
      </c>
      <c r="B761" s="1" t="s">
        <v>785</v>
      </c>
      <c r="C761" s="1" t="s">
        <v>24</v>
      </c>
      <c r="D761" s="1" t="str">
        <f t="shared" si="1311"/>
        <v>2021</v>
      </c>
      <c r="E761" s="1" t="str">
        <f>"125.71"</f>
        <v>125.71</v>
      </c>
      <c r="F761" s="1" t="str">
        <f t="shared" ref="F761:I761" si="1425">"0"</f>
        <v>0</v>
      </c>
      <c r="G761" s="1" t="str">
        <f t="shared" si="1425"/>
        <v>0</v>
      </c>
      <c r="H761" s="1" t="str">
        <f t="shared" si="1425"/>
        <v>0</v>
      </c>
      <c r="I761" s="1" t="str">
        <f t="shared" si="1425"/>
        <v>0</v>
      </c>
      <c r="J761" s="1" t="str">
        <f>"14"</f>
        <v>14</v>
      </c>
      <c r="K761" s="1" t="str">
        <f t="shared" ref="K761:P761" si="1426">"0"</f>
        <v>0</v>
      </c>
      <c r="L761" s="1" t="str">
        <f t="shared" si="1426"/>
        <v>0</v>
      </c>
      <c r="M761" s="1" t="str">
        <f t="shared" si="1426"/>
        <v>0</v>
      </c>
      <c r="N761" s="1" t="str">
        <f t="shared" si="1426"/>
        <v>0</v>
      </c>
      <c r="O761" s="1" t="str">
        <f t="shared" si="1426"/>
        <v>0</v>
      </c>
      <c r="P761" s="1" t="str">
        <f t="shared" si="1426"/>
        <v>0</v>
      </c>
      <c r="Q761" s="1" t="str">
        <f t="shared" si="1314"/>
        <v>0.0070</v>
      </c>
      <c r="R761" s="1" t="s">
        <v>29</v>
      </c>
      <c r="S761" s="1">
        <v>-0.0014</v>
      </c>
      <c r="T761" s="1" t="str">
        <f t="shared" si="1315"/>
        <v>0</v>
      </c>
      <c r="U761" s="1" t="str">
        <f t="shared" si="1424"/>
        <v>0.0056</v>
      </c>
    </row>
    <row r="762" s="1" customFormat="1" spans="1:21">
      <c r="A762" s="1" t="str">
        <f>"4601992000927"</f>
        <v>4601992000927</v>
      </c>
      <c r="B762" s="1" t="s">
        <v>786</v>
      </c>
      <c r="C762" s="1" t="s">
        <v>24</v>
      </c>
      <c r="D762" s="1" t="str">
        <f t="shared" si="1311"/>
        <v>2021</v>
      </c>
      <c r="E762" s="1" t="str">
        <f>"35.94"</f>
        <v>35.94</v>
      </c>
      <c r="F762" s="1" t="str">
        <f t="shared" ref="F762:I762" si="1427">"0"</f>
        <v>0</v>
      </c>
      <c r="G762" s="1" t="str">
        <f t="shared" si="1427"/>
        <v>0</v>
      </c>
      <c r="H762" s="1" t="str">
        <f t="shared" si="1427"/>
        <v>0</v>
      </c>
      <c r="I762" s="1" t="str">
        <f t="shared" si="1427"/>
        <v>0</v>
      </c>
      <c r="J762" s="1" t="str">
        <f>"2"</f>
        <v>2</v>
      </c>
      <c r="K762" s="1" t="str">
        <f t="shared" ref="K762:P762" si="1428">"0"</f>
        <v>0</v>
      </c>
      <c r="L762" s="1" t="str">
        <f t="shared" si="1428"/>
        <v>0</v>
      </c>
      <c r="M762" s="1" t="str">
        <f t="shared" si="1428"/>
        <v>0</v>
      </c>
      <c r="N762" s="1" t="str">
        <f t="shared" si="1428"/>
        <v>0</v>
      </c>
      <c r="O762" s="1" t="str">
        <f t="shared" si="1428"/>
        <v>0</v>
      </c>
      <c r="P762" s="1" t="str">
        <f t="shared" si="1428"/>
        <v>0</v>
      </c>
      <c r="Q762" s="1" t="str">
        <f t="shared" si="1314"/>
        <v>0.0070</v>
      </c>
      <c r="R762" s="1" t="s">
        <v>29</v>
      </c>
      <c r="S762" s="1">
        <v>-0.0014</v>
      </c>
      <c r="T762" s="1" t="str">
        <f t="shared" si="1315"/>
        <v>0</v>
      </c>
      <c r="U762" s="1" t="str">
        <f t="shared" si="1424"/>
        <v>0.0056</v>
      </c>
    </row>
    <row r="763" s="1" customFormat="1" spans="1:21">
      <c r="A763" s="1" t="str">
        <f>"4601992000977"</f>
        <v>4601992000977</v>
      </c>
      <c r="B763" s="1" t="s">
        <v>787</v>
      </c>
      <c r="C763" s="1" t="s">
        <v>24</v>
      </c>
      <c r="D763" s="1" t="str">
        <f t="shared" si="1311"/>
        <v>2021</v>
      </c>
      <c r="E763" s="1" t="str">
        <f t="shared" ref="E763:P763" si="1429">"0"</f>
        <v>0</v>
      </c>
      <c r="F763" s="1" t="str">
        <f t="shared" si="1429"/>
        <v>0</v>
      </c>
      <c r="G763" s="1" t="str">
        <f t="shared" si="1429"/>
        <v>0</v>
      </c>
      <c r="H763" s="1" t="str">
        <f t="shared" si="1429"/>
        <v>0</v>
      </c>
      <c r="I763" s="1" t="str">
        <f t="shared" si="1429"/>
        <v>0</v>
      </c>
      <c r="J763" s="1" t="str">
        <f t="shared" si="1429"/>
        <v>0</v>
      </c>
      <c r="K763" s="1" t="str">
        <f t="shared" si="1429"/>
        <v>0</v>
      </c>
      <c r="L763" s="1" t="str">
        <f t="shared" si="1429"/>
        <v>0</v>
      </c>
      <c r="M763" s="1" t="str">
        <f t="shared" si="1429"/>
        <v>0</v>
      </c>
      <c r="N763" s="1" t="str">
        <f t="shared" si="1429"/>
        <v>0</v>
      </c>
      <c r="O763" s="1" t="str">
        <f t="shared" si="1429"/>
        <v>0</v>
      </c>
      <c r="P763" s="1" t="str">
        <f t="shared" si="1429"/>
        <v>0</v>
      </c>
      <c r="Q763" s="1" t="str">
        <f t="shared" si="1314"/>
        <v>0.0070</v>
      </c>
      <c r="R763" s="1" t="s">
        <v>25</v>
      </c>
      <c r="T763" s="1" t="str">
        <f t="shared" si="1315"/>
        <v>0</v>
      </c>
      <c r="U763" s="1" t="str">
        <f>"0.0070"</f>
        <v>0.0070</v>
      </c>
    </row>
    <row r="764" s="1" customFormat="1" spans="1:21">
      <c r="A764" s="1" t="str">
        <f>"4601992000957"</f>
        <v>4601992000957</v>
      </c>
      <c r="B764" s="1" t="s">
        <v>788</v>
      </c>
      <c r="C764" s="1" t="s">
        <v>24</v>
      </c>
      <c r="D764" s="1" t="str">
        <f t="shared" si="1311"/>
        <v>2021</v>
      </c>
      <c r="E764" s="1" t="str">
        <f>"72.43"</f>
        <v>72.43</v>
      </c>
      <c r="F764" s="1" t="str">
        <f t="shared" ref="F764:I764" si="1430">"0"</f>
        <v>0</v>
      </c>
      <c r="G764" s="1" t="str">
        <f t="shared" si="1430"/>
        <v>0</v>
      </c>
      <c r="H764" s="1" t="str">
        <f t="shared" si="1430"/>
        <v>0</v>
      </c>
      <c r="I764" s="1" t="str">
        <f t="shared" si="1430"/>
        <v>0</v>
      </c>
      <c r="J764" s="1" t="str">
        <f>"7"</f>
        <v>7</v>
      </c>
      <c r="K764" s="1" t="str">
        <f t="shared" ref="K764:P764" si="1431">"0"</f>
        <v>0</v>
      </c>
      <c r="L764" s="1" t="str">
        <f t="shared" si="1431"/>
        <v>0</v>
      </c>
      <c r="M764" s="1" t="str">
        <f t="shared" si="1431"/>
        <v>0</v>
      </c>
      <c r="N764" s="1" t="str">
        <f t="shared" si="1431"/>
        <v>0</v>
      </c>
      <c r="O764" s="1" t="str">
        <f t="shared" si="1431"/>
        <v>0</v>
      </c>
      <c r="P764" s="1" t="str">
        <f t="shared" si="1431"/>
        <v>0</v>
      </c>
      <c r="Q764" s="1" t="str">
        <f t="shared" si="1314"/>
        <v>0.0070</v>
      </c>
      <c r="R764" s="1" t="s">
        <v>29</v>
      </c>
      <c r="S764" s="1">
        <v>-0.0014</v>
      </c>
      <c r="T764" s="1" t="str">
        <f t="shared" si="1315"/>
        <v>0</v>
      </c>
      <c r="U764" s="1" t="str">
        <f t="shared" ref="U764:U769" si="1432">"0.0056"</f>
        <v>0.0056</v>
      </c>
    </row>
    <row r="765" s="1" customFormat="1" spans="1:21">
      <c r="A765" s="1" t="str">
        <f>"4601992000981"</f>
        <v>4601992000981</v>
      </c>
      <c r="B765" s="1" t="s">
        <v>789</v>
      </c>
      <c r="C765" s="1" t="s">
        <v>24</v>
      </c>
      <c r="D765" s="1" t="str">
        <f t="shared" si="1311"/>
        <v>2021</v>
      </c>
      <c r="E765" s="1" t="str">
        <f t="shared" ref="E765:P765" si="1433">"0"</f>
        <v>0</v>
      </c>
      <c r="F765" s="1" t="str">
        <f t="shared" si="1433"/>
        <v>0</v>
      </c>
      <c r="G765" s="1" t="str">
        <f t="shared" si="1433"/>
        <v>0</v>
      </c>
      <c r="H765" s="1" t="str">
        <f t="shared" si="1433"/>
        <v>0</v>
      </c>
      <c r="I765" s="1" t="str">
        <f t="shared" si="1433"/>
        <v>0</v>
      </c>
      <c r="J765" s="1" t="str">
        <f t="shared" si="1433"/>
        <v>0</v>
      </c>
      <c r="K765" s="1" t="str">
        <f t="shared" si="1433"/>
        <v>0</v>
      </c>
      <c r="L765" s="1" t="str">
        <f t="shared" si="1433"/>
        <v>0</v>
      </c>
      <c r="M765" s="1" t="str">
        <f t="shared" si="1433"/>
        <v>0</v>
      </c>
      <c r="N765" s="1" t="str">
        <f t="shared" si="1433"/>
        <v>0</v>
      </c>
      <c r="O765" s="1" t="str">
        <f t="shared" si="1433"/>
        <v>0</v>
      </c>
      <c r="P765" s="1" t="str">
        <f t="shared" si="1433"/>
        <v>0</v>
      </c>
      <c r="Q765" s="1" t="str">
        <f t="shared" si="1314"/>
        <v>0.0070</v>
      </c>
      <c r="R765" s="1" t="s">
        <v>25</v>
      </c>
      <c r="T765" s="1" t="str">
        <f t="shared" si="1315"/>
        <v>0</v>
      </c>
      <c r="U765" s="1" t="str">
        <f>"0.0070"</f>
        <v>0.0070</v>
      </c>
    </row>
    <row r="766" s="1" customFormat="1" spans="1:21">
      <c r="A766" s="1" t="str">
        <f>"4601991411646"</f>
        <v>4601991411646</v>
      </c>
      <c r="B766" s="1" t="s">
        <v>790</v>
      </c>
      <c r="C766" s="1" t="s">
        <v>24</v>
      </c>
      <c r="D766" s="1" t="str">
        <f t="shared" si="1311"/>
        <v>2021</v>
      </c>
      <c r="E766" s="1" t="str">
        <f>"145.05"</f>
        <v>145.05</v>
      </c>
      <c r="F766" s="1" t="str">
        <f t="shared" ref="F766:I766" si="1434">"0"</f>
        <v>0</v>
      </c>
      <c r="G766" s="1" t="str">
        <f t="shared" si="1434"/>
        <v>0</v>
      </c>
      <c r="H766" s="1" t="str">
        <f t="shared" si="1434"/>
        <v>0</v>
      </c>
      <c r="I766" s="1" t="str">
        <f t="shared" si="1434"/>
        <v>0</v>
      </c>
      <c r="J766" s="1" t="str">
        <f>"16"</f>
        <v>16</v>
      </c>
      <c r="K766" s="1" t="str">
        <f t="shared" ref="K766:P766" si="1435">"0"</f>
        <v>0</v>
      </c>
      <c r="L766" s="1" t="str">
        <f t="shared" si="1435"/>
        <v>0</v>
      </c>
      <c r="M766" s="1" t="str">
        <f t="shared" si="1435"/>
        <v>0</v>
      </c>
      <c r="N766" s="1" t="str">
        <f t="shared" si="1435"/>
        <v>0</v>
      </c>
      <c r="O766" s="1" t="str">
        <f t="shared" si="1435"/>
        <v>0</v>
      </c>
      <c r="P766" s="1" t="str">
        <f t="shared" si="1435"/>
        <v>0</v>
      </c>
      <c r="Q766" s="1" t="str">
        <f t="shared" si="1314"/>
        <v>0.0070</v>
      </c>
      <c r="R766" s="1" t="s">
        <v>29</v>
      </c>
      <c r="S766" s="1">
        <v>-0.0014</v>
      </c>
      <c r="T766" s="1" t="str">
        <f t="shared" si="1315"/>
        <v>0</v>
      </c>
      <c r="U766" s="1" t="str">
        <f t="shared" si="1432"/>
        <v>0.0056</v>
      </c>
    </row>
    <row r="767" s="1" customFormat="1" spans="1:21">
      <c r="A767" s="1" t="str">
        <f>"4601992000983"</f>
        <v>4601992000983</v>
      </c>
      <c r="B767" s="1" t="s">
        <v>791</v>
      </c>
      <c r="C767" s="1" t="s">
        <v>24</v>
      </c>
      <c r="D767" s="1" t="str">
        <f t="shared" si="1311"/>
        <v>2021</v>
      </c>
      <c r="E767" s="1" t="str">
        <f>"362.89"</f>
        <v>362.89</v>
      </c>
      <c r="F767" s="1" t="str">
        <f t="shared" ref="F767:I767" si="1436">"0"</f>
        <v>0</v>
      </c>
      <c r="G767" s="1" t="str">
        <f t="shared" si="1436"/>
        <v>0</v>
      </c>
      <c r="H767" s="1" t="str">
        <f t="shared" si="1436"/>
        <v>0</v>
      </c>
      <c r="I767" s="1" t="str">
        <f t="shared" si="1436"/>
        <v>0</v>
      </c>
      <c r="J767" s="1" t="str">
        <f>"32"</f>
        <v>32</v>
      </c>
      <c r="K767" s="1" t="str">
        <f t="shared" ref="K767:P767" si="1437">"0"</f>
        <v>0</v>
      </c>
      <c r="L767" s="1" t="str">
        <f t="shared" si="1437"/>
        <v>0</v>
      </c>
      <c r="M767" s="1" t="str">
        <f t="shared" si="1437"/>
        <v>0</v>
      </c>
      <c r="N767" s="1" t="str">
        <f t="shared" si="1437"/>
        <v>0</v>
      </c>
      <c r="O767" s="1" t="str">
        <f t="shared" si="1437"/>
        <v>0</v>
      </c>
      <c r="P767" s="1" t="str">
        <f t="shared" si="1437"/>
        <v>0</v>
      </c>
      <c r="Q767" s="1" t="str">
        <f t="shared" si="1314"/>
        <v>0.0070</v>
      </c>
      <c r="R767" s="1" t="s">
        <v>29</v>
      </c>
      <c r="S767" s="1">
        <v>-0.0014</v>
      </c>
      <c r="T767" s="1" t="str">
        <f t="shared" si="1315"/>
        <v>0</v>
      </c>
      <c r="U767" s="1" t="str">
        <f t="shared" si="1432"/>
        <v>0.0056</v>
      </c>
    </row>
    <row r="768" s="1" customFormat="1" spans="1:21">
      <c r="A768" s="1" t="str">
        <f>"4601992000996"</f>
        <v>4601992000996</v>
      </c>
      <c r="B768" s="1" t="s">
        <v>792</v>
      </c>
      <c r="C768" s="1" t="s">
        <v>24</v>
      </c>
      <c r="D768" s="1" t="str">
        <f t="shared" si="1311"/>
        <v>2021</v>
      </c>
      <c r="E768" s="1" t="str">
        <f>"12.09"</f>
        <v>12.09</v>
      </c>
      <c r="F768" s="1" t="str">
        <f t="shared" ref="F768:I768" si="1438">"0"</f>
        <v>0</v>
      </c>
      <c r="G768" s="1" t="str">
        <f t="shared" si="1438"/>
        <v>0</v>
      </c>
      <c r="H768" s="1" t="str">
        <f t="shared" si="1438"/>
        <v>0</v>
      </c>
      <c r="I768" s="1" t="str">
        <f t="shared" si="1438"/>
        <v>0</v>
      </c>
      <c r="J768" s="1" t="str">
        <f>"1"</f>
        <v>1</v>
      </c>
      <c r="K768" s="1" t="str">
        <f t="shared" ref="K768:P768" si="1439">"0"</f>
        <v>0</v>
      </c>
      <c r="L768" s="1" t="str">
        <f t="shared" si="1439"/>
        <v>0</v>
      </c>
      <c r="M768" s="1" t="str">
        <f t="shared" si="1439"/>
        <v>0</v>
      </c>
      <c r="N768" s="1" t="str">
        <f t="shared" si="1439"/>
        <v>0</v>
      </c>
      <c r="O768" s="1" t="str">
        <f t="shared" si="1439"/>
        <v>0</v>
      </c>
      <c r="P768" s="1" t="str">
        <f t="shared" si="1439"/>
        <v>0</v>
      </c>
      <c r="Q768" s="1" t="str">
        <f t="shared" si="1314"/>
        <v>0.0070</v>
      </c>
      <c r="R768" s="1" t="s">
        <v>29</v>
      </c>
      <c r="S768" s="1">
        <v>-0.0014</v>
      </c>
      <c r="T768" s="1" t="str">
        <f t="shared" si="1315"/>
        <v>0</v>
      </c>
      <c r="U768" s="1" t="str">
        <f t="shared" si="1432"/>
        <v>0.0056</v>
      </c>
    </row>
    <row r="769" s="1" customFormat="1" spans="1:21">
      <c r="A769" s="1" t="str">
        <f>"4601991422970"</f>
        <v>4601991422970</v>
      </c>
      <c r="B769" s="1" t="s">
        <v>793</v>
      </c>
      <c r="C769" s="1" t="s">
        <v>24</v>
      </c>
      <c r="D769" s="1" t="str">
        <f t="shared" si="1311"/>
        <v>2021</v>
      </c>
      <c r="E769" s="1" t="str">
        <f>"76.64"</f>
        <v>76.64</v>
      </c>
      <c r="F769" s="1" t="str">
        <f t="shared" ref="F769:I769" si="1440">"0"</f>
        <v>0</v>
      </c>
      <c r="G769" s="1" t="str">
        <f t="shared" si="1440"/>
        <v>0</v>
      </c>
      <c r="H769" s="1" t="str">
        <f t="shared" si="1440"/>
        <v>0</v>
      </c>
      <c r="I769" s="1" t="str">
        <f t="shared" si="1440"/>
        <v>0</v>
      </c>
      <c r="J769" s="1" t="str">
        <f>"9"</f>
        <v>9</v>
      </c>
      <c r="K769" s="1" t="str">
        <f t="shared" ref="K769:P769" si="1441">"0"</f>
        <v>0</v>
      </c>
      <c r="L769" s="1" t="str">
        <f t="shared" si="1441"/>
        <v>0</v>
      </c>
      <c r="M769" s="1" t="str">
        <f t="shared" si="1441"/>
        <v>0</v>
      </c>
      <c r="N769" s="1" t="str">
        <f t="shared" si="1441"/>
        <v>0</v>
      </c>
      <c r="O769" s="1" t="str">
        <f t="shared" si="1441"/>
        <v>0</v>
      </c>
      <c r="P769" s="1" t="str">
        <f t="shared" si="1441"/>
        <v>0</v>
      </c>
      <c r="Q769" s="1" t="str">
        <f t="shared" si="1314"/>
        <v>0.0070</v>
      </c>
      <c r="R769" s="1" t="s">
        <v>29</v>
      </c>
      <c r="S769" s="1">
        <v>-0.0014</v>
      </c>
      <c r="T769" s="1" t="str">
        <f t="shared" si="1315"/>
        <v>0</v>
      </c>
      <c r="U769" s="1" t="str">
        <f t="shared" si="1432"/>
        <v>0.0056</v>
      </c>
    </row>
    <row r="770" s="1" customFormat="1" spans="1:21">
      <c r="A770" s="1" t="str">
        <f>"4601992001103"</f>
        <v>4601992001103</v>
      </c>
      <c r="B770" s="1" t="s">
        <v>794</v>
      </c>
      <c r="C770" s="1" t="s">
        <v>24</v>
      </c>
      <c r="D770" s="1" t="str">
        <f t="shared" si="1311"/>
        <v>2021</v>
      </c>
      <c r="E770" s="1" t="str">
        <f t="shared" ref="E770:P770" si="1442">"0"</f>
        <v>0</v>
      </c>
      <c r="F770" s="1" t="str">
        <f t="shared" si="1442"/>
        <v>0</v>
      </c>
      <c r="G770" s="1" t="str">
        <f t="shared" si="1442"/>
        <v>0</v>
      </c>
      <c r="H770" s="1" t="str">
        <f t="shared" si="1442"/>
        <v>0</v>
      </c>
      <c r="I770" s="1" t="str">
        <f t="shared" si="1442"/>
        <v>0</v>
      </c>
      <c r="J770" s="1" t="str">
        <f t="shared" si="1442"/>
        <v>0</v>
      </c>
      <c r="K770" s="1" t="str">
        <f t="shared" si="1442"/>
        <v>0</v>
      </c>
      <c r="L770" s="1" t="str">
        <f t="shared" si="1442"/>
        <v>0</v>
      </c>
      <c r="M770" s="1" t="str">
        <f t="shared" si="1442"/>
        <v>0</v>
      </c>
      <c r="N770" s="1" t="str">
        <f t="shared" si="1442"/>
        <v>0</v>
      </c>
      <c r="O770" s="1" t="str">
        <f t="shared" si="1442"/>
        <v>0</v>
      </c>
      <c r="P770" s="1" t="str">
        <f t="shared" si="1442"/>
        <v>0</v>
      </c>
      <c r="Q770" s="1" t="str">
        <f t="shared" si="1314"/>
        <v>0.0070</v>
      </c>
      <c r="R770" s="1" t="s">
        <v>25</v>
      </c>
      <c r="T770" s="1" t="str">
        <f t="shared" si="1315"/>
        <v>0</v>
      </c>
      <c r="U770" s="1" t="str">
        <f>"0.0070"</f>
        <v>0.0070</v>
      </c>
    </row>
    <row r="771" s="1" customFormat="1" spans="1:21">
      <c r="A771" s="1" t="str">
        <f>"4601992001202"</f>
        <v>4601992001202</v>
      </c>
      <c r="B771" s="1" t="s">
        <v>795</v>
      </c>
      <c r="C771" s="1" t="s">
        <v>24</v>
      </c>
      <c r="D771" s="1" t="str">
        <f t="shared" ref="D771:D834" si="1443">"2021"</f>
        <v>2021</v>
      </c>
      <c r="E771" s="1" t="str">
        <f t="shared" ref="E771:G771" si="1444">"0"</f>
        <v>0</v>
      </c>
      <c r="F771" s="1" t="str">
        <f t="shared" si="1444"/>
        <v>0</v>
      </c>
      <c r="G771" s="1" t="str">
        <f t="shared" si="1444"/>
        <v>0</v>
      </c>
      <c r="H771" s="1" t="str">
        <f>"48.36"</f>
        <v>48.36</v>
      </c>
      <c r="I771" s="1" t="str">
        <f t="shared" ref="I771:P771" si="1445">"0"</f>
        <v>0</v>
      </c>
      <c r="J771" s="1" t="str">
        <f t="shared" si="1445"/>
        <v>0</v>
      </c>
      <c r="K771" s="1" t="str">
        <f t="shared" si="1445"/>
        <v>0</v>
      </c>
      <c r="L771" s="1" t="str">
        <f t="shared" si="1445"/>
        <v>0</v>
      </c>
      <c r="M771" s="1" t="str">
        <f t="shared" si="1445"/>
        <v>0</v>
      </c>
      <c r="N771" s="1" t="str">
        <f t="shared" si="1445"/>
        <v>0</v>
      </c>
      <c r="O771" s="1" t="str">
        <f t="shared" si="1445"/>
        <v>0</v>
      </c>
      <c r="P771" s="1" t="str">
        <f t="shared" si="1445"/>
        <v>0</v>
      </c>
      <c r="Q771" s="1" t="str">
        <f t="shared" ref="Q771:Q834" si="1446">"0.0070"</f>
        <v>0.0070</v>
      </c>
      <c r="R771" s="1" t="s">
        <v>25</v>
      </c>
      <c r="T771" s="1" t="str">
        <f t="shared" ref="T771:T834" si="1447">"0"</f>
        <v>0</v>
      </c>
      <c r="U771" s="1" t="str">
        <f>"0.0070"</f>
        <v>0.0070</v>
      </c>
    </row>
    <row r="772" s="1" customFormat="1" spans="1:21">
      <c r="A772" s="1" t="str">
        <f>"4601992001180"</f>
        <v>4601992001180</v>
      </c>
      <c r="B772" s="1" t="s">
        <v>796</v>
      </c>
      <c r="C772" s="1" t="s">
        <v>24</v>
      </c>
      <c r="D772" s="1" t="str">
        <f t="shared" si="1443"/>
        <v>2021</v>
      </c>
      <c r="E772" s="1" t="str">
        <f>"36.27"</f>
        <v>36.27</v>
      </c>
      <c r="F772" s="1" t="str">
        <f t="shared" ref="F772:I772" si="1448">"0"</f>
        <v>0</v>
      </c>
      <c r="G772" s="1" t="str">
        <f t="shared" si="1448"/>
        <v>0</v>
      </c>
      <c r="H772" s="1" t="str">
        <f t="shared" si="1448"/>
        <v>0</v>
      </c>
      <c r="I772" s="1" t="str">
        <f t="shared" si="1448"/>
        <v>0</v>
      </c>
      <c r="J772" s="1" t="str">
        <f>"3"</f>
        <v>3</v>
      </c>
      <c r="K772" s="1" t="str">
        <f t="shared" ref="K772:P772" si="1449">"0"</f>
        <v>0</v>
      </c>
      <c r="L772" s="1" t="str">
        <f t="shared" si="1449"/>
        <v>0</v>
      </c>
      <c r="M772" s="1" t="str">
        <f t="shared" si="1449"/>
        <v>0</v>
      </c>
      <c r="N772" s="1" t="str">
        <f t="shared" si="1449"/>
        <v>0</v>
      </c>
      <c r="O772" s="1" t="str">
        <f t="shared" si="1449"/>
        <v>0</v>
      </c>
      <c r="P772" s="1" t="str">
        <f t="shared" si="1449"/>
        <v>0</v>
      </c>
      <c r="Q772" s="1" t="str">
        <f t="shared" si="1446"/>
        <v>0.0070</v>
      </c>
      <c r="R772" s="1" t="s">
        <v>29</v>
      </c>
      <c r="S772" s="1">
        <v>-0.0014</v>
      </c>
      <c r="T772" s="1" t="str">
        <f t="shared" si="1447"/>
        <v>0</v>
      </c>
      <c r="U772" s="1" t="str">
        <f t="shared" ref="U772:U776" si="1450">"0.0056"</f>
        <v>0.0056</v>
      </c>
    </row>
    <row r="773" s="1" customFormat="1" spans="1:21">
      <c r="A773" s="1" t="str">
        <f>"4601992001182"</f>
        <v>4601992001182</v>
      </c>
      <c r="B773" s="1" t="s">
        <v>797</v>
      </c>
      <c r="C773" s="1" t="s">
        <v>24</v>
      </c>
      <c r="D773" s="1" t="str">
        <f t="shared" si="1443"/>
        <v>2021</v>
      </c>
      <c r="E773" s="1" t="str">
        <f>"193.44"</f>
        <v>193.44</v>
      </c>
      <c r="F773" s="1" t="str">
        <f t="shared" ref="F773:I773" si="1451">"0"</f>
        <v>0</v>
      </c>
      <c r="G773" s="1" t="str">
        <f t="shared" si="1451"/>
        <v>0</v>
      </c>
      <c r="H773" s="1" t="str">
        <f t="shared" si="1451"/>
        <v>0</v>
      </c>
      <c r="I773" s="1" t="str">
        <f t="shared" si="1451"/>
        <v>0</v>
      </c>
      <c r="J773" s="1" t="str">
        <f>"17"</f>
        <v>17</v>
      </c>
      <c r="K773" s="1" t="str">
        <f t="shared" ref="K773:P773" si="1452">"0"</f>
        <v>0</v>
      </c>
      <c r="L773" s="1" t="str">
        <f t="shared" si="1452"/>
        <v>0</v>
      </c>
      <c r="M773" s="1" t="str">
        <f t="shared" si="1452"/>
        <v>0</v>
      </c>
      <c r="N773" s="1" t="str">
        <f t="shared" si="1452"/>
        <v>0</v>
      </c>
      <c r="O773" s="1" t="str">
        <f t="shared" si="1452"/>
        <v>0</v>
      </c>
      <c r="P773" s="1" t="str">
        <f t="shared" si="1452"/>
        <v>0</v>
      </c>
      <c r="Q773" s="1" t="str">
        <f t="shared" si="1446"/>
        <v>0.0070</v>
      </c>
      <c r="R773" s="1" t="s">
        <v>29</v>
      </c>
      <c r="S773" s="1">
        <v>-0.0014</v>
      </c>
      <c r="T773" s="1" t="str">
        <f t="shared" si="1447"/>
        <v>0</v>
      </c>
      <c r="U773" s="1" t="str">
        <f t="shared" si="1450"/>
        <v>0.0056</v>
      </c>
    </row>
    <row r="774" s="1" customFormat="1" spans="1:21">
      <c r="A774" s="1" t="str">
        <f>"4601992001243"</f>
        <v>4601992001243</v>
      </c>
      <c r="B774" s="1" t="s">
        <v>798</v>
      </c>
      <c r="C774" s="1" t="s">
        <v>24</v>
      </c>
      <c r="D774" s="1" t="str">
        <f t="shared" si="1443"/>
        <v>2021</v>
      </c>
      <c r="E774" s="1" t="str">
        <f>"19.34"</f>
        <v>19.34</v>
      </c>
      <c r="F774" s="1" t="str">
        <f t="shared" ref="F774:I774" si="1453">"0"</f>
        <v>0</v>
      </c>
      <c r="G774" s="1" t="str">
        <f t="shared" si="1453"/>
        <v>0</v>
      </c>
      <c r="H774" s="1" t="str">
        <f t="shared" si="1453"/>
        <v>0</v>
      </c>
      <c r="I774" s="1" t="str">
        <f t="shared" si="1453"/>
        <v>0</v>
      </c>
      <c r="J774" s="1" t="str">
        <f>"2"</f>
        <v>2</v>
      </c>
      <c r="K774" s="1" t="str">
        <f t="shared" ref="K774:P774" si="1454">"0"</f>
        <v>0</v>
      </c>
      <c r="L774" s="1" t="str">
        <f t="shared" si="1454"/>
        <v>0</v>
      </c>
      <c r="M774" s="1" t="str">
        <f t="shared" si="1454"/>
        <v>0</v>
      </c>
      <c r="N774" s="1" t="str">
        <f t="shared" si="1454"/>
        <v>0</v>
      </c>
      <c r="O774" s="1" t="str">
        <f t="shared" si="1454"/>
        <v>0</v>
      </c>
      <c r="P774" s="1" t="str">
        <f t="shared" si="1454"/>
        <v>0</v>
      </c>
      <c r="Q774" s="1" t="str">
        <f t="shared" si="1446"/>
        <v>0.0070</v>
      </c>
      <c r="R774" s="1" t="s">
        <v>29</v>
      </c>
      <c r="S774" s="1">
        <v>-0.0014</v>
      </c>
      <c r="T774" s="1" t="str">
        <f t="shared" si="1447"/>
        <v>0</v>
      </c>
      <c r="U774" s="1" t="str">
        <f t="shared" si="1450"/>
        <v>0.0056</v>
      </c>
    </row>
    <row r="775" s="1" customFormat="1" spans="1:21">
      <c r="A775" s="1" t="str">
        <f>"4601992000933"</f>
        <v>4601992000933</v>
      </c>
      <c r="B775" s="1" t="s">
        <v>799</v>
      </c>
      <c r="C775" s="1" t="s">
        <v>24</v>
      </c>
      <c r="D775" s="1" t="str">
        <f t="shared" si="1443"/>
        <v>2021</v>
      </c>
      <c r="E775" s="1" t="str">
        <f>"280715.41"</f>
        <v>280715.41</v>
      </c>
      <c r="F775" s="1" t="str">
        <f>"37492.86"</f>
        <v>37492.86</v>
      </c>
      <c r="G775" s="1" t="str">
        <f t="shared" ref="G775:L775" si="1455">"0"</f>
        <v>0</v>
      </c>
      <c r="H775" s="1" t="str">
        <f t="shared" si="1455"/>
        <v>0</v>
      </c>
      <c r="I775" s="1" t="str">
        <f>"0.1336"</f>
        <v>0.1336</v>
      </c>
      <c r="J775" s="1" t="str">
        <f>"2334"</f>
        <v>2334</v>
      </c>
      <c r="K775" s="1" t="str">
        <f>"3"</f>
        <v>3</v>
      </c>
      <c r="L775" s="1" t="str">
        <f t="shared" si="1455"/>
        <v>0</v>
      </c>
      <c r="M775" s="1" t="str">
        <f>"0.0013"</f>
        <v>0.0013</v>
      </c>
      <c r="N775" s="1" t="str">
        <f t="shared" ref="N775:P775" si="1456">"0"</f>
        <v>0</v>
      </c>
      <c r="O775" s="1" t="str">
        <f t="shared" si="1456"/>
        <v>0</v>
      </c>
      <c r="P775" s="1" t="str">
        <f t="shared" si="1456"/>
        <v>0</v>
      </c>
      <c r="Q775" s="1" t="str">
        <f t="shared" si="1446"/>
        <v>0.0070</v>
      </c>
      <c r="R775" s="1" t="s">
        <v>29</v>
      </c>
      <c r="S775" s="1">
        <v>-0.0014</v>
      </c>
      <c r="T775" s="1" t="str">
        <f t="shared" si="1447"/>
        <v>0</v>
      </c>
      <c r="U775" s="1" t="str">
        <f t="shared" si="1450"/>
        <v>0.0056</v>
      </c>
    </row>
    <row r="776" s="1" customFormat="1" spans="1:21">
      <c r="A776" s="1" t="str">
        <f>"4601991409091"</f>
        <v>4601991409091</v>
      </c>
      <c r="B776" s="1" t="s">
        <v>800</v>
      </c>
      <c r="C776" s="1" t="s">
        <v>24</v>
      </c>
      <c r="D776" s="1" t="str">
        <f t="shared" si="1443"/>
        <v>2021</v>
      </c>
      <c r="E776" s="1" t="str">
        <f>"48.35"</f>
        <v>48.35</v>
      </c>
      <c r="F776" s="1" t="str">
        <f t="shared" ref="F776:I776" si="1457">"0"</f>
        <v>0</v>
      </c>
      <c r="G776" s="1" t="str">
        <f t="shared" si="1457"/>
        <v>0</v>
      </c>
      <c r="H776" s="1" t="str">
        <f t="shared" si="1457"/>
        <v>0</v>
      </c>
      <c r="I776" s="1" t="str">
        <f t="shared" si="1457"/>
        <v>0</v>
      </c>
      <c r="J776" s="1" t="str">
        <f>"6"</f>
        <v>6</v>
      </c>
      <c r="K776" s="1" t="str">
        <f t="shared" ref="K776:P776" si="1458">"0"</f>
        <v>0</v>
      </c>
      <c r="L776" s="1" t="str">
        <f t="shared" si="1458"/>
        <v>0</v>
      </c>
      <c r="M776" s="1" t="str">
        <f t="shared" si="1458"/>
        <v>0</v>
      </c>
      <c r="N776" s="1" t="str">
        <f t="shared" si="1458"/>
        <v>0</v>
      </c>
      <c r="O776" s="1" t="str">
        <f t="shared" si="1458"/>
        <v>0</v>
      </c>
      <c r="P776" s="1" t="str">
        <f t="shared" si="1458"/>
        <v>0</v>
      </c>
      <c r="Q776" s="1" t="str">
        <f t="shared" si="1446"/>
        <v>0.0070</v>
      </c>
      <c r="R776" s="1" t="s">
        <v>29</v>
      </c>
      <c r="S776" s="1">
        <v>-0.0014</v>
      </c>
      <c r="T776" s="1" t="str">
        <f t="shared" si="1447"/>
        <v>0</v>
      </c>
      <c r="U776" s="1" t="str">
        <f t="shared" si="1450"/>
        <v>0.0056</v>
      </c>
    </row>
    <row r="777" s="1" customFormat="1" spans="1:21">
      <c r="A777" s="1" t="str">
        <f>"4601992001281"</f>
        <v>4601992001281</v>
      </c>
      <c r="B777" s="1" t="s">
        <v>801</v>
      </c>
      <c r="C777" s="1" t="s">
        <v>24</v>
      </c>
      <c r="D777" s="1" t="str">
        <f t="shared" si="1443"/>
        <v>2021</v>
      </c>
      <c r="E777" s="1" t="str">
        <f t="shared" ref="E777:P777" si="1459">"0"</f>
        <v>0</v>
      </c>
      <c r="F777" s="1" t="str">
        <f t="shared" si="1459"/>
        <v>0</v>
      </c>
      <c r="G777" s="1" t="str">
        <f t="shared" si="1459"/>
        <v>0</v>
      </c>
      <c r="H777" s="1" t="str">
        <f t="shared" si="1459"/>
        <v>0</v>
      </c>
      <c r="I777" s="1" t="str">
        <f t="shared" si="1459"/>
        <v>0</v>
      </c>
      <c r="J777" s="1" t="str">
        <f t="shared" si="1459"/>
        <v>0</v>
      </c>
      <c r="K777" s="1" t="str">
        <f t="shared" si="1459"/>
        <v>0</v>
      </c>
      <c r="L777" s="1" t="str">
        <f t="shared" si="1459"/>
        <v>0</v>
      </c>
      <c r="M777" s="1" t="str">
        <f t="shared" si="1459"/>
        <v>0</v>
      </c>
      <c r="N777" s="1" t="str">
        <f t="shared" si="1459"/>
        <v>0</v>
      </c>
      <c r="O777" s="1" t="str">
        <f t="shared" si="1459"/>
        <v>0</v>
      </c>
      <c r="P777" s="1" t="str">
        <f t="shared" si="1459"/>
        <v>0</v>
      </c>
      <c r="Q777" s="1" t="str">
        <f t="shared" si="1446"/>
        <v>0.0070</v>
      </c>
      <c r="R777" s="1" t="s">
        <v>25</v>
      </c>
      <c r="T777" s="1" t="str">
        <f t="shared" si="1447"/>
        <v>0</v>
      </c>
      <c r="U777" s="1" t="str">
        <f>"0.0070"</f>
        <v>0.0070</v>
      </c>
    </row>
    <row r="778" s="1" customFormat="1" spans="1:21">
      <c r="A778" s="1" t="str">
        <f>"4601992001311"</f>
        <v>4601992001311</v>
      </c>
      <c r="B778" s="1" t="s">
        <v>802</v>
      </c>
      <c r="C778" s="1" t="s">
        <v>24</v>
      </c>
      <c r="D778" s="1" t="str">
        <f t="shared" si="1443"/>
        <v>2021</v>
      </c>
      <c r="E778" s="1" t="str">
        <f>"36.27"</f>
        <v>36.27</v>
      </c>
      <c r="F778" s="1" t="str">
        <f t="shared" ref="F778:I778" si="1460">"0"</f>
        <v>0</v>
      </c>
      <c r="G778" s="1" t="str">
        <f t="shared" si="1460"/>
        <v>0</v>
      </c>
      <c r="H778" s="1" t="str">
        <f t="shared" si="1460"/>
        <v>0</v>
      </c>
      <c r="I778" s="1" t="str">
        <f t="shared" si="1460"/>
        <v>0</v>
      </c>
      <c r="J778" s="1" t="str">
        <f>"3"</f>
        <v>3</v>
      </c>
      <c r="K778" s="1" t="str">
        <f t="shared" ref="K778:P778" si="1461">"0"</f>
        <v>0</v>
      </c>
      <c r="L778" s="1" t="str">
        <f t="shared" si="1461"/>
        <v>0</v>
      </c>
      <c r="M778" s="1" t="str">
        <f t="shared" si="1461"/>
        <v>0</v>
      </c>
      <c r="N778" s="1" t="str">
        <f t="shared" si="1461"/>
        <v>0</v>
      </c>
      <c r="O778" s="1" t="str">
        <f t="shared" si="1461"/>
        <v>0</v>
      </c>
      <c r="P778" s="1" t="str">
        <f t="shared" si="1461"/>
        <v>0</v>
      </c>
      <c r="Q778" s="1" t="str">
        <f t="shared" si="1446"/>
        <v>0.0070</v>
      </c>
      <c r="R778" s="1" t="s">
        <v>29</v>
      </c>
      <c r="S778" s="1">
        <v>-0.0014</v>
      </c>
      <c r="T778" s="1" t="str">
        <f t="shared" si="1447"/>
        <v>0</v>
      </c>
      <c r="U778" s="1" t="str">
        <f t="shared" ref="U778:U780" si="1462">"0.0056"</f>
        <v>0.0056</v>
      </c>
    </row>
    <row r="779" s="1" customFormat="1" spans="1:21">
      <c r="A779" s="1" t="str">
        <f>"4601992001341"</f>
        <v>4601992001341</v>
      </c>
      <c r="B779" s="1" t="s">
        <v>803</v>
      </c>
      <c r="C779" s="1" t="s">
        <v>24</v>
      </c>
      <c r="D779" s="1" t="str">
        <f t="shared" si="1443"/>
        <v>2021</v>
      </c>
      <c r="E779" s="1" t="str">
        <f>"350.39"</f>
        <v>350.39</v>
      </c>
      <c r="F779" s="1" t="str">
        <f t="shared" ref="F779:I779" si="1463">"0"</f>
        <v>0</v>
      </c>
      <c r="G779" s="1" t="str">
        <f t="shared" si="1463"/>
        <v>0</v>
      </c>
      <c r="H779" s="1" t="str">
        <f t="shared" si="1463"/>
        <v>0</v>
      </c>
      <c r="I779" s="1" t="str">
        <f t="shared" si="1463"/>
        <v>0</v>
      </c>
      <c r="J779" s="1" t="str">
        <f>"27"</f>
        <v>27</v>
      </c>
      <c r="K779" s="1" t="str">
        <f t="shared" ref="K779:P779" si="1464">"0"</f>
        <v>0</v>
      </c>
      <c r="L779" s="1" t="str">
        <f t="shared" si="1464"/>
        <v>0</v>
      </c>
      <c r="M779" s="1" t="str">
        <f t="shared" si="1464"/>
        <v>0</v>
      </c>
      <c r="N779" s="1" t="str">
        <f t="shared" si="1464"/>
        <v>0</v>
      </c>
      <c r="O779" s="1" t="str">
        <f t="shared" si="1464"/>
        <v>0</v>
      </c>
      <c r="P779" s="1" t="str">
        <f t="shared" si="1464"/>
        <v>0</v>
      </c>
      <c r="Q779" s="1" t="str">
        <f t="shared" si="1446"/>
        <v>0.0070</v>
      </c>
      <c r="R779" s="1" t="s">
        <v>29</v>
      </c>
      <c r="S779" s="1">
        <v>-0.0014</v>
      </c>
      <c r="T779" s="1" t="str">
        <f t="shared" si="1447"/>
        <v>0</v>
      </c>
      <c r="U779" s="1" t="str">
        <f t="shared" si="1462"/>
        <v>0.0056</v>
      </c>
    </row>
    <row r="780" s="1" customFormat="1" spans="1:21">
      <c r="A780" s="1" t="str">
        <f>"4601991426978"</f>
        <v>4601991426978</v>
      </c>
      <c r="B780" s="1" t="s">
        <v>804</v>
      </c>
      <c r="C780" s="1" t="s">
        <v>24</v>
      </c>
      <c r="D780" s="1" t="str">
        <f t="shared" si="1443"/>
        <v>2021</v>
      </c>
      <c r="E780" s="1" t="str">
        <f>"290109.23"</f>
        <v>290109.23</v>
      </c>
      <c r="F780" s="1" t="str">
        <f>"98111.84"</f>
        <v>98111.84</v>
      </c>
      <c r="G780" s="1" t="str">
        <f>"55248.00"</f>
        <v>55248.00</v>
      </c>
      <c r="H780" s="1" t="str">
        <f t="shared" ref="H780:H843" si="1465">"0"</f>
        <v>0</v>
      </c>
      <c r="I780" s="1" t="str">
        <f>"0.1478"</f>
        <v>0.1478</v>
      </c>
      <c r="J780" s="1" t="str">
        <f>"2530"</f>
        <v>2530</v>
      </c>
      <c r="K780" s="1" t="str">
        <f>"23"</f>
        <v>23</v>
      </c>
      <c r="L780" s="1" t="str">
        <f>"3"</f>
        <v>3</v>
      </c>
      <c r="M780" s="1" t="str">
        <f>"0.0079"</f>
        <v>0.0079</v>
      </c>
      <c r="N780" s="1" t="str">
        <f t="shared" ref="N780:P780" si="1466">"0"</f>
        <v>0</v>
      </c>
      <c r="O780" s="1" t="str">
        <f t="shared" si="1466"/>
        <v>0</v>
      </c>
      <c r="P780" s="1" t="str">
        <f t="shared" si="1466"/>
        <v>0</v>
      </c>
      <c r="Q780" s="1" t="str">
        <f t="shared" si="1446"/>
        <v>0.0070</v>
      </c>
      <c r="R780" s="1" t="s">
        <v>29</v>
      </c>
      <c r="S780" s="1">
        <v>-0.0014</v>
      </c>
      <c r="T780" s="1" t="str">
        <f t="shared" si="1447"/>
        <v>0</v>
      </c>
      <c r="U780" s="1" t="str">
        <f t="shared" si="1462"/>
        <v>0.0056</v>
      </c>
    </row>
    <row r="781" s="1" customFormat="1" spans="1:21">
      <c r="A781" s="1" t="str">
        <f>"4601991425945"</f>
        <v>4601991425945</v>
      </c>
      <c r="B781" s="1" t="s">
        <v>805</v>
      </c>
      <c r="C781" s="1" t="s">
        <v>24</v>
      </c>
      <c r="D781" s="1" t="str">
        <f t="shared" si="1443"/>
        <v>2021</v>
      </c>
      <c r="E781" s="1" t="str">
        <f>"19793.14"</f>
        <v>19793.14</v>
      </c>
      <c r="F781" s="1" t="str">
        <f>"51346.26"</f>
        <v>51346.26</v>
      </c>
      <c r="G781" s="1" t="str">
        <f>"402.00"</f>
        <v>402.00</v>
      </c>
      <c r="H781" s="1" t="str">
        <f t="shared" si="1465"/>
        <v>0</v>
      </c>
      <c r="I781" s="1" t="str">
        <f>"2.5738"</f>
        <v>2.5738</v>
      </c>
      <c r="J781" s="1" t="str">
        <f>"1804"</f>
        <v>1804</v>
      </c>
      <c r="K781" s="1" t="str">
        <f>"14"</f>
        <v>14</v>
      </c>
      <c r="L781" s="1" t="str">
        <f>"2"</f>
        <v>2</v>
      </c>
      <c r="M781" s="1" t="str">
        <f>"0.0067"</f>
        <v>0.0067</v>
      </c>
      <c r="N781" s="1" t="str">
        <f t="shared" ref="N781:P781" si="1467">"0"</f>
        <v>0</v>
      </c>
      <c r="O781" s="1" t="str">
        <f t="shared" si="1467"/>
        <v>0</v>
      </c>
      <c r="P781" s="1" t="str">
        <f t="shared" si="1467"/>
        <v>0</v>
      </c>
      <c r="Q781" s="1" t="str">
        <f t="shared" si="1446"/>
        <v>0.0070</v>
      </c>
      <c r="R781" s="1" t="s">
        <v>25</v>
      </c>
      <c r="T781" s="1" t="str">
        <f t="shared" si="1447"/>
        <v>0</v>
      </c>
      <c r="U781" s="1" t="str">
        <f>"0.0070"</f>
        <v>0.0070</v>
      </c>
    </row>
    <row r="782" s="1" customFormat="1" spans="1:21">
      <c r="A782" s="1" t="str">
        <f>"4601992001342"</f>
        <v>4601992001342</v>
      </c>
      <c r="B782" s="1" t="s">
        <v>806</v>
      </c>
      <c r="C782" s="1" t="s">
        <v>24</v>
      </c>
      <c r="D782" s="1" t="str">
        <f t="shared" si="1443"/>
        <v>2021</v>
      </c>
      <c r="E782" s="1" t="str">
        <f>"24.07"</f>
        <v>24.07</v>
      </c>
      <c r="F782" s="1" t="str">
        <f t="shared" ref="F782:I782" si="1468">"0"</f>
        <v>0</v>
      </c>
      <c r="G782" s="1" t="str">
        <f t="shared" si="1468"/>
        <v>0</v>
      </c>
      <c r="H782" s="1" t="str">
        <f t="shared" si="1465"/>
        <v>0</v>
      </c>
      <c r="I782" s="1" t="str">
        <f t="shared" si="1468"/>
        <v>0</v>
      </c>
      <c r="J782" s="1" t="str">
        <f>"2"</f>
        <v>2</v>
      </c>
      <c r="K782" s="1" t="str">
        <f t="shared" ref="K782:P782" si="1469">"0"</f>
        <v>0</v>
      </c>
      <c r="L782" s="1" t="str">
        <f t="shared" si="1469"/>
        <v>0</v>
      </c>
      <c r="M782" s="1" t="str">
        <f t="shared" si="1469"/>
        <v>0</v>
      </c>
      <c r="N782" s="1" t="str">
        <f t="shared" si="1469"/>
        <v>0</v>
      </c>
      <c r="O782" s="1" t="str">
        <f t="shared" si="1469"/>
        <v>0</v>
      </c>
      <c r="P782" s="1" t="str">
        <f t="shared" si="1469"/>
        <v>0</v>
      </c>
      <c r="Q782" s="1" t="str">
        <f t="shared" si="1446"/>
        <v>0.0070</v>
      </c>
      <c r="R782" s="1" t="s">
        <v>29</v>
      </c>
      <c r="S782" s="1">
        <v>-0.0014</v>
      </c>
      <c r="T782" s="1" t="str">
        <f t="shared" si="1447"/>
        <v>0</v>
      </c>
      <c r="U782" s="1" t="str">
        <f t="shared" ref="U782:U784" si="1470">"0.0056"</f>
        <v>0.0056</v>
      </c>
    </row>
    <row r="783" s="1" customFormat="1" spans="1:21">
      <c r="A783" s="1" t="str">
        <f>"4601991404568"</f>
        <v>4601991404568</v>
      </c>
      <c r="B783" s="1" t="s">
        <v>807</v>
      </c>
      <c r="C783" s="1" t="s">
        <v>24</v>
      </c>
      <c r="D783" s="1" t="str">
        <f t="shared" si="1443"/>
        <v>2021</v>
      </c>
      <c r="E783" s="1" t="str">
        <f>"83.86"</f>
        <v>83.86</v>
      </c>
      <c r="F783" s="1" t="str">
        <f t="shared" ref="F783:I783" si="1471">"0"</f>
        <v>0</v>
      </c>
      <c r="G783" s="1" t="str">
        <f t="shared" si="1471"/>
        <v>0</v>
      </c>
      <c r="H783" s="1" t="str">
        <f t="shared" si="1465"/>
        <v>0</v>
      </c>
      <c r="I783" s="1" t="str">
        <f t="shared" si="1471"/>
        <v>0</v>
      </c>
      <c r="J783" s="1" t="str">
        <f>"6"</f>
        <v>6</v>
      </c>
      <c r="K783" s="1" t="str">
        <f t="shared" ref="K783:P783" si="1472">"0"</f>
        <v>0</v>
      </c>
      <c r="L783" s="1" t="str">
        <f t="shared" si="1472"/>
        <v>0</v>
      </c>
      <c r="M783" s="1" t="str">
        <f t="shared" si="1472"/>
        <v>0</v>
      </c>
      <c r="N783" s="1" t="str">
        <f t="shared" si="1472"/>
        <v>0</v>
      </c>
      <c r="O783" s="1" t="str">
        <f t="shared" si="1472"/>
        <v>0</v>
      </c>
      <c r="P783" s="1" t="str">
        <f t="shared" si="1472"/>
        <v>0</v>
      </c>
      <c r="Q783" s="1" t="str">
        <f t="shared" si="1446"/>
        <v>0.0070</v>
      </c>
      <c r="R783" s="1" t="s">
        <v>29</v>
      </c>
      <c r="S783" s="1">
        <v>-0.0014</v>
      </c>
      <c r="T783" s="1" t="str">
        <f t="shared" si="1447"/>
        <v>0</v>
      </c>
      <c r="U783" s="1" t="str">
        <f t="shared" si="1470"/>
        <v>0.0056</v>
      </c>
    </row>
    <row r="784" s="1" customFormat="1" spans="1:21">
      <c r="A784" s="1" t="str">
        <f>"4601992001403"</f>
        <v>4601992001403</v>
      </c>
      <c r="B784" s="1" t="s">
        <v>808</v>
      </c>
      <c r="C784" s="1" t="s">
        <v>24</v>
      </c>
      <c r="D784" s="1" t="str">
        <f t="shared" si="1443"/>
        <v>2021</v>
      </c>
      <c r="E784" s="1" t="str">
        <f>"24.18"</f>
        <v>24.18</v>
      </c>
      <c r="F784" s="1" t="str">
        <f t="shared" ref="F784:I784" si="1473">"0"</f>
        <v>0</v>
      </c>
      <c r="G784" s="1" t="str">
        <f t="shared" si="1473"/>
        <v>0</v>
      </c>
      <c r="H784" s="1" t="str">
        <f t="shared" si="1465"/>
        <v>0</v>
      </c>
      <c r="I784" s="1" t="str">
        <f t="shared" si="1473"/>
        <v>0</v>
      </c>
      <c r="J784" s="1" t="str">
        <f>"3"</f>
        <v>3</v>
      </c>
      <c r="K784" s="1" t="str">
        <f t="shared" ref="K784:P784" si="1474">"0"</f>
        <v>0</v>
      </c>
      <c r="L784" s="1" t="str">
        <f t="shared" si="1474"/>
        <v>0</v>
      </c>
      <c r="M784" s="1" t="str">
        <f t="shared" si="1474"/>
        <v>0</v>
      </c>
      <c r="N784" s="1" t="str">
        <f t="shared" si="1474"/>
        <v>0</v>
      </c>
      <c r="O784" s="1" t="str">
        <f t="shared" si="1474"/>
        <v>0</v>
      </c>
      <c r="P784" s="1" t="str">
        <f t="shared" si="1474"/>
        <v>0</v>
      </c>
      <c r="Q784" s="1" t="str">
        <f t="shared" si="1446"/>
        <v>0.0070</v>
      </c>
      <c r="R784" s="1" t="s">
        <v>29</v>
      </c>
      <c r="S784" s="1">
        <v>-0.0014</v>
      </c>
      <c r="T784" s="1" t="str">
        <f t="shared" si="1447"/>
        <v>0</v>
      </c>
      <c r="U784" s="1" t="str">
        <f t="shared" si="1470"/>
        <v>0.0056</v>
      </c>
    </row>
    <row r="785" s="1" customFormat="1" spans="1:21">
      <c r="A785" s="1" t="str">
        <f>"4601991419709"</f>
        <v>4601991419709</v>
      </c>
      <c r="B785" s="1" t="s">
        <v>809</v>
      </c>
      <c r="C785" s="1" t="s">
        <v>24</v>
      </c>
      <c r="D785" s="1" t="str">
        <f t="shared" si="1443"/>
        <v>2021</v>
      </c>
      <c r="E785" s="1" t="str">
        <f t="shared" ref="E785:G785" si="1475">"0"</f>
        <v>0</v>
      </c>
      <c r="F785" s="1" t="str">
        <f t="shared" si="1475"/>
        <v>0</v>
      </c>
      <c r="G785" s="1" t="str">
        <f t="shared" si="1475"/>
        <v>0</v>
      </c>
      <c r="H785" s="1" t="str">
        <f t="shared" si="1465"/>
        <v>0</v>
      </c>
      <c r="I785" s="1" t="str">
        <f t="shared" ref="I785:P785" si="1476">"0"</f>
        <v>0</v>
      </c>
      <c r="J785" s="1" t="str">
        <f t="shared" si="1476"/>
        <v>0</v>
      </c>
      <c r="K785" s="1" t="str">
        <f t="shared" si="1476"/>
        <v>0</v>
      </c>
      <c r="L785" s="1" t="str">
        <f t="shared" si="1476"/>
        <v>0</v>
      </c>
      <c r="M785" s="1" t="str">
        <f t="shared" si="1476"/>
        <v>0</v>
      </c>
      <c r="N785" s="1" t="str">
        <f t="shared" si="1476"/>
        <v>0</v>
      </c>
      <c r="O785" s="1" t="str">
        <f t="shared" si="1476"/>
        <v>0</v>
      </c>
      <c r="P785" s="1" t="str">
        <f t="shared" si="1476"/>
        <v>0</v>
      </c>
      <c r="Q785" s="1" t="str">
        <f t="shared" si="1446"/>
        <v>0.0070</v>
      </c>
      <c r="R785" s="1" t="s">
        <v>25</v>
      </c>
      <c r="T785" s="1" t="str">
        <f t="shared" si="1447"/>
        <v>0</v>
      </c>
      <c r="U785" s="1" t="str">
        <f>"0.0070"</f>
        <v>0.0070</v>
      </c>
    </row>
    <row r="786" s="1" customFormat="1" spans="1:21">
      <c r="A786" s="1" t="str">
        <f>"4601992001477"</f>
        <v>4601992001477</v>
      </c>
      <c r="B786" s="1" t="s">
        <v>810</v>
      </c>
      <c r="C786" s="1" t="s">
        <v>24</v>
      </c>
      <c r="D786" s="1" t="str">
        <f t="shared" si="1443"/>
        <v>2021</v>
      </c>
      <c r="E786" s="1" t="str">
        <f>"72.54"</f>
        <v>72.54</v>
      </c>
      <c r="F786" s="1" t="str">
        <f t="shared" ref="F786:I786" si="1477">"0"</f>
        <v>0</v>
      </c>
      <c r="G786" s="1" t="str">
        <f t="shared" si="1477"/>
        <v>0</v>
      </c>
      <c r="H786" s="1" t="str">
        <f t="shared" si="1465"/>
        <v>0</v>
      </c>
      <c r="I786" s="1" t="str">
        <f t="shared" si="1477"/>
        <v>0</v>
      </c>
      <c r="J786" s="1" t="str">
        <f>"7"</f>
        <v>7</v>
      </c>
      <c r="K786" s="1" t="str">
        <f t="shared" ref="K786:P786" si="1478">"0"</f>
        <v>0</v>
      </c>
      <c r="L786" s="1" t="str">
        <f t="shared" si="1478"/>
        <v>0</v>
      </c>
      <c r="M786" s="1" t="str">
        <f t="shared" si="1478"/>
        <v>0</v>
      </c>
      <c r="N786" s="1" t="str">
        <f t="shared" si="1478"/>
        <v>0</v>
      </c>
      <c r="O786" s="1" t="str">
        <f t="shared" si="1478"/>
        <v>0</v>
      </c>
      <c r="P786" s="1" t="str">
        <f t="shared" si="1478"/>
        <v>0</v>
      </c>
      <c r="Q786" s="1" t="str">
        <f t="shared" si="1446"/>
        <v>0.0070</v>
      </c>
      <c r="R786" s="1" t="s">
        <v>29</v>
      </c>
      <c r="S786" s="1">
        <v>-0.0014</v>
      </c>
      <c r="T786" s="1" t="str">
        <f t="shared" si="1447"/>
        <v>0</v>
      </c>
      <c r="U786" s="1" t="str">
        <f t="shared" ref="U786:U798" si="1479">"0.0056"</f>
        <v>0.0056</v>
      </c>
    </row>
    <row r="787" s="1" customFormat="1" spans="1:21">
      <c r="A787" s="1" t="str">
        <f>"4601991427552"</f>
        <v>4601991427552</v>
      </c>
      <c r="B787" s="1" t="s">
        <v>811</v>
      </c>
      <c r="C787" s="1" t="s">
        <v>24</v>
      </c>
      <c r="D787" s="1" t="str">
        <f t="shared" si="1443"/>
        <v>2021</v>
      </c>
      <c r="E787" s="1" t="str">
        <f>"39318.36"</f>
        <v>39318.36</v>
      </c>
      <c r="F787" s="1" t="str">
        <f>"201463.54"</f>
        <v>201463.54</v>
      </c>
      <c r="G787" s="1" t="str">
        <f>"28537.82"</f>
        <v>28537.82</v>
      </c>
      <c r="H787" s="1" t="str">
        <f t="shared" si="1465"/>
        <v>0</v>
      </c>
      <c r="I787" s="1" t="str">
        <f>"4.3981"</f>
        <v>4.3981</v>
      </c>
      <c r="J787" s="1" t="str">
        <f>"3246"</f>
        <v>3246</v>
      </c>
      <c r="K787" s="1" t="str">
        <f>"15"</f>
        <v>15</v>
      </c>
      <c r="L787" s="1" t="str">
        <f>"3"</f>
        <v>3</v>
      </c>
      <c r="M787" s="1" t="str">
        <f>"0.0037"</f>
        <v>0.0037</v>
      </c>
      <c r="N787" s="1" t="str">
        <f t="shared" ref="N787:P787" si="1480">"0"</f>
        <v>0</v>
      </c>
      <c r="O787" s="1" t="str">
        <f t="shared" si="1480"/>
        <v>0</v>
      </c>
      <c r="P787" s="1" t="str">
        <f t="shared" si="1480"/>
        <v>0</v>
      </c>
      <c r="Q787" s="1" t="str">
        <f t="shared" si="1446"/>
        <v>0.0070</v>
      </c>
      <c r="R787" s="1" t="s">
        <v>69</v>
      </c>
      <c r="S787" s="1" t="str">
        <f>"0.0014"</f>
        <v>0.0014</v>
      </c>
      <c r="T787" s="1" t="str">
        <f t="shared" si="1447"/>
        <v>0</v>
      </c>
      <c r="U787" s="1" t="str">
        <f>"0.0084"</f>
        <v>0.0084</v>
      </c>
    </row>
    <row r="788" s="1" customFormat="1" spans="1:21">
      <c r="A788" s="1" t="str">
        <f>"4601992001486"</f>
        <v>4601992001486</v>
      </c>
      <c r="B788" s="1" t="s">
        <v>812</v>
      </c>
      <c r="C788" s="1" t="s">
        <v>24</v>
      </c>
      <c r="D788" s="1" t="str">
        <f t="shared" si="1443"/>
        <v>2021</v>
      </c>
      <c r="E788" s="1" t="str">
        <f>"215.64"</f>
        <v>215.64</v>
      </c>
      <c r="F788" s="1" t="str">
        <f t="shared" ref="F788:I788" si="1481">"0"</f>
        <v>0</v>
      </c>
      <c r="G788" s="1" t="str">
        <f t="shared" si="1481"/>
        <v>0</v>
      </c>
      <c r="H788" s="1" t="str">
        <f t="shared" si="1465"/>
        <v>0</v>
      </c>
      <c r="I788" s="1" t="str">
        <f t="shared" si="1481"/>
        <v>0</v>
      </c>
      <c r="J788" s="1" t="str">
        <f>"15"</f>
        <v>15</v>
      </c>
      <c r="K788" s="1" t="str">
        <f t="shared" ref="K788:P788" si="1482">"0"</f>
        <v>0</v>
      </c>
      <c r="L788" s="1" t="str">
        <f t="shared" si="1482"/>
        <v>0</v>
      </c>
      <c r="M788" s="1" t="str">
        <f t="shared" si="1482"/>
        <v>0</v>
      </c>
      <c r="N788" s="1" t="str">
        <f t="shared" si="1482"/>
        <v>0</v>
      </c>
      <c r="O788" s="1" t="str">
        <f t="shared" si="1482"/>
        <v>0</v>
      </c>
      <c r="P788" s="1" t="str">
        <f t="shared" si="1482"/>
        <v>0</v>
      </c>
      <c r="Q788" s="1" t="str">
        <f t="shared" si="1446"/>
        <v>0.0070</v>
      </c>
      <c r="R788" s="1" t="s">
        <v>29</v>
      </c>
      <c r="S788" s="1">
        <v>-0.0014</v>
      </c>
      <c r="T788" s="1" t="str">
        <f t="shared" si="1447"/>
        <v>0</v>
      </c>
      <c r="U788" s="1" t="str">
        <f t="shared" si="1479"/>
        <v>0.0056</v>
      </c>
    </row>
    <row r="789" s="1" customFormat="1" spans="1:21">
      <c r="A789" s="1" t="str">
        <f>"4601991400844"</f>
        <v>4601991400844</v>
      </c>
      <c r="B789" s="1" t="s">
        <v>813</v>
      </c>
      <c r="C789" s="1" t="s">
        <v>24</v>
      </c>
      <c r="D789" s="1" t="str">
        <f t="shared" si="1443"/>
        <v>2021</v>
      </c>
      <c r="E789" s="1" t="str">
        <f>"251.24"</f>
        <v>251.24</v>
      </c>
      <c r="F789" s="1" t="str">
        <f t="shared" ref="F789:I789" si="1483">"0"</f>
        <v>0</v>
      </c>
      <c r="G789" s="1" t="str">
        <f t="shared" si="1483"/>
        <v>0</v>
      </c>
      <c r="H789" s="1" t="str">
        <f t="shared" si="1465"/>
        <v>0</v>
      </c>
      <c r="I789" s="1" t="str">
        <f t="shared" si="1483"/>
        <v>0</v>
      </c>
      <c r="J789" s="1" t="str">
        <f>"25"</f>
        <v>25</v>
      </c>
      <c r="K789" s="1" t="str">
        <f t="shared" ref="K789:P789" si="1484">"0"</f>
        <v>0</v>
      </c>
      <c r="L789" s="1" t="str">
        <f t="shared" si="1484"/>
        <v>0</v>
      </c>
      <c r="M789" s="1" t="str">
        <f t="shared" si="1484"/>
        <v>0</v>
      </c>
      <c r="N789" s="1" t="str">
        <f t="shared" si="1484"/>
        <v>0</v>
      </c>
      <c r="O789" s="1" t="str">
        <f t="shared" si="1484"/>
        <v>0</v>
      </c>
      <c r="P789" s="1" t="str">
        <f t="shared" si="1484"/>
        <v>0</v>
      </c>
      <c r="Q789" s="1" t="str">
        <f t="shared" si="1446"/>
        <v>0.0070</v>
      </c>
      <c r="R789" s="1" t="s">
        <v>29</v>
      </c>
      <c r="S789" s="1">
        <v>-0.0014</v>
      </c>
      <c r="T789" s="1" t="str">
        <f t="shared" si="1447"/>
        <v>0</v>
      </c>
      <c r="U789" s="1" t="str">
        <f t="shared" si="1479"/>
        <v>0.0056</v>
      </c>
    </row>
    <row r="790" s="1" customFormat="1" spans="1:21">
      <c r="A790" s="1" t="str">
        <f>"4601992001496"</f>
        <v>4601992001496</v>
      </c>
      <c r="B790" s="1" t="s">
        <v>814</v>
      </c>
      <c r="C790" s="1" t="s">
        <v>24</v>
      </c>
      <c r="D790" s="1" t="str">
        <f t="shared" si="1443"/>
        <v>2021</v>
      </c>
      <c r="E790" s="1" t="str">
        <f>"12.09"</f>
        <v>12.09</v>
      </c>
      <c r="F790" s="1" t="str">
        <f t="shared" ref="F790:I790" si="1485">"0"</f>
        <v>0</v>
      </c>
      <c r="G790" s="1" t="str">
        <f t="shared" si="1485"/>
        <v>0</v>
      </c>
      <c r="H790" s="1" t="str">
        <f t="shared" si="1465"/>
        <v>0</v>
      </c>
      <c r="I790" s="1" t="str">
        <f t="shared" si="1485"/>
        <v>0</v>
      </c>
      <c r="J790" s="1" t="str">
        <f>"1"</f>
        <v>1</v>
      </c>
      <c r="K790" s="1" t="str">
        <f t="shared" ref="K790:P790" si="1486">"0"</f>
        <v>0</v>
      </c>
      <c r="L790" s="1" t="str">
        <f t="shared" si="1486"/>
        <v>0</v>
      </c>
      <c r="M790" s="1" t="str">
        <f t="shared" si="1486"/>
        <v>0</v>
      </c>
      <c r="N790" s="1" t="str">
        <f t="shared" si="1486"/>
        <v>0</v>
      </c>
      <c r="O790" s="1" t="str">
        <f t="shared" si="1486"/>
        <v>0</v>
      </c>
      <c r="P790" s="1" t="str">
        <f t="shared" si="1486"/>
        <v>0</v>
      </c>
      <c r="Q790" s="1" t="str">
        <f t="shared" si="1446"/>
        <v>0.0070</v>
      </c>
      <c r="R790" s="1" t="s">
        <v>29</v>
      </c>
      <c r="S790" s="1">
        <v>-0.0014</v>
      </c>
      <c r="T790" s="1" t="str">
        <f t="shared" si="1447"/>
        <v>0</v>
      </c>
      <c r="U790" s="1" t="str">
        <f t="shared" si="1479"/>
        <v>0.0056</v>
      </c>
    </row>
    <row r="791" s="1" customFormat="1" spans="1:21">
      <c r="A791" s="1" t="str">
        <f>"4601992001535"</f>
        <v>4601992001535</v>
      </c>
      <c r="B791" s="1" t="s">
        <v>815</v>
      </c>
      <c r="C791" s="1" t="s">
        <v>24</v>
      </c>
      <c r="D791" s="1" t="str">
        <f t="shared" si="1443"/>
        <v>2021</v>
      </c>
      <c r="E791" s="1" t="str">
        <f>"24.18"</f>
        <v>24.18</v>
      </c>
      <c r="F791" s="1" t="str">
        <f t="shared" ref="F791:I791" si="1487">"0"</f>
        <v>0</v>
      </c>
      <c r="G791" s="1" t="str">
        <f t="shared" si="1487"/>
        <v>0</v>
      </c>
      <c r="H791" s="1" t="str">
        <f t="shared" si="1465"/>
        <v>0</v>
      </c>
      <c r="I791" s="1" t="str">
        <f t="shared" si="1487"/>
        <v>0</v>
      </c>
      <c r="J791" s="1" t="str">
        <f>"2"</f>
        <v>2</v>
      </c>
      <c r="K791" s="1" t="str">
        <f t="shared" ref="K791:P791" si="1488">"0"</f>
        <v>0</v>
      </c>
      <c r="L791" s="1" t="str">
        <f t="shared" si="1488"/>
        <v>0</v>
      </c>
      <c r="M791" s="1" t="str">
        <f t="shared" si="1488"/>
        <v>0</v>
      </c>
      <c r="N791" s="1" t="str">
        <f t="shared" si="1488"/>
        <v>0</v>
      </c>
      <c r="O791" s="1" t="str">
        <f t="shared" si="1488"/>
        <v>0</v>
      </c>
      <c r="P791" s="1" t="str">
        <f t="shared" si="1488"/>
        <v>0</v>
      </c>
      <c r="Q791" s="1" t="str">
        <f t="shared" si="1446"/>
        <v>0.0070</v>
      </c>
      <c r="R791" s="1" t="s">
        <v>29</v>
      </c>
      <c r="S791" s="1">
        <v>-0.0014</v>
      </c>
      <c r="T791" s="1" t="str">
        <f t="shared" si="1447"/>
        <v>0</v>
      </c>
      <c r="U791" s="1" t="str">
        <f t="shared" si="1479"/>
        <v>0.0056</v>
      </c>
    </row>
    <row r="792" s="1" customFormat="1" spans="1:21">
      <c r="A792" s="1" t="str">
        <f>"4601992001533"</f>
        <v>4601992001533</v>
      </c>
      <c r="B792" s="1" t="s">
        <v>816</v>
      </c>
      <c r="C792" s="1" t="s">
        <v>24</v>
      </c>
      <c r="D792" s="1" t="str">
        <f t="shared" si="1443"/>
        <v>2021</v>
      </c>
      <c r="E792" s="1" t="str">
        <f>"9.67"</f>
        <v>9.67</v>
      </c>
      <c r="F792" s="1" t="str">
        <f t="shared" ref="F792:I792" si="1489">"0"</f>
        <v>0</v>
      </c>
      <c r="G792" s="1" t="str">
        <f t="shared" si="1489"/>
        <v>0</v>
      </c>
      <c r="H792" s="1" t="str">
        <f t="shared" si="1465"/>
        <v>0</v>
      </c>
      <c r="I792" s="1" t="str">
        <f t="shared" si="1489"/>
        <v>0</v>
      </c>
      <c r="J792" s="1" t="str">
        <f>"1"</f>
        <v>1</v>
      </c>
      <c r="K792" s="1" t="str">
        <f t="shared" ref="K792:P792" si="1490">"0"</f>
        <v>0</v>
      </c>
      <c r="L792" s="1" t="str">
        <f t="shared" si="1490"/>
        <v>0</v>
      </c>
      <c r="M792" s="1" t="str">
        <f t="shared" si="1490"/>
        <v>0</v>
      </c>
      <c r="N792" s="1" t="str">
        <f t="shared" si="1490"/>
        <v>0</v>
      </c>
      <c r="O792" s="1" t="str">
        <f t="shared" si="1490"/>
        <v>0</v>
      </c>
      <c r="P792" s="1" t="str">
        <f t="shared" si="1490"/>
        <v>0</v>
      </c>
      <c r="Q792" s="1" t="str">
        <f t="shared" si="1446"/>
        <v>0.0070</v>
      </c>
      <c r="R792" s="1" t="s">
        <v>29</v>
      </c>
      <c r="S792" s="1">
        <v>-0.0014</v>
      </c>
      <c r="T792" s="1" t="str">
        <f t="shared" si="1447"/>
        <v>0</v>
      </c>
      <c r="U792" s="1" t="str">
        <f t="shared" si="1479"/>
        <v>0.0056</v>
      </c>
    </row>
    <row r="793" s="1" customFormat="1" spans="1:21">
      <c r="A793" s="1" t="str">
        <f>"4601992001507"</f>
        <v>4601992001507</v>
      </c>
      <c r="B793" s="1" t="s">
        <v>817</v>
      </c>
      <c r="C793" s="1" t="s">
        <v>24</v>
      </c>
      <c r="D793" s="1" t="str">
        <f t="shared" si="1443"/>
        <v>2021</v>
      </c>
      <c r="E793" s="1" t="str">
        <f>"48.36"</f>
        <v>48.36</v>
      </c>
      <c r="F793" s="1" t="str">
        <f t="shared" ref="F793:I793" si="1491">"0"</f>
        <v>0</v>
      </c>
      <c r="G793" s="1" t="str">
        <f t="shared" si="1491"/>
        <v>0</v>
      </c>
      <c r="H793" s="1" t="str">
        <f t="shared" si="1465"/>
        <v>0</v>
      </c>
      <c r="I793" s="1" t="str">
        <f t="shared" si="1491"/>
        <v>0</v>
      </c>
      <c r="J793" s="1" t="str">
        <f>"4"</f>
        <v>4</v>
      </c>
      <c r="K793" s="1" t="str">
        <f t="shared" ref="K793:P793" si="1492">"0"</f>
        <v>0</v>
      </c>
      <c r="L793" s="1" t="str">
        <f t="shared" si="1492"/>
        <v>0</v>
      </c>
      <c r="M793" s="1" t="str">
        <f t="shared" si="1492"/>
        <v>0</v>
      </c>
      <c r="N793" s="1" t="str">
        <f t="shared" si="1492"/>
        <v>0</v>
      </c>
      <c r="O793" s="1" t="str">
        <f t="shared" si="1492"/>
        <v>0</v>
      </c>
      <c r="P793" s="1" t="str">
        <f t="shared" si="1492"/>
        <v>0</v>
      </c>
      <c r="Q793" s="1" t="str">
        <f t="shared" si="1446"/>
        <v>0.0070</v>
      </c>
      <c r="R793" s="1" t="s">
        <v>29</v>
      </c>
      <c r="S793" s="1">
        <v>-0.0014</v>
      </c>
      <c r="T793" s="1" t="str">
        <f t="shared" si="1447"/>
        <v>0</v>
      </c>
      <c r="U793" s="1" t="str">
        <f t="shared" si="1479"/>
        <v>0.0056</v>
      </c>
    </row>
    <row r="794" s="1" customFormat="1" spans="1:21">
      <c r="A794" s="1" t="str">
        <f>"4601992001548"</f>
        <v>4601992001548</v>
      </c>
      <c r="B794" s="1" t="s">
        <v>818</v>
      </c>
      <c r="C794" s="1" t="s">
        <v>24</v>
      </c>
      <c r="D794" s="1" t="str">
        <f t="shared" si="1443"/>
        <v>2021</v>
      </c>
      <c r="E794" s="1" t="str">
        <f>"71.88"</f>
        <v>71.88</v>
      </c>
      <c r="F794" s="1" t="str">
        <f t="shared" ref="F794:I794" si="1493">"0"</f>
        <v>0</v>
      </c>
      <c r="G794" s="1" t="str">
        <f t="shared" si="1493"/>
        <v>0</v>
      </c>
      <c r="H794" s="1" t="str">
        <f t="shared" si="1465"/>
        <v>0</v>
      </c>
      <c r="I794" s="1" t="str">
        <f t="shared" si="1493"/>
        <v>0</v>
      </c>
      <c r="J794" s="1" t="str">
        <f>"6"</f>
        <v>6</v>
      </c>
      <c r="K794" s="1" t="str">
        <f t="shared" ref="K794:P794" si="1494">"0"</f>
        <v>0</v>
      </c>
      <c r="L794" s="1" t="str">
        <f t="shared" si="1494"/>
        <v>0</v>
      </c>
      <c r="M794" s="1" t="str">
        <f t="shared" si="1494"/>
        <v>0</v>
      </c>
      <c r="N794" s="1" t="str">
        <f t="shared" si="1494"/>
        <v>0</v>
      </c>
      <c r="O794" s="1" t="str">
        <f t="shared" si="1494"/>
        <v>0</v>
      </c>
      <c r="P794" s="1" t="str">
        <f t="shared" si="1494"/>
        <v>0</v>
      </c>
      <c r="Q794" s="1" t="str">
        <f t="shared" si="1446"/>
        <v>0.0070</v>
      </c>
      <c r="R794" s="1" t="s">
        <v>29</v>
      </c>
      <c r="S794" s="1">
        <v>-0.0014</v>
      </c>
      <c r="T794" s="1" t="str">
        <f t="shared" si="1447"/>
        <v>0</v>
      </c>
      <c r="U794" s="1" t="str">
        <f t="shared" si="1479"/>
        <v>0.0056</v>
      </c>
    </row>
    <row r="795" s="1" customFormat="1" spans="1:21">
      <c r="A795" s="1" t="str">
        <f>"4601992001599"</f>
        <v>4601992001599</v>
      </c>
      <c r="B795" s="1" t="s">
        <v>819</v>
      </c>
      <c r="C795" s="1" t="s">
        <v>24</v>
      </c>
      <c r="D795" s="1" t="str">
        <f t="shared" si="1443"/>
        <v>2021</v>
      </c>
      <c r="E795" s="1" t="str">
        <f>"60.45"</f>
        <v>60.45</v>
      </c>
      <c r="F795" s="1" t="str">
        <f t="shared" ref="F795:I795" si="1495">"0"</f>
        <v>0</v>
      </c>
      <c r="G795" s="1" t="str">
        <f t="shared" si="1495"/>
        <v>0</v>
      </c>
      <c r="H795" s="1" t="str">
        <f t="shared" si="1465"/>
        <v>0</v>
      </c>
      <c r="I795" s="1" t="str">
        <f t="shared" si="1495"/>
        <v>0</v>
      </c>
      <c r="J795" s="1" t="str">
        <f>"7"</f>
        <v>7</v>
      </c>
      <c r="K795" s="1" t="str">
        <f t="shared" ref="K795:P795" si="1496">"0"</f>
        <v>0</v>
      </c>
      <c r="L795" s="1" t="str">
        <f t="shared" si="1496"/>
        <v>0</v>
      </c>
      <c r="M795" s="1" t="str">
        <f t="shared" si="1496"/>
        <v>0</v>
      </c>
      <c r="N795" s="1" t="str">
        <f t="shared" si="1496"/>
        <v>0</v>
      </c>
      <c r="O795" s="1" t="str">
        <f t="shared" si="1496"/>
        <v>0</v>
      </c>
      <c r="P795" s="1" t="str">
        <f t="shared" si="1496"/>
        <v>0</v>
      </c>
      <c r="Q795" s="1" t="str">
        <f t="shared" si="1446"/>
        <v>0.0070</v>
      </c>
      <c r="R795" s="1" t="s">
        <v>29</v>
      </c>
      <c r="S795" s="1">
        <v>-0.0014</v>
      </c>
      <c r="T795" s="1" t="str">
        <f t="shared" si="1447"/>
        <v>0</v>
      </c>
      <c r="U795" s="1" t="str">
        <f t="shared" si="1479"/>
        <v>0.0056</v>
      </c>
    </row>
    <row r="796" s="1" customFormat="1" spans="1:21">
      <c r="A796" s="1" t="str">
        <f>"4601992001565"</f>
        <v>4601992001565</v>
      </c>
      <c r="B796" s="1" t="s">
        <v>820</v>
      </c>
      <c r="C796" s="1" t="s">
        <v>24</v>
      </c>
      <c r="D796" s="1" t="str">
        <f t="shared" si="1443"/>
        <v>2021</v>
      </c>
      <c r="E796" s="1" t="str">
        <f>"60.34"</f>
        <v>60.34</v>
      </c>
      <c r="F796" s="1" t="str">
        <f t="shared" ref="F796:I796" si="1497">"0"</f>
        <v>0</v>
      </c>
      <c r="G796" s="1" t="str">
        <f t="shared" si="1497"/>
        <v>0</v>
      </c>
      <c r="H796" s="1" t="str">
        <f t="shared" si="1465"/>
        <v>0</v>
      </c>
      <c r="I796" s="1" t="str">
        <f t="shared" si="1497"/>
        <v>0</v>
      </c>
      <c r="J796" s="1" t="str">
        <f>"7"</f>
        <v>7</v>
      </c>
      <c r="K796" s="1" t="str">
        <f t="shared" ref="K796:P796" si="1498">"0"</f>
        <v>0</v>
      </c>
      <c r="L796" s="1" t="str">
        <f t="shared" si="1498"/>
        <v>0</v>
      </c>
      <c r="M796" s="1" t="str">
        <f t="shared" si="1498"/>
        <v>0</v>
      </c>
      <c r="N796" s="1" t="str">
        <f t="shared" si="1498"/>
        <v>0</v>
      </c>
      <c r="O796" s="1" t="str">
        <f t="shared" si="1498"/>
        <v>0</v>
      </c>
      <c r="P796" s="1" t="str">
        <f t="shared" si="1498"/>
        <v>0</v>
      </c>
      <c r="Q796" s="1" t="str">
        <f t="shared" si="1446"/>
        <v>0.0070</v>
      </c>
      <c r="R796" s="1" t="s">
        <v>29</v>
      </c>
      <c r="S796" s="1">
        <v>-0.0014</v>
      </c>
      <c r="T796" s="1" t="str">
        <f t="shared" si="1447"/>
        <v>0</v>
      </c>
      <c r="U796" s="1" t="str">
        <f t="shared" si="1479"/>
        <v>0.0056</v>
      </c>
    </row>
    <row r="797" s="1" customFormat="1" spans="1:21">
      <c r="A797" s="1" t="str">
        <f>"4601992001571"</f>
        <v>4601992001571</v>
      </c>
      <c r="B797" s="1" t="s">
        <v>821</v>
      </c>
      <c r="C797" s="1" t="s">
        <v>24</v>
      </c>
      <c r="D797" s="1" t="str">
        <f t="shared" si="1443"/>
        <v>2021</v>
      </c>
      <c r="E797" s="1" t="str">
        <f>"1425.62"</f>
        <v>1425.62</v>
      </c>
      <c r="F797" s="1" t="str">
        <f t="shared" ref="F797:I797" si="1499">"0"</f>
        <v>0</v>
      </c>
      <c r="G797" s="1" t="str">
        <f t="shared" si="1499"/>
        <v>0</v>
      </c>
      <c r="H797" s="1" t="str">
        <f t="shared" si="1465"/>
        <v>0</v>
      </c>
      <c r="I797" s="1" t="str">
        <f t="shared" si="1499"/>
        <v>0</v>
      </c>
      <c r="J797" s="1" t="str">
        <f>"121"</f>
        <v>121</v>
      </c>
      <c r="K797" s="1" t="str">
        <f t="shared" ref="K797:P797" si="1500">"0"</f>
        <v>0</v>
      </c>
      <c r="L797" s="1" t="str">
        <f t="shared" si="1500"/>
        <v>0</v>
      </c>
      <c r="M797" s="1" t="str">
        <f t="shared" si="1500"/>
        <v>0</v>
      </c>
      <c r="N797" s="1" t="str">
        <f t="shared" si="1500"/>
        <v>0</v>
      </c>
      <c r="O797" s="1" t="str">
        <f t="shared" si="1500"/>
        <v>0</v>
      </c>
      <c r="P797" s="1" t="str">
        <f t="shared" si="1500"/>
        <v>0</v>
      </c>
      <c r="Q797" s="1" t="str">
        <f t="shared" si="1446"/>
        <v>0.0070</v>
      </c>
      <c r="R797" s="1" t="s">
        <v>29</v>
      </c>
      <c r="S797" s="1">
        <v>-0.0014</v>
      </c>
      <c r="T797" s="1" t="str">
        <f t="shared" si="1447"/>
        <v>0</v>
      </c>
      <c r="U797" s="1" t="str">
        <f t="shared" si="1479"/>
        <v>0.0056</v>
      </c>
    </row>
    <row r="798" s="1" customFormat="1" spans="1:21">
      <c r="A798" s="1" t="str">
        <f>"4601992001604"</f>
        <v>4601992001604</v>
      </c>
      <c r="B798" s="1" t="s">
        <v>822</v>
      </c>
      <c r="C798" s="1" t="s">
        <v>24</v>
      </c>
      <c r="D798" s="1" t="str">
        <f t="shared" si="1443"/>
        <v>2021</v>
      </c>
      <c r="E798" s="1" t="str">
        <f>"211.16"</f>
        <v>211.16</v>
      </c>
      <c r="F798" s="1" t="str">
        <f t="shared" ref="F798:I798" si="1501">"0"</f>
        <v>0</v>
      </c>
      <c r="G798" s="1" t="str">
        <f t="shared" si="1501"/>
        <v>0</v>
      </c>
      <c r="H798" s="1" t="str">
        <f t="shared" si="1465"/>
        <v>0</v>
      </c>
      <c r="I798" s="1" t="str">
        <f t="shared" si="1501"/>
        <v>0</v>
      </c>
      <c r="J798" s="1" t="str">
        <f>"13"</f>
        <v>13</v>
      </c>
      <c r="K798" s="1" t="str">
        <f t="shared" ref="K798:P798" si="1502">"0"</f>
        <v>0</v>
      </c>
      <c r="L798" s="1" t="str">
        <f t="shared" si="1502"/>
        <v>0</v>
      </c>
      <c r="M798" s="1" t="str">
        <f t="shared" si="1502"/>
        <v>0</v>
      </c>
      <c r="N798" s="1" t="str">
        <f t="shared" si="1502"/>
        <v>0</v>
      </c>
      <c r="O798" s="1" t="str">
        <f t="shared" si="1502"/>
        <v>0</v>
      </c>
      <c r="P798" s="1" t="str">
        <f t="shared" si="1502"/>
        <v>0</v>
      </c>
      <c r="Q798" s="1" t="str">
        <f t="shared" si="1446"/>
        <v>0.0070</v>
      </c>
      <c r="R798" s="1" t="s">
        <v>29</v>
      </c>
      <c r="S798" s="1">
        <v>-0.0014</v>
      </c>
      <c r="T798" s="1" t="str">
        <f t="shared" si="1447"/>
        <v>0</v>
      </c>
      <c r="U798" s="1" t="str">
        <f t="shared" si="1479"/>
        <v>0.0056</v>
      </c>
    </row>
    <row r="799" s="1" customFormat="1" spans="1:21">
      <c r="A799" s="1" t="str">
        <f>"4601992001637"</f>
        <v>4601992001637</v>
      </c>
      <c r="B799" s="1" t="s">
        <v>823</v>
      </c>
      <c r="C799" s="1" t="s">
        <v>24</v>
      </c>
      <c r="D799" s="1" t="str">
        <f t="shared" si="1443"/>
        <v>2021</v>
      </c>
      <c r="E799" s="1" t="str">
        <f t="shared" ref="E799:G799" si="1503">"0"</f>
        <v>0</v>
      </c>
      <c r="F799" s="1" t="str">
        <f t="shared" si="1503"/>
        <v>0</v>
      </c>
      <c r="G799" s="1" t="str">
        <f t="shared" si="1503"/>
        <v>0</v>
      </c>
      <c r="H799" s="1" t="str">
        <f t="shared" si="1465"/>
        <v>0</v>
      </c>
      <c r="I799" s="1" t="str">
        <f t="shared" ref="I799:P799" si="1504">"0"</f>
        <v>0</v>
      </c>
      <c r="J799" s="1" t="str">
        <f t="shared" si="1504"/>
        <v>0</v>
      </c>
      <c r="K799" s="1" t="str">
        <f t="shared" si="1504"/>
        <v>0</v>
      </c>
      <c r="L799" s="1" t="str">
        <f t="shared" si="1504"/>
        <v>0</v>
      </c>
      <c r="M799" s="1" t="str">
        <f t="shared" si="1504"/>
        <v>0</v>
      </c>
      <c r="N799" s="1" t="str">
        <f t="shared" si="1504"/>
        <v>0</v>
      </c>
      <c r="O799" s="1" t="str">
        <f t="shared" si="1504"/>
        <v>0</v>
      </c>
      <c r="P799" s="1" t="str">
        <f t="shared" si="1504"/>
        <v>0</v>
      </c>
      <c r="Q799" s="1" t="str">
        <f t="shared" si="1446"/>
        <v>0.0070</v>
      </c>
      <c r="R799" s="1" t="s">
        <v>25</v>
      </c>
      <c r="T799" s="1" t="str">
        <f t="shared" si="1447"/>
        <v>0</v>
      </c>
      <c r="U799" s="1" t="str">
        <f>"0.0070"</f>
        <v>0.0070</v>
      </c>
    </row>
    <row r="800" s="1" customFormat="1" spans="1:21">
      <c r="A800" s="1" t="str">
        <f>"4601992001620"</f>
        <v>4601992001620</v>
      </c>
      <c r="B800" s="1" t="s">
        <v>824</v>
      </c>
      <c r="C800" s="1" t="s">
        <v>24</v>
      </c>
      <c r="D800" s="1" t="str">
        <f t="shared" si="1443"/>
        <v>2021</v>
      </c>
      <c r="E800" s="1" t="str">
        <f>"132.99"</f>
        <v>132.99</v>
      </c>
      <c r="F800" s="1" t="str">
        <f t="shared" ref="F800:I800" si="1505">"0"</f>
        <v>0</v>
      </c>
      <c r="G800" s="1" t="str">
        <f t="shared" si="1505"/>
        <v>0</v>
      </c>
      <c r="H800" s="1" t="str">
        <f t="shared" si="1465"/>
        <v>0</v>
      </c>
      <c r="I800" s="1" t="str">
        <f t="shared" si="1505"/>
        <v>0</v>
      </c>
      <c r="J800" s="1" t="str">
        <f>"10"</f>
        <v>10</v>
      </c>
      <c r="K800" s="1" t="str">
        <f t="shared" ref="K800:P800" si="1506">"0"</f>
        <v>0</v>
      </c>
      <c r="L800" s="1" t="str">
        <f t="shared" si="1506"/>
        <v>0</v>
      </c>
      <c r="M800" s="1" t="str">
        <f t="shared" si="1506"/>
        <v>0</v>
      </c>
      <c r="N800" s="1" t="str">
        <f t="shared" si="1506"/>
        <v>0</v>
      </c>
      <c r="O800" s="1" t="str">
        <f t="shared" si="1506"/>
        <v>0</v>
      </c>
      <c r="P800" s="1" t="str">
        <f t="shared" si="1506"/>
        <v>0</v>
      </c>
      <c r="Q800" s="1" t="str">
        <f t="shared" si="1446"/>
        <v>0.0070</v>
      </c>
      <c r="R800" s="1" t="s">
        <v>29</v>
      </c>
      <c r="S800" s="1">
        <v>-0.0014</v>
      </c>
      <c r="T800" s="1" t="str">
        <f t="shared" si="1447"/>
        <v>0</v>
      </c>
      <c r="U800" s="1" t="str">
        <f t="shared" ref="U800:U807" si="1507">"0.0056"</f>
        <v>0.0056</v>
      </c>
    </row>
    <row r="801" s="1" customFormat="1" spans="1:21">
      <c r="A801" s="1" t="str">
        <f>"4601992001609"</f>
        <v>4601992001609</v>
      </c>
      <c r="B801" s="1" t="s">
        <v>825</v>
      </c>
      <c r="C801" s="1" t="s">
        <v>24</v>
      </c>
      <c r="D801" s="1" t="str">
        <f t="shared" si="1443"/>
        <v>2021</v>
      </c>
      <c r="E801" s="1" t="str">
        <f>"36.27"</f>
        <v>36.27</v>
      </c>
      <c r="F801" s="1" t="str">
        <f t="shared" ref="F801:I801" si="1508">"0"</f>
        <v>0</v>
      </c>
      <c r="G801" s="1" t="str">
        <f t="shared" si="1508"/>
        <v>0</v>
      </c>
      <c r="H801" s="1" t="str">
        <f t="shared" si="1465"/>
        <v>0</v>
      </c>
      <c r="I801" s="1" t="str">
        <f t="shared" si="1508"/>
        <v>0</v>
      </c>
      <c r="J801" s="1" t="str">
        <f>"3"</f>
        <v>3</v>
      </c>
      <c r="K801" s="1" t="str">
        <f t="shared" ref="K801:P801" si="1509">"0"</f>
        <v>0</v>
      </c>
      <c r="L801" s="1" t="str">
        <f t="shared" si="1509"/>
        <v>0</v>
      </c>
      <c r="M801" s="1" t="str">
        <f t="shared" si="1509"/>
        <v>0</v>
      </c>
      <c r="N801" s="1" t="str">
        <f t="shared" si="1509"/>
        <v>0</v>
      </c>
      <c r="O801" s="1" t="str">
        <f t="shared" si="1509"/>
        <v>0</v>
      </c>
      <c r="P801" s="1" t="str">
        <f t="shared" si="1509"/>
        <v>0</v>
      </c>
      <c r="Q801" s="1" t="str">
        <f t="shared" si="1446"/>
        <v>0.0070</v>
      </c>
      <c r="R801" s="1" t="s">
        <v>29</v>
      </c>
      <c r="S801" s="1">
        <v>-0.0014</v>
      </c>
      <c r="T801" s="1" t="str">
        <f t="shared" si="1447"/>
        <v>0</v>
      </c>
      <c r="U801" s="1" t="str">
        <f t="shared" si="1507"/>
        <v>0.0056</v>
      </c>
    </row>
    <row r="802" s="1" customFormat="1" spans="1:21">
      <c r="A802" s="1" t="str">
        <f>"4601992001645"</f>
        <v>4601992001645</v>
      </c>
      <c r="B802" s="1" t="s">
        <v>826</v>
      </c>
      <c r="C802" s="1" t="s">
        <v>24</v>
      </c>
      <c r="D802" s="1" t="str">
        <f t="shared" si="1443"/>
        <v>2021</v>
      </c>
      <c r="E802" s="1" t="str">
        <f t="shared" ref="E802:G802" si="1510">"0"</f>
        <v>0</v>
      </c>
      <c r="F802" s="1" t="str">
        <f t="shared" si="1510"/>
        <v>0</v>
      </c>
      <c r="G802" s="1" t="str">
        <f t="shared" si="1510"/>
        <v>0</v>
      </c>
      <c r="H802" s="1" t="str">
        <f t="shared" si="1465"/>
        <v>0</v>
      </c>
      <c r="I802" s="1" t="str">
        <f t="shared" ref="I802:P802" si="1511">"0"</f>
        <v>0</v>
      </c>
      <c r="J802" s="1" t="str">
        <f t="shared" si="1511"/>
        <v>0</v>
      </c>
      <c r="K802" s="1" t="str">
        <f t="shared" si="1511"/>
        <v>0</v>
      </c>
      <c r="L802" s="1" t="str">
        <f t="shared" si="1511"/>
        <v>0</v>
      </c>
      <c r="M802" s="1" t="str">
        <f t="shared" si="1511"/>
        <v>0</v>
      </c>
      <c r="N802" s="1" t="str">
        <f t="shared" si="1511"/>
        <v>0</v>
      </c>
      <c r="O802" s="1" t="str">
        <f t="shared" si="1511"/>
        <v>0</v>
      </c>
      <c r="P802" s="1" t="str">
        <f t="shared" si="1511"/>
        <v>0</v>
      </c>
      <c r="Q802" s="1" t="str">
        <f t="shared" si="1446"/>
        <v>0.0070</v>
      </c>
      <c r="R802" s="1" t="s">
        <v>25</v>
      </c>
      <c r="T802" s="1" t="str">
        <f t="shared" si="1447"/>
        <v>0</v>
      </c>
      <c r="U802" s="1" t="str">
        <f>"0.0070"</f>
        <v>0.0070</v>
      </c>
    </row>
    <row r="803" s="1" customFormat="1" spans="1:21">
      <c r="A803" s="1" t="str">
        <f>"4601992001643"</f>
        <v>4601992001643</v>
      </c>
      <c r="B803" s="1" t="s">
        <v>827</v>
      </c>
      <c r="C803" s="1" t="s">
        <v>24</v>
      </c>
      <c r="D803" s="1" t="str">
        <f t="shared" si="1443"/>
        <v>2021</v>
      </c>
      <c r="E803" s="1" t="str">
        <f>"60.45"</f>
        <v>60.45</v>
      </c>
      <c r="F803" s="1" t="str">
        <f t="shared" ref="F803:I803" si="1512">"0"</f>
        <v>0</v>
      </c>
      <c r="G803" s="1" t="str">
        <f t="shared" si="1512"/>
        <v>0</v>
      </c>
      <c r="H803" s="1" t="str">
        <f t="shared" si="1465"/>
        <v>0</v>
      </c>
      <c r="I803" s="1" t="str">
        <f t="shared" si="1512"/>
        <v>0</v>
      </c>
      <c r="J803" s="1" t="str">
        <f>"5"</f>
        <v>5</v>
      </c>
      <c r="K803" s="1" t="str">
        <f t="shared" ref="K803:P803" si="1513">"0"</f>
        <v>0</v>
      </c>
      <c r="L803" s="1" t="str">
        <f t="shared" si="1513"/>
        <v>0</v>
      </c>
      <c r="M803" s="1" t="str">
        <f t="shared" si="1513"/>
        <v>0</v>
      </c>
      <c r="N803" s="1" t="str">
        <f t="shared" si="1513"/>
        <v>0</v>
      </c>
      <c r="O803" s="1" t="str">
        <f t="shared" si="1513"/>
        <v>0</v>
      </c>
      <c r="P803" s="1" t="str">
        <f t="shared" si="1513"/>
        <v>0</v>
      </c>
      <c r="Q803" s="1" t="str">
        <f t="shared" si="1446"/>
        <v>0.0070</v>
      </c>
      <c r="R803" s="1" t="s">
        <v>29</v>
      </c>
      <c r="S803" s="1">
        <v>-0.0014</v>
      </c>
      <c r="T803" s="1" t="str">
        <f t="shared" si="1447"/>
        <v>0</v>
      </c>
      <c r="U803" s="1" t="str">
        <f t="shared" si="1507"/>
        <v>0.0056</v>
      </c>
    </row>
    <row r="804" s="1" customFormat="1" spans="1:21">
      <c r="A804" s="1" t="str">
        <f>"4601992001669"</f>
        <v>4601992001669</v>
      </c>
      <c r="B804" s="1" t="s">
        <v>828</v>
      </c>
      <c r="C804" s="1" t="s">
        <v>24</v>
      </c>
      <c r="D804" s="1" t="str">
        <f t="shared" si="1443"/>
        <v>2021</v>
      </c>
      <c r="E804" s="1" t="str">
        <f>"72.43"</f>
        <v>72.43</v>
      </c>
      <c r="F804" s="1" t="str">
        <f t="shared" ref="F804:I804" si="1514">"0"</f>
        <v>0</v>
      </c>
      <c r="G804" s="1" t="str">
        <f t="shared" si="1514"/>
        <v>0</v>
      </c>
      <c r="H804" s="1" t="str">
        <f t="shared" si="1465"/>
        <v>0</v>
      </c>
      <c r="I804" s="1" t="str">
        <f t="shared" si="1514"/>
        <v>0</v>
      </c>
      <c r="J804" s="1" t="str">
        <f>"6"</f>
        <v>6</v>
      </c>
      <c r="K804" s="1" t="str">
        <f t="shared" ref="K804:P804" si="1515">"0"</f>
        <v>0</v>
      </c>
      <c r="L804" s="1" t="str">
        <f t="shared" si="1515"/>
        <v>0</v>
      </c>
      <c r="M804" s="1" t="str">
        <f t="shared" si="1515"/>
        <v>0</v>
      </c>
      <c r="N804" s="1" t="str">
        <f t="shared" si="1515"/>
        <v>0</v>
      </c>
      <c r="O804" s="1" t="str">
        <f t="shared" si="1515"/>
        <v>0</v>
      </c>
      <c r="P804" s="1" t="str">
        <f t="shared" si="1515"/>
        <v>0</v>
      </c>
      <c r="Q804" s="1" t="str">
        <f t="shared" si="1446"/>
        <v>0.0070</v>
      </c>
      <c r="R804" s="1" t="s">
        <v>29</v>
      </c>
      <c r="S804" s="1">
        <v>-0.0014</v>
      </c>
      <c r="T804" s="1" t="str">
        <f t="shared" si="1447"/>
        <v>0</v>
      </c>
      <c r="U804" s="1" t="str">
        <f t="shared" si="1507"/>
        <v>0.0056</v>
      </c>
    </row>
    <row r="805" s="1" customFormat="1" spans="1:21">
      <c r="A805" s="1" t="str">
        <f>"4601992001737"</f>
        <v>4601992001737</v>
      </c>
      <c r="B805" s="1" t="s">
        <v>829</v>
      </c>
      <c r="C805" s="1" t="s">
        <v>24</v>
      </c>
      <c r="D805" s="1" t="str">
        <f t="shared" si="1443"/>
        <v>2021</v>
      </c>
      <c r="E805" s="1" t="str">
        <f>"143.76"</f>
        <v>143.76</v>
      </c>
      <c r="F805" s="1" t="str">
        <f t="shared" ref="F805:I805" si="1516">"0"</f>
        <v>0</v>
      </c>
      <c r="G805" s="1" t="str">
        <f t="shared" si="1516"/>
        <v>0</v>
      </c>
      <c r="H805" s="1" t="str">
        <f t="shared" si="1465"/>
        <v>0</v>
      </c>
      <c r="I805" s="1" t="str">
        <f t="shared" si="1516"/>
        <v>0</v>
      </c>
      <c r="J805" s="1" t="str">
        <f>"13"</f>
        <v>13</v>
      </c>
      <c r="K805" s="1" t="str">
        <f t="shared" ref="K805:P805" si="1517">"0"</f>
        <v>0</v>
      </c>
      <c r="L805" s="1" t="str">
        <f t="shared" si="1517"/>
        <v>0</v>
      </c>
      <c r="M805" s="1" t="str">
        <f t="shared" si="1517"/>
        <v>0</v>
      </c>
      <c r="N805" s="1" t="str">
        <f t="shared" si="1517"/>
        <v>0</v>
      </c>
      <c r="O805" s="1" t="str">
        <f t="shared" si="1517"/>
        <v>0</v>
      </c>
      <c r="P805" s="1" t="str">
        <f t="shared" si="1517"/>
        <v>0</v>
      </c>
      <c r="Q805" s="1" t="str">
        <f t="shared" si="1446"/>
        <v>0.0070</v>
      </c>
      <c r="R805" s="1" t="s">
        <v>29</v>
      </c>
      <c r="S805" s="1">
        <v>-0.0014</v>
      </c>
      <c r="T805" s="1" t="str">
        <f t="shared" si="1447"/>
        <v>0</v>
      </c>
      <c r="U805" s="1" t="str">
        <f t="shared" si="1507"/>
        <v>0.0056</v>
      </c>
    </row>
    <row r="806" s="1" customFormat="1" spans="1:21">
      <c r="A806" s="1" t="str">
        <f>"4601992001718"</f>
        <v>4601992001718</v>
      </c>
      <c r="B806" s="1" t="s">
        <v>830</v>
      </c>
      <c r="C806" s="1" t="s">
        <v>24</v>
      </c>
      <c r="D806" s="1" t="str">
        <f t="shared" si="1443"/>
        <v>2021</v>
      </c>
      <c r="E806" s="1" t="str">
        <f>"36.27"</f>
        <v>36.27</v>
      </c>
      <c r="F806" s="1" t="str">
        <f t="shared" ref="F806:I806" si="1518">"0"</f>
        <v>0</v>
      </c>
      <c r="G806" s="1" t="str">
        <f t="shared" si="1518"/>
        <v>0</v>
      </c>
      <c r="H806" s="1" t="str">
        <f t="shared" si="1465"/>
        <v>0</v>
      </c>
      <c r="I806" s="1" t="str">
        <f t="shared" si="1518"/>
        <v>0</v>
      </c>
      <c r="J806" s="1" t="str">
        <f>"3"</f>
        <v>3</v>
      </c>
      <c r="K806" s="1" t="str">
        <f t="shared" ref="K806:P806" si="1519">"0"</f>
        <v>0</v>
      </c>
      <c r="L806" s="1" t="str">
        <f t="shared" si="1519"/>
        <v>0</v>
      </c>
      <c r="M806" s="1" t="str">
        <f t="shared" si="1519"/>
        <v>0</v>
      </c>
      <c r="N806" s="1" t="str">
        <f t="shared" si="1519"/>
        <v>0</v>
      </c>
      <c r="O806" s="1" t="str">
        <f t="shared" si="1519"/>
        <v>0</v>
      </c>
      <c r="P806" s="1" t="str">
        <f t="shared" si="1519"/>
        <v>0</v>
      </c>
      <c r="Q806" s="1" t="str">
        <f t="shared" si="1446"/>
        <v>0.0070</v>
      </c>
      <c r="R806" s="1" t="s">
        <v>29</v>
      </c>
      <c r="S806" s="1">
        <v>-0.0014</v>
      </c>
      <c r="T806" s="1" t="str">
        <f t="shared" si="1447"/>
        <v>0</v>
      </c>
      <c r="U806" s="1" t="str">
        <f t="shared" si="1507"/>
        <v>0.0056</v>
      </c>
    </row>
    <row r="807" s="1" customFormat="1" spans="1:21">
      <c r="A807" s="1" t="str">
        <f>"4601992001735"</f>
        <v>4601992001735</v>
      </c>
      <c r="B807" s="1" t="s">
        <v>831</v>
      </c>
      <c r="C807" s="1" t="s">
        <v>24</v>
      </c>
      <c r="D807" s="1" t="str">
        <f t="shared" si="1443"/>
        <v>2021</v>
      </c>
      <c r="E807" s="1" t="str">
        <f>"23.96"</f>
        <v>23.96</v>
      </c>
      <c r="F807" s="1" t="str">
        <f t="shared" ref="F807:I807" si="1520">"0"</f>
        <v>0</v>
      </c>
      <c r="G807" s="1" t="str">
        <f t="shared" si="1520"/>
        <v>0</v>
      </c>
      <c r="H807" s="1" t="str">
        <f t="shared" si="1465"/>
        <v>0</v>
      </c>
      <c r="I807" s="1" t="str">
        <f t="shared" si="1520"/>
        <v>0</v>
      </c>
      <c r="J807" s="1" t="str">
        <f>"2"</f>
        <v>2</v>
      </c>
      <c r="K807" s="1" t="str">
        <f t="shared" ref="K807:P807" si="1521">"0"</f>
        <v>0</v>
      </c>
      <c r="L807" s="1" t="str">
        <f t="shared" si="1521"/>
        <v>0</v>
      </c>
      <c r="M807" s="1" t="str">
        <f t="shared" si="1521"/>
        <v>0</v>
      </c>
      <c r="N807" s="1" t="str">
        <f t="shared" si="1521"/>
        <v>0</v>
      </c>
      <c r="O807" s="1" t="str">
        <f t="shared" si="1521"/>
        <v>0</v>
      </c>
      <c r="P807" s="1" t="str">
        <f t="shared" si="1521"/>
        <v>0</v>
      </c>
      <c r="Q807" s="1" t="str">
        <f t="shared" si="1446"/>
        <v>0.0070</v>
      </c>
      <c r="R807" s="1" t="s">
        <v>29</v>
      </c>
      <c r="S807" s="1">
        <v>-0.0014</v>
      </c>
      <c r="T807" s="1" t="str">
        <f t="shared" si="1447"/>
        <v>0</v>
      </c>
      <c r="U807" s="1" t="str">
        <f t="shared" si="1507"/>
        <v>0.0056</v>
      </c>
    </row>
    <row r="808" s="1" customFormat="1" spans="1:21">
      <c r="A808" s="1" t="str">
        <f>"4601992001769"</f>
        <v>4601992001769</v>
      </c>
      <c r="B808" s="1" t="s">
        <v>832</v>
      </c>
      <c r="C808" s="1" t="s">
        <v>24</v>
      </c>
      <c r="D808" s="1" t="str">
        <f t="shared" si="1443"/>
        <v>2021</v>
      </c>
      <c r="E808" s="1" t="str">
        <f t="shared" ref="E808:G808" si="1522">"0"</f>
        <v>0</v>
      </c>
      <c r="F808" s="1" t="str">
        <f t="shared" si="1522"/>
        <v>0</v>
      </c>
      <c r="G808" s="1" t="str">
        <f t="shared" si="1522"/>
        <v>0</v>
      </c>
      <c r="H808" s="1" t="str">
        <f t="shared" si="1465"/>
        <v>0</v>
      </c>
      <c r="I808" s="1" t="str">
        <f t="shared" ref="I808:P808" si="1523">"0"</f>
        <v>0</v>
      </c>
      <c r="J808" s="1" t="str">
        <f t="shared" si="1523"/>
        <v>0</v>
      </c>
      <c r="K808" s="1" t="str">
        <f t="shared" si="1523"/>
        <v>0</v>
      </c>
      <c r="L808" s="1" t="str">
        <f t="shared" si="1523"/>
        <v>0</v>
      </c>
      <c r="M808" s="1" t="str">
        <f t="shared" si="1523"/>
        <v>0</v>
      </c>
      <c r="N808" s="1" t="str">
        <f t="shared" si="1523"/>
        <v>0</v>
      </c>
      <c r="O808" s="1" t="str">
        <f t="shared" si="1523"/>
        <v>0</v>
      </c>
      <c r="P808" s="1" t="str">
        <f t="shared" si="1523"/>
        <v>0</v>
      </c>
      <c r="Q808" s="1" t="str">
        <f t="shared" si="1446"/>
        <v>0.0070</v>
      </c>
      <c r="R808" s="1" t="s">
        <v>25</v>
      </c>
      <c r="T808" s="1" t="str">
        <f t="shared" si="1447"/>
        <v>0</v>
      </c>
      <c r="U808" s="1" t="str">
        <f>"0.0070"</f>
        <v>0.0070</v>
      </c>
    </row>
    <row r="809" s="1" customFormat="1" spans="1:21">
      <c r="A809" s="1" t="str">
        <f>"4601992001793"</f>
        <v>4601992001793</v>
      </c>
      <c r="B809" s="1" t="s">
        <v>833</v>
      </c>
      <c r="C809" s="1" t="s">
        <v>24</v>
      </c>
      <c r="D809" s="1" t="str">
        <f t="shared" si="1443"/>
        <v>2021</v>
      </c>
      <c r="E809" s="1" t="str">
        <f t="shared" ref="E809:G809" si="1524">"0"</f>
        <v>0</v>
      </c>
      <c r="F809" s="1" t="str">
        <f t="shared" si="1524"/>
        <v>0</v>
      </c>
      <c r="G809" s="1" t="str">
        <f t="shared" si="1524"/>
        <v>0</v>
      </c>
      <c r="H809" s="1" t="str">
        <f t="shared" si="1465"/>
        <v>0</v>
      </c>
      <c r="I809" s="1" t="str">
        <f t="shared" ref="I809:P809" si="1525">"0"</f>
        <v>0</v>
      </c>
      <c r="J809" s="1" t="str">
        <f t="shared" si="1525"/>
        <v>0</v>
      </c>
      <c r="K809" s="1" t="str">
        <f t="shared" si="1525"/>
        <v>0</v>
      </c>
      <c r="L809" s="1" t="str">
        <f t="shared" si="1525"/>
        <v>0</v>
      </c>
      <c r="M809" s="1" t="str">
        <f t="shared" si="1525"/>
        <v>0</v>
      </c>
      <c r="N809" s="1" t="str">
        <f t="shared" si="1525"/>
        <v>0</v>
      </c>
      <c r="O809" s="1" t="str">
        <f t="shared" si="1525"/>
        <v>0</v>
      </c>
      <c r="P809" s="1" t="str">
        <f t="shared" si="1525"/>
        <v>0</v>
      </c>
      <c r="Q809" s="1" t="str">
        <f t="shared" si="1446"/>
        <v>0.0070</v>
      </c>
      <c r="R809" s="1" t="s">
        <v>25</v>
      </c>
      <c r="T809" s="1" t="str">
        <f t="shared" si="1447"/>
        <v>0</v>
      </c>
      <c r="U809" s="1" t="str">
        <f>"0.0070"</f>
        <v>0.0070</v>
      </c>
    </row>
    <row r="810" s="1" customFormat="1" spans="1:21">
      <c r="A810" s="1" t="str">
        <f>"4601992001777"</f>
        <v>4601992001777</v>
      </c>
      <c r="B810" s="1" t="s">
        <v>834</v>
      </c>
      <c r="C810" s="1" t="s">
        <v>24</v>
      </c>
      <c r="D810" s="1" t="str">
        <f t="shared" si="1443"/>
        <v>2021</v>
      </c>
      <c r="E810" s="1" t="str">
        <f>"51.91"</f>
        <v>51.91</v>
      </c>
      <c r="F810" s="1" t="str">
        <f t="shared" ref="F810:I810" si="1526">"0"</f>
        <v>0</v>
      </c>
      <c r="G810" s="1" t="str">
        <f t="shared" si="1526"/>
        <v>0</v>
      </c>
      <c r="H810" s="1" t="str">
        <f t="shared" si="1465"/>
        <v>0</v>
      </c>
      <c r="I810" s="1" t="str">
        <f t="shared" si="1526"/>
        <v>0</v>
      </c>
      <c r="J810" s="1" t="str">
        <f>"5"</f>
        <v>5</v>
      </c>
      <c r="K810" s="1" t="str">
        <f t="shared" ref="K810:P810" si="1527">"0"</f>
        <v>0</v>
      </c>
      <c r="L810" s="1" t="str">
        <f t="shared" si="1527"/>
        <v>0</v>
      </c>
      <c r="M810" s="1" t="str">
        <f t="shared" si="1527"/>
        <v>0</v>
      </c>
      <c r="N810" s="1" t="str">
        <f t="shared" si="1527"/>
        <v>0</v>
      </c>
      <c r="O810" s="1" t="str">
        <f t="shared" si="1527"/>
        <v>0</v>
      </c>
      <c r="P810" s="1" t="str">
        <f t="shared" si="1527"/>
        <v>0</v>
      </c>
      <c r="Q810" s="1" t="str">
        <f t="shared" si="1446"/>
        <v>0.0070</v>
      </c>
      <c r="R810" s="1" t="s">
        <v>29</v>
      </c>
      <c r="S810" s="1">
        <v>-0.0014</v>
      </c>
      <c r="T810" s="1" t="str">
        <f t="shared" si="1447"/>
        <v>0</v>
      </c>
      <c r="U810" s="1" t="str">
        <f t="shared" ref="U810:U816" si="1528">"0.0056"</f>
        <v>0.0056</v>
      </c>
    </row>
    <row r="811" s="1" customFormat="1" spans="1:21">
      <c r="A811" s="1" t="str">
        <f>"4601992001767"</f>
        <v>4601992001767</v>
      </c>
      <c r="B811" s="1" t="s">
        <v>835</v>
      </c>
      <c r="C811" s="1" t="s">
        <v>24</v>
      </c>
      <c r="D811" s="1" t="str">
        <f t="shared" si="1443"/>
        <v>2021</v>
      </c>
      <c r="E811" s="1" t="str">
        <f>"48.36"</f>
        <v>48.36</v>
      </c>
      <c r="F811" s="1" t="str">
        <f t="shared" ref="F811:I811" si="1529">"0"</f>
        <v>0</v>
      </c>
      <c r="G811" s="1" t="str">
        <f t="shared" si="1529"/>
        <v>0</v>
      </c>
      <c r="H811" s="1" t="str">
        <f t="shared" si="1465"/>
        <v>0</v>
      </c>
      <c r="I811" s="1" t="str">
        <f t="shared" si="1529"/>
        <v>0</v>
      </c>
      <c r="J811" s="1" t="str">
        <f>"4"</f>
        <v>4</v>
      </c>
      <c r="K811" s="1" t="str">
        <f t="shared" ref="K811:P811" si="1530">"0"</f>
        <v>0</v>
      </c>
      <c r="L811" s="1" t="str">
        <f t="shared" si="1530"/>
        <v>0</v>
      </c>
      <c r="M811" s="1" t="str">
        <f t="shared" si="1530"/>
        <v>0</v>
      </c>
      <c r="N811" s="1" t="str">
        <f t="shared" si="1530"/>
        <v>0</v>
      </c>
      <c r="O811" s="1" t="str">
        <f t="shared" si="1530"/>
        <v>0</v>
      </c>
      <c r="P811" s="1" t="str">
        <f t="shared" si="1530"/>
        <v>0</v>
      </c>
      <c r="Q811" s="1" t="str">
        <f t="shared" si="1446"/>
        <v>0.0070</v>
      </c>
      <c r="R811" s="1" t="s">
        <v>29</v>
      </c>
      <c r="S811" s="1">
        <v>-0.0014</v>
      </c>
      <c r="T811" s="1" t="str">
        <f t="shared" si="1447"/>
        <v>0</v>
      </c>
      <c r="U811" s="1" t="str">
        <f t="shared" si="1528"/>
        <v>0.0056</v>
      </c>
    </row>
    <row r="812" s="1" customFormat="1" spans="1:21">
      <c r="A812" s="1" t="str">
        <f>"4601992001772"</f>
        <v>4601992001772</v>
      </c>
      <c r="B812" s="1" t="s">
        <v>836</v>
      </c>
      <c r="C812" s="1" t="s">
        <v>24</v>
      </c>
      <c r="D812" s="1" t="str">
        <f t="shared" si="1443"/>
        <v>2021</v>
      </c>
      <c r="E812" s="1" t="str">
        <f>"1621.28"</f>
        <v>1621.28</v>
      </c>
      <c r="F812" s="1" t="str">
        <f t="shared" ref="F812:I812" si="1531">"0"</f>
        <v>0</v>
      </c>
      <c r="G812" s="1" t="str">
        <f t="shared" si="1531"/>
        <v>0</v>
      </c>
      <c r="H812" s="1" t="str">
        <f t="shared" si="1465"/>
        <v>0</v>
      </c>
      <c r="I812" s="1" t="str">
        <f t="shared" si="1531"/>
        <v>0</v>
      </c>
      <c r="J812" s="1" t="str">
        <f>"94"</f>
        <v>94</v>
      </c>
      <c r="K812" s="1" t="str">
        <f t="shared" ref="K812:P812" si="1532">"0"</f>
        <v>0</v>
      </c>
      <c r="L812" s="1" t="str">
        <f t="shared" si="1532"/>
        <v>0</v>
      </c>
      <c r="M812" s="1" t="str">
        <f t="shared" si="1532"/>
        <v>0</v>
      </c>
      <c r="N812" s="1" t="str">
        <f t="shared" si="1532"/>
        <v>0</v>
      </c>
      <c r="O812" s="1" t="str">
        <f t="shared" si="1532"/>
        <v>0</v>
      </c>
      <c r="P812" s="1" t="str">
        <f t="shared" si="1532"/>
        <v>0</v>
      </c>
      <c r="Q812" s="1" t="str">
        <f t="shared" si="1446"/>
        <v>0.0070</v>
      </c>
      <c r="R812" s="1" t="s">
        <v>29</v>
      </c>
      <c r="S812" s="1">
        <v>-0.0014</v>
      </c>
      <c r="T812" s="1" t="str">
        <f t="shared" si="1447"/>
        <v>0</v>
      </c>
      <c r="U812" s="1" t="str">
        <f t="shared" si="1528"/>
        <v>0.0056</v>
      </c>
    </row>
    <row r="813" s="1" customFormat="1" spans="1:21">
      <c r="A813" s="1" t="str">
        <f>"4601992001821"</f>
        <v>4601992001821</v>
      </c>
      <c r="B813" s="1" t="s">
        <v>837</v>
      </c>
      <c r="C813" s="1" t="s">
        <v>24</v>
      </c>
      <c r="D813" s="1" t="str">
        <f t="shared" si="1443"/>
        <v>2021</v>
      </c>
      <c r="E813" s="1" t="str">
        <f>"24.18"</f>
        <v>24.18</v>
      </c>
      <c r="F813" s="1" t="str">
        <f t="shared" ref="F813:I813" si="1533">"0"</f>
        <v>0</v>
      </c>
      <c r="G813" s="1" t="str">
        <f t="shared" si="1533"/>
        <v>0</v>
      </c>
      <c r="H813" s="1" t="str">
        <f t="shared" si="1465"/>
        <v>0</v>
      </c>
      <c r="I813" s="1" t="str">
        <f t="shared" si="1533"/>
        <v>0</v>
      </c>
      <c r="J813" s="1" t="str">
        <f>"2"</f>
        <v>2</v>
      </c>
      <c r="K813" s="1" t="str">
        <f t="shared" ref="K813:P813" si="1534">"0"</f>
        <v>0</v>
      </c>
      <c r="L813" s="1" t="str">
        <f t="shared" si="1534"/>
        <v>0</v>
      </c>
      <c r="M813" s="1" t="str">
        <f t="shared" si="1534"/>
        <v>0</v>
      </c>
      <c r="N813" s="1" t="str">
        <f t="shared" si="1534"/>
        <v>0</v>
      </c>
      <c r="O813" s="1" t="str">
        <f t="shared" si="1534"/>
        <v>0</v>
      </c>
      <c r="P813" s="1" t="str">
        <f t="shared" si="1534"/>
        <v>0</v>
      </c>
      <c r="Q813" s="1" t="str">
        <f t="shared" si="1446"/>
        <v>0.0070</v>
      </c>
      <c r="R813" s="1" t="s">
        <v>29</v>
      </c>
      <c r="S813" s="1">
        <v>-0.0014</v>
      </c>
      <c r="T813" s="1" t="str">
        <f t="shared" si="1447"/>
        <v>0</v>
      </c>
      <c r="U813" s="1" t="str">
        <f t="shared" si="1528"/>
        <v>0.0056</v>
      </c>
    </row>
    <row r="814" s="1" customFormat="1" spans="1:21">
      <c r="A814" s="1" t="str">
        <f>"4601992001823"</f>
        <v>4601992001823</v>
      </c>
      <c r="B814" s="1" t="s">
        <v>838</v>
      </c>
      <c r="C814" s="1" t="s">
        <v>24</v>
      </c>
      <c r="D814" s="1" t="str">
        <f t="shared" si="1443"/>
        <v>2021</v>
      </c>
      <c r="E814" s="1" t="str">
        <f>"12.09"</f>
        <v>12.09</v>
      </c>
      <c r="F814" s="1" t="str">
        <f t="shared" ref="F814:I814" si="1535">"0"</f>
        <v>0</v>
      </c>
      <c r="G814" s="1" t="str">
        <f t="shared" si="1535"/>
        <v>0</v>
      </c>
      <c r="H814" s="1" t="str">
        <f t="shared" si="1465"/>
        <v>0</v>
      </c>
      <c r="I814" s="1" t="str">
        <f t="shared" si="1535"/>
        <v>0</v>
      </c>
      <c r="J814" s="1" t="str">
        <f>"1"</f>
        <v>1</v>
      </c>
      <c r="K814" s="1" t="str">
        <f t="shared" ref="K814:P814" si="1536">"0"</f>
        <v>0</v>
      </c>
      <c r="L814" s="1" t="str">
        <f t="shared" si="1536"/>
        <v>0</v>
      </c>
      <c r="M814" s="1" t="str">
        <f t="shared" si="1536"/>
        <v>0</v>
      </c>
      <c r="N814" s="1" t="str">
        <f t="shared" si="1536"/>
        <v>0</v>
      </c>
      <c r="O814" s="1" t="str">
        <f t="shared" si="1536"/>
        <v>0</v>
      </c>
      <c r="P814" s="1" t="str">
        <f t="shared" si="1536"/>
        <v>0</v>
      </c>
      <c r="Q814" s="1" t="str">
        <f t="shared" si="1446"/>
        <v>0.0070</v>
      </c>
      <c r="R814" s="1" t="s">
        <v>29</v>
      </c>
      <c r="S814" s="1">
        <v>-0.0014</v>
      </c>
      <c r="T814" s="1" t="str">
        <f t="shared" si="1447"/>
        <v>0</v>
      </c>
      <c r="U814" s="1" t="str">
        <f t="shared" si="1528"/>
        <v>0.0056</v>
      </c>
    </row>
    <row r="815" s="1" customFormat="1" spans="1:21">
      <c r="A815" s="1" t="str">
        <f>"4601992001816"</f>
        <v>4601992001816</v>
      </c>
      <c r="B815" s="1" t="s">
        <v>839</v>
      </c>
      <c r="C815" s="1" t="s">
        <v>24</v>
      </c>
      <c r="D815" s="1" t="str">
        <f t="shared" si="1443"/>
        <v>2021</v>
      </c>
      <c r="E815" s="1" t="str">
        <f>"24.18"</f>
        <v>24.18</v>
      </c>
      <c r="F815" s="1" t="str">
        <f t="shared" ref="F815:I815" si="1537">"0"</f>
        <v>0</v>
      </c>
      <c r="G815" s="1" t="str">
        <f t="shared" si="1537"/>
        <v>0</v>
      </c>
      <c r="H815" s="1" t="str">
        <f t="shared" si="1465"/>
        <v>0</v>
      </c>
      <c r="I815" s="1" t="str">
        <f t="shared" si="1537"/>
        <v>0</v>
      </c>
      <c r="J815" s="1" t="str">
        <f>"2"</f>
        <v>2</v>
      </c>
      <c r="K815" s="1" t="str">
        <f t="shared" ref="K815:P815" si="1538">"0"</f>
        <v>0</v>
      </c>
      <c r="L815" s="1" t="str">
        <f t="shared" si="1538"/>
        <v>0</v>
      </c>
      <c r="M815" s="1" t="str">
        <f t="shared" si="1538"/>
        <v>0</v>
      </c>
      <c r="N815" s="1" t="str">
        <f t="shared" si="1538"/>
        <v>0</v>
      </c>
      <c r="O815" s="1" t="str">
        <f t="shared" si="1538"/>
        <v>0</v>
      </c>
      <c r="P815" s="1" t="str">
        <f t="shared" si="1538"/>
        <v>0</v>
      </c>
      <c r="Q815" s="1" t="str">
        <f t="shared" si="1446"/>
        <v>0.0070</v>
      </c>
      <c r="R815" s="1" t="s">
        <v>29</v>
      </c>
      <c r="S815" s="1">
        <v>-0.0014</v>
      </c>
      <c r="T815" s="1" t="str">
        <f t="shared" si="1447"/>
        <v>0</v>
      </c>
      <c r="U815" s="1" t="str">
        <f t="shared" si="1528"/>
        <v>0.0056</v>
      </c>
    </row>
    <row r="816" s="1" customFormat="1" spans="1:21">
      <c r="A816" s="1" t="str">
        <f>"4601992001817"</f>
        <v>4601992001817</v>
      </c>
      <c r="B816" s="1" t="s">
        <v>840</v>
      </c>
      <c r="C816" s="1" t="s">
        <v>24</v>
      </c>
      <c r="D816" s="1" t="str">
        <f t="shared" si="1443"/>
        <v>2021</v>
      </c>
      <c r="E816" s="1" t="str">
        <f>"155.74"</f>
        <v>155.74</v>
      </c>
      <c r="F816" s="1" t="str">
        <f t="shared" ref="F816:I816" si="1539">"0"</f>
        <v>0</v>
      </c>
      <c r="G816" s="1" t="str">
        <f t="shared" si="1539"/>
        <v>0</v>
      </c>
      <c r="H816" s="1" t="str">
        <f t="shared" si="1465"/>
        <v>0</v>
      </c>
      <c r="I816" s="1" t="str">
        <f t="shared" si="1539"/>
        <v>0</v>
      </c>
      <c r="J816" s="1" t="str">
        <f>"14"</f>
        <v>14</v>
      </c>
      <c r="K816" s="1" t="str">
        <f t="shared" ref="K816:P816" si="1540">"0"</f>
        <v>0</v>
      </c>
      <c r="L816" s="1" t="str">
        <f t="shared" si="1540"/>
        <v>0</v>
      </c>
      <c r="M816" s="1" t="str">
        <f t="shared" si="1540"/>
        <v>0</v>
      </c>
      <c r="N816" s="1" t="str">
        <f t="shared" si="1540"/>
        <v>0</v>
      </c>
      <c r="O816" s="1" t="str">
        <f t="shared" si="1540"/>
        <v>0</v>
      </c>
      <c r="P816" s="1" t="str">
        <f t="shared" si="1540"/>
        <v>0</v>
      </c>
      <c r="Q816" s="1" t="str">
        <f t="shared" si="1446"/>
        <v>0.0070</v>
      </c>
      <c r="R816" s="1" t="s">
        <v>29</v>
      </c>
      <c r="S816" s="1">
        <v>-0.0014</v>
      </c>
      <c r="T816" s="1" t="str">
        <f t="shared" si="1447"/>
        <v>0</v>
      </c>
      <c r="U816" s="1" t="str">
        <f t="shared" si="1528"/>
        <v>0.0056</v>
      </c>
    </row>
    <row r="817" s="1" customFormat="1" spans="1:21">
      <c r="A817" s="1" t="str">
        <f>"4601992001931"</f>
        <v>4601992001931</v>
      </c>
      <c r="B817" s="1" t="s">
        <v>841</v>
      </c>
      <c r="C817" s="1" t="s">
        <v>24</v>
      </c>
      <c r="D817" s="1" t="str">
        <f t="shared" si="1443"/>
        <v>2021</v>
      </c>
      <c r="E817" s="1" t="str">
        <f t="shared" ref="E817:G817" si="1541">"0"</f>
        <v>0</v>
      </c>
      <c r="F817" s="1" t="str">
        <f t="shared" si="1541"/>
        <v>0</v>
      </c>
      <c r="G817" s="1" t="str">
        <f t="shared" si="1541"/>
        <v>0</v>
      </c>
      <c r="H817" s="1" t="str">
        <f t="shared" si="1465"/>
        <v>0</v>
      </c>
      <c r="I817" s="1" t="str">
        <f t="shared" ref="I817:P817" si="1542">"0"</f>
        <v>0</v>
      </c>
      <c r="J817" s="1" t="str">
        <f t="shared" si="1542"/>
        <v>0</v>
      </c>
      <c r="K817" s="1" t="str">
        <f t="shared" si="1542"/>
        <v>0</v>
      </c>
      <c r="L817" s="1" t="str">
        <f t="shared" si="1542"/>
        <v>0</v>
      </c>
      <c r="M817" s="1" t="str">
        <f t="shared" si="1542"/>
        <v>0</v>
      </c>
      <c r="N817" s="1" t="str">
        <f t="shared" si="1542"/>
        <v>0</v>
      </c>
      <c r="O817" s="1" t="str">
        <f t="shared" si="1542"/>
        <v>0</v>
      </c>
      <c r="P817" s="1" t="str">
        <f t="shared" si="1542"/>
        <v>0</v>
      </c>
      <c r="Q817" s="1" t="str">
        <f t="shared" si="1446"/>
        <v>0.0070</v>
      </c>
      <c r="R817" s="1" t="s">
        <v>25</v>
      </c>
      <c r="T817" s="1" t="str">
        <f t="shared" si="1447"/>
        <v>0</v>
      </c>
      <c r="U817" s="1" t="str">
        <f>"0.0070"</f>
        <v>0.0070</v>
      </c>
    </row>
    <row r="818" s="1" customFormat="1" spans="1:21">
      <c r="A818" s="1" t="str">
        <f>"4601991423816"</f>
        <v>4601991423816</v>
      </c>
      <c r="B818" s="1" t="s">
        <v>842</v>
      </c>
      <c r="C818" s="1" t="s">
        <v>24</v>
      </c>
      <c r="D818" s="1" t="str">
        <f t="shared" si="1443"/>
        <v>2021</v>
      </c>
      <c r="E818" s="1" t="str">
        <f>"84.63"</f>
        <v>84.63</v>
      </c>
      <c r="F818" s="1" t="str">
        <f t="shared" ref="F818:I818" si="1543">"0"</f>
        <v>0</v>
      </c>
      <c r="G818" s="1" t="str">
        <f t="shared" si="1543"/>
        <v>0</v>
      </c>
      <c r="H818" s="1" t="str">
        <f t="shared" si="1465"/>
        <v>0</v>
      </c>
      <c r="I818" s="1" t="str">
        <f t="shared" si="1543"/>
        <v>0</v>
      </c>
      <c r="J818" s="1" t="str">
        <f>"7"</f>
        <v>7</v>
      </c>
      <c r="K818" s="1" t="str">
        <f t="shared" ref="K818:P818" si="1544">"0"</f>
        <v>0</v>
      </c>
      <c r="L818" s="1" t="str">
        <f t="shared" si="1544"/>
        <v>0</v>
      </c>
      <c r="M818" s="1" t="str">
        <f t="shared" si="1544"/>
        <v>0</v>
      </c>
      <c r="N818" s="1" t="str">
        <f t="shared" si="1544"/>
        <v>0</v>
      </c>
      <c r="O818" s="1" t="str">
        <f t="shared" si="1544"/>
        <v>0</v>
      </c>
      <c r="P818" s="1" t="str">
        <f t="shared" si="1544"/>
        <v>0</v>
      </c>
      <c r="Q818" s="1" t="str">
        <f t="shared" si="1446"/>
        <v>0.0070</v>
      </c>
      <c r="R818" s="1" t="s">
        <v>29</v>
      </c>
      <c r="S818" s="1">
        <v>-0.0014</v>
      </c>
      <c r="T818" s="1" t="str">
        <f t="shared" si="1447"/>
        <v>0</v>
      </c>
      <c r="U818" s="1" t="str">
        <f t="shared" ref="U818:U822" si="1545">"0.0056"</f>
        <v>0.0056</v>
      </c>
    </row>
    <row r="819" s="1" customFormat="1" spans="1:21">
      <c r="A819" s="1" t="str">
        <f>"4601992001900"</f>
        <v>4601992001900</v>
      </c>
      <c r="B819" s="1" t="s">
        <v>843</v>
      </c>
      <c r="C819" s="1" t="s">
        <v>24</v>
      </c>
      <c r="D819" s="1" t="str">
        <f t="shared" si="1443"/>
        <v>2021</v>
      </c>
      <c r="E819" s="1" t="str">
        <f>"72.54"</f>
        <v>72.54</v>
      </c>
      <c r="F819" s="1" t="str">
        <f t="shared" ref="F819:I819" si="1546">"0"</f>
        <v>0</v>
      </c>
      <c r="G819" s="1" t="str">
        <f t="shared" si="1546"/>
        <v>0</v>
      </c>
      <c r="H819" s="1" t="str">
        <f t="shared" si="1465"/>
        <v>0</v>
      </c>
      <c r="I819" s="1" t="str">
        <f t="shared" si="1546"/>
        <v>0</v>
      </c>
      <c r="J819" s="1" t="str">
        <f>"6"</f>
        <v>6</v>
      </c>
      <c r="K819" s="1" t="str">
        <f t="shared" ref="K819:P819" si="1547">"0"</f>
        <v>0</v>
      </c>
      <c r="L819" s="1" t="str">
        <f t="shared" si="1547"/>
        <v>0</v>
      </c>
      <c r="M819" s="1" t="str">
        <f t="shared" si="1547"/>
        <v>0</v>
      </c>
      <c r="N819" s="1" t="str">
        <f t="shared" si="1547"/>
        <v>0</v>
      </c>
      <c r="O819" s="1" t="str">
        <f t="shared" si="1547"/>
        <v>0</v>
      </c>
      <c r="P819" s="1" t="str">
        <f t="shared" si="1547"/>
        <v>0</v>
      </c>
      <c r="Q819" s="1" t="str">
        <f t="shared" si="1446"/>
        <v>0.0070</v>
      </c>
      <c r="R819" s="1" t="s">
        <v>29</v>
      </c>
      <c r="S819" s="1">
        <v>-0.0014</v>
      </c>
      <c r="T819" s="1" t="str">
        <f t="shared" si="1447"/>
        <v>0</v>
      </c>
      <c r="U819" s="1" t="str">
        <f t="shared" si="1545"/>
        <v>0.0056</v>
      </c>
    </row>
    <row r="820" s="1" customFormat="1" spans="1:21">
      <c r="A820" s="1" t="str">
        <f>"4601992001947"</f>
        <v>4601992001947</v>
      </c>
      <c r="B820" s="1" t="s">
        <v>844</v>
      </c>
      <c r="C820" s="1" t="s">
        <v>24</v>
      </c>
      <c r="D820" s="1" t="str">
        <f t="shared" si="1443"/>
        <v>2021</v>
      </c>
      <c r="E820" s="1" t="str">
        <f>"12.09"</f>
        <v>12.09</v>
      </c>
      <c r="F820" s="1" t="str">
        <f t="shared" ref="F820:I820" si="1548">"0"</f>
        <v>0</v>
      </c>
      <c r="G820" s="1" t="str">
        <f t="shared" si="1548"/>
        <v>0</v>
      </c>
      <c r="H820" s="1" t="str">
        <f t="shared" si="1465"/>
        <v>0</v>
      </c>
      <c r="I820" s="1" t="str">
        <f t="shared" si="1548"/>
        <v>0</v>
      </c>
      <c r="J820" s="1" t="str">
        <f t="shared" ref="J820:J823" si="1549">"1"</f>
        <v>1</v>
      </c>
      <c r="K820" s="1" t="str">
        <f t="shared" ref="K820:P820" si="1550">"0"</f>
        <v>0</v>
      </c>
      <c r="L820" s="1" t="str">
        <f t="shared" si="1550"/>
        <v>0</v>
      </c>
      <c r="M820" s="1" t="str">
        <f t="shared" si="1550"/>
        <v>0</v>
      </c>
      <c r="N820" s="1" t="str">
        <f t="shared" si="1550"/>
        <v>0</v>
      </c>
      <c r="O820" s="1" t="str">
        <f t="shared" si="1550"/>
        <v>0</v>
      </c>
      <c r="P820" s="1" t="str">
        <f t="shared" si="1550"/>
        <v>0</v>
      </c>
      <c r="Q820" s="1" t="str">
        <f t="shared" si="1446"/>
        <v>0.0070</v>
      </c>
      <c r="R820" s="1" t="s">
        <v>29</v>
      </c>
      <c r="S820" s="1">
        <v>-0.0014</v>
      </c>
      <c r="T820" s="1" t="str">
        <f t="shared" si="1447"/>
        <v>0</v>
      </c>
      <c r="U820" s="1" t="str">
        <f t="shared" si="1545"/>
        <v>0.0056</v>
      </c>
    </row>
    <row r="821" s="1" customFormat="1" spans="1:21">
      <c r="A821" s="1" t="str">
        <f>"4601992001990"</f>
        <v>4601992001990</v>
      </c>
      <c r="B821" s="1" t="s">
        <v>845</v>
      </c>
      <c r="C821" s="1" t="s">
        <v>24</v>
      </c>
      <c r="D821" s="1" t="str">
        <f t="shared" si="1443"/>
        <v>2021</v>
      </c>
      <c r="E821" s="1" t="str">
        <f>"24.18"</f>
        <v>24.18</v>
      </c>
      <c r="F821" s="1" t="str">
        <f t="shared" ref="F821:I821" si="1551">"0"</f>
        <v>0</v>
      </c>
      <c r="G821" s="1" t="str">
        <f t="shared" si="1551"/>
        <v>0</v>
      </c>
      <c r="H821" s="1" t="str">
        <f t="shared" si="1465"/>
        <v>0</v>
      </c>
      <c r="I821" s="1" t="str">
        <f t="shared" si="1551"/>
        <v>0</v>
      </c>
      <c r="J821" s="1" t="str">
        <f>"2"</f>
        <v>2</v>
      </c>
      <c r="K821" s="1" t="str">
        <f t="shared" ref="K821:P821" si="1552">"0"</f>
        <v>0</v>
      </c>
      <c r="L821" s="1" t="str">
        <f t="shared" si="1552"/>
        <v>0</v>
      </c>
      <c r="M821" s="1" t="str">
        <f t="shared" si="1552"/>
        <v>0</v>
      </c>
      <c r="N821" s="1" t="str">
        <f t="shared" si="1552"/>
        <v>0</v>
      </c>
      <c r="O821" s="1" t="str">
        <f t="shared" si="1552"/>
        <v>0</v>
      </c>
      <c r="P821" s="1" t="str">
        <f t="shared" si="1552"/>
        <v>0</v>
      </c>
      <c r="Q821" s="1" t="str">
        <f t="shared" si="1446"/>
        <v>0.0070</v>
      </c>
      <c r="R821" s="1" t="s">
        <v>29</v>
      </c>
      <c r="S821" s="1">
        <v>-0.0014</v>
      </c>
      <c r="T821" s="1" t="str">
        <f t="shared" si="1447"/>
        <v>0</v>
      </c>
      <c r="U821" s="1" t="str">
        <f t="shared" si="1545"/>
        <v>0.0056</v>
      </c>
    </row>
    <row r="822" s="1" customFormat="1" spans="1:21">
      <c r="A822" s="1" t="str">
        <f>"4601991423461"</f>
        <v>4601991423461</v>
      </c>
      <c r="B822" s="1" t="s">
        <v>846</v>
      </c>
      <c r="C822" s="1" t="s">
        <v>24</v>
      </c>
      <c r="D822" s="1" t="str">
        <f t="shared" si="1443"/>
        <v>2021</v>
      </c>
      <c r="E822" s="1" t="str">
        <f>"19.16"</f>
        <v>19.16</v>
      </c>
      <c r="F822" s="1" t="str">
        <f t="shared" ref="F822:I822" si="1553">"0"</f>
        <v>0</v>
      </c>
      <c r="G822" s="1" t="str">
        <f t="shared" si="1553"/>
        <v>0</v>
      </c>
      <c r="H822" s="1" t="str">
        <f t="shared" si="1465"/>
        <v>0</v>
      </c>
      <c r="I822" s="1" t="str">
        <f t="shared" si="1553"/>
        <v>0</v>
      </c>
      <c r="J822" s="1" t="str">
        <f t="shared" si="1549"/>
        <v>1</v>
      </c>
      <c r="K822" s="1" t="str">
        <f t="shared" ref="K822:P822" si="1554">"0"</f>
        <v>0</v>
      </c>
      <c r="L822" s="1" t="str">
        <f t="shared" si="1554"/>
        <v>0</v>
      </c>
      <c r="M822" s="1" t="str">
        <f t="shared" si="1554"/>
        <v>0</v>
      </c>
      <c r="N822" s="1" t="str">
        <f t="shared" si="1554"/>
        <v>0</v>
      </c>
      <c r="O822" s="1" t="str">
        <f t="shared" si="1554"/>
        <v>0</v>
      </c>
      <c r="P822" s="1" t="str">
        <f t="shared" si="1554"/>
        <v>0</v>
      </c>
      <c r="Q822" s="1" t="str">
        <f t="shared" si="1446"/>
        <v>0.0070</v>
      </c>
      <c r="R822" s="1" t="s">
        <v>29</v>
      </c>
      <c r="S822" s="1">
        <v>-0.0014</v>
      </c>
      <c r="T822" s="1" t="str">
        <f t="shared" si="1447"/>
        <v>0</v>
      </c>
      <c r="U822" s="1" t="str">
        <f t="shared" si="1545"/>
        <v>0.0056</v>
      </c>
    </row>
    <row r="823" s="1" customFormat="1" spans="1:21">
      <c r="A823" s="1" t="str">
        <f>"4601992001282"</f>
        <v>4601992001282</v>
      </c>
      <c r="B823" s="1" t="s">
        <v>847</v>
      </c>
      <c r="C823" s="1" t="s">
        <v>24</v>
      </c>
      <c r="D823" s="1" t="str">
        <f t="shared" si="1443"/>
        <v>2021</v>
      </c>
      <c r="E823" s="1" t="str">
        <f>"11.98"</f>
        <v>11.98</v>
      </c>
      <c r="F823" s="1" t="str">
        <f t="shared" ref="F823:I823" si="1555">"0"</f>
        <v>0</v>
      </c>
      <c r="G823" s="1" t="str">
        <f t="shared" si="1555"/>
        <v>0</v>
      </c>
      <c r="H823" s="1" t="str">
        <f t="shared" si="1465"/>
        <v>0</v>
      </c>
      <c r="I823" s="1" t="str">
        <f t="shared" si="1555"/>
        <v>0</v>
      </c>
      <c r="J823" s="1" t="str">
        <f t="shared" si="1549"/>
        <v>1</v>
      </c>
      <c r="K823" s="1" t="str">
        <f t="shared" ref="K823:P823" si="1556">"0"</f>
        <v>0</v>
      </c>
      <c r="L823" s="1" t="str">
        <f t="shared" si="1556"/>
        <v>0</v>
      </c>
      <c r="M823" s="1" t="str">
        <f t="shared" si="1556"/>
        <v>0</v>
      </c>
      <c r="N823" s="1" t="str">
        <f t="shared" si="1556"/>
        <v>0</v>
      </c>
      <c r="O823" s="1" t="str">
        <f t="shared" si="1556"/>
        <v>0</v>
      </c>
      <c r="P823" s="1" t="str">
        <f t="shared" si="1556"/>
        <v>0</v>
      </c>
      <c r="Q823" s="1" t="str">
        <f t="shared" si="1446"/>
        <v>0.0070</v>
      </c>
      <c r="R823" s="1" t="s">
        <v>25</v>
      </c>
      <c r="T823" s="1" t="str">
        <f t="shared" si="1447"/>
        <v>0</v>
      </c>
      <c r="U823" s="1" t="str">
        <f t="shared" ref="U823:U827" si="1557">"0.0070"</f>
        <v>0.0070</v>
      </c>
    </row>
    <row r="824" s="1" customFormat="1" spans="1:21">
      <c r="A824" s="1" t="str">
        <f>"4601991412399"</f>
        <v>4601991412399</v>
      </c>
      <c r="B824" s="1" t="s">
        <v>848</v>
      </c>
      <c r="C824" s="1" t="s">
        <v>24</v>
      </c>
      <c r="D824" s="1" t="str">
        <f t="shared" si="1443"/>
        <v>2021</v>
      </c>
      <c r="E824" s="1" t="str">
        <f t="shared" ref="E824:G824" si="1558">"0"</f>
        <v>0</v>
      </c>
      <c r="F824" s="1" t="str">
        <f t="shared" si="1558"/>
        <v>0</v>
      </c>
      <c r="G824" s="1" t="str">
        <f t="shared" si="1558"/>
        <v>0</v>
      </c>
      <c r="H824" s="1" t="str">
        <f t="shared" si="1465"/>
        <v>0</v>
      </c>
      <c r="I824" s="1" t="str">
        <f t="shared" ref="I824:P824" si="1559">"0"</f>
        <v>0</v>
      </c>
      <c r="J824" s="1" t="str">
        <f t="shared" si="1559"/>
        <v>0</v>
      </c>
      <c r="K824" s="1" t="str">
        <f t="shared" si="1559"/>
        <v>0</v>
      </c>
      <c r="L824" s="1" t="str">
        <f t="shared" si="1559"/>
        <v>0</v>
      </c>
      <c r="M824" s="1" t="str">
        <f t="shared" si="1559"/>
        <v>0</v>
      </c>
      <c r="N824" s="1" t="str">
        <f t="shared" si="1559"/>
        <v>0</v>
      </c>
      <c r="O824" s="1" t="str">
        <f t="shared" si="1559"/>
        <v>0</v>
      </c>
      <c r="P824" s="1" t="str">
        <f t="shared" si="1559"/>
        <v>0</v>
      </c>
      <c r="Q824" s="1" t="str">
        <f t="shared" si="1446"/>
        <v>0.0070</v>
      </c>
      <c r="R824" s="1" t="s">
        <v>25</v>
      </c>
      <c r="T824" s="1" t="str">
        <f t="shared" si="1447"/>
        <v>0</v>
      </c>
      <c r="U824" s="1" t="str">
        <f t="shared" si="1557"/>
        <v>0.0070</v>
      </c>
    </row>
    <row r="825" s="1" customFormat="1" spans="1:21">
      <c r="A825" s="1" t="str">
        <f>"4601992002030"</f>
        <v>4601992002030</v>
      </c>
      <c r="B825" s="1" t="s">
        <v>849</v>
      </c>
      <c r="C825" s="1" t="s">
        <v>24</v>
      </c>
      <c r="D825" s="1" t="str">
        <f t="shared" si="1443"/>
        <v>2021</v>
      </c>
      <c r="E825" s="1" t="str">
        <f>"24.18"</f>
        <v>24.18</v>
      </c>
      <c r="F825" s="1" t="str">
        <f t="shared" ref="F825:I825" si="1560">"0"</f>
        <v>0</v>
      </c>
      <c r="G825" s="1" t="str">
        <f t="shared" si="1560"/>
        <v>0</v>
      </c>
      <c r="H825" s="1" t="str">
        <f t="shared" si="1465"/>
        <v>0</v>
      </c>
      <c r="I825" s="1" t="str">
        <f t="shared" si="1560"/>
        <v>0</v>
      </c>
      <c r="J825" s="1" t="str">
        <f>"2"</f>
        <v>2</v>
      </c>
      <c r="K825" s="1" t="str">
        <f t="shared" ref="K825:P825" si="1561">"0"</f>
        <v>0</v>
      </c>
      <c r="L825" s="1" t="str">
        <f t="shared" si="1561"/>
        <v>0</v>
      </c>
      <c r="M825" s="1" t="str">
        <f t="shared" si="1561"/>
        <v>0</v>
      </c>
      <c r="N825" s="1" t="str">
        <f t="shared" si="1561"/>
        <v>0</v>
      </c>
      <c r="O825" s="1" t="str">
        <f t="shared" si="1561"/>
        <v>0</v>
      </c>
      <c r="P825" s="1" t="str">
        <f t="shared" si="1561"/>
        <v>0</v>
      </c>
      <c r="Q825" s="1" t="str">
        <f t="shared" si="1446"/>
        <v>0.0070</v>
      </c>
      <c r="R825" s="1" t="s">
        <v>29</v>
      </c>
      <c r="S825" s="1">
        <v>-0.0014</v>
      </c>
      <c r="T825" s="1" t="str">
        <f t="shared" si="1447"/>
        <v>0</v>
      </c>
      <c r="U825" s="1" t="str">
        <f t="shared" ref="U825:U829" si="1562">"0.0056"</f>
        <v>0.0056</v>
      </c>
    </row>
    <row r="826" s="1" customFormat="1" spans="1:21">
      <c r="A826" s="1" t="str">
        <f>"4601992002039"</f>
        <v>4601992002039</v>
      </c>
      <c r="B826" s="1" t="s">
        <v>850</v>
      </c>
      <c r="C826" s="1" t="s">
        <v>24</v>
      </c>
      <c r="D826" s="1" t="str">
        <f t="shared" si="1443"/>
        <v>2021</v>
      </c>
      <c r="E826" s="1" t="str">
        <f t="shared" ref="E826:G826" si="1563">"0"</f>
        <v>0</v>
      </c>
      <c r="F826" s="1" t="str">
        <f t="shared" si="1563"/>
        <v>0</v>
      </c>
      <c r="G826" s="1" t="str">
        <f t="shared" si="1563"/>
        <v>0</v>
      </c>
      <c r="H826" s="1" t="str">
        <f t="shared" si="1465"/>
        <v>0</v>
      </c>
      <c r="I826" s="1" t="str">
        <f t="shared" ref="I826:P826" si="1564">"0"</f>
        <v>0</v>
      </c>
      <c r="J826" s="1" t="str">
        <f t="shared" si="1564"/>
        <v>0</v>
      </c>
      <c r="K826" s="1" t="str">
        <f t="shared" si="1564"/>
        <v>0</v>
      </c>
      <c r="L826" s="1" t="str">
        <f t="shared" si="1564"/>
        <v>0</v>
      </c>
      <c r="M826" s="1" t="str">
        <f t="shared" si="1564"/>
        <v>0</v>
      </c>
      <c r="N826" s="1" t="str">
        <f t="shared" si="1564"/>
        <v>0</v>
      </c>
      <c r="O826" s="1" t="str">
        <f t="shared" si="1564"/>
        <v>0</v>
      </c>
      <c r="P826" s="1" t="str">
        <f t="shared" si="1564"/>
        <v>0</v>
      </c>
      <c r="Q826" s="1" t="str">
        <f t="shared" si="1446"/>
        <v>0.0070</v>
      </c>
      <c r="R826" s="1" t="s">
        <v>25</v>
      </c>
      <c r="T826" s="1" t="str">
        <f t="shared" si="1447"/>
        <v>0</v>
      </c>
      <c r="U826" s="1" t="str">
        <f t="shared" si="1557"/>
        <v>0.0070</v>
      </c>
    </row>
    <row r="827" s="1" customFormat="1" spans="1:21">
      <c r="A827" s="1" t="str">
        <f>"4601992002053"</f>
        <v>4601992002053</v>
      </c>
      <c r="B827" s="1" t="s">
        <v>851</v>
      </c>
      <c r="C827" s="1" t="s">
        <v>24</v>
      </c>
      <c r="D827" s="1" t="str">
        <f t="shared" si="1443"/>
        <v>2021</v>
      </c>
      <c r="E827" s="1" t="str">
        <f t="shared" ref="E827:G827" si="1565">"0"</f>
        <v>0</v>
      </c>
      <c r="F827" s="1" t="str">
        <f t="shared" si="1565"/>
        <v>0</v>
      </c>
      <c r="G827" s="1" t="str">
        <f t="shared" si="1565"/>
        <v>0</v>
      </c>
      <c r="H827" s="1" t="str">
        <f t="shared" si="1465"/>
        <v>0</v>
      </c>
      <c r="I827" s="1" t="str">
        <f t="shared" ref="I827:P827" si="1566">"0"</f>
        <v>0</v>
      </c>
      <c r="J827" s="1" t="str">
        <f t="shared" si="1566"/>
        <v>0</v>
      </c>
      <c r="K827" s="1" t="str">
        <f t="shared" si="1566"/>
        <v>0</v>
      </c>
      <c r="L827" s="1" t="str">
        <f t="shared" si="1566"/>
        <v>0</v>
      </c>
      <c r="M827" s="1" t="str">
        <f t="shared" si="1566"/>
        <v>0</v>
      </c>
      <c r="N827" s="1" t="str">
        <f t="shared" si="1566"/>
        <v>0</v>
      </c>
      <c r="O827" s="1" t="str">
        <f t="shared" si="1566"/>
        <v>0</v>
      </c>
      <c r="P827" s="1" t="str">
        <f t="shared" si="1566"/>
        <v>0</v>
      </c>
      <c r="Q827" s="1" t="str">
        <f t="shared" si="1446"/>
        <v>0.0070</v>
      </c>
      <c r="R827" s="1" t="s">
        <v>25</v>
      </c>
      <c r="T827" s="1" t="str">
        <f t="shared" si="1447"/>
        <v>0</v>
      </c>
      <c r="U827" s="1" t="str">
        <f t="shared" si="1557"/>
        <v>0.0070</v>
      </c>
    </row>
    <row r="828" s="1" customFormat="1" spans="1:21">
      <c r="A828" s="1" t="str">
        <f>"4601991404571"</f>
        <v>4601991404571</v>
      </c>
      <c r="B828" s="1" t="s">
        <v>852</v>
      </c>
      <c r="C828" s="1" t="s">
        <v>24</v>
      </c>
      <c r="D828" s="1" t="str">
        <f t="shared" si="1443"/>
        <v>2021</v>
      </c>
      <c r="E828" s="1" t="str">
        <f>"47.92"</f>
        <v>47.92</v>
      </c>
      <c r="F828" s="1" t="str">
        <f t="shared" ref="F828:I828" si="1567">"0"</f>
        <v>0</v>
      </c>
      <c r="G828" s="1" t="str">
        <f t="shared" si="1567"/>
        <v>0</v>
      </c>
      <c r="H828" s="1" t="str">
        <f t="shared" si="1465"/>
        <v>0</v>
      </c>
      <c r="I828" s="1" t="str">
        <f t="shared" si="1567"/>
        <v>0</v>
      </c>
      <c r="J828" s="1" t="str">
        <f>"4"</f>
        <v>4</v>
      </c>
      <c r="K828" s="1" t="str">
        <f t="shared" ref="K828:P828" si="1568">"0"</f>
        <v>0</v>
      </c>
      <c r="L828" s="1" t="str">
        <f t="shared" si="1568"/>
        <v>0</v>
      </c>
      <c r="M828" s="1" t="str">
        <f t="shared" si="1568"/>
        <v>0</v>
      </c>
      <c r="N828" s="1" t="str">
        <f t="shared" si="1568"/>
        <v>0</v>
      </c>
      <c r="O828" s="1" t="str">
        <f t="shared" si="1568"/>
        <v>0</v>
      </c>
      <c r="P828" s="1" t="str">
        <f t="shared" si="1568"/>
        <v>0</v>
      </c>
      <c r="Q828" s="1" t="str">
        <f t="shared" si="1446"/>
        <v>0.0070</v>
      </c>
      <c r="R828" s="1" t="s">
        <v>29</v>
      </c>
      <c r="S828" s="1">
        <v>-0.0014</v>
      </c>
      <c r="T828" s="1" t="str">
        <f t="shared" si="1447"/>
        <v>0</v>
      </c>
      <c r="U828" s="1" t="str">
        <f t="shared" si="1562"/>
        <v>0.0056</v>
      </c>
    </row>
    <row r="829" s="1" customFormat="1" spans="1:21">
      <c r="A829" s="1" t="str">
        <f>"4601992002047"</f>
        <v>4601992002047</v>
      </c>
      <c r="B829" s="1" t="s">
        <v>853</v>
      </c>
      <c r="C829" s="1" t="s">
        <v>24</v>
      </c>
      <c r="D829" s="1" t="str">
        <f t="shared" si="1443"/>
        <v>2021</v>
      </c>
      <c r="E829" s="1" t="str">
        <f>"36.27"</f>
        <v>36.27</v>
      </c>
      <c r="F829" s="1" t="str">
        <f t="shared" ref="F829:I829" si="1569">"0"</f>
        <v>0</v>
      </c>
      <c r="G829" s="1" t="str">
        <f t="shared" si="1569"/>
        <v>0</v>
      </c>
      <c r="H829" s="1" t="str">
        <f t="shared" si="1465"/>
        <v>0</v>
      </c>
      <c r="I829" s="1" t="str">
        <f t="shared" si="1569"/>
        <v>0</v>
      </c>
      <c r="J829" s="1" t="str">
        <f>"3"</f>
        <v>3</v>
      </c>
      <c r="K829" s="1" t="str">
        <f t="shared" ref="K829:P829" si="1570">"0"</f>
        <v>0</v>
      </c>
      <c r="L829" s="1" t="str">
        <f t="shared" si="1570"/>
        <v>0</v>
      </c>
      <c r="M829" s="1" t="str">
        <f t="shared" si="1570"/>
        <v>0</v>
      </c>
      <c r="N829" s="1" t="str">
        <f t="shared" si="1570"/>
        <v>0</v>
      </c>
      <c r="O829" s="1" t="str">
        <f t="shared" si="1570"/>
        <v>0</v>
      </c>
      <c r="P829" s="1" t="str">
        <f t="shared" si="1570"/>
        <v>0</v>
      </c>
      <c r="Q829" s="1" t="str">
        <f t="shared" si="1446"/>
        <v>0.0070</v>
      </c>
      <c r="R829" s="1" t="s">
        <v>29</v>
      </c>
      <c r="S829" s="1">
        <v>-0.0014</v>
      </c>
      <c r="T829" s="1" t="str">
        <f t="shared" si="1447"/>
        <v>0</v>
      </c>
      <c r="U829" s="1" t="str">
        <f t="shared" si="1562"/>
        <v>0.0056</v>
      </c>
    </row>
    <row r="830" s="1" customFormat="1" spans="1:21">
      <c r="A830" s="1" t="str">
        <f>"4601992002087"</f>
        <v>4601992002087</v>
      </c>
      <c r="B830" s="1" t="s">
        <v>854</v>
      </c>
      <c r="C830" s="1" t="s">
        <v>24</v>
      </c>
      <c r="D830" s="1" t="str">
        <f t="shared" si="1443"/>
        <v>2021</v>
      </c>
      <c r="E830" s="1" t="str">
        <f>"42.74"</f>
        <v>42.74</v>
      </c>
      <c r="F830" s="1" t="str">
        <f t="shared" ref="F830:I830" si="1571">"0"</f>
        <v>0</v>
      </c>
      <c r="G830" s="1" t="str">
        <f t="shared" si="1571"/>
        <v>0</v>
      </c>
      <c r="H830" s="1" t="str">
        <f t="shared" si="1465"/>
        <v>0</v>
      </c>
      <c r="I830" s="1" t="str">
        <f t="shared" si="1571"/>
        <v>0</v>
      </c>
      <c r="J830" s="1" t="str">
        <f>"2"</f>
        <v>2</v>
      </c>
      <c r="K830" s="1" t="str">
        <f t="shared" ref="K830:P830" si="1572">"0"</f>
        <v>0</v>
      </c>
      <c r="L830" s="1" t="str">
        <f t="shared" si="1572"/>
        <v>0</v>
      </c>
      <c r="M830" s="1" t="str">
        <f t="shared" si="1572"/>
        <v>0</v>
      </c>
      <c r="N830" s="1" t="str">
        <f t="shared" si="1572"/>
        <v>0</v>
      </c>
      <c r="O830" s="1" t="str">
        <f t="shared" si="1572"/>
        <v>0</v>
      </c>
      <c r="P830" s="1" t="str">
        <f t="shared" si="1572"/>
        <v>0</v>
      </c>
      <c r="Q830" s="1" t="str">
        <f t="shared" si="1446"/>
        <v>0.0070</v>
      </c>
      <c r="R830" s="1" t="s">
        <v>25</v>
      </c>
      <c r="T830" s="1" t="str">
        <f t="shared" si="1447"/>
        <v>0</v>
      </c>
      <c r="U830" s="1" t="str">
        <f t="shared" ref="U830:U833" si="1573">"0.0070"</f>
        <v>0.0070</v>
      </c>
    </row>
    <row r="831" s="1" customFormat="1" spans="1:21">
      <c r="A831" s="1" t="str">
        <f>"4601992002152"</f>
        <v>4601992002152</v>
      </c>
      <c r="B831" s="1" t="s">
        <v>855</v>
      </c>
      <c r="C831" s="1" t="s">
        <v>24</v>
      </c>
      <c r="D831" s="1" t="str">
        <f t="shared" si="1443"/>
        <v>2021</v>
      </c>
      <c r="E831" s="1" t="str">
        <f t="shared" ref="E831:G831" si="1574">"0"</f>
        <v>0</v>
      </c>
      <c r="F831" s="1" t="str">
        <f t="shared" si="1574"/>
        <v>0</v>
      </c>
      <c r="G831" s="1" t="str">
        <f t="shared" si="1574"/>
        <v>0</v>
      </c>
      <c r="H831" s="1" t="str">
        <f t="shared" si="1465"/>
        <v>0</v>
      </c>
      <c r="I831" s="1" t="str">
        <f t="shared" ref="I831:P831" si="1575">"0"</f>
        <v>0</v>
      </c>
      <c r="J831" s="1" t="str">
        <f t="shared" si="1575"/>
        <v>0</v>
      </c>
      <c r="K831" s="1" t="str">
        <f t="shared" si="1575"/>
        <v>0</v>
      </c>
      <c r="L831" s="1" t="str">
        <f t="shared" si="1575"/>
        <v>0</v>
      </c>
      <c r="M831" s="1" t="str">
        <f t="shared" si="1575"/>
        <v>0</v>
      </c>
      <c r="N831" s="1" t="str">
        <f t="shared" si="1575"/>
        <v>0</v>
      </c>
      <c r="O831" s="1" t="str">
        <f t="shared" si="1575"/>
        <v>0</v>
      </c>
      <c r="P831" s="1" t="str">
        <f t="shared" si="1575"/>
        <v>0</v>
      </c>
      <c r="Q831" s="1" t="str">
        <f t="shared" si="1446"/>
        <v>0.0070</v>
      </c>
      <c r="R831" s="1" t="s">
        <v>25</v>
      </c>
      <c r="T831" s="1" t="str">
        <f t="shared" si="1447"/>
        <v>0</v>
      </c>
      <c r="U831" s="1" t="str">
        <f t="shared" si="1573"/>
        <v>0.0070</v>
      </c>
    </row>
    <row r="832" s="1" customFormat="1" spans="1:21">
      <c r="A832" s="1" t="str">
        <f>"4601992002135"</f>
        <v>4601992002135</v>
      </c>
      <c r="B832" s="1" t="s">
        <v>856</v>
      </c>
      <c r="C832" s="1" t="s">
        <v>24</v>
      </c>
      <c r="D832" s="1" t="str">
        <f t="shared" si="1443"/>
        <v>2021</v>
      </c>
      <c r="E832" s="1" t="str">
        <f t="shared" ref="E832:G832" si="1576">"0"</f>
        <v>0</v>
      </c>
      <c r="F832" s="1" t="str">
        <f t="shared" si="1576"/>
        <v>0</v>
      </c>
      <c r="G832" s="1" t="str">
        <f t="shared" si="1576"/>
        <v>0</v>
      </c>
      <c r="H832" s="1" t="str">
        <f t="shared" si="1465"/>
        <v>0</v>
      </c>
      <c r="I832" s="1" t="str">
        <f t="shared" ref="I832:P832" si="1577">"0"</f>
        <v>0</v>
      </c>
      <c r="J832" s="1" t="str">
        <f t="shared" si="1577"/>
        <v>0</v>
      </c>
      <c r="K832" s="1" t="str">
        <f t="shared" si="1577"/>
        <v>0</v>
      </c>
      <c r="L832" s="1" t="str">
        <f t="shared" si="1577"/>
        <v>0</v>
      </c>
      <c r="M832" s="1" t="str">
        <f t="shared" si="1577"/>
        <v>0</v>
      </c>
      <c r="N832" s="1" t="str">
        <f t="shared" si="1577"/>
        <v>0</v>
      </c>
      <c r="O832" s="1" t="str">
        <f t="shared" si="1577"/>
        <v>0</v>
      </c>
      <c r="P832" s="1" t="str">
        <f t="shared" si="1577"/>
        <v>0</v>
      </c>
      <c r="Q832" s="1" t="str">
        <f t="shared" si="1446"/>
        <v>0.0070</v>
      </c>
      <c r="R832" s="1" t="s">
        <v>25</v>
      </c>
      <c r="T832" s="1" t="str">
        <f t="shared" si="1447"/>
        <v>0</v>
      </c>
      <c r="U832" s="1" t="str">
        <f t="shared" si="1573"/>
        <v>0.0070</v>
      </c>
    </row>
    <row r="833" s="1" customFormat="1" spans="1:21">
      <c r="A833" s="1" t="str">
        <f>"4601992002101"</f>
        <v>4601992002101</v>
      </c>
      <c r="B833" s="1" t="s">
        <v>857</v>
      </c>
      <c r="C833" s="1" t="s">
        <v>24</v>
      </c>
      <c r="D833" s="1" t="str">
        <f t="shared" si="1443"/>
        <v>2021</v>
      </c>
      <c r="E833" s="1" t="str">
        <f t="shared" ref="E833:G833" si="1578">"0"</f>
        <v>0</v>
      </c>
      <c r="F833" s="1" t="str">
        <f t="shared" si="1578"/>
        <v>0</v>
      </c>
      <c r="G833" s="1" t="str">
        <f t="shared" si="1578"/>
        <v>0</v>
      </c>
      <c r="H833" s="1" t="str">
        <f t="shared" si="1465"/>
        <v>0</v>
      </c>
      <c r="I833" s="1" t="str">
        <f t="shared" ref="I833:P833" si="1579">"0"</f>
        <v>0</v>
      </c>
      <c r="J833" s="1" t="str">
        <f t="shared" si="1579"/>
        <v>0</v>
      </c>
      <c r="K833" s="1" t="str">
        <f t="shared" si="1579"/>
        <v>0</v>
      </c>
      <c r="L833" s="1" t="str">
        <f t="shared" si="1579"/>
        <v>0</v>
      </c>
      <c r="M833" s="1" t="str">
        <f t="shared" si="1579"/>
        <v>0</v>
      </c>
      <c r="N833" s="1" t="str">
        <f t="shared" si="1579"/>
        <v>0</v>
      </c>
      <c r="O833" s="1" t="str">
        <f t="shared" si="1579"/>
        <v>0</v>
      </c>
      <c r="P833" s="1" t="str">
        <f t="shared" si="1579"/>
        <v>0</v>
      </c>
      <c r="Q833" s="1" t="str">
        <f t="shared" si="1446"/>
        <v>0.0070</v>
      </c>
      <c r="R833" s="1" t="s">
        <v>25</v>
      </c>
      <c r="T833" s="1" t="str">
        <f t="shared" si="1447"/>
        <v>0</v>
      </c>
      <c r="U833" s="1" t="str">
        <f t="shared" si="1573"/>
        <v>0.0070</v>
      </c>
    </row>
    <row r="834" s="1" customFormat="1" spans="1:21">
      <c r="A834" s="1" t="str">
        <f>"4601992002221"</f>
        <v>4601992002221</v>
      </c>
      <c r="B834" s="1" t="s">
        <v>858</v>
      </c>
      <c r="C834" s="1" t="s">
        <v>24</v>
      </c>
      <c r="D834" s="1" t="str">
        <f t="shared" si="1443"/>
        <v>2021</v>
      </c>
      <c r="E834" s="1" t="str">
        <f>"158.13"</f>
        <v>158.13</v>
      </c>
      <c r="F834" s="1" t="str">
        <f t="shared" ref="F834:I834" si="1580">"0"</f>
        <v>0</v>
      </c>
      <c r="G834" s="1" t="str">
        <f t="shared" si="1580"/>
        <v>0</v>
      </c>
      <c r="H834" s="1" t="str">
        <f t="shared" si="1465"/>
        <v>0</v>
      </c>
      <c r="I834" s="1" t="str">
        <f t="shared" si="1580"/>
        <v>0</v>
      </c>
      <c r="J834" s="1" t="str">
        <f>"15"</f>
        <v>15</v>
      </c>
      <c r="K834" s="1" t="str">
        <f t="shared" ref="K834:P834" si="1581">"0"</f>
        <v>0</v>
      </c>
      <c r="L834" s="1" t="str">
        <f t="shared" si="1581"/>
        <v>0</v>
      </c>
      <c r="M834" s="1" t="str">
        <f t="shared" si="1581"/>
        <v>0</v>
      </c>
      <c r="N834" s="1" t="str">
        <f t="shared" si="1581"/>
        <v>0</v>
      </c>
      <c r="O834" s="1" t="str">
        <f t="shared" si="1581"/>
        <v>0</v>
      </c>
      <c r="P834" s="1" t="str">
        <f t="shared" si="1581"/>
        <v>0</v>
      </c>
      <c r="Q834" s="1" t="str">
        <f t="shared" si="1446"/>
        <v>0.0070</v>
      </c>
      <c r="R834" s="1" t="s">
        <v>29</v>
      </c>
      <c r="S834" s="1">
        <v>-0.0014</v>
      </c>
      <c r="T834" s="1" t="str">
        <f t="shared" si="1447"/>
        <v>0</v>
      </c>
      <c r="U834" s="1" t="str">
        <f t="shared" ref="U834:U840" si="1582">"0.0056"</f>
        <v>0.0056</v>
      </c>
    </row>
    <row r="835" s="1" customFormat="1" spans="1:21">
      <c r="A835" s="1" t="str">
        <f>"4601992002240"</f>
        <v>4601992002240</v>
      </c>
      <c r="B835" s="1" t="s">
        <v>859</v>
      </c>
      <c r="C835" s="1" t="s">
        <v>24</v>
      </c>
      <c r="D835" s="1" t="str">
        <f t="shared" ref="D835:D898" si="1583">"2021"</f>
        <v>2021</v>
      </c>
      <c r="E835" s="1" t="str">
        <f>"157.17"</f>
        <v>157.17</v>
      </c>
      <c r="F835" s="1" t="str">
        <f t="shared" ref="F835:I835" si="1584">"0"</f>
        <v>0</v>
      </c>
      <c r="G835" s="1" t="str">
        <f t="shared" si="1584"/>
        <v>0</v>
      </c>
      <c r="H835" s="1" t="str">
        <f t="shared" si="1465"/>
        <v>0</v>
      </c>
      <c r="I835" s="1" t="str">
        <f t="shared" si="1584"/>
        <v>0</v>
      </c>
      <c r="J835" s="1" t="str">
        <f>"16"</f>
        <v>16</v>
      </c>
      <c r="K835" s="1" t="str">
        <f t="shared" ref="K835:P835" si="1585">"0"</f>
        <v>0</v>
      </c>
      <c r="L835" s="1" t="str">
        <f t="shared" si="1585"/>
        <v>0</v>
      </c>
      <c r="M835" s="1" t="str">
        <f t="shared" si="1585"/>
        <v>0</v>
      </c>
      <c r="N835" s="1" t="str">
        <f t="shared" si="1585"/>
        <v>0</v>
      </c>
      <c r="O835" s="1" t="str">
        <f t="shared" si="1585"/>
        <v>0</v>
      </c>
      <c r="P835" s="1" t="str">
        <f t="shared" si="1585"/>
        <v>0</v>
      </c>
      <c r="Q835" s="1" t="str">
        <f t="shared" ref="Q835:Q898" si="1586">"0.0070"</f>
        <v>0.0070</v>
      </c>
      <c r="R835" s="1" t="s">
        <v>29</v>
      </c>
      <c r="S835" s="1">
        <v>-0.0014</v>
      </c>
      <c r="T835" s="1" t="str">
        <f t="shared" ref="T835:T898" si="1587">"0"</f>
        <v>0</v>
      </c>
      <c r="U835" s="1" t="str">
        <f t="shared" si="1582"/>
        <v>0.0056</v>
      </c>
    </row>
    <row r="836" s="1" customFormat="1" spans="1:21">
      <c r="A836" s="1" t="str">
        <f>"4601992002268"</f>
        <v>4601992002268</v>
      </c>
      <c r="B836" s="1" t="s">
        <v>860</v>
      </c>
      <c r="C836" s="1" t="s">
        <v>24</v>
      </c>
      <c r="D836" s="1" t="str">
        <f t="shared" si="1583"/>
        <v>2021</v>
      </c>
      <c r="E836" s="1" t="str">
        <f t="shared" ref="E836:G836" si="1588">"0"</f>
        <v>0</v>
      </c>
      <c r="F836" s="1" t="str">
        <f t="shared" si="1588"/>
        <v>0</v>
      </c>
      <c r="G836" s="1" t="str">
        <f t="shared" si="1588"/>
        <v>0</v>
      </c>
      <c r="H836" s="1" t="str">
        <f t="shared" si="1465"/>
        <v>0</v>
      </c>
      <c r="I836" s="1" t="str">
        <f t="shared" ref="I836:P836" si="1589">"0"</f>
        <v>0</v>
      </c>
      <c r="J836" s="1" t="str">
        <f t="shared" si="1589"/>
        <v>0</v>
      </c>
      <c r="K836" s="1" t="str">
        <f t="shared" si="1589"/>
        <v>0</v>
      </c>
      <c r="L836" s="1" t="str">
        <f t="shared" si="1589"/>
        <v>0</v>
      </c>
      <c r="M836" s="1" t="str">
        <f t="shared" si="1589"/>
        <v>0</v>
      </c>
      <c r="N836" s="1" t="str">
        <f t="shared" si="1589"/>
        <v>0</v>
      </c>
      <c r="O836" s="1" t="str">
        <f t="shared" si="1589"/>
        <v>0</v>
      </c>
      <c r="P836" s="1" t="str">
        <f t="shared" si="1589"/>
        <v>0</v>
      </c>
      <c r="Q836" s="1" t="str">
        <f t="shared" si="1586"/>
        <v>0.0070</v>
      </c>
      <c r="R836" s="1" t="s">
        <v>25</v>
      </c>
      <c r="T836" s="1" t="str">
        <f t="shared" si="1587"/>
        <v>0</v>
      </c>
      <c r="U836" s="1" t="str">
        <f>"0.0070"</f>
        <v>0.0070</v>
      </c>
    </row>
    <row r="837" s="1" customFormat="1" spans="1:21">
      <c r="A837" s="1" t="str">
        <f>"4601992002261"</f>
        <v>4601992002261</v>
      </c>
      <c r="B837" s="1" t="s">
        <v>861</v>
      </c>
      <c r="C837" s="1" t="s">
        <v>24</v>
      </c>
      <c r="D837" s="1" t="str">
        <f t="shared" si="1583"/>
        <v>2021</v>
      </c>
      <c r="E837" s="1" t="str">
        <f>"36.27"</f>
        <v>36.27</v>
      </c>
      <c r="F837" s="1" t="str">
        <f t="shared" ref="F837:I837" si="1590">"0"</f>
        <v>0</v>
      </c>
      <c r="G837" s="1" t="str">
        <f t="shared" si="1590"/>
        <v>0</v>
      </c>
      <c r="H837" s="1" t="str">
        <f t="shared" si="1465"/>
        <v>0</v>
      </c>
      <c r="I837" s="1" t="str">
        <f t="shared" si="1590"/>
        <v>0</v>
      </c>
      <c r="J837" s="1" t="str">
        <f>"2"</f>
        <v>2</v>
      </c>
      <c r="K837" s="1" t="str">
        <f t="shared" ref="K837:P837" si="1591">"0"</f>
        <v>0</v>
      </c>
      <c r="L837" s="1" t="str">
        <f t="shared" si="1591"/>
        <v>0</v>
      </c>
      <c r="M837" s="1" t="str">
        <f t="shared" si="1591"/>
        <v>0</v>
      </c>
      <c r="N837" s="1" t="str">
        <f t="shared" si="1591"/>
        <v>0</v>
      </c>
      <c r="O837" s="1" t="str">
        <f t="shared" si="1591"/>
        <v>0</v>
      </c>
      <c r="P837" s="1" t="str">
        <f t="shared" si="1591"/>
        <v>0</v>
      </c>
      <c r="Q837" s="1" t="str">
        <f t="shared" si="1586"/>
        <v>0.0070</v>
      </c>
      <c r="R837" s="1" t="s">
        <v>29</v>
      </c>
      <c r="S837" s="1">
        <v>-0.0014</v>
      </c>
      <c r="T837" s="1" t="str">
        <f t="shared" si="1587"/>
        <v>0</v>
      </c>
      <c r="U837" s="1" t="str">
        <f t="shared" si="1582"/>
        <v>0.0056</v>
      </c>
    </row>
    <row r="838" s="1" customFormat="1" spans="1:21">
      <c r="A838" s="1" t="str">
        <f>"4601992002264"</f>
        <v>4601992002264</v>
      </c>
      <c r="B838" s="1" t="s">
        <v>862</v>
      </c>
      <c r="C838" s="1" t="s">
        <v>24</v>
      </c>
      <c r="D838" s="1" t="str">
        <f t="shared" si="1583"/>
        <v>2021</v>
      </c>
      <c r="E838" s="1" t="str">
        <f>"109.93"</f>
        <v>109.93</v>
      </c>
      <c r="F838" s="1" t="str">
        <f t="shared" ref="F838:I838" si="1592">"0"</f>
        <v>0</v>
      </c>
      <c r="G838" s="1" t="str">
        <f t="shared" si="1592"/>
        <v>0</v>
      </c>
      <c r="H838" s="1" t="str">
        <f t="shared" si="1465"/>
        <v>0</v>
      </c>
      <c r="I838" s="1" t="str">
        <f t="shared" si="1592"/>
        <v>0</v>
      </c>
      <c r="J838" s="1" t="str">
        <f>"9"</f>
        <v>9</v>
      </c>
      <c r="K838" s="1" t="str">
        <f t="shared" ref="K838:P838" si="1593">"0"</f>
        <v>0</v>
      </c>
      <c r="L838" s="1" t="str">
        <f t="shared" si="1593"/>
        <v>0</v>
      </c>
      <c r="M838" s="1" t="str">
        <f t="shared" si="1593"/>
        <v>0</v>
      </c>
      <c r="N838" s="1" t="str">
        <f t="shared" si="1593"/>
        <v>0</v>
      </c>
      <c r="O838" s="1" t="str">
        <f t="shared" si="1593"/>
        <v>0</v>
      </c>
      <c r="P838" s="1" t="str">
        <f t="shared" si="1593"/>
        <v>0</v>
      </c>
      <c r="Q838" s="1" t="str">
        <f t="shared" si="1586"/>
        <v>0.0070</v>
      </c>
      <c r="R838" s="1" t="s">
        <v>29</v>
      </c>
      <c r="S838" s="1">
        <v>-0.0014</v>
      </c>
      <c r="T838" s="1" t="str">
        <f t="shared" si="1587"/>
        <v>0</v>
      </c>
      <c r="U838" s="1" t="str">
        <f t="shared" si="1582"/>
        <v>0.0056</v>
      </c>
    </row>
    <row r="839" s="1" customFormat="1" spans="1:21">
      <c r="A839" s="1" t="str">
        <f>"4601992002288"</f>
        <v>4601992002288</v>
      </c>
      <c r="B839" s="1" t="s">
        <v>863</v>
      </c>
      <c r="C839" s="1" t="s">
        <v>24</v>
      </c>
      <c r="D839" s="1" t="str">
        <f t="shared" si="1583"/>
        <v>2021</v>
      </c>
      <c r="E839" s="1" t="str">
        <f>"2611.44"</f>
        <v>2611.44</v>
      </c>
      <c r="F839" s="1" t="str">
        <f t="shared" ref="F839:I839" si="1594">"0"</f>
        <v>0</v>
      </c>
      <c r="G839" s="1" t="str">
        <f t="shared" si="1594"/>
        <v>0</v>
      </c>
      <c r="H839" s="1" t="str">
        <f t="shared" si="1465"/>
        <v>0</v>
      </c>
      <c r="I839" s="1" t="str">
        <f t="shared" si="1594"/>
        <v>0</v>
      </c>
      <c r="J839" s="1" t="str">
        <f>"18"</f>
        <v>18</v>
      </c>
      <c r="K839" s="1" t="str">
        <f t="shared" ref="K839:P839" si="1595">"0"</f>
        <v>0</v>
      </c>
      <c r="L839" s="1" t="str">
        <f t="shared" si="1595"/>
        <v>0</v>
      </c>
      <c r="M839" s="1" t="str">
        <f t="shared" si="1595"/>
        <v>0</v>
      </c>
      <c r="N839" s="1" t="str">
        <f t="shared" si="1595"/>
        <v>0</v>
      </c>
      <c r="O839" s="1" t="str">
        <f t="shared" si="1595"/>
        <v>0</v>
      </c>
      <c r="P839" s="1" t="str">
        <f t="shared" si="1595"/>
        <v>0</v>
      </c>
      <c r="Q839" s="1" t="str">
        <f t="shared" si="1586"/>
        <v>0.0070</v>
      </c>
      <c r="R839" s="1" t="s">
        <v>29</v>
      </c>
      <c r="S839" s="1">
        <v>-0.0014</v>
      </c>
      <c r="T839" s="1" t="str">
        <f t="shared" si="1587"/>
        <v>0</v>
      </c>
      <c r="U839" s="1" t="str">
        <f t="shared" si="1582"/>
        <v>0.0056</v>
      </c>
    </row>
    <row r="840" s="1" customFormat="1" spans="1:21">
      <c r="A840" s="1" t="str">
        <f>"4601992002302"</f>
        <v>4601992002302</v>
      </c>
      <c r="B840" s="1" t="s">
        <v>864</v>
      </c>
      <c r="C840" s="1" t="s">
        <v>24</v>
      </c>
      <c r="D840" s="1" t="str">
        <f t="shared" si="1583"/>
        <v>2021</v>
      </c>
      <c r="E840" s="1" t="str">
        <f>"36.27"</f>
        <v>36.27</v>
      </c>
      <c r="F840" s="1" t="str">
        <f t="shared" ref="F840:I840" si="1596">"0"</f>
        <v>0</v>
      </c>
      <c r="G840" s="1" t="str">
        <f t="shared" si="1596"/>
        <v>0</v>
      </c>
      <c r="H840" s="1" t="str">
        <f t="shared" si="1465"/>
        <v>0</v>
      </c>
      <c r="I840" s="1" t="str">
        <f t="shared" si="1596"/>
        <v>0</v>
      </c>
      <c r="J840" s="1" t="str">
        <f>"4"</f>
        <v>4</v>
      </c>
      <c r="K840" s="1" t="str">
        <f t="shared" ref="K840:P840" si="1597">"0"</f>
        <v>0</v>
      </c>
      <c r="L840" s="1" t="str">
        <f t="shared" si="1597"/>
        <v>0</v>
      </c>
      <c r="M840" s="1" t="str">
        <f t="shared" si="1597"/>
        <v>0</v>
      </c>
      <c r="N840" s="1" t="str">
        <f t="shared" si="1597"/>
        <v>0</v>
      </c>
      <c r="O840" s="1" t="str">
        <f t="shared" si="1597"/>
        <v>0</v>
      </c>
      <c r="P840" s="1" t="str">
        <f t="shared" si="1597"/>
        <v>0</v>
      </c>
      <c r="Q840" s="1" t="str">
        <f t="shared" si="1586"/>
        <v>0.0070</v>
      </c>
      <c r="R840" s="1" t="s">
        <v>29</v>
      </c>
      <c r="S840" s="1">
        <v>-0.0014</v>
      </c>
      <c r="T840" s="1" t="str">
        <f t="shared" si="1587"/>
        <v>0</v>
      </c>
      <c r="U840" s="1" t="str">
        <f t="shared" si="1582"/>
        <v>0.0056</v>
      </c>
    </row>
    <row r="841" s="1" customFormat="1" spans="1:21">
      <c r="A841" s="1" t="str">
        <f>"4601992002298"</f>
        <v>4601992002298</v>
      </c>
      <c r="B841" s="1" t="s">
        <v>865</v>
      </c>
      <c r="C841" s="1" t="s">
        <v>24</v>
      </c>
      <c r="D841" s="1" t="str">
        <f t="shared" si="1583"/>
        <v>2021</v>
      </c>
      <c r="E841" s="1" t="str">
        <f>"60.45"</f>
        <v>60.45</v>
      </c>
      <c r="F841" s="1" t="str">
        <f t="shared" ref="F841:I841" si="1598">"0"</f>
        <v>0</v>
      </c>
      <c r="G841" s="1" t="str">
        <f t="shared" si="1598"/>
        <v>0</v>
      </c>
      <c r="H841" s="1" t="str">
        <f t="shared" si="1465"/>
        <v>0</v>
      </c>
      <c r="I841" s="1" t="str">
        <f t="shared" si="1598"/>
        <v>0</v>
      </c>
      <c r="J841" s="1" t="str">
        <f>"5"</f>
        <v>5</v>
      </c>
      <c r="K841" s="1" t="str">
        <f t="shared" ref="K841:P841" si="1599">"0"</f>
        <v>0</v>
      </c>
      <c r="L841" s="1" t="str">
        <f t="shared" si="1599"/>
        <v>0</v>
      </c>
      <c r="M841" s="1" t="str">
        <f t="shared" si="1599"/>
        <v>0</v>
      </c>
      <c r="N841" s="1" t="str">
        <f t="shared" si="1599"/>
        <v>0</v>
      </c>
      <c r="O841" s="1" t="str">
        <f t="shared" si="1599"/>
        <v>0</v>
      </c>
      <c r="P841" s="1" t="str">
        <f t="shared" si="1599"/>
        <v>0</v>
      </c>
      <c r="Q841" s="1" t="str">
        <f t="shared" si="1586"/>
        <v>0.0070</v>
      </c>
      <c r="R841" s="1" t="s">
        <v>25</v>
      </c>
      <c r="T841" s="1" t="str">
        <f t="shared" si="1587"/>
        <v>0</v>
      </c>
      <c r="U841" s="1" t="str">
        <f t="shared" ref="U841:U847" si="1600">"0.0070"</f>
        <v>0.0070</v>
      </c>
    </row>
    <row r="842" s="1" customFormat="1" spans="1:21">
      <c r="A842" s="1" t="str">
        <f>"4601992002306"</f>
        <v>4601992002306</v>
      </c>
      <c r="B842" s="1" t="s">
        <v>866</v>
      </c>
      <c r="C842" s="1" t="s">
        <v>24</v>
      </c>
      <c r="D842" s="1" t="str">
        <f t="shared" si="1583"/>
        <v>2021</v>
      </c>
      <c r="E842" s="1" t="str">
        <f>"12.09"</f>
        <v>12.09</v>
      </c>
      <c r="F842" s="1" t="str">
        <f t="shared" ref="F842:I842" si="1601">"0"</f>
        <v>0</v>
      </c>
      <c r="G842" s="1" t="str">
        <f t="shared" si="1601"/>
        <v>0</v>
      </c>
      <c r="H842" s="1" t="str">
        <f t="shared" si="1465"/>
        <v>0</v>
      </c>
      <c r="I842" s="1" t="str">
        <f t="shared" si="1601"/>
        <v>0</v>
      </c>
      <c r="J842" s="1" t="str">
        <f>"2"</f>
        <v>2</v>
      </c>
      <c r="K842" s="1" t="str">
        <f t="shared" ref="K842:P842" si="1602">"0"</f>
        <v>0</v>
      </c>
      <c r="L842" s="1" t="str">
        <f t="shared" si="1602"/>
        <v>0</v>
      </c>
      <c r="M842" s="1" t="str">
        <f t="shared" si="1602"/>
        <v>0</v>
      </c>
      <c r="N842" s="1" t="str">
        <f t="shared" si="1602"/>
        <v>0</v>
      </c>
      <c r="O842" s="1" t="str">
        <f t="shared" si="1602"/>
        <v>0</v>
      </c>
      <c r="P842" s="1" t="str">
        <f t="shared" si="1602"/>
        <v>0</v>
      </c>
      <c r="Q842" s="1" t="str">
        <f t="shared" si="1586"/>
        <v>0.0070</v>
      </c>
      <c r="R842" s="1" t="s">
        <v>29</v>
      </c>
      <c r="S842" s="1">
        <v>-0.0014</v>
      </c>
      <c r="T842" s="1" t="str">
        <f t="shared" si="1587"/>
        <v>0</v>
      </c>
      <c r="U842" s="1" t="str">
        <f t="shared" ref="U842:U845" si="1603">"0.0056"</f>
        <v>0.0056</v>
      </c>
    </row>
    <row r="843" s="1" customFormat="1" spans="1:21">
      <c r="A843" s="1" t="str">
        <f>"4601992002329"</f>
        <v>4601992002329</v>
      </c>
      <c r="B843" s="1" t="s">
        <v>867</v>
      </c>
      <c r="C843" s="1" t="s">
        <v>24</v>
      </c>
      <c r="D843" s="1" t="str">
        <f t="shared" si="1583"/>
        <v>2021</v>
      </c>
      <c r="E843" s="1" t="str">
        <f t="shared" ref="E843:G843" si="1604">"0"</f>
        <v>0</v>
      </c>
      <c r="F843" s="1" t="str">
        <f t="shared" si="1604"/>
        <v>0</v>
      </c>
      <c r="G843" s="1" t="str">
        <f t="shared" si="1604"/>
        <v>0</v>
      </c>
      <c r="H843" s="1" t="str">
        <f t="shared" si="1465"/>
        <v>0</v>
      </c>
      <c r="I843" s="1" t="str">
        <f t="shared" ref="I843:P843" si="1605">"0"</f>
        <v>0</v>
      </c>
      <c r="J843" s="1" t="str">
        <f t="shared" si="1605"/>
        <v>0</v>
      </c>
      <c r="K843" s="1" t="str">
        <f t="shared" si="1605"/>
        <v>0</v>
      </c>
      <c r="L843" s="1" t="str">
        <f t="shared" si="1605"/>
        <v>0</v>
      </c>
      <c r="M843" s="1" t="str">
        <f t="shared" si="1605"/>
        <v>0</v>
      </c>
      <c r="N843" s="1" t="str">
        <f t="shared" si="1605"/>
        <v>0</v>
      </c>
      <c r="O843" s="1" t="str">
        <f t="shared" si="1605"/>
        <v>0</v>
      </c>
      <c r="P843" s="1" t="str">
        <f t="shared" si="1605"/>
        <v>0</v>
      </c>
      <c r="Q843" s="1" t="str">
        <f t="shared" si="1586"/>
        <v>0.0070</v>
      </c>
      <c r="R843" s="1" t="s">
        <v>25</v>
      </c>
      <c r="T843" s="1" t="str">
        <f t="shared" si="1587"/>
        <v>0</v>
      </c>
      <c r="U843" s="1" t="str">
        <f t="shared" si="1600"/>
        <v>0.0070</v>
      </c>
    </row>
    <row r="844" s="1" customFormat="1" spans="1:21">
      <c r="A844" s="1" t="str">
        <f>"4601992002323"</f>
        <v>4601992002323</v>
      </c>
      <c r="B844" s="1" t="s">
        <v>868</v>
      </c>
      <c r="C844" s="1" t="s">
        <v>24</v>
      </c>
      <c r="D844" s="1" t="str">
        <f t="shared" si="1583"/>
        <v>2021</v>
      </c>
      <c r="E844" s="1" t="str">
        <f>"203.66"</f>
        <v>203.66</v>
      </c>
      <c r="F844" s="1" t="str">
        <f t="shared" ref="F844:I844" si="1606">"0"</f>
        <v>0</v>
      </c>
      <c r="G844" s="1" t="str">
        <f t="shared" si="1606"/>
        <v>0</v>
      </c>
      <c r="H844" s="1" t="str">
        <f t="shared" si="1606"/>
        <v>0</v>
      </c>
      <c r="I844" s="1" t="str">
        <f t="shared" si="1606"/>
        <v>0</v>
      </c>
      <c r="J844" s="1" t="str">
        <f>"15"</f>
        <v>15</v>
      </c>
      <c r="K844" s="1" t="str">
        <f t="shared" ref="K844:P844" si="1607">"0"</f>
        <v>0</v>
      </c>
      <c r="L844" s="1" t="str">
        <f t="shared" si="1607"/>
        <v>0</v>
      </c>
      <c r="M844" s="1" t="str">
        <f t="shared" si="1607"/>
        <v>0</v>
      </c>
      <c r="N844" s="1" t="str">
        <f t="shared" si="1607"/>
        <v>0</v>
      </c>
      <c r="O844" s="1" t="str">
        <f t="shared" si="1607"/>
        <v>0</v>
      </c>
      <c r="P844" s="1" t="str">
        <f t="shared" si="1607"/>
        <v>0</v>
      </c>
      <c r="Q844" s="1" t="str">
        <f t="shared" si="1586"/>
        <v>0.0070</v>
      </c>
      <c r="R844" s="1" t="s">
        <v>29</v>
      </c>
      <c r="S844" s="1">
        <v>-0.0014</v>
      </c>
      <c r="T844" s="1" t="str">
        <f t="shared" si="1587"/>
        <v>0</v>
      </c>
      <c r="U844" s="1" t="str">
        <f t="shared" si="1603"/>
        <v>0.0056</v>
      </c>
    </row>
    <row r="845" s="1" customFormat="1" spans="1:21">
      <c r="A845" s="1" t="str">
        <f>"4601992002343"</f>
        <v>4601992002343</v>
      </c>
      <c r="B845" s="1" t="s">
        <v>869</v>
      </c>
      <c r="C845" s="1" t="s">
        <v>24</v>
      </c>
      <c r="D845" s="1" t="str">
        <f t="shared" si="1583"/>
        <v>2021</v>
      </c>
      <c r="E845" s="1" t="str">
        <f>"24.18"</f>
        <v>24.18</v>
      </c>
      <c r="F845" s="1" t="str">
        <f t="shared" ref="F845:I845" si="1608">"0"</f>
        <v>0</v>
      </c>
      <c r="G845" s="1" t="str">
        <f t="shared" si="1608"/>
        <v>0</v>
      </c>
      <c r="H845" s="1" t="str">
        <f t="shared" si="1608"/>
        <v>0</v>
      </c>
      <c r="I845" s="1" t="str">
        <f t="shared" si="1608"/>
        <v>0</v>
      </c>
      <c r="J845" s="1" t="str">
        <f>"1"</f>
        <v>1</v>
      </c>
      <c r="K845" s="1" t="str">
        <f t="shared" ref="K845:P845" si="1609">"0"</f>
        <v>0</v>
      </c>
      <c r="L845" s="1" t="str">
        <f t="shared" si="1609"/>
        <v>0</v>
      </c>
      <c r="M845" s="1" t="str">
        <f t="shared" si="1609"/>
        <v>0</v>
      </c>
      <c r="N845" s="1" t="str">
        <f t="shared" si="1609"/>
        <v>0</v>
      </c>
      <c r="O845" s="1" t="str">
        <f t="shared" si="1609"/>
        <v>0</v>
      </c>
      <c r="P845" s="1" t="str">
        <f t="shared" si="1609"/>
        <v>0</v>
      </c>
      <c r="Q845" s="1" t="str">
        <f t="shared" si="1586"/>
        <v>0.0070</v>
      </c>
      <c r="R845" s="1" t="s">
        <v>29</v>
      </c>
      <c r="S845" s="1">
        <v>-0.0014</v>
      </c>
      <c r="T845" s="1" t="str">
        <f t="shared" si="1587"/>
        <v>0</v>
      </c>
      <c r="U845" s="1" t="str">
        <f t="shared" si="1603"/>
        <v>0.0056</v>
      </c>
    </row>
    <row r="846" s="1" customFormat="1" spans="1:21">
      <c r="A846" s="1" t="str">
        <f>"4601992002367"</f>
        <v>4601992002367</v>
      </c>
      <c r="B846" s="1" t="s">
        <v>870</v>
      </c>
      <c r="C846" s="1" t="s">
        <v>24</v>
      </c>
      <c r="D846" s="1" t="str">
        <f t="shared" si="1583"/>
        <v>2021</v>
      </c>
      <c r="E846" s="1" t="str">
        <f t="shared" ref="E846:P846" si="1610">"0"</f>
        <v>0</v>
      </c>
      <c r="F846" s="1" t="str">
        <f t="shared" si="1610"/>
        <v>0</v>
      </c>
      <c r="G846" s="1" t="str">
        <f t="shared" si="1610"/>
        <v>0</v>
      </c>
      <c r="H846" s="1" t="str">
        <f t="shared" si="1610"/>
        <v>0</v>
      </c>
      <c r="I846" s="1" t="str">
        <f t="shared" si="1610"/>
        <v>0</v>
      </c>
      <c r="J846" s="1" t="str">
        <f t="shared" si="1610"/>
        <v>0</v>
      </c>
      <c r="K846" s="1" t="str">
        <f t="shared" si="1610"/>
        <v>0</v>
      </c>
      <c r="L846" s="1" t="str">
        <f t="shared" si="1610"/>
        <v>0</v>
      </c>
      <c r="M846" s="1" t="str">
        <f t="shared" si="1610"/>
        <v>0</v>
      </c>
      <c r="N846" s="1" t="str">
        <f t="shared" si="1610"/>
        <v>0</v>
      </c>
      <c r="O846" s="1" t="str">
        <f t="shared" si="1610"/>
        <v>0</v>
      </c>
      <c r="P846" s="1" t="str">
        <f t="shared" si="1610"/>
        <v>0</v>
      </c>
      <c r="Q846" s="1" t="str">
        <f t="shared" si="1586"/>
        <v>0.0070</v>
      </c>
      <c r="R846" s="1" t="s">
        <v>25</v>
      </c>
      <c r="T846" s="1" t="str">
        <f t="shared" si="1587"/>
        <v>0</v>
      </c>
      <c r="U846" s="1" t="str">
        <f t="shared" si="1600"/>
        <v>0.0070</v>
      </c>
    </row>
    <row r="847" s="1" customFormat="1" spans="1:21">
      <c r="A847" s="1" t="str">
        <f>"4601992002347"</f>
        <v>4601992002347</v>
      </c>
      <c r="B847" s="1" t="s">
        <v>871</v>
      </c>
      <c r="C847" s="1" t="s">
        <v>24</v>
      </c>
      <c r="D847" s="1" t="str">
        <f t="shared" si="1583"/>
        <v>2021</v>
      </c>
      <c r="E847" s="1" t="str">
        <f t="shared" ref="E847:P847" si="1611">"0"</f>
        <v>0</v>
      </c>
      <c r="F847" s="1" t="str">
        <f t="shared" si="1611"/>
        <v>0</v>
      </c>
      <c r="G847" s="1" t="str">
        <f t="shared" si="1611"/>
        <v>0</v>
      </c>
      <c r="H847" s="1" t="str">
        <f t="shared" si="1611"/>
        <v>0</v>
      </c>
      <c r="I847" s="1" t="str">
        <f t="shared" si="1611"/>
        <v>0</v>
      </c>
      <c r="J847" s="1" t="str">
        <f t="shared" si="1611"/>
        <v>0</v>
      </c>
      <c r="K847" s="1" t="str">
        <f t="shared" si="1611"/>
        <v>0</v>
      </c>
      <c r="L847" s="1" t="str">
        <f t="shared" si="1611"/>
        <v>0</v>
      </c>
      <c r="M847" s="1" t="str">
        <f t="shared" si="1611"/>
        <v>0</v>
      </c>
      <c r="N847" s="1" t="str">
        <f t="shared" si="1611"/>
        <v>0</v>
      </c>
      <c r="O847" s="1" t="str">
        <f t="shared" si="1611"/>
        <v>0</v>
      </c>
      <c r="P847" s="1" t="str">
        <f t="shared" si="1611"/>
        <v>0</v>
      </c>
      <c r="Q847" s="1" t="str">
        <f t="shared" si="1586"/>
        <v>0.0070</v>
      </c>
      <c r="R847" s="1" t="s">
        <v>25</v>
      </c>
      <c r="T847" s="1" t="str">
        <f t="shared" si="1587"/>
        <v>0</v>
      </c>
      <c r="U847" s="1" t="str">
        <f t="shared" si="1600"/>
        <v>0.0070</v>
      </c>
    </row>
    <row r="848" s="1" customFormat="1" spans="1:21">
      <c r="A848" s="1" t="str">
        <f>"4601992002325"</f>
        <v>4601992002325</v>
      </c>
      <c r="B848" s="1" t="s">
        <v>872</v>
      </c>
      <c r="C848" s="1" t="s">
        <v>24</v>
      </c>
      <c r="D848" s="1" t="str">
        <f t="shared" si="1583"/>
        <v>2021</v>
      </c>
      <c r="E848" s="1" t="str">
        <f>"529.74"</f>
        <v>529.74</v>
      </c>
      <c r="F848" s="1" t="str">
        <f t="shared" ref="F848:I848" si="1612">"0"</f>
        <v>0</v>
      </c>
      <c r="G848" s="1" t="str">
        <f t="shared" si="1612"/>
        <v>0</v>
      </c>
      <c r="H848" s="1" t="str">
        <f t="shared" si="1612"/>
        <v>0</v>
      </c>
      <c r="I848" s="1" t="str">
        <f t="shared" si="1612"/>
        <v>0</v>
      </c>
      <c r="J848" s="1" t="str">
        <f>"40"</f>
        <v>40</v>
      </c>
      <c r="K848" s="1" t="str">
        <f t="shared" ref="K848:P848" si="1613">"0"</f>
        <v>0</v>
      </c>
      <c r="L848" s="1" t="str">
        <f t="shared" si="1613"/>
        <v>0</v>
      </c>
      <c r="M848" s="1" t="str">
        <f t="shared" si="1613"/>
        <v>0</v>
      </c>
      <c r="N848" s="1" t="str">
        <f t="shared" si="1613"/>
        <v>0</v>
      </c>
      <c r="O848" s="1" t="str">
        <f t="shared" si="1613"/>
        <v>0</v>
      </c>
      <c r="P848" s="1" t="str">
        <f t="shared" si="1613"/>
        <v>0</v>
      </c>
      <c r="Q848" s="1" t="str">
        <f t="shared" si="1586"/>
        <v>0.0070</v>
      </c>
      <c r="R848" s="1" t="s">
        <v>29</v>
      </c>
      <c r="S848" s="1">
        <v>-0.0014</v>
      </c>
      <c r="T848" s="1" t="str">
        <f t="shared" si="1587"/>
        <v>0</v>
      </c>
      <c r="U848" s="1" t="str">
        <f t="shared" ref="U848:U859" si="1614">"0.0056"</f>
        <v>0.0056</v>
      </c>
    </row>
    <row r="849" s="1" customFormat="1" spans="1:21">
      <c r="A849" s="1" t="str">
        <f>"4601992002390"</f>
        <v>4601992002390</v>
      </c>
      <c r="B849" s="1" t="s">
        <v>873</v>
      </c>
      <c r="C849" s="1" t="s">
        <v>24</v>
      </c>
      <c r="D849" s="1" t="str">
        <f t="shared" si="1583"/>
        <v>2021</v>
      </c>
      <c r="E849" s="1" t="str">
        <f t="shared" ref="E849:P849" si="1615">"0"</f>
        <v>0</v>
      </c>
      <c r="F849" s="1" t="str">
        <f t="shared" si="1615"/>
        <v>0</v>
      </c>
      <c r="G849" s="1" t="str">
        <f t="shared" si="1615"/>
        <v>0</v>
      </c>
      <c r="H849" s="1" t="str">
        <f t="shared" si="1615"/>
        <v>0</v>
      </c>
      <c r="I849" s="1" t="str">
        <f t="shared" si="1615"/>
        <v>0</v>
      </c>
      <c r="J849" s="1" t="str">
        <f t="shared" si="1615"/>
        <v>0</v>
      </c>
      <c r="K849" s="1" t="str">
        <f t="shared" si="1615"/>
        <v>0</v>
      </c>
      <c r="L849" s="1" t="str">
        <f t="shared" si="1615"/>
        <v>0</v>
      </c>
      <c r="M849" s="1" t="str">
        <f t="shared" si="1615"/>
        <v>0</v>
      </c>
      <c r="N849" s="1" t="str">
        <f t="shared" si="1615"/>
        <v>0</v>
      </c>
      <c r="O849" s="1" t="str">
        <f t="shared" si="1615"/>
        <v>0</v>
      </c>
      <c r="P849" s="1" t="str">
        <f t="shared" si="1615"/>
        <v>0</v>
      </c>
      <c r="Q849" s="1" t="str">
        <f t="shared" si="1586"/>
        <v>0.0070</v>
      </c>
      <c r="R849" s="1" t="s">
        <v>25</v>
      </c>
      <c r="T849" s="1" t="str">
        <f t="shared" si="1587"/>
        <v>0</v>
      </c>
      <c r="U849" s="1" t="str">
        <f t="shared" ref="U849:U851" si="1616">"0.0070"</f>
        <v>0.0070</v>
      </c>
    </row>
    <row r="850" s="1" customFormat="1" spans="1:21">
      <c r="A850" s="1" t="str">
        <f>"4601992002414"</f>
        <v>4601992002414</v>
      </c>
      <c r="B850" s="1" t="s">
        <v>874</v>
      </c>
      <c r="C850" s="1" t="s">
        <v>24</v>
      </c>
      <c r="D850" s="1" t="str">
        <f t="shared" si="1583"/>
        <v>2021</v>
      </c>
      <c r="E850" s="1" t="str">
        <f t="shared" ref="E850:P850" si="1617">"0"</f>
        <v>0</v>
      </c>
      <c r="F850" s="1" t="str">
        <f t="shared" si="1617"/>
        <v>0</v>
      </c>
      <c r="G850" s="1" t="str">
        <f t="shared" si="1617"/>
        <v>0</v>
      </c>
      <c r="H850" s="1" t="str">
        <f t="shared" si="1617"/>
        <v>0</v>
      </c>
      <c r="I850" s="1" t="str">
        <f t="shared" si="1617"/>
        <v>0</v>
      </c>
      <c r="J850" s="1" t="str">
        <f t="shared" si="1617"/>
        <v>0</v>
      </c>
      <c r="K850" s="1" t="str">
        <f t="shared" si="1617"/>
        <v>0</v>
      </c>
      <c r="L850" s="1" t="str">
        <f t="shared" si="1617"/>
        <v>0</v>
      </c>
      <c r="M850" s="1" t="str">
        <f t="shared" si="1617"/>
        <v>0</v>
      </c>
      <c r="N850" s="1" t="str">
        <f t="shared" si="1617"/>
        <v>0</v>
      </c>
      <c r="O850" s="1" t="str">
        <f t="shared" si="1617"/>
        <v>0</v>
      </c>
      <c r="P850" s="1" t="str">
        <f t="shared" si="1617"/>
        <v>0</v>
      </c>
      <c r="Q850" s="1" t="str">
        <f t="shared" si="1586"/>
        <v>0.0070</v>
      </c>
      <c r="R850" s="1" t="s">
        <v>25</v>
      </c>
      <c r="T850" s="1" t="str">
        <f t="shared" si="1587"/>
        <v>0</v>
      </c>
      <c r="U850" s="1" t="str">
        <f t="shared" si="1616"/>
        <v>0.0070</v>
      </c>
    </row>
    <row r="851" s="1" customFormat="1" spans="1:21">
      <c r="A851" s="1" t="str">
        <f>"4601992002425"</f>
        <v>4601992002425</v>
      </c>
      <c r="B851" s="1" t="s">
        <v>875</v>
      </c>
      <c r="C851" s="1" t="s">
        <v>24</v>
      </c>
      <c r="D851" s="1" t="str">
        <f t="shared" si="1583"/>
        <v>2021</v>
      </c>
      <c r="E851" s="1" t="str">
        <f t="shared" ref="E851:I851" si="1618">"0"</f>
        <v>0</v>
      </c>
      <c r="F851" s="1" t="str">
        <f t="shared" si="1618"/>
        <v>0</v>
      </c>
      <c r="G851" s="1" t="str">
        <f t="shared" si="1618"/>
        <v>0</v>
      </c>
      <c r="H851" s="1" t="str">
        <f t="shared" si="1618"/>
        <v>0</v>
      </c>
      <c r="I851" s="1" t="str">
        <f t="shared" si="1618"/>
        <v>0</v>
      </c>
      <c r="J851" s="1" t="str">
        <f>"1"</f>
        <v>1</v>
      </c>
      <c r="K851" s="1" t="str">
        <f t="shared" ref="K851:P851" si="1619">"0"</f>
        <v>0</v>
      </c>
      <c r="L851" s="1" t="str">
        <f t="shared" si="1619"/>
        <v>0</v>
      </c>
      <c r="M851" s="1" t="str">
        <f t="shared" si="1619"/>
        <v>0</v>
      </c>
      <c r="N851" s="1" t="str">
        <f t="shared" si="1619"/>
        <v>0</v>
      </c>
      <c r="O851" s="1" t="str">
        <f t="shared" si="1619"/>
        <v>0</v>
      </c>
      <c r="P851" s="1" t="str">
        <f t="shared" si="1619"/>
        <v>0</v>
      </c>
      <c r="Q851" s="1" t="str">
        <f t="shared" si="1586"/>
        <v>0.0070</v>
      </c>
      <c r="R851" s="1" t="s">
        <v>25</v>
      </c>
      <c r="T851" s="1" t="str">
        <f t="shared" si="1587"/>
        <v>0</v>
      </c>
      <c r="U851" s="1" t="str">
        <f t="shared" si="1616"/>
        <v>0.0070</v>
      </c>
    </row>
    <row r="852" s="1" customFormat="1" spans="1:21">
      <c r="A852" s="1" t="str">
        <f>"4601992002463"</f>
        <v>4601992002463</v>
      </c>
      <c r="B852" s="1" t="s">
        <v>876</v>
      </c>
      <c r="C852" s="1" t="s">
        <v>24</v>
      </c>
      <c r="D852" s="1" t="str">
        <f t="shared" si="1583"/>
        <v>2021</v>
      </c>
      <c r="E852" s="1" t="str">
        <f>"24.18"</f>
        <v>24.18</v>
      </c>
      <c r="F852" s="1" t="str">
        <f t="shared" ref="F852:I852" si="1620">"0"</f>
        <v>0</v>
      </c>
      <c r="G852" s="1" t="str">
        <f t="shared" si="1620"/>
        <v>0</v>
      </c>
      <c r="H852" s="1" t="str">
        <f t="shared" si="1620"/>
        <v>0</v>
      </c>
      <c r="I852" s="1" t="str">
        <f t="shared" si="1620"/>
        <v>0</v>
      </c>
      <c r="J852" s="1" t="str">
        <f>"3"</f>
        <v>3</v>
      </c>
      <c r="K852" s="1" t="str">
        <f t="shared" ref="K852:P852" si="1621">"0"</f>
        <v>0</v>
      </c>
      <c r="L852" s="1" t="str">
        <f t="shared" si="1621"/>
        <v>0</v>
      </c>
      <c r="M852" s="1" t="str">
        <f t="shared" si="1621"/>
        <v>0</v>
      </c>
      <c r="N852" s="1" t="str">
        <f t="shared" si="1621"/>
        <v>0</v>
      </c>
      <c r="O852" s="1" t="str">
        <f t="shared" si="1621"/>
        <v>0</v>
      </c>
      <c r="P852" s="1" t="str">
        <f t="shared" si="1621"/>
        <v>0</v>
      </c>
      <c r="Q852" s="1" t="str">
        <f t="shared" si="1586"/>
        <v>0.0070</v>
      </c>
      <c r="R852" s="1" t="s">
        <v>29</v>
      </c>
      <c r="S852" s="1">
        <v>-0.0014</v>
      </c>
      <c r="T852" s="1" t="str">
        <f t="shared" si="1587"/>
        <v>0</v>
      </c>
      <c r="U852" s="1" t="str">
        <f t="shared" si="1614"/>
        <v>0.0056</v>
      </c>
    </row>
    <row r="853" s="1" customFormat="1" spans="1:21">
      <c r="A853" s="1" t="str">
        <f>"4601992002493"</f>
        <v>4601992002493</v>
      </c>
      <c r="B853" s="1" t="s">
        <v>877</v>
      </c>
      <c r="C853" s="1" t="s">
        <v>24</v>
      </c>
      <c r="D853" s="1" t="str">
        <f t="shared" si="1583"/>
        <v>2021</v>
      </c>
      <c r="E853" s="1" t="str">
        <f>"195.02"</f>
        <v>195.02</v>
      </c>
      <c r="F853" s="1" t="str">
        <f t="shared" ref="F853:I853" si="1622">"0"</f>
        <v>0</v>
      </c>
      <c r="G853" s="1" t="str">
        <f t="shared" si="1622"/>
        <v>0</v>
      </c>
      <c r="H853" s="1" t="str">
        <f t="shared" si="1622"/>
        <v>0</v>
      </c>
      <c r="I853" s="1" t="str">
        <f t="shared" si="1622"/>
        <v>0</v>
      </c>
      <c r="J853" s="1" t="str">
        <f>"16"</f>
        <v>16</v>
      </c>
      <c r="K853" s="1" t="str">
        <f t="shared" ref="K853:P853" si="1623">"0"</f>
        <v>0</v>
      </c>
      <c r="L853" s="1" t="str">
        <f t="shared" si="1623"/>
        <v>0</v>
      </c>
      <c r="M853" s="1" t="str">
        <f t="shared" si="1623"/>
        <v>0</v>
      </c>
      <c r="N853" s="1" t="str">
        <f t="shared" si="1623"/>
        <v>0</v>
      </c>
      <c r="O853" s="1" t="str">
        <f t="shared" si="1623"/>
        <v>0</v>
      </c>
      <c r="P853" s="1" t="str">
        <f t="shared" si="1623"/>
        <v>0</v>
      </c>
      <c r="Q853" s="1" t="str">
        <f t="shared" si="1586"/>
        <v>0.0070</v>
      </c>
      <c r="R853" s="1" t="s">
        <v>29</v>
      </c>
      <c r="S853" s="1">
        <v>-0.0014</v>
      </c>
      <c r="T853" s="1" t="str">
        <f t="shared" si="1587"/>
        <v>0</v>
      </c>
      <c r="U853" s="1" t="str">
        <f t="shared" si="1614"/>
        <v>0.0056</v>
      </c>
    </row>
    <row r="854" s="1" customFormat="1" spans="1:21">
      <c r="A854" s="1" t="str">
        <f>"4601992002489"</f>
        <v>4601992002489</v>
      </c>
      <c r="B854" s="1" t="s">
        <v>878</v>
      </c>
      <c r="C854" s="1" t="s">
        <v>24</v>
      </c>
      <c r="D854" s="1" t="str">
        <f t="shared" si="1583"/>
        <v>2021</v>
      </c>
      <c r="E854" s="1" t="str">
        <f>"120.90"</f>
        <v>120.90</v>
      </c>
      <c r="F854" s="1" t="str">
        <f t="shared" ref="F854:I854" si="1624">"0"</f>
        <v>0</v>
      </c>
      <c r="G854" s="1" t="str">
        <f t="shared" si="1624"/>
        <v>0</v>
      </c>
      <c r="H854" s="1" t="str">
        <f t="shared" si="1624"/>
        <v>0</v>
      </c>
      <c r="I854" s="1" t="str">
        <f t="shared" si="1624"/>
        <v>0</v>
      </c>
      <c r="J854" s="1" t="str">
        <f>"9"</f>
        <v>9</v>
      </c>
      <c r="K854" s="1" t="str">
        <f t="shared" ref="K854:P854" si="1625">"0"</f>
        <v>0</v>
      </c>
      <c r="L854" s="1" t="str">
        <f t="shared" si="1625"/>
        <v>0</v>
      </c>
      <c r="M854" s="1" t="str">
        <f t="shared" si="1625"/>
        <v>0</v>
      </c>
      <c r="N854" s="1" t="str">
        <f t="shared" si="1625"/>
        <v>0</v>
      </c>
      <c r="O854" s="1" t="str">
        <f t="shared" si="1625"/>
        <v>0</v>
      </c>
      <c r="P854" s="1" t="str">
        <f t="shared" si="1625"/>
        <v>0</v>
      </c>
      <c r="Q854" s="1" t="str">
        <f t="shared" si="1586"/>
        <v>0.0070</v>
      </c>
      <c r="R854" s="1" t="s">
        <v>29</v>
      </c>
      <c r="S854" s="1">
        <v>-0.0014</v>
      </c>
      <c r="T854" s="1" t="str">
        <f t="shared" si="1587"/>
        <v>0</v>
      </c>
      <c r="U854" s="1" t="str">
        <f t="shared" si="1614"/>
        <v>0.0056</v>
      </c>
    </row>
    <row r="855" s="1" customFormat="1" spans="1:21">
      <c r="A855" s="1" t="str">
        <f>"4601991408699"</f>
        <v>4601991408699</v>
      </c>
      <c r="B855" s="1" t="s">
        <v>879</v>
      </c>
      <c r="C855" s="1" t="s">
        <v>24</v>
      </c>
      <c r="D855" s="1" t="str">
        <f t="shared" si="1583"/>
        <v>2021</v>
      </c>
      <c r="E855" s="1" t="str">
        <f>"45.81"</f>
        <v>45.81</v>
      </c>
      <c r="F855" s="1" t="str">
        <f t="shared" ref="F855:I855" si="1626">"0"</f>
        <v>0</v>
      </c>
      <c r="G855" s="1" t="str">
        <f t="shared" si="1626"/>
        <v>0</v>
      </c>
      <c r="H855" s="1" t="str">
        <f t="shared" si="1626"/>
        <v>0</v>
      </c>
      <c r="I855" s="1" t="str">
        <f t="shared" si="1626"/>
        <v>0</v>
      </c>
      <c r="J855" s="1" t="str">
        <f>"4"</f>
        <v>4</v>
      </c>
      <c r="K855" s="1" t="str">
        <f t="shared" ref="K855:P855" si="1627">"0"</f>
        <v>0</v>
      </c>
      <c r="L855" s="1" t="str">
        <f t="shared" si="1627"/>
        <v>0</v>
      </c>
      <c r="M855" s="1" t="str">
        <f t="shared" si="1627"/>
        <v>0</v>
      </c>
      <c r="N855" s="1" t="str">
        <f t="shared" si="1627"/>
        <v>0</v>
      </c>
      <c r="O855" s="1" t="str">
        <f t="shared" si="1627"/>
        <v>0</v>
      </c>
      <c r="P855" s="1" t="str">
        <f t="shared" si="1627"/>
        <v>0</v>
      </c>
      <c r="Q855" s="1" t="str">
        <f t="shared" si="1586"/>
        <v>0.0070</v>
      </c>
      <c r="R855" s="1" t="s">
        <v>29</v>
      </c>
      <c r="S855" s="1">
        <v>-0.0014</v>
      </c>
      <c r="T855" s="1" t="str">
        <f t="shared" si="1587"/>
        <v>0</v>
      </c>
      <c r="U855" s="1" t="str">
        <f t="shared" si="1614"/>
        <v>0.0056</v>
      </c>
    </row>
    <row r="856" s="1" customFormat="1" spans="1:21">
      <c r="A856" s="1" t="str">
        <f>"4601992002502"</f>
        <v>4601992002502</v>
      </c>
      <c r="B856" s="1" t="s">
        <v>880</v>
      </c>
      <c r="C856" s="1" t="s">
        <v>24</v>
      </c>
      <c r="D856" s="1" t="str">
        <f t="shared" si="1583"/>
        <v>2021</v>
      </c>
      <c r="E856" s="1" t="str">
        <f>"37.80"</f>
        <v>37.80</v>
      </c>
      <c r="F856" s="1" t="str">
        <f t="shared" ref="F856:I856" si="1628">"0"</f>
        <v>0</v>
      </c>
      <c r="G856" s="1" t="str">
        <f t="shared" si="1628"/>
        <v>0</v>
      </c>
      <c r="H856" s="1" t="str">
        <f t="shared" si="1628"/>
        <v>0</v>
      </c>
      <c r="I856" s="1" t="str">
        <f t="shared" si="1628"/>
        <v>0</v>
      </c>
      <c r="J856" s="1" t="str">
        <f>"3"</f>
        <v>3</v>
      </c>
      <c r="K856" s="1" t="str">
        <f t="shared" ref="K856:P856" si="1629">"0"</f>
        <v>0</v>
      </c>
      <c r="L856" s="1" t="str">
        <f t="shared" si="1629"/>
        <v>0</v>
      </c>
      <c r="M856" s="1" t="str">
        <f t="shared" si="1629"/>
        <v>0</v>
      </c>
      <c r="N856" s="1" t="str">
        <f t="shared" si="1629"/>
        <v>0</v>
      </c>
      <c r="O856" s="1" t="str">
        <f t="shared" si="1629"/>
        <v>0</v>
      </c>
      <c r="P856" s="1" t="str">
        <f t="shared" si="1629"/>
        <v>0</v>
      </c>
      <c r="Q856" s="1" t="str">
        <f t="shared" si="1586"/>
        <v>0.0070</v>
      </c>
      <c r="R856" s="1" t="s">
        <v>29</v>
      </c>
      <c r="S856" s="1">
        <v>-0.0014</v>
      </c>
      <c r="T856" s="1" t="str">
        <f t="shared" si="1587"/>
        <v>0</v>
      </c>
      <c r="U856" s="1" t="str">
        <f t="shared" si="1614"/>
        <v>0.0056</v>
      </c>
    </row>
    <row r="857" s="1" customFormat="1" spans="1:21">
      <c r="A857" s="1" t="str">
        <f>"4601992002507"</f>
        <v>4601992002507</v>
      </c>
      <c r="B857" s="1" t="s">
        <v>881</v>
      </c>
      <c r="C857" s="1" t="s">
        <v>24</v>
      </c>
      <c r="D857" s="1" t="str">
        <f t="shared" si="1583"/>
        <v>2021</v>
      </c>
      <c r="E857" s="1" t="str">
        <f>"9.67"</f>
        <v>9.67</v>
      </c>
      <c r="F857" s="1" t="str">
        <f t="shared" ref="F857:I857" si="1630">"0"</f>
        <v>0</v>
      </c>
      <c r="G857" s="1" t="str">
        <f t="shared" si="1630"/>
        <v>0</v>
      </c>
      <c r="H857" s="1" t="str">
        <f t="shared" si="1630"/>
        <v>0</v>
      </c>
      <c r="I857" s="1" t="str">
        <f t="shared" si="1630"/>
        <v>0</v>
      </c>
      <c r="J857" s="1" t="str">
        <f>"1"</f>
        <v>1</v>
      </c>
      <c r="K857" s="1" t="str">
        <f t="shared" ref="K857:P857" si="1631">"0"</f>
        <v>0</v>
      </c>
      <c r="L857" s="1" t="str">
        <f t="shared" si="1631"/>
        <v>0</v>
      </c>
      <c r="M857" s="1" t="str">
        <f t="shared" si="1631"/>
        <v>0</v>
      </c>
      <c r="N857" s="1" t="str">
        <f t="shared" si="1631"/>
        <v>0</v>
      </c>
      <c r="O857" s="1" t="str">
        <f t="shared" si="1631"/>
        <v>0</v>
      </c>
      <c r="P857" s="1" t="str">
        <f t="shared" si="1631"/>
        <v>0</v>
      </c>
      <c r="Q857" s="1" t="str">
        <f t="shared" si="1586"/>
        <v>0.0070</v>
      </c>
      <c r="R857" s="1" t="s">
        <v>29</v>
      </c>
      <c r="S857" s="1">
        <v>-0.0014</v>
      </c>
      <c r="T857" s="1" t="str">
        <f t="shared" si="1587"/>
        <v>0</v>
      </c>
      <c r="U857" s="1" t="str">
        <f t="shared" si="1614"/>
        <v>0.0056</v>
      </c>
    </row>
    <row r="858" s="1" customFormat="1" spans="1:21">
      <c r="A858" s="1" t="str">
        <f>"4601992002515"</f>
        <v>4601992002515</v>
      </c>
      <c r="B858" s="1" t="s">
        <v>882</v>
      </c>
      <c r="C858" s="1" t="s">
        <v>24</v>
      </c>
      <c r="D858" s="1" t="str">
        <f t="shared" si="1583"/>
        <v>2021</v>
      </c>
      <c r="E858" s="1" t="str">
        <f>"252.54"</f>
        <v>252.54</v>
      </c>
      <c r="F858" s="1" t="str">
        <f t="shared" ref="F858:I858" si="1632">"0"</f>
        <v>0</v>
      </c>
      <c r="G858" s="1" t="str">
        <f t="shared" si="1632"/>
        <v>0</v>
      </c>
      <c r="H858" s="1" t="str">
        <f t="shared" si="1632"/>
        <v>0</v>
      </c>
      <c r="I858" s="1" t="str">
        <f t="shared" si="1632"/>
        <v>0</v>
      </c>
      <c r="J858" s="1" t="str">
        <f>"15"</f>
        <v>15</v>
      </c>
      <c r="K858" s="1" t="str">
        <f t="shared" ref="K858:P858" si="1633">"0"</f>
        <v>0</v>
      </c>
      <c r="L858" s="1" t="str">
        <f t="shared" si="1633"/>
        <v>0</v>
      </c>
      <c r="M858" s="1" t="str">
        <f t="shared" si="1633"/>
        <v>0</v>
      </c>
      <c r="N858" s="1" t="str">
        <f t="shared" si="1633"/>
        <v>0</v>
      </c>
      <c r="O858" s="1" t="str">
        <f t="shared" si="1633"/>
        <v>0</v>
      </c>
      <c r="P858" s="1" t="str">
        <f t="shared" si="1633"/>
        <v>0</v>
      </c>
      <c r="Q858" s="1" t="str">
        <f t="shared" si="1586"/>
        <v>0.0070</v>
      </c>
      <c r="R858" s="1" t="s">
        <v>29</v>
      </c>
      <c r="S858" s="1">
        <v>-0.0014</v>
      </c>
      <c r="T858" s="1" t="str">
        <f t="shared" si="1587"/>
        <v>0</v>
      </c>
      <c r="U858" s="1" t="str">
        <f t="shared" si="1614"/>
        <v>0.0056</v>
      </c>
    </row>
    <row r="859" s="1" customFormat="1" spans="1:21">
      <c r="A859" s="1" t="str">
        <f>"4601992002522"</f>
        <v>4601992002522</v>
      </c>
      <c r="B859" s="1" t="s">
        <v>883</v>
      </c>
      <c r="C859" s="1" t="s">
        <v>24</v>
      </c>
      <c r="D859" s="1" t="str">
        <f t="shared" si="1583"/>
        <v>2021</v>
      </c>
      <c r="E859" s="1" t="str">
        <f>"178.41"</f>
        <v>178.41</v>
      </c>
      <c r="F859" s="1" t="str">
        <f t="shared" ref="F859:I859" si="1634">"0"</f>
        <v>0</v>
      </c>
      <c r="G859" s="1" t="str">
        <f t="shared" si="1634"/>
        <v>0</v>
      </c>
      <c r="H859" s="1" t="str">
        <f t="shared" si="1634"/>
        <v>0</v>
      </c>
      <c r="I859" s="1" t="str">
        <f t="shared" si="1634"/>
        <v>0</v>
      </c>
      <c r="J859" s="1" t="str">
        <f>"9"</f>
        <v>9</v>
      </c>
      <c r="K859" s="1" t="str">
        <f t="shared" ref="K859:P859" si="1635">"0"</f>
        <v>0</v>
      </c>
      <c r="L859" s="1" t="str">
        <f t="shared" si="1635"/>
        <v>0</v>
      </c>
      <c r="M859" s="1" t="str">
        <f t="shared" si="1635"/>
        <v>0</v>
      </c>
      <c r="N859" s="1" t="str">
        <f t="shared" si="1635"/>
        <v>0</v>
      </c>
      <c r="O859" s="1" t="str">
        <f t="shared" si="1635"/>
        <v>0</v>
      </c>
      <c r="P859" s="1" t="str">
        <f t="shared" si="1635"/>
        <v>0</v>
      </c>
      <c r="Q859" s="1" t="str">
        <f t="shared" si="1586"/>
        <v>0.0070</v>
      </c>
      <c r="R859" s="1" t="s">
        <v>29</v>
      </c>
      <c r="S859" s="1">
        <v>-0.0014</v>
      </c>
      <c r="T859" s="1" t="str">
        <f t="shared" si="1587"/>
        <v>0</v>
      </c>
      <c r="U859" s="1" t="str">
        <f t="shared" si="1614"/>
        <v>0.0056</v>
      </c>
    </row>
    <row r="860" s="1" customFormat="1" spans="1:21">
      <c r="A860" s="1" t="str">
        <f>"4601992002596"</f>
        <v>4601992002596</v>
      </c>
      <c r="B860" s="1" t="s">
        <v>884</v>
      </c>
      <c r="C860" s="1" t="s">
        <v>24</v>
      </c>
      <c r="D860" s="1" t="str">
        <f t="shared" si="1583"/>
        <v>2021</v>
      </c>
      <c r="E860" s="1" t="str">
        <f t="shared" ref="E860:P860" si="1636">"0"</f>
        <v>0</v>
      </c>
      <c r="F860" s="1" t="str">
        <f t="shared" si="1636"/>
        <v>0</v>
      </c>
      <c r="G860" s="1" t="str">
        <f t="shared" si="1636"/>
        <v>0</v>
      </c>
      <c r="H860" s="1" t="str">
        <f t="shared" si="1636"/>
        <v>0</v>
      </c>
      <c r="I860" s="1" t="str">
        <f t="shared" si="1636"/>
        <v>0</v>
      </c>
      <c r="J860" s="1" t="str">
        <f t="shared" si="1636"/>
        <v>0</v>
      </c>
      <c r="K860" s="1" t="str">
        <f t="shared" si="1636"/>
        <v>0</v>
      </c>
      <c r="L860" s="1" t="str">
        <f t="shared" si="1636"/>
        <v>0</v>
      </c>
      <c r="M860" s="1" t="str">
        <f t="shared" si="1636"/>
        <v>0</v>
      </c>
      <c r="N860" s="1" t="str">
        <f t="shared" si="1636"/>
        <v>0</v>
      </c>
      <c r="O860" s="1" t="str">
        <f t="shared" si="1636"/>
        <v>0</v>
      </c>
      <c r="P860" s="1" t="str">
        <f t="shared" si="1636"/>
        <v>0</v>
      </c>
      <c r="Q860" s="1" t="str">
        <f t="shared" si="1586"/>
        <v>0.0070</v>
      </c>
      <c r="R860" s="1" t="s">
        <v>25</v>
      </c>
      <c r="T860" s="1" t="str">
        <f t="shared" si="1587"/>
        <v>0</v>
      </c>
      <c r="U860" s="1" t="str">
        <f t="shared" ref="U860:U865" si="1637">"0.0070"</f>
        <v>0.0070</v>
      </c>
    </row>
    <row r="861" s="1" customFormat="1" spans="1:21">
      <c r="A861" s="1" t="str">
        <f>"4601992002558"</f>
        <v>4601992002558</v>
      </c>
      <c r="B861" s="1" t="s">
        <v>885</v>
      </c>
      <c r="C861" s="1" t="s">
        <v>24</v>
      </c>
      <c r="D861" s="1" t="str">
        <f t="shared" si="1583"/>
        <v>2021</v>
      </c>
      <c r="E861" s="1" t="str">
        <f t="shared" ref="E861:P861" si="1638">"0"</f>
        <v>0</v>
      </c>
      <c r="F861" s="1" t="str">
        <f t="shared" si="1638"/>
        <v>0</v>
      </c>
      <c r="G861" s="1" t="str">
        <f t="shared" si="1638"/>
        <v>0</v>
      </c>
      <c r="H861" s="1" t="str">
        <f t="shared" si="1638"/>
        <v>0</v>
      </c>
      <c r="I861" s="1" t="str">
        <f t="shared" si="1638"/>
        <v>0</v>
      </c>
      <c r="J861" s="1" t="str">
        <f t="shared" si="1638"/>
        <v>0</v>
      </c>
      <c r="K861" s="1" t="str">
        <f t="shared" si="1638"/>
        <v>0</v>
      </c>
      <c r="L861" s="1" t="str">
        <f t="shared" si="1638"/>
        <v>0</v>
      </c>
      <c r="M861" s="1" t="str">
        <f t="shared" si="1638"/>
        <v>0</v>
      </c>
      <c r="N861" s="1" t="str">
        <f t="shared" si="1638"/>
        <v>0</v>
      </c>
      <c r="O861" s="1" t="str">
        <f t="shared" si="1638"/>
        <v>0</v>
      </c>
      <c r="P861" s="1" t="str">
        <f t="shared" si="1638"/>
        <v>0</v>
      </c>
      <c r="Q861" s="1" t="str">
        <f t="shared" si="1586"/>
        <v>0.0070</v>
      </c>
      <c r="R861" s="1" t="s">
        <v>25</v>
      </c>
      <c r="T861" s="1" t="str">
        <f t="shared" si="1587"/>
        <v>0</v>
      </c>
      <c r="U861" s="1" t="str">
        <f t="shared" si="1637"/>
        <v>0.0070</v>
      </c>
    </row>
    <row r="862" s="1" customFormat="1" spans="1:21">
      <c r="A862" s="1" t="str">
        <f>"4601992002893"</f>
        <v>4601992002893</v>
      </c>
      <c r="B862" s="1" t="s">
        <v>886</v>
      </c>
      <c r="C862" s="1" t="s">
        <v>24</v>
      </c>
      <c r="D862" s="1" t="str">
        <f t="shared" si="1583"/>
        <v>2021</v>
      </c>
      <c r="E862" s="1" t="str">
        <f t="shared" ref="E862:P862" si="1639">"0"</f>
        <v>0</v>
      </c>
      <c r="F862" s="1" t="str">
        <f t="shared" si="1639"/>
        <v>0</v>
      </c>
      <c r="G862" s="1" t="str">
        <f t="shared" si="1639"/>
        <v>0</v>
      </c>
      <c r="H862" s="1" t="str">
        <f t="shared" si="1639"/>
        <v>0</v>
      </c>
      <c r="I862" s="1" t="str">
        <f t="shared" si="1639"/>
        <v>0</v>
      </c>
      <c r="J862" s="1" t="str">
        <f t="shared" si="1639"/>
        <v>0</v>
      </c>
      <c r="K862" s="1" t="str">
        <f t="shared" si="1639"/>
        <v>0</v>
      </c>
      <c r="L862" s="1" t="str">
        <f t="shared" si="1639"/>
        <v>0</v>
      </c>
      <c r="M862" s="1" t="str">
        <f t="shared" si="1639"/>
        <v>0</v>
      </c>
      <c r="N862" s="1" t="str">
        <f t="shared" si="1639"/>
        <v>0</v>
      </c>
      <c r="O862" s="1" t="str">
        <f t="shared" si="1639"/>
        <v>0</v>
      </c>
      <c r="P862" s="1" t="str">
        <f t="shared" si="1639"/>
        <v>0</v>
      </c>
      <c r="Q862" s="1" t="str">
        <f t="shared" si="1586"/>
        <v>0.0070</v>
      </c>
      <c r="R862" s="1" t="s">
        <v>25</v>
      </c>
      <c r="T862" s="1" t="str">
        <f t="shared" si="1587"/>
        <v>0</v>
      </c>
      <c r="U862" s="1" t="str">
        <f t="shared" si="1637"/>
        <v>0.0070</v>
      </c>
    </row>
    <row r="863" s="1" customFormat="1" spans="1:21">
      <c r="A863" s="1" t="str">
        <f>"4601992002908"</f>
        <v>4601992002908</v>
      </c>
      <c r="B863" s="1" t="s">
        <v>887</v>
      </c>
      <c r="C863" s="1" t="s">
        <v>24</v>
      </c>
      <c r="D863" s="1" t="str">
        <f t="shared" si="1583"/>
        <v>2021</v>
      </c>
      <c r="E863" s="1" t="str">
        <f t="shared" ref="E863:P863" si="1640">"0"</f>
        <v>0</v>
      </c>
      <c r="F863" s="1" t="str">
        <f t="shared" si="1640"/>
        <v>0</v>
      </c>
      <c r="G863" s="1" t="str">
        <f t="shared" si="1640"/>
        <v>0</v>
      </c>
      <c r="H863" s="1" t="str">
        <f t="shared" si="1640"/>
        <v>0</v>
      </c>
      <c r="I863" s="1" t="str">
        <f t="shared" si="1640"/>
        <v>0</v>
      </c>
      <c r="J863" s="1" t="str">
        <f t="shared" si="1640"/>
        <v>0</v>
      </c>
      <c r="K863" s="1" t="str">
        <f t="shared" si="1640"/>
        <v>0</v>
      </c>
      <c r="L863" s="1" t="str">
        <f t="shared" si="1640"/>
        <v>0</v>
      </c>
      <c r="M863" s="1" t="str">
        <f t="shared" si="1640"/>
        <v>0</v>
      </c>
      <c r="N863" s="1" t="str">
        <f t="shared" si="1640"/>
        <v>0</v>
      </c>
      <c r="O863" s="1" t="str">
        <f t="shared" si="1640"/>
        <v>0</v>
      </c>
      <c r="P863" s="1" t="str">
        <f t="shared" si="1640"/>
        <v>0</v>
      </c>
      <c r="Q863" s="1" t="str">
        <f t="shared" si="1586"/>
        <v>0.0070</v>
      </c>
      <c r="R863" s="1" t="s">
        <v>25</v>
      </c>
      <c r="T863" s="1" t="str">
        <f t="shared" si="1587"/>
        <v>0</v>
      </c>
      <c r="U863" s="1" t="str">
        <f t="shared" si="1637"/>
        <v>0.0070</v>
      </c>
    </row>
    <row r="864" s="1" customFormat="1" spans="1:21">
      <c r="A864" s="1" t="str">
        <f>"4601992002891"</f>
        <v>4601992002891</v>
      </c>
      <c r="B864" s="1" t="s">
        <v>888</v>
      </c>
      <c r="C864" s="1" t="s">
        <v>24</v>
      </c>
      <c r="D864" s="1" t="str">
        <f t="shared" si="1583"/>
        <v>2021</v>
      </c>
      <c r="E864" s="1" t="str">
        <f t="shared" ref="E864:P864" si="1641">"0"</f>
        <v>0</v>
      </c>
      <c r="F864" s="1" t="str">
        <f t="shared" si="1641"/>
        <v>0</v>
      </c>
      <c r="G864" s="1" t="str">
        <f t="shared" si="1641"/>
        <v>0</v>
      </c>
      <c r="H864" s="1" t="str">
        <f t="shared" si="1641"/>
        <v>0</v>
      </c>
      <c r="I864" s="1" t="str">
        <f t="shared" si="1641"/>
        <v>0</v>
      </c>
      <c r="J864" s="1" t="str">
        <f t="shared" si="1641"/>
        <v>0</v>
      </c>
      <c r="K864" s="1" t="str">
        <f t="shared" si="1641"/>
        <v>0</v>
      </c>
      <c r="L864" s="1" t="str">
        <f t="shared" si="1641"/>
        <v>0</v>
      </c>
      <c r="M864" s="1" t="str">
        <f t="shared" si="1641"/>
        <v>0</v>
      </c>
      <c r="N864" s="1" t="str">
        <f t="shared" si="1641"/>
        <v>0</v>
      </c>
      <c r="O864" s="1" t="str">
        <f t="shared" si="1641"/>
        <v>0</v>
      </c>
      <c r="P864" s="1" t="str">
        <f t="shared" si="1641"/>
        <v>0</v>
      </c>
      <c r="Q864" s="1" t="str">
        <f t="shared" si="1586"/>
        <v>0.0070</v>
      </c>
      <c r="R864" s="1" t="s">
        <v>25</v>
      </c>
      <c r="T864" s="1" t="str">
        <f t="shared" si="1587"/>
        <v>0</v>
      </c>
      <c r="U864" s="1" t="str">
        <f t="shared" si="1637"/>
        <v>0.0070</v>
      </c>
    </row>
    <row r="865" s="1" customFormat="1" spans="1:21">
      <c r="A865" s="1" t="str">
        <f>"4601992002855"</f>
        <v>4601992002855</v>
      </c>
      <c r="B865" s="1" t="s">
        <v>889</v>
      </c>
      <c r="C865" s="1" t="s">
        <v>24</v>
      </c>
      <c r="D865" s="1" t="str">
        <f t="shared" si="1583"/>
        <v>2021</v>
      </c>
      <c r="E865" s="1" t="str">
        <f t="shared" ref="E865:P865" si="1642">"0"</f>
        <v>0</v>
      </c>
      <c r="F865" s="1" t="str">
        <f t="shared" si="1642"/>
        <v>0</v>
      </c>
      <c r="G865" s="1" t="str">
        <f t="shared" si="1642"/>
        <v>0</v>
      </c>
      <c r="H865" s="1" t="str">
        <f t="shared" si="1642"/>
        <v>0</v>
      </c>
      <c r="I865" s="1" t="str">
        <f t="shared" si="1642"/>
        <v>0</v>
      </c>
      <c r="J865" s="1" t="str">
        <f t="shared" si="1642"/>
        <v>0</v>
      </c>
      <c r="K865" s="1" t="str">
        <f t="shared" si="1642"/>
        <v>0</v>
      </c>
      <c r="L865" s="1" t="str">
        <f t="shared" si="1642"/>
        <v>0</v>
      </c>
      <c r="M865" s="1" t="str">
        <f t="shared" si="1642"/>
        <v>0</v>
      </c>
      <c r="N865" s="1" t="str">
        <f t="shared" si="1642"/>
        <v>0</v>
      </c>
      <c r="O865" s="1" t="str">
        <f t="shared" si="1642"/>
        <v>0</v>
      </c>
      <c r="P865" s="1" t="str">
        <f t="shared" si="1642"/>
        <v>0</v>
      </c>
      <c r="Q865" s="1" t="str">
        <f t="shared" si="1586"/>
        <v>0.0070</v>
      </c>
      <c r="R865" s="1" t="s">
        <v>25</v>
      </c>
      <c r="T865" s="1" t="str">
        <f t="shared" si="1587"/>
        <v>0</v>
      </c>
      <c r="U865" s="1" t="str">
        <f t="shared" si="1637"/>
        <v>0.0070</v>
      </c>
    </row>
    <row r="866" s="1" customFormat="1" spans="1:21">
      <c r="A866" s="1" t="str">
        <f>"4601991412975"</f>
        <v>4601991412975</v>
      </c>
      <c r="B866" s="1" t="s">
        <v>890</v>
      </c>
      <c r="C866" s="1" t="s">
        <v>24</v>
      </c>
      <c r="D866" s="1" t="str">
        <f t="shared" si="1583"/>
        <v>2021</v>
      </c>
      <c r="E866" s="1" t="str">
        <f>"164.39"</f>
        <v>164.39</v>
      </c>
      <c r="F866" s="1" t="str">
        <f t="shared" ref="F866:I866" si="1643">"0"</f>
        <v>0</v>
      </c>
      <c r="G866" s="1" t="str">
        <f t="shared" si="1643"/>
        <v>0</v>
      </c>
      <c r="H866" s="1" t="str">
        <f t="shared" si="1643"/>
        <v>0</v>
      </c>
      <c r="I866" s="1" t="str">
        <f t="shared" si="1643"/>
        <v>0</v>
      </c>
      <c r="J866" s="1" t="str">
        <f>"14"</f>
        <v>14</v>
      </c>
      <c r="K866" s="1" t="str">
        <f t="shared" ref="K866:P866" si="1644">"0"</f>
        <v>0</v>
      </c>
      <c r="L866" s="1" t="str">
        <f t="shared" si="1644"/>
        <v>0</v>
      </c>
      <c r="M866" s="1" t="str">
        <f t="shared" si="1644"/>
        <v>0</v>
      </c>
      <c r="N866" s="1" t="str">
        <f t="shared" si="1644"/>
        <v>0</v>
      </c>
      <c r="O866" s="1" t="str">
        <f t="shared" si="1644"/>
        <v>0</v>
      </c>
      <c r="P866" s="1" t="str">
        <f t="shared" si="1644"/>
        <v>0</v>
      </c>
      <c r="Q866" s="1" t="str">
        <f t="shared" si="1586"/>
        <v>0.0070</v>
      </c>
      <c r="R866" s="1" t="s">
        <v>29</v>
      </c>
      <c r="S866" s="1">
        <v>-0.0014</v>
      </c>
      <c r="T866" s="1" t="str">
        <f t="shared" si="1587"/>
        <v>0</v>
      </c>
      <c r="U866" s="1" t="str">
        <f t="shared" ref="U866:U870" si="1645">"0.0056"</f>
        <v>0.0056</v>
      </c>
    </row>
    <row r="867" s="1" customFormat="1" spans="1:21">
      <c r="A867" s="1" t="str">
        <f>"4601992002918"</f>
        <v>4601992002918</v>
      </c>
      <c r="B867" s="1" t="s">
        <v>891</v>
      </c>
      <c r="C867" s="1" t="s">
        <v>24</v>
      </c>
      <c r="D867" s="1" t="str">
        <f t="shared" si="1583"/>
        <v>2021</v>
      </c>
      <c r="E867" s="1" t="str">
        <f>"36.27"</f>
        <v>36.27</v>
      </c>
      <c r="F867" s="1" t="str">
        <f t="shared" ref="F867:I867" si="1646">"0"</f>
        <v>0</v>
      </c>
      <c r="G867" s="1" t="str">
        <f t="shared" si="1646"/>
        <v>0</v>
      </c>
      <c r="H867" s="1" t="str">
        <f t="shared" si="1646"/>
        <v>0</v>
      </c>
      <c r="I867" s="1" t="str">
        <f t="shared" si="1646"/>
        <v>0</v>
      </c>
      <c r="J867" s="1" t="str">
        <f>"3"</f>
        <v>3</v>
      </c>
      <c r="K867" s="1" t="str">
        <f t="shared" ref="K867:P867" si="1647">"0"</f>
        <v>0</v>
      </c>
      <c r="L867" s="1" t="str">
        <f t="shared" si="1647"/>
        <v>0</v>
      </c>
      <c r="M867" s="1" t="str">
        <f t="shared" si="1647"/>
        <v>0</v>
      </c>
      <c r="N867" s="1" t="str">
        <f t="shared" si="1647"/>
        <v>0</v>
      </c>
      <c r="O867" s="1" t="str">
        <f t="shared" si="1647"/>
        <v>0</v>
      </c>
      <c r="P867" s="1" t="str">
        <f t="shared" si="1647"/>
        <v>0</v>
      </c>
      <c r="Q867" s="1" t="str">
        <f t="shared" si="1586"/>
        <v>0.0070</v>
      </c>
      <c r="R867" s="1" t="s">
        <v>29</v>
      </c>
      <c r="S867" s="1">
        <v>-0.0014</v>
      </c>
      <c r="T867" s="1" t="str">
        <f t="shared" si="1587"/>
        <v>0</v>
      </c>
      <c r="U867" s="1" t="str">
        <f t="shared" si="1645"/>
        <v>0.0056</v>
      </c>
    </row>
    <row r="868" s="1" customFormat="1" spans="1:21">
      <c r="A868" s="1" t="str">
        <f>"4601992003018"</f>
        <v>4601992003018</v>
      </c>
      <c r="B868" s="1" t="s">
        <v>892</v>
      </c>
      <c r="C868" s="1" t="s">
        <v>24</v>
      </c>
      <c r="D868" s="1" t="str">
        <f t="shared" si="1583"/>
        <v>2021</v>
      </c>
      <c r="E868" s="1" t="str">
        <f>"48.36"</f>
        <v>48.36</v>
      </c>
      <c r="F868" s="1" t="str">
        <f t="shared" ref="F868:I868" si="1648">"0"</f>
        <v>0</v>
      </c>
      <c r="G868" s="1" t="str">
        <f t="shared" si="1648"/>
        <v>0</v>
      </c>
      <c r="H868" s="1" t="str">
        <f t="shared" si="1648"/>
        <v>0</v>
      </c>
      <c r="I868" s="1" t="str">
        <f t="shared" si="1648"/>
        <v>0</v>
      </c>
      <c r="J868" s="1" t="str">
        <f>"5"</f>
        <v>5</v>
      </c>
      <c r="K868" s="1" t="str">
        <f t="shared" ref="K868:P868" si="1649">"0"</f>
        <v>0</v>
      </c>
      <c r="L868" s="1" t="str">
        <f t="shared" si="1649"/>
        <v>0</v>
      </c>
      <c r="M868" s="1" t="str">
        <f t="shared" si="1649"/>
        <v>0</v>
      </c>
      <c r="N868" s="1" t="str">
        <f t="shared" si="1649"/>
        <v>0</v>
      </c>
      <c r="O868" s="1" t="str">
        <f t="shared" si="1649"/>
        <v>0</v>
      </c>
      <c r="P868" s="1" t="str">
        <f t="shared" si="1649"/>
        <v>0</v>
      </c>
      <c r="Q868" s="1" t="str">
        <f t="shared" si="1586"/>
        <v>0.0070</v>
      </c>
      <c r="R868" s="1" t="s">
        <v>25</v>
      </c>
      <c r="T868" s="1" t="str">
        <f t="shared" si="1587"/>
        <v>0</v>
      </c>
      <c r="U868" s="1" t="str">
        <f>"0.0070"</f>
        <v>0.0070</v>
      </c>
    </row>
    <row r="869" s="1" customFormat="1" spans="1:21">
      <c r="A869" s="1" t="str">
        <f>"4601992003005"</f>
        <v>4601992003005</v>
      </c>
      <c r="B869" s="1" t="s">
        <v>893</v>
      </c>
      <c r="C869" s="1" t="s">
        <v>24</v>
      </c>
      <c r="D869" s="1" t="str">
        <f t="shared" si="1583"/>
        <v>2021</v>
      </c>
      <c r="E869" s="1" t="str">
        <f>"83.86"</f>
        <v>83.86</v>
      </c>
      <c r="F869" s="1" t="str">
        <f t="shared" ref="F869:I869" si="1650">"0"</f>
        <v>0</v>
      </c>
      <c r="G869" s="1" t="str">
        <f t="shared" si="1650"/>
        <v>0</v>
      </c>
      <c r="H869" s="1" t="str">
        <f t="shared" si="1650"/>
        <v>0</v>
      </c>
      <c r="I869" s="1" t="str">
        <f t="shared" si="1650"/>
        <v>0</v>
      </c>
      <c r="J869" s="1" t="str">
        <f>"6"</f>
        <v>6</v>
      </c>
      <c r="K869" s="1" t="str">
        <f t="shared" ref="K869:P869" si="1651">"0"</f>
        <v>0</v>
      </c>
      <c r="L869" s="1" t="str">
        <f t="shared" si="1651"/>
        <v>0</v>
      </c>
      <c r="M869" s="1" t="str">
        <f t="shared" si="1651"/>
        <v>0</v>
      </c>
      <c r="N869" s="1" t="str">
        <f t="shared" si="1651"/>
        <v>0</v>
      </c>
      <c r="O869" s="1" t="str">
        <f t="shared" si="1651"/>
        <v>0</v>
      </c>
      <c r="P869" s="1" t="str">
        <f t="shared" si="1651"/>
        <v>0</v>
      </c>
      <c r="Q869" s="1" t="str">
        <f t="shared" si="1586"/>
        <v>0.0070</v>
      </c>
      <c r="R869" s="1" t="s">
        <v>29</v>
      </c>
      <c r="S869" s="1">
        <v>-0.0014</v>
      </c>
      <c r="T869" s="1" t="str">
        <f t="shared" si="1587"/>
        <v>0</v>
      </c>
      <c r="U869" s="1" t="str">
        <f t="shared" si="1645"/>
        <v>0.0056</v>
      </c>
    </row>
    <row r="870" s="1" customFormat="1" spans="1:21">
      <c r="A870" s="1" t="str">
        <f>"4601992002987"</f>
        <v>4601992002987</v>
      </c>
      <c r="B870" s="1" t="s">
        <v>894</v>
      </c>
      <c r="C870" s="1" t="s">
        <v>24</v>
      </c>
      <c r="D870" s="1" t="str">
        <f t="shared" si="1583"/>
        <v>2021</v>
      </c>
      <c r="E870" s="1" t="str">
        <f>"168.27"</f>
        <v>168.27</v>
      </c>
      <c r="F870" s="1" t="str">
        <f t="shared" ref="F870:I870" si="1652">"0"</f>
        <v>0</v>
      </c>
      <c r="G870" s="1" t="str">
        <f t="shared" si="1652"/>
        <v>0</v>
      </c>
      <c r="H870" s="1" t="str">
        <f t="shared" si="1652"/>
        <v>0</v>
      </c>
      <c r="I870" s="1" t="str">
        <f t="shared" si="1652"/>
        <v>0</v>
      </c>
      <c r="J870" s="1" t="str">
        <f>"18"</f>
        <v>18</v>
      </c>
      <c r="K870" s="1" t="str">
        <f t="shared" ref="K870:P870" si="1653">"0"</f>
        <v>0</v>
      </c>
      <c r="L870" s="1" t="str">
        <f t="shared" si="1653"/>
        <v>0</v>
      </c>
      <c r="M870" s="1" t="str">
        <f t="shared" si="1653"/>
        <v>0</v>
      </c>
      <c r="N870" s="1" t="str">
        <f t="shared" si="1653"/>
        <v>0</v>
      </c>
      <c r="O870" s="1" t="str">
        <f t="shared" si="1653"/>
        <v>0</v>
      </c>
      <c r="P870" s="1" t="str">
        <f t="shared" si="1653"/>
        <v>0</v>
      </c>
      <c r="Q870" s="1" t="str">
        <f t="shared" si="1586"/>
        <v>0.0070</v>
      </c>
      <c r="R870" s="1" t="s">
        <v>29</v>
      </c>
      <c r="S870" s="1">
        <v>-0.0014</v>
      </c>
      <c r="T870" s="1" t="str">
        <f t="shared" si="1587"/>
        <v>0</v>
      </c>
      <c r="U870" s="1" t="str">
        <f t="shared" si="1645"/>
        <v>0.0056</v>
      </c>
    </row>
    <row r="871" s="1" customFormat="1" spans="1:21">
      <c r="A871" s="1" t="str">
        <f>"4601992003185"</f>
        <v>4601992003185</v>
      </c>
      <c r="B871" s="1" t="s">
        <v>895</v>
      </c>
      <c r="C871" s="1" t="s">
        <v>24</v>
      </c>
      <c r="D871" s="1" t="str">
        <f t="shared" si="1583"/>
        <v>2021</v>
      </c>
      <c r="E871" s="1" t="str">
        <f t="shared" ref="E871:P871" si="1654">"0"</f>
        <v>0</v>
      </c>
      <c r="F871" s="1" t="str">
        <f t="shared" si="1654"/>
        <v>0</v>
      </c>
      <c r="G871" s="1" t="str">
        <f t="shared" si="1654"/>
        <v>0</v>
      </c>
      <c r="H871" s="1" t="str">
        <f t="shared" si="1654"/>
        <v>0</v>
      </c>
      <c r="I871" s="1" t="str">
        <f t="shared" si="1654"/>
        <v>0</v>
      </c>
      <c r="J871" s="1" t="str">
        <f t="shared" si="1654"/>
        <v>0</v>
      </c>
      <c r="K871" s="1" t="str">
        <f t="shared" si="1654"/>
        <v>0</v>
      </c>
      <c r="L871" s="1" t="str">
        <f t="shared" si="1654"/>
        <v>0</v>
      </c>
      <c r="M871" s="1" t="str">
        <f t="shared" si="1654"/>
        <v>0</v>
      </c>
      <c r="N871" s="1" t="str">
        <f t="shared" si="1654"/>
        <v>0</v>
      </c>
      <c r="O871" s="1" t="str">
        <f t="shared" si="1654"/>
        <v>0</v>
      </c>
      <c r="P871" s="1" t="str">
        <f t="shared" si="1654"/>
        <v>0</v>
      </c>
      <c r="Q871" s="1" t="str">
        <f t="shared" si="1586"/>
        <v>0.0070</v>
      </c>
      <c r="R871" s="1" t="s">
        <v>25</v>
      </c>
      <c r="T871" s="1" t="str">
        <f t="shared" si="1587"/>
        <v>0</v>
      </c>
      <c r="U871" s="1" t="str">
        <f>"0.0070"</f>
        <v>0.0070</v>
      </c>
    </row>
    <row r="872" s="1" customFormat="1" spans="1:21">
      <c r="A872" s="1" t="str">
        <f>"4601992003072"</f>
        <v>4601992003072</v>
      </c>
      <c r="B872" s="1" t="s">
        <v>896</v>
      </c>
      <c r="C872" s="1" t="s">
        <v>24</v>
      </c>
      <c r="D872" s="1" t="str">
        <f t="shared" si="1583"/>
        <v>2021</v>
      </c>
      <c r="E872" s="1" t="str">
        <f>"124.25"</f>
        <v>124.25</v>
      </c>
      <c r="F872" s="1" t="str">
        <f t="shared" ref="F872:I872" si="1655">"0"</f>
        <v>0</v>
      </c>
      <c r="G872" s="1" t="str">
        <f t="shared" si="1655"/>
        <v>0</v>
      </c>
      <c r="H872" s="1" t="str">
        <f t="shared" si="1655"/>
        <v>0</v>
      </c>
      <c r="I872" s="1" t="str">
        <f t="shared" si="1655"/>
        <v>0</v>
      </c>
      <c r="J872" s="1" t="str">
        <f t="shared" ref="J872:J875" si="1656">"3"</f>
        <v>3</v>
      </c>
      <c r="K872" s="1" t="str">
        <f t="shared" ref="K872:P872" si="1657">"0"</f>
        <v>0</v>
      </c>
      <c r="L872" s="1" t="str">
        <f t="shared" si="1657"/>
        <v>0</v>
      </c>
      <c r="M872" s="1" t="str">
        <f t="shared" si="1657"/>
        <v>0</v>
      </c>
      <c r="N872" s="1" t="str">
        <f t="shared" si="1657"/>
        <v>0</v>
      </c>
      <c r="O872" s="1" t="str">
        <f t="shared" si="1657"/>
        <v>0</v>
      </c>
      <c r="P872" s="1" t="str">
        <f t="shared" si="1657"/>
        <v>0</v>
      </c>
      <c r="Q872" s="1" t="str">
        <f t="shared" si="1586"/>
        <v>0.0070</v>
      </c>
      <c r="R872" s="1" t="s">
        <v>29</v>
      </c>
      <c r="S872" s="1">
        <v>-0.0014</v>
      </c>
      <c r="T872" s="1" t="str">
        <f t="shared" si="1587"/>
        <v>0</v>
      </c>
      <c r="U872" s="1" t="str">
        <f t="shared" ref="U872:U875" si="1658">"0.0056"</f>
        <v>0.0056</v>
      </c>
    </row>
    <row r="873" s="1" customFormat="1" spans="1:21">
      <c r="A873" s="1" t="str">
        <f>"4601992003146"</f>
        <v>4601992003146</v>
      </c>
      <c r="B873" s="1" t="s">
        <v>897</v>
      </c>
      <c r="C873" s="1" t="s">
        <v>24</v>
      </c>
      <c r="D873" s="1" t="str">
        <f t="shared" si="1583"/>
        <v>2021</v>
      </c>
      <c r="E873" s="1" t="str">
        <f>"66.02"</f>
        <v>66.02</v>
      </c>
      <c r="F873" s="1" t="str">
        <f t="shared" ref="F873:I873" si="1659">"0"</f>
        <v>0</v>
      </c>
      <c r="G873" s="1" t="str">
        <f t="shared" si="1659"/>
        <v>0</v>
      </c>
      <c r="H873" s="1" t="str">
        <f t="shared" si="1659"/>
        <v>0</v>
      </c>
      <c r="I873" s="1" t="str">
        <f t="shared" si="1659"/>
        <v>0</v>
      </c>
      <c r="J873" s="1" t="str">
        <f t="shared" si="1656"/>
        <v>3</v>
      </c>
      <c r="K873" s="1" t="str">
        <f t="shared" ref="K873:P873" si="1660">"0"</f>
        <v>0</v>
      </c>
      <c r="L873" s="1" t="str">
        <f t="shared" si="1660"/>
        <v>0</v>
      </c>
      <c r="M873" s="1" t="str">
        <f t="shared" si="1660"/>
        <v>0</v>
      </c>
      <c r="N873" s="1" t="str">
        <f t="shared" si="1660"/>
        <v>0</v>
      </c>
      <c r="O873" s="1" t="str">
        <f t="shared" si="1660"/>
        <v>0</v>
      </c>
      <c r="P873" s="1" t="str">
        <f t="shared" si="1660"/>
        <v>0</v>
      </c>
      <c r="Q873" s="1" t="str">
        <f t="shared" si="1586"/>
        <v>0.0070</v>
      </c>
      <c r="R873" s="1" t="s">
        <v>29</v>
      </c>
      <c r="S873" s="1">
        <v>-0.0014</v>
      </c>
      <c r="T873" s="1" t="str">
        <f t="shared" si="1587"/>
        <v>0</v>
      </c>
      <c r="U873" s="1" t="str">
        <f t="shared" si="1658"/>
        <v>0.0056</v>
      </c>
    </row>
    <row r="874" s="1" customFormat="1" spans="1:21">
      <c r="A874" s="1" t="str">
        <f>"4601991419055"</f>
        <v>4601991419055</v>
      </c>
      <c r="B874" s="1" t="s">
        <v>898</v>
      </c>
      <c r="C874" s="1" t="s">
        <v>24</v>
      </c>
      <c r="D874" s="1" t="str">
        <f t="shared" si="1583"/>
        <v>2021</v>
      </c>
      <c r="E874" s="1" t="str">
        <f>"143.70"</f>
        <v>143.70</v>
      </c>
      <c r="F874" s="1" t="str">
        <f t="shared" ref="F874:I874" si="1661">"0"</f>
        <v>0</v>
      </c>
      <c r="G874" s="1" t="str">
        <f t="shared" si="1661"/>
        <v>0</v>
      </c>
      <c r="H874" s="1" t="str">
        <f t="shared" si="1661"/>
        <v>0</v>
      </c>
      <c r="I874" s="1" t="str">
        <f t="shared" si="1661"/>
        <v>0</v>
      </c>
      <c r="J874" s="1" t="str">
        <f>"14"</f>
        <v>14</v>
      </c>
      <c r="K874" s="1" t="str">
        <f t="shared" ref="K874:P874" si="1662">"0"</f>
        <v>0</v>
      </c>
      <c r="L874" s="1" t="str">
        <f t="shared" si="1662"/>
        <v>0</v>
      </c>
      <c r="M874" s="1" t="str">
        <f t="shared" si="1662"/>
        <v>0</v>
      </c>
      <c r="N874" s="1" t="str">
        <f t="shared" si="1662"/>
        <v>0</v>
      </c>
      <c r="O874" s="1" t="str">
        <f t="shared" si="1662"/>
        <v>0</v>
      </c>
      <c r="P874" s="1" t="str">
        <f t="shared" si="1662"/>
        <v>0</v>
      </c>
      <c r="Q874" s="1" t="str">
        <f t="shared" si="1586"/>
        <v>0.0070</v>
      </c>
      <c r="R874" s="1" t="s">
        <v>29</v>
      </c>
      <c r="S874" s="1">
        <v>-0.0014</v>
      </c>
      <c r="T874" s="1" t="str">
        <f t="shared" si="1587"/>
        <v>0</v>
      </c>
      <c r="U874" s="1" t="str">
        <f t="shared" si="1658"/>
        <v>0.0056</v>
      </c>
    </row>
    <row r="875" s="1" customFormat="1" spans="1:21">
      <c r="A875" s="1" t="str">
        <f>"4601992003327"</f>
        <v>4601992003327</v>
      </c>
      <c r="B875" s="1" t="s">
        <v>899</v>
      </c>
      <c r="C875" s="1" t="s">
        <v>24</v>
      </c>
      <c r="D875" s="1" t="str">
        <f t="shared" si="1583"/>
        <v>2021</v>
      </c>
      <c r="E875" s="1" t="str">
        <f>"36.27"</f>
        <v>36.27</v>
      </c>
      <c r="F875" s="1" t="str">
        <f t="shared" ref="F875:I875" si="1663">"0"</f>
        <v>0</v>
      </c>
      <c r="G875" s="1" t="str">
        <f t="shared" si="1663"/>
        <v>0</v>
      </c>
      <c r="H875" s="1" t="str">
        <f t="shared" si="1663"/>
        <v>0</v>
      </c>
      <c r="I875" s="1" t="str">
        <f t="shared" si="1663"/>
        <v>0</v>
      </c>
      <c r="J875" s="1" t="str">
        <f t="shared" si="1656"/>
        <v>3</v>
      </c>
      <c r="K875" s="1" t="str">
        <f t="shared" ref="K875:P875" si="1664">"0"</f>
        <v>0</v>
      </c>
      <c r="L875" s="1" t="str">
        <f t="shared" si="1664"/>
        <v>0</v>
      </c>
      <c r="M875" s="1" t="str">
        <f t="shared" si="1664"/>
        <v>0</v>
      </c>
      <c r="N875" s="1" t="str">
        <f t="shared" si="1664"/>
        <v>0</v>
      </c>
      <c r="O875" s="1" t="str">
        <f t="shared" si="1664"/>
        <v>0</v>
      </c>
      <c r="P875" s="1" t="str">
        <f t="shared" si="1664"/>
        <v>0</v>
      </c>
      <c r="Q875" s="1" t="str">
        <f t="shared" si="1586"/>
        <v>0.0070</v>
      </c>
      <c r="R875" s="1" t="s">
        <v>29</v>
      </c>
      <c r="S875" s="1">
        <v>-0.0014</v>
      </c>
      <c r="T875" s="1" t="str">
        <f t="shared" si="1587"/>
        <v>0</v>
      </c>
      <c r="U875" s="1" t="str">
        <f t="shared" si="1658"/>
        <v>0.0056</v>
      </c>
    </row>
    <row r="876" s="1" customFormat="1" spans="1:21">
      <c r="A876" s="1" t="str">
        <f>"4601992003310"</f>
        <v>4601992003310</v>
      </c>
      <c r="B876" s="1" t="s">
        <v>900</v>
      </c>
      <c r="C876" s="1" t="s">
        <v>24</v>
      </c>
      <c r="D876" s="1" t="str">
        <f t="shared" si="1583"/>
        <v>2021</v>
      </c>
      <c r="E876" s="1" t="str">
        <f t="shared" ref="E876:P876" si="1665">"0"</f>
        <v>0</v>
      </c>
      <c r="F876" s="1" t="str">
        <f t="shared" si="1665"/>
        <v>0</v>
      </c>
      <c r="G876" s="1" t="str">
        <f t="shared" si="1665"/>
        <v>0</v>
      </c>
      <c r="H876" s="1" t="str">
        <f t="shared" si="1665"/>
        <v>0</v>
      </c>
      <c r="I876" s="1" t="str">
        <f t="shared" si="1665"/>
        <v>0</v>
      </c>
      <c r="J876" s="1" t="str">
        <f t="shared" si="1665"/>
        <v>0</v>
      </c>
      <c r="K876" s="1" t="str">
        <f t="shared" si="1665"/>
        <v>0</v>
      </c>
      <c r="L876" s="1" t="str">
        <f t="shared" si="1665"/>
        <v>0</v>
      </c>
      <c r="M876" s="1" t="str">
        <f t="shared" si="1665"/>
        <v>0</v>
      </c>
      <c r="N876" s="1" t="str">
        <f t="shared" si="1665"/>
        <v>0</v>
      </c>
      <c r="O876" s="1" t="str">
        <f t="shared" si="1665"/>
        <v>0</v>
      </c>
      <c r="P876" s="1" t="str">
        <f t="shared" si="1665"/>
        <v>0</v>
      </c>
      <c r="Q876" s="1" t="str">
        <f t="shared" si="1586"/>
        <v>0.0070</v>
      </c>
      <c r="R876" s="1" t="s">
        <v>25</v>
      </c>
      <c r="T876" s="1" t="str">
        <f t="shared" si="1587"/>
        <v>0</v>
      </c>
      <c r="U876" s="1" t="str">
        <f t="shared" ref="U876:U879" si="1666">"0.0070"</f>
        <v>0.0070</v>
      </c>
    </row>
    <row r="877" s="1" customFormat="1" spans="1:21">
      <c r="A877" s="1" t="str">
        <f>"4601992003338"</f>
        <v>4601992003338</v>
      </c>
      <c r="B877" s="1" t="s">
        <v>901</v>
      </c>
      <c r="C877" s="1" t="s">
        <v>24</v>
      </c>
      <c r="D877" s="1" t="str">
        <f t="shared" si="1583"/>
        <v>2021</v>
      </c>
      <c r="E877" s="1" t="str">
        <f t="shared" ref="E877:P877" si="1667">"0"</f>
        <v>0</v>
      </c>
      <c r="F877" s="1" t="str">
        <f t="shared" si="1667"/>
        <v>0</v>
      </c>
      <c r="G877" s="1" t="str">
        <f t="shared" si="1667"/>
        <v>0</v>
      </c>
      <c r="H877" s="1" t="str">
        <f t="shared" si="1667"/>
        <v>0</v>
      </c>
      <c r="I877" s="1" t="str">
        <f t="shared" si="1667"/>
        <v>0</v>
      </c>
      <c r="J877" s="1" t="str">
        <f t="shared" si="1667"/>
        <v>0</v>
      </c>
      <c r="K877" s="1" t="str">
        <f t="shared" si="1667"/>
        <v>0</v>
      </c>
      <c r="L877" s="1" t="str">
        <f t="shared" si="1667"/>
        <v>0</v>
      </c>
      <c r="M877" s="1" t="str">
        <f t="shared" si="1667"/>
        <v>0</v>
      </c>
      <c r="N877" s="1" t="str">
        <f t="shared" si="1667"/>
        <v>0</v>
      </c>
      <c r="O877" s="1" t="str">
        <f t="shared" si="1667"/>
        <v>0</v>
      </c>
      <c r="P877" s="1" t="str">
        <f t="shared" si="1667"/>
        <v>0</v>
      </c>
      <c r="Q877" s="1" t="str">
        <f t="shared" si="1586"/>
        <v>0.0070</v>
      </c>
      <c r="R877" s="1" t="s">
        <v>25</v>
      </c>
      <c r="T877" s="1" t="str">
        <f t="shared" si="1587"/>
        <v>0</v>
      </c>
      <c r="U877" s="1" t="str">
        <f t="shared" si="1666"/>
        <v>0.0070</v>
      </c>
    </row>
    <row r="878" s="1" customFormat="1" spans="1:21">
      <c r="A878" s="1" t="str">
        <f>"4601992003440"</f>
        <v>4601992003440</v>
      </c>
      <c r="B878" s="1" t="s">
        <v>902</v>
      </c>
      <c r="C878" s="1" t="s">
        <v>24</v>
      </c>
      <c r="D878" s="1" t="str">
        <f t="shared" si="1583"/>
        <v>2021</v>
      </c>
      <c r="E878" s="1" t="str">
        <f t="shared" ref="E878:P878" si="1668">"0"</f>
        <v>0</v>
      </c>
      <c r="F878" s="1" t="str">
        <f t="shared" si="1668"/>
        <v>0</v>
      </c>
      <c r="G878" s="1" t="str">
        <f t="shared" si="1668"/>
        <v>0</v>
      </c>
      <c r="H878" s="1" t="str">
        <f t="shared" si="1668"/>
        <v>0</v>
      </c>
      <c r="I878" s="1" t="str">
        <f t="shared" si="1668"/>
        <v>0</v>
      </c>
      <c r="J878" s="1" t="str">
        <f t="shared" si="1668"/>
        <v>0</v>
      </c>
      <c r="K878" s="1" t="str">
        <f t="shared" si="1668"/>
        <v>0</v>
      </c>
      <c r="L878" s="1" t="str">
        <f t="shared" si="1668"/>
        <v>0</v>
      </c>
      <c r="M878" s="1" t="str">
        <f t="shared" si="1668"/>
        <v>0</v>
      </c>
      <c r="N878" s="1" t="str">
        <f t="shared" si="1668"/>
        <v>0</v>
      </c>
      <c r="O878" s="1" t="str">
        <f t="shared" si="1668"/>
        <v>0</v>
      </c>
      <c r="P878" s="1" t="str">
        <f t="shared" si="1668"/>
        <v>0</v>
      </c>
      <c r="Q878" s="1" t="str">
        <f t="shared" si="1586"/>
        <v>0.0070</v>
      </c>
      <c r="R878" s="1" t="s">
        <v>25</v>
      </c>
      <c r="T878" s="1" t="str">
        <f t="shared" si="1587"/>
        <v>0</v>
      </c>
      <c r="U878" s="1" t="str">
        <f t="shared" si="1666"/>
        <v>0.0070</v>
      </c>
    </row>
    <row r="879" s="1" customFormat="1" spans="1:21">
      <c r="A879" s="1" t="str">
        <f>"4601992003476"</f>
        <v>4601992003476</v>
      </c>
      <c r="B879" s="1" t="s">
        <v>903</v>
      </c>
      <c r="C879" s="1" t="s">
        <v>24</v>
      </c>
      <c r="D879" s="1" t="str">
        <f t="shared" si="1583"/>
        <v>2021</v>
      </c>
      <c r="E879" s="1" t="str">
        <f>"11.98"</f>
        <v>11.98</v>
      </c>
      <c r="F879" s="1" t="str">
        <f t="shared" ref="F879:I879" si="1669">"0"</f>
        <v>0</v>
      </c>
      <c r="G879" s="1" t="str">
        <f t="shared" si="1669"/>
        <v>0</v>
      </c>
      <c r="H879" s="1" t="str">
        <f t="shared" si="1669"/>
        <v>0</v>
      </c>
      <c r="I879" s="1" t="str">
        <f t="shared" si="1669"/>
        <v>0</v>
      </c>
      <c r="J879" s="1" t="str">
        <f t="shared" ref="J879:J883" si="1670">"1"</f>
        <v>1</v>
      </c>
      <c r="K879" s="1" t="str">
        <f t="shared" ref="K879:P879" si="1671">"0"</f>
        <v>0</v>
      </c>
      <c r="L879" s="1" t="str">
        <f t="shared" si="1671"/>
        <v>0</v>
      </c>
      <c r="M879" s="1" t="str">
        <f t="shared" si="1671"/>
        <v>0</v>
      </c>
      <c r="N879" s="1" t="str">
        <f t="shared" si="1671"/>
        <v>0</v>
      </c>
      <c r="O879" s="1" t="str">
        <f t="shared" si="1671"/>
        <v>0</v>
      </c>
      <c r="P879" s="1" t="str">
        <f t="shared" si="1671"/>
        <v>0</v>
      </c>
      <c r="Q879" s="1" t="str">
        <f t="shared" si="1586"/>
        <v>0.0070</v>
      </c>
      <c r="R879" s="1" t="s">
        <v>25</v>
      </c>
      <c r="T879" s="1" t="str">
        <f t="shared" si="1587"/>
        <v>0</v>
      </c>
      <c r="U879" s="1" t="str">
        <f t="shared" si="1666"/>
        <v>0.0070</v>
      </c>
    </row>
    <row r="880" s="1" customFormat="1" spans="1:21">
      <c r="A880" s="1" t="str">
        <f>"4601992003454"</f>
        <v>4601992003454</v>
      </c>
      <c r="B880" s="1" t="s">
        <v>904</v>
      </c>
      <c r="C880" s="1" t="s">
        <v>24</v>
      </c>
      <c r="D880" s="1" t="str">
        <f t="shared" si="1583"/>
        <v>2021</v>
      </c>
      <c r="E880" s="1" t="str">
        <f>"215.64"</f>
        <v>215.64</v>
      </c>
      <c r="F880" s="1" t="str">
        <f t="shared" ref="F880:I880" si="1672">"0"</f>
        <v>0</v>
      </c>
      <c r="G880" s="1" t="str">
        <f t="shared" si="1672"/>
        <v>0</v>
      </c>
      <c r="H880" s="1" t="str">
        <f t="shared" si="1672"/>
        <v>0</v>
      </c>
      <c r="I880" s="1" t="str">
        <f t="shared" si="1672"/>
        <v>0</v>
      </c>
      <c r="J880" s="1" t="str">
        <f>"19"</f>
        <v>19</v>
      </c>
      <c r="K880" s="1" t="str">
        <f t="shared" ref="K880:P880" si="1673">"0"</f>
        <v>0</v>
      </c>
      <c r="L880" s="1" t="str">
        <f t="shared" si="1673"/>
        <v>0</v>
      </c>
      <c r="M880" s="1" t="str">
        <f t="shared" si="1673"/>
        <v>0</v>
      </c>
      <c r="N880" s="1" t="str">
        <f t="shared" si="1673"/>
        <v>0</v>
      </c>
      <c r="O880" s="1" t="str">
        <f t="shared" si="1673"/>
        <v>0</v>
      </c>
      <c r="P880" s="1" t="str">
        <f t="shared" si="1673"/>
        <v>0</v>
      </c>
      <c r="Q880" s="1" t="str">
        <f t="shared" si="1586"/>
        <v>0.0070</v>
      </c>
      <c r="R880" s="1" t="s">
        <v>29</v>
      </c>
      <c r="S880" s="1">
        <v>-0.0014</v>
      </c>
      <c r="T880" s="1" t="str">
        <f t="shared" si="1587"/>
        <v>0</v>
      </c>
      <c r="U880" s="1" t="str">
        <f t="shared" ref="U880:U882" si="1674">"0.0056"</f>
        <v>0.0056</v>
      </c>
    </row>
    <row r="881" s="1" customFormat="1" spans="1:21">
      <c r="A881" s="1" t="str">
        <f>"4601992003494"</f>
        <v>4601992003494</v>
      </c>
      <c r="B881" s="1" t="s">
        <v>905</v>
      </c>
      <c r="C881" s="1" t="s">
        <v>24</v>
      </c>
      <c r="D881" s="1" t="str">
        <f t="shared" si="1583"/>
        <v>2021</v>
      </c>
      <c r="E881" s="1" t="str">
        <f>"157.17"</f>
        <v>157.17</v>
      </c>
      <c r="F881" s="1" t="str">
        <f t="shared" ref="F881:I881" si="1675">"0"</f>
        <v>0</v>
      </c>
      <c r="G881" s="1" t="str">
        <f t="shared" si="1675"/>
        <v>0</v>
      </c>
      <c r="H881" s="1" t="str">
        <f t="shared" si="1675"/>
        <v>0</v>
      </c>
      <c r="I881" s="1" t="str">
        <f t="shared" si="1675"/>
        <v>0</v>
      </c>
      <c r="J881" s="1" t="str">
        <f>"12"</f>
        <v>12</v>
      </c>
      <c r="K881" s="1" t="str">
        <f t="shared" ref="K881:P881" si="1676">"0"</f>
        <v>0</v>
      </c>
      <c r="L881" s="1" t="str">
        <f t="shared" si="1676"/>
        <v>0</v>
      </c>
      <c r="M881" s="1" t="str">
        <f t="shared" si="1676"/>
        <v>0</v>
      </c>
      <c r="N881" s="1" t="str">
        <f t="shared" si="1676"/>
        <v>0</v>
      </c>
      <c r="O881" s="1" t="str">
        <f t="shared" si="1676"/>
        <v>0</v>
      </c>
      <c r="P881" s="1" t="str">
        <f t="shared" si="1676"/>
        <v>0</v>
      </c>
      <c r="Q881" s="1" t="str">
        <f t="shared" si="1586"/>
        <v>0.0070</v>
      </c>
      <c r="R881" s="1" t="s">
        <v>29</v>
      </c>
      <c r="S881" s="1">
        <v>-0.0014</v>
      </c>
      <c r="T881" s="1" t="str">
        <f t="shared" si="1587"/>
        <v>0</v>
      </c>
      <c r="U881" s="1" t="str">
        <f t="shared" si="1674"/>
        <v>0.0056</v>
      </c>
    </row>
    <row r="882" s="1" customFormat="1" spans="1:21">
      <c r="A882" s="1" t="str">
        <f>"4601991400507"</f>
        <v>4601991400507</v>
      </c>
      <c r="B882" s="1" t="s">
        <v>906</v>
      </c>
      <c r="C882" s="1" t="s">
        <v>24</v>
      </c>
      <c r="D882" s="1" t="str">
        <f t="shared" si="1583"/>
        <v>2021</v>
      </c>
      <c r="E882" s="1" t="str">
        <f>"9.67"</f>
        <v>9.67</v>
      </c>
      <c r="F882" s="1" t="str">
        <f t="shared" ref="F882:I882" si="1677">"0"</f>
        <v>0</v>
      </c>
      <c r="G882" s="1" t="str">
        <f t="shared" si="1677"/>
        <v>0</v>
      </c>
      <c r="H882" s="1" t="str">
        <f t="shared" si="1677"/>
        <v>0</v>
      </c>
      <c r="I882" s="1" t="str">
        <f t="shared" si="1677"/>
        <v>0</v>
      </c>
      <c r="J882" s="1" t="str">
        <f t="shared" si="1670"/>
        <v>1</v>
      </c>
      <c r="K882" s="1" t="str">
        <f t="shared" ref="K882:P882" si="1678">"0"</f>
        <v>0</v>
      </c>
      <c r="L882" s="1" t="str">
        <f t="shared" si="1678"/>
        <v>0</v>
      </c>
      <c r="M882" s="1" t="str">
        <f t="shared" si="1678"/>
        <v>0</v>
      </c>
      <c r="N882" s="1" t="str">
        <f t="shared" si="1678"/>
        <v>0</v>
      </c>
      <c r="O882" s="1" t="str">
        <f t="shared" si="1678"/>
        <v>0</v>
      </c>
      <c r="P882" s="1" t="str">
        <f t="shared" si="1678"/>
        <v>0</v>
      </c>
      <c r="Q882" s="1" t="str">
        <f t="shared" si="1586"/>
        <v>0.0070</v>
      </c>
      <c r="R882" s="1" t="s">
        <v>29</v>
      </c>
      <c r="S882" s="1">
        <v>-0.0014</v>
      </c>
      <c r="T882" s="1" t="str">
        <f t="shared" si="1587"/>
        <v>0</v>
      </c>
      <c r="U882" s="1" t="str">
        <f t="shared" si="1674"/>
        <v>0.0056</v>
      </c>
    </row>
    <row r="883" s="1" customFormat="1" spans="1:21">
      <c r="A883" s="1" t="str">
        <f>"4601992003502"</f>
        <v>4601992003502</v>
      </c>
      <c r="B883" s="1" t="s">
        <v>907</v>
      </c>
      <c r="C883" s="1" t="s">
        <v>24</v>
      </c>
      <c r="D883" s="1" t="str">
        <f t="shared" si="1583"/>
        <v>2021</v>
      </c>
      <c r="E883" s="1" t="str">
        <f>"12.09"</f>
        <v>12.09</v>
      </c>
      <c r="F883" s="1" t="str">
        <f t="shared" ref="F883:I883" si="1679">"0"</f>
        <v>0</v>
      </c>
      <c r="G883" s="1" t="str">
        <f t="shared" si="1679"/>
        <v>0</v>
      </c>
      <c r="H883" s="1" t="str">
        <f t="shared" si="1679"/>
        <v>0</v>
      </c>
      <c r="I883" s="1" t="str">
        <f t="shared" si="1679"/>
        <v>0</v>
      </c>
      <c r="J883" s="1" t="str">
        <f t="shared" si="1670"/>
        <v>1</v>
      </c>
      <c r="K883" s="1" t="str">
        <f t="shared" ref="K883:P883" si="1680">"0"</f>
        <v>0</v>
      </c>
      <c r="L883" s="1" t="str">
        <f t="shared" si="1680"/>
        <v>0</v>
      </c>
      <c r="M883" s="1" t="str">
        <f t="shared" si="1680"/>
        <v>0</v>
      </c>
      <c r="N883" s="1" t="str">
        <f t="shared" si="1680"/>
        <v>0</v>
      </c>
      <c r="O883" s="1" t="str">
        <f t="shared" si="1680"/>
        <v>0</v>
      </c>
      <c r="P883" s="1" t="str">
        <f t="shared" si="1680"/>
        <v>0</v>
      </c>
      <c r="Q883" s="1" t="str">
        <f t="shared" si="1586"/>
        <v>0.0070</v>
      </c>
      <c r="R883" s="1" t="s">
        <v>25</v>
      </c>
      <c r="T883" s="1" t="str">
        <f t="shared" si="1587"/>
        <v>0</v>
      </c>
      <c r="U883" s="1" t="str">
        <f>"0.0070"</f>
        <v>0.0070</v>
      </c>
    </row>
    <row r="884" s="1" customFormat="1" spans="1:21">
      <c r="A884" s="1" t="str">
        <f>"4601992003497"</f>
        <v>4601992003497</v>
      </c>
      <c r="B884" s="1" t="s">
        <v>908</v>
      </c>
      <c r="C884" s="1" t="s">
        <v>24</v>
      </c>
      <c r="D884" s="1" t="str">
        <f t="shared" si="1583"/>
        <v>2021</v>
      </c>
      <c r="E884" s="1" t="str">
        <f>"181.35"</f>
        <v>181.35</v>
      </c>
      <c r="F884" s="1" t="str">
        <f t="shared" ref="F884:I884" si="1681">"0"</f>
        <v>0</v>
      </c>
      <c r="G884" s="1" t="str">
        <f t="shared" si="1681"/>
        <v>0</v>
      </c>
      <c r="H884" s="1" t="str">
        <f t="shared" si="1681"/>
        <v>0</v>
      </c>
      <c r="I884" s="1" t="str">
        <f t="shared" si="1681"/>
        <v>0</v>
      </c>
      <c r="J884" s="1" t="str">
        <f>"15"</f>
        <v>15</v>
      </c>
      <c r="K884" s="1" t="str">
        <f t="shared" ref="K884:P884" si="1682">"0"</f>
        <v>0</v>
      </c>
      <c r="L884" s="1" t="str">
        <f t="shared" si="1682"/>
        <v>0</v>
      </c>
      <c r="M884" s="1" t="str">
        <f t="shared" si="1682"/>
        <v>0</v>
      </c>
      <c r="N884" s="1" t="str">
        <f t="shared" si="1682"/>
        <v>0</v>
      </c>
      <c r="O884" s="1" t="str">
        <f t="shared" si="1682"/>
        <v>0</v>
      </c>
      <c r="P884" s="1" t="str">
        <f t="shared" si="1682"/>
        <v>0</v>
      </c>
      <c r="Q884" s="1" t="str">
        <f t="shared" si="1586"/>
        <v>0.0070</v>
      </c>
      <c r="R884" s="1" t="s">
        <v>29</v>
      </c>
      <c r="S884" s="1">
        <v>-0.0014</v>
      </c>
      <c r="T884" s="1" t="str">
        <f t="shared" si="1587"/>
        <v>0</v>
      </c>
      <c r="U884" s="1" t="str">
        <f t="shared" ref="U884:U896" si="1683">"0.0056"</f>
        <v>0.0056</v>
      </c>
    </row>
    <row r="885" s="1" customFormat="1" spans="1:21">
      <c r="A885" s="1" t="str">
        <f>"4601991424222"</f>
        <v>4601991424222</v>
      </c>
      <c r="B885" s="1" t="s">
        <v>909</v>
      </c>
      <c r="C885" s="1" t="s">
        <v>24</v>
      </c>
      <c r="D885" s="1" t="str">
        <f t="shared" si="1583"/>
        <v>2021</v>
      </c>
      <c r="E885" s="1" t="str">
        <f>"192.75"</f>
        <v>192.75</v>
      </c>
      <c r="F885" s="1" t="str">
        <f t="shared" ref="F885:I885" si="1684">"0"</f>
        <v>0</v>
      </c>
      <c r="G885" s="1" t="str">
        <f t="shared" si="1684"/>
        <v>0</v>
      </c>
      <c r="H885" s="1" t="str">
        <f t="shared" si="1684"/>
        <v>0</v>
      </c>
      <c r="I885" s="1" t="str">
        <f t="shared" si="1684"/>
        <v>0</v>
      </c>
      <c r="J885" s="1" t="str">
        <f>"23"</f>
        <v>23</v>
      </c>
      <c r="K885" s="1" t="str">
        <f t="shared" ref="K885:P885" si="1685">"0"</f>
        <v>0</v>
      </c>
      <c r="L885" s="1" t="str">
        <f t="shared" si="1685"/>
        <v>0</v>
      </c>
      <c r="M885" s="1" t="str">
        <f t="shared" si="1685"/>
        <v>0</v>
      </c>
      <c r="N885" s="1" t="str">
        <f t="shared" si="1685"/>
        <v>0</v>
      </c>
      <c r="O885" s="1" t="str">
        <f t="shared" si="1685"/>
        <v>0</v>
      </c>
      <c r="P885" s="1" t="str">
        <f t="shared" si="1685"/>
        <v>0</v>
      </c>
      <c r="Q885" s="1" t="str">
        <f t="shared" si="1586"/>
        <v>0.0070</v>
      </c>
      <c r="R885" s="1" t="s">
        <v>29</v>
      </c>
      <c r="S885" s="1">
        <v>-0.0014</v>
      </c>
      <c r="T885" s="1" t="str">
        <f t="shared" si="1587"/>
        <v>0</v>
      </c>
      <c r="U885" s="1" t="str">
        <f t="shared" si="1683"/>
        <v>0.0056</v>
      </c>
    </row>
    <row r="886" s="1" customFormat="1" spans="1:21">
      <c r="A886" s="1" t="str">
        <f>"4601991403787"</f>
        <v>4601991403787</v>
      </c>
      <c r="B886" s="1" t="s">
        <v>910</v>
      </c>
      <c r="C886" s="1" t="s">
        <v>24</v>
      </c>
      <c r="D886" s="1" t="str">
        <f t="shared" si="1583"/>
        <v>2021</v>
      </c>
      <c r="E886" s="1" t="str">
        <f>"265.98"</f>
        <v>265.98</v>
      </c>
      <c r="F886" s="1" t="str">
        <f t="shared" ref="F886:I886" si="1686">"0"</f>
        <v>0</v>
      </c>
      <c r="G886" s="1" t="str">
        <f t="shared" si="1686"/>
        <v>0</v>
      </c>
      <c r="H886" s="1" t="str">
        <f t="shared" si="1686"/>
        <v>0</v>
      </c>
      <c r="I886" s="1" t="str">
        <f t="shared" si="1686"/>
        <v>0</v>
      </c>
      <c r="J886" s="1" t="str">
        <f>"21"</f>
        <v>21</v>
      </c>
      <c r="K886" s="1" t="str">
        <f t="shared" ref="K886:P886" si="1687">"0"</f>
        <v>0</v>
      </c>
      <c r="L886" s="1" t="str">
        <f t="shared" si="1687"/>
        <v>0</v>
      </c>
      <c r="M886" s="1" t="str">
        <f t="shared" si="1687"/>
        <v>0</v>
      </c>
      <c r="N886" s="1" t="str">
        <f t="shared" si="1687"/>
        <v>0</v>
      </c>
      <c r="O886" s="1" t="str">
        <f t="shared" si="1687"/>
        <v>0</v>
      </c>
      <c r="P886" s="1" t="str">
        <f t="shared" si="1687"/>
        <v>0</v>
      </c>
      <c r="Q886" s="1" t="str">
        <f t="shared" si="1586"/>
        <v>0.0070</v>
      </c>
      <c r="R886" s="1" t="s">
        <v>29</v>
      </c>
      <c r="S886" s="1">
        <v>-0.0014</v>
      </c>
      <c r="T886" s="1" t="str">
        <f t="shared" si="1587"/>
        <v>0</v>
      </c>
      <c r="U886" s="1" t="str">
        <f t="shared" si="1683"/>
        <v>0.0056</v>
      </c>
    </row>
    <row r="887" s="1" customFormat="1" spans="1:21">
      <c r="A887" s="1" t="str">
        <f>"4601992003685"</f>
        <v>4601992003685</v>
      </c>
      <c r="B887" s="1" t="s">
        <v>911</v>
      </c>
      <c r="C887" s="1" t="s">
        <v>24</v>
      </c>
      <c r="D887" s="1" t="str">
        <f t="shared" si="1583"/>
        <v>2021</v>
      </c>
      <c r="E887" s="1" t="str">
        <f>"12.09"</f>
        <v>12.09</v>
      </c>
      <c r="F887" s="1" t="str">
        <f t="shared" ref="F887:I887" si="1688">"0"</f>
        <v>0</v>
      </c>
      <c r="G887" s="1" t="str">
        <f t="shared" si="1688"/>
        <v>0</v>
      </c>
      <c r="H887" s="1" t="str">
        <f t="shared" si="1688"/>
        <v>0</v>
      </c>
      <c r="I887" s="1" t="str">
        <f t="shared" si="1688"/>
        <v>0</v>
      </c>
      <c r="J887" s="1" t="str">
        <f>"1"</f>
        <v>1</v>
      </c>
      <c r="K887" s="1" t="str">
        <f t="shared" ref="K887:P887" si="1689">"0"</f>
        <v>0</v>
      </c>
      <c r="L887" s="1" t="str">
        <f t="shared" si="1689"/>
        <v>0</v>
      </c>
      <c r="M887" s="1" t="str">
        <f t="shared" si="1689"/>
        <v>0</v>
      </c>
      <c r="N887" s="1" t="str">
        <f t="shared" si="1689"/>
        <v>0</v>
      </c>
      <c r="O887" s="1" t="str">
        <f t="shared" si="1689"/>
        <v>0</v>
      </c>
      <c r="P887" s="1" t="str">
        <f t="shared" si="1689"/>
        <v>0</v>
      </c>
      <c r="Q887" s="1" t="str">
        <f t="shared" si="1586"/>
        <v>0.0070</v>
      </c>
      <c r="R887" s="1" t="s">
        <v>29</v>
      </c>
      <c r="S887" s="1">
        <v>-0.0014</v>
      </c>
      <c r="T887" s="1" t="str">
        <f t="shared" si="1587"/>
        <v>0</v>
      </c>
      <c r="U887" s="1" t="str">
        <f t="shared" si="1683"/>
        <v>0.0056</v>
      </c>
    </row>
    <row r="888" s="1" customFormat="1" spans="1:21">
      <c r="A888" s="1" t="str">
        <f>"4601991413747"</f>
        <v>4601991413747</v>
      </c>
      <c r="B888" s="1" t="s">
        <v>912</v>
      </c>
      <c r="C888" s="1" t="s">
        <v>24</v>
      </c>
      <c r="D888" s="1" t="str">
        <f t="shared" si="1583"/>
        <v>2021</v>
      </c>
      <c r="E888" s="1" t="str">
        <f>"265.88"</f>
        <v>265.88</v>
      </c>
      <c r="F888" s="1" t="str">
        <f t="shared" ref="F888:I888" si="1690">"0"</f>
        <v>0</v>
      </c>
      <c r="G888" s="1" t="str">
        <f t="shared" si="1690"/>
        <v>0</v>
      </c>
      <c r="H888" s="1" t="str">
        <f t="shared" si="1690"/>
        <v>0</v>
      </c>
      <c r="I888" s="1" t="str">
        <f t="shared" si="1690"/>
        <v>0</v>
      </c>
      <c r="J888" s="1" t="str">
        <f>"22"</f>
        <v>22</v>
      </c>
      <c r="K888" s="1" t="str">
        <f t="shared" ref="K888:P888" si="1691">"0"</f>
        <v>0</v>
      </c>
      <c r="L888" s="1" t="str">
        <f t="shared" si="1691"/>
        <v>0</v>
      </c>
      <c r="M888" s="1" t="str">
        <f t="shared" si="1691"/>
        <v>0</v>
      </c>
      <c r="N888" s="1" t="str">
        <f t="shared" si="1691"/>
        <v>0</v>
      </c>
      <c r="O888" s="1" t="str">
        <f t="shared" si="1691"/>
        <v>0</v>
      </c>
      <c r="P888" s="1" t="str">
        <f t="shared" si="1691"/>
        <v>0</v>
      </c>
      <c r="Q888" s="1" t="str">
        <f t="shared" si="1586"/>
        <v>0.0070</v>
      </c>
      <c r="R888" s="1" t="s">
        <v>29</v>
      </c>
      <c r="S888" s="1">
        <v>-0.0014</v>
      </c>
      <c r="T888" s="1" t="str">
        <f t="shared" si="1587"/>
        <v>0</v>
      </c>
      <c r="U888" s="1" t="str">
        <f t="shared" si="1683"/>
        <v>0.0056</v>
      </c>
    </row>
    <row r="889" s="1" customFormat="1" spans="1:21">
      <c r="A889" s="1" t="str">
        <f>"4601992003688"</f>
        <v>4601992003688</v>
      </c>
      <c r="B889" s="1" t="s">
        <v>913</v>
      </c>
      <c r="C889" s="1" t="s">
        <v>24</v>
      </c>
      <c r="D889" s="1" t="str">
        <f t="shared" si="1583"/>
        <v>2021</v>
      </c>
      <c r="E889" s="1" t="str">
        <f>"12.09"</f>
        <v>12.09</v>
      </c>
      <c r="F889" s="1" t="str">
        <f t="shared" ref="F889:I889" si="1692">"0"</f>
        <v>0</v>
      </c>
      <c r="G889" s="1" t="str">
        <f t="shared" si="1692"/>
        <v>0</v>
      </c>
      <c r="H889" s="1" t="str">
        <f t="shared" si="1692"/>
        <v>0</v>
      </c>
      <c r="I889" s="1" t="str">
        <f t="shared" si="1692"/>
        <v>0</v>
      </c>
      <c r="J889" s="1" t="str">
        <f>"1"</f>
        <v>1</v>
      </c>
      <c r="K889" s="1" t="str">
        <f t="shared" ref="K889:P889" si="1693">"0"</f>
        <v>0</v>
      </c>
      <c r="L889" s="1" t="str">
        <f t="shared" si="1693"/>
        <v>0</v>
      </c>
      <c r="M889" s="1" t="str">
        <f t="shared" si="1693"/>
        <v>0</v>
      </c>
      <c r="N889" s="1" t="str">
        <f t="shared" si="1693"/>
        <v>0</v>
      </c>
      <c r="O889" s="1" t="str">
        <f t="shared" si="1693"/>
        <v>0</v>
      </c>
      <c r="P889" s="1" t="str">
        <f t="shared" si="1693"/>
        <v>0</v>
      </c>
      <c r="Q889" s="1" t="str">
        <f t="shared" si="1586"/>
        <v>0.0070</v>
      </c>
      <c r="R889" s="1" t="s">
        <v>29</v>
      </c>
      <c r="S889" s="1">
        <v>-0.0014</v>
      </c>
      <c r="T889" s="1" t="str">
        <f t="shared" si="1587"/>
        <v>0</v>
      </c>
      <c r="U889" s="1" t="str">
        <f t="shared" si="1683"/>
        <v>0.0056</v>
      </c>
    </row>
    <row r="890" s="1" customFormat="1" spans="1:21">
      <c r="A890" s="1" t="str">
        <f>"4601992003692"</f>
        <v>4601992003692</v>
      </c>
      <c r="B890" s="1" t="s">
        <v>914</v>
      </c>
      <c r="C890" s="1" t="s">
        <v>24</v>
      </c>
      <c r="D890" s="1" t="str">
        <f t="shared" si="1583"/>
        <v>2021</v>
      </c>
      <c r="E890" s="1" t="str">
        <f>"156.95"</f>
        <v>156.95</v>
      </c>
      <c r="F890" s="1" t="str">
        <f t="shared" ref="F890:I890" si="1694">"0"</f>
        <v>0</v>
      </c>
      <c r="G890" s="1" t="str">
        <f t="shared" si="1694"/>
        <v>0</v>
      </c>
      <c r="H890" s="1" t="str">
        <f t="shared" si="1694"/>
        <v>0</v>
      </c>
      <c r="I890" s="1" t="str">
        <f t="shared" si="1694"/>
        <v>0</v>
      </c>
      <c r="J890" s="1" t="str">
        <f>"14"</f>
        <v>14</v>
      </c>
      <c r="K890" s="1" t="str">
        <f t="shared" ref="K890:P890" si="1695">"0"</f>
        <v>0</v>
      </c>
      <c r="L890" s="1" t="str">
        <f t="shared" si="1695"/>
        <v>0</v>
      </c>
      <c r="M890" s="1" t="str">
        <f t="shared" si="1695"/>
        <v>0</v>
      </c>
      <c r="N890" s="1" t="str">
        <f t="shared" si="1695"/>
        <v>0</v>
      </c>
      <c r="O890" s="1" t="str">
        <f t="shared" si="1695"/>
        <v>0</v>
      </c>
      <c r="P890" s="1" t="str">
        <f t="shared" si="1695"/>
        <v>0</v>
      </c>
      <c r="Q890" s="1" t="str">
        <f t="shared" si="1586"/>
        <v>0.0070</v>
      </c>
      <c r="R890" s="1" t="s">
        <v>29</v>
      </c>
      <c r="S890" s="1">
        <v>-0.0014</v>
      </c>
      <c r="T890" s="1" t="str">
        <f t="shared" si="1587"/>
        <v>0</v>
      </c>
      <c r="U890" s="1" t="str">
        <f t="shared" si="1683"/>
        <v>0.0056</v>
      </c>
    </row>
    <row r="891" s="1" customFormat="1" spans="1:21">
      <c r="A891" s="1" t="str">
        <f>"4601992003712"</f>
        <v>4601992003712</v>
      </c>
      <c r="B891" s="1" t="s">
        <v>915</v>
      </c>
      <c r="C891" s="1" t="s">
        <v>24</v>
      </c>
      <c r="D891" s="1" t="str">
        <f t="shared" si="1583"/>
        <v>2021</v>
      </c>
      <c r="E891" s="1" t="str">
        <f>"85.75"</f>
        <v>85.75</v>
      </c>
      <c r="F891" s="1" t="str">
        <f t="shared" ref="F891:I891" si="1696">"0"</f>
        <v>0</v>
      </c>
      <c r="G891" s="1" t="str">
        <f t="shared" si="1696"/>
        <v>0</v>
      </c>
      <c r="H891" s="1" t="str">
        <f t="shared" si="1696"/>
        <v>0</v>
      </c>
      <c r="I891" s="1" t="str">
        <f t="shared" si="1696"/>
        <v>0</v>
      </c>
      <c r="J891" s="1" t="str">
        <f>"5"</f>
        <v>5</v>
      </c>
      <c r="K891" s="1" t="str">
        <f t="shared" ref="K891:P891" si="1697">"0"</f>
        <v>0</v>
      </c>
      <c r="L891" s="1" t="str">
        <f t="shared" si="1697"/>
        <v>0</v>
      </c>
      <c r="M891" s="1" t="str">
        <f t="shared" si="1697"/>
        <v>0</v>
      </c>
      <c r="N891" s="1" t="str">
        <f t="shared" si="1697"/>
        <v>0</v>
      </c>
      <c r="O891" s="1" t="str">
        <f t="shared" si="1697"/>
        <v>0</v>
      </c>
      <c r="P891" s="1" t="str">
        <f t="shared" si="1697"/>
        <v>0</v>
      </c>
      <c r="Q891" s="1" t="str">
        <f t="shared" si="1586"/>
        <v>0.0070</v>
      </c>
      <c r="R891" s="1" t="s">
        <v>29</v>
      </c>
      <c r="S891" s="1">
        <v>-0.0014</v>
      </c>
      <c r="T891" s="1" t="str">
        <f t="shared" si="1587"/>
        <v>0</v>
      </c>
      <c r="U891" s="1" t="str">
        <f t="shared" si="1683"/>
        <v>0.0056</v>
      </c>
    </row>
    <row r="892" s="1" customFormat="1" spans="1:21">
      <c r="A892" s="1" t="str">
        <f>"4601992003706"</f>
        <v>4601992003706</v>
      </c>
      <c r="B892" s="1" t="s">
        <v>916</v>
      </c>
      <c r="C892" s="1" t="s">
        <v>24</v>
      </c>
      <c r="D892" s="1" t="str">
        <f t="shared" si="1583"/>
        <v>2021</v>
      </c>
      <c r="E892" s="1" t="str">
        <f>"326.43"</f>
        <v>326.43</v>
      </c>
      <c r="F892" s="1" t="str">
        <f t="shared" ref="F892:I892" si="1698">"0"</f>
        <v>0</v>
      </c>
      <c r="G892" s="1" t="str">
        <f t="shared" si="1698"/>
        <v>0</v>
      </c>
      <c r="H892" s="1" t="str">
        <f t="shared" si="1698"/>
        <v>0</v>
      </c>
      <c r="I892" s="1" t="str">
        <f t="shared" si="1698"/>
        <v>0</v>
      </c>
      <c r="J892" s="1" t="str">
        <f>"26"</f>
        <v>26</v>
      </c>
      <c r="K892" s="1" t="str">
        <f t="shared" ref="K892:P892" si="1699">"0"</f>
        <v>0</v>
      </c>
      <c r="L892" s="1" t="str">
        <f t="shared" si="1699"/>
        <v>0</v>
      </c>
      <c r="M892" s="1" t="str">
        <f t="shared" si="1699"/>
        <v>0</v>
      </c>
      <c r="N892" s="1" t="str">
        <f t="shared" si="1699"/>
        <v>0</v>
      </c>
      <c r="O892" s="1" t="str">
        <f t="shared" si="1699"/>
        <v>0</v>
      </c>
      <c r="P892" s="1" t="str">
        <f t="shared" si="1699"/>
        <v>0</v>
      </c>
      <c r="Q892" s="1" t="str">
        <f t="shared" si="1586"/>
        <v>0.0070</v>
      </c>
      <c r="R892" s="1" t="s">
        <v>29</v>
      </c>
      <c r="S892" s="1">
        <v>-0.0014</v>
      </c>
      <c r="T892" s="1" t="str">
        <f t="shared" si="1587"/>
        <v>0</v>
      </c>
      <c r="U892" s="1" t="str">
        <f t="shared" si="1683"/>
        <v>0.0056</v>
      </c>
    </row>
    <row r="893" s="1" customFormat="1" spans="1:21">
      <c r="A893" s="1" t="str">
        <f>"4601992003755"</f>
        <v>4601992003755</v>
      </c>
      <c r="B893" s="1" t="s">
        <v>917</v>
      </c>
      <c r="C893" s="1" t="s">
        <v>24</v>
      </c>
      <c r="D893" s="1" t="str">
        <f t="shared" si="1583"/>
        <v>2021</v>
      </c>
      <c r="E893" s="1" t="str">
        <f>"72.54"</f>
        <v>72.54</v>
      </c>
      <c r="F893" s="1" t="str">
        <f t="shared" ref="F893:I893" si="1700">"0"</f>
        <v>0</v>
      </c>
      <c r="G893" s="1" t="str">
        <f t="shared" si="1700"/>
        <v>0</v>
      </c>
      <c r="H893" s="1" t="str">
        <f t="shared" si="1700"/>
        <v>0</v>
      </c>
      <c r="I893" s="1" t="str">
        <f t="shared" si="1700"/>
        <v>0</v>
      </c>
      <c r="J893" s="1" t="str">
        <f>"7"</f>
        <v>7</v>
      </c>
      <c r="K893" s="1" t="str">
        <f t="shared" ref="K893:P893" si="1701">"0"</f>
        <v>0</v>
      </c>
      <c r="L893" s="1" t="str">
        <f t="shared" si="1701"/>
        <v>0</v>
      </c>
      <c r="M893" s="1" t="str">
        <f t="shared" si="1701"/>
        <v>0</v>
      </c>
      <c r="N893" s="1" t="str">
        <f t="shared" si="1701"/>
        <v>0</v>
      </c>
      <c r="O893" s="1" t="str">
        <f t="shared" si="1701"/>
        <v>0</v>
      </c>
      <c r="P893" s="1" t="str">
        <f t="shared" si="1701"/>
        <v>0</v>
      </c>
      <c r="Q893" s="1" t="str">
        <f t="shared" si="1586"/>
        <v>0.0070</v>
      </c>
      <c r="R893" s="1" t="s">
        <v>29</v>
      </c>
      <c r="S893" s="1">
        <v>-0.0014</v>
      </c>
      <c r="T893" s="1" t="str">
        <f t="shared" si="1587"/>
        <v>0</v>
      </c>
      <c r="U893" s="1" t="str">
        <f t="shared" si="1683"/>
        <v>0.0056</v>
      </c>
    </row>
    <row r="894" s="1" customFormat="1" spans="1:21">
      <c r="A894" s="1" t="str">
        <f>"4601992003784"</f>
        <v>4601992003784</v>
      </c>
      <c r="B894" s="1" t="s">
        <v>918</v>
      </c>
      <c r="C894" s="1" t="s">
        <v>24</v>
      </c>
      <c r="D894" s="1" t="str">
        <f t="shared" si="1583"/>
        <v>2021</v>
      </c>
      <c r="E894" s="1" t="str">
        <f>"60.45"</f>
        <v>60.45</v>
      </c>
      <c r="F894" s="1" t="str">
        <f t="shared" ref="F894:I894" si="1702">"0"</f>
        <v>0</v>
      </c>
      <c r="G894" s="1" t="str">
        <f t="shared" si="1702"/>
        <v>0</v>
      </c>
      <c r="H894" s="1" t="str">
        <f t="shared" si="1702"/>
        <v>0</v>
      </c>
      <c r="I894" s="1" t="str">
        <f t="shared" si="1702"/>
        <v>0</v>
      </c>
      <c r="J894" s="1" t="str">
        <f>"5"</f>
        <v>5</v>
      </c>
      <c r="K894" s="1" t="str">
        <f t="shared" ref="K894:P894" si="1703">"0"</f>
        <v>0</v>
      </c>
      <c r="L894" s="1" t="str">
        <f t="shared" si="1703"/>
        <v>0</v>
      </c>
      <c r="M894" s="1" t="str">
        <f t="shared" si="1703"/>
        <v>0</v>
      </c>
      <c r="N894" s="1" t="str">
        <f t="shared" si="1703"/>
        <v>0</v>
      </c>
      <c r="O894" s="1" t="str">
        <f t="shared" si="1703"/>
        <v>0</v>
      </c>
      <c r="P894" s="1" t="str">
        <f t="shared" si="1703"/>
        <v>0</v>
      </c>
      <c r="Q894" s="1" t="str">
        <f t="shared" si="1586"/>
        <v>0.0070</v>
      </c>
      <c r="R894" s="1" t="s">
        <v>29</v>
      </c>
      <c r="S894" s="1">
        <v>-0.0014</v>
      </c>
      <c r="T894" s="1" t="str">
        <f t="shared" si="1587"/>
        <v>0</v>
      </c>
      <c r="U894" s="1" t="str">
        <f t="shared" si="1683"/>
        <v>0.0056</v>
      </c>
    </row>
    <row r="895" s="1" customFormat="1" spans="1:21">
      <c r="A895" s="1" t="str">
        <f>"4601992003892"</f>
        <v>4601992003892</v>
      </c>
      <c r="B895" s="1" t="s">
        <v>919</v>
      </c>
      <c r="C895" s="1" t="s">
        <v>24</v>
      </c>
      <c r="D895" s="1" t="str">
        <f t="shared" si="1583"/>
        <v>2021</v>
      </c>
      <c r="E895" s="1" t="str">
        <f>"12.09"</f>
        <v>12.09</v>
      </c>
      <c r="F895" s="1" t="str">
        <f t="shared" ref="F895:I895" si="1704">"0"</f>
        <v>0</v>
      </c>
      <c r="G895" s="1" t="str">
        <f t="shared" si="1704"/>
        <v>0</v>
      </c>
      <c r="H895" s="1" t="str">
        <f t="shared" si="1704"/>
        <v>0</v>
      </c>
      <c r="I895" s="1" t="str">
        <f t="shared" si="1704"/>
        <v>0</v>
      </c>
      <c r="J895" s="1" t="str">
        <f>"1"</f>
        <v>1</v>
      </c>
      <c r="K895" s="1" t="str">
        <f t="shared" ref="K895:P895" si="1705">"0"</f>
        <v>0</v>
      </c>
      <c r="L895" s="1" t="str">
        <f t="shared" si="1705"/>
        <v>0</v>
      </c>
      <c r="M895" s="1" t="str">
        <f t="shared" si="1705"/>
        <v>0</v>
      </c>
      <c r="N895" s="1" t="str">
        <f t="shared" si="1705"/>
        <v>0</v>
      </c>
      <c r="O895" s="1" t="str">
        <f t="shared" si="1705"/>
        <v>0</v>
      </c>
      <c r="P895" s="1" t="str">
        <f t="shared" si="1705"/>
        <v>0</v>
      </c>
      <c r="Q895" s="1" t="str">
        <f t="shared" si="1586"/>
        <v>0.0070</v>
      </c>
      <c r="R895" s="1" t="s">
        <v>29</v>
      </c>
      <c r="S895" s="1">
        <v>-0.0014</v>
      </c>
      <c r="T895" s="1" t="str">
        <f t="shared" si="1587"/>
        <v>0</v>
      </c>
      <c r="U895" s="1" t="str">
        <f t="shared" si="1683"/>
        <v>0.0056</v>
      </c>
    </row>
    <row r="896" s="1" customFormat="1" spans="1:21">
      <c r="A896" s="1" t="str">
        <f>"4601992003966"</f>
        <v>4601992003966</v>
      </c>
      <c r="B896" s="1" t="s">
        <v>920</v>
      </c>
      <c r="C896" s="1" t="s">
        <v>24</v>
      </c>
      <c r="D896" s="1" t="str">
        <f t="shared" si="1583"/>
        <v>2021</v>
      </c>
      <c r="E896" s="1" t="str">
        <f>"12.09"</f>
        <v>12.09</v>
      </c>
      <c r="F896" s="1" t="str">
        <f t="shared" ref="F896:I896" si="1706">"0"</f>
        <v>0</v>
      </c>
      <c r="G896" s="1" t="str">
        <f t="shared" si="1706"/>
        <v>0</v>
      </c>
      <c r="H896" s="1" t="str">
        <f t="shared" si="1706"/>
        <v>0</v>
      </c>
      <c r="I896" s="1" t="str">
        <f t="shared" si="1706"/>
        <v>0</v>
      </c>
      <c r="J896" s="1" t="str">
        <f>"1"</f>
        <v>1</v>
      </c>
      <c r="K896" s="1" t="str">
        <f t="shared" ref="K896:P896" si="1707">"0"</f>
        <v>0</v>
      </c>
      <c r="L896" s="1" t="str">
        <f t="shared" si="1707"/>
        <v>0</v>
      </c>
      <c r="M896" s="1" t="str">
        <f t="shared" si="1707"/>
        <v>0</v>
      </c>
      <c r="N896" s="1" t="str">
        <f t="shared" si="1707"/>
        <v>0</v>
      </c>
      <c r="O896" s="1" t="str">
        <f t="shared" si="1707"/>
        <v>0</v>
      </c>
      <c r="P896" s="1" t="str">
        <f t="shared" si="1707"/>
        <v>0</v>
      </c>
      <c r="Q896" s="1" t="str">
        <f t="shared" si="1586"/>
        <v>0.0070</v>
      </c>
      <c r="R896" s="1" t="s">
        <v>29</v>
      </c>
      <c r="S896" s="1">
        <v>-0.0014</v>
      </c>
      <c r="T896" s="1" t="str">
        <f t="shared" si="1587"/>
        <v>0</v>
      </c>
      <c r="U896" s="1" t="str">
        <f t="shared" si="1683"/>
        <v>0.0056</v>
      </c>
    </row>
    <row r="897" s="1" customFormat="1" spans="1:21">
      <c r="A897" s="1" t="str">
        <f>"4601992003923"</f>
        <v>4601992003923</v>
      </c>
      <c r="B897" s="1" t="s">
        <v>921</v>
      </c>
      <c r="C897" s="1" t="s">
        <v>24</v>
      </c>
      <c r="D897" s="1" t="str">
        <f t="shared" si="1583"/>
        <v>2021</v>
      </c>
      <c r="E897" s="1" t="str">
        <f>"60.45"</f>
        <v>60.45</v>
      </c>
      <c r="F897" s="1" t="str">
        <f t="shared" ref="F897:I897" si="1708">"0"</f>
        <v>0</v>
      </c>
      <c r="G897" s="1" t="str">
        <f t="shared" si="1708"/>
        <v>0</v>
      </c>
      <c r="H897" s="1" t="str">
        <f t="shared" si="1708"/>
        <v>0</v>
      </c>
      <c r="I897" s="1" t="str">
        <f t="shared" si="1708"/>
        <v>0</v>
      </c>
      <c r="J897" s="1" t="str">
        <f>"5"</f>
        <v>5</v>
      </c>
      <c r="K897" s="1" t="str">
        <f t="shared" ref="K897:P897" si="1709">"0"</f>
        <v>0</v>
      </c>
      <c r="L897" s="1" t="str">
        <f t="shared" si="1709"/>
        <v>0</v>
      </c>
      <c r="M897" s="1" t="str">
        <f t="shared" si="1709"/>
        <v>0</v>
      </c>
      <c r="N897" s="1" t="str">
        <f t="shared" si="1709"/>
        <v>0</v>
      </c>
      <c r="O897" s="1" t="str">
        <f t="shared" si="1709"/>
        <v>0</v>
      </c>
      <c r="P897" s="1" t="str">
        <f t="shared" si="1709"/>
        <v>0</v>
      </c>
      <c r="Q897" s="1" t="str">
        <f t="shared" si="1586"/>
        <v>0.0070</v>
      </c>
      <c r="R897" s="1" t="s">
        <v>25</v>
      </c>
      <c r="T897" s="1" t="str">
        <f t="shared" si="1587"/>
        <v>0</v>
      </c>
      <c r="U897" s="1" t="str">
        <f t="shared" ref="U897:U901" si="1710">"0.0070"</f>
        <v>0.0070</v>
      </c>
    </row>
    <row r="898" s="1" customFormat="1" spans="1:21">
      <c r="A898" s="1" t="str">
        <f>"4601992004003"</f>
        <v>4601992004003</v>
      </c>
      <c r="B898" s="1" t="s">
        <v>922</v>
      </c>
      <c r="C898" s="1" t="s">
        <v>24</v>
      </c>
      <c r="D898" s="1" t="str">
        <f t="shared" si="1583"/>
        <v>2021</v>
      </c>
      <c r="E898" s="1" t="str">
        <f>"374.35"</f>
        <v>374.35</v>
      </c>
      <c r="F898" s="1" t="str">
        <f t="shared" ref="F898:I898" si="1711">"0"</f>
        <v>0</v>
      </c>
      <c r="G898" s="1" t="str">
        <f t="shared" si="1711"/>
        <v>0</v>
      </c>
      <c r="H898" s="1" t="str">
        <f t="shared" si="1711"/>
        <v>0</v>
      </c>
      <c r="I898" s="1" t="str">
        <f t="shared" si="1711"/>
        <v>0</v>
      </c>
      <c r="J898" s="1" t="str">
        <f>"30"</f>
        <v>30</v>
      </c>
      <c r="K898" s="1" t="str">
        <f t="shared" ref="K898:P898" si="1712">"0"</f>
        <v>0</v>
      </c>
      <c r="L898" s="1" t="str">
        <f t="shared" si="1712"/>
        <v>0</v>
      </c>
      <c r="M898" s="1" t="str">
        <f t="shared" si="1712"/>
        <v>0</v>
      </c>
      <c r="N898" s="1" t="str">
        <f t="shared" si="1712"/>
        <v>0</v>
      </c>
      <c r="O898" s="1" t="str">
        <f t="shared" si="1712"/>
        <v>0</v>
      </c>
      <c r="P898" s="1" t="str">
        <f t="shared" si="1712"/>
        <v>0</v>
      </c>
      <c r="Q898" s="1" t="str">
        <f t="shared" si="1586"/>
        <v>0.0070</v>
      </c>
      <c r="R898" s="1" t="s">
        <v>29</v>
      </c>
      <c r="S898" s="1">
        <v>-0.0014</v>
      </c>
      <c r="T898" s="1" t="str">
        <f t="shared" si="1587"/>
        <v>0</v>
      </c>
      <c r="U898" s="1" t="str">
        <f t="shared" ref="U898:U904" si="1713">"0.0056"</f>
        <v>0.0056</v>
      </c>
    </row>
    <row r="899" s="1" customFormat="1" spans="1:21">
      <c r="A899" s="1" t="str">
        <f>"4601992004004"</f>
        <v>4601992004004</v>
      </c>
      <c r="B899" s="1" t="s">
        <v>923</v>
      </c>
      <c r="C899" s="1" t="s">
        <v>24</v>
      </c>
      <c r="D899" s="1" t="str">
        <f t="shared" ref="D899:D962" si="1714">"2021"</f>
        <v>2021</v>
      </c>
      <c r="E899" s="1" t="str">
        <f>"88.77"</f>
        <v>88.77</v>
      </c>
      <c r="F899" s="1" t="str">
        <f t="shared" ref="F899:I899" si="1715">"0"</f>
        <v>0</v>
      </c>
      <c r="G899" s="1" t="str">
        <f t="shared" si="1715"/>
        <v>0</v>
      </c>
      <c r="H899" s="1" t="str">
        <f t="shared" si="1715"/>
        <v>0</v>
      </c>
      <c r="I899" s="1" t="str">
        <f t="shared" si="1715"/>
        <v>0</v>
      </c>
      <c r="J899" s="1" t="str">
        <f>"4"</f>
        <v>4</v>
      </c>
      <c r="K899" s="1" t="str">
        <f t="shared" ref="K899:P899" si="1716">"0"</f>
        <v>0</v>
      </c>
      <c r="L899" s="1" t="str">
        <f t="shared" si="1716"/>
        <v>0</v>
      </c>
      <c r="M899" s="1" t="str">
        <f t="shared" si="1716"/>
        <v>0</v>
      </c>
      <c r="N899" s="1" t="str">
        <f t="shared" si="1716"/>
        <v>0</v>
      </c>
      <c r="O899" s="1" t="str">
        <f t="shared" si="1716"/>
        <v>0</v>
      </c>
      <c r="P899" s="1" t="str">
        <f t="shared" si="1716"/>
        <v>0</v>
      </c>
      <c r="Q899" s="1" t="str">
        <f t="shared" ref="Q899:Q962" si="1717">"0.0070"</f>
        <v>0.0070</v>
      </c>
      <c r="R899" s="1" t="s">
        <v>29</v>
      </c>
      <c r="S899" s="1">
        <v>-0.0014</v>
      </c>
      <c r="T899" s="1" t="str">
        <f t="shared" ref="T899:T962" si="1718">"0"</f>
        <v>0</v>
      </c>
      <c r="U899" s="1" t="str">
        <f t="shared" si="1713"/>
        <v>0.0056</v>
      </c>
    </row>
    <row r="900" s="1" customFormat="1" spans="1:21">
      <c r="A900" s="1" t="str">
        <f>"4601992004102"</f>
        <v>4601992004102</v>
      </c>
      <c r="B900" s="1" t="s">
        <v>924</v>
      </c>
      <c r="C900" s="1" t="s">
        <v>24</v>
      </c>
      <c r="D900" s="1" t="str">
        <f t="shared" si="1714"/>
        <v>2021</v>
      </c>
      <c r="E900" s="1" t="str">
        <f t="shared" ref="E900:P900" si="1719">"0"</f>
        <v>0</v>
      </c>
      <c r="F900" s="1" t="str">
        <f t="shared" si="1719"/>
        <v>0</v>
      </c>
      <c r="G900" s="1" t="str">
        <f t="shared" si="1719"/>
        <v>0</v>
      </c>
      <c r="H900" s="1" t="str">
        <f t="shared" si="1719"/>
        <v>0</v>
      </c>
      <c r="I900" s="1" t="str">
        <f t="shared" si="1719"/>
        <v>0</v>
      </c>
      <c r="J900" s="1" t="str">
        <f t="shared" si="1719"/>
        <v>0</v>
      </c>
      <c r="K900" s="1" t="str">
        <f t="shared" si="1719"/>
        <v>0</v>
      </c>
      <c r="L900" s="1" t="str">
        <f t="shared" si="1719"/>
        <v>0</v>
      </c>
      <c r="M900" s="1" t="str">
        <f t="shared" si="1719"/>
        <v>0</v>
      </c>
      <c r="N900" s="1" t="str">
        <f t="shared" si="1719"/>
        <v>0</v>
      </c>
      <c r="O900" s="1" t="str">
        <f t="shared" si="1719"/>
        <v>0</v>
      </c>
      <c r="P900" s="1" t="str">
        <f t="shared" si="1719"/>
        <v>0</v>
      </c>
      <c r="Q900" s="1" t="str">
        <f t="shared" si="1717"/>
        <v>0.0070</v>
      </c>
      <c r="R900" s="1" t="s">
        <v>25</v>
      </c>
      <c r="T900" s="1" t="str">
        <f t="shared" si="1718"/>
        <v>0</v>
      </c>
      <c r="U900" s="1" t="str">
        <f t="shared" si="1710"/>
        <v>0.0070</v>
      </c>
    </row>
    <row r="901" s="1" customFormat="1" spans="1:21">
      <c r="A901" s="1" t="str">
        <f>"4601992004043"</f>
        <v>4601992004043</v>
      </c>
      <c r="B901" s="1" t="s">
        <v>925</v>
      </c>
      <c r="C901" s="1" t="s">
        <v>24</v>
      </c>
      <c r="D901" s="1" t="str">
        <f t="shared" si="1714"/>
        <v>2021</v>
      </c>
      <c r="E901" s="1" t="str">
        <f>"36.27"</f>
        <v>36.27</v>
      </c>
      <c r="F901" s="1" t="str">
        <f t="shared" ref="F901:I901" si="1720">"0"</f>
        <v>0</v>
      </c>
      <c r="G901" s="1" t="str">
        <f t="shared" si="1720"/>
        <v>0</v>
      </c>
      <c r="H901" s="1" t="str">
        <f t="shared" si="1720"/>
        <v>0</v>
      </c>
      <c r="I901" s="1" t="str">
        <f t="shared" si="1720"/>
        <v>0</v>
      </c>
      <c r="J901" s="1" t="str">
        <f>"2"</f>
        <v>2</v>
      </c>
      <c r="K901" s="1" t="str">
        <f t="shared" ref="K901:P901" si="1721">"0"</f>
        <v>0</v>
      </c>
      <c r="L901" s="1" t="str">
        <f t="shared" si="1721"/>
        <v>0</v>
      </c>
      <c r="M901" s="1" t="str">
        <f t="shared" si="1721"/>
        <v>0</v>
      </c>
      <c r="N901" s="1" t="str">
        <f t="shared" si="1721"/>
        <v>0</v>
      </c>
      <c r="O901" s="1" t="str">
        <f t="shared" si="1721"/>
        <v>0</v>
      </c>
      <c r="P901" s="1" t="str">
        <f t="shared" si="1721"/>
        <v>0</v>
      </c>
      <c r="Q901" s="1" t="str">
        <f t="shared" si="1717"/>
        <v>0.0070</v>
      </c>
      <c r="R901" s="1" t="s">
        <v>25</v>
      </c>
      <c r="T901" s="1" t="str">
        <f t="shared" si="1718"/>
        <v>0</v>
      </c>
      <c r="U901" s="1" t="str">
        <f t="shared" si="1710"/>
        <v>0.0070</v>
      </c>
    </row>
    <row r="902" s="1" customFormat="1" spans="1:21">
      <c r="A902" s="1" t="str">
        <f>"4601992004248"</f>
        <v>4601992004248</v>
      </c>
      <c r="B902" s="1" t="s">
        <v>926</v>
      </c>
      <c r="C902" s="1" t="s">
        <v>24</v>
      </c>
      <c r="D902" s="1" t="str">
        <f t="shared" si="1714"/>
        <v>2021</v>
      </c>
      <c r="E902" s="1" t="str">
        <f>"98.15"</f>
        <v>98.15</v>
      </c>
      <c r="F902" s="1" t="str">
        <f t="shared" ref="F902:I902" si="1722">"0"</f>
        <v>0</v>
      </c>
      <c r="G902" s="1" t="str">
        <f t="shared" si="1722"/>
        <v>0</v>
      </c>
      <c r="H902" s="1" t="str">
        <f t="shared" si="1722"/>
        <v>0</v>
      </c>
      <c r="I902" s="1" t="str">
        <f t="shared" si="1722"/>
        <v>0</v>
      </c>
      <c r="J902" s="1" t="str">
        <f t="shared" ref="J902:J907" si="1723">"3"</f>
        <v>3</v>
      </c>
      <c r="K902" s="1" t="str">
        <f t="shared" ref="K902:P902" si="1724">"0"</f>
        <v>0</v>
      </c>
      <c r="L902" s="1" t="str">
        <f t="shared" si="1724"/>
        <v>0</v>
      </c>
      <c r="M902" s="1" t="str">
        <f t="shared" si="1724"/>
        <v>0</v>
      </c>
      <c r="N902" s="1" t="str">
        <f t="shared" si="1724"/>
        <v>0</v>
      </c>
      <c r="O902" s="1" t="str">
        <f t="shared" si="1724"/>
        <v>0</v>
      </c>
      <c r="P902" s="1" t="str">
        <f t="shared" si="1724"/>
        <v>0</v>
      </c>
      <c r="Q902" s="1" t="str">
        <f t="shared" si="1717"/>
        <v>0.0070</v>
      </c>
      <c r="R902" s="1" t="s">
        <v>29</v>
      </c>
      <c r="S902" s="1">
        <v>-0.0014</v>
      </c>
      <c r="T902" s="1" t="str">
        <f t="shared" si="1718"/>
        <v>0</v>
      </c>
      <c r="U902" s="1" t="str">
        <f t="shared" si="1713"/>
        <v>0.0056</v>
      </c>
    </row>
    <row r="903" s="1" customFormat="1" spans="1:21">
      <c r="A903" s="1" t="str">
        <f>"4601992003732"</f>
        <v>4601992003732</v>
      </c>
      <c r="B903" s="1" t="s">
        <v>927</v>
      </c>
      <c r="C903" s="1" t="s">
        <v>24</v>
      </c>
      <c r="D903" s="1" t="str">
        <f t="shared" si="1714"/>
        <v>2021</v>
      </c>
      <c r="E903" s="1" t="str">
        <f>"11.98"</f>
        <v>11.98</v>
      </c>
      <c r="F903" s="1" t="str">
        <f t="shared" ref="F903:I903" si="1725">"0"</f>
        <v>0</v>
      </c>
      <c r="G903" s="1" t="str">
        <f t="shared" si="1725"/>
        <v>0</v>
      </c>
      <c r="H903" s="1" t="str">
        <f t="shared" si="1725"/>
        <v>0</v>
      </c>
      <c r="I903" s="1" t="str">
        <f t="shared" si="1725"/>
        <v>0</v>
      </c>
      <c r="J903" s="1" t="str">
        <f>"1"</f>
        <v>1</v>
      </c>
      <c r="K903" s="1" t="str">
        <f t="shared" ref="K903:P903" si="1726">"0"</f>
        <v>0</v>
      </c>
      <c r="L903" s="1" t="str">
        <f t="shared" si="1726"/>
        <v>0</v>
      </c>
      <c r="M903" s="1" t="str">
        <f t="shared" si="1726"/>
        <v>0</v>
      </c>
      <c r="N903" s="1" t="str">
        <f t="shared" si="1726"/>
        <v>0</v>
      </c>
      <c r="O903" s="1" t="str">
        <f t="shared" si="1726"/>
        <v>0</v>
      </c>
      <c r="P903" s="1" t="str">
        <f t="shared" si="1726"/>
        <v>0</v>
      </c>
      <c r="Q903" s="1" t="str">
        <f t="shared" si="1717"/>
        <v>0.0070</v>
      </c>
      <c r="R903" s="1" t="s">
        <v>29</v>
      </c>
      <c r="S903" s="1">
        <v>-0.0014</v>
      </c>
      <c r="T903" s="1" t="str">
        <f t="shared" si="1718"/>
        <v>0</v>
      </c>
      <c r="U903" s="1" t="str">
        <f t="shared" si="1713"/>
        <v>0.0056</v>
      </c>
    </row>
    <row r="904" s="1" customFormat="1" spans="1:21">
      <c r="A904" s="1" t="str">
        <f>"4601992004552"</f>
        <v>4601992004552</v>
      </c>
      <c r="B904" s="1" t="s">
        <v>928</v>
      </c>
      <c r="C904" s="1" t="s">
        <v>24</v>
      </c>
      <c r="D904" s="1" t="str">
        <f t="shared" si="1714"/>
        <v>2021</v>
      </c>
      <c r="E904" s="1" t="str">
        <f>"36.27"</f>
        <v>36.27</v>
      </c>
      <c r="F904" s="1" t="str">
        <f t="shared" ref="F904:I904" si="1727">"0"</f>
        <v>0</v>
      </c>
      <c r="G904" s="1" t="str">
        <f t="shared" si="1727"/>
        <v>0</v>
      </c>
      <c r="H904" s="1" t="str">
        <f t="shared" si="1727"/>
        <v>0</v>
      </c>
      <c r="I904" s="1" t="str">
        <f t="shared" si="1727"/>
        <v>0</v>
      </c>
      <c r="J904" s="1" t="str">
        <f t="shared" si="1723"/>
        <v>3</v>
      </c>
      <c r="K904" s="1" t="str">
        <f t="shared" ref="K904:P904" si="1728">"0"</f>
        <v>0</v>
      </c>
      <c r="L904" s="1" t="str">
        <f t="shared" si="1728"/>
        <v>0</v>
      </c>
      <c r="M904" s="1" t="str">
        <f t="shared" si="1728"/>
        <v>0</v>
      </c>
      <c r="N904" s="1" t="str">
        <f t="shared" si="1728"/>
        <v>0</v>
      </c>
      <c r="O904" s="1" t="str">
        <f t="shared" si="1728"/>
        <v>0</v>
      </c>
      <c r="P904" s="1" t="str">
        <f t="shared" si="1728"/>
        <v>0</v>
      </c>
      <c r="Q904" s="1" t="str">
        <f t="shared" si="1717"/>
        <v>0.0070</v>
      </c>
      <c r="R904" s="1" t="s">
        <v>29</v>
      </c>
      <c r="S904" s="1">
        <v>-0.0014</v>
      </c>
      <c r="T904" s="1" t="str">
        <f t="shared" si="1718"/>
        <v>0</v>
      </c>
      <c r="U904" s="1" t="str">
        <f t="shared" si="1713"/>
        <v>0.0056</v>
      </c>
    </row>
    <row r="905" s="1" customFormat="1" spans="1:21">
      <c r="A905" s="1" t="str">
        <f>"4601992004597"</f>
        <v>4601992004597</v>
      </c>
      <c r="B905" s="1" t="s">
        <v>929</v>
      </c>
      <c r="C905" s="1" t="s">
        <v>24</v>
      </c>
      <c r="D905" s="1" t="str">
        <f t="shared" si="1714"/>
        <v>2021</v>
      </c>
      <c r="E905" s="1" t="str">
        <f t="shared" ref="E905:P905" si="1729">"0"</f>
        <v>0</v>
      </c>
      <c r="F905" s="1" t="str">
        <f t="shared" si="1729"/>
        <v>0</v>
      </c>
      <c r="G905" s="1" t="str">
        <f t="shared" si="1729"/>
        <v>0</v>
      </c>
      <c r="H905" s="1" t="str">
        <f t="shared" si="1729"/>
        <v>0</v>
      </c>
      <c r="I905" s="1" t="str">
        <f t="shared" si="1729"/>
        <v>0</v>
      </c>
      <c r="J905" s="1" t="str">
        <f t="shared" si="1729"/>
        <v>0</v>
      </c>
      <c r="K905" s="1" t="str">
        <f t="shared" si="1729"/>
        <v>0</v>
      </c>
      <c r="L905" s="1" t="str">
        <f t="shared" si="1729"/>
        <v>0</v>
      </c>
      <c r="M905" s="1" t="str">
        <f t="shared" si="1729"/>
        <v>0</v>
      </c>
      <c r="N905" s="1" t="str">
        <f t="shared" si="1729"/>
        <v>0</v>
      </c>
      <c r="O905" s="1" t="str">
        <f t="shared" si="1729"/>
        <v>0</v>
      </c>
      <c r="P905" s="1" t="str">
        <f t="shared" si="1729"/>
        <v>0</v>
      </c>
      <c r="Q905" s="1" t="str">
        <f t="shared" si="1717"/>
        <v>0.0070</v>
      </c>
      <c r="R905" s="1" t="s">
        <v>25</v>
      </c>
      <c r="T905" s="1" t="str">
        <f t="shared" si="1718"/>
        <v>0</v>
      </c>
      <c r="U905" s="1" t="str">
        <f>"0.0070"</f>
        <v>0.0070</v>
      </c>
    </row>
    <row r="906" s="1" customFormat="1" spans="1:21">
      <c r="A906" s="1" t="str">
        <f>"4601992004627"</f>
        <v>4601992004627</v>
      </c>
      <c r="B906" s="1" t="s">
        <v>930</v>
      </c>
      <c r="C906" s="1" t="s">
        <v>24</v>
      </c>
      <c r="D906" s="1" t="str">
        <f t="shared" si="1714"/>
        <v>2021</v>
      </c>
      <c r="E906" s="1" t="str">
        <f>"48.36"</f>
        <v>48.36</v>
      </c>
      <c r="F906" s="1" t="str">
        <f t="shared" ref="F906:I906" si="1730">"0"</f>
        <v>0</v>
      </c>
      <c r="G906" s="1" t="str">
        <f t="shared" si="1730"/>
        <v>0</v>
      </c>
      <c r="H906" s="1" t="str">
        <f t="shared" si="1730"/>
        <v>0</v>
      </c>
      <c r="I906" s="1" t="str">
        <f t="shared" si="1730"/>
        <v>0</v>
      </c>
      <c r="J906" s="1" t="str">
        <f>"5"</f>
        <v>5</v>
      </c>
      <c r="K906" s="1" t="str">
        <f t="shared" ref="K906:P906" si="1731">"0"</f>
        <v>0</v>
      </c>
      <c r="L906" s="1" t="str">
        <f t="shared" si="1731"/>
        <v>0</v>
      </c>
      <c r="M906" s="1" t="str">
        <f t="shared" si="1731"/>
        <v>0</v>
      </c>
      <c r="N906" s="1" t="str">
        <f t="shared" si="1731"/>
        <v>0</v>
      </c>
      <c r="O906" s="1" t="str">
        <f t="shared" si="1731"/>
        <v>0</v>
      </c>
      <c r="P906" s="1" t="str">
        <f t="shared" si="1731"/>
        <v>0</v>
      </c>
      <c r="Q906" s="1" t="str">
        <f t="shared" si="1717"/>
        <v>0.0070</v>
      </c>
      <c r="R906" s="1" t="s">
        <v>29</v>
      </c>
      <c r="S906" s="1">
        <v>-0.0014</v>
      </c>
      <c r="T906" s="1" t="str">
        <f t="shared" si="1718"/>
        <v>0</v>
      </c>
      <c r="U906" s="1" t="str">
        <f t="shared" ref="U906:U908" si="1732">"0.0056"</f>
        <v>0.0056</v>
      </c>
    </row>
    <row r="907" s="1" customFormat="1" spans="1:21">
      <c r="A907" s="1" t="str">
        <f>"4601992004630"</f>
        <v>4601992004630</v>
      </c>
      <c r="B907" s="1" t="s">
        <v>931</v>
      </c>
      <c r="C907" s="1" t="s">
        <v>24</v>
      </c>
      <c r="D907" s="1" t="str">
        <f t="shared" si="1714"/>
        <v>2021</v>
      </c>
      <c r="E907" s="1" t="str">
        <f>"57.75"</f>
        <v>57.75</v>
      </c>
      <c r="F907" s="1" t="str">
        <f t="shared" ref="F907:I907" si="1733">"0"</f>
        <v>0</v>
      </c>
      <c r="G907" s="1" t="str">
        <f t="shared" si="1733"/>
        <v>0</v>
      </c>
      <c r="H907" s="1" t="str">
        <f t="shared" si="1733"/>
        <v>0</v>
      </c>
      <c r="I907" s="1" t="str">
        <f t="shared" si="1733"/>
        <v>0</v>
      </c>
      <c r="J907" s="1" t="str">
        <f t="shared" si="1723"/>
        <v>3</v>
      </c>
      <c r="K907" s="1" t="str">
        <f t="shared" ref="K907:P907" si="1734">"0"</f>
        <v>0</v>
      </c>
      <c r="L907" s="1" t="str">
        <f t="shared" si="1734"/>
        <v>0</v>
      </c>
      <c r="M907" s="1" t="str">
        <f t="shared" si="1734"/>
        <v>0</v>
      </c>
      <c r="N907" s="1" t="str">
        <f t="shared" si="1734"/>
        <v>0</v>
      </c>
      <c r="O907" s="1" t="str">
        <f t="shared" si="1734"/>
        <v>0</v>
      </c>
      <c r="P907" s="1" t="str">
        <f t="shared" si="1734"/>
        <v>0</v>
      </c>
      <c r="Q907" s="1" t="str">
        <f t="shared" si="1717"/>
        <v>0.0070</v>
      </c>
      <c r="R907" s="1" t="s">
        <v>29</v>
      </c>
      <c r="S907" s="1">
        <v>-0.0014</v>
      </c>
      <c r="T907" s="1" t="str">
        <f t="shared" si="1718"/>
        <v>0</v>
      </c>
      <c r="U907" s="1" t="str">
        <f t="shared" si="1732"/>
        <v>0.0056</v>
      </c>
    </row>
    <row r="908" s="1" customFormat="1" spans="1:21">
      <c r="A908" s="1" t="str">
        <f>"4601991416321"</f>
        <v>4601991416321</v>
      </c>
      <c r="B908" s="1" t="s">
        <v>932</v>
      </c>
      <c r="C908" s="1" t="s">
        <v>24</v>
      </c>
      <c r="D908" s="1" t="str">
        <f t="shared" si="1714"/>
        <v>2021</v>
      </c>
      <c r="E908" s="1" t="str">
        <f>"1499.13"</f>
        <v>1499.13</v>
      </c>
      <c r="F908" s="1" t="str">
        <f t="shared" ref="F908:I908" si="1735">"0"</f>
        <v>0</v>
      </c>
      <c r="G908" s="1" t="str">
        <f t="shared" si="1735"/>
        <v>0</v>
      </c>
      <c r="H908" s="1" t="str">
        <f t="shared" si="1735"/>
        <v>0</v>
      </c>
      <c r="I908" s="1" t="str">
        <f t="shared" si="1735"/>
        <v>0</v>
      </c>
      <c r="J908" s="1" t="str">
        <f>"122"</f>
        <v>122</v>
      </c>
      <c r="K908" s="1" t="str">
        <f t="shared" ref="K908:P908" si="1736">"0"</f>
        <v>0</v>
      </c>
      <c r="L908" s="1" t="str">
        <f t="shared" si="1736"/>
        <v>0</v>
      </c>
      <c r="M908" s="1" t="str">
        <f t="shared" si="1736"/>
        <v>0</v>
      </c>
      <c r="N908" s="1" t="str">
        <f t="shared" si="1736"/>
        <v>0</v>
      </c>
      <c r="O908" s="1" t="str">
        <f t="shared" si="1736"/>
        <v>0</v>
      </c>
      <c r="P908" s="1" t="str">
        <f t="shared" si="1736"/>
        <v>0</v>
      </c>
      <c r="Q908" s="1" t="str">
        <f t="shared" si="1717"/>
        <v>0.0070</v>
      </c>
      <c r="R908" s="1" t="s">
        <v>29</v>
      </c>
      <c r="S908" s="1">
        <v>-0.0014</v>
      </c>
      <c r="T908" s="1" t="str">
        <f t="shared" si="1718"/>
        <v>0</v>
      </c>
      <c r="U908" s="1" t="str">
        <f t="shared" si="1732"/>
        <v>0.0056</v>
      </c>
    </row>
    <row r="909" s="1" customFormat="1" spans="1:21">
      <c r="A909" s="1" t="str">
        <f>"4601992004645"</f>
        <v>4601992004645</v>
      </c>
      <c r="B909" s="1" t="s">
        <v>933</v>
      </c>
      <c r="C909" s="1" t="s">
        <v>24</v>
      </c>
      <c r="D909" s="1" t="str">
        <f t="shared" si="1714"/>
        <v>2021</v>
      </c>
      <c r="E909" s="1" t="str">
        <f t="shared" ref="E909:P909" si="1737">"0"</f>
        <v>0</v>
      </c>
      <c r="F909" s="1" t="str">
        <f t="shared" si="1737"/>
        <v>0</v>
      </c>
      <c r="G909" s="1" t="str">
        <f t="shared" si="1737"/>
        <v>0</v>
      </c>
      <c r="H909" s="1" t="str">
        <f t="shared" si="1737"/>
        <v>0</v>
      </c>
      <c r="I909" s="1" t="str">
        <f t="shared" si="1737"/>
        <v>0</v>
      </c>
      <c r="J909" s="1" t="str">
        <f t="shared" si="1737"/>
        <v>0</v>
      </c>
      <c r="K909" s="1" t="str">
        <f t="shared" si="1737"/>
        <v>0</v>
      </c>
      <c r="L909" s="1" t="str">
        <f t="shared" si="1737"/>
        <v>0</v>
      </c>
      <c r="M909" s="1" t="str">
        <f t="shared" si="1737"/>
        <v>0</v>
      </c>
      <c r="N909" s="1" t="str">
        <f t="shared" si="1737"/>
        <v>0</v>
      </c>
      <c r="O909" s="1" t="str">
        <f t="shared" si="1737"/>
        <v>0</v>
      </c>
      <c r="P909" s="1" t="str">
        <f t="shared" si="1737"/>
        <v>0</v>
      </c>
      <c r="Q909" s="1" t="str">
        <f t="shared" si="1717"/>
        <v>0.0070</v>
      </c>
      <c r="R909" s="1" t="s">
        <v>25</v>
      </c>
      <c r="T909" s="1" t="str">
        <f t="shared" si="1718"/>
        <v>0</v>
      </c>
      <c r="U909" s="1" t="str">
        <f t="shared" ref="U909:U913" si="1738">"0.0070"</f>
        <v>0.0070</v>
      </c>
    </row>
    <row r="910" s="1" customFormat="1" spans="1:21">
      <c r="A910" s="1" t="str">
        <f>"4601992004638"</f>
        <v>4601992004638</v>
      </c>
      <c r="B910" s="1" t="s">
        <v>934</v>
      </c>
      <c r="C910" s="1" t="s">
        <v>24</v>
      </c>
      <c r="D910" s="1" t="str">
        <f t="shared" si="1714"/>
        <v>2021</v>
      </c>
      <c r="E910" s="1" t="str">
        <f>"12.09"</f>
        <v>12.09</v>
      </c>
      <c r="F910" s="1" t="str">
        <f t="shared" ref="F910:I910" si="1739">"0"</f>
        <v>0</v>
      </c>
      <c r="G910" s="1" t="str">
        <f t="shared" si="1739"/>
        <v>0</v>
      </c>
      <c r="H910" s="1" t="str">
        <f t="shared" si="1739"/>
        <v>0</v>
      </c>
      <c r="I910" s="1" t="str">
        <f t="shared" si="1739"/>
        <v>0</v>
      </c>
      <c r="J910" s="1" t="str">
        <f>"1"</f>
        <v>1</v>
      </c>
      <c r="K910" s="1" t="str">
        <f t="shared" ref="K910:P910" si="1740">"0"</f>
        <v>0</v>
      </c>
      <c r="L910" s="1" t="str">
        <f t="shared" si="1740"/>
        <v>0</v>
      </c>
      <c r="M910" s="1" t="str">
        <f t="shared" si="1740"/>
        <v>0</v>
      </c>
      <c r="N910" s="1" t="str">
        <f t="shared" si="1740"/>
        <v>0</v>
      </c>
      <c r="O910" s="1" t="str">
        <f t="shared" si="1740"/>
        <v>0</v>
      </c>
      <c r="P910" s="1" t="str">
        <f t="shared" si="1740"/>
        <v>0</v>
      </c>
      <c r="Q910" s="1" t="str">
        <f t="shared" si="1717"/>
        <v>0.0070</v>
      </c>
      <c r="R910" s="1" t="s">
        <v>29</v>
      </c>
      <c r="S910" s="1">
        <v>-0.0014</v>
      </c>
      <c r="T910" s="1" t="str">
        <f t="shared" si="1718"/>
        <v>0</v>
      </c>
      <c r="U910" s="1" t="str">
        <f t="shared" ref="U910:U914" si="1741">"0.0056"</f>
        <v>0.0056</v>
      </c>
    </row>
    <row r="911" s="1" customFormat="1" spans="1:21">
      <c r="A911" s="1" t="str">
        <f>"4601992004686"</f>
        <v>4601992004686</v>
      </c>
      <c r="B911" s="1" t="s">
        <v>935</v>
      </c>
      <c r="C911" s="1" t="s">
        <v>24</v>
      </c>
      <c r="D911" s="1" t="str">
        <f t="shared" si="1714"/>
        <v>2021</v>
      </c>
      <c r="E911" s="1" t="str">
        <f t="shared" ref="E911:P911" si="1742">"0"</f>
        <v>0</v>
      </c>
      <c r="F911" s="1" t="str">
        <f t="shared" si="1742"/>
        <v>0</v>
      </c>
      <c r="G911" s="1" t="str">
        <f t="shared" si="1742"/>
        <v>0</v>
      </c>
      <c r="H911" s="1" t="str">
        <f t="shared" si="1742"/>
        <v>0</v>
      </c>
      <c r="I911" s="1" t="str">
        <f t="shared" si="1742"/>
        <v>0</v>
      </c>
      <c r="J911" s="1" t="str">
        <f t="shared" si="1742"/>
        <v>0</v>
      </c>
      <c r="K911" s="1" t="str">
        <f t="shared" si="1742"/>
        <v>0</v>
      </c>
      <c r="L911" s="1" t="str">
        <f t="shared" si="1742"/>
        <v>0</v>
      </c>
      <c r="M911" s="1" t="str">
        <f t="shared" si="1742"/>
        <v>0</v>
      </c>
      <c r="N911" s="1" t="str">
        <f t="shared" si="1742"/>
        <v>0</v>
      </c>
      <c r="O911" s="1" t="str">
        <f t="shared" si="1742"/>
        <v>0</v>
      </c>
      <c r="P911" s="1" t="str">
        <f t="shared" si="1742"/>
        <v>0</v>
      </c>
      <c r="Q911" s="1" t="str">
        <f t="shared" si="1717"/>
        <v>0.0070</v>
      </c>
      <c r="R911" s="1" t="s">
        <v>25</v>
      </c>
      <c r="T911" s="1" t="str">
        <f t="shared" si="1718"/>
        <v>0</v>
      </c>
      <c r="U911" s="1" t="str">
        <f t="shared" si="1738"/>
        <v>0.0070</v>
      </c>
    </row>
    <row r="912" s="1" customFormat="1" spans="1:21">
      <c r="A912" s="1" t="str">
        <f>"4601992004634"</f>
        <v>4601992004634</v>
      </c>
      <c r="B912" s="1" t="s">
        <v>936</v>
      </c>
      <c r="C912" s="1" t="s">
        <v>24</v>
      </c>
      <c r="D912" s="1" t="str">
        <f t="shared" si="1714"/>
        <v>2021</v>
      </c>
      <c r="E912" s="1" t="str">
        <f>"60.45"</f>
        <v>60.45</v>
      </c>
      <c r="F912" s="1" t="str">
        <f t="shared" ref="F912:I912" si="1743">"0"</f>
        <v>0</v>
      </c>
      <c r="G912" s="1" t="str">
        <f t="shared" si="1743"/>
        <v>0</v>
      </c>
      <c r="H912" s="1" t="str">
        <f t="shared" si="1743"/>
        <v>0</v>
      </c>
      <c r="I912" s="1" t="str">
        <f t="shared" si="1743"/>
        <v>0</v>
      </c>
      <c r="J912" s="1" t="str">
        <f>"5"</f>
        <v>5</v>
      </c>
      <c r="K912" s="1" t="str">
        <f t="shared" ref="K912:P912" si="1744">"0"</f>
        <v>0</v>
      </c>
      <c r="L912" s="1" t="str">
        <f t="shared" si="1744"/>
        <v>0</v>
      </c>
      <c r="M912" s="1" t="str">
        <f t="shared" si="1744"/>
        <v>0</v>
      </c>
      <c r="N912" s="1" t="str">
        <f t="shared" si="1744"/>
        <v>0</v>
      </c>
      <c r="O912" s="1" t="str">
        <f t="shared" si="1744"/>
        <v>0</v>
      </c>
      <c r="P912" s="1" t="str">
        <f t="shared" si="1744"/>
        <v>0</v>
      </c>
      <c r="Q912" s="1" t="str">
        <f t="shared" si="1717"/>
        <v>0.0070</v>
      </c>
      <c r="R912" s="1" t="s">
        <v>29</v>
      </c>
      <c r="S912" s="1">
        <v>-0.0014</v>
      </c>
      <c r="T912" s="1" t="str">
        <f t="shared" si="1718"/>
        <v>0</v>
      </c>
      <c r="U912" s="1" t="str">
        <f t="shared" si="1741"/>
        <v>0.0056</v>
      </c>
    </row>
    <row r="913" s="1" customFormat="1" spans="1:21">
      <c r="A913" s="1" t="str">
        <f>"4601992004694"</f>
        <v>4601992004694</v>
      </c>
      <c r="B913" s="1" t="s">
        <v>937</v>
      </c>
      <c r="C913" s="1" t="s">
        <v>24</v>
      </c>
      <c r="D913" s="1" t="str">
        <f t="shared" si="1714"/>
        <v>2021</v>
      </c>
      <c r="E913" s="1" t="str">
        <f t="shared" ref="E913:P913" si="1745">"0"</f>
        <v>0</v>
      </c>
      <c r="F913" s="1" t="str">
        <f t="shared" si="1745"/>
        <v>0</v>
      </c>
      <c r="G913" s="1" t="str">
        <f t="shared" si="1745"/>
        <v>0</v>
      </c>
      <c r="H913" s="1" t="str">
        <f t="shared" si="1745"/>
        <v>0</v>
      </c>
      <c r="I913" s="1" t="str">
        <f t="shared" si="1745"/>
        <v>0</v>
      </c>
      <c r="J913" s="1" t="str">
        <f t="shared" si="1745"/>
        <v>0</v>
      </c>
      <c r="K913" s="1" t="str">
        <f t="shared" si="1745"/>
        <v>0</v>
      </c>
      <c r="L913" s="1" t="str">
        <f t="shared" si="1745"/>
        <v>0</v>
      </c>
      <c r="M913" s="1" t="str">
        <f t="shared" si="1745"/>
        <v>0</v>
      </c>
      <c r="N913" s="1" t="str">
        <f t="shared" si="1745"/>
        <v>0</v>
      </c>
      <c r="O913" s="1" t="str">
        <f t="shared" si="1745"/>
        <v>0</v>
      </c>
      <c r="P913" s="1" t="str">
        <f t="shared" si="1745"/>
        <v>0</v>
      </c>
      <c r="Q913" s="1" t="str">
        <f t="shared" si="1717"/>
        <v>0.0070</v>
      </c>
      <c r="R913" s="1" t="s">
        <v>25</v>
      </c>
      <c r="T913" s="1" t="str">
        <f t="shared" si="1718"/>
        <v>0</v>
      </c>
      <c r="U913" s="1" t="str">
        <f t="shared" si="1738"/>
        <v>0.0070</v>
      </c>
    </row>
    <row r="914" s="1" customFormat="1" spans="1:21">
      <c r="A914" s="1" t="str">
        <f>"4601992004696"</f>
        <v>4601992004696</v>
      </c>
      <c r="B914" s="1" t="s">
        <v>938</v>
      </c>
      <c r="C914" s="1" t="s">
        <v>24</v>
      </c>
      <c r="D914" s="1" t="str">
        <f t="shared" si="1714"/>
        <v>2021</v>
      </c>
      <c r="E914" s="1" t="str">
        <f>"11.98"</f>
        <v>11.98</v>
      </c>
      <c r="F914" s="1" t="str">
        <f t="shared" ref="F914:I914" si="1746">"0"</f>
        <v>0</v>
      </c>
      <c r="G914" s="1" t="str">
        <f t="shared" si="1746"/>
        <v>0</v>
      </c>
      <c r="H914" s="1" t="str">
        <f t="shared" si="1746"/>
        <v>0</v>
      </c>
      <c r="I914" s="1" t="str">
        <f t="shared" si="1746"/>
        <v>0</v>
      </c>
      <c r="J914" s="1" t="str">
        <f>"1"</f>
        <v>1</v>
      </c>
      <c r="K914" s="1" t="str">
        <f t="shared" ref="K914:P914" si="1747">"0"</f>
        <v>0</v>
      </c>
      <c r="L914" s="1" t="str">
        <f t="shared" si="1747"/>
        <v>0</v>
      </c>
      <c r="M914" s="1" t="str">
        <f t="shared" si="1747"/>
        <v>0</v>
      </c>
      <c r="N914" s="1" t="str">
        <f t="shared" si="1747"/>
        <v>0</v>
      </c>
      <c r="O914" s="1" t="str">
        <f t="shared" si="1747"/>
        <v>0</v>
      </c>
      <c r="P914" s="1" t="str">
        <f t="shared" si="1747"/>
        <v>0</v>
      </c>
      <c r="Q914" s="1" t="str">
        <f t="shared" si="1717"/>
        <v>0.0070</v>
      </c>
      <c r="R914" s="1" t="s">
        <v>29</v>
      </c>
      <c r="S914" s="1">
        <v>-0.0014</v>
      </c>
      <c r="T914" s="1" t="str">
        <f t="shared" si="1718"/>
        <v>0</v>
      </c>
      <c r="U914" s="1" t="str">
        <f t="shared" si="1741"/>
        <v>0.0056</v>
      </c>
    </row>
    <row r="915" s="1" customFormat="1" spans="1:21">
      <c r="A915" s="1" t="str">
        <f>"4601992004699"</f>
        <v>4601992004699</v>
      </c>
      <c r="B915" s="1" t="s">
        <v>939</v>
      </c>
      <c r="C915" s="1" t="s">
        <v>24</v>
      </c>
      <c r="D915" s="1" t="str">
        <f t="shared" si="1714"/>
        <v>2021</v>
      </c>
      <c r="E915" s="1" t="str">
        <f t="shared" ref="E915:P915" si="1748">"0"</f>
        <v>0</v>
      </c>
      <c r="F915" s="1" t="str">
        <f t="shared" si="1748"/>
        <v>0</v>
      </c>
      <c r="G915" s="1" t="str">
        <f t="shared" si="1748"/>
        <v>0</v>
      </c>
      <c r="H915" s="1" t="str">
        <f t="shared" si="1748"/>
        <v>0</v>
      </c>
      <c r="I915" s="1" t="str">
        <f t="shared" si="1748"/>
        <v>0</v>
      </c>
      <c r="J915" s="1" t="str">
        <f t="shared" si="1748"/>
        <v>0</v>
      </c>
      <c r="K915" s="1" t="str">
        <f t="shared" si="1748"/>
        <v>0</v>
      </c>
      <c r="L915" s="1" t="str">
        <f t="shared" si="1748"/>
        <v>0</v>
      </c>
      <c r="M915" s="1" t="str">
        <f t="shared" si="1748"/>
        <v>0</v>
      </c>
      <c r="N915" s="1" t="str">
        <f t="shared" si="1748"/>
        <v>0</v>
      </c>
      <c r="O915" s="1" t="str">
        <f t="shared" si="1748"/>
        <v>0</v>
      </c>
      <c r="P915" s="1" t="str">
        <f t="shared" si="1748"/>
        <v>0</v>
      </c>
      <c r="Q915" s="1" t="str">
        <f t="shared" si="1717"/>
        <v>0.0070</v>
      </c>
      <c r="R915" s="1" t="s">
        <v>25</v>
      </c>
      <c r="T915" s="1" t="str">
        <f t="shared" si="1718"/>
        <v>0</v>
      </c>
      <c r="U915" s="1" t="str">
        <f t="shared" ref="U915:U917" si="1749">"0.0070"</f>
        <v>0.0070</v>
      </c>
    </row>
    <row r="916" s="1" customFormat="1" spans="1:21">
      <c r="A916" s="1" t="str">
        <f>"4601992004787"</f>
        <v>4601992004787</v>
      </c>
      <c r="B916" s="1" t="s">
        <v>940</v>
      </c>
      <c r="C916" s="1" t="s">
        <v>24</v>
      </c>
      <c r="D916" s="1" t="str">
        <f t="shared" si="1714"/>
        <v>2021</v>
      </c>
      <c r="E916" s="1" t="str">
        <f t="shared" ref="E916:P916" si="1750">"0"</f>
        <v>0</v>
      </c>
      <c r="F916" s="1" t="str">
        <f t="shared" si="1750"/>
        <v>0</v>
      </c>
      <c r="G916" s="1" t="str">
        <f t="shared" si="1750"/>
        <v>0</v>
      </c>
      <c r="H916" s="1" t="str">
        <f t="shared" si="1750"/>
        <v>0</v>
      </c>
      <c r="I916" s="1" t="str">
        <f t="shared" si="1750"/>
        <v>0</v>
      </c>
      <c r="J916" s="1" t="str">
        <f t="shared" si="1750"/>
        <v>0</v>
      </c>
      <c r="K916" s="1" t="str">
        <f t="shared" si="1750"/>
        <v>0</v>
      </c>
      <c r="L916" s="1" t="str">
        <f t="shared" si="1750"/>
        <v>0</v>
      </c>
      <c r="M916" s="1" t="str">
        <f t="shared" si="1750"/>
        <v>0</v>
      </c>
      <c r="N916" s="1" t="str">
        <f t="shared" si="1750"/>
        <v>0</v>
      </c>
      <c r="O916" s="1" t="str">
        <f t="shared" si="1750"/>
        <v>0</v>
      </c>
      <c r="P916" s="1" t="str">
        <f t="shared" si="1750"/>
        <v>0</v>
      </c>
      <c r="Q916" s="1" t="str">
        <f t="shared" si="1717"/>
        <v>0.0070</v>
      </c>
      <c r="R916" s="1" t="s">
        <v>25</v>
      </c>
      <c r="T916" s="1" t="str">
        <f t="shared" si="1718"/>
        <v>0</v>
      </c>
      <c r="U916" s="1" t="str">
        <f t="shared" si="1749"/>
        <v>0.0070</v>
      </c>
    </row>
    <row r="917" s="1" customFormat="1" spans="1:21">
      <c r="A917" s="1" t="str">
        <f>"4601992004770"</f>
        <v>4601992004770</v>
      </c>
      <c r="B917" s="1" t="s">
        <v>941</v>
      </c>
      <c r="C917" s="1" t="s">
        <v>24</v>
      </c>
      <c r="D917" s="1" t="str">
        <f t="shared" si="1714"/>
        <v>2021</v>
      </c>
      <c r="E917" s="1" t="str">
        <f t="shared" ref="E917:P917" si="1751">"0"</f>
        <v>0</v>
      </c>
      <c r="F917" s="1" t="str">
        <f t="shared" si="1751"/>
        <v>0</v>
      </c>
      <c r="G917" s="1" t="str">
        <f t="shared" si="1751"/>
        <v>0</v>
      </c>
      <c r="H917" s="1" t="str">
        <f t="shared" si="1751"/>
        <v>0</v>
      </c>
      <c r="I917" s="1" t="str">
        <f t="shared" si="1751"/>
        <v>0</v>
      </c>
      <c r="J917" s="1" t="str">
        <f t="shared" si="1751"/>
        <v>0</v>
      </c>
      <c r="K917" s="1" t="str">
        <f t="shared" si="1751"/>
        <v>0</v>
      </c>
      <c r="L917" s="1" t="str">
        <f t="shared" si="1751"/>
        <v>0</v>
      </c>
      <c r="M917" s="1" t="str">
        <f t="shared" si="1751"/>
        <v>0</v>
      </c>
      <c r="N917" s="1" t="str">
        <f t="shared" si="1751"/>
        <v>0</v>
      </c>
      <c r="O917" s="1" t="str">
        <f t="shared" si="1751"/>
        <v>0</v>
      </c>
      <c r="P917" s="1" t="str">
        <f t="shared" si="1751"/>
        <v>0</v>
      </c>
      <c r="Q917" s="1" t="str">
        <f t="shared" si="1717"/>
        <v>0.0070</v>
      </c>
      <c r="R917" s="1" t="s">
        <v>25</v>
      </c>
      <c r="T917" s="1" t="str">
        <f t="shared" si="1718"/>
        <v>0</v>
      </c>
      <c r="U917" s="1" t="str">
        <f t="shared" si="1749"/>
        <v>0.0070</v>
      </c>
    </row>
    <row r="918" s="1" customFormat="1" spans="1:21">
      <c r="A918" s="1" t="str">
        <f>"4601992004739"</f>
        <v>4601992004739</v>
      </c>
      <c r="B918" s="1" t="s">
        <v>942</v>
      </c>
      <c r="C918" s="1" t="s">
        <v>24</v>
      </c>
      <c r="D918" s="1" t="str">
        <f t="shared" si="1714"/>
        <v>2021</v>
      </c>
      <c r="E918" s="1" t="str">
        <f t="shared" ref="E918:E922" si="1752">"12.09"</f>
        <v>12.09</v>
      </c>
      <c r="F918" s="1" t="str">
        <f t="shared" ref="F918:I918" si="1753">"0"</f>
        <v>0</v>
      </c>
      <c r="G918" s="1" t="str">
        <f t="shared" si="1753"/>
        <v>0</v>
      </c>
      <c r="H918" s="1" t="str">
        <f t="shared" si="1753"/>
        <v>0</v>
      </c>
      <c r="I918" s="1" t="str">
        <f t="shared" si="1753"/>
        <v>0</v>
      </c>
      <c r="J918" s="1" t="str">
        <f t="shared" ref="J918:J922" si="1754">"1"</f>
        <v>1</v>
      </c>
      <c r="K918" s="1" t="str">
        <f t="shared" ref="K918:P918" si="1755">"0"</f>
        <v>0</v>
      </c>
      <c r="L918" s="1" t="str">
        <f t="shared" si="1755"/>
        <v>0</v>
      </c>
      <c r="M918" s="1" t="str">
        <f t="shared" si="1755"/>
        <v>0</v>
      </c>
      <c r="N918" s="1" t="str">
        <f t="shared" si="1755"/>
        <v>0</v>
      </c>
      <c r="O918" s="1" t="str">
        <f t="shared" si="1755"/>
        <v>0</v>
      </c>
      <c r="P918" s="1" t="str">
        <f t="shared" si="1755"/>
        <v>0</v>
      </c>
      <c r="Q918" s="1" t="str">
        <f t="shared" si="1717"/>
        <v>0.0070</v>
      </c>
      <c r="R918" s="1" t="s">
        <v>29</v>
      </c>
      <c r="S918" s="1">
        <v>-0.0014</v>
      </c>
      <c r="T918" s="1" t="str">
        <f t="shared" si="1718"/>
        <v>0</v>
      </c>
      <c r="U918" s="1" t="str">
        <f t="shared" ref="U918:U923" si="1756">"0.0056"</f>
        <v>0.0056</v>
      </c>
    </row>
    <row r="919" s="1" customFormat="1" spans="1:21">
      <c r="A919" s="1" t="str">
        <f>"4601992004812"</f>
        <v>4601992004812</v>
      </c>
      <c r="B919" s="1" t="s">
        <v>943</v>
      </c>
      <c r="C919" s="1" t="s">
        <v>24</v>
      </c>
      <c r="D919" s="1" t="str">
        <f t="shared" si="1714"/>
        <v>2021</v>
      </c>
      <c r="E919" s="1" t="str">
        <f t="shared" ref="E919:P919" si="1757">"0"</f>
        <v>0</v>
      </c>
      <c r="F919" s="1" t="str">
        <f t="shared" si="1757"/>
        <v>0</v>
      </c>
      <c r="G919" s="1" t="str">
        <f t="shared" si="1757"/>
        <v>0</v>
      </c>
      <c r="H919" s="1" t="str">
        <f t="shared" si="1757"/>
        <v>0</v>
      </c>
      <c r="I919" s="1" t="str">
        <f t="shared" si="1757"/>
        <v>0</v>
      </c>
      <c r="J919" s="1" t="str">
        <f t="shared" si="1757"/>
        <v>0</v>
      </c>
      <c r="K919" s="1" t="str">
        <f t="shared" si="1757"/>
        <v>0</v>
      </c>
      <c r="L919" s="1" t="str">
        <f t="shared" si="1757"/>
        <v>0</v>
      </c>
      <c r="M919" s="1" t="str">
        <f t="shared" si="1757"/>
        <v>0</v>
      </c>
      <c r="N919" s="1" t="str">
        <f t="shared" si="1757"/>
        <v>0</v>
      </c>
      <c r="O919" s="1" t="str">
        <f t="shared" si="1757"/>
        <v>0</v>
      </c>
      <c r="P919" s="1" t="str">
        <f t="shared" si="1757"/>
        <v>0</v>
      </c>
      <c r="Q919" s="1" t="str">
        <f t="shared" si="1717"/>
        <v>0.0070</v>
      </c>
      <c r="R919" s="1" t="s">
        <v>25</v>
      </c>
      <c r="T919" s="1" t="str">
        <f t="shared" si="1718"/>
        <v>0</v>
      </c>
      <c r="U919" s="1" t="str">
        <f>"0.0070"</f>
        <v>0.0070</v>
      </c>
    </row>
    <row r="920" s="1" customFormat="1" spans="1:21">
      <c r="A920" s="1" t="str">
        <f>"4601992004807"</f>
        <v>4601992004807</v>
      </c>
      <c r="B920" s="1" t="s">
        <v>944</v>
      </c>
      <c r="C920" s="1" t="s">
        <v>24</v>
      </c>
      <c r="D920" s="1" t="str">
        <f t="shared" si="1714"/>
        <v>2021</v>
      </c>
      <c r="E920" s="1" t="str">
        <f t="shared" si="1752"/>
        <v>12.09</v>
      </c>
      <c r="F920" s="1" t="str">
        <f t="shared" ref="F920:I920" si="1758">"0"</f>
        <v>0</v>
      </c>
      <c r="G920" s="1" t="str">
        <f t="shared" si="1758"/>
        <v>0</v>
      </c>
      <c r="H920" s="1" t="str">
        <f t="shared" si="1758"/>
        <v>0</v>
      </c>
      <c r="I920" s="1" t="str">
        <f t="shared" si="1758"/>
        <v>0</v>
      </c>
      <c r="J920" s="1" t="str">
        <f t="shared" si="1754"/>
        <v>1</v>
      </c>
      <c r="K920" s="1" t="str">
        <f t="shared" ref="K920:P920" si="1759">"0"</f>
        <v>0</v>
      </c>
      <c r="L920" s="1" t="str">
        <f t="shared" si="1759"/>
        <v>0</v>
      </c>
      <c r="M920" s="1" t="str">
        <f t="shared" si="1759"/>
        <v>0</v>
      </c>
      <c r="N920" s="1" t="str">
        <f t="shared" si="1759"/>
        <v>0</v>
      </c>
      <c r="O920" s="1" t="str">
        <f t="shared" si="1759"/>
        <v>0</v>
      </c>
      <c r="P920" s="1" t="str">
        <f t="shared" si="1759"/>
        <v>0</v>
      </c>
      <c r="Q920" s="1" t="str">
        <f t="shared" si="1717"/>
        <v>0.0070</v>
      </c>
      <c r="R920" s="1" t="s">
        <v>29</v>
      </c>
      <c r="S920" s="1">
        <v>-0.0014</v>
      </c>
      <c r="T920" s="1" t="str">
        <f t="shared" si="1718"/>
        <v>0</v>
      </c>
      <c r="U920" s="1" t="str">
        <f t="shared" si="1756"/>
        <v>0.0056</v>
      </c>
    </row>
    <row r="921" s="1" customFormat="1" spans="1:21">
      <c r="A921" s="1" t="str">
        <f>"4601992004859"</f>
        <v>4601992004859</v>
      </c>
      <c r="B921" s="1" t="s">
        <v>945</v>
      </c>
      <c r="C921" s="1" t="s">
        <v>24</v>
      </c>
      <c r="D921" s="1" t="str">
        <f t="shared" si="1714"/>
        <v>2021</v>
      </c>
      <c r="E921" s="1" t="str">
        <f t="shared" si="1752"/>
        <v>12.09</v>
      </c>
      <c r="F921" s="1" t="str">
        <f t="shared" ref="F921:I921" si="1760">"0"</f>
        <v>0</v>
      </c>
      <c r="G921" s="1" t="str">
        <f t="shared" si="1760"/>
        <v>0</v>
      </c>
      <c r="H921" s="1" t="str">
        <f t="shared" si="1760"/>
        <v>0</v>
      </c>
      <c r="I921" s="1" t="str">
        <f t="shared" si="1760"/>
        <v>0</v>
      </c>
      <c r="J921" s="1" t="str">
        <f t="shared" si="1754"/>
        <v>1</v>
      </c>
      <c r="K921" s="1" t="str">
        <f t="shared" ref="K921:P921" si="1761">"0"</f>
        <v>0</v>
      </c>
      <c r="L921" s="1" t="str">
        <f t="shared" si="1761"/>
        <v>0</v>
      </c>
      <c r="M921" s="1" t="str">
        <f t="shared" si="1761"/>
        <v>0</v>
      </c>
      <c r="N921" s="1" t="str">
        <f t="shared" si="1761"/>
        <v>0</v>
      </c>
      <c r="O921" s="1" t="str">
        <f t="shared" si="1761"/>
        <v>0</v>
      </c>
      <c r="P921" s="1" t="str">
        <f t="shared" si="1761"/>
        <v>0</v>
      </c>
      <c r="Q921" s="1" t="str">
        <f t="shared" si="1717"/>
        <v>0.0070</v>
      </c>
      <c r="R921" s="1" t="s">
        <v>29</v>
      </c>
      <c r="S921" s="1">
        <v>-0.0014</v>
      </c>
      <c r="T921" s="1" t="str">
        <f t="shared" si="1718"/>
        <v>0</v>
      </c>
      <c r="U921" s="1" t="str">
        <f t="shared" si="1756"/>
        <v>0.0056</v>
      </c>
    </row>
    <row r="922" s="1" customFormat="1" spans="1:21">
      <c r="A922" s="1" t="str">
        <f>"4601992004814"</f>
        <v>4601992004814</v>
      </c>
      <c r="B922" s="1" t="s">
        <v>946</v>
      </c>
      <c r="C922" s="1" t="s">
        <v>24</v>
      </c>
      <c r="D922" s="1" t="str">
        <f t="shared" si="1714"/>
        <v>2021</v>
      </c>
      <c r="E922" s="1" t="str">
        <f t="shared" si="1752"/>
        <v>12.09</v>
      </c>
      <c r="F922" s="1" t="str">
        <f t="shared" ref="F922:I922" si="1762">"0"</f>
        <v>0</v>
      </c>
      <c r="G922" s="1" t="str">
        <f t="shared" si="1762"/>
        <v>0</v>
      </c>
      <c r="H922" s="1" t="str">
        <f t="shared" si="1762"/>
        <v>0</v>
      </c>
      <c r="I922" s="1" t="str">
        <f t="shared" si="1762"/>
        <v>0</v>
      </c>
      <c r="J922" s="1" t="str">
        <f t="shared" si="1754"/>
        <v>1</v>
      </c>
      <c r="K922" s="1" t="str">
        <f t="shared" ref="K922:P922" si="1763">"0"</f>
        <v>0</v>
      </c>
      <c r="L922" s="1" t="str">
        <f t="shared" si="1763"/>
        <v>0</v>
      </c>
      <c r="M922" s="1" t="str">
        <f t="shared" si="1763"/>
        <v>0</v>
      </c>
      <c r="N922" s="1" t="str">
        <f t="shared" si="1763"/>
        <v>0</v>
      </c>
      <c r="O922" s="1" t="str">
        <f t="shared" si="1763"/>
        <v>0</v>
      </c>
      <c r="P922" s="1" t="str">
        <f t="shared" si="1763"/>
        <v>0</v>
      </c>
      <c r="Q922" s="1" t="str">
        <f t="shared" si="1717"/>
        <v>0.0070</v>
      </c>
      <c r="R922" s="1" t="s">
        <v>29</v>
      </c>
      <c r="S922" s="1">
        <v>-0.0014</v>
      </c>
      <c r="T922" s="1" t="str">
        <f t="shared" si="1718"/>
        <v>0</v>
      </c>
      <c r="U922" s="1" t="str">
        <f t="shared" si="1756"/>
        <v>0.0056</v>
      </c>
    </row>
    <row r="923" s="1" customFormat="1" spans="1:21">
      <c r="A923" s="1" t="str">
        <f>"4601992004925"</f>
        <v>4601992004925</v>
      </c>
      <c r="B923" s="1" t="s">
        <v>947</v>
      </c>
      <c r="C923" s="1" t="s">
        <v>24</v>
      </c>
      <c r="D923" s="1" t="str">
        <f t="shared" si="1714"/>
        <v>2021</v>
      </c>
      <c r="E923" s="1" t="str">
        <f>"36.27"</f>
        <v>36.27</v>
      </c>
      <c r="F923" s="1" t="str">
        <f t="shared" ref="F923:I923" si="1764">"0"</f>
        <v>0</v>
      </c>
      <c r="G923" s="1" t="str">
        <f t="shared" si="1764"/>
        <v>0</v>
      </c>
      <c r="H923" s="1" t="str">
        <f t="shared" si="1764"/>
        <v>0</v>
      </c>
      <c r="I923" s="1" t="str">
        <f t="shared" si="1764"/>
        <v>0</v>
      </c>
      <c r="J923" s="1" t="str">
        <f>"7"</f>
        <v>7</v>
      </c>
      <c r="K923" s="1" t="str">
        <f t="shared" ref="K923:P923" si="1765">"0"</f>
        <v>0</v>
      </c>
      <c r="L923" s="1" t="str">
        <f t="shared" si="1765"/>
        <v>0</v>
      </c>
      <c r="M923" s="1" t="str">
        <f t="shared" si="1765"/>
        <v>0</v>
      </c>
      <c r="N923" s="1" t="str">
        <f t="shared" si="1765"/>
        <v>0</v>
      </c>
      <c r="O923" s="1" t="str">
        <f t="shared" si="1765"/>
        <v>0</v>
      </c>
      <c r="P923" s="1" t="str">
        <f t="shared" si="1765"/>
        <v>0</v>
      </c>
      <c r="Q923" s="1" t="str">
        <f t="shared" si="1717"/>
        <v>0.0070</v>
      </c>
      <c r="R923" s="1" t="s">
        <v>29</v>
      </c>
      <c r="S923" s="1">
        <v>-0.0014</v>
      </c>
      <c r="T923" s="1" t="str">
        <f t="shared" si="1718"/>
        <v>0</v>
      </c>
      <c r="U923" s="1" t="str">
        <f t="shared" si="1756"/>
        <v>0.0056</v>
      </c>
    </row>
    <row r="924" s="1" customFormat="1" spans="1:21">
      <c r="A924" s="1" t="str">
        <f>"4601992004946"</f>
        <v>4601992004946</v>
      </c>
      <c r="B924" s="1" t="s">
        <v>948</v>
      </c>
      <c r="C924" s="1" t="s">
        <v>24</v>
      </c>
      <c r="D924" s="1" t="str">
        <f t="shared" si="1714"/>
        <v>2021</v>
      </c>
      <c r="E924" s="1" t="str">
        <f t="shared" ref="E924:P924" si="1766">"0"</f>
        <v>0</v>
      </c>
      <c r="F924" s="1" t="str">
        <f t="shared" si="1766"/>
        <v>0</v>
      </c>
      <c r="G924" s="1" t="str">
        <f t="shared" si="1766"/>
        <v>0</v>
      </c>
      <c r="H924" s="1" t="str">
        <f t="shared" si="1766"/>
        <v>0</v>
      </c>
      <c r="I924" s="1" t="str">
        <f t="shared" si="1766"/>
        <v>0</v>
      </c>
      <c r="J924" s="1" t="str">
        <f t="shared" si="1766"/>
        <v>0</v>
      </c>
      <c r="K924" s="1" t="str">
        <f t="shared" si="1766"/>
        <v>0</v>
      </c>
      <c r="L924" s="1" t="str">
        <f t="shared" si="1766"/>
        <v>0</v>
      </c>
      <c r="M924" s="1" t="str">
        <f t="shared" si="1766"/>
        <v>0</v>
      </c>
      <c r="N924" s="1" t="str">
        <f t="shared" si="1766"/>
        <v>0</v>
      </c>
      <c r="O924" s="1" t="str">
        <f t="shared" si="1766"/>
        <v>0</v>
      </c>
      <c r="P924" s="1" t="str">
        <f t="shared" si="1766"/>
        <v>0</v>
      </c>
      <c r="Q924" s="1" t="str">
        <f t="shared" si="1717"/>
        <v>0.0070</v>
      </c>
      <c r="R924" s="1" t="s">
        <v>25</v>
      </c>
      <c r="T924" s="1" t="str">
        <f t="shared" si="1718"/>
        <v>0</v>
      </c>
      <c r="U924" s="1" t="str">
        <f t="shared" ref="U924:U926" si="1767">"0.0070"</f>
        <v>0.0070</v>
      </c>
    </row>
    <row r="925" s="1" customFormat="1" spans="1:21">
      <c r="A925" s="1" t="str">
        <f>"4601992004941"</f>
        <v>4601992004941</v>
      </c>
      <c r="B925" s="1" t="s">
        <v>949</v>
      </c>
      <c r="C925" s="1" t="s">
        <v>24</v>
      </c>
      <c r="D925" s="1" t="str">
        <f t="shared" si="1714"/>
        <v>2021</v>
      </c>
      <c r="E925" s="1" t="str">
        <f t="shared" ref="E925:P925" si="1768">"0"</f>
        <v>0</v>
      </c>
      <c r="F925" s="1" t="str">
        <f t="shared" si="1768"/>
        <v>0</v>
      </c>
      <c r="G925" s="1" t="str">
        <f t="shared" si="1768"/>
        <v>0</v>
      </c>
      <c r="H925" s="1" t="str">
        <f t="shared" si="1768"/>
        <v>0</v>
      </c>
      <c r="I925" s="1" t="str">
        <f t="shared" si="1768"/>
        <v>0</v>
      </c>
      <c r="J925" s="1" t="str">
        <f t="shared" si="1768"/>
        <v>0</v>
      </c>
      <c r="K925" s="1" t="str">
        <f t="shared" si="1768"/>
        <v>0</v>
      </c>
      <c r="L925" s="1" t="str">
        <f t="shared" si="1768"/>
        <v>0</v>
      </c>
      <c r="M925" s="1" t="str">
        <f t="shared" si="1768"/>
        <v>0</v>
      </c>
      <c r="N925" s="1" t="str">
        <f t="shared" si="1768"/>
        <v>0</v>
      </c>
      <c r="O925" s="1" t="str">
        <f t="shared" si="1768"/>
        <v>0</v>
      </c>
      <c r="P925" s="1" t="str">
        <f t="shared" si="1768"/>
        <v>0</v>
      </c>
      <c r="Q925" s="1" t="str">
        <f t="shared" si="1717"/>
        <v>0.0070</v>
      </c>
      <c r="R925" s="1" t="s">
        <v>25</v>
      </c>
      <c r="T925" s="1" t="str">
        <f t="shared" si="1718"/>
        <v>0</v>
      </c>
      <c r="U925" s="1" t="str">
        <f t="shared" si="1767"/>
        <v>0.0070</v>
      </c>
    </row>
    <row r="926" s="1" customFormat="1" spans="1:21">
      <c r="A926" s="1" t="str">
        <f>"4601992004971"</f>
        <v>4601992004971</v>
      </c>
      <c r="B926" s="1" t="s">
        <v>950</v>
      </c>
      <c r="C926" s="1" t="s">
        <v>24</v>
      </c>
      <c r="D926" s="1" t="str">
        <f t="shared" si="1714"/>
        <v>2021</v>
      </c>
      <c r="E926" s="1" t="str">
        <f t="shared" ref="E926:P926" si="1769">"0"</f>
        <v>0</v>
      </c>
      <c r="F926" s="1" t="str">
        <f t="shared" si="1769"/>
        <v>0</v>
      </c>
      <c r="G926" s="1" t="str">
        <f t="shared" si="1769"/>
        <v>0</v>
      </c>
      <c r="H926" s="1" t="str">
        <f t="shared" si="1769"/>
        <v>0</v>
      </c>
      <c r="I926" s="1" t="str">
        <f t="shared" si="1769"/>
        <v>0</v>
      </c>
      <c r="J926" s="1" t="str">
        <f t="shared" si="1769"/>
        <v>0</v>
      </c>
      <c r="K926" s="1" t="str">
        <f t="shared" si="1769"/>
        <v>0</v>
      </c>
      <c r="L926" s="1" t="str">
        <f t="shared" si="1769"/>
        <v>0</v>
      </c>
      <c r="M926" s="1" t="str">
        <f t="shared" si="1769"/>
        <v>0</v>
      </c>
      <c r="N926" s="1" t="str">
        <f t="shared" si="1769"/>
        <v>0</v>
      </c>
      <c r="O926" s="1" t="str">
        <f t="shared" si="1769"/>
        <v>0</v>
      </c>
      <c r="P926" s="1" t="str">
        <f t="shared" si="1769"/>
        <v>0</v>
      </c>
      <c r="Q926" s="1" t="str">
        <f t="shared" si="1717"/>
        <v>0.0070</v>
      </c>
      <c r="R926" s="1" t="s">
        <v>25</v>
      </c>
      <c r="T926" s="1" t="str">
        <f t="shared" si="1718"/>
        <v>0</v>
      </c>
      <c r="U926" s="1" t="str">
        <f t="shared" si="1767"/>
        <v>0.0070</v>
      </c>
    </row>
    <row r="927" s="1" customFormat="1" spans="1:21">
      <c r="A927" s="1" t="str">
        <f>"4601992004962"</f>
        <v>4601992004962</v>
      </c>
      <c r="B927" s="1" t="s">
        <v>951</v>
      </c>
      <c r="C927" s="1" t="s">
        <v>24</v>
      </c>
      <c r="D927" s="1" t="str">
        <f t="shared" si="1714"/>
        <v>2021</v>
      </c>
      <c r="E927" s="1" t="str">
        <f>"24.18"</f>
        <v>24.18</v>
      </c>
      <c r="F927" s="1" t="str">
        <f t="shared" ref="F927:I927" si="1770">"0"</f>
        <v>0</v>
      </c>
      <c r="G927" s="1" t="str">
        <f t="shared" si="1770"/>
        <v>0</v>
      </c>
      <c r="H927" s="1" t="str">
        <f t="shared" si="1770"/>
        <v>0</v>
      </c>
      <c r="I927" s="1" t="str">
        <f t="shared" si="1770"/>
        <v>0</v>
      </c>
      <c r="J927" s="1" t="str">
        <f>"2"</f>
        <v>2</v>
      </c>
      <c r="K927" s="1" t="str">
        <f t="shared" ref="K927:P927" si="1771">"0"</f>
        <v>0</v>
      </c>
      <c r="L927" s="1" t="str">
        <f t="shared" si="1771"/>
        <v>0</v>
      </c>
      <c r="M927" s="1" t="str">
        <f t="shared" si="1771"/>
        <v>0</v>
      </c>
      <c r="N927" s="1" t="str">
        <f t="shared" si="1771"/>
        <v>0</v>
      </c>
      <c r="O927" s="1" t="str">
        <f t="shared" si="1771"/>
        <v>0</v>
      </c>
      <c r="P927" s="1" t="str">
        <f t="shared" si="1771"/>
        <v>0</v>
      </c>
      <c r="Q927" s="1" t="str">
        <f t="shared" si="1717"/>
        <v>0.0070</v>
      </c>
      <c r="R927" s="1" t="s">
        <v>29</v>
      </c>
      <c r="S927" s="1">
        <v>-0.0014</v>
      </c>
      <c r="T927" s="1" t="str">
        <f t="shared" si="1718"/>
        <v>0</v>
      </c>
      <c r="U927" s="1" t="str">
        <f t="shared" ref="U927:U929" si="1772">"0.0056"</f>
        <v>0.0056</v>
      </c>
    </row>
    <row r="928" s="1" customFormat="1" spans="1:21">
      <c r="A928" s="1" t="str">
        <f>"4601992005020"</f>
        <v>4601992005020</v>
      </c>
      <c r="B928" s="1" t="s">
        <v>952</v>
      </c>
      <c r="C928" s="1" t="s">
        <v>24</v>
      </c>
      <c r="D928" s="1" t="str">
        <f t="shared" si="1714"/>
        <v>2021</v>
      </c>
      <c r="E928" s="1" t="str">
        <f>"12.09"</f>
        <v>12.09</v>
      </c>
      <c r="F928" s="1" t="str">
        <f t="shared" ref="F928:I928" si="1773">"0"</f>
        <v>0</v>
      </c>
      <c r="G928" s="1" t="str">
        <f t="shared" si="1773"/>
        <v>0</v>
      </c>
      <c r="H928" s="1" t="str">
        <f t="shared" si="1773"/>
        <v>0</v>
      </c>
      <c r="I928" s="1" t="str">
        <f t="shared" si="1773"/>
        <v>0</v>
      </c>
      <c r="J928" s="1" t="str">
        <f>"1"</f>
        <v>1</v>
      </c>
      <c r="K928" s="1" t="str">
        <f t="shared" ref="K928:P928" si="1774">"0"</f>
        <v>0</v>
      </c>
      <c r="L928" s="1" t="str">
        <f t="shared" si="1774"/>
        <v>0</v>
      </c>
      <c r="M928" s="1" t="str">
        <f t="shared" si="1774"/>
        <v>0</v>
      </c>
      <c r="N928" s="1" t="str">
        <f t="shared" si="1774"/>
        <v>0</v>
      </c>
      <c r="O928" s="1" t="str">
        <f t="shared" si="1774"/>
        <v>0</v>
      </c>
      <c r="P928" s="1" t="str">
        <f t="shared" si="1774"/>
        <v>0</v>
      </c>
      <c r="Q928" s="1" t="str">
        <f t="shared" si="1717"/>
        <v>0.0070</v>
      </c>
      <c r="R928" s="1" t="s">
        <v>29</v>
      </c>
      <c r="S928" s="1">
        <v>-0.0014</v>
      </c>
      <c r="T928" s="1" t="str">
        <f t="shared" si="1718"/>
        <v>0</v>
      </c>
      <c r="U928" s="1" t="str">
        <f t="shared" si="1772"/>
        <v>0.0056</v>
      </c>
    </row>
    <row r="929" s="1" customFormat="1" spans="1:21">
      <c r="A929" s="1" t="str">
        <f>"4601992004889"</f>
        <v>4601992004889</v>
      </c>
      <c r="B929" s="1" t="s">
        <v>953</v>
      </c>
      <c r="C929" s="1" t="s">
        <v>24</v>
      </c>
      <c r="D929" s="1" t="str">
        <f t="shared" si="1714"/>
        <v>2021</v>
      </c>
      <c r="E929" s="1" t="str">
        <f>"204.15"</f>
        <v>204.15</v>
      </c>
      <c r="F929" s="1" t="str">
        <f t="shared" ref="F929:I929" si="1775">"0"</f>
        <v>0</v>
      </c>
      <c r="G929" s="1" t="str">
        <f t="shared" si="1775"/>
        <v>0</v>
      </c>
      <c r="H929" s="1" t="str">
        <f t="shared" si="1775"/>
        <v>0</v>
      </c>
      <c r="I929" s="1" t="str">
        <f t="shared" si="1775"/>
        <v>0</v>
      </c>
      <c r="J929" s="1" t="str">
        <f>"20"</f>
        <v>20</v>
      </c>
      <c r="K929" s="1" t="str">
        <f t="shared" ref="K929:P929" si="1776">"0"</f>
        <v>0</v>
      </c>
      <c r="L929" s="1" t="str">
        <f t="shared" si="1776"/>
        <v>0</v>
      </c>
      <c r="M929" s="1" t="str">
        <f t="shared" si="1776"/>
        <v>0</v>
      </c>
      <c r="N929" s="1" t="str">
        <f t="shared" si="1776"/>
        <v>0</v>
      </c>
      <c r="O929" s="1" t="str">
        <f t="shared" si="1776"/>
        <v>0</v>
      </c>
      <c r="P929" s="1" t="str">
        <f t="shared" si="1776"/>
        <v>0</v>
      </c>
      <c r="Q929" s="1" t="str">
        <f t="shared" si="1717"/>
        <v>0.0070</v>
      </c>
      <c r="R929" s="1" t="s">
        <v>29</v>
      </c>
      <c r="S929" s="1">
        <v>-0.0014</v>
      </c>
      <c r="T929" s="1" t="str">
        <f t="shared" si="1718"/>
        <v>0</v>
      </c>
      <c r="U929" s="1" t="str">
        <f t="shared" si="1772"/>
        <v>0.0056</v>
      </c>
    </row>
    <row r="930" s="1" customFormat="1" spans="1:21">
      <c r="A930" s="1" t="str">
        <f>"4601991419310"</f>
        <v>4601991419310</v>
      </c>
      <c r="B930" s="1" t="s">
        <v>954</v>
      </c>
      <c r="C930" s="1" t="s">
        <v>24</v>
      </c>
      <c r="D930" s="1" t="str">
        <f t="shared" si="1714"/>
        <v>2021</v>
      </c>
      <c r="E930" s="1" t="str">
        <f t="shared" ref="E930:P930" si="1777">"0"</f>
        <v>0</v>
      </c>
      <c r="F930" s="1" t="str">
        <f t="shared" si="1777"/>
        <v>0</v>
      </c>
      <c r="G930" s="1" t="str">
        <f t="shared" si="1777"/>
        <v>0</v>
      </c>
      <c r="H930" s="1" t="str">
        <f t="shared" si="1777"/>
        <v>0</v>
      </c>
      <c r="I930" s="1" t="str">
        <f t="shared" si="1777"/>
        <v>0</v>
      </c>
      <c r="J930" s="1" t="str">
        <f t="shared" si="1777"/>
        <v>0</v>
      </c>
      <c r="K930" s="1" t="str">
        <f t="shared" si="1777"/>
        <v>0</v>
      </c>
      <c r="L930" s="1" t="str">
        <f t="shared" si="1777"/>
        <v>0</v>
      </c>
      <c r="M930" s="1" t="str">
        <f t="shared" si="1777"/>
        <v>0</v>
      </c>
      <c r="N930" s="1" t="str">
        <f t="shared" si="1777"/>
        <v>0</v>
      </c>
      <c r="O930" s="1" t="str">
        <f t="shared" si="1777"/>
        <v>0</v>
      </c>
      <c r="P930" s="1" t="str">
        <f t="shared" si="1777"/>
        <v>0</v>
      </c>
      <c r="Q930" s="1" t="str">
        <f t="shared" si="1717"/>
        <v>0.0070</v>
      </c>
      <c r="R930" s="1" t="s">
        <v>25</v>
      </c>
      <c r="T930" s="1" t="str">
        <f t="shared" si="1718"/>
        <v>0</v>
      </c>
      <c r="U930" s="1" t="str">
        <f>"0.0070"</f>
        <v>0.0070</v>
      </c>
    </row>
    <row r="931" s="1" customFormat="1" spans="1:21">
      <c r="A931" s="1" t="str">
        <f>"4601992005036"</f>
        <v>4601992005036</v>
      </c>
      <c r="B931" s="1" t="s">
        <v>955</v>
      </c>
      <c r="C931" s="1" t="s">
        <v>24</v>
      </c>
      <c r="D931" s="1" t="str">
        <f t="shared" si="1714"/>
        <v>2021</v>
      </c>
      <c r="E931" s="1" t="str">
        <f>"39.64"</f>
        <v>39.64</v>
      </c>
      <c r="F931" s="1" t="str">
        <f t="shared" ref="F931:I931" si="1778">"0"</f>
        <v>0</v>
      </c>
      <c r="G931" s="1" t="str">
        <f t="shared" si="1778"/>
        <v>0</v>
      </c>
      <c r="H931" s="1" t="str">
        <f t="shared" si="1778"/>
        <v>0</v>
      </c>
      <c r="I931" s="1" t="str">
        <f t="shared" si="1778"/>
        <v>0</v>
      </c>
      <c r="J931" s="1" t="str">
        <f>"4"</f>
        <v>4</v>
      </c>
      <c r="K931" s="1" t="str">
        <f t="shared" ref="K931:P931" si="1779">"0"</f>
        <v>0</v>
      </c>
      <c r="L931" s="1" t="str">
        <f t="shared" si="1779"/>
        <v>0</v>
      </c>
      <c r="M931" s="1" t="str">
        <f t="shared" si="1779"/>
        <v>0</v>
      </c>
      <c r="N931" s="1" t="str">
        <f t="shared" si="1779"/>
        <v>0</v>
      </c>
      <c r="O931" s="1" t="str">
        <f t="shared" si="1779"/>
        <v>0</v>
      </c>
      <c r="P931" s="1" t="str">
        <f t="shared" si="1779"/>
        <v>0</v>
      </c>
      <c r="Q931" s="1" t="str">
        <f t="shared" si="1717"/>
        <v>0.0070</v>
      </c>
      <c r="R931" s="1" t="s">
        <v>29</v>
      </c>
      <c r="S931" s="1">
        <v>-0.0014</v>
      </c>
      <c r="T931" s="1" t="str">
        <f t="shared" si="1718"/>
        <v>0</v>
      </c>
      <c r="U931" s="1" t="str">
        <f t="shared" ref="U931:U937" si="1780">"0.0056"</f>
        <v>0.0056</v>
      </c>
    </row>
    <row r="932" s="1" customFormat="1" spans="1:21">
      <c r="A932" s="1" t="str">
        <f>"4601991422642"</f>
        <v>4601991422642</v>
      </c>
      <c r="B932" s="1" t="s">
        <v>956</v>
      </c>
      <c r="C932" s="1" t="s">
        <v>24</v>
      </c>
      <c r="D932" s="1" t="str">
        <f t="shared" si="1714"/>
        <v>2021</v>
      </c>
      <c r="E932" s="1" t="str">
        <f>"9.67"</f>
        <v>9.67</v>
      </c>
      <c r="F932" s="1" t="str">
        <f t="shared" ref="F932:I932" si="1781">"0"</f>
        <v>0</v>
      </c>
      <c r="G932" s="1" t="str">
        <f t="shared" si="1781"/>
        <v>0</v>
      </c>
      <c r="H932" s="1" t="str">
        <f t="shared" si="1781"/>
        <v>0</v>
      </c>
      <c r="I932" s="1" t="str">
        <f t="shared" si="1781"/>
        <v>0</v>
      </c>
      <c r="J932" s="1" t="str">
        <f>"1"</f>
        <v>1</v>
      </c>
      <c r="K932" s="1" t="str">
        <f t="shared" ref="K932:P932" si="1782">"0"</f>
        <v>0</v>
      </c>
      <c r="L932" s="1" t="str">
        <f t="shared" si="1782"/>
        <v>0</v>
      </c>
      <c r="M932" s="1" t="str">
        <f t="shared" si="1782"/>
        <v>0</v>
      </c>
      <c r="N932" s="1" t="str">
        <f t="shared" si="1782"/>
        <v>0</v>
      </c>
      <c r="O932" s="1" t="str">
        <f t="shared" si="1782"/>
        <v>0</v>
      </c>
      <c r="P932" s="1" t="str">
        <f t="shared" si="1782"/>
        <v>0</v>
      </c>
      <c r="Q932" s="1" t="str">
        <f t="shared" si="1717"/>
        <v>0.0070</v>
      </c>
      <c r="R932" s="1" t="s">
        <v>29</v>
      </c>
      <c r="S932" s="1">
        <v>-0.0014</v>
      </c>
      <c r="T932" s="1" t="str">
        <f t="shared" si="1718"/>
        <v>0</v>
      </c>
      <c r="U932" s="1" t="str">
        <f t="shared" si="1780"/>
        <v>0.0056</v>
      </c>
    </row>
    <row r="933" s="1" customFormat="1" spans="1:21">
      <c r="A933" s="1" t="str">
        <f>"4601992005202"</f>
        <v>4601992005202</v>
      </c>
      <c r="B933" s="1" t="s">
        <v>957</v>
      </c>
      <c r="C933" s="1" t="s">
        <v>24</v>
      </c>
      <c r="D933" s="1" t="str">
        <f t="shared" si="1714"/>
        <v>2021</v>
      </c>
      <c r="E933" s="1" t="str">
        <f t="shared" ref="E933:P933" si="1783">"0"</f>
        <v>0</v>
      </c>
      <c r="F933" s="1" t="str">
        <f t="shared" si="1783"/>
        <v>0</v>
      </c>
      <c r="G933" s="1" t="str">
        <f t="shared" si="1783"/>
        <v>0</v>
      </c>
      <c r="H933" s="1" t="str">
        <f t="shared" si="1783"/>
        <v>0</v>
      </c>
      <c r="I933" s="1" t="str">
        <f t="shared" si="1783"/>
        <v>0</v>
      </c>
      <c r="J933" s="1" t="str">
        <f t="shared" si="1783"/>
        <v>0</v>
      </c>
      <c r="K933" s="1" t="str">
        <f t="shared" si="1783"/>
        <v>0</v>
      </c>
      <c r="L933" s="1" t="str">
        <f t="shared" si="1783"/>
        <v>0</v>
      </c>
      <c r="M933" s="1" t="str">
        <f t="shared" si="1783"/>
        <v>0</v>
      </c>
      <c r="N933" s="1" t="str">
        <f t="shared" si="1783"/>
        <v>0</v>
      </c>
      <c r="O933" s="1" t="str">
        <f t="shared" si="1783"/>
        <v>0</v>
      </c>
      <c r="P933" s="1" t="str">
        <f t="shared" si="1783"/>
        <v>0</v>
      </c>
      <c r="Q933" s="1" t="str">
        <f t="shared" si="1717"/>
        <v>0.0070</v>
      </c>
      <c r="R933" s="1" t="s">
        <v>25</v>
      </c>
      <c r="T933" s="1" t="str">
        <f t="shared" si="1718"/>
        <v>0</v>
      </c>
      <c r="U933" s="1" t="str">
        <f>"0.0070"</f>
        <v>0.0070</v>
      </c>
    </row>
    <row r="934" s="1" customFormat="1" spans="1:21">
      <c r="A934" s="1" t="str">
        <f>"4601991415319"</f>
        <v>4601991415319</v>
      </c>
      <c r="B934" s="1" t="s">
        <v>958</v>
      </c>
      <c r="C934" s="1" t="s">
        <v>24</v>
      </c>
      <c r="D934" s="1" t="str">
        <f t="shared" si="1714"/>
        <v>2021</v>
      </c>
      <c r="E934" s="1" t="str">
        <f>"9.67"</f>
        <v>9.67</v>
      </c>
      <c r="F934" s="1" t="str">
        <f t="shared" ref="F934:I934" si="1784">"0"</f>
        <v>0</v>
      </c>
      <c r="G934" s="1" t="str">
        <f t="shared" si="1784"/>
        <v>0</v>
      </c>
      <c r="H934" s="1" t="str">
        <f t="shared" si="1784"/>
        <v>0</v>
      </c>
      <c r="I934" s="1" t="str">
        <f t="shared" si="1784"/>
        <v>0</v>
      </c>
      <c r="J934" s="1" t="str">
        <f>"1"</f>
        <v>1</v>
      </c>
      <c r="K934" s="1" t="str">
        <f t="shared" ref="K934:P934" si="1785">"0"</f>
        <v>0</v>
      </c>
      <c r="L934" s="1" t="str">
        <f t="shared" si="1785"/>
        <v>0</v>
      </c>
      <c r="M934" s="1" t="str">
        <f t="shared" si="1785"/>
        <v>0</v>
      </c>
      <c r="N934" s="1" t="str">
        <f t="shared" si="1785"/>
        <v>0</v>
      </c>
      <c r="O934" s="1" t="str">
        <f t="shared" si="1785"/>
        <v>0</v>
      </c>
      <c r="P934" s="1" t="str">
        <f t="shared" si="1785"/>
        <v>0</v>
      </c>
      <c r="Q934" s="1" t="str">
        <f t="shared" si="1717"/>
        <v>0.0070</v>
      </c>
      <c r="R934" s="1" t="s">
        <v>29</v>
      </c>
      <c r="S934" s="1">
        <v>-0.0014</v>
      </c>
      <c r="T934" s="1" t="str">
        <f t="shared" si="1718"/>
        <v>0</v>
      </c>
      <c r="U934" s="1" t="str">
        <f t="shared" si="1780"/>
        <v>0.0056</v>
      </c>
    </row>
    <row r="935" s="1" customFormat="1" spans="1:21">
      <c r="A935" s="1" t="str">
        <f>"4601992005206"</f>
        <v>4601992005206</v>
      </c>
      <c r="B935" s="1" t="s">
        <v>959</v>
      </c>
      <c r="C935" s="1" t="s">
        <v>24</v>
      </c>
      <c r="D935" s="1" t="str">
        <f t="shared" si="1714"/>
        <v>2021</v>
      </c>
      <c r="E935" s="1" t="str">
        <f>"205.53"</f>
        <v>205.53</v>
      </c>
      <c r="F935" s="1" t="str">
        <f t="shared" ref="F935:I935" si="1786">"0"</f>
        <v>0</v>
      </c>
      <c r="G935" s="1" t="str">
        <f t="shared" si="1786"/>
        <v>0</v>
      </c>
      <c r="H935" s="1" t="str">
        <f t="shared" si="1786"/>
        <v>0</v>
      </c>
      <c r="I935" s="1" t="str">
        <f t="shared" si="1786"/>
        <v>0</v>
      </c>
      <c r="J935" s="1" t="str">
        <f>"15"</f>
        <v>15</v>
      </c>
      <c r="K935" s="1" t="str">
        <f t="shared" ref="K935:P935" si="1787">"0"</f>
        <v>0</v>
      </c>
      <c r="L935" s="1" t="str">
        <f t="shared" si="1787"/>
        <v>0</v>
      </c>
      <c r="M935" s="1" t="str">
        <f t="shared" si="1787"/>
        <v>0</v>
      </c>
      <c r="N935" s="1" t="str">
        <f t="shared" si="1787"/>
        <v>0</v>
      </c>
      <c r="O935" s="1" t="str">
        <f t="shared" si="1787"/>
        <v>0</v>
      </c>
      <c r="P935" s="1" t="str">
        <f t="shared" si="1787"/>
        <v>0</v>
      </c>
      <c r="Q935" s="1" t="str">
        <f t="shared" si="1717"/>
        <v>0.0070</v>
      </c>
      <c r="R935" s="1" t="s">
        <v>29</v>
      </c>
      <c r="S935" s="1">
        <v>-0.0014</v>
      </c>
      <c r="T935" s="1" t="str">
        <f t="shared" si="1718"/>
        <v>0</v>
      </c>
      <c r="U935" s="1" t="str">
        <f t="shared" si="1780"/>
        <v>0.0056</v>
      </c>
    </row>
    <row r="936" s="1" customFormat="1" spans="1:21">
      <c r="A936" s="1" t="str">
        <f>"4601992005235"</f>
        <v>4601992005235</v>
      </c>
      <c r="B936" s="1" t="s">
        <v>960</v>
      </c>
      <c r="C936" s="1" t="s">
        <v>24</v>
      </c>
      <c r="D936" s="1" t="str">
        <f t="shared" si="1714"/>
        <v>2021</v>
      </c>
      <c r="E936" s="1" t="str">
        <f>"120.68"</f>
        <v>120.68</v>
      </c>
      <c r="F936" s="1" t="str">
        <f t="shared" ref="F936:I936" si="1788">"0"</f>
        <v>0</v>
      </c>
      <c r="G936" s="1" t="str">
        <f t="shared" si="1788"/>
        <v>0</v>
      </c>
      <c r="H936" s="1" t="str">
        <f t="shared" si="1788"/>
        <v>0</v>
      </c>
      <c r="I936" s="1" t="str">
        <f t="shared" si="1788"/>
        <v>0</v>
      </c>
      <c r="J936" s="1" t="str">
        <f>"9"</f>
        <v>9</v>
      </c>
      <c r="K936" s="1" t="str">
        <f t="shared" ref="K936:P936" si="1789">"0"</f>
        <v>0</v>
      </c>
      <c r="L936" s="1" t="str">
        <f t="shared" si="1789"/>
        <v>0</v>
      </c>
      <c r="M936" s="1" t="str">
        <f t="shared" si="1789"/>
        <v>0</v>
      </c>
      <c r="N936" s="1" t="str">
        <f t="shared" si="1789"/>
        <v>0</v>
      </c>
      <c r="O936" s="1" t="str">
        <f t="shared" si="1789"/>
        <v>0</v>
      </c>
      <c r="P936" s="1" t="str">
        <f t="shared" si="1789"/>
        <v>0</v>
      </c>
      <c r="Q936" s="1" t="str">
        <f t="shared" si="1717"/>
        <v>0.0070</v>
      </c>
      <c r="R936" s="1" t="s">
        <v>29</v>
      </c>
      <c r="S936" s="1">
        <v>-0.0014</v>
      </c>
      <c r="T936" s="1" t="str">
        <f t="shared" si="1718"/>
        <v>0</v>
      </c>
      <c r="U936" s="1" t="str">
        <f t="shared" si="1780"/>
        <v>0.0056</v>
      </c>
    </row>
    <row r="937" s="1" customFormat="1" spans="1:21">
      <c r="A937" s="1" t="str">
        <f>"4601992005322"</f>
        <v>4601992005322</v>
      </c>
      <c r="B937" s="1" t="s">
        <v>961</v>
      </c>
      <c r="C937" s="1" t="s">
        <v>24</v>
      </c>
      <c r="D937" s="1" t="str">
        <f t="shared" si="1714"/>
        <v>2021</v>
      </c>
      <c r="E937" s="1" t="str">
        <f>"36.27"</f>
        <v>36.27</v>
      </c>
      <c r="F937" s="1" t="str">
        <f t="shared" ref="F937:I937" si="1790">"0"</f>
        <v>0</v>
      </c>
      <c r="G937" s="1" t="str">
        <f t="shared" si="1790"/>
        <v>0</v>
      </c>
      <c r="H937" s="1" t="str">
        <f t="shared" si="1790"/>
        <v>0</v>
      </c>
      <c r="I937" s="1" t="str">
        <f t="shared" si="1790"/>
        <v>0</v>
      </c>
      <c r="J937" s="1" t="str">
        <f>"7"</f>
        <v>7</v>
      </c>
      <c r="K937" s="1" t="str">
        <f t="shared" ref="K937:P937" si="1791">"0"</f>
        <v>0</v>
      </c>
      <c r="L937" s="1" t="str">
        <f t="shared" si="1791"/>
        <v>0</v>
      </c>
      <c r="M937" s="1" t="str">
        <f t="shared" si="1791"/>
        <v>0</v>
      </c>
      <c r="N937" s="1" t="str">
        <f t="shared" si="1791"/>
        <v>0</v>
      </c>
      <c r="O937" s="1" t="str">
        <f t="shared" si="1791"/>
        <v>0</v>
      </c>
      <c r="P937" s="1" t="str">
        <f t="shared" si="1791"/>
        <v>0</v>
      </c>
      <c r="Q937" s="1" t="str">
        <f t="shared" si="1717"/>
        <v>0.0070</v>
      </c>
      <c r="R937" s="1" t="s">
        <v>29</v>
      </c>
      <c r="S937" s="1">
        <v>-0.0014</v>
      </c>
      <c r="T937" s="1" t="str">
        <f t="shared" si="1718"/>
        <v>0</v>
      </c>
      <c r="U937" s="1" t="str">
        <f t="shared" si="1780"/>
        <v>0.0056</v>
      </c>
    </row>
    <row r="938" s="1" customFormat="1" spans="1:21">
      <c r="A938" s="1" t="str">
        <f>"4601992005416"</f>
        <v>4601992005416</v>
      </c>
      <c r="B938" s="1" t="s">
        <v>962</v>
      </c>
      <c r="C938" s="1" t="s">
        <v>24</v>
      </c>
      <c r="D938" s="1" t="str">
        <f t="shared" si="1714"/>
        <v>2021</v>
      </c>
      <c r="E938" s="1" t="str">
        <f>"12.09"</f>
        <v>12.09</v>
      </c>
      <c r="F938" s="1" t="str">
        <f t="shared" ref="F938:I938" si="1792">"0"</f>
        <v>0</v>
      </c>
      <c r="G938" s="1" t="str">
        <f t="shared" si="1792"/>
        <v>0</v>
      </c>
      <c r="H938" s="1" t="str">
        <f t="shared" si="1792"/>
        <v>0</v>
      </c>
      <c r="I938" s="1" t="str">
        <f t="shared" si="1792"/>
        <v>0</v>
      </c>
      <c r="J938" s="1" t="str">
        <f>"1"</f>
        <v>1</v>
      </c>
      <c r="K938" s="1" t="str">
        <f t="shared" ref="K938:P938" si="1793">"0"</f>
        <v>0</v>
      </c>
      <c r="L938" s="1" t="str">
        <f t="shared" si="1793"/>
        <v>0</v>
      </c>
      <c r="M938" s="1" t="str">
        <f t="shared" si="1793"/>
        <v>0</v>
      </c>
      <c r="N938" s="1" t="str">
        <f t="shared" si="1793"/>
        <v>0</v>
      </c>
      <c r="O938" s="1" t="str">
        <f t="shared" si="1793"/>
        <v>0</v>
      </c>
      <c r="P938" s="1" t="str">
        <f t="shared" si="1793"/>
        <v>0</v>
      </c>
      <c r="Q938" s="1" t="str">
        <f t="shared" si="1717"/>
        <v>0.0070</v>
      </c>
      <c r="R938" s="1" t="s">
        <v>25</v>
      </c>
      <c r="T938" s="1" t="str">
        <f t="shared" si="1718"/>
        <v>0</v>
      </c>
      <c r="U938" s="1" t="str">
        <f>"0.0070"</f>
        <v>0.0070</v>
      </c>
    </row>
    <row r="939" s="1" customFormat="1" spans="1:21">
      <c r="A939" s="1" t="str">
        <f>"4601992005394"</f>
        <v>4601992005394</v>
      </c>
      <c r="B939" s="1" t="s">
        <v>963</v>
      </c>
      <c r="C939" s="1" t="s">
        <v>24</v>
      </c>
      <c r="D939" s="1" t="str">
        <f t="shared" si="1714"/>
        <v>2021</v>
      </c>
      <c r="E939" s="1" t="str">
        <f>"24.18"</f>
        <v>24.18</v>
      </c>
      <c r="F939" s="1" t="str">
        <f t="shared" ref="F939:I939" si="1794">"0"</f>
        <v>0</v>
      </c>
      <c r="G939" s="1" t="str">
        <f t="shared" si="1794"/>
        <v>0</v>
      </c>
      <c r="H939" s="1" t="str">
        <f t="shared" si="1794"/>
        <v>0</v>
      </c>
      <c r="I939" s="1" t="str">
        <f t="shared" si="1794"/>
        <v>0</v>
      </c>
      <c r="J939" s="1" t="str">
        <f t="shared" ref="J939:J944" si="1795">"2"</f>
        <v>2</v>
      </c>
      <c r="K939" s="1" t="str">
        <f t="shared" ref="K939:P939" si="1796">"0"</f>
        <v>0</v>
      </c>
      <c r="L939" s="1" t="str">
        <f t="shared" si="1796"/>
        <v>0</v>
      </c>
      <c r="M939" s="1" t="str">
        <f t="shared" si="1796"/>
        <v>0</v>
      </c>
      <c r="N939" s="1" t="str">
        <f t="shared" si="1796"/>
        <v>0</v>
      </c>
      <c r="O939" s="1" t="str">
        <f t="shared" si="1796"/>
        <v>0</v>
      </c>
      <c r="P939" s="1" t="str">
        <f t="shared" si="1796"/>
        <v>0</v>
      </c>
      <c r="Q939" s="1" t="str">
        <f t="shared" si="1717"/>
        <v>0.0070</v>
      </c>
      <c r="R939" s="1" t="s">
        <v>29</v>
      </c>
      <c r="S939" s="1">
        <v>-0.0014</v>
      </c>
      <c r="T939" s="1" t="str">
        <f t="shared" si="1718"/>
        <v>0</v>
      </c>
      <c r="U939" s="1" t="str">
        <f t="shared" ref="U939:U944" si="1797">"0.0056"</f>
        <v>0.0056</v>
      </c>
    </row>
    <row r="940" s="1" customFormat="1" spans="1:21">
      <c r="A940" s="1" t="str">
        <f>"4601991409279"</f>
        <v>4601991409279</v>
      </c>
      <c r="B940" s="1" t="s">
        <v>964</v>
      </c>
      <c r="C940" s="1" t="s">
        <v>24</v>
      </c>
      <c r="D940" s="1" t="str">
        <f t="shared" si="1714"/>
        <v>2021</v>
      </c>
      <c r="E940" s="1" t="str">
        <f>"555.54"</f>
        <v>555.54</v>
      </c>
      <c r="F940" s="1" t="str">
        <f t="shared" ref="F940:I940" si="1798">"0"</f>
        <v>0</v>
      </c>
      <c r="G940" s="1" t="str">
        <f t="shared" si="1798"/>
        <v>0</v>
      </c>
      <c r="H940" s="1" t="str">
        <f t="shared" si="1798"/>
        <v>0</v>
      </c>
      <c r="I940" s="1" t="str">
        <f t="shared" si="1798"/>
        <v>0</v>
      </c>
      <c r="J940" s="1" t="str">
        <f>"57"</f>
        <v>57</v>
      </c>
      <c r="K940" s="1" t="str">
        <f t="shared" ref="K940:P940" si="1799">"0"</f>
        <v>0</v>
      </c>
      <c r="L940" s="1" t="str">
        <f t="shared" si="1799"/>
        <v>0</v>
      </c>
      <c r="M940" s="1" t="str">
        <f t="shared" si="1799"/>
        <v>0</v>
      </c>
      <c r="N940" s="1" t="str">
        <f t="shared" si="1799"/>
        <v>0</v>
      </c>
      <c r="O940" s="1" t="str">
        <f t="shared" si="1799"/>
        <v>0</v>
      </c>
      <c r="P940" s="1" t="str">
        <f t="shared" si="1799"/>
        <v>0</v>
      </c>
      <c r="Q940" s="1" t="str">
        <f t="shared" si="1717"/>
        <v>0.0070</v>
      </c>
      <c r="R940" s="1" t="s">
        <v>29</v>
      </c>
      <c r="S940" s="1">
        <v>-0.0014</v>
      </c>
      <c r="T940" s="1" t="str">
        <f t="shared" si="1718"/>
        <v>0</v>
      </c>
      <c r="U940" s="1" t="str">
        <f t="shared" si="1797"/>
        <v>0.0056</v>
      </c>
    </row>
    <row r="941" s="1" customFormat="1" spans="1:21">
      <c r="A941" s="1" t="str">
        <f>"4601992005463"</f>
        <v>4601992005463</v>
      </c>
      <c r="B941" s="1" t="s">
        <v>965</v>
      </c>
      <c r="C941" s="1" t="s">
        <v>24</v>
      </c>
      <c r="D941" s="1" t="str">
        <f t="shared" si="1714"/>
        <v>2021</v>
      </c>
      <c r="E941" s="1" t="str">
        <f t="shared" ref="E941:P941" si="1800">"0"</f>
        <v>0</v>
      </c>
      <c r="F941" s="1" t="str">
        <f t="shared" si="1800"/>
        <v>0</v>
      </c>
      <c r="G941" s="1" t="str">
        <f t="shared" si="1800"/>
        <v>0</v>
      </c>
      <c r="H941" s="1" t="str">
        <f t="shared" si="1800"/>
        <v>0</v>
      </c>
      <c r="I941" s="1" t="str">
        <f t="shared" si="1800"/>
        <v>0</v>
      </c>
      <c r="J941" s="1" t="str">
        <f t="shared" si="1800"/>
        <v>0</v>
      </c>
      <c r="K941" s="1" t="str">
        <f t="shared" si="1800"/>
        <v>0</v>
      </c>
      <c r="L941" s="1" t="str">
        <f t="shared" si="1800"/>
        <v>0</v>
      </c>
      <c r="M941" s="1" t="str">
        <f t="shared" si="1800"/>
        <v>0</v>
      </c>
      <c r="N941" s="1" t="str">
        <f t="shared" si="1800"/>
        <v>0</v>
      </c>
      <c r="O941" s="1" t="str">
        <f t="shared" si="1800"/>
        <v>0</v>
      </c>
      <c r="P941" s="1" t="str">
        <f t="shared" si="1800"/>
        <v>0</v>
      </c>
      <c r="Q941" s="1" t="str">
        <f t="shared" si="1717"/>
        <v>0.0070</v>
      </c>
      <c r="R941" s="1" t="s">
        <v>25</v>
      </c>
      <c r="T941" s="1" t="str">
        <f t="shared" si="1718"/>
        <v>0</v>
      </c>
      <c r="U941" s="1" t="str">
        <f>"0.0070"</f>
        <v>0.0070</v>
      </c>
    </row>
    <row r="942" s="1" customFormat="1" spans="1:21">
      <c r="A942" s="1" t="str">
        <f>"4601992005431"</f>
        <v>4601992005431</v>
      </c>
      <c r="B942" s="1" t="s">
        <v>966</v>
      </c>
      <c r="C942" s="1" t="s">
        <v>24</v>
      </c>
      <c r="D942" s="1" t="str">
        <f t="shared" si="1714"/>
        <v>2021</v>
      </c>
      <c r="E942" s="1" t="str">
        <f>"24.34"</f>
        <v>24.34</v>
      </c>
      <c r="F942" s="1" t="str">
        <f t="shared" ref="F942:I942" si="1801">"0"</f>
        <v>0</v>
      </c>
      <c r="G942" s="1" t="str">
        <f t="shared" si="1801"/>
        <v>0</v>
      </c>
      <c r="H942" s="1" t="str">
        <f t="shared" si="1801"/>
        <v>0</v>
      </c>
      <c r="I942" s="1" t="str">
        <f t="shared" si="1801"/>
        <v>0</v>
      </c>
      <c r="J942" s="1" t="str">
        <f t="shared" si="1795"/>
        <v>2</v>
      </c>
      <c r="K942" s="1" t="str">
        <f t="shared" ref="K942:P942" si="1802">"0"</f>
        <v>0</v>
      </c>
      <c r="L942" s="1" t="str">
        <f t="shared" si="1802"/>
        <v>0</v>
      </c>
      <c r="M942" s="1" t="str">
        <f t="shared" si="1802"/>
        <v>0</v>
      </c>
      <c r="N942" s="1" t="str">
        <f t="shared" si="1802"/>
        <v>0</v>
      </c>
      <c r="O942" s="1" t="str">
        <f t="shared" si="1802"/>
        <v>0</v>
      </c>
      <c r="P942" s="1" t="str">
        <f t="shared" si="1802"/>
        <v>0</v>
      </c>
      <c r="Q942" s="1" t="str">
        <f t="shared" si="1717"/>
        <v>0.0070</v>
      </c>
      <c r="R942" s="1" t="s">
        <v>29</v>
      </c>
      <c r="S942" s="1">
        <v>-0.0014</v>
      </c>
      <c r="T942" s="1" t="str">
        <f t="shared" si="1718"/>
        <v>0</v>
      </c>
      <c r="U942" s="1" t="str">
        <f t="shared" si="1797"/>
        <v>0.0056</v>
      </c>
    </row>
    <row r="943" s="1" customFormat="1" spans="1:21">
      <c r="A943" s="1" t="str">
        <f>"4601992005528"</f>
        <v>4601992005528</v>
      </c>
      <c r="B943" s="1" t="s">
        <v>967</v>
      </c>
      <c r="C943" s="1" t="s">
        <v>24</v>
      </c>
      <c r="D943" s="1" t="str">
        <f t="shared" si="1714"/>
        <v>2021</v>
      </c>
      <c r="E943" s="1" t="str">
        <f>"17.50"</f>
        <v>17.50</v>
      </c>
      <c r="F943" s="1" t="str">
        <f t="shared" ref="F943:I943" si="1803">"0"</f>
        <v>0</v>
      </c>
      <c r="G943" s="1" t="str">
        <f t="shared" si="1803"/>
        <v>0</v>
      </c>
      <c r="H943" s="1" t="str">
        <f t="shared" si="1803"/>
        <v>0</v>
      </c>
      <c r="I943" s="1" t="str">
        <f t="shared" si="1803"/>
        <v>0</v>
      </c>
      <c r="J943" s="1" t="str">
        <f t="shared" ref="J943:J946" si="1804">"1"</f>
        <v>1</v>
      </c>
      <c r="K943" s="1" t="str">
        <f t="shared" ref="K943:P943" si="1805">"0"</f>
        <v>0</v>
      </c>
      <c r="L943" s="1" t="str">
        <f t="shared" si="1805"/>
        <v>0</v>
      </c>
      <c r="M943" s="1" t="str">
        <f t="shared" si="1805"/>
        <v>0</v>
      </c>
      <c r="N943" s="1" t="str">
        <f t="shared" si="1805"/>
        <v>0</v>
      </c>
      <c r="O943" s="1" t="str">
        <f t="shared" si="1805"/>
        <v>0</v>
      </c>
      <c r="P943" s="1" t="str">
        <f t="shared" si="1805"/>
        <v>0</v>
      </c>
      <c r="Q943" s="1" t="str">
        <f t="shared" si="1717"/>
        <v>0.0070</v>
      </c>
      <c r="R943" s="1" t="s">
        <v>29</v>
      </c>
      <c r="S943" s="1">
        <v>-0.0014</v>
      </c>
      <c r="T943" s="1" t="str">
        <f t="shared" si="1718"/>
        <v>0</v>
      </c>
      <c r="U943" s="1" t="str">
        <f t="shared" si="1797"/>
        <v>0.0056</v>
      </c>
    </row>
    <row r="944" s="1" customFormat="1" spans="1:21">
      <c r="A944" s="1" t="str">
        <f>"4601992005542"</f>
        <v>4601992005542</v>
      </c>
      <c r="B944" s="1" t="s">
        <v>968</v>
      </c>
      <c r="C944" s="1" t="s">
        <v>24</v>
      </c>
      <c r="D944" s="1" t="str">
        <f t="shared" si="1714"/>
        <v>2021</v>
      </c>
      <c r="E944" s="1" t="str">
        <f>"11.98"</f>
        <v>11.98</v>
      </c>
      <c r="F944" s="1" t="str">
        <f t="shared" ref="F944:I944" si="1806">"0"</f>
        <v>0</v>
      </c>
      <c r="G944" s="1" t="str">
        <f t="shared" si="1806"/>
        <v>0</v>
      </c>
      <c r="H944" s="1" t="str">
        <f t="shared" si="1806"/>
        <v>0</v>
      </c>
      <c r="I944" s="1" t="str">
        <f t="shared" si="1806"/>
        <v>0</v>
      </c>
      <c r="J944" s="1" t="str">
        <f t="shared" si="1795"/>
        <v>2</v>
      </c>
      <c r="K944" s="1" t="str">
        <f t="shared" ref="K944:P944" si="1807">"0"</f>
        <v>0</v>
      </c>
      <c r="L944" s="1" t="str">
        <f t="shared" si="1807"/>
        <v>0</v>
      </c>
      <c r="M944" s="1" t="str">
        <f t="shared" si="1807"/>
        <v>0</v>
      </c>
      <c r="N944" s="1" t="str">
        <f t="shared" si="1807"/>
        <v>0</v>
      </c>
      <c r="O944" s="1" t="str">
        <f t="shared" si="1807"/>
        <v>0</v>
      </c>
      <c r="P944" s="1" t="str">
        <f t="shared" si="1807"/>
        <v>0</v>
      </c>
      <c r="Q944" s="1" t="str">
        <f t="shared" si="1717"/>
        <v>0.0070</v>
      </c>
      <c r="R944" s="1" t="s">
        <v>29</v>
      </c>
      <c r="S944" s="1">
        <v>-0.0014</v>
      </c>
      <c r="T944" s="1" t="str">
        <f t="shared" si="1718"/>
        <v>0</v>
      </c>
      <c r="U944" s="1" t="str">
        <f t="shared" si="1797"/>
        <v>0.0056</v>
      </c>
    </row>
    <row r="945" s="1" customFormat="1" spans="1:21">
      <c r="A945" s="1" t="str">
        <f>"4601992005650"</f>
        <v>4601992005650</v>
      </c>
      <c r="B945" s="1" t="s">
        <v>969</v>
      </c>
      <c r="C945" s="1" t="s">
        <v>24</v>
      </c>
      <c r="D945" s="1" t="str">
        <f t="shared" si="1714"/>
        <v>2021</v>
      </c>
      <c r="E945" s="1" t="str">
        <f>"24.07"</f>
        <v>24.07</v>
      </c>
      <c r="F945" s="1" t="str">
        <f t="shared" ref="F945:I945" si="1808">"0"</f>
        <v>0</v>
      </c>
      <c r="G945" s="1" t="str">
        <f t="shared" si="1808"/>
        <v>0</v>
      </c>
      <c r="H945" s="1" t="str">
        <f t="shared" si="1808"/>
        <v>0</v>
      </c>
      <c r="I945" s="1" t="str">
        <f t="shared" si="1808"/>
        <v>0</v>
      </c>
      <c r="J945" s="1" t="str">
        <f t="shared" si="1804"/>
        <v>1</v>
      </c>
      <c r="K945" s="1" t="str">
        <f t="shared" ref="K945:P945" si="1809">"0"</f>
        <v>0</v>
      </c>
      <c r="L945" s="1" t="str">
        <f t="shared" si="1809"/>
        <v>0</v>
      </c>
      <c r="M945" s="1" t="str">
        <f t="shared" si="1809"/>
        <v>0</v>
      </c>
      <c r="N945" s="1" t="str">
        <f t="shared" si="1809"/>
        <v>0</v>
      </c>
      <c r="O945" s="1" t="str">
        <f t="shared" si="1809"/>
        <v>0</v>
      </c>
      <c r="P945" s="1" t="str">
        <f t="shared" si="1809"/>
        <v>0</v>
      </c>
      <c r="Q945" s="1" t="str">
        <f t="shared" si="1717"/>
        <v>0.0070</v>
      </c>
      <c r="R945" s="1" t="s">
        <v>25</v>
      </c>
      <c r="T945" s="1" t="str">
        <f t="shared" si="1718"/>
        <v>0</v>
      </c>
      <c r="U945" s="1" t="str">
        <f>"0.0070"</f>
        <v>0.0070</v>
      </c>
    </row>
    <row r="946" s="1" customFormat="1" spans="1:21">
      <c r="A946" s="1" t="str">
        <f>"4601992005722"</f>
        <v>4601992005722</v>
      </c>
      <c r="B946" s="1" t="s">
        <v>970</v>
      </c>
      <c r="C946" s="1" t="s">
        <v>24</v>
      </c>
      <c r="D946" s="1" t="str">
        <f t="shared" si="1714"/>
        <v>2021</v>
      </c>
      <c r="E946" s="1" t="str">
        <f>"12.25"</f>
        <v>12.25</v>
      </c>
      <c r="F946" s="1" t="str">
        <f t="shared" ref="F946:I946" si="1810">"0"</f>
        <v>0</v>
      </c>
      <c r="G946" s="1" t="str">
        <f t="shared" si="1810"/>
        <v>0</v>
      </c>
      <c r="H946" s="1" t="str">
        <f t="shared" si="1810"/>
        <v>0</v>
      </c>
      <c r="I946" s="1" t="str">
        <f t="shared" si="1810"/>
        <v>0</v>
      </c>
      <c r="J946" s="1" t="str">
        <f t="shared" si="1804"/>
        <v>1</v>
      </c>
      <c r="K946" s="1" t="str">
        <f t="shared" ref="K946:P946" si="1811">"0"</f>
        <v>0</v>
      </c>
      <c r="L946" s="1" t="str">
        <f t="shared" si="1811"/>
        <v>0</v>
      </c>
      <c r="M946" s="1" t="str">
        <f t="shared" si="1811"/>
        <v>0</v>
      </c>
      <c r="N946" s="1" t="str">
        <f t="shared" si="1811"/>
        <v>0</v>
      </c>
      <c r="O946" s="1" t="str">
        <f t="shared" si="1811"/>
        <v>0</v>
      </c>
      <c r="P946" s="1" t="str">
        <f t="shared" si="1811"/>
        <v>0</v>
      </c>
      <c r="Q946" s="1" t="str">
        <f t="shared" si="1717"/>
        <v>0.0070</v>
      </c>
      <c r="R946" s="1" t="s">
        <v>29</v>
      </c>
      <c r="S946" s="1">
        <v>-0.0014</v>
      </c>
      <c r="T946" s="1" t="str">
        <f t="shared" si="1718"/>
        <v>0</v>
      </c>
      <c r="U946" s="1" t="str">
        <f t="shared" ref="U946:U955" si="1812">"0.0056"</f>
        <v>0.0056</v>
      </c>
    </row>
    <row r="947" s="1" customFormat="1" spans="1:21">
      <c r="A947" s="1" t="str">
        <f>"4601992005700"</f>
        <v>4601992005700</v>
      </c>
      <c r="B947" s="1" t="s">
        <v>971</v>
      </c>
      <c r="C947" s="1" t="s">
        <v>24</v>
      </c>
      <c r="D947" s="1" t="str">
        <f t="shared" si="1714"/>
        <v>2021</v>
      </c>
      <c r="E947" s="1" t="str">
        <f>"72.54"</f>
        <v>72.54</v>
      </c>
      <c r="F947" s="1" t="str">
        <f t="shared" ref="F947:I947" si="1813">"0"</f>
        <v>0</v>
      </c>
      <c r="G947" s="1" t="str">
        <f t="shared" si="1813"/>
        <v>0</v>
      </c>
      <c r="H947" s="1" t="str">
        <f t="shared" si="1813"/>
        <v>0</v>
      </c>
      <c r="I947" s="1" t="str">
        <f t="shared" si="1813"/>
        <v>0</v>
      </c>
      <c r="J947" s="1" t="str">
        <f>"6"</f>
        <v>6</v>
      </c>
      <c r="K947" s="1" t="str">
        <f t="shared" ref="K947:P947" si="1814">"0"</f>
        <v>0</v>
      </c>
      <c r="L947" s="1" t="str">
        <f t="shared" si="1814"/>
        <v>0</v>
      </c>
      <c r="M947" s="1" t="str">
        <f t="shared" si="1814"/>
        <v>0</v>
      </c>
      <c r="N947" s="1" t="str">
        <f t="shared" si="1814"/>
        <v>0</v>
      </c>
      <c r="O947" s="1" t="str">
        <f t="shared" si="1814"/>
        <v>0</v>
      </c>
      <c r="P947" s="1" t="str">
        <f t="shared" si="1814"/>
        <v>0</v>
      </c>
      <c r="Q947" s="1" t="str">
        <f t="shared" si="1717"/>
        <v>0.0070</v>
      </c>
      <c r="R947" s="1" t="s">
        <v>29</v>
      </c>
      <c r="S947" s="1">
        <v>-0.0014</v>
      </c>
      <c r="T947" s="1" t="str">
        <f t="shared" si="1718"/>
        <v>0</v>
      </c>
      <c r="U947" s="1" t="str">
        <f t="shared" si="1812"/>
        <v>0.0056</v>
      </c>
    </row>
    <row r="948" s="1" customFormat="1" spans="1:21">
      <c r="A948" s="1" t="str">
        <f>"4601991418724"</f>
        <v>4601991418724</v>
      </c>
      <c r="B948" s="1" t="s">
        <v>972</v>
      </c>
      <c r="C948" s="1" t="s">
        <v>24</v>
      </c>
      <c r="D948" s="1" t="str">
        <f t="shared" si="1714"/>
        <v>2021</v>
      </c>
      <c r="E948" s="1" t="str">
        <f>"72.32"</f>
        <v>72.32</v>
      </c>
      <c r="F948" s="1" t="str">
        <f t="shared" ref="F948:I948" si="1815">"0"</f>
        <v>0</v>
      </c>
      <c r="G948" s="1" t="str">
        <f t="shared" si="1815"/>
        <v>0</v>
      </c>
      <c r="H948" s="1" t="str">
        <f t="shared" si="1815"/>
        <v>0</v>
      </c>
      <c r="I948" s="1" t="str">
        <f t="shared" si="1815"/>
        <v>0</v>
      </c>
      <c r="J948" s="1" t="str">
        <f>"8"</f>
        <v>8</v>
      </c>
      <c r="K948" s="1" t="str">
        <f t="shared" ref="K948:P948" si="1816">"0"</f>
        <v>0</v>
      </c>
      <c r="L948" s="1" t="str">
        <f t="shared" si="1816"/>
        <v>0</v>
      </c>
      <c r="M948" s="1" t="str">
        <f t="shared" si="1816"/>
        <v>0</v>
      </c>
      <c r="N948" s="1" t="str">
        <f t="shared" si="1816"/>
        <v>0</v>
      </c>
      <c r="O948" s="1" t="str">
        <f t="shared" si="1816"/>
        <v>0</v>
      </c>
      <c r="P948" s="1" t="str">
        <f t="shared" si="1816"/>
        <v>0</v>
      </c>
      <c r="Q948" s="1" t="str">
        <f t="shared" si="1717"/>
        <v>0.0070</v>
      </c>
      <c r="R948" s="1" t="s">
        <v>29</v>
      </c>
      <c r="S948" s="1">
        <v>-0.0014</v>
      </c>
      <c r="T948" s="1" t="str">
        <f t="shared" si="1718"/>
        <v>0</v>
      </c>
      <c r="U948" s="1" t="str">
        <f t="shared" si="1812"/>
        <v>0.0056</v>
      </c>
    </row>
    <row r="949" s="1" customFormat="1" spans="1:21">
      <c r="A949" s="1" t="str">
        <f>"4601992005732"</f>
        <v>4601992005732</v>
      </c>
      <c r="B949" s="1" t="s">
        <v>973</v>
      </c>
      <c r="C949" s="1" t="s">
        <v>24</v>
      </c>
      <c r="D949" s="1" t="str">
        <f t="shared" si="1714"/>
        <v>2021</v>
      </c>
      <c r="E949" s="1" t="str">
        <f>"24.34"</f>
        <v>24.34</v>
      </c>
      <c r="F949" s="1" t="str">
        <f t="shared" ref="F949:I949" si="1817">"0"</f>
        <v>0</v>
      </c>
      <c r="G949" s="1" t="str">
        <f t="shared" si="1817"/>
        <v>0</v>
      </c>
      <c r="H949" s="1" t="str">
        <f t="shared" si="1817"/>
        <v>0</v>
      </c>
      <c r="I949" s="1" t="str">
        <f t="shared" si="1817"/>
        <v>0</v>
      </c>
      <c r="J949" s="1" t="str">
        <f>"2"</f>
        <v>2</v>
      </c>
      <c r="K949" s="1" t="str">
        <f t="shared" ref="K949:P949" si="1818">"0"</f>
        <v>0</v>
      </c>
      <c r="L949" s="1" t="str">
        <f t="shared" si="1818"/>
        <v>0</v>
      </c>
      <c r="M949" s="1" t="str">
        <f t="shared" si="1818"/>
        <v>0</v>
      </c>
      <c r="N949" s="1" t="str">
        <f t="shared" si="1818"/>
        <v>0</v>
      </c>
      <c r="O949" s="1" t="str">
        <f t="shared" si="1818"/>
        <v>0</v>
      </c>
      <c r="P949" s="1" t="str">
        <f t="shared" si="1818"/>
        <v>0</v>
      </c>
      <c r="Q949" s="1" t="str">
        <f t="shared" si="1717"/>
        <v>0.0070</v>
      </c>
      <c r="R949" s="1" t="s">
        <v>29</v>
      </c>
      <c r="S949" s="1">
        <v>-0.0014</v>
      </c>
      <c r="T949" s="1" t="str">
        <f t="shared" si="1718"/>
        <v>0</v>
      </c>
      <c r="U949" s="1" t="str">
        <f t="shared" si="1812"/>
        <v>0.0056</v>
      </c>
    </row>
    <row r="950" s="1" customFormat="1" spans="1:21">
      <c r="A950" s="1" t="str">
        <f>"4601992005754"</f>
        <v>4601992005754</v>
      </c>
      <c r="B950" s="1" t="s">
        <v>974</v>
      </c>
      <c r="C950" s="1" t="s">
        <v>24</v>
      </c>
      <c r="D950" s="1" t="str">
        <f t="shared" si="1714"/>
        <v>2021</v>
      </c>
      <c r="E950" s="1" t="str">
        <f>"96.72"</f>
        <v>96.72</v>
      </c>
      <c r="F950" s="1" t="str">
        <f t="shared" ref="F950:I950" si="1819">"0"</f>
        <v>0</v>
      </c>
      <c r="G950" s="1" t="str">
        <f t="shared" si="1819"/>
        <v>0</v>
      </c>
      <c r="H950" s="1" t="str">
        <f t="shared" si="1819"/>
        <v>0</v>
      </c>
      <c r="I950" s="1" t="str">
        <f t="shared" si="1819"/>
        <v>0</v>
      </c>
      <c r="J950" s="1" t="str">
        <f>"8"</f>
        <v>8</v>
      </c>
      <c r="K950" s="1" t="str">
        <f t="shared" ref="K950:P950" si="1820">"0"</f>
        <v>0</v>
      </c>
      <c r="L950" s="1" t="str">
        <f t="shared" si="1820"/>
        <v>0</v>
      </c>
      <c r="M950" s="1" t="str">
        <f t="shared" si="1820"/>
        <v>0</v>
      </c>
      <c r="N950" s="1" t="str">
        <f t="shared" si="1820"/>
        <v>0</v>
      </c>
      <c r="O950" s="1" t="str">
        <f t="shared" si="1820"/>
        <v>0</v>
      </c>
      <c r="P950" s="1" t="str">
        <f t="shared" si="1820"/>
        <v>0</v>
      </c>
      <c r="Q950" s="1" t="str">
        <f t="shared" si="1717"/>
        <v>0.0070</v>
      </c>
      <c r="R950" s="1" t="s">
        <v>29</v>
      </c>
      <c r="S950" s="1">
        <v>-0.0014</v>
      </c>
      <c r="T950" s="1" t="str">
        <f t="shared" si="1718"/>
        <v>0</v>
      </c>
      <c r="U950" s="1" t="str">
        <f t="shared" si="1812"/>
        <v>0.0056</v>
      </c>
    </row>
    <row r="951" s="1" customFormat="1" spans="1:21">
      <c r="A951" s="1" t="str">
        <f>"4601992005756"</f>
        <v>4601992005756</v>
      </c>
      <c r="B951" s="1" t="s">
        <v>975</v>
      </c>
      <c r="C951" s="1" t="s">
        <v>24</v>
      </c>
      <c r="D951" s="1" t="str">
        <f t="shared" si="1714"/>
        <v>2021</v>
      </c>
      <c r="E951" s="1" t="str">
        <f>"38.18"</f>
        <v>38.18</v>
      </c>
      <c r="F951" s="1" t="str">
        <f t="shared" ref="F951:I951" si="1821">"0"</f>
        <v>0</v>
      </c>
      <c r="G951" s="1" t="str">
        <f t="shared" si="1821"/>
        <v>0</v>
      </c>
      <c r="H951" s="1" t="str">
        <f t="shared" si="1821"/>
        <v>0</v>
      </c>
      <c r="I951" s="1" t="str">
        <f t="shared" si="1821"/>
        <v>0</v>
      </c>
      <c r="J951" s="1" t="str">
        <f>"3"</f>
        <v>3</v>
      </c>
      <c r="K951" s="1" t="str">
        <f t="shared" ref="K951:P951" si="1822">"0"</f>
        <v>0</v>
      </c>
      <c r="L951" s="1" t="str">
        <f t="shared" si="1822"/>
        <v>0</v>
      </c>
      <c r="M951" s="1" t="str">
        <f t="shared" si="1822"/>
        <v>0</v>
      </c>
      <c r="N951" s="1" t="str">
        <f t="shared" si="1822"/>
        <v>0</v>
      </c>
      <c r="O951" s="1" t="str">
        <f t="shared" si="1822"/>
        <v>0</v>
      </c>
      <c r="P951" s="1" t="str">
        <f t="shared" si="1822"/>
        <v>0</v>
      </c>
      <c r="Q951" s="1" t="str">
        <f t="shared" si="1717"/>
        <v>0.0070</v>
      </c>
      <c r="R951" s="1" t="s">
        <v>29</v>
      </c>
      <c r="S951" s="1">
        <v>-0.0014</v>
      </c>
      <c r="T951" s="1" t="str">
        <f t="shared" si="1718"/>
        <v>0</v>
      </c>
      <c r="U951" s="1" t="str">
        <f t="shared" si="1812"/>
        <v>0.0056</v>
      </c>
    </row>
    <row r="952" s="1" customFormat="1" spans="1:21">
      <c r="A952" s="1" t="str">
        <f>"4601992005760"</f>
        <v>4601992005760</v>
      </c>
      <c r="B952" s="1" t="s">
        <v>976</v>
      </c>
      <c r="C952" s="1" t="s">
        <v>24</v>
      </c>
      <c r="D952" s="1" t="str">
        <f t="shared" si="1714"/>
        <v>2021</v>
      </c>
      <c r="E952" s="1" t="str">
        <f>"24.18"</f>
        <v>24.18</v>
      </c>
      <c r="F952" s="1" t="str">
        <f t="shared" ref="F952:I952" si="1823">"0"</f>
        <v>0</v>
      </c>
      <c r="G952" s="1" t="str">
        <f t="shared" si="1823"/>
        <v>0</v>
      </c>
      <c r="H952" s="1" t="str">
        <f t="shared" si="1823"/>
        <v>0</v>
      </c>
      <c r="I952" s="1" t="str">
        <f t="shared" si="1823"/>
        <v>0</v>
      </c>
      <c r="J952" s="1" t="str">
        <f>"3"</f>
        <v>3</v>
      </c>
      <c r="K952" s="1" t="str">
        <f t="shared" ref="K952:P952" si="1824">"0"</f>
        <v>0</v>
      </c>
      <c r="L952" s="1" t="str">
        <f t="shared" si="1824"/>
        <v>0</v>
      </c>
      <c r="M952" s="1" t="str">
        <f t="shared" si="1824"/>
        <v>0</v>
      </c>
      <c r="N952" s="1" t="str">
        <f t="shared" si="1824"/>
        <v>0</v>
      </c>
      <c r="O952" s="1" t="str">
        <f t="shared" si="1824"/>
        <v>0</v>
      </c>
      <c r="P952" s="1" t="str">
        <f t="shared" si="1824"/>
        <v>0</v>
      </c>
      <c r="Q952" s="1" t="str">
        <f t="shared" si="1717"/>
        <v>0.0070</v>
      </c>
      <c r="R952" s="1" t="s">
        <v>29</v>
      </c>
      <c r="S952" s="1">
        <v>-0.0014</v>
      </c>
      <c r="T952" s="1" t="str">
        <f t="shared" si="1718"/>
        <v>0</v>
      </c>
      <c r="U952" s="1" t="str">
        <f t="shared" si="1812"/>
        <v>0.0056</v>
      </c>
    </row>
    <row r="953" s="1" customFormat="1" spans="1:21">
      <c r="A953" s="1" t="str">
        <f>"4601992005967"</f>
        <v>4601992005967</v>
      </c>
      <c r="B953" s="1" t="s">
        <v>977</v>
      </c>
      <c r="C953" s="1" t="s">
        <v>24</v>
      </c>
      <c r="D953" s="1" t="str">
        <f t="shared" si="1714"/>
        <v>2021</v>
      </c>
      <c r="E953" s="1" t="str">
        <f>"90.04"</f>
        <v>90.04</v>
      </c>
      <c r="F953" s="1" t="str">
        <f t="shared" ref="F953:I953" si="1825">"0"</f>
        <v>0</v>
      </c>
      <c r="G953" s="1" t="str">
        <f t="shared" si="1825"/>
        <v>0</v>
      </c>
      <c r="H953" s="1" t="str">
        <f t="shared" si="1825"/>
        <v>0</v>
      </c>
      <c r="I953" s="1" t="str">
        <f t="shared" si="1825"/>
        <v>0</v>
      </c>
      <c r="J953" s="1" t="str">
        <f>"7"</f>
        <v>7</v>
      </c>
      <c r="K953" s="1" t="str">
        <f t="shared" ref="K953:P953" si="1826">"0"</f>
        <v>0</v>
      </c>
      <c r="L953" s="1" t="str">
        <f t="shared" si="1826"/>
        <v>0</v>
      </c>
      <c r="M953" s="1" t="str">
        <f t="shared" si="1826"/>
        <v>0</v>
      </c>
      <c r="N953" s="1" t="str">
        <f t="shared" si="1826"/>
        <v>0</v>
      </c>
      <c r="O953" s="1" t="str">
        <f t="shared" si="1826"/>
        <v>0</v>
      </c>
      <c r="P953" s="1" t="str">
        <f t="shared" si="1826"/>
        <v>0</v>
      </c>
      <c r="Q953" s="1" t="str">
        <f t="shared" si="1717"/>
        <v>0.0070</v>
      </c>
      <c r="R953" s="1" t="s">
        <v>29</v>
      </c>
      <c r="S953" s="1">
        <v>-0.0014</v>
      </c>
      <c r="T953" s="1" t="str">
        <f t="shared" si="1718"/>
        <v>0</v>
      </c>
      <c r="U953" s="1" t="str">
        <f t="shared" si="1812"/>
        <v>0.0056</v>
      </c>
    </row>
    <row r="954" s="1" customFormat="1" spans="1:21">
      <c r="A954" s="1" t="str">
        <f>"4601992005971"</f>
        <v>4601992005971</v>
      </c>
      <c r="B954" s="1" t="s">
        <v>978</v>
      </c>
      <c r="C954" s="1" t="s">
        <v>24</v>
      </c>
      <c r="D954" s="1" t="str">
        <f t="shared" si="1714"/>
        <v>2021</v>
      </c>
      <c r="E954" s="1" t="str">
        <f>"96.61"</f>
        <v>96.61</v>
      </c>
      <c r="F954" s="1" t="str">
        <f t="shared" ref="F954:I954" si="1827">"0"</f>
        <v>0</v>
      </c>
      <c r="G954" s="1" t="str">
        <f t="shared" si="1827"/>
        <v>0</v>
      </c>
      <c r="H954" s="1" t="str">
        <f t="shared" si="1827"/>
        <v>0</v>
      </c>
      <c r="I954" s="1" t="str">
        <f t="shared" si="1827"/>
        <v>0</v>
      </c>
      <c r="J954" s="1" t="str">
        <f>"7"</f>
        <v>7</v>
      </c>
      <c r="K954" s="1" t="str">
        <f t="shared" ref="K954:P954" si="1828">"0"</f>
        <v>0</v>
      </c>
      <c r="L954" s="1" t="str">
        <f t="shared" si="1828"/>
        <v>0</v>
      </c>
      <c r="M954" s="1" t="str">
        <f t="shared" si="1828"/>
        <v>0</v>
      </c>
      <c r="N954" s="1" t="str">
        <f t="shared" si="1828"/>
        <v>0</v>
      </c>
      <c r="O954" s="1" t="str">
        <f t="shared" si="1828"/>
        <v>0</v>
      </c>
      <c r="P954" s="1" t="str">
        <f t="shared" si="1828"/>
        <v>0</v>
      </c>
      <c r="Q954" s="1" t="str">
        <f t="shared" si="1717"/>
        <v>0.0070</v>
      </c>
      <c r="R954" s="1" t="s">
        <v>29</v>
      </c>
      <c r="S954" s="1">
        <v>-0.0014</v>
      </c>
      <c r="T954" s="1" t="str">
        <f t="shared" si="1718"/>
        <v>0</v>
      </c>
      <c r="U954" s="1" t="str">
        <f t="shared" si="1812"/>
        <v>0.0056</v>
      </c>
    </row>
    <row r="955" s="1" customFormat="1" spans="1:21">
      <c r="A955" s="1" t="str">
        <f>"4601992005787"</f>
        <v>4601992005787</v>
      </c>
      <c r="B955" s="1" t="s">
        <v>979</v>
      </c>
      <c r="C955" s="1" t="s">
        <v>24</v>
      </c>
      <c r="D955" s="1" t="str">
        <f t="shared" si="1714"/>
        <v>2021</v>
      </c>
      <c r="E955" s="1" t="str">
        <f>"290.16"</f>
        <v>290.16</v>
      </c>
      <c r="F955" s="1" t="str">
        <f t="shared" ref="F955:I955" si="1829">"0"</f>
        <v>0</v>
      </c>
      <c r="G955" s="1" t="str">
        <f t="shared" si="1829"/>
        <v>0</v>
      </c>
      <c r="H955" s="1" t="str">
        <f t="shared" si="1829"/>
        <v>0</v>
      </c>
      <c r="I955" s="1" t="str">
        <f t="shared" si="1829"/>
        <v>0</v>
      </c>
      <c r="J955" s="1" t="str">
        <f>"25"</f>
        <v>25</v>
      </c>
      <c r="K955" s="1" t="str">
        <f t="shared" ref="K955:P955" si="1830">"0"</f>
        <v>0</v>
      </c>
      <c r="L955" s="1" t="str">
        <f t="shared" si="1830"/>
        <v>0</v>
      </c>
      <c r="M955" s="1" t="str">
        <f t="shared" si="1830"/>
        <v>0</v>
      </c>
      <c r="N955" s="1" t="str">
        <f t="shared" si="1830"/>
        <v>0</v>
      </c>
      <c r="O955" s="1" t="str">
        <f t="shared" si="1830"/>
        <v>0</v>
      </c>
      <c r="P955" s="1" t="str">
        <f t="shared" si="1830"/>
        <v>0</v>
      </c>
      <c r="Q955" s="1" t="str">
        <f t="shared" si="1717"/>
        <v>0.0070</v>
      </c>
      <c r="R955" s="1" t="s">
        <v>29</v>
      </c>
      <c r="S955" s="1">
        <v>-0.0014</v>
      </c>
      <c r="T955" s="1" t="str">
        <f t="shared" si="1718"/>
        <v>0</v>
      </c>
      <c r="U955" s="1" t="str">
        <f t="shared" si="1812"/>
        <v>0.0056</v>
      </c>
    </row>
    <row r="956" s="1" customFormat="1" spans="1:21">
      <c r="A956" s="1" t="str">
        <f>"4601992006010"</f>
        <v>4601992006010</v>
      </c>
      <c r="B956" s="1" t="s">
        <v>980</v>
      </c>
      <c r="C956" s="1" t="s">
        <v>24</v>
      </c>
      <c r="D956" s="1" t="str">
        <f t="shared" si="1714"/>
        <v>2021</v>
      </c>
      <c r="E956" s="1" t="str">
        <f t="shared" ref="E956:P956" si="1831">"0"</f>
        <v>0</v>
      </c>
      <c r="F956" s="1" t="str">
        <f t="shared" si="1831"/>
        <v>0</v>
      </c>
      <c r="G956" s="1" t="str">
        <f t="shared" si="1831"/>
        <v>0</v>
      </c>
      <c r="H956" s="1" t="str">
        <f t="shared" si="1831"/>
        <v>0</v>
      </c>
      <c r="I956" s="1" t="str">
        <f t="shared" si="1831"/>
        <v>0</v>
      </c>
      <c r="J956" s="1" t="str">
        <f t="shared" si="1831"/>
        <v>0</v>
      </c>
      <c r="K956" s="1" t="str">
        <f t="shared" si="1831"/>
        <v>0</v>
      </c>
      <c r="L956" s="1" t="str">
        <f t="shared" si="1831"/>
        <v>0</v>
      </c>
      <c r="M956" s="1" t="str">
        <f t="shared" si="1831"/>
        <v>0</v>
      </c>
      <c r="N956" s="1" t="str">
        <f t="shared" si="1831"/>
        <v>0</v>
      </c>
      <c r="O956" s="1" t="str">
        <f t="shared" si="1831"/>
        <v>0</v>
      </c>
      <c r="P956" s="1" t="str">
        <f t="shared" si="1831"/>
        <v>0</v>
      </c>
      <c r="Q956" s="1" t="str">
        <f t="shared" si="1717"/>
        <v>0.0070</v>
      </c>
      <c r="R956" s="1" t="s">
        <v>25</v>
      </c>
      <c r="T956" s="1" t="str">
        <f t="shared" si="1718"/>
        <v>0</v>
      </c>
      <c r="U956" s="1" t="str">
        <f t="shared" ref="U956:U961" si="1832">"0.0070"</f>
        <v>0.0070</v>
      </c>
    </row>
    <row r="957" s="1" customFormat="1" spans="1:21">
      <c r="A957" s="1" t="str">
        <f>"4601992005908"</f>
        <v>4601992005908</v>
      </c>
      <c r="B957" s="1" t="s">
        <v>981</v>
      </c>
      <c r="C957" s="1" t="s">
        <v>24</v>
      </c>
      <c r="D957" s="1" t="str">
        <f t="shared" si="1714"/>
        <v>2021</v>
      </c>
      <c r="E957" s="1" t="str">
        <f>"36.27"</f>
        <v>36.27</v>
      </c>
      <c r="F957" s="1" t="str">
        <f t="shared" ref="F957:I957" si="1833">"0"</f>
        <v>0</v>
      </c>
      <c r="G957" s="1" t="str">
        <f t="shared" si="1833"/>
        <v>0</v>
      </c>
      <c r="H957" s="1" t="str">
        <f t="shared" si="1833"/>
        <v>0</v>
      </c>
      <c r="I957" s="1" t="str">
        <f t="shared" si="1833"/>
        <v>0</v>
      </c>
      <c r="J957" s="1" t="str">
        <f>"2"</f>
        <v>2</v>
      </c>
      <c r="K957" s="1" t="str">
        <f t="shared" ref="K957:P957" si="1834">"0"</f>
        <v>0</v>
      </c>
      <c r="L957" s="1" t="str">
        <f t="shared" si="1834"/>
        <v>0</v>
      </c>
      <c r="M957" s="1" t="str">
        <f t="shared" si="1834"/>
        <v>0</v>
      </c>
      <c r="N957" s="1" t="str">
        <f t="shared" si="1834"/>
        <v>0</v>
      </c>
      <c r="O957" s="1" t="str">
        <f t="shared" si="1834"/>
        <v>0</v>
      </c>
      <c r="P957" s="1" t="str">
        <f t="shared" si="1834"/>
        <v>0</v>
      </c>
      <c r="Q957" s="1" t="str">
        <f t="shared" si="1717"/>
        <v>0.0070</v>
      </c>
      <c r="R957" s="1" t="s">
        <v>29</v>
      </c>
      <c r="S957" s="1">
        <v>-0.0014</v>
      </c>
      <c r="T957" s="1" t="str">
        <f t="shared" si="1718"/>
        <v>0</v>
      </c>
      <c r="U957" s="1" t="str">
        <f>"0.0056"</f>
        <v>0.0056</v>
      </c>
    </row>
    <row r="958" s="1" customFormat="1" spans="1:21">
      <c r="A958" s="1" t="str">
        <f>"4601992006048"</f>
        <v>4601992006048</v>
      </c>
      <c r="B958" s="1" t="s">
        <v>982</v>
      </c>
      <c r="C958" s="1" t="s">
        <v>24</v>
      </c>
      <c r="D958" s="1" t="str">
        <f t="shared" si="1714"/>
        <v>2021</v>
      </c>
      <c r="E958" s="1" t="str">
        <f t="shared" ref="E958:P958" si="1835">"0"</f>
        <v>0</v>
      </c>
      <c r="F958" s="1" t="str">
        <f t="shared" si="1835"/>
        <v>0</v>
      </c>
      <c r="G958" s="1" t="str">
        <f t="shared" si="1835"/>
        <v>0</v>
      </c>
      <c r="H958" s="1" t="str">
        <f t="shared" si="1835"/>
        <v>0</v>
      </c>
      <c r="I958" s="1" t="str">
        <f t="shared" si="1835"/>
        <v>0</v>
      </c>
      <c r="J958" s="1" t="str">
        <f t="shared" si="1835"/>
        <v>0</v>
      </c>
      <c r="K958" s="1" t="str">
        <f t="shared" si="1835"/>
        <v>0</v>
      </c>
      <c r="L958" s="1" t="str">
        <f t="shared" si="1835"/>
        <v>0</v>
      </c>
      <c r="M958" s="1" t="str">
        <f t="shared" si="1835"/>
        <v>0</v>
      </c>
      <c r="N958" s="1" t="str">
        <f t="shared" si="1835"/>
        <v>0</v>
      </c>
      <c r="O958" s="1" t="str">
        <f t="shared" si="1835"/>
        <v>0</v>
      </c>
      <c r="P958" s="1" t="str">
        <f t="shared" si="1835"/>
        <v>0</v>
      </c>
      <c r="Q958" s="1" t="str">
        <f t="shared" si="1717"/>
        <v>0.0070</v>
      </c>
      <c r="R958" s="1" t="s">
        <v>25</v>
      </c>
      <c r="T958" s="1" t="str">
        <f t="shared" si="1718"/>
        <v>0</v>
      </c>
      <c r="U958" s="1" t="str">
        <f t="shared" si="1832"/>
        <v>0.0070</v>
      </c>
    </row>
    <row r="959" s="1" customFormat="1" spans="1:21">
      <c r="A959" s="1" t="str">
        <f>"4601992006082"</f>
        <v>4601992006082</v>
      </c>
      <c r="B959" s="1" t="s">
        <v>983</v>
      </c>
      <c r="C959" s="1" t="s">
        <v>24</v>
      </c>
      <c r="D959" s="1" t="str">
        <f t="shared" si="1714"/>
        <v>2021</v>
      </c>
      <c r="E959" s="1" t="str">
        <f t="shared" ref="E959:P959" si="1836">"0"</f>
        <v>0</v>
      </c>
      <c r="F959" s="1" t="str">
        <f t="shared" si="1836"/>
        <v>0</v>
      </c>
      <c r="G959" s="1" t="str">
        <f t="shared" si="1836"/>
        <v>0</v>
      </c>
      <c r="H959" s="1" t="str">
        <f t="shared" si="1836"/>
        <v>0</v>
      </c>
      <c r="I959" s="1" t="str">
        <f t="shared" si="1836"/>
        <v>0</v>
      </c>
      <c r="J959" s="1" t="str">
        <f t="shared" si="1836"/>
        <v>0</v>
      </c>
      <c r="K959" s="1" t="str">
        <f t="shared" si="1836"/>
        <v>0</v>
      </c>
      <c r="L959" s="1" t="str">
        <f t="shared" si="1836"/>
        <v>0</v>
      </c>
      <c r="M959" s="1" t="str">
        <f t="shared" si="1836"/>
        <v>0</v>
      </c>
      <c r="N959" s="1" t="str">
        <f t="shared" si="1836"/>
        <v>0</v>
      </c>
      <c r="O959" s="1" t="str">
        <f t="shared" si="1836"/>
        <v>0</v>
      </c>
      <c r="P959" s="1" t="str">
        <f t="shared" si="1836"/>
        <v>0</v>
      </c>
      <c r="Q959" s="1" t="str">
        <f t="shared" si="1717"/>
        <v>0.0070</v>
      </c>
      <c r="R959" s="1" t="s">
        <v>25</v>
      </c>
      <c r="T959" s="1" t="str">
        <f t="shared" si="1718"/>
        <v>0</v>
      </c>
      <c r="U959" s="1" t="str">
        <f t="shared" si="1832"/>
        <v>0.0070</v>
      </c>
    </row>
    <row r="960" s="1" customFormat="1" spans="1:21">
      <c r="A960" s="1" t="str">
        <f>"4601992006042"</f>
        <v>4601992006042</v>
      </c>
      <c r="B960" s="1" t="s">
        <v>984</v>
      </c>
      <c r="C960" s="1" t="s">
        <v>24</v>
      </c>
      <c r="D960" s="1" t="str">
        <f t="shared" si="1714"/>
        <v>2021</v>
      </c>
      <c r="E960" s="1" t="str">
        <f t="shared" ref="E960:P960" si="1837">"0"</f>
        <v>0</v>
      </c>
      <c r="F960" s="1" t="str">
        <f t="shared" si="1837"/>
        <v>0</v>
      </c>
      <c r="G960" s="1" t="str">
        <f t="shared" si="1837"/>
        <v>0</v>
      </c>
      <c r="H960" s="1" t="str">
        <f t="shared" si="1837"/>
        <v>0</v>
      </c>
      <c r="I960" s="1" t="str">
        <f t="shared" si="1837"/>
        <v>0</v>
      </c>
      <c r="J960" s="1" t="str">
        <f t="shared" si="1837"/>
        <v>0</v>
      </c>
      <c r="K960" s="1" t="str">
        <f t="shared" si="1837"/>
        <v>0</v>
      </c>
      <c r="L960" s="1" t="str">
        <f t="shared" si="1837"/>
        <v>0</v>
      </c>
      <c r="M960" s="1" t="str">
        <f t="shared" si="1837"/>
        <v>0</v>
      </c>
      <c r="N960" s="1" t="str">
        <f t="shared" si="1837"/>
        <v>0</v>
      </c>
      <c r="O960" s="1" t="str">
        <f t="shared" si="1837"/>
        <v>0</v>
      </c>
      <c r="P960" s="1" t="str">
        <f t="shared" si="1837"/>
        <v>0</v>
      </c>
      <c r="Q960" s="1" t="str">
        <f t="shared" si="1717"/>
        <v>0.0070</v>
      </c>
      <c r="R960" s="1" t="s">
        <v>25</v>
      </c>
      <c r="T960" s="1" t="str">
        <f t="shared" si="1718"/>
        <v>0</v>
      </c>
      <c r="U960" s="1" t="str">
        <f t="shared" si="1832"/>
        <v>0.0070</v>
      </c>
    </row>
    <row r="961" s="1" customFormat="1" spans="1:21">
      <c r="A961" s="1" t="str">
        <f>"4601992006102"</f>
        <v>4601992006102</v>
      </c>
      <c r="B961" s="1" t="s">
        <v>985</v>
      </c>
      <c r="C961" s="1" t="s">
        <v>24</v>
      </c>
      <c r="D961" s="1" t="str">
        <f t="shared" si="1714"/>
        <v>2021</v>
      </c>
      <c r="E961" s="1" t="str">
        <f t="shared" ref="E961:P961" si="1838">"0"</f>
        <v>0</v>
      </c>
      <c r="F961" s="1" t="str">
        <f t="shared" si="1838"/>
        <v>0</v>
      </c>
      <c r="G961" s="1" t="str">
        <f t="shared" si="1838"/>
        <v>0</v>
      </c>
      <c r="H961" s="1" t="str">
        <f t="shared" si="1838"/>
        <v>0</v>
      </c>
      <c r="I961" s="1" t="str">
        <f t="shared" si="1838"/>
        <v>0</v>
      </c>
      <c r="J961" s="1" t="str">
        <f t="shared" si="1838"/>
        <v>0</v>
      </c>
      <c r="K961" s="1" t="str">
        <f t="shared" si="1838"/>
        <v>0</v>
      </c>
      <c r="L961" s="1" t="str">
        <f t="shared" si="1838"/>
        <v>0</v>
      </c>
      <c r="M961" s="1" t="str">
        <f t="shared" si="1838"/>
        <v>0</v>
      </c>
      <c r="N961" s="1" t="str">
        <f t="shared" si="1838"/>
        <v>0</v>
      </c>
      <c r="O961" s="1" t="str">
        <f t="shared" si="1838"/>
        <v>0</v>
      </c>
      <c r="P961" s="1" t="str">
        <f t="shared" si="1838"/>
        <v>0</v>
      </c>
      <c r="Q961" s="1" t="str">
        <f t="shared" si="1717"/>
        <v>0.0070</v>
      </c>
      <c r="R961" s="1" t="s">
        <v>25</v>
      </c>
      <c r="T961" s="1" t="str">
        <f t="shared" si="1718"/>
        <v>0</v>
      </c>
      <c r="U961" s="1" t="str">
        <f t="shared" si="1832"/>
        <v>0.0070</v>
      </c>
    </row>
    <row r="962" s="1" customFormat="1" spans="1:21">
      <c r="A962" s="1" t="str">
        <f>"4601992006008"</f>
        <v>4601992006008</v>
      </c>
      <c r="B962" s="1" t="s">
        <v>986</v>
      </c>
      <c r="C962" s="1" t="s">
        <v>24</v>
      </c>
      <c r="D962" s="1" t="str">
        <f t="shared" si="1714"/>
        <v>2021</v>
      </c>
      <c r="E962" s="1" t="str">
        <f>"167.72"</f>
        <v>167.72</v>
      </c>
      <c r="F962" s="1" t="str">
        <f t="shared" ref="F962:I962" si="1839">"0"</f>
        <v>0</v>
      </c>
      <c r="G962" s="1" t="str">
        <f t="shared" si="1839"/>
        <v>0</v>
      </c>
      <c r="H962" s="1" t="str">
        <f t="shared" si="1839"/>
        <v>0</v>
      </c>
      <c r="I962" s="1" t="str">
        <f t="shared" si="1839"/>
        <v>0</v>
      </c>
      <c r="J962" s="1" t="str">
        <f>"17"</f>
        <v>17</v>
      </c>
      <c r="K962" s="1" t="str">
        <f t="shared" ref="K962:P962" si="1840">"0"</f>
        <v>0</v>
      </c>
      <c r="L962" s="1" t="str">
        <f t="shared" si="1840"/>
        <v>0</v>
      </c>
      <c r="M962" s="1" t="str">
        <f t="shared" si="1840"/>
        <v>0</v>
      </c>
      <c r="N962" s="1" t="str">
        <f t="shared" si="1840"/>
        <v>0</v>
      </c>
      <c r="O962" s="1" t="str">
        <f t="shared" si="1840"/>
        <v>0</v>
      </c>
      <c r="P962" s="1" t="str">
        <f t="shared" si="1840"/>
        <v>0</v>
      </c>
      <c r="Q962" s="1" t="str">
        <f t="shared" si="1717"/>
        <v>0.0070</v>
      </c>
      <c r="R962" s="1" t="s">
        <v>29</v>
      </c>
      <c r="S962" s="1">
        <v>-0.0014</v>
      </c>
      <c r="T962" s="1" t="str">
        <f t="shared" si="1718"/>
        <v>0</v>
      </c>
      <c r="U962" s="1" t="str">
        <f t="shared" ref="U962:U969" si="1841">"0.0056"</f>
        <v>0.0056</v>
      </c>
    </row>
    <row r="963" s="1" customFormat="1" spans="1:21">
      <c r="A963" s="1" t="str">
        <f>"4601992006192"</f>
        <v>4601992006192</v>
      </c>
      <c r="B963" s="1" t="s">
        <v>987</v>
      </c>
      <c r="C963" s="1" t="s">
        <v>24</v>
      </c>
      <c r="D963" s="1" t="str">
        <f t="shared" ref="D963:D1026" si="1842">"2021"</f>
        <v>2021</v>
      </c>
      <c r="E963" s="1" t="str">
        <f t="shared" ref="E963:P963" si="1843">"0"</f>
        <v>0</v>
      </c>
      <c r="F963" s="1" t="str">
        <f t="shared" si="1843"/>
        <v>0</v>
      </c>
      <c r="G963" s="1" t="str">
        <f t="shared" si="1843"/>
        <v>0</v>
      </c>
      <c r="H963" s="1" t="str">
        <f t="shared" si="1843"/>
        <v>0</v>
      </c>
      <c r="I963" s="1" t="str">
        <f t="shared" si="1843"/>
        <v>0</v>
      </c>
      <c r="J963" s="1" t="str">
        <f t="shared" si="1843"/>
        <v>0</v>
      </c>
      <c r="K963" s="1" t="str">
        <f t="shared" si="1843"/>
        <v>0</v>
      </c>
      <c r="L963" s="1" t="str">
        <f t="shared" si="1843"/>
        <v>0</v>
      </c>
      <c r="M963" s="1" t="str">
        <f t="shared" si="1843"/>
        <v>0</v>
      </c>
      <c r="N963" s="1" t="str">
        <f t="shared" si="1843"/>
        <v>0</v>
      </c>
      <c r="O963" s="1" t="str">
        <f t="shared" si="1843"/>
        <v>0</v>
      </c>
      <c r="P963" s="1" t="str">
        <f t="shared" si="1843"/>
        <v>0</v>
      </c>
      <c r="Q963" s="1" t="str">
        <f t="shared" ref="Q963:Q1026" si="1844">"0.0070"</f>
        <v>0.0070</v>
      </c>
      <c r="R963" s="1" t="s">
        <v>25</v>
      </c>
      <c r="T963" s="1" t="str">
        <f t="shared" ref="T963:T1026" si="1845">"0"</f>
        <v>0</v>
      </c>
      <c r="U963" s="1" t="str">
        <f>"0.0070"</f>
        <v>0.0070</v>
      </c>
    </row>
    <row r="964" s="1" customFormat="1" spans="1:21">
      <c r="A964" s="1" t="str">
        <f>"4601992006105"</f>
        <v>4601992006105</v>
      </c>
      <c r="B964" s="1" t="s">
        <v>988</v>
      </c>
      <c r="C964" s="1" t="s">
        <v>24</v>
      </c>
      <c r="D964" s="1" t="str">
        <f t="shared" si="1842"/>
        <v>2021</v>
      </c>
      <c r="E964" s="1" t="str">
        <f>"250.56"</f>
        <v>250.56</v>
      </c>
      <c r="F964" s="1" t="str">
        <f>"67907.59"</f>
        <v>67907.59</v>
      </c>
      <c r="G964" s="1" t="str">
        <f t="shared" ref="G964:L964" si="1846">"0"</f>
        <v>0</v>
      </c>
      <c r="H964" s="1" t="str">
        <f t="shared" si="1846"/>
        <v>0</v>
      </c>
      <c r="I964" s="1" t="str">
        <f>"271.0233"</f>
        <v>271.0233</v>
      </c>
      <c r="J964" s="1" t="str">
        <f>"20"</f>
        <v>20</v>
      </c>
      <c r="K964" s="1" t="str">
        <f>"1"</f>
        <v>1</v>
      </c>
      <c r="L964" s="1" t="str">
        <f t="shared" si="1846"/>
        <v>0</v>
      </c>
      <c r="M964" s="1" t="str">
        <f>"0.0500"</f>
        <v>0.0500</v>
      </c>
      <c r="N964" s="1" t="str">
        <f t="shared" ref="N964:P964" si="1847">"0"</f>
        <v>0</v>
      </c>
      <c r="O964" s="1" t="str">
        <f t="shared" si="1847"/>
        <v>0</v>
      </c>
      <c r="P964" s="1" t="str">
        <f t="shared" si="1847"/>
        <v>0</v>
      </c>
      <c r="Q964" s="1" t="str">
        <f t="shared" si="1844"/>
        <v>0.0070</v>
      </c>
      <c r="R964" s="1" t="s">
        <v>69</v>
      </c>
      <c r="S964" s="1" t="str">
        <f>"0.0014"</f>
        <v>0.0014</v>
      </c>
      <c r="T964" s="1" t="str">
        <f t="shared" si="1845"/>
        <v>0</v>
      </c>
      <c r="U964" s="1" t="str">
        <f>"0.0084"</f>
        <v>0.0084</v>
      </c>
    </row>
    <row r="965" s="1" customFormat="1" spans="1:21">
      <c r="A965" s="1" t="str">
        <f>"4601992006172"</f>
        <v>4601992006172</v>
      </c>
      <c r="B965" s="1" t="s">
        <v>989</v>
      </c>
      <c r="C965" s="1" t="s">
        <v>24</v>
      </c>
      <c r="D965" s="1" t="str">
        <f t="shared" si="1842"/>
        <v>2021</v>
      </c>
      <c r="E965" s="1" t="str">
        <f>"60.34"</f>
        <v>60.34</v>
      </c>
      <c r="F965" s="1" t="str">
        <f t="shared" ref="F965:I965" si="1848">"0"</f>
        <v>0</v>
      </c>
      <c r="G965" s="1" t="str">
        <f t="shared" si="1848"/>
        <v>0</v>
      </c>
      <c r="H965" s="1" t="str">
        <f t="shared" si="1848"/>
        <v>0</v>
      </c>
      <c r="I965" s="1" t="str">
        <f t="shared" si="1848"/>
        <v>0</v>
      </c>
      <c r="J965" s="1" t="str">
        <f>"6"</f>
        <v>6</v>
      </c>
      <c r="K965" s="1" t="str">
        <f t="shared" ref="K965:P965" si="1849">"0"</f>
        <v>0</v>
      </c>
      <c r="L965" s="1" t="str">
        <f t="shared" si="1849"/>
        <v>0</v>
      </c>
      <c r="M965" s="1" t="str">
        <f t="shared" si="1849"/>
        <v>0</v>
      </c>
      <c r="N965" s="1" t="str">
        <f t="shared" si="1849"/>
        <v>0</v>
      </c>
      <c r="O965" s="1" t="str">
        <f t="shared" si="1849"/>
        <v>0</v>
      </c>
      <c r="P965" s="1" t="str">
        <f t="shared" si="1849"/>
        <v>0</v>
      </c>
      <c r="Q965" s="1" t="str">
        <f t="shared" si="1844"/>
        <v>0.0070</v>
      </c>
      <c r="R965" s="1" t="s">
        <v>29</v>
      </c>
      <c r="S965" s="1">
        <v>-0.0014</v>
      </c>
      <c r="T965" s="1" t="str">
        <f t="shared" si="1845"/>
        <v>0</v>
      </c>
      <c r="U965" s="1" t="str">
        <f t="shared" si="1841"/>
        <v>0.0056</v>
      </c>
    </row>
    <row r="966" s="1" customFormat="1" spans="1:21">
      <c r="A966" s="1" t="str">
        <f>"4601992006345"</f>
        <v>4601992006345</v>
      </c>
      <c r="B966" s="1" t="s">
        <v>990</v>
      </c>
      <c r="C966" s="1" t="s">
        <v>24</v>
      </c>
      <c r="D966" s="1" t="str">
        <f t="shared" si="1842"/>
        <v>2021</v>
      </c>
      <c r="E966" s="1" t="str">
        <f t="shared" ref="E966:P966" si="1850">"0"</f>
        <v>0</v>
      </c>
      <c r="F966" s="1" t="str">
        <f t="shared" si="1850"/>
        <v>0</v>
      </c>
      <c r="G966" s="1" t="str">
        <f t="shared" si="1850"/>
        <v>0</v>
      </c>
      <c r="H966" s="1" t="str">
        <f t="shared" si="1850"/>
        <v>0</v>
      </c>
      <c r="I966" s="1" t="str">
        <f t="shared" si="1850"/>
        <v>0</v>
      </c>
      <c r="J966" s="1" t="str">
        <f t="shared" si="1850"/>
        <v>0</v>
      </c>
      <c r="K966" s="1" t="str">
        <f t="shared" si="1850"/>
        <v>0</v>
      </c>
      <c r="L966" s="1" t="str">
        <f t="shared" si="1850"/>
        <v>0</v>
      </c>
      <c r="M966" s="1" t="str">
        <f t="shared" si="1850"/>
        <v>0</v>
      </c>
      <c r="N966" s="1" t="str">
        <f t="shared" si="1850"/>
        <v>0</v>
      </c>
      <c r="O966" s="1" t="str">
        <f t="shared" si="1850"/>
        <v>0</v>
      </c>
      <c r="P966" s="1" t="str">
        <f t="shared" si="1850"/>
        <v>0</v>
      </c>
      <c r="Q966" s="1" t="str">
        <f t="shared" si="1844"/>
        <v>0.0070</v>
      </c>
      <c r="R966" s="1" t="s">
        <v>25</v>
      </c>
      <c r="T966" s="1" t="str">
        <f t="shared" si="1845"/>
        <v>0</v>
      </c>
      <c r="U966" s="1" t="str">
        <f>"0.0070"</f>
        <v>0.0070</v>
      </c>
    </row>
    <row r="967" s="1" customFormat="1" spans="1:21">
      <c r="A967" s="1" t="str">
        <f>"4601992006291"</f>
        <v>4601992006291</v>
      </c>
      <c r="B967" s="1" t="s">
        <v>991</v>
      </c>
      <c r="C967" s="1" t="s">
        <v>24</v>
      </c>
      <c r="D967" s="1" t="str">
        <f t="shared" si="1842"/>
        <v>2021</v>
      </c>
      <c r="E967" s="1" t="str">
        <f>"217.66"</f>
        <v>217.66</v>
      </c>
      <c r="F967" s="1" t="str">
        <f t="shared" ref="F967:I967" si="1851">"0"</f>
        <v>0</v>
      </c>
      <c r="G967" s="1" t="str">
        <f t="shared" si="1851"/>
        <v>0</v>
      </c>
      <c r="H967" s="1" t="str">
        <f t="shared" si="1851"/>
        <v>0</v>
      </c>
      <c r="I967" s="1" t="str">
        <f t="shared" si="1851"/>
        <v>0</v>
      </c>
      <c r="J967" s="1" t="str">
        <f>"17"</f>
        <v>17</v>
      </c>
      <c r="K967" s="1" t="str">
        <f t="shared" ref="K967:P967" si="1852">"0"</f>
        <v>0</v>
      </c>
      <c r="L967" s="1" t="str">
        <f t="shared" si="1852"/>
        <v>0</v>
      </c>
      <c r="M967" s="1" t="str">
        <f t="shared" si="1852"/>
        <v>0</v>
      </c>
      <c r="N967" s="1" t="str">
        <f t="shared" si="1852"/>
        <v>0</v>
      </c>
      <c r="O967" s="1" t="str">
        <f t="shared" si="1852"/>
        <v>0</v>
      </c>
      <c r="P967" s="1" t="str">
        <f t="shared" si="1852"/>
        <v>0</v>
      </c>
      <c r="Q967" s="1" t="str">
        <f t="shared" si="1844"/>
        <v>0.0070</v>
      </c>
      <c r="R967" s="1" t="s">
        <v>29</v>
      </c>
      <c r="S967" s="1">
        <v>-0.0014</v>
      </c>
      <c r="T967" s="1" t="str">
        <f t="shared" si="1845"/>
        <v>0</v>
      </c>
      <c r="U967" s="1" t="str">
        <f t="shared" si="1841"/>
        <v>0.0056</v>
      </c>
    </row>
    <row r="968" s="1" customFormat="1" spans="1:21">
      <c r="A968" s="1" t="str">
        <f>"4601992006355"</f>
        <v>4601992006355</v>
      </c>
      <c r="B968" s="1" t="s">
        <v>992</v>
      </c>
      <c r="C968" s="1" t="s">
        <v>24</v>
      </c>
      <c r="D968" s="1" t="str">
        <f t="shared" si="1842"/>
        <v>2021</v>
      </c>
      <c r="E968" s="1" t="str">
        <f>"9.67"</f>
        <v>9.67</v>
      </c>
      <c r="F968" s="1" t="str">
        <f t="shared" ref="F968:I968" si="1853">"0"</f>
        <v>0</v>
      </c>
      <c r="G968" s="1" t="str">
        <f t="shared" si="1853"/>
        <v>0</v>
      </c>
      <c r="H968" s="1" t="str">
        <f t="shared" si="1853"/>
        <v>0</v>
      </c>
      <c r="I968" s="1" t="str">
        <f t="shared" si="1853"/>
        <v>0</v>
      </c>
      <c r="J968" s="1" t="str">
        <f>"1"</f>
        <v>1</v>
      </c>
      <c r="K968" s="1" t="str">
        <f t="shared" ref="K968:P968" si="1854">"0"</f>
        <v>0</v>
      </c>
      <c r="L968" s="1" t="str">
        <f t="shared" si="1854"/>
        <v>0</v>
      </c>
      <c r="M968" s="1" t="str">
        <f t="shared" si="1854"/>
        <v>0</v>
      </c>
      <c r="N968" s="1" t="str">
        <f t="shared" si="1854"/>
        <v>0</v>
      </c>
      <c r="O968" s="1" t="str">
        <f t="shared" si="1854"/>
        <v>0</v>
      </c>
      <c r="P968" s="1" t="str">
        <f t="shared" si="1854"/>
        <v>0</v>
      </c>
      <c r="Q968" s="1" t="str">
        <f t="shared" si="1844"/>
        <v>0.0070</v>
      </c>
      <c r="R968" s="1" t="s">
        <v>29</v>
      </c>
      <c r="S968" s="1">
        <v>-0.0014</v>
      </c>
      <c r="T968" s="1" t="str">
        <f t="shared" si="1845"/>
        <v>0</v>
      </c>
      <c r="U968" s="1" t="str">
        <f t="shared" si="1841"/>
        <v>0.0056</v>
      </c>
    </row>
    <row r="969" s="1" customFormat="1" spans="1:21">
      <c r="A969" s="1" t="str">
        <f>"4601992006297"</f>
        <v>4601992006297</v>
      </c>
      <c r="B969" s="1" t="s">
        <v>993</v>
      </c>
      <c r="C969" s="1" t="s">
        <v>24</v>
      </c>
      <c r="D969" s="1" t="str">
        <f t="shared" si="1842"/>
        <v>2021</v>
      </c>
      <c r="E969" s="1" t="str">
        <f>"36.27"</f>
        <v>36.27</v>
      </c>
      <c r="F969" s="1" t="str">
        <f t="shared" ref="F969:I969" si="1855">"0"</f>
        <v>0</v>
      </c>
      <c r="G969" s="1" t="str">
        <f t="shared" si="1855"/>
        <v>0</v>
      </c>
      <c r="H969" s="1" t="str">
        <f t="shared" si="1855"/>
        <v>0</v>
      </c>
      <c r="I969" s="1" t="str">
        <f t="shared" si="1855"/>
        <v>0</v>
      </c>
      <c r="J969" s="1" t="str">
        <f>"3"</f>
        <v>3</v>
      </c>
      <c r="K969" s="1" t="str">
        <f t="shared" ref="K969:P969" si="1856">"0"</f>
        <v>0</v>
      </c>
      <c r="L969" s="1" t="str">
        <f t="shared" si="1856"/>
        <v>0</v>
      </c>
      <c r="M969" s="1" t="str">
        <f t="shared" si="1856"/>
        <v>0</v>
      </c>
      <c r="N969" s="1" t="str">
        <f t="shared" si="1856"/>
        <v>0</v>
      </c>
      <c r="O969" s="1" t="str">
        <f t="shared" si="1856"/>
        <v>0</v>
      </c>
      <c r="P969" s="1" t="str">
        <f t="shared" si="1856"/>
        <v>0</v>
      </c>
      <c r="Q969" s="1" t="str">
        <f t="shared" si="1844"/>
        <v>0.0070</v>
      </c>
      <c r="R969" s="1" t="s">
        <v>29</v>
      </c>
      <c r="S969" s="1">
        <v>-0.0014</v>
      </c>
      <c r="T969" s="1" t="str">
        <f t="shared" si="1845"/>
        <v>0</v>
      </c>
      <c r="U969" s="1" t="str">
        <f t="shared" si="1841"/>
        <v>0.0056</v>
      </c>
    </row>
    <row r="970" s="1" customFormat="1" spans="1:21">
      <c r="A970" s="1" t="str">
        <f>"4601992006382"</f>
        <v>4601992006382</v>
      </c>
      <c r="B970" s="1" t="s">
        <v>994</v>
      </c>
      <c r="C970" s="1" t="s">
        <v>24</v>
      </c>
      <c r="D970" s="1" t="str">
        <f t="shared" si="1842"/>
        <v>2021</v>
      </c>
      <c r="E970" s="1" t="str">
        <f>"24.18"</f>
        <v>24.18</v>
      </c>
      <c r="F970" s="1" t="str">
        <f t="shared" ref="F970:I970" si="1857">"0"</f>
        <v>0</v>
      </c>
      <c r="G970" s="1" t="str">
        <f t="shared" si="1857"/>
        <v>0</v>
      </c>
      <c r="H970" s="1" t="str">
        <f t="shared" si="1857"/>
        <v>0</v>
      </c>
      <c r="I970" s="1" t="str">
        <f t="shared" si="1857"/>
        <v>0</v>
      </c>
      <c r="J970" s="1" t="str">
        <f>"2"</f>
        <v>2</v>
      </c>
      <c r="K970" s="1" t="str">
        <f t="shared" ref="K970:P970" si="1858">"0"</f>
        <v>0</v>
      </c>
      <c r="L970" s="1" t="str">
        <f t="shared" si="1858"/>
        <v>0</v>
      </c>
      <c r="M970" s="1" t="str">
        <f t="shared" si="1858"/>
        <v>0</v>
      </c>
      <c r="N970" s="1" t="str">
        <f t="shared" si="1858"/>
        <v>0</v>
      </c>
      <c r="O970" s="1" t="str">
        <f t="shared" si="1858"/>
        <v>0</v>
      </c>
      <c r="P970" s="1" t="str">
        <f t="shared" si="1858"/>
        <v>0</v>
      </c>
      <c r="Q970" s="1" t="str">
        <f t="shared" si="1844"/>
        <v>0.0070</v>
      </c>
      <c r="R970" s="1" t="s">
        <v>25</v>
      </c>
      <c r="T970" s="1" t="str">
        <f t="shared" si="1845"/>
        <v>0</v>
      </c>
      <c r="U970" s="1" t="str">
        <f>"0.0070"</f>
        <v>0.0070</v>
      </c>
    </row>
    <row r="971" s="1" customFormat="1" spans="1:21">
      <c r="A971" s="1" t="str">
        <f>"4601992006441"</f>
        <v>4601992006441</v>
      </c>
      <c r="B971" s="1" t="s">
        <v>995</v>
      </c>
      <c r="C971" s="1" t="s">
        <v>24</v>
      </c>
      <c r="D971" s="1" t="str">
        <f t="shared" si="1842"/>
        <v>2021</v>
      </c>
      <c r="E971" s="1" t="str">
        <f>"36.27"</f>
        <v>36.27</v>
      </c>
      <c r="F971" s="1" t="str">
        <f t="shared" ref="F971:I971" si="1859">"0"</f>
        <v>0</v>
      </c>
      <c r="G971" s="1" t="str">
        <f t="shared" si="1859"/>
        <v>0</v>
      </c>
      <c r="H971" s="1" t="str">
        <f t="shared" si="1859"/>
        <v>0</v>
      </c>
      <c r="I971" s="1" t="str">
        <f t="shared" si="1859"/>
        <v>0</v>
      </c>
      <c r="J971" s="1" t="str">
        <f>"3"</f>
        <v>3</v>
      </c>
      <c r="K971" s="1" t="str">
        <f t="shared" ref="K971:P971" si="1860">"0"</f>
        <v>0</v>
      </c>
      <c r="L971" s="1" t="str">
        <f t="shared" si="1860"/>
        <v>0</v>
      </c>
      <c r="M971" s="1" t="str">
        <f t="shared" si="1860"/>
        <v>0</v>
      </c>
      <c r="N971" s="1" t="str">
        <f t="shared" si="1860"/>
        <v>0</v>
      </c>
      <c r="O971" s="1" t="str">
        <f t="shared" si="1860"/>
        <v>0</v>
      </c>
      <c r="P971" s="1" t="str">
        <f t="shared" si="1860"/>
        <v>0</v>
      </c>
      <c r="Q971" s="1" t="str">
        <f t="shared" si="1844"/>
        <v>0.0070</v>
      </c>
      <c r="R971" s="1" t="s">
        <v>29</v>
      </c>
      <c r="S971" s="1">
        <v>-0.0014</v>
      </c>
      <c r="T971" s="1" t="str">
        <f t="shared" si="1845"/>
        <v>0</v>
      </c>
      <c r="U971" s="1" t="str">
        <f t="shared" ref="U971:U976" si="1861">"0.0056"</f>
        <v>0.0056</v>
      </c>
    </row>
    <row r="972" s="1" customFormat="1" spans="1:21">
      <c r="A972" s="1" t="str">
        <f>"4601992006453"</f>
        <v>4601992006453</v>
      </c>
      <c r="B972" s="1" t="s">
        <v>996</v>
      </c>
      <c r="C972" s="1" t="s">
        <v>24</v>
      </c>
      <c r="D972" s="1" t="str">
        <f t="shared" si="1842"/>
        <v>2021</v>
      </c>
      <c r="E972" s="1" t="str">
        <f>"175.15"</f>
        <v>175.15</v>
      </c>
      <c r="F972" s="1" t="str">
        <f t="shared" ref="F972:I972" si="1862">"0"</f>
        <v>0</v>
      </c>
      <c r="G972" s="1" t="str">
        <f t="shared" si="1862"/>
        <v>0</v>
      </c>
      <c r="H972" s="1" t="str">
        <f t="shared" si="1862"/>
        <v>0</v>
      </c>
      <c r="I972" s="1" t="str">
        <f t="shared" si="1862"/>
        <v>0</v>
      </c>
      <c r="J972" s="1" t="str">
        <f>"12"</f>
        <v>12</v>
      </c>
      <c r="K972" s="1" t="str">
        <f t="shared" ref="K972:P972" si="1863">"0"</f>
        <v>0</v>
      </c>
      <c r="L972" s="1" t="str">
        <f t="shared" si="1863"/>
        <v>0</v>
      </c>
      <c r="M972" s="1" t="str">
        <f t="shared" si="1863"/>
        <v>0</v>
      </c>
      <c r="N972" s="1" t="str">
        <f t="shared" si="1863"/>
        <v>0</v>
      </c>
      <c r="O972" s="1" t="str">
        <f t="shared" si="1863"/>
        <v>0</v>
      </c>
      <c r="P972" s="1" t="str">
        <f t="shared" si="1863"/>
        <v>0</v>
      </c>
      <c r="Q972" s="1" t="str">
        <f t="shared" si="1844"/>
        <v>0.0070</v>
      </c>
      <c r="R972" s="1" t="s">
        <v>29</v>
      </c>
      <c r="S972" s="1">
        <v>-0.0014</v>
      </c>
      <c r="T972" s="1" t="str">
        <f t="shared" si="1845"/>
        <v>0</v>
      </c>
      <c r="U972" s="1" t="str">
        <f t="shared" si="1861"/>
        <v>0.0056</v>
      </c>
    </row>
    <row r="973" s="1" customFormat="1" spans="1:21">
      <c r="A973" s="1" t="str">
        <f>"4601992006593"</f>
        <v>4601992006593</v>
      </c>
      <c r="B973" s="1" t="s">
        <v>997</v>
      </c>
      <c r="C973" s="1" t="s">
        <v>24</v>
      </c>
      <c r="D973" s="1" t="str">
        <f t="shared" si="1842"/>
        <v>2021</v>
      </c>
      <c r="E973" s="1" t="str">
        <f t="shared" ref="E973:P973" si="1864">"0"</f>
        <v>0</v>
      </c>
      <c r="F973" s="1" t="str">
        <f t="shared" si="1864"/>
        <v>0</v>
      </c>
      <c r="G973" s="1" t="str">
        <f t="shared" si="1864"/>
        <v>0</v>
      </c>
      <c r="H973" s="1" t="str">
        <f t="shared" si="1864"/>
        <v>0</v>
      </c>
      <c r="I973" s="1" t="str">
        <f t="shared" si="1864"/>
        <v>0</v>
      </c>
      <c r="J973" s="1" t="str">
        <f t="shared" si="1864"/>
        <v>0</v>
      </c>
      <c r="K973" s="1" t="str">
        <f t="shared" si="1864"/>
        <v>0</v>
      </c>
      <c r="L973" s="1" t="str">
        <f t="shared" si="1864"/>
        <v>0</v>
      </c>
      <c r="M973" s="1" t="str">
        <f t="shared" si="1864"/>
        <v>0</v>
      </c>
      <c r="N973" s="1" t="str">
        <f t="shared" si="1864"/>
        <v>0</v>
      </c>
      <c r="O973" s="1" t="str">
        <f t="shared" si="1864"/>
        <v>0</v>
      </c>
      <c r="P973" s="1" t="str">
        <f t="shared" si="1864"/>
        <v>0</v>
      </c>
      <c r="Q973" s="1" t="str">
        <f t="shared" si="1844"/>
        <v>0.0070</v>
      </c>
      <c r="R973" s="1" t="s">
        <v>25</v>
      </c>
      <c r="T973" s="1" t="str">
        <f t="shared" si="1845"/>
        <v>0</v>
      </c>
      <c r="U973" s="1" t="str">
        <f t="shared" ref="U973:U978" si="1865">"0.0070"</f>
        <v>0.0070</v>
      </c>
    </row>
    <row r="974" s="1" customFormat="1" spans="1:21">
      <c r="A974" s="1" t="str">
        <f>"4601992006624"</f>
        <v>4601992006624</v>
      </c>
      <c r="B974" s="1" t="s">
        <v>998</v>
      </c>
      <c r="C974" s="1" t="s">
        <v>24</v>
      </c>
      <c r="D974" s="1" t="str">
        <f t="shared" si="1842"/>
        <v>2021</v>
      </c>
      <c r="E974" s="1" t="str">
        <f>"60.61"</f>
        <v>60.61</v>
      </c>
      <c r="F974" s="1" t="str">
        <f t="shared" ref="F974:I974" si="1866">"0"</f>
        <v>0</v>
      </c>
      <c r="G974" s="1" t="str">
        <f t="shared" si="1866"/>
        <v>0</v>
      </c>
      <c r="H974" s="1" t="str">
        <f t="shared" si="1866"/>
        <v>0</v>
      </c>
      <c r="I974" s="1" t="str">
        <f t="shared" si="1866"/>
        <v>0</v>
      </c>
      <c r="J974" s="1" t="str">
        <f>"5"</f>
        <v>5</v>
      </c>
      <c r="K974" s="1" t="str">
        <f t="shared" ref="K974:P974" si="1867">"0"</f>
        <v>0</v>
      </c>
      <c r="L974" s="1" t="str">
        <f t="shared" si="1867"/>
        <v>0</v>
      </c>
      <c r="M974" s="1" t="str">
        <f t="shared" si="1867"/>
        <v>0</v>
      </c>
      <c r="N974" s="1" t="str">
        <f t="shared" si="1867"/>
        <v>0</v>
      </c>
      <c r="O974" s="1" t="str">
        <f t="shared" si="1867"/>
        <v>0</v>
      </c>
      <c r="P974" s="1" t="str">
        <f t="shared" si="1867"/>
        <v>0</v>
      </c>
      <c r="Q974" s="1" t="str">
        <f t="shared" si="1844"/>
        <v>0.0070</v>
      </c>
      <c r="R974" s="1" t="s">
        <v>29</v>
      </c>
      <c r="S974" s="1">
        <v>-0.0014</v>
      </c>
      <c r="T974" s="1" t="str">
        <f t="shared" si="1845"/>
        <v>0</v>
      </c>
      <c r="U974" s="1" t="str">
        <f t="shared" si="1861"/>
        <v>0.0056</v>
      </c>
    </row>
    <row r="975" s="1" customFormat="1" spans="1:21">
      <c r="A975" s="1" t="str">
        <f>"4601992006586"</f>
        <v>4601992006586</v>
      </c>
      <c r="B975" s="1" t="s">
        <v>999</v>
      </c>
      <c r="C975" s="1" t="s">
        <v>24</v>
      </c>
      <c r="D975" s="1" t="str">
        <f t="shared" si="1842"/>
        <v>2021</v>
      </c>
      <c r="E975" s="1" t="str">
        <f>"383.36"</f>
        <v>383.36</v>
      </c>
      <c r="F975" s="1" t="str">
        <f t="shared" ref="F975:I975" si="1868">"0"</f>
        <v>0</v>
      </c>
      <c r="G975" s="1" t="str">
        <f t="shared" si="1868"/>
        <v>0</v>
      </c>
      <c r="H975" s="1" t="str">
        <f t="shared" si="1868"/>
        <v>0</v>
      </c>
      <c r="I975" s="1" t="str">
        <f t="shared" si="1868"/>
        <v>0</v>
      </c>
      <c r="J975" s="1" t="str">
        <f>"39"</f>
        <v>39</v>
      </c>
      <c r="K975" s="1" t="str">
        <f t="shared" ref="K975:P975" si="1869">"0"</f>
        <v>0</v>
      </c>
      <c r="L975" s="1" t="str">
        <f t="shared" si="1869"/>
        <v>0</v>
      </c>
      <c r="M975" s="1" t="str">
        <f t="shared" si="1869"/>
        <v>0</v>
      </c>
      <c r="N975" s="1" t="str">
        <f t="shared" si="1869"/>
        <v>0</v>
      </c>
      <c r="O975" s="1" t="str">
        <f t="shared" si="1869"/>
        <v>0</v>
      </c>
      <c r="P975" s="1" t="str">
        <f t="shared" si="1869"/>
        <v>0</v>
      </c>
      <c r="Q975" s="1" t="str">
        <f t="shared" si="1844"/>
        <v>0.0070</v>
      </c>
      <c r="R975" s="1" t="s">
        <v>29</v>
      </c>
      <c r="S975" s="1">
        <v>-0.0014</v>
      </c>
      <c r="T975" s="1" t="str">
        <f t="shared" si="1845"/>
        <v>0</v>
      </c>
      <c r="U975" s="1" t="str">
        <f t="shared" si="1861"/>
        <v>0.0056</v>
      </c>
    </row>
    <row r="976" s="1" customFormat="1" spans="1:21">
      <c r="A976" s="1" t="str">
        <f>"4601992006628"</f>
        <v>4601992006628</v>
      </c>
      <c r="B976" s="1" t="s">
        <v>1000</v>
      </c>
      <c r="C976" s="1" t="s">
        <v>24</v>
      </c>
      <c r="D976" s="1" t="str">
        <f t="shared" si="1842"/>
        <v>2021</v>
      </c>
      <c r="E976" s="1" t="str">
        <f>"84.41"</f>
        <v>84.41</v>
      </c>
      <c r="F976" s="1" t="str">
        <f t="shared" ref="F976:I976" si="1870">"0"</f>
        <v>0</v>
      </c>
      <c r="G976" s="1" t="str">
        <f t="shared" si="1870"/>
        <v>0</v>
      </c>
      <c r="H976" s="1" t="str">
        <f t="shared" si="1870"/>
        <v>0</v>
      </c>
      <c r="I976" s="1" t="str">
        <f t="shared" si="1870"/>
        <v>0</v>
      </c>
      <c r="J976" s="1" t="str">
        <f>"8"</f>
        <v>8</v>
      </c>
      <c r="K976" s="1" t="str">
        <f t="shared" ref="K976:P976" si="1871">"0"</f>
        <v>0</v>
      </c>
      <c r="L976" s="1" t="str">
        <f t="shared" si="1871"/>
        <v>0</v>
      </c>
      <c r="M976" s="1" t="str">
        <f t="shared" si="1871"/>
        <v>0</v>
      </c>
      <c r="N976" s="1" t="str">
        <f t="shared" si="1871"/>
        <v>0</v>
      </c>
      <c r="O976" s="1" t="str">
        <f t="shared" si="1871"/>
        <v>0</v>
      </c>
      <c r="P976" s="1" t="str">
        <f t="shared" si="1871"/>
        <v>0</v>
      </c>
      <c r="Q976" s="1" t="str">
        <f t="shared" si="1844"/>
        <v>0.0070</v>
      </c>
      <c r="R976" s="1" t="s">
        <v>29</v>
      </c>
      <c r="S976" s="1">
        <v>-0.0014</v>
      </c>
      <c r="T976" s="1" t="str">
        <f t="shared" si="1845"/>
        <v>0</v>
      </c>
      <c r="U976" s="1" t="str">
        <f t="shared" si="1861"/>
        <v>0.0056</v>
      </c>
    </row>
    <row r="977" s="1" customFormat="1" spans="1:21">
      <c r="A977" s="1" t="str">
        <f>"4601992006705"</f>
        <v>4601992006705</v>
      </c>
      <c r="B977" s="1" t="s">
        <v>1001</v>
      </c>
      <c r="C977" s="1" t="s">
        <v>24</v>
      </c>
      <c r="D977" s="1" t="str">
        <f t="shared" si="1842"/>
        <v>2021</v>
      </c>
      <c r="E977" s="1" t="str">
        <f t="shared" ref="E977:P977" si="1872">"0"</f>
        <v>0</v>
      </c>
      <c r="F977" s="1" t="str">
        <f t="shared" si="1872"/>
        <v>0</v>
      </c>
      <c r="G977" s="1" t="str">
        <f t="shared" si="1872"/>
        <v>0</v>
      </c>
      <c r="H977" s="1" t="str">
        <f t="shared" si="1872"/>
        <v>0</v>
      </c>
      <c r="I977" s="1" t="str">
        <f t="shared" si="1872"/>
        <v>0</v>
      </c>
      <c r="J977" s="1" t="str">
        <f t="shared" si="1872"/>
        <v>0</v>
      </c>
      <c r="K977" s="1" t="str">
        <f t="shared" si="1872"/>
        <v>0</v>
      </c>
      <c r="L977" s="1" t="str">
        <f t="shared" si="1872"/>
        <v>0</v>
      </c>
      <c r="M977" s="1" t="str">
        <f t="shared" si="1872"/>
        <v>0</v>
      </c>
      <c r="N977" s="1" t="str">
        <f t="shared" si="1872"/>
        <v>0</v>
      </c>
      <c r="O977" s="1" t="str">
        <f t="shared" si="1872"/>
        <v>0</v>
      </c>
      <c r="P977" s="1" t="str">
        <f t="shared" si="1872"/>
        <v>0</v>
      </c>
      <c r="Q977" s="1" t="str">
        <f t="shared" si="1844"/>
        <v>0.0070</v>
      </c>
      <c r="R977" s="1" t="s">
        <v>25</v>
      </c>
      <c r="T977" s="1" t="str">
        <f t="shared" si="1845"/>
        <v>0</v>
      </c>
      <c r="U977" s="1" t="str">
        <f t="shared" si="1865"/>
        <v>0.0070</v>
      </c>
    </row>
    <row r="978" s="1" customFormat="1" spans="1:21">
      <c r="A978" s="1" t="str">
        <f>"4601992006693"</f>
        <v>4601992006693</v>
      </c>
      <c r="B978" s="1" t="s">
        <v>1002</v>
      </c>
      <c r="C978" s="1" t="s">
        <v>24</v>
      </c>
      <c r="D978" s="1" t="str">
        <f t="shared" si="1842"/>
        <v>2021</v>
      </c>
      <c r="E978" s="1" t="str">
        <f t="shared" ref="E978:P978" si="1873">"0"</f>
        <v>0</v>
      </c>
      <c r="F978" s="1" t="str">
        <f t="shared" si="1873"/>
        <v>0</v>
      </c>
      <c r="G978" s="1" t="str">
        <f t="shared" si="1873"/>
        <v>0</v>
      </c>
      <c r="H978" s="1" t="str">
        <f t="shared" si="1873"/>
        <v>0</v>
      </c>
      <c r="I978" s="1" t="str">
        <f t="shared" si="1873"/>
        <v>0</v>
      </c>
      <c r="J978" s="1" t="str">
        <f t="shared" si="1873"/>
        <v>0</v>
      </c>
      <c r="K978" s="1" t="str">
        <f t="shared" si="1873"/>
        <v>0</v>
      </c>
      <c r="L978" s="1" t="str">
        <f t="shared" si="1873"/>
        <v>0</v>
      </c>
      <c r="M978" s="1" t="str">
        <f t="shared" si="1873"/>
        <v>0</v>
      </c>
      <c r="N978" s="1" t="str">
        <f t="shared" si="1873"/>
        <v>0</v>
      </c>
      <c r="O978" s="1" t="str">
        <f t="shared" si="1873"/>
        <v>0</v>
      </c>
      <c r="P978" s="1" t="str">
        <f t="shared" si="1873"/>
        <v>0</v>
      </c>
      <c r="Q978" s="1" t="str">
        <f t="shared" si="1844"/>
        <v>0.0070</v>
      </c>
      <c r="R978" s="1" t="s">
        <v>25</v>
      </c>
      <c r="T978" s="1" t="str">
        <f t="shared" si="1845"/>
        <v>0</v>
      </c>
      <c r="U978" s="1" t="str">
        <f t="shared" si="1865"/>
        <v>0.0070</v>
      </c>
    </row>
    <row r="979" s="1" customFormat="1" spans="1:21">
      <c r="A979" s="1" t="str">
        <f>"4601992006480"</f>
        <v>4601992006480</v>
      </c>
      <c r="B979" s="1" t="s">
        <v>1003</v>
      </c>
      <c r="C979" s="1" t="s">
        <v>24</v>
      </c>
      <c r="D979" s="1" t="str">
        <f t="shared" si="1842"/>
        <v>2021</v>
      </c>
      <c r="E979" s="1" t="str">
        <f>"4694.90"</f>
        <v>4694.90</v>
      </c>
      <c r="F979" s="1" t="str">
        <f t="shared" ref="F979:I979" si="1874">"0"</f>
        <v>0</v>
      </c>
      <c r="G979" s="1" t="str">
        <f t="shared" si="1874"/>
        <v>0</v>
      </c>
      <c r="H979" s="1" t="str">
        <f t="shared" si="1874"/>
        <v>0</v>
      </c>
      <c r="I979" s="1" t="str">
        <f t="shared" si="1874"/>
        <v>0</v>
      </c>
      <c r="J979" s="1" t="str">
        <f>"21"</f>
        <v>21</v>
      </c>
      <c r="K979" s="1" t="str">
        <f t="shared" ref="K979:P979" si="1875">"0"</f>
        <v>0</v>
      </c>
      <c r="L979" s="1" t="str">
        <f t="shared" si="1875"/>
        <v>0</v>
      </c>
      <c r="M979" s="1" t="str">
        <f t="shared" si="1875"/>
        <v>0</v>
      </c>
      <c r="N979" s="1" t="str">
        <f t="shared" si="1875"/>
        <v>0</v>
      </c>
      <c r="O979" s="1" t="str">
        <f t="shared" si="1875"/>
        <v>0</v>
      </c>
      <c r="P979" s="1" t="str">
        <f t="shared" si="1875"/>
        <v>0</v>
      </c>
      <c r="Q979" s="1" t="str">
        <f t="shared" si="1844"/>
        <v>0.0070</v>
      </c>
      <c r="R979" s="1" t="s">
        <v>29</v>
      </c>
      <c r="S979" s="1">
        <v>-0.0014</v>
      </c>
      <c r="T979" s="1" t="str">
        <f t="shared" si="1845"/>
        <v>0</v>
      </c>
      <c r="U979" s="1" t="str">
        <f t="shared" ref="U979:U982" si="1876">"0.0056"</f>
        <v>0.0056</v>
      </c>
    </row>
    <row r="980" s="1" customFormat="1" spans="1:21">
      <c r="A980" s="1" t="str">
        <f>"4601992006716"</f>
        <v>4601992006716</v>
      </c>
      <c r="B980" s="1" t="s">
        <v>1004</v>
      </c>
      <c r="C980" s="1" t="s">
        <v>24</v>
      </c>
      <c r="D980" s="1" t="str">
        <f t="shared" si="1842"/>
        <v>2021</v>
      </c>
      <c r="E980" s="1" t="str">
        <f>"12.09"</f>
        <v>12.09</v>
      </c>
      <c r="F980" s="1" t="str">
        <f t="shared" ref="F980:I980" si="1877">"0"</f>
        <v>0</v>
      </c>
      <c r="G980" s="1" t="str">
        <f t="shared" si="1877"/>
        <v>0</v>
      </c>
      <c r="H980" s="1" t="str">
        <f t="shared" si="1877"/>
        <v>0</v>
      </c>
      <c r="I980" s="1" t="str">
        <f t="shared" si="1877"/>
        <v>0</v>
      </c>
      <c r="J980" s="1" t="str">
        <f>"1"</f>
        <v>1</v>
      </c>
      <c r="K980" s="1" t="str">
        <f t="shared" ref="K980:P980" si="1878">"0"</f>
        <v>0</v>
      </c>
      <c r="L980" s="1" t="str">
        <f t="shared" si="1878"/>
        <v>0</v>
      </c>
      <c r="M980" s="1" t="str">
        <f t="shared" si="1878"/>
        <v>0</v>
      </c>
      <c r="N980" s="1" t="str">
        <f t="shared" si="1878"/>
        <v>0</v>
      </c>
      <c r="O980" s="1" t="str">
        <f t="shared" si="1878"/>
        <v>0</v>
      </c>
      <c r="P980" s="1" t="str">
        <f t="shared" si="1878"/>
        <v>0</v>
      </c>
      <c r="Q980" s="1" t="str">
        <f t="shared" si="1844"/>
        <v>0.0070</v>
      </c>
      <c r="R980" s="1" t="s">
        <v>29</v>
      </c>
      <c r="S980" s="1">
        <v>-0.0014</v>
      </c>
      <c r="T980" s="1" t="str">
        <f t="shared" si="1845"/>
        <v>0</v>
      </c>
      <c r="U980" s="1" t="str">
        <f t="shared" si="1876"/>
        <v>0.0056</v>
      </c>
    </row>
    <row r="981" s="1" customFormat="1" spans="1:21">
      <c r="A981" s="1" t="str">
        <f>"4601992006752"</f>
        <v>4601992006752</v>
      </c>
      <c r="B981" s="1" t="s">
        <v>1005</v>
      </c>
      <c r="C981" s="1" t="s">
        <v>24</v>
      </c>
      <c r="D981" s="1" t="str">
        <f t="shared" si="1842"/>
        <v>2021</v>
      </c>
      <c r="E981" s="1" t="str">
        <f>"191.68"</f>
        <v>191.68</v>
      </c>
      <c r="F981" s="1" t="str">
        <f t="shared" ref="F981:I981" si="1879">"0"</f>
        <v>0</v>
      </c>
      <c r="G981" s="1" t="str">
        <f t="shared" si="1879"/>
        <v>0</v>
      </c>
      <c r="H981" s="1" t="str">
        <f t="shared" si="1879"/>
        <v>0</v>
      </c>
      <c r="I981" s="1" t="str">
        <f t="shared" si="1879"/>
        <v>0</v>
      </c>
      <c r="J981" s="1" t="str">
        <f t="shared" ref="J981:J985" si="1880">"15"</f>
        <v>15</v>
      </c>
      <c r="K981" s="1" t="str">
        <f t="shared" ref="K981:P981" si="1881">"0"</f>
        <v>0</v>
      </c>
      <c r="L981" s="1" t="str">
        <f t="shared" si="1881"/>
        <v>0</v>
      </c>
      <c r="M981" s="1" t="str">
        <f t="shared" si="1881"/>
        <v>0</v>
      </c>
      <c r="N981" s="1" t="str">
        <f t="shared" si="1881"/>
        <v>0</v>
      </c>
      <c r="O981" s="1" t="str">
        <f t="shared" si="1881"/>
        <v>0</v>
      </c>
      <c r="P981" s="1" t="str">
        <f t="shared" si="1881"/>
        <v>0</v>
      </c>
      <c r="Q981" s="1" t="str">
        <f t="shared" si="1844"/>
        <v>0.0070</v>
      </c>
      <c r="R981" s="1" t="s">
        <v>29</v>
      </c>
      <c r="S981" s="1">
        <v>-0.0014</v>
      </c>
      <c r="T981" s="1" t="str">
        <f t="shared" si="1845"/>
        <v>0</v>
      </c>
      <c r="U981" s="1" t="str">
        <f t="shared" si="1876"/>
        <v>0.0056</v>
      </c>
    </row>
    <row r="982" s="1" customFormat="1" spans="1:21">
      <c r="A982" s="1" t="str">
        <f>"4601992006787"</f>
        <v>4601992006787</v>
      </c>
      <c r="B982" s="1" t="s">
        <v>1006</v>
      </c>
      <c r="C982" s="1" t="s">
        <v>24</v>
      </c>
      <c r="D982" s="1" t="str">
        <f t="shared" si="1842"/>
        <v>2021</v>
      </c>
      <c r="E982" s="1" t="str">
        <f>"167.72"</f>
        <v>167.72</v>
      </c>
      <c r="F982" s="1" t="str">
        <f t="shared" ref="F982:I982" si="1882">"0"</f>
        <v>0</v>
      </c>
      <c r="G982" s="1" t="str">
        <f t="shared" si="1882"/>
        <v>0</v>
      </c>
      <c r="H982" s="1" t="str">
        <f t="shared" si="1882"/>
        <v>0</v>
      </c>
      <c r="I982" s="1" t="str">
        <f t="shared" si="1882"/>
        <v>0</v>
      </c>
      <c r="J982" s="1" t="str">
        <f>"13"</f>
        <v>13</v>
      </c>
      <c r="K982" s="1" t="str">
        <f t="shared" ref="K982:P982" si="1883">"0"</f>
        <v>0</v>
      </c>
      <c r="L982" s="1" t="str">
        <f t="shared" si="1883"/>
        <v>0</v>
      </c>
      <c r="M982" s="1" t="str">
        <f t="shared" si="1883"/>
        <v>0</v>
      </c>
      <c r="N982" s="1" t="str">
        <f t="shared" si="1883"/>
        <v>0</v>
      </c>
      <c r="O982" s="1" t="str">
        <f t="shared" si="1883"/>
        <v>0</v>
      </c>
      <c r="P982" s="1" t="str">
        <f t="shared" si="1883"/>
        <v>0</v>
      </c>
      <c r="Q982" s="1" t="str">
        <f t="shared" si="1844"/>
        <v>0.0070</v>
      </c>
      <c r="R982" s="1" t="s">
        <v>29</v>
      </c>
      <c r="S982" s="1">
        <v>-0.0014</v>
      </c>
      <c r="T982" s="1" t="str">
        <f t="shared" si="1845"/>
        <v>0</v>
      </c>
      <c r="U982" s="1" t="str">
        <f t="shared" si="1876"/>
        <v>0.0056</v>
      </c>
    </row>
    <row r="983" s="1" customFormat="1" spans="1:21">
      <c r="A983" s="1" t="str">
        <f>"4601992006916"</f>
        <v>4601992006916</v>
      </c>
      <c r="B983" s="1" t="s">
        <v>1007</v>
      </c>
      <c r="C983" s="1" t="s">
        <v>24</v>
      </c>
      <c r="D983" s="1" t="str">
        <f t="shared" si="1842"/>
        <v>2021</v>
      </c>
      <c r="E983" s="1" t="str">
        <f t="shared" ref="E983:P983" si="1884">"0"</f>
        <v>0</v>
      </c>
      <c r="F983" s="1" t="str">
        <f t="shared" si="1884"/>
        <v>0</v>
      </c>
      <c r="G983" s="1" t="str">
        <f t="shared" si="1884"/>
        <v>0</v>
      </c>
      <c r="H983" s="1" t="str">
        <f t="shared" si="1884"/>
        <v>0</v>
      </c>
      <c r="I983" s="1" t="str">
        <f t="shared" si="1884"/>
        <v>0</v>
      </c>
      <c r="J983" s="1" t="str">
        <f t="shared" si="1884"/>
        <v>0</v>
      </c>
      <c r="K983" s="1" t="str">
        <f t="shared" si="1884"/>
        <v>0</v>
      </c>
      <c r="L983" s="1" t="str">
        <f t="shared" si="1884"/>
        <v>0</v>
      </c>
      <c r="M983" s="1" t="str">
        <f t="shared" si="1884"/>
        <v>0</v>
      </c>
      <c r="N983" s="1" t="str">
        <f t="shared" si="1884"/>
        <v>0</v>
      </c>
      <c r="O983" s="1" t="str">
        <f t="shared" si="1884"/>
        <v>0</v>
      </c>
      <c r="P983" s="1" t="str">
        <f t="shared" si="1884"/>
        <v>0</v>
      </c>
      <c r="Q983" s="1" t="str">
        <f t="shared" si="1844"/>
        <v>0.0070</v>
      </c>
      <c r="R983" s="1" t="s">
        <v>25</v>
      </c>
      <c r="T983" s="1" t="str">
        <f t="shared" si="1845"/>
        <v>0</v>
      </c>
      <c r="U983" s="1" t="str">
        <f>"0.0070"</f>
        <v>0.0070</v>
      </c>
    </row>
    <row r="984" s="1" customFormat="1" spans="1:21">
      <c r="A984" s="1" t="str">
        <f>"4601991408998"</f>
        <v>4601991408998</v>
      </c>
      <c r="B984" s="1" t="s">
        <v>1008</v>
      </c>
      <c r="C984" s="1" t="s">
        <v>24</v>
      </c>
      <c r="D984" s="1" t="str">
        <f t="shared" si="1842"/>
        <v>2021</v>
      </c>
      <c r="E984" s="1" t="str">
        <f>"3471.96"</f>
        <v>3471.96</v>
      </c>
      <c r="F984" s="1" t="str">
        <f t="shared" ref="F984:I984" si="1885">"0"</f>
        <v>0</v>
      </c>
      <c r="G984" s="1" t="str">
        <f t="shared" si="1885"/>
        <v>0</v>
      </c>
      <c r="H984" s="1" t="str">
        <f t="shared" si="1885"/>
        <v>0</v>
      </c>
      <c r="I984" s="1" t="str">
        <f t="shared" si="1885"/>
        <v>0</v>
      </c>
      <c r="J984" s="1" t="str">
        <f t="shared" si="1880"/>
        <v>15</v>
      </c>
      <c r="K984" s="1" t="str">
        <f t="shared" ref="K984:P984" si="1886">"0"</f>
        <v>0</v>
      </c>
      <c r="L984" s="1" t="str">
        <f t="shared" si="1886"/>
        <v>0</v>
      </c>
      <c r="M984" s="1" t="str">
        <f t="shared" si="1886"/>
        <v>0</v>
      </c>
      <c r="N984" s="1" t="str">
        <f t="shared" si="1886"/>
        <v>0</v>
      </c>
      <c r="O984" s="1" t="str">
        <f t="shared" si="1886"/>
        <v>0</v>
      </c>
      <c r="P984" s="1" t="str">
        <f t="shared" si="1886"/>
        <v>0</v>
      </c>
      <c r="Q984" s="1" t="str">
        <f t="shared" si="1844"/>
        <v>0.0070</v>
      </c>
      <c r="R984" s="1" t="s">
        <v>29</v>
      </c>
      <c r="S984" s="1">
        <v>-0.0014</v>
      </c>
      <c r="T984" s="1" t="str">
        <f t="shared" si="1845"/>
        <v>0</v>
      </c>
      <c r="U984" s="1" t="str">
        <f t="shared" ref="U984:U993" si="1887">"0.0056"</f>
        <v>0.0056</v>
      </c>
    </row>
    <row r="985" s="1" customFormat="1" spans="1:21">
      <c r="A985" s="1" t="str">
        <f>"4601992006917"</f>
        <v>4601992006917</v>
      </c>
      <c r="B985" s="1" t="s">
        <v>1009</v>
      </c>
      <c r="C985" s="1" t="s">
        <v>24</v>
      </c>
      <c r="D985" s="1" t="str">
        <f t="shared" si="1842"/>
        <v>2021</v>
      </c>
      <c r="E985" s="1" t="str">
        <f>"210.94"</f>
        <v>210.94</v>
      </c>
      <c r="F985" s="1" t="str">
        <f t="shared" ref="F985:I985" si="1888">"0"</f>
        <v>0</v>
      </c>
      <c r="G985" s="1" t="str">
        <f t="shared" si="1888"/>
        <v>0</v>
      </c>
      <c r="H985" s="1" t="str">
        <f t="shared" si="1888"/>
        <v>0</v>
      </c>
      <c r="I985" s="1" t="str">
        <f t="shared" si="1888"/>
        <v>0</v>
      </c>
      <c r="J985" s="1" t="str">
        <f t="shared" si="1880"/>
        <v>15</v>
      </c>
      <c r="K985" s="1" t="str">
        <f t="shared" ref="K985:P985" si="1889">"0"</f>
        <v>0</v>
      </c>
      <c r="L985" s="1" t="str">
        <f t="shared" si="1889"/>
        <v>0</v>
      </c>
      <c r="M985" s="1" t="str">
        <f t="shared" si="1889"/>
        <v>0</v>
      </c>
      <c r="N985" s="1" t="str">
        <f t="shared" si="1889"/>
        <v>0</v>
      </c>
      <c r="O985" s="1" t="str">
        <f t="shared" si="1889"/>
        <v>0</v>
      </c>
      <c r="P985" s="1" t="str">
        <f t="shared" si="1889"/>
        <v>0</v>
      </c>
      <c r="Q985" s="1" t="str">
        <f t="shared" si="1844"/>
        <v>0.0070</v>
      </c>
      <c r="R985" s="1" t="s">
        <v>29</v>
      </c>
      <c r="S985" s="1">
        <v>-0.0014</v>
      </c>
      <c r="T985" s="1" t="str">
        <f t="shared" si="1845"/>
        <v>0</v>
      </c>
      <c r="U985" s="1" t="str">
        <f t="shared" si="1887"/>
        <v>0.0056</v>
      </c>
    </row>
    <row r="986" s="1" customFormat="1" spans="1:21">
      <c r="A986" s="1" t="str">
        <f>"4601992006912"</f>
        <v>4601992006912</v>
      </c>
      <c r="B986" s="1" t="s">
        <v>1010</v>
      </c>
      <c r="C986" s="1" t="s">
        <v>24</v>
      </c>
      <c r="D986" s="1" t="str">
        <f t="shared" si="1842"/>
        <v>2021</v>
      </c>
      <c r="E986" s="1" t="str">
        <f>"36.27"</f>
        <v>36.27</v>
      </c>
      <c r="F986" s="1" t="str">
        <f t="shared" ref="F986:I986" si="1890">"0"</f>
        <v>0</v>
      </c>
      <c r="G986" s="1" t="str">
        <f t="shared" si="1890"/>
        <v>0</v>
      </c>
      <c r="H986" s="1" t="str">
        <f t="shared" si="1890"/>
        <v>0</v>
      </c>
      <c r="I986" s="1" t="str">
        <f t="shared" si="1890"/>
        <v>0</v>
      </c>
      <c r="J986" s="1" t="str">
        <f>"4"</f>
        <v>4</v>
      </c>
      <c r="K986" s="1" t="str">
        <f t="shared" ref="K986:P986" si="1891">"0"</f>
        <v>0</v>
      </c>
      <c r="L986" s="1" t="str">
        <f t="shared" si="1891"/>
        <v>0</v>
      </c>
      <c r="M986" s="1" t="str">
        <f t="shared" si="1891"/>
        <v>0</v>
      </c>
      <c r="N986" s="1" t="str">
        <f t="shared" si="1891"/>
        <v>0</v>
      </c>
      <c r="O986" s="1" t="str">
        <f t="shared" si="1891"/>
        <v>0</v>
      </c>
      <c r="P986" s="1" t="str">
        <f t="shared" si="1891"/>
        <v>0</v>
      </c>
      <c r="Q986" s="1" t="str">
        <f t="shared" si="1844"/>
        <v>0.0070</v>
      </c>
      <c r="R986" s="1" t="s">
        <v>29</v>
      </c>
      <c r="S986" s="1">
        <v>-0.0014</v>
      </c>
      <c r="T986" s="1" t="str">
        <f t="shared" si="1845"/>
        <v>0</v>
      </c>
      <c r="U986" s="1" t="str">
        <f t="shared" si="1887"/>
        <v>0.0056</v>
      </c>
    </row>
    <row r="987" s="1" customFormat="1" spans="1:21">
      <c r="A987" s="1" t="str">
        <f>"4601992006945"</f>
        <v>4601992006945</v>
      </c>
      <c r="B987" s="1" t="s">
        <v>1011</v>
      </c>
      <c r="C987" s="1" t="s">
        <v>24</v>
      </c>
      <c r="D987" s="1" t="str">
        <f t="shared" si="1842"/>
        <v>2021</v>
      </c>
      <c r="E987" s="1" t="str">
        <f t="shared" ref="E987:E990" si="1892">"12.09"</f>
        <v>12.09</v>
      </c>
      <c r="F987" s="1" t="str">
        <f t="shared" ref="F987:I987" si="1893">"0"</f>
        <v>0</v>
      </c>
      <c r="G987" s="1" t="str">
        <f t="shared" si="1893"/>
        <v>0</v>
      </c>
      <c r="H987" s="1" t="str">
        <f t="shared" si="1893"/>
        <v>0</v>
      </c>
      <c r="I987" s="1" t="str">
        <f t="shared" si="1893"/>
        <v>0</v>
      </c>
      <c r="J987" s="1" t="str">
        <f>"2"</f>
        <v>2</v>
      </c>
      <c r="K987" s="1" t="str">
        <f t="shared" ref="K987:P987" si="1894">"0"</f>
        <v>0</v>
      </c>
      <c r="L987" s="1" t="str">
        <f t="shared" si="1894"/>
        <v>0</v>
      </c>
      <c r="M987" s="1" t="str">
        <f t="shared" si="1894"/>
        <v>0</v>
      </c>
      <c r="N987" s="1" t="str">
        <f t="shared" si="1894"/>
        <v>0</v>
      </c>
      <c r="O987" s="1" t="str">
        <f t="shared" si="1894"/>
        <v>0</v>
      </c>
      <c r="P987" s="1" t="str">
        <f t="shared" si="1894"/>
        <v>0</v>
      </c>
      <c r="Q987" s="1" t="str">
        <f t="shared" si="1844"/>
        <v>0.0070</v>
      </c>
      <c r="R987" s="1" t="s">
        <v>29</v>
      </c>
      <c r="S987" s="1">
        <v>-0.0014</v>
      </c>
      <c r="T987" s="1" t="str">
        <f t="shared" si="1845"/>
        <v>0</v>
      </c>
      <c r="U987" s="1" t="str">
        <f t="shared" si="1887"/>
        <v>0.0056</v>
      </c>
    </row>
    <row r="988" s="1" customFormat="1" spans="1:21">
      <c r="A988" s="1" t="str">
        <f>"4601992006932"</f>
        <v>4601992006932</v>
      </c>
      <c r="B988" s="1" t="s">
        <v>1012</v>
      </c>
      <c r="C988" s="1" t="s">
        <v>24</v>
      </c>
      <c r="D988" s="1" t="str">
        <f t="shared" si="1842"/>
        <v>2021</v>
      </c>
      <c r="E988" s="1" t="str">
        <f>"72.43"</f>
        <v>72.43</v>
      </c>
      <c r="F988" s="1" t="str">
        <f t="shared" ref="F988:I988" si="1895">"0"</f>
        <v>0</v>
      </c>
      <c r="G988" s="1" t="str">
        <f t="shared" si="1895"/>
        <v>0</v>
      </c>
      <c r="H988" s="1" t="str">
        <f t="shared" si="1895"/>
        <v>0</v>
      </c>
      <c r="I988" s="1" t="str">
        <f t="shared" si="1895"/>
        <v>0</v>
      </c>
      <c r="J988" s="1" t="str">
        <f>"5"</f>
        <v>5</v>
      </c>
      <c r="K988" s="1" t="str">
        <f t="shared" ref="K988:P988" si="1896">"0"</f>
        <v>0</v>
      </c>
      <c r="L988" s="1" t="str">
        <f t="shared" si="1896"/>
        <v>0</v>
      </c>
      <c r="M988" s="1" t="str">
        <f t="shared" si="1896"/>
        <v>0</v>
      </c>
      <c r="N988" s="1" t="str">
        <f t="shared" si="1896"/>
        <v>0</v>
      </c>
      <c r="O988" s="1" t="str">
        <f t="shared" si="1896"/>
        <v>0</v>
      </c>
      <c r="P988" s="1" t="str">
        <f t="shared" si="1896"/>
        <v>0</v>
      </c>
      <c r="Q988" s="1" t="str">
        <f t="shared" si="1844"/>
        <v>0.0070</v>
      </c>
      <c r="R988" s="1" t="s">
        <v>29</v>
      </c>
      <c r="S988" s="1">
        <v>-0.0014</v>
      </c>
      <c r="T988" s="1" t="str">
        <f t="shared" si="1845"/>
        <v>0</v>
      </c>
      <c r="U988" s="1" t="str">
        <f t="shared" si="1887"/>
        <v>0.0056</v>
      </c>
    </row>
    <row r="989" s="1" customFormat="1" spans="1:21">
      <c r="A989" s="1" t="str">
        <f>"4601992006975"</f>
        <v>4601992006975</v>
      </c>
      <c r="B989" s="1" t="s">
        <v>1013</v>
      </c>
      <c r="C989" s="1" t="s">
        <v>24</v>
      </c>
      <c r="D989" s="1" t="str">
        <f t="shared" si="1842"/>
        <v>2021</v>
      </c>
      <c r="E989" s="1" t="str">
        <f t="shared" si="1892"/>
        <v>12.09</v>
      </c>
      <c r="F989" s="1" t="str">
        <f t="shared" ref="F989:I989" si="1897">"0"</f>
        <v>0</v>
      </c>
      <c r="G989" s="1" t="str">
        <f t="shared" si="1897"/>
        <v>0</v>
      </c>
      <c r="H989" s="1" t="str">
        <f t="shared" si="1897"/>
        <v>0</v>
      </c>
      <c r="I989" s="1" t="str">
        <f t="shared" si="1897"/>
        <v>0</v>
      </c>
      <c r="J989" s="1" t="str">
        <f>"1"</f>
        <v>1</v>
      </c>
      <c r="K989" s="1" t="str">
        <f t="shared" ref="K989:P989" si="1898">"0"</f>
        <v>0</v>
      </c>
      <c r="L989" s="1" t="str">
        <f t="shared" si="1898"/>
        <v>0</v>
      </c>
      <c r="M989" s="1" t="str">
        <f t="shared" si="1898"/>
        <v>0</v>
      </c>
      <c r="N989" s="1" t="str">
        <f t="shared" si="1898"/>
        <v>0</v>
      </c>
      <c r="O989" s="1" t="str">
        <f t="shared" si="1898"/>
        <v>0</v>
      </c>
      <c r="P989" s="1" t="str">
        <f t="shared" si="1898"/>
        <v>0</v>
      </c>
      <c r="Q989" s="1" t="str">
        <f t="shared" si="1844"/>
        <v>0.0070</v>
      </c>
      <c r="R989" s="1" t="s">
        <v>29</v>
      </c>
      <c r="S989" s="1">
        <v>-0.0014</v>
      </c>
      <c r="T989" s="1" t="str">
        <f t="shared" si="1845"/>
        <v>0</v>
      </c>
      <c r="U989" s="1" t="str">
        <f t="shared" si="1887"/>
        <v>0.0056</v>
      </c>
    </row>
    <row r="990" s="1" customFormat="1" spans="1:21">
      <c r="A990" s="1" t="str">
        <f>"4601992007011"</f>
        <v>4601992007011</v>
      </c>
      <c r="B990" s="1" t="s">
        <v>1014</v>
      </c>
      <c r="C990" s="1" t="s">
        <v>24</v>
      </c>
      <c r="D990" s="1" t="str">
        <f t="shared" si="1842"/>
        <v>2021</v>
      </c>
      <c r="E990" s="1" t="str">
        <f t="shared" si="1892"/>
        <v>12.09</v>
      </c>
      <c r="F990" s="1" t="str">
        <f t="shared" ref="F990:I990" si="1899">"0"</f>
        <v>0</v>
      </c>
      <c r="G990" s="1" t="str">
        <f t="shared" si="1899"/>
        <v>0</v>
      </c>
      <c r="H990" s="1" t="str">
        <f t="shared" si="1899"/>
        <v>0</v>
      </c>
      <c r="I990" s="1" t="str">
        <f t="shared" si="1899"/>
        <v>0</v>
      </c>
      <c r="J990" s="1" t="str">
        <f>"1"</f>
        <v>1</v>
      </c>
      <c r="K990" s="1" t="str">
        <f t="shared" ref="K990:P990" si="1900">"0"</f>
        <v>0</v>
      </c>
      <c r="L990" s="1" t="str">
        <f t="shared" si="1900"/>
        <v>0</v>
      </c>
      <c r="M990" s="1" t="str">
        <f t="shared" si="1900"/>
        <v>0</v>
      </c>
      <c r="N990" s="1" t="str">
        <f t="shared" si="1900"/>
        <v>0</v>
      </c>
      <c r="O990" s="1" t="str">
        <f t="shared" si="1900"/>
        <v>0</v>
      </c>
      <c r="P990" s="1" t="str">
        <f t="shared" si="1900"/>
        <v>0</v>
      </c>
      <c r="Q990" s="1" t="str">
        <f t="shared" si="1844"/>
        <v>0.0070</v>
      </c>
      <c r="R990" s="1" t="s">
        <v>29</v>
      </c>
      <c r="S990" s="1">
        <v>-0.0014</v>
      </c>
      <c r="T990" s="1" t="str">
        <f t="shared" si="1845"/>
        <v>0</v>
      </c>
      <c r="U990" s="1" t="str">
        <f t="shared" si="1887"/>
        <v>0.0056</v>
      </c>
    </row>
    <row r="991" s="1" customFormat="1" spans="1:21">
      <c r="A991" s="1" t="str">
        <f>"4601992006968"</f>
        <v>4601992006968</v>
      </c>
      <c r="B991" s="1" t="s">
        <v>1015</v>
      </c>
      <c r="C991" s="1" t="s">
        <v>24</v>
      </c>
      <c r="D991" s="1" t="str">
        <f t="shared" si="1842"/>
        <v>2021</v>
      </c>
      <c r="E991" s="1" t="str">
        <f>"71.88"</f>
        <v>71.88</v>
      </c>
      <c r="F991" s="1" t="str">
        <f t="shared" ref="F991:I991" si="1901">"0"</f>
        <v>0</v>
      </c>
      <c r="G991" s="1" t="str">
        <f t="shared" si="1901"/>
        <v>0</v>
      </c>
      <c r="H991" s="1" t="str">
        <f t="shared" si="1901"/>
        <v>0</v>
      </c>
      <c r="I991" s="1" t="str">
        <f t="shared" si="1901"/>
        <v>0</v>
      </c>
      <c r="J991" s="1" t="str">
        <f>"6"</f>
        <v>6</v>
      </c>
      <c r="K991" s="1" t="str">
        <f t="shared" ref="K991:P991" si="1902">"0"</f>
        <v>0</v>
      </c>
      <c r="L991" s="1" t="str">
        <f t="shared" si="1902"/>
        <v>0</v>
      </c>
      <c r="M991" s="1" t="str">
        <f t="shared" si="1902"/>
        <v>0</v>
      </c>
      <c r="N991" s="1" t="str">
        <f t="shared" si="1902"/>
        <v>0</v>
      </c>
      <c r="O991" s="1" t="str">
        <f t="shared" si="1902"/>
        <v>0</v>
      </c>
      <c r="P991" s="1" t="str">
        <f t="shared" si="1902"/>
        <v>0</v>
      </c>
      <c r="Q991" s="1" t="str">
        <f t="shared" si="1844"/>
        <v>0.0070</v>
      </c>
      <c r="R991" s="1" t="s">
        <v>29</v>
      </c>
      <c r="S991" s="1">
        <v>-0.0014</v>
      </c>
      <c r="T991" s="1" t="str">
        <f t="shared" si="1845"/>
        <v>0</v>
      </c>
      <c r="U991" s="1" t="str">
        <f t="shared" si="1887"/>
        <v>0.0056</v>
      </c>
    </row>
    <row r="992" s="1" customFormat="1" spans="1:21">
      <c r="A992" s="1" t="str">
        <f>"4601992006979"</f>
        <v>4601992006979</v>
      </c>
      <c r="B992" s="1" t="s">
        <v>1016</v>
      </c>
      <c r="C992" s="1" t="s">
        <v>24</v>
      </c>
      <c r="D992" s="1" t="str">
        <f t="shared" si="1842"/>
        <v>2021</v>
      </c>
      <c r="E992" s="1" t="str">
        <f>"24.18"</f>
        <v>24.18</v>
      </c>
      <c r="F992" s="1" t="str">
        <f t="shared" ref="F992:I992" si="1903">"0"</f>
        <v>0</v>
      </c>
      <c r="G992" s="1" t="str">
        <f t="shared" si="1903"/>
        <v>0</v>
      </c>
      <c r="H992" s="1" t="str">
        <f t="shared" si="1903"/>
        <v>0</v>
      </c>
      <c r="I992" s="1" t="str">
        <f t="shared" si="1903"/>
        <v>0</v>
      </c>
      <c r="J992" s="1" t="str">
        <f t="shared" ref="J992:J997" si="1904">"2"</f>
        <v>2</v>
      </c>
      <c r="K992" s="1" t="str">
        <f t="shared" ref="K992:P992" si="1905">"0"</f>
        <v>0</v>
      </c>
      <c r="L992" s="1" t="str">
        <f t="shared" si="1905"/>
        <v>0</v>
      </c>
      <c r="M992" s="1" t="str">
        <f t="shared" si="1905"/>
        <v>0</v>
      </c>
      <c r="N992" s="1" t="str">
        <f t="shared" si="1905"/>
        <v>0</v>
      </c>
      <c r="O992" s="1" t="str">
        <f t="shared" si="1905"/>
        <v>0</v>
      </c>
      <c r="P992" s="1" t="str">
        <f t="shared" si="1905"/>
        <v>0</v>
      </c>
      <c r="Q992" s="1" t="str">
        <f t="shared" si="1844"/>
        <v>0.0070</v>
      </c>
      <c r="R992" s="1" t="s">
        <v>29</v>
      </c>
      <c r="S992" s="1">
        <v>-0.0014</v>
      </c>
      <c r="T992" s="1" t="str">
        <f t="shared" si="1845"/>
        <v>0</v>
      </c>
      <c r="U992" s="1" t="str">
        <f t="shared" si="1887"/>
        <v>0.0056</v>
      </c>
    </row>
    <row r="993" s="1" customFormat="1" spans="1:21">
      <c r="A993" s="1" t="str">
        <f>"4601992007022"</f>
        <v>4601992007022</v>
      </c>
      <c r="B993" s="1" t="s">
        <v>1017</v>
      </c>
      <c r="C993" s="1" t="s">
        <v>24</v>
      </c>
      <c r="D993" s="1" t="str">
        <f t="shared" si="1842"/>
        <v>2021</v>
      </c>
      <c r="E993" s="1" t="str">
        <f>"48.36"</f>
        <v>48.36</v>
      </c>
      <c r="F993" s="1" t="str">
        <f t="shared" ref="F993:I993" si="1906">"0"</f>
        <v>0</v>
      </c>
      <c r="G993" s="1" t="str">
        <f t="shared" si="1906"/>
        <v>0</v>
      </c>
      <c r="H993" s="1" t="str">
        <f t="shared" si="1906"/>
        <v>0</v>
      </c>
      <c r="I993" s="1" t="str">
        <f t="shared" si="1906"/>
        <v>0</v>
      </c>
      <c r="J993" s="1" t="str">
        <f>"5"</f>
        <v>5</v>
      </c>
      <c r="K993" s="1" t="str">
        <f t="shared" ref="K993:P993" si="1907">"0"</f>
        <v>0</v>
      </c>
      <c r="L993" s="1" t="str">
        <f t="shared" si="1907"/>
        <v>0</v>
      </c>
      <c r="M993" s="1" t="str">
        <f t="shared" si="1907"/>
        <v>0</v>
      </c>
      <c r="N993" s="1" t="str">
        <f t="shared" si="1907"/>
        <v>0</v>
      </c>
      <c r="O993" s="1" t="str">
        <f t="shared" si="1907"/>
        <v>0</v>
      </c>
      <c r="P993" s="1" t="str">
        <f t="shared" si="1907"/>
        <v>0</v>
      </c>
      <c r="Q993" s="1" t="str">
        <f t="shared" si="1844"/>
        <v>0.0070</v>
      </c>
      <c r="R993" s="1" t="s">
        <v>29</v>
      </c>
      <c r="S993" s="1">
        <v>-0.0014</v>
      </c>
      <c r="T993" s="1" t="str">
        <f t="shared" si="1845"/>
        <v>0</v>
      </c>
      <c r="U993" s="1" t="str">
        <f t="shared" si="1887"/>
        <v>0.0056</v>
      </c>
    </row>
    <row r="994" s="1" customFormat="1" spans="1:21">
      <c r="A994" s="1" t="str">
        <f>"4601992007123"</f>
        <v>4601992007123</v>
      </c>
      <c r="B994" s="1" t="s">
        <v>1018</v>
      </c>
      <c r="C994" s="1" t="s">
        <v>24</v>
      </c>
      <c r="D994" s="1" t="str">
        <f t="shared" si="1842"/>
        <v>2021</v>
      </c>
      <c r="E994" s="1" t="str">
        <f>"12.09"</f>
        <v>12.09</v>
      </c>
      <c r="F994" s="1" t="str">
        <f t="shared" ref="F994:I994" si="1908">"0"</f>
        <v>0</v>
      </c>
      <c r="G994" s="1" t="str">
        <f t="shared" si="1908"/>
        <v>0</v>
      </c>
      <c r="H994" s="1" t="str">
        <f t="shared" si="1908"/>
        <v>0</v>
      </c>
      <c r="I994" s="1" t="str">
        <f t="shared" si="1908"/>
        <v>0</v>
      </c>
      <c r="J994" s="1" t="str">
        <f t="shared" si="1904"/>
        <v>2</v>
      </c>
      <c r="K994" s="1" t="str">
        <f t="shared" ref="K994:P994" si="1909">"0"</f>
        <v>0</v>
      </c>
      <c r="L994" s="1" t="str">
        <f t="shared" si="1909"/>
        <v>0</v>
      </c>
      <c r="M994" s="1" t="str">
        <f t="shared" si="1909"/>
        <v>0</v>
      </c>
      <c r="N994" s="1" t="str">
        <f t="shared" si="1909"/>
        <v>0</v>
      </c>
      <c r="O994" s="1" t="str">
        <f t="shared" si="1909"/>
        <v>0</v>
      </c>
      <c r="P994" s="1" t="str">
        <f t="shared" si="1909"/>
        <v>0</v>
      </c>
      <c r="Q994" s="1" t="str">
        <f t="shared" si="1844"/>
        <v>0.0070</v>
      </c>
      <c r="R994" s="1" t="s">
        <v>25</v>
      </c>
      <c r="T994" s="1" t="str">
        <f t="shared" si="1845"/>
        <v>0</v>
      </c>
      <c r="U994" s="1" t="str">
        <f t="shared" ref="U994:U999" si="1910">"0.0070"</f>
        <v>0.0070</v>
      </c>
    </row>
    <row r="995" s="1" customFormat="1" spans="1:21">
      <c r="A995" s="1" t="str">
        <f>"4601992007107"</f>
        <v>4601992007107</v>
      </c>
      <c r="B995" s="1" t="s">
        <v>1019</v>
      </c>
      <c r="C995" s="1" t="s">
        <v>24</v>
      </c>
      <c r="D995" s="1" t="str">
        <f t="shared" si="1842"/>
        <v>2021</v>
      </c>
      <c r="E995" s="1" t="str">
        <f>"48.36"</f>
        <v>48.36</v>
      </c>
      <c r="F995" s="1" t="str">
        <f t="shared" ref="F995:I995" si="1911">"0"</f>
        <v>0</v>
      </c>
      <c r="G995" s="1" t="str">
        <f t="shared" si="1911"/>
        <v>0</v>
      </c>
      <c r="H995" s="1" t="str">
        <f t="shared" si="1911"/>
        <v>0</v>
      </c>
      <c r="I995" s="1" t="str">
        <f t="shared" si="1911"/>
        <v>0</v>
      </c>
      <c r="J995" s="1" t="str">
        <f>"4"</f>
        <v>4</v>
      </c>
      <c r="K995" s="1" t="str">
        <f t="shared" ref="K995:P995" si="1912">"0"</f>
        <v>0</v>
      </c>
      <c r="L995" s="1" t="str">
        <f t="shared" si="1912"/>
        <v>0</v>
      </c>
      <c r="M995" s="1" t="str">
        <f t="shared" si="1912"/>
        <v>0</v>
      </c>
      <c r="N995" s="1" t="str">
        <f t="shared" si="1912"/>
        <v>0</v>
      </c>
      <c r="O995" s="1" t="str">
        <f t="shared" si="1912"/>
        <v>0</v>
      </c>
      <c r="P995" s="1" t="str">
        <f t="shared" si="1912"/>
        <v>0</v>
      </c>
      <c r="Q995" s="1" t="str">
        <f t="shared" si="1844"/>
        <v>0.0070</v>
      </c>
      <c r="R995" s="1" t="s">
        <v>29</v>
      </c>
      <c r="S995" s="1">
        <v>-0.0014</v>
      </c>
      <c r="T995" s="1" t="str">
        <f t="shared" si="1845"/>
        <v>0</v>
      </c>
      <c r="U995" s="1" t="str">
        <f t="shared" ref="U995:U998" si="1913">"0.0056"</f>
        <v>0.0056</v>
      </c>
    </row>
    <row r="996" s="1" customFormat="1" spans="1:21">
      <c r="A996" s="1" t="str">
        <f>"4601992007196"</f>
        <v>4601992007196</v>
      </c>
      <c r="B996" s="1" t="s">
        <v>1020</v>
      </c>
      <c r="C996" s="1" t="s">
        <v>24</v>
      </c>
      <c r="D996" s="1" t="str">
        <f t="shared" si="1842"/>
        <v>2021</v>
      </c>
      <c r="E996" s="1" t="str">
        <f>"84.41"</f>
        <v>84.41</v>
      </c>
      <c r="F996" s="1" t="str">
        <f t="shared" ref="F996:I996" si="1914">"0"</f>
        <v>0</v>
      </c>
      <c r="G996" s="1" t="str">
        <f t="shared" si="1914"/>
        <v>0</v>
      </c>
      <c r="H996" s="1" t="str">
        <f t="shared" si="1914"/>
        <v>0</v>
      </c>
      <c r="I996" s="1" t="str">
        <f t="shared" si="1914"/>
        <v>0</v>
      </c>
      <c r="J996" s="1" t="str">
        <f>"7"</f>
        <v>7</v>
      </c>
      <c r="K996" s="1" t="str">
        <f t="shared" ref="K996:P996" si="1915">"0"</f>
        <v>0</v>
      </c>
      <c r="L996" s="1" t="str">
        <f t="shared" si="1915"/>
        <v>0</v>
      </c>
      <c r="M996" s="1" t="str">
        <f t="shared" si="1915"/>
        <v>0</v>
      </c>
      <c r="N996" s="1" t="str">
        <f t="shared" si="1915"/>
        <v>0</v>
      </c>
      <c r="O996" s="1" t="str">
        <f t="shared" si="1915"/>
        <v>0</v>
      </c>
      <c r="P996" s="1" t="str">
        <f t="shared" si="1915"/>
        <v>0</v>
      </c>
      <c r="Q996" s="1" t="str">
        <f t="shared" si="1844"/>
        <v>0.0070</v>
      </c>
      <c r="R996" s="1" t="s">
        <v>25</v>
      </c>
      <c r="T996" s="1" t="str">
        <f t="shared" si="1845"/>
        <v>0</v>
      </c>
      <c r="U996" s="1" t="str">
        <f t="shared" si="1910"/>
        <v>0.0070</v>
      </c>
    </row>
    <row r="997" s="1" customFormat="1" spans="1:21">
      <c r="A997" s="1" t="str">
        <f>"4601992007130"</f>
        <v>4601992007130</v>
      </c>
      <c r="B997" s="1" t="s">
        <v>1021</v>
      </c>
      <c r="C997" s="1" t="s">
        <v>24</v>
      </c>
      <c r="D997" s="1" t="str">
        <f t="shared" si="1842"/>
        <v>2021</v>
      </c>
      <c r="E997" s="1" t="str">
        <f>"24.18"</f>
        <v>24.18</v>
      </c>
      <c r="F997" s="1" t="str">
        <f t="shared" ref="F997:I997" si="1916">"0"</f>
        <v>0</v>
      </c>
      <c r="G997" s="1" t="str">
        <f t="shared" si="1916"/>
        <v>0</v>
      </c>
      <c r="H997" s="1" t="str">
        <f t="shared" si="1916"/>
        <v>0</v>
      </c>
      <c r="I997" s="1" t="str">
        <f t="shared" si="1916"/>
        <v>0</v>
      </c>
      <c r="J997" s="1" t="str">
        <f t="shared" si="1904"/>
        <v>2</v>
      </c>
      <c r="K997" s="1" t="str">
        <f t="shared" ref="K997:P997" si="1917">"0"</f>
        <v>0</v>
      </c>
      <c r="L997" s="1" t="str">
        <f t="shared" si="1917"/>
        <v>0</v>
      </c>
      <c r="M997" s="1" t="str">
        <f t="shared" si="1917"/>
        <v>0</v>
      </c>
      <c r="N997" s="1" t="str">
        <f t="shared" si="1917"/>
        <v>0</v>
      </c>
      <c r="O997" s="1" t="str">
        <f t="shared" si="1917"/>
        <v>0</v>
      </c>
      <c r="P997" s="1" t="str">
        <f t="shared" si="1917"/>
        <v>0</v>
      </c>
      <c r="Q997" s="1" t="str">
        <f t="shared" si="1844"/>
        <v>0.0070</v>
      </c>
      <c r="R997" s="1" t="s">
        <v>29</v>
      </c>
      <c r="S997" s="1">
        <v>-0.0014</v>
      </c>
      <c r="T997" s="1" t="str">
        <f t="shared" si="1845"/>
        <v>0</v>
      </c>
      <c r="U997" s="1" t="str">
        <f t="shared" si="1913"/>
        <v>0.0056</v>
      </c>
    </row>
    <row r="998" s="1" customFormat="1" spans="1:21">
      <c r="A998" s="1" t="str">
        <f>"4601992007220"</f>
        <v>4601992007220</v>
      </c>
      <c r="B998" s="1" t="s">
        <v>1022</v>
      </c>
      <c r="C998" s="1" t="s">
        <v>24</v>
      </c>
      <c r="D998" s="1" t="str">
        <f t="shared" si="1842"/>
        <v>2021</v>
      </c>
      <c r="E998" s="1" t="str">
        <f>"243.48"</f>
        <v>243.48</v>
      </c>
      <c r="F998" s="1" t="str">
        <f t="shared" ref="F998:I998" si="1918">"0"</f>
        <v>0</v>
      </c>
      <c r="G998" s="1" t="str">
        <f t="shared" si="1918"/>
        <v>0</v>
      </c>
      <c r="H998" s="1" t="str">
        <f t="shared" si="1918"/>
        <v>0</v>
      </c>
      <c r="I998" s="1" t="str">
        <f t="shared" si="1918"/>
        <v>0</v>
      </c>
      <c r="J998" s="1" t="str">
        <f>"19"</f>
        <v>19</v>
      </c>
      <c r="K998" s="1" t="str">
        <f t="shared" ref="K998:P998" si="1919">"0"</f>
        <v>0</v>
      </c>
      <c r="L998" s="1" t="str">
        <f t="shared" si="1919"/>
        <v>0</v>
      </c>
      <c r="M998" s="1" t="str">
        <f t="shared" si="1919"/>
        <v>0</v>
      </c>
      <c r="N998" s="1" t="str">
        <f t="shared" si="1919"/>
        <v>0</v>
      </c>
      <c r="O998" s="1" t="str">
        <f t="shared" si="1919"/>
        <v>0</v>
      </c>
      <c r="P998" s="1" t="str">
        <f t="shared" si="1919"/>
        <v>0</v>
      </c>
      <c r="Q998" s="1" t="str">
        <f t="shared" si="1844"/>
        <v>0.0070</v>
      </c>
      <c r="R998" s="1" t="s">
        <v>29</v>
      </c>
      <c r="S998" s="1">
        <v>-0.0014</v>
      </c>
      <c r="T998" s="1" t="str">
        <f t="shared" si="1845"/>
        <v>0</v>
      </c>
      <c r="U998" s="1" t="str">
        <f t="shared" si="1913"/>
        <v>0.0056</v>
      </c>
    </row>
    <row r="999" s="1" customFormat="1" spans="1:21">
      <c r="A999" s="1" t="str">
        <f>"4601991426845"</f>
        <v>4601991426845</v>
      </c>
      <c r="B999" s="1" t="s">
        <v>1023</v>
      </c>
      <c r="C999" s="1" t="s">
        <v>24</v>
      </c>
      <c r="D999" s="1" t="str">
        <f t="shared" si="1842"/>
        <v>2021</v>
      </c>
      <c r="E999" s="1" t="str">
        <f t="shared" ref="E999:P999" si="1920">"0"</f>
        <v>0</v>
      </c>
      <c r="F999" s="1" t="str">
        <f t="shared" si="1920"/>
        <v>0</v>
      </c>
      <c r="G999" s="1" t="str">
        <f t="shared" si="1920"/>
        <v>0</v>
      </c>
      <c r="H999" s="1" t="str">
        <f t="shared" si="1920"/>
        <v>0</v>
      </c>
      <c r="I999" s="1" t="str">
        <f t="shared" si="1920"/>
        <v>0</v>
      </c>
      <c r="J999" s="1" t="str">
        <f t="shared" si="1920"/>
        <v>0</v>
      </c>
      <c r="K999" s="1" t="str">
        <f t="shared" si="1920"/>
        <v>0</v>
      </c>
      <c r="L999" s="1" t="str">
        <f t="shared" si="1920"/>
        <v>0</v>
      </c>
      <c r="M999" s="1" t="str">
        <f t="shared" si="1920"/>
        <v>0</v>
      </c>
      <c r="N999" s="1" t="str">
        <f t="shared" si="1920"/>
        <v>0</v>
      </c>
      <c r="O999" s="1" t="str">
        <f t="shared" si="1920"/>
        <v>0</v>
      </c>
      <c r="P999" s="1" t="str">
        <f t="shared" si="1920"/>
        <v>0</v>
      </c>
      <c r="Q999" s="1" t="str">
        <f t="shared" si="1844"/>
        <v>0.0070</v>
      </c>
      <c r="R999" s="1" t="s">
        <v>25</v>
      </c>
      <c r="T999" s="1" t="str">
        <f t="shared" si="1845"/>
        <v>0</v>
      </c>
      <c r="U999" s="1" t="str">
        <f t="shared" si="1910"/>
        <v>0.0070</v>
      </c>
    </row>
    <row r="1000" s="1" customFormat="1" spans="1:21">
      <c r="A1000" s="1" t="str">
        <f>"4601991424067"</f>
        <v>4601991424067</v>
      </c>
      <c r="B1000" s="1" t="s">
        <v>1024</v>
      </c>
      <c r="C1000" s="1" t="s">
        <v>24</v>
      </c>
      <c r="D1000" s="1" t="str">
        <f t="shared" si="1842"/>
        <v>2021</v>
      </c>
      <c r="E1000" s="1" t="str">
        <f>"135.38"</f>
        <v>135.38</v>
      </c>
      <c r="F1000" s="1" t="str">
        <f t="shared" ref="F1000:I1000" si="1921">"0"</f>
        <v>0</v>
      </c>
      <c r="G1000" s="1" t="str">
        <f t="shared" si="1921"/>
        <v>0</v>
      </c>
      <c r="H1000" s="1" t="str">
        <f t="shared" si="1921"/>
        <v>0</v>
      </c>
      <c r="I1000" s="1" t="str">
        <f t="shared" si="1921"/>
        <v>0</v>
      </c>
      <c r="J1000" s="1" t="str">
        <f>"16"</f>
        <v>16</v>
      </c>
      <c r="K1000" s="1" t="str">
        <f t="shared" ref="K1000:P1000" si="1922">"0"</f>
        <v>0</v>
      </c>
      <c r="L1000" s="1" t="str">
        <f t="shared" si="1922"/>
        <v>0</v>
      </c>
      <c r="M1000" s="1" t="str">
        <f t="shared" si="1922"/>
        <v>0</v>
      </c>
      <c r="N1000" s="1" t="str">
        <f t="shared" si="1922"/>
        <v>0</v>
      </c>
      <c r="O1000" s="1" t="str">
        <f t="shared" si="1922"/>
        <v>0</v>
      </c>
      <c r="P1000" s="1" t="str">
        <f t="shared" si="1922"/>
        <v>0</v>
      </c>
      <c r="Q1000" s="1" t="str">
        <f t="shared" si="1844"/>
        <v>0.0070</v>
      </c>
      <c r="R1000" s="1" t="s">
        <v>29</v>
      </c>
      <c r="S1000" s="1">
        <v>-0.0014</v>
      </c>
      <c r="T1000" s="1" t="str">
        <f t="shared" si="1845"/>
        <v>0</v>
      </c>
      <c r="U1000" s="1" t="str">
        <f t="shared" ref="U1000:U1008" si="1923">"0.0056"</f>
        <v>0.0056</v>
      </c>
    </row>
    <row r="1001" s="1" customFormat="1" spans="1:21">
      <c r="A1001" s="1" t="str">
        <f>"4601991408127"</f>
        <v>4601991408127</v>
      </c>
      <c r="B1001" s="1" t="s">
        <v>1025</v>
      </c>
      <c r="C1001" s="1" t="s">
        <v>24</v>
      </c>
      <c r="D1001" s="1" t="str">
        <f t="shared" si="1842"/>
        <v>2021</v>
      </c>
      <c r="E1001" s="1" t="str">
        <f>"2279.36"</f>
        <v>2279.36</v>
      </c>
      <c r="F1001" s="1" t="str">
        <f>"34507.84"</f>
        <v>34507.84</v>
      </c>
      <c r="G1001" s="1" t="str">
        <f>"1589.00"</f>
        <v>1589.00</v>
      </c>
      <c r="H1001" s="1" t="str">
        <f>"0"</f>
        <v>0</v>
      </c>
      <c r="I1001" s="1" t="str">
        <f>"14.4421"</f>
        <v>14.4421</v>
      </c>
      <c r="J1001" s="1" t="str">
        <f>"105"</f>
        <v>105</v>
      </c>
      <c r="K1001" s="1" t="str">
        <f>"1"</f>
        <v>1</v>
      </c>
      <c r="L1001" s="1" t="str">
        <f t="shared" ref="L1001:P1001" si="1924">"0"</f>
        <v>0</v>
      </c>
      <c r="M1001" s="1" t="str">
        <f>"0.0095"</f>
        <v>0.0095</v>
      </c>
      <c r="N1001" s="1" t="str">
        <f t="shared" si="1924"/>
        <v>0</v>
      </c>
      <c r="O1001" s="1" t="str">
        <f t="shared" si="1924"/>
        <v>0</v>
      </c>
      <c r="P1001" s="1" t="str">
        <f t="shared" si="1924"/>
        <v>0</v>
      </c>
      <c r="Q1001" s="1" t="str">
        <f t="shared" si="1844"/>
        <v>0.0070</v>
      </c>
      <c r="R1001" s="1" t="s">
        <v>69</v>
      </c>
      <c r="S1001" s="1" t="str">
        <f>"0.0014"</f>
        <v>0.0014</v>
      </c>
      <c r="T1001" s="1" t="str">
        <f t="shared" si="1845"/>
        <v>0</v>
      </c>
      <c r="U1001" s="1" t="str">
        <f>"0.0084"</f>
        <v>0.0084</v>
      </c>
    </row>
    <row r="1002" s="1" customFormat="1" spans="1:21">
      <c r="A1002" s="1" t="str">
        <f>"4601992007319"</f>
        <v>4601992007319</v>
      </c>
      <c r="B1002" s="1" t="s">
        <v>1026</v>
      </c>
      <c r="C1002" s="1" t="s">
        <v>24</v>
      </c>
      <c r="D1002" s="1" t="str">
        <f t="shared" si="1842"/>
        <v>2021</v>
      </c>
      <c r="E1002" s="1" t="str">
        <f>"24.18"</f>
        <v>24.18</v>
      </c>
      <c r="F1002" s="1" t="str">
        <f t="shared" ref="F1002:I1002" si="1925">"0"</f>
        <v>0</v>
      </c>
      <c r="G1002" s="1" t="str">
        <f t="shared" si="1925"/>
        <v>0</v>
      </c>
      <c r="H1002" s="1" t="str">
        <f t="shared" si="1925"/>
        <v>0</v>
      </c>
      <c r="I1002" s="1" t="str">
        <f t="shared" si="1925"/>
        <v>0</v>
      </c>
      <c r="J1002" s="1" t="str">
        <f>"3"</f>
        <v>3</v>
      </c>
      <c r="K1002" s="1" t="str">
        <f t="shared" ref="K1002:P1002" si="1926">"0"</f>
        <v>0</v>
      </c>
      <c r="L1002" s="1" t="str">
        <f t="shared" si="1926"/>
        <v>0</v>
      </c>
      <c r="M1002" s="1" t="str">
        <f t="shared" si="1926"/>
        <v>0</v>
      </c>
      <c r="N1002" s="1" t="str">
        <f t="shared" si="1926"/>
        <v>0</v>
      </c>
      <c r="O1002" s="1" t="str">
        <f t="shared" si="1926"/>
        <v>0</v>
      </c>
      <c r="P1002" s="1" t="str">
        <f t="shared" si="1926"/>
        <v>0</v>
      </c>
      <c r="Q1002" s="1" t="str">
        <f t="shared" si="1844"/>
        <v>0.0070</v>
      </c>
      <c r="R1002" s="1" t="s">
        <v>29</v>
      </c>
      <c r="S1002" s="1">
        <v>-0.0014</v>
      </c>
      <c r="T1002" s="1" t="str">
        <f t="shared" si="1845"/>
        <v>0</v>
      </c>
      <c r="U1002" s="1" t="str">
        <f t="shared" si="1923"/>
        <v>0.0056</v>
      </c>
    </row>
    <row r="1003" s="1" customFormat="1" spans="1:21">
      <c r="A1003" s="1" t="str">
        <f>"4601992007308"</f>
        <v>4601992007308</v>
      </c>
      <c r="B1003" s="1" t="s">
        <v>1027</v>
      </c>
      <c r="C1003" s="1" t="s">
        <v>24</v>
      </c>
      <c r="D1003" s="1" t="str">
        <f t="shared" si="1842"/>
        <v>2021</v>
      </c>
      <c r="E1003" s="1" t="str">
        <f>"14.00"</f>
        <v>14.00</v>
      </c>
      <c r="F1003" s="1" t="str">
        <f t="shared" ref="F1003:I1003" si="1927">"0"</f>
        <v>0</v>
      </c>
      <c r="G1003" s="1" t="str">
        <f t="shared" si="1927"/>
        <v>0</v>
      </c>
      <c r="H1003" s="1" t="str">
        <f t="shared" si="1927"/>
        <v>0</v>
      </c>
      <c r="I1003" s="1" t="str">
        <f t="shared" si="1927"/>
        <v>0</v>
      </c>
      <c r="J1003" s="1" t="str">
        <f>"1"</f>
        <v>1</v>
      </c>
      <c r="K1003" s="1" t="str">
        <f t="shared" ref="K1003:P1003" si="1928">"0"</f>
        <v>0</v>
      </c>
      <c r="L1003" s="1" t="str">
        <f t="shared" si="1928"/>
        <v>0</v>
      </c>
      <c r="M1003" s="1" t="str">
        <f t="shared" si="1928"/>
        <v>0</v>
      </c>
      <c r="N1003" s="1" t="str">
        <f t="shared" si="1928"/>
        <v>0</v>
      </c>
      <c r="O1003" s="1" t="str">
        <f t="shared" si="1928"/>
        <v>0</v>
      </c>
      <c r="P1003" s="1" t="str">
        <f t="shared" si="1928"/>
        <v>0</v>
      </c>
      <c r="Q1003" s="1" t="str">
        <f t="shared" si="1844"/>
        <v>0.0070</v>
      </c>
      <c r="R1003" s="1" t="s">
        <v>29</v>
      </c>
      <c r="S1003" s="1">
        <v>-0.0014</v>
      </c>
      <c r="T1003" s="1" t="str">
        <f t="shared" si="1845"/>
        <v>0</v>
      </c>
      <c r="U1003" s="1" t="str">
        <f t="shared" si="1923"/>
        <v>0.0056</v>
      </c>
    </row>
    <row r="1004" s="1" customFormat="1" spans="1:21">
      <c r="A1004" s="1" t="str">
        <f>"4601991402814"</f>
        <v>4601991402814</v>
      </c>
      <c r="B1004" s="1" t="s">
        <v>1028</v>
      </c>
      <c r="C1004" s="1" t="s">
        <v>24</v>
      </c>
      <c r="D1004" s="1" t="str">
        <f t="shared" si="1842"/>
        <v>2021</v>
      </c>
      <c r="E1004" s="1" t="str">
        <f>"943.11"</f>
        <v>943.11</v>
      </c>
      <c r="F1004" s="1" t="str">
        <f t="shared" ref="F1004:I1004" si="1929">"0"</f>
        <v>0</v>
      </c>
      <c r="G1004" s="1" t="str">
        <f t="shared" si="1929"/>
        <v>0</v>
      </c>
      <c r="H1004" s="1" t="str">
        <f t="shared" si="1929"/>
        <v>0</v>
      </c>
      <c r="I1004" s="1" t="str">
        <f t="shared" si="1929"/>
        <v>0</v>
      </c>
      <c r="J1004" s="1" t="str">
        <f>"90"</f>
        <v>90</v>
      </c>
      <c r="K1004" s="1" t="str">
        <f t="shared" ref="K1004:P1004" si="1930">"0"</f>
        <v>0</v>
      </c>
      <c r="L1004" s="1" t="str">
        <f t="shared" si="1930"/>
        <v>0</v>
      </c>
      <c r="M1004" s="1" t="str">
        <f t="shared" si="1930"/>
        <v>0</v>
      </c>
      <c r="N1004" s="1" t="str">
        <f t="shared" si="1930"/>
        <v>0</v>
      </c>
      <c r="O1004" s="1" t="str">
        <f t="shared" si="1930"/>
        <v>0</v>
      </c>
      <c r="P1004" s="1" t="str">
        <f t="shared" si="1930"/>
        <v>0</v>
      </c>
      <c r="Q1004" s="1" t="str">
        <f t="shared" si="1844"/>
        <v>0.0070</v>
      </c>
      <c r="R1004" s="1" t="s">
        <v>29</v>
      </c>
      <c r="S1004" s="1">
        <v>-0.0014</v>
      </c>
      <c r="T1004" s="1" t="str">
        <f t="shared" si="1845"/>
        <v>0</v>
      </c>
      <c r="U1004" s="1" t="str">
        <f t="shared" si="1923"/>
        <v>0.0056</v>
      </c>
    </row>
    <row r="1005" s="1" customFormat="1" spans="1:21">
      <c r="A1005" s="1" t="str">
        <f>"4601992007334"</f>
        <v>4601992007334</v>
      </c>
      <c r="B1005" s="1" t="s">
        <v>1029</v>
      </c>
      <c r="C1005" s="1" t="s">
        <v>24</v>
      </c>
      <c r="D1005" s="1" t="str">
        <f t="shared" si="1842"/>
        <v>2021</v>
      </c>
      <c r="E1005" s="1" t="str">
        <f>"23.96"</f>
        <v>23.96</v>
      </c>
      <c r="F1005" s="1" t="str">
        <f t="shared" ref="F1005:I1005" si="1931">"0"</f>
        <v>0</v>
      </c>
      <c r="G1005" s="1" t="str">
        <f t="shared" si="1931"/>
        <v>0</v>
      </c>
      <c r="H1005" s="1" t="str">
        <f t="shared" si="1931"/>
        <v>0</v>
      </c>
      <c r="I1005" s="1" t="str">
        <f t="shared" si="1931"/>
        <v>0</v>
      </c>
      <c r="J1005" s="1" t="str">
        <f>"7"</f>
        <v>7</v>
      </c>
      <c r="K1005" s="1" t="str">
        <f t="shared" ref="K1005:P1005" si="1932">"0"</f>
        <v>0</v>
      </c>
      <c r="L1005" s="1" t="str">
        <f t="shared" si="1932"/>
        <v>0</v>
      </c>
      <c r="M1005" s="1" t="str">
        <f t="shared" si="1932"/>
        <v>0</v>
      </c>
      <c r="N1005" s="1" t="str">
        <f t="shared" si="1932"/>
        <v>0</v>
      </c>
      <c r="O1005" s="1" t="str">
        <f t="shared" si="1932"/>
        <v>0</v>
      </c>
      <c r="P1005" s="1" t="str">
        <f t="shared" si="1932"/>
        <v>0</v>
      </c>
      <c r="Q1005" s="1" t="str">
        <f t="shared" si="1844"/>
        <v>0.0070</v>
      </c>
      <c r="R1005" s="1" t="s">
        <v>29</v>
      </c>
      <c r="S1005" s="1">
        <v>-0.0014</v>
      </c>
      <c r="T1005" s="1" t="str">
        <f t="shared" si="1845"/>
        <v>0</v>
      </c>
      <c r="U1005" s="1" t="str">
        <f t="shared" si="1923"/>
        <v>0.0056</v>
      </c>
    </row>
    <row r="1006" s="1" customFormat="1" spans="1:21">
      <c r="A1006" s="1" t="str">
        <f>"4601992007360"</f>
        <v>4601992007360</v>
      </c>
      <c r="B1006" s="1" t="s">
        <v>1030</v>
      </c>
      <c r="C1006" s="1" t="s">
        <v>24</v>
      </c>
      <c r="D1006" s="1" t="str">
        <f t="shared" si="1842"/>
        <v>2021</v>
      </c>
      <c r="E1006" s="1" t="str">
        <f>"12.09"</f>
        <v>12.09</v>
      </c>
      <c r="F1006" s="1" t="str">
        <f t="shared" ref="F1006:I1006" si="1933">"0"</f>
        <v>0</v>
      </c>
      <c r="G1006" s="1" t="str">
        <f t="shared" si="1933"/>
        <v>0</v>
      </c>
      <c r="H1006" s="1" t="str">
        <f t="shared" si="1933"/>
        <v>0</v>
      </c>
      <c r="I1006" s="1" t="str">
        <f t="shared" si="1933"/>
        <v>0</v>
      </c>
      <c r="J1006" s="1" t="str">
        <f>"2"</f>
        <v>2</v>
      </c>
      <c r="K1006" s="1" t="str">
        <f t="shared" ref="K1006:P1006" si="1934">"0"</f>
        <v>0</v>
      </c>
      <c r="L1006" s="1" t="str">
        <f t="shared" si="1934"/>
        <v>0</v>
      </c>
      <c r="M1006" s="1" t="str">
        <f t="shared" si="1934"/>
        <v>0</v>
      </c>
      <c r="N1006" s="1" t="str">
        <f t="shared" si="1934"/>
        <v>0</v>
      </c>
      <c r="O1006" s="1" t="str">
        <f t="shared" si="1934"/>
        <v>0</v>
      </c>
      <c r="P1006" s="1" t="str">
        <f t="shared" si="1934"/>
        <v>0</v>
      </c>
      <c r="Q1006" s="1" t="str">
        <f t="shared" si="1844"/>
        <v>0.0070</v>
      </c>
      <c r="R1006" s="1" t="s">
        <v>29</v>
      </c>
      <c r="S1006" s="1">
        <v>-0.0014</v>
      </c>
      <c r="T1006" s="1" t="str">
        <f t="shared" si="1845"/>
        <v>0</v>
      </c>
      <c r="U1006" s="1" t="str">
        <f t="shared" si="1923"/>
        <v>0.0056</v>
      </c>
    </row>
    <row r="1007" s="1" customFormat="1" spans="1:21">
      <c r="A1007" s="1" t="str">
        <f>"4601992007447"</f>
        <v>4601992007447</v>
      </c>
      <c r="B1007" s="1" t="s">
        <v>1031</v>
      </c>
      <c r="C1007" s="1" t="s">
        <v>24</v>
      </c>
      <c r="D1007" s="1" t="str">
        <f t="shared" si="1842"/>
        <v>2021</v>
      </c>
      <c r="E1007" s="1" t="str">
        <f>"143.76"</f>
        <v>143.76</v>
      </c>
      <c r="F1007" s="1" t="str">
        <f t="shared" ref="F1007:I1007" si="1935">"0"</f>
        <v>0</v>
      </c>
      <c r="G1007" s="1" t="str">
        <f t="shared" si="1935"/>
        <v>0</v>
      </c>
      <c r="H1007" s="1" t="str">
        <f t="shared" si="1935"/>
        <v>0</v>
      </c>
      <c r="I1007" s="1" t="str">
        <f t="shared" si="1935"/>
        <v>0</v>
      </c>
      <c r="J1007" s="1" t="str">
        <f>"11"</f>
        <v>11</v>
      </c>
      <c r="K1007" s="1" t="str">
        <f t="shared" ref="K1007:P1007" si="1936">"0"</f>
        <v>0</v>
      </c>
      <c r="L1007" s="1" t="str">
        <f t="shared" si="1936"/>
        <v>0</v>
      </c>
      <c r="M1007" s="1" t="str">
        <f t="shared" si="1936"/>
        <v>0</v>
      </c>
      <c r="N1007" s="1" t="str">
        <f t="shared" si="1936"/>
        <v>0</v>
      </c>
      <c r="O1007" s="1" t="str">
        <f t="shared" si="1936"/>
        <v>0</v>
      </c>
      <c r="P1007" s="1" t="str">
        <f t="shared" si="1936"/>
        <v>0</v>
      </c>
      <c r="Q1007" s="1" t="str">
        <f t="shared" si="1844"/>
        <v>0.0070</v>
      </c>
      <c r="R1007" s="1" t="s">
        <v>29</v>
      </c>
      <c r="S1007" s="1">
        <v>-0.0014</v>
      </c>
      <c r="T1007" s="1" t="str">
        <f t="shared" si="1845"/>
        <v>0</v>
      </c>
      <c r="U1007" s="1" t="str">
        <f t="shared" si="1923"/>
        <v>0.0056</v>
      </c>
    </row>
    <row r="1008" s="1" customFormat="1" spans="1:21">
      <c r="A1008" s="1" t="str">
        <f>"4601992007403"</f>
        <v>4601992007403</v>
      </c>
      <c r="B1008" s="1" t="s">
        <v>1032</v>
      </c>
      <c r="C1008" s="1" t="s">
        <v>24</v>
      </c>
      <c r="D1008" s="1" t="str">
        <f t="shared" si="1842"/>
        <v>2021</v>
      </c>
      <c r="E1008" s="1" t="str">
        <f>"69.57"</f>
        <v>69.57</v>
      </c>
      <c r="F1008" s="1" t="str">
        <f t="shared" ref="F1008:I1008" si="1937">"0"</f>
        <v>0</v>
      </c>
      <c r="G1008" s="1" t="str">
        <f t="shared" si="1937"/>
        <v>0</v>
      </c>
      <c r="H1008" s="1" t="str">
        <f t="shared" si="1937"/>
        <v>0</v>
      </c>
      <c r="I1008" s="1" t="str">
        <f t="shared" si="1937"/>
        <v>0</v>
      </c>
      <c r="J1008" s="1" t="str">
        <f>"5"</f>
        <v>5</v>
      </c>
      <c r="K1008" s="1" t="str">
        <f t="shared" ref="K1008:P1008" si="1938">"0"</f>
        <v>0</v>
      </c>
      <c r="L1008" s="1" t="str">
        <f t="shared" si="1938"/>
        <v>0</v>
      </c>
      <c r="M1008" s="1" t="str">
        <f t="shared" si="1938"/>
        <v>0</v>
      </c>
      <c r="N1008" s="1" t="str">
        <f t="shared" si="1938"/>
        <v>0</v>
      </c>
      <c r="O1008" s="1" t="str">
        <f t="shared" si="1938"/>
        <v>0</v>
      </c>
      <c r="P1008" s="1" t="str">
        <f t="shared" si="1938"/>
        <v>0</v>
      </c>
      <c r="Q1008" s="1" t="str">
        <f t="shared" si="1844"/>
        <v>0.0070</v>
      </c>
      <c r="R1008" s="1" t="s">
        <v>29</v>
      </c>
      <c r="S1008" s="1">
        <v>-0.0014</v>
      </c>
      <c r="T1008" s="1" t="str">
        <f t="shared" si="1845"/>
        <v>0</v>
      </c>
      <c r="U1008" s="1" t="str">
        <f t="shared" si="1923"/>
        <v>0.0056</v>
      </c>
    </row>
    <row r="1009" s="1" customFormat="1" spans="1:21">
      <c r="A1009" s="1" t="str">
        <f>"4601992007563"</f>
        <v>4601992007563</v>
      </c>
      <c r="B1009" s="1" t="s">
        <v>1033</v>
      </c>
      <c r="C1009" s="1" t="s">
        <v>24</v>
      </c>
      <c r="D1009" s="1" t="str">
        <f t="shared" si="1842"/>
        <v>2021</v>
      </c>
      <c r="E1009" s="1" t="str">
        <f t="shared" ref="E1009:G1009" si="1939">"0"</f>
        <v>0</v>
      </c>
      <c r="F1009" s="1" t="str">
        <f t="shared" si="1939"/>
        <v>0</v>
      </c>
      <c r="G1009" s="1" t="str">
        <f t="shared" si="1939"/>
        <v>0</v>
      </c>
      <c r="H1009" s="1" t="str">
        <f>"12.09"</f>
        <v>12.09</v>
      </c>
      <c r="I1009" s="1" t="str">
        <f t="shared" ref="I1009:P1009" si="1940">"0"</f>
        <v>0</v>
      </c>
      <c r="J1009" s="1" t="str">
        <f t="shared" si="1940"/>
        <v>0</v>
      </c>
      <c r="K1009" s="1" t="str">
        <f t="shared" si="1940"/>
        <v>0</v>
      </c>
      <c r="L1009" s="1" t="str">
        <f t="shared" si="1940"/>
        <v>0</v>
      </c>
      <c r="M1009" s="1" t="str">
        <f t="shared" si="1940"/>
        <v>0</v>
      </c>
      <c r="N1009" s="1" t="str">
        <f t="shared" si="1940"/>
        <v>0</v>
      </c>
      <c r="O1009" s="1" t="str">
        <f t="shared" si="1940"/>
        <v>0</v>
      </c>
      <c r="P1009" s="1" t="str">
        <f t="shared" si="1940"/>
        <v>0</v>
      </c>
      <c r="Q1009" s="1" t="str">
        <f t="shared" si="1844"/>
        <v>0.0070</v>
      </c>
      <c r="R1009" s="1" t="s">
        <v>25</v>
      </c>
      <c r="T1009" s="1" t="str">
        <f t="shared" si="1845"/>
        <v>0</v>
      </c>
      <c r="U1009" s="1" t="str">
        <f>"0.0070"</f>
        <v>0.0070</v>
      </c>
    </row>
    <row r="1010" s="1" customFormat="1" spans="1:21">
      <c r="A1010" s="1" t="str">
        <f>"4601992007616"</f>
        <v>4601992007616</v>
      </c>
      <c r="B1010" s="1" t="s">
        <v>1034</v>
      </c>
      <c r="C1010" s="1" t="s">
        <v>24</v>
      </c>
      <c r="D1010" s="1" t="str">
        <f t="shared" si="1842"/>
        <v>2021</v>
      </c>
      <c r="E1010" s="1" t="str">
        <f t="shared" ref="E1010:G1010" si="1941">"0"</f>
        <v>0</v>
      </c>
      <c r="F1010" s="1" t="str">
        <f t="shared" si="1941"/>
        <v>0</v>
      </c>
      <c r="G1010" s="1" t="str">
        <f t="shared" si="1941"/>
        <v>0</v>
      </c>
      <c r="H1010" s="1" t="str">
        <f>"12.09"</f>
        <v>12.09</v>
      </c>
      <c r="I1010" s="1" t="str">
        <f t="shared" ref="I1010:P1010" si="1942">"0"</f>
        <v>0</v>
      </c>
      <c r="J1010" s="1" t="str">
        <f>"1"</f>
        <v>1</v>
      </c>
      <c r="K1010" s="1" t="str">
        <f t="shared" si="1942"/>
        <v>0</v>
      </c>
      <c r="L1010" s="1" t="str">
        <f t="shared" si="1942"/>
        <v>0</v>
      </c>
      <c r="M1010" s="1" t="str">
        <f t="shared" si="1942"/>
        <v>0</v>
      </c>
      <c r="N1010" s="1" t="str">
        <f t="shared" si="1942"/>
        <v>0</v>
      </c>
      <c r="O1010" s="1" t="str">
        <f t="shared" si="1942"/>
        <v>0</v>
      </c>
      <c r="P1010" s="1" t="str">
        <f t="shared" si="1942"/>
        <v>0</v>
      </c>
      <c r="Q1010" s="1" t="str">
        <f t="shared" si="1844"/>
        <v>0.0070</v>
      </c>
      <c r="R1010" s="1" t="s">
        <v>25</v>
      </c>
      <c r="T1010" s="1" t="str">
        <f t="shared" si="1845"/>
        <v>0</v>
      </c>
      <c r="U1010" s="1" t="str">
        <f>"0.0070"</f>
        <v>0.0070</v>
      </c>
    </row>
    <row r="1011" s="1" customFormat="1" spans="1:21">
      <c r="A1011" s="1" t="str">
        <f>"4601992007491"</f>
        <v>4601992007491</v>
      </c>
      <c r="B1011" s="1" t="s">
        <v>1035</v>
      </c>
      <c r="C1011" s="1" t="s">
        <v>24</v>
      </c>
      <c r="D1011" s="1" t="str">
        <f t="shared" si="1842"/>
        <v>2021</v>
      </c>
      <c r="E1011" s="1" t="str">
        <f>"12.09"</f>
        <v>12.09</v>
      </c>
      <c r="F1011" s="1" t="str">
        <f t="shared" ref="F1011:I1011" si="1943">"0"</f>
        <v>0</v>
      </c>
      <c r="G1011" s="1" t="str">
        <f t="shared" si="1943"/>
        <v>0</v>
      </c>
      <c r="H1011" s="1" t="str">
        <f t="shared" si="1943"/>
        <v>0</v>
      </c>
      <c r="I1011" s="1" t="str">
        <f t="shared" si="1943"/>
        <v>0</v>
      </c>
      <c r="J1011" s="1" t="str">
        <f>"3"</f>
        <v>3</v>
      </c>
      <c r="K1011" s="1" t="str">
        <f t="shared" ref="K1011:P1011" si="1944">"0"</f>
        <v>0</v>
      </c>
      <c r="L1011" s="1" t="str">
        <f t="shared" si="1944"/>
        <v>0</v>
      </c>
      <c r="M1011" s="1" t="str">
        <f t="shared" si="1944"/>
        <v>0</v>
      </c>
      <c r="N1011" s="1" t="str">
        <f t="shared" si="1944"/>
        <v>0</v>
      </c>
      <c r="O1011" s="1" t="str">
        <f t="shared" si="1944"/>
        <v>0</v>
      </c>
      <c r="P1011" s="1" t="str">
        <f t="shared" si="1944"/>
        <v>0</v>
      </c>
      <c r="Q1011" s="1" t="str">
        <f t="shared" si="1844"/>
        <v>0.0070</v>
      </c>
      <c r="R1011" s="1" t="s">
        <v>29</v>
      </c>
      <c r="S1011" s="1">
        <v>-0.0014</v>
      </c>
      <c r="T1011" s="1" t="str">
        <f t="shared" si="1845"/>
        <v>0</v>
      </c>
      <c r="U1011" s="1" t="str">
        <f t="shared" ref="U1011:U1015" si="1945">"0.0056"</f>
        <v>0.0056</v>
      </c>
    </row>
    <row r="1012" s="1" customFormat="1" spans="1:21">
      <c r="A1012" s="1" t="str">
        <f>"4601992007862"</f>
        <v>4601992007862</v>
      </c>
      <c r="B1012" s="1" t="s">
        <v>1036</v>
      </c>
      <c r="C1012" s="1" t="s">
        <v>24</v>
      </c>
      <c r="D1012" s="1" t="str">
        <f t="shared" si="1842"/>
        <v>2021</v>
      </c>
      <c r="E1012" s="1" t="str">
        <f>"24.18"</f>
        <v>24.18</v>
      </c>
      <c r="F1012" s="1" t="str">
        <f t="shared" ref="F1012:I1012" si="1946">"0"</f>
        <v>0</v>
      </c>
      <c r="G1012" s="1" t="str">
        <f t="shared" si="1946"/>
        <v>0</v>
      </c>
      <c r="H1012" s="1" t="str">
        <f t="shared" si="1946"/>
        <v>0</v>
      </c>
      <c r="I1012" s="1" t="str">
        <f t="shared" si="1946"/>
        <v>0</v>
      </c>
      <c r="J1012" s="1" t="str">
        <f t="shared" ref="J1012:J1017" si="1947">"5"</f>
        <v>5</v>
      </c>
      <c r="K1012" s="1" t="str">
        <f t="shared" ref="K1012:P1012" si="1948">"0"</f>
        <v>0</v>
      </c>
      <c r="L1012" s="1" t="str">
        <f t="shared" si="1948"/>
        <v>0</v>
      </c>
      <c r="M1012" s="1" t="str">
        <f t="shared" si="1948"/>
        <v>0</v>
      </c>
      <c r="N1012" s="1" t="str">
        <f t="shared" si="1948"/>
        <v>0</v>
      </c>
      <c r="O1012" s="1" t="str">
        <f t="shared" si="1948"/>
        <v>0</v>
      </c>
      <c r="P1012" s="1" t="str">
        <f t="shared" si="1948"/>
        <v>0</v>
      </c>
      <c r="Q1012" s="1" t="str">
        <f t="shared" si="1844"/>
        <v>0.0070</v>
      </c>
      <c r="R1012" s="1" t="s">
        <v>29</v>
      </c>
      <c r="S1012" s="1">
        <v>-0.0014</v>
      </c>
      <c r="T1012" s="1" t="str">
        <f t="shared" si="1845"/>
        <v>0</v>
      </c>
      <c r="U1012" s="1" t="str">
        <f t="shared" si="1945"/>
        <v>0.0056</v>
      </c>
    </row>
    <row r="1013" s="1" customFormat="1" spans="1:21">
      <c r="A1013" s="1" t="str">
        <f>"4601992007903"</f>
        <v>4601992007903</v>
      </c>
      <c r="B1013" s="1" t="s">
        <v>1037</v>
      </c>
      <c r="C1013" s="1" t="s">
        <v>24</v>
      </c>
      <c r="D1013" s="1" t="str">
        <f t="shared" si="1842"/>
        <v>2021</v>
      </c>
      <c r="E1013" s="1" t="str">
        <f>"24.18"</f>
        <v>24.18</v>
      </c>
      <c r="F1013" s="1" t="str">
        <f t="shared" ref="F1013:I1013" si="1949">"0"</f>
        <v>0</v>
      </c>
      <c r="G1013" s="1" t="str">
        <f t="shared" si="1949"/>
        <v>0</v>
      </c>
      <c r="H1013" s="1" t="str">
        <f t="shared" si="1949"/>
        <v>0</v>
      </c>
      <c r="I1013" s="1" t="str">
        <f t="shared" si="1949"/>
        <v>0</v>
      </c>
      <c r="J1013" s="1" t="str">
        <f>"2"</f>
        <v>2</v>
      </c>
      <c r="K1013" s="1" t="str">
        <f t="shared" ref="K1013:P1013" si="1950">"0"</f>
        <v>0</v>
      </c>
      <c r="L1013" s="1" t="str">
        <f t="shared" si="1950"/>
        <v>0</v>
      </c>
      <c r="M1013" s="1" t="str">
        <f t="shared" si="1950"/>
        <v>0</v>
      </c>
      <c r="N1013" s="1" t="str">
        <f t="shared" si="1950"/>
        <v>0</v>
      </c>
      <c r="O1013" s="1" t="str">
        <f t="shared" si="1950"/>
        <v>0</v>
      </c>
      <c r="P1013" s="1" t="str">
        <f t="shared" si="1950"/>
        <v>0</v>
      </c>
      <c r="Q1013" s="1" t="str">
        <f t="shared" si="1844"/>
        <v>0.0070</v>
      </c>
      <c r="R1013" s="1" t="s">
        <v>29</v>
      </c>
      <c r="S1013" s="1">
        <v>-0.0014</v>
      </c>
      <c r="T1013" s="1" t="str">
        <f t="shared" si="1845"/>
        <v>0</v>
      </c>
      <c r="U1013" s="1" t="str">
        <f t="shared" si="1945"/>
        <v>0.0056</v>
      </c>
    </row>
    <row r="1014" s="1" customFormat="1" spans="1:21">
      <c r="A1014" s="1" t="str">
        <f>"4601992008011"</f>
        <v>4601992008011</v>
      </c>
      <c r="B1014" s="1" t="s">
        <v>1038</v>
      </c>
      <c r="C1014" s="1" t="s">
        <v>24</v>
      </c>
      <c r="D1014" s="1" t="str">
        <f t="shared" si="1842"/>
        <v>2021</v>
      </c>
      <c r="E1014" s="1" t="str">
        <f>"48.36"</f>
        <v>48.36</v>
      </c>
      <c r="F1014" s="1" t="str">
        <f t="shared" ref="F1014:I1014" si="1951">"0"</f>
        <v>0</v>
      </c>
      <c r="G1014" s="1" t="str">
        <f t="shared" si="1951"/>
        <v>0</v>
      </c>
      <c r="H1014" s="1" t="str">
        <f t="shared" si="1951"/>
        <v>0</v>
      </c>
      <c r="I1014" s="1" t="str">
        <f t="shared" si="1951"/>
        <v>0</v>
      </c>
      <c r="J1014" s="1" t="str">
        <f t="shared" si="1947"/>
        <v>5</v>
      </c>
      <c r="K1014" s="1" t="str">
        <f t="shared" ref="K1014:P1014" si="1952">"0"</f>
        <v>0</v>
      </c>
      <c r="L1014" s="1" t="str">
        <f t="shared" si="1952"/>
        <v>0</v>
      </c>
      <c r="M1014" s="1" t="str">
        <f t="shared" si="1952"/>
        <v>0</v>
      </c>
      <c r="N1014" s="1" t="str">
        <f t="shared" si="1952"/>
        <v>0</v>
      </c>
      <c r="O1014" s="1" t="str">
        <f t="shared" si="1952"/>
        <v>0</v>
      </c>
      <c r="P1014" s="1" t="str">
        <f t="shared" si="1952"/>
        <v>0</v>
      </c>
      <c r="Q1014" s="1" t="str">
        <f t="shared" si="1844"/>
        <v>0.0070</v>
      </c>
      <c r="R1014" s="1" t="s">
        <v>29</v>
      </c>
      <c r="S1014" s="1">
        <v>-0.0014</v>
      </c>
      <c r="T1014" s="1" t="str">
        <f t="shared" si="1845"/>
        <v>0</v>
      </c>
      <c r="U1014" s="1" t="str">
        <f t="shared" si="1945"/>
        <v>0.0056</v>
      </c>
    </row>
    <row r="1015" s="1" customFormat="1" spans="1:21">
      <c r="A1015" s="1" t="str">
        <f>"4601992008012"</f>
        <v>4601992008012</v>
      </c>
      <c r="B1015" s="1" t="s">
        <v>1039</v>
      </c>
      <c r="C1015" s="1" t="s">
        <v>24</v>
      </c>
      <c r="D1015" s="1" t="str">
        <f t="shared" si="1842"/>
        <v>2021</v>
      </c>
      <c r="E1015" s="1" t="str">
        <f>"120.90"</f>
        <v>120.90</v>
      </c>
      <c r="F1015" s="1" t="str">
        <f t="shared" ref="F1015:I1015" si="1953">"0"</f>
        <v>0</v>
      </c>
      <c r="G1015" s="1" t="str">
        <f t="shared" si="1953"/>
        <v>0</v>
      </c>
      <c r="H1015" s="1" t="str">
        <f t="shared" si="1953"/>
        <v>0</v>
      </c>
      <c r="I1015" s="1" t="str">
        <f t="shared" si="1953"/>
        <v>0</v>
      </c>
      <c r="J1015" s="1" t="str">
        <f>"7"</f>
        <v>7</v>
      </c>
      <c r="K1015" s="1" t="str">
        <f t="shared" ref="K1015:P1015" si="1954">"0"</f>
        <v>0</v>
      </c>
      <c r="L1015" s="1" t="str">
        <f t="shared" si="1954"/>
        <v>0</v>
      </c>
      <c r="M1015" s="1" t="str">
        <f t="shared" si="1954"/>
        <v>0</v>
      </c>
      <c r="N1015" s="1" t="str">
        <f t="shared" si="1954"/>
        <v>0</v>
      </c>
      <c r="O1015" s="1" t="str">
        <f t="shared" si="1954"/>
        <v>0</v>
      </c>
      <c r="P1015" s="1" t="str">
        <f t="shared" si="1954"/>
        <v>0</v>
      </c>
      <c r="Q1015" s="1" t="str">
        <f t="shared" si="1844"/>
        <v>0.0070</v>
      </c>
      <c r="R1015" s="1" t="s">
        <v>29</v>
      </c>
      <c r="S1015" s="1">
        <v>-0.0014</v>
      </c>
      <c r="T1015" s="1" t="str">
        <f t="shared" si="1845"/>
        <v>0</v>
      </c>
      <c r="U1015" s="1" t="str">
        <f t="shared" si="1945"/>
        <v>0.0056</v>
      </c>
    </row>
    <row r="1016" s="1" customFormat="1" spans="1:21">
      <c r="A1016" s="1" t="str">
        <f>"4601992008013"</f>
        <v>4601992008013</v>
      </c>
      <c r="B1016" s="1" t="s">
        <v>1040</v>
      </c>
      <c r="C1016" s="1" t="s">
        <v>24</v>
      </c>
      <c r="D1016" s="1" t="str">
        <f t="shared" si="1842"/>
        <v>2021</v>
      </c>
      <c r="E1016" s="1" t="str">
        <f>"24.07"</f>
        <v>24.07</v>
      </c>
      <c r="F1016" s="1" t="str">
        <f t="shared" ref="F1016:I1016" si="1955">"0"</f>
        <v>0</v>
      </c>
      <c r="G1016" s="1" t="str">
        <f t="shared" si="1955"/>
        <v>0</v>
      </c>
      <c r="H1016" s="1" t="str">
        <f t="shared" si="1955"/>
        <v>0</v>
      </c>
      <c r="I1016" s="1" t="str">
        <f t="shared" si="1955"/>
        <v>0</v>
      </c>
      <c r="J1016" s="1" t="str">
        <f>"2"</f>
        <v>2</v>
      </c>
      <c r="K1016" s="1" t="str">
        <f t="shared" ref="K1016:P1016" si="1956">"0"</f>
        <v>0</v>
      </c>
      <c r="L1016" s="1" t="str">
        <f t="shared" si="1956"/>
        <v>0</v>
      </c>
      <c r="M1016" s="1" t="str">
        <f t="shared" si="1956"/>
        <v>0</v>
      </c>
      <c r="N1016" s="1" t="str">
        <f t="shared" si="1956"/>
        <v>0</v>
      </c>
      <c r="O1016" s="1" t="str">
        <f t="shared" si="1956"/>
        <v>0</v>
      </c>
      <c r="P1016" s="1" t="str">
        <f t="shared" si="1956"/>
        <v>0</v>
      </c>
      <c r="Q1016" s="1" t="str">
        <f t="shared" si="1844"/>
        <v>0.0070</v>
      </c>
      <c r="R1016" s="1" t="s">
        <v>25</v>
      </c>
      <c r="T1016" s="1" t="str">
        <f t="shared" si="1845"/>
        <v>0</v>
      </c>
      <c r="U1016" s="1" t="str">
        <f>"0.0070"</f>
        <v>0.0070</v>
      </c>
    </row>
    <row r="1017" s="1" customFormat="1" spans="1:21">
      <c r="A1017" s="1" t="str">
        <f>"4601992008029"</f>
        <v>4601992008029</v>
      </c>
      <c r="B1017" s="1" t="s">
        <v>1041</v>
      </c>
      <c r="C1017" s="1" t="s">
        <v>24</v>
      </c>
      <c r="D1017" s="1" t="str">
        <f t="shared" si="1842"/>
        <v>2021</v>
      </c>
      <c r="E1017" s="1" t="str">
        <f>"83.86"</f>
        <v>83.86</v>
      </c>
      <c r="F1017" s="1" t="str">
        <f t="shared" ref="F1017:I1017" si="1957">"0"</f>
        <v>0</v>
      </c>
      <c r="G1017" s="1" t="str">
        <f t="shared" si="1957"/>
        <v>0</v>
      </c>
      <c r="H1017" s="1" t="str">
        <f t="shared" si="1957"/>
        <v>0</v>
      </c>
      <c r="I1017" s="1" t="str">
        <f t="shared" si="1957"/>
        <v>0</v>
      </c>
      <c r="J1017" s="1" t="str">
        <f t="shared" si="1947"/>
        <v>5</v>
      </c>
      <c r="K1017" s="1" t="str">
        <f t="shared" ref="K1017:P1017" si="1958">"0"</f>
        <v>0</v>
      </c>
      <c r="L1017" s="1" t="str">
        <f t="shared" si="1958"/>
        <v>0</v>
      </c>
      <c r="M1017" s="1" t="str">
        <f t="shared" si="1958"/>
        <v>0</v>
      </c>
      <c r="N1017" s="1" t="str">
        <f t="shared" si="1958"/>
        <v>0</v>
      </c>
      <c r="O1017" s="1" t="str">
        <f t="shared" si="1958"/>
        <v>0</v>
      </c>
      <c r="P1017" s="1" t="str">
        <f t="shared" si="1958"/>
        <v>0</v>
      </c>
      <c r="Q1017" s="1" t="str">
        <f t="shared" si="1844"/>
        <v>0.0070</v>
      </c>
      <c r="R1017" s="1" t="s">
        <v>29</v>
      </c>
      <c r="S1017" s="1">
        <v>-0.0014</v>
      </c>
      <c r="T1017" s="1" t="str">
        <f t="shared" si="1845"/>
        <v>0</v>
      </c>
      <c r="U1017" s="1" t="str">
        <f t="shared" ref="U1017:U1021" si="1959">"0.0056"</f>
        <v>0.0056</v>
      </c>
    </row>
    <row r="1018" s="1" customFormat="1" spans="1:21">
      <c r="A1018" s="1" t="str">
        <f>"4601992008042"</f>
        <v>4601992008042</v>
      </c>
      <c r="B1018" s="1" t="s">
        <v>1042</v>
      </c>
      <c r="C1018" s="1" t="s">
        <v>24</v>
      </c>
      <c r="D1018" s="1" t="str">
        <f t="shared" si="1842"/>
        <v>2021</v>
      </c>
      <c r="E1018" s="1" t="str">
        <f t="shared" ref="E1018:G1018" si="1960">"0"</f>
        <v>0</v>
      </c>
      <c r="F1018" s="1" t="str">
        <f t="shared" si="1960"/>
        <v>0</v>
      </c>
      <c r="G1018" s="1" t="str">
        <f t="shared" si="1960"/>
        <v>0</v>
      </c>
      <c r="H1018" s="1" t="str">
        <f>"107.82"</f>
        <v>107.82</v>
      </c>
      <c r="I1018" s="1" t="str">
        <f t="shared" ref="I1018:P1018" si="1961">"0"</f>
        <v>0</v>
      </c>
      <c r="J1018" s="1" t="str">
        <f>"1"</f>
        <v>1</v>
      </c>
      <c r="K1018" s="1" t="str">
        <f t="shared" si="1961"/>
        <v>0</v>
      </c>
      <c r="L1018" s="1" t="str">
        <f t="shared" si="1961"/>
        <v>0</v>
      </c>
      <c r="M1018" s="1" t="str">
        <f t="shared" si="1961"/>
        <v>0</v>
      </c>
      <c r="N1018" s="1" t="str">
        <f t="shared" si="1961"/>
        <v>0</v>
      </c>
      <c r="O1018" s="1" t="str">
        <f t="shared" si="1961"/>
        <v>0</v>
      </c>
      <c r="P1018" s="1" t="str">
        <f t="shared" si="1961"/>
        <v>0</v>
      </c>
      <c r="Q1018" s="1" t="str">
        <f t="shared" si="1844"/>
        <v>0.0070</v>
      </c>
      <c r="R1018" s="1" t="s">
        <v>25</v>
      </c>
      <c r="T1018" s="1" t="str">
        <f t="shared" si="1845"/>
        <v>0</v>
      </c>
      <c r="U1018" s="1" t="str">
        <f>"0.0070"</f>
        <v>0.0070</v>
      </c>
    </row>
    <row r="1019" s="1" customFormat="1" spans="1:21">
      <c r="A1019" s="1" t="str">
        <f>"4601992008055"</f>
        <v>4601992008055</v>
      </c>
      <c r="B1019" s="1" t="s">
        <v>1043</v>
      </c>
      <c r="C1019" s="1" t="s">
        <v>24</v>
      </c>
      <c r="D1019" s="1" t="str">
        <f t="shared" si="1842"/>
        <v>2021</v>
      </c>
      <c r="E1019" s="1" t="str">
        <f>"12.09"</f>
        <v>12.09</v>
      </c>
      <c r="F1019" s="1" t="str">
        <f t="shared" ref="F1019:I1019" si="1962">"0"</f>
        <v>0</v>
      </c>
      <c r="G1019" s="1" t="str">
        <f t="shared" si="1962"/>
        <v>0</v>
      </c>
      <c r="H1019" s="1" t="str">
        <f t="shared" si="1962"/>
        <v>0</v>
      </c>
      <c r="I1019" s="1" t="str">
        <f t="shared" si="1962"/>
        <v>0</v>
      </c>
      <c r="J1019" s="1" t="str">
        <f>"1"</f>
        <v>1</v>
      </c>
      <c r="K1019" s="1" t="str">
        <f t="shared" ref="K1019:P1019" si="1963">"0"</f>
        <v>0</v>
      </c>
      <c r="L1019" s="1" t="str">
        <f t="shared" si="1963"/>
        <v>0</v>
      </c>
      <c r="M1019" s="1" t="str">
        <f t="shared" si="1963"/>
        <v>0</v>
      </c>
      <c r="N1019" s="1" t="str">
        <f t="shared" si="1963"/>
        <v>0</v>
      </c>
      <c r="O1019" s="1" t="str">
        <f t="shared" si="1963"/>
        <v>0</v>
      </c>
      <c r="P1019" s="1" t="str">
        <f t="shared" si="1963"/>
        <v>0</v>
      </c>
      <c r="Q1019" s="1" t="str">
        <f t="shared" si="1844"/>
        <v>0.0070</v>
      </c>
      <c r="R1019" s="1" t="s">
        <v>29</v>
      </c>
      <c r="S1019" s="1">
        <v>-0.0014</v>
      </c>
      <c r="T1019" s="1" t="str">
        <f t="shared" si="1845"/>
        <v>0</v>
      </c>
      <c r="U1019" s="1" t="str">
        <f t="shared" si="1959"/>
        <v>0.0056</v>
      </c>
    </row>
    <row r="1020" s="1" customFormat="1" spans="1:21">
      <c r="A1020" s="1" t="str">
        <f>"4601992002044"</f>
        <v>4601992002044</v>
      </c>
      <c r="B1020" s="1" t="s">
        <v>1044</v>
      </c>
      <c r="C1020" s="1" t="s">
        <v>24</v>
      </c>
      <c r="D1020" s="1" t="str">
        <f t="shared" si="1842"/>
        <v>2021</v>
      </c>
      <c r="E1020" s="1" t="str">
        <f>"515.86"</f>
        <v>515.86</v>
      </c>
      <c r="F1020" s="1" t="str">
        <f t="shared" ref="F1020:I1020" si="1964">"0"</f>
        <v>0</v>
      </c>
      <c r="G1020" s="1" t="str">
        <f t="shared" si="1964"/>
        <v>0</v>
      </c>
      <c r="H1020" s="1" t="str">
        <f t="shared" si="1964"/>
        <v>0</v>
      </c>
      <c r="I1020" s="1" t="str">
        <f t="shared" si="1964"/>
        <v>0</v>
      </c>
      <c r="J1020" s="1" t="str">
        <f>"30"</f>
        <v>30</v>
      </c>
      <c r="K1020" s="1" t="str">
        <f t="shared" ref="K1020:P1020" si="1965">"0"</f>
        <v>0</v>
      </c>
      <c r="L1020" s="1" t="str">
        <f t="shared" si="1965"/>
        <v>0</v>
      </c>
      <c r="M1020" s="1" t="str">
        <f t="shared" si="1965"/>
        <v>0</v>
      </c>
      <c r="N1020" s="1" t="str">
        <f t="shared" si="1965"/>
        <v>0</v>
      </c>
      <c r="O1020" s="1" t="str">
        <f t="shared" si="1965"/>
        <v>0</v>
      </c>
      <c r="P1020" s="1" t="str">
        <f t="shared" si="1965"/>
        <v>0</v>
      </c>
      <c r="Q1020" s="1" t="str">
        <f t="shared" si="1844"/>
        <v>0.0070</v>
      </c>
      <c r="R1020" s="1" t="s">
        <v>29</v>
      </c>
      <c r="S1020" s="1">
        <v>-0.0014</v>
      </c>
      <c r="T1020" s="1" t="str">
        <f t="shared" si="1845"/>
        <v>0</v>
      </c>
      <c r="U1020" s="1" t="str">
        <f t="shared" si="1959"/>
        <v>0.0056</v>
      </c>
    </row>
    <row r="1021" s="1" customFormat="1" spans="1:21">
      <c r="A1021" s="1" t="str">
        <f>"4601992008057"</f>
        <v>4601992008057</v>
      </c>
      <c r="B1021" s="1" t="s">
        <v>1045</v>
      </c>
      <c r="C1021" s="1" t="s">
        <v>24</v>
      </c>
      <c r="D1021" s="1" t="str">
        <f t="shared" si="1842"/>
        <v>2021</v>
      </c>
      <c r="E1021" s="1" t="str">
        <f>"36.27"</f>
        <v>36.27</v>
      </c>
      <c r="F1021" s="1" t="str">
        <f t="shared" ref="F1021:I1021" si="1966">"0"</f>
        <v>0</v>
      </c>
      <c r="G1021" s="1" t="str">
        <f t="shared" si="1966"/>
        <v>0</v>
      </c>
      <c r="H1021" s="1" t="str">
        <f t="shared" si="1966"/>
        <v>0</v>
      </c>
      <c r="I1021" s="1" t="str">
        <f t="shared" si="1966"/>
        <v>0</v>
      </c>
      <c r="J1021" s="1" t="str">
        <f t="shared" ref="J1021:J1025" si="1967">"3"</f>
        <v>3</v>
      </c>
      <c r="K1021" s="1" t="str">
        <f t="shared" ref="K1021:P1021" si="1968">"0"</f>
        <v>0</v>
      </c>
      <c r="L1021" s="1" t="str">
        <f t="shared" si="1968"/>
        <v>0</v>
      </c>
      <c r="M1021" s="1" t="str">
        <f t="shared" si="1968"/>
        <v>0</v>
      </c>
      <c r="N1021" s="1" t="str">
        <f t="shared" si="1968"/>
        <v>0</v>
      </c>
      <c r="O1021" s="1" t="str">
        <f t="shared" si="1968"/>
        <v>0</v>
      </c>
      <c r="P1021" s="1" t="str">
        <f t="shared" si="1968"/>
        <v>0</v>
      </c>
      <c r="Q1021" s="1" t="str">
        <f t="shared" si="1844"/>
        <v>0.0070</v>
      </c>
      <c r="R1021" s="1" t="s">
        <v>29</v>
      </c>
      <c r="S1021" s="1">
        <v>-0.0014</v>
      </c>
      <c r="T1021" s="1" t="str">
        <f t="shared" si="1845"/>
        <v>0</v>
      </c>
      <c r="U1021" s="1" t="str">
        <f t="shared" si="1959"/>
        <v>0.0056</v>
      </c>
    </row>
    <row r="1022" s="1" customFormat="1" spans="1:21">
      <c r="A1022" s="1" t="str">
        <f>"4601992008327"</f>
        <v>4601992008327</v>
      </c>
      <c r="B1022" s="1" t="s">
        <v>1046</v>
      </c>
      <c r="C1022" s="1" t="s">
        <v>24</v>
      </c>
      <c r="D1022" s="1" t="str">
        <f t="shared" si="1842"/>
        <v>2021</v>
      </c>
      <c r="E1022" s="1" t="str">
        <f t="shared" ref="E1022:P1022" si="1969">"0"</f>
        <v>0</v>
      </c>
      <c r="F1022" s="1" t="str">
        <f t="shared" si="1969"/>
        <v>0</v>
      </c>
      <c r="G1022" s="1" t="str">
        <f t="shared" si="1969"/>
        <v>0</v>
      </c>
      <c r="H1022" s="1" t="str">
        <f t="shared" si="1969"/>
        <v>0</v>
      </c>
      <c r="I1022" s="1" t="str">
        <f t="shared" si="1969"/>
        <v>0</v>
      </c>
      <c r="J1022" s="1" t="str">
        <f t="shared" si="1969"/>
        <v>0</v>
      </c>
      <c r="K1022" s="1" t="str">
        <f t="shared" si="1969"/>
        <v>0</v>
      </c>
      <c r="L1022" s="1" t="str">
        <f t="shared" si="1969"/>
        <v>0</v>
      </c>
      <c r="M1022" s="1" t="str">
        <f t="shared" si="1969"/>
        <v>0</v>
      </c>
      <c r="N1022" s="1" t="str">
        <f t="shared" si="1969"/>
        <v>0</v>
      </c>
      <c r="O1022" s="1" t="str">
        <f t="shared" si="1969"/>
        <v>0</v>
      </c>
      <c r="P1022" s="1" t="str">
        <f t="shared" si="1969"/>
        <v>0</v>
      </c>
      <c r="Q1022" s="1" t="str">
        <f t="shared" si="1844"/>
        <v>0.0070</v>
      </c>
      <c r="R1022" s="1" t="s">
        <v>25</v>
      </c>
      <c r="T1022" s="1" t="str">
        <f t="shared" si="1845"/>
        <v>0</v>
      </c>
      <c r="U1022" s="1" t="str">
        <f>"0.0070"</f>
        <v>0.0070</v>
      </c>
    </row>
    <row r="1023" s="1" customFormat="1" spans="1:21">
      <c r="A1023" s="1" t="str">
        <f>"4601992008287"</f>
        <v>4601992008287</v>
      </c>
      <c r="B1023" s="1" t="s">
        <v>1047</v>
      </c>
      <c r="C1023" s="1" t="s">
        <v>24</v>
      </c>
      <c r="D1023" s="1" t="str">
        <f t="shared" si="1842"/>
        <v>2021</v>
      </c>
      <c r="E1023" s="1" t="str">
        <f>"60.34"</f>
        <v>60.34</v>
      </c>
      <c r="F1023" s="1" t="str">
        <f t="shared" ref="F1023:I1023" si="1970">"0"</f>
        <v>0</v>
      </c>
      <c r="G1023" s="1" t="str">
        <f t="shared" si="1970"/>
        <v>0</v>
      </c>
      <c r="H1023" s="1" t="str">
        <f t="shared" si="1970"/>
        <v>0</v>
      </c>
      <c r="I1023" s="1" t="str">
        <f t="shared" si="1970"/>
        <v>0</v>
      </c>
      <c r="J1023" s="1" t="str">
        <f>"6"</f>
        <v>6</v>
      </c>
      <c r="K1023" s="1" t="str">
        <f t="shared" ref="K1023:P1023" si="1971">"0"</f>
        <v>0</v>
      </c>
      <c r="L1023" s="1" t="str">
        <f t="shared" si="1971"/>
        <v>0</v>
      </c>
      <c r="M1023" s="1" t="str">
        <f t="shared" si="1971"/>
        <v>0</v>
      </c>
      <c r="N1023" s="1" t="str">
        <f t="shared" si="1971"/>
        <v>0</v>
      </c>
      <c r="O1023" s="1" t="str">
        <f t="shared" si="1971"/>
        <v>0</v>
      </c>
      <c r="P1023" s="1" t="str">
        <f t="shared" si="1971"/>
        <v>0</v>
      </c>
      <c r="Q1023" s="1" t="str">
        <f t="shared" si="1844"/>
        <v>0.0070</v>
      </c>
      <c r="R1023" s="1" t="s">
        <v>29</v>
      </c>
      <c r="S1023" s="1">
        <v>-0.0014</v>
      </c>
      <c r="T1023" s="1" t="str">
        <f t="shared" si="1845"/>
        <v>0</v>
      </c>
      <c r="U1023" s="1" t="str">
        <f t="shared" ref="U1023:U1030" si="1972">"0.0056"</f>
        <v>0.0056</v>
      </c>
    </row>
    <row r="1024" s="1" customFormat="1" spans="1:21">
      <c r="A1024" s="1" t="str">
        <f>"4601992008255"</f>
        <v>4601992008255</v>
      </c>
      <c r="B1024" s="1" t="s">
        <v>1048</v>
      </c>
      <c r="C1024" s="1" t="s">
        <v>24</v>
      </c>
      <c r="D1024" s="1" t="str">
        <f t="shared" si="1842"/>
        <v>2021</v>
      </c>
      <c r="E1024" s="1" t="str">
        <f>"36.27"</f>
        <v>36.27</v>
      </c>
      <c r="F1024" s="1" t="str">
        <f t="shared" ref="F1024:I1024" si="1973">"0"</f>
        <v>0</v>
      </c>
      <c r="G1024" s="1" t="str">
        <f t="shared" si="1973"/>
        <v>0</v>
      </c>
      <c r="H1024" s="1" t="str">
        <f t="shared" si="1973"/>
        <v>0</v>
      </c>
      <c r="I1024" s="1" t="str">
        <f t="shared" si="1973"/>
        <v>0</v>
      </c>
      <c r="J1024" s="1" t="str">
        <f t="shared" si="1967"/>
        <v>3</v>
      </c>
      <c r="K1024" s="1" t="str">
        <f t="shared" ref="K1024:P1024" si="1974">"0"</f>
        <v>0</v>
      </c>
      <c r="L1024" s="1" t="str">
        <f t="shared" si="1974"/>
        <v>0</v>
      </c>
      <c r="M1024" s="1" t="str">
        <f t="shared" si="1974"/>
        <v>0</v>
      </c>
      <c r="N1024" s="1" t="str">
        <f t="shared" si="1974"/>
        <v>0</v>
      </c>
      <c r="O1024" s="1" t="str">
        <f t="shared" si="1974"/>
        <v>0</v>
      </c>
      <c r="P1024" s="1" t="str">
        <f t="shared" si="1974"/>
        <v>0</v>
      </c>
      <c r="Q1024" s="1" t="str">
        <f t="shared" si="1844"/>
        <v>0.0070</v>
      </c>
      <c r="R1024" s="1" t="s">
        <v>29</v>
      </c>
      <c r="S1024" s="1">
        <v>-0.0014</v>
      </c>
      <c r="T1024" s="1" t="str">
        <f t="shared" si="1845"/>
        <v>0</v>
      </c>
      <c r="U1024" s="1" t="str">
        <f t="shared" si="1972"/>
        <v>0.0056</v>
      </c>
    </row>
    <row r="1025" s="1" customFormat="1" spans="1:21">
      <c r="A1025" s="1" t="str">
        <f>"4601992008362"</f>
        <v>4601992008362</v>
      </c>
      <c r="B1025" s="1" t="s">
        <v>1049</v>
      </c>
      <c r="C1025" s="1" t="s">
        <v>24</v>
      </c>
      <c r="D1025" s="1" t="str">
        <f t="shared" si="1842"/>
        <v>2021</v>
      </c>
      <c r="E1025" s="1" t="str">
        <f>"24.18"</f>
        <v>24.18</v>
      </c>
      <c r="F1025" s="1" t="str">
        <f t="shared" ref="F1025:I1025" si="1975">"0"</f>
        <v>0</v>
      </c>
      <c r="G1025" s="1" t="str">
        <f t="shared" si="1975"/>
        <v>0</v>
      </c>
      <c r="H1025" s="1" t="str">
        <f t="shared" si="1975"/>
        <v>0</v>
      </c>
      <c r="I1025" s="1" t="str">
        <f t="shared" si="1975"/>
        <v>0</v>
      </c>
      <c r="J1025" s="1" t="str">
        <f t="shared" si="1967"/>
        <v>3</v>
      </c>
      <c r="K1025" s="1" t="str">
        <f t="shared" ref="K1025:P1025" si="1976">"0"</f>
        <v>0</v>
      </c>
      <c r="L1025" s="1" t="str">
        <f t="shared" si="1976"/>
        <v>0</v>
      </c>
      <c r="M1025" s="1" t="str">
        <f t="shared" si="1976"/>
        <v>0</v>
      </c>
      <c r="N1025" s="1" t="str">
        <f t="shared" si="1976"/>
        <v>0</v>
      </c>
      <c r="O1025" s="1" t="str">
        <f t="shared" si="1976"/>
        <v>0</v>
      </c>
      <c r="P1025" s="1" t="str">
        <f t="shared" si="1976"/>
        <v>0</v>
      </c>
      <c r="Q1025" s="1" t="str">
        <f t="shared" si="1844"/>
        <v>0.0070</v>
      </c>
      <c r="R1025" s="1" t="s">
        <v>29</v>
      </c>
      <c r="S1025" s="1">
        <v>-0.0014</v>
      </c>
      <c r="T1025" s="1" t="str">
        <f t="shared" si="1845"/>
        <v>0</v>
      </c>
      <c r="U1025" s="1" t="str">
        <f t="shared" si="1972"/>
        <v>0.0056</v>
      </c>
    </row>
    <row r="1026" s="1" customFormat="1" spans="1:21">
      <c r="A1026" s="1" t="str">
        <f>"4601992008366"</f>
        <v>4601992008366</v>
      </c>
      <c r="B1026" s="1" t="s">
        <v>1050</v>
      </c>
      <c r="C1026" s="1" t="s">
        <v>24</v>
      </c>
      <c r="D1026" s="1" t="str">
        <f t="shared" si="1842"/>
        <v>2021</v>
      </c>
      <c r="E1026" s="1" t="str">
        <f>"12.09"</f>
        <v>12.09</v>
      </c>
      <c r="F1026" s="1" t="str">
        <f t="shared" ref="F1026:I1026" si="1977">"0"</f>
        <v>0</v>
      </c>
      <c r="G1026" s="1" t="str">
        <f t="shared" si="1977"/>
        <v>0</v>
      </c>
      <c r="H1026" s="1" t="str">
        <f t="shared" si="1977"/>
        <v>0</v>
      </c>
      <c r="I1026" s="1" t="str">
        <f t="shared" si="1977"/>
        <v>0</v>
      </c>
      <c r="J1026" s="1" t="str">
        <f>"1"</f>
        <v>1</v>
      </c>
      <c r="K1026" s="1" t="str">
        <f t="shared" ref="K1026:P1026" si="1978">"0"</f>
        <v>0</v>
      </c>
      <c r="L1026" s="1" t="str">
        <f t="shared" si="1978"/>
        <v>0</v>
      </c>
      <c r="M1026" s="1" t="str">
        <f t="shared" si="1978"/>
        <v>0</v>
      </c>
      <c r="N1026" s="1" t="str">
        <f t="shared" si="1978"/>
        <v>0</v>
      </c>
      <c r="O1026" s="1" t="str">
        <f t="shared" si="1978"/>
        <v>0</v>
      </c>
      <c r="P1026" s="1" t="str">
        <f t="shared" si="1978"/>
        <v>0</v>
      </c>
      <c r="Q1026" s="1" t="str">
        <f t="shared" si="1844"/>
        <v>0.0070</v>
      </c>
      <c r="R1026" s="1" t="s">
        <v>29</v>
      </c>
      <c r="S1026" s="1">
        <v>-0.0014</v>
      </c>
      <c r="T1026" s="1" t="str">
        <f t="shared" si="1845"/>
        <v>0</v>
      </c>
      <c r="U1026" s="1" t="str">
        <f t="shared" si="1972"/>
        <v>0.0056</v>
      </c>
    </row>
    <row r="1027" s="1" customFormat="1" spans="1:21">
      <c r="A1027" s="1" t="str">
        <f>"4601992008411"</f>
        <v>4601992008411</v>
      </c>
      <c r="B1027" s="1" t="s">
        <v>1051</v>
      </c>
      <c r="C1027" s="1" t="s">
        <v>24</v>
      </c>
      <c r="D1027" s="1" t="str">
        <f t="shared" ref="D1027:D1090" si="1979">"2021"</f>
        <v>2021</v>
      </c>
      <c r="E1027" s="1" t="str">
        <f>"11.98"</f>
        <v>11.98</v>
      </c>
      <c r="F1027" s="1" t="str">
        <f t="shared" ref="F1027:I1027" si="1980">"0"</f>
        <v>0</v>
      </c>
      <c r="G1027" s="1" t="str">
        <f t="shared" si="1980"/>
        <v>0</v>
      </c>
      <c r="H1027" s="1" t="str">
        <f t="shared" si="1980"/>
        <v>0</v>
      </c>
      <c r="I1027" s="1" t="str">
        <f t="shared" si="1980"/>
        <v>0</v>
      </c>
      <c r="J1027" s="1" t="str">
        <f>"3"</f>
        <v>3</v>
      </c>
      <c r="K1027" s="1" t="str">
        <f t="shared" ref="K1027:P1027" si="1981">"0"</f>
        <v>0</v>
      </c>
      <c r="L1027" s="1" t="str">
        <f t="shared" si="1981"/>
        <v>0</v>
      </c>
      <c r="M1027" s="1" t="str">
        <f t="shared" si="1981"/>
        <v>0</v>
      </c>
      <c r="N1027" s="1" t="str">
        <f t="shared" si="1981"/>
        <v>0</v>
      </c>
      <c r="O1027" s="1" t="str">
        <f t="shared" si="1981"/>
        <v>0</v>
      </c>
      <c r="P1027" s="1" t="str">
        <f t="shared" si="1981"/>
        <v>0</v>
      </c>
      <c r="Q1027" s="1" t="str">
        <f t="shared" ref="Q1027:Q1090" si="1982">"0.0070"</f>
        <v>0.0070</v>
      </c>
      <c r="R1027" s="1" t="s">
        <v>29</v>
      </c>
      <c r="S1027" s="1">
        <v>-0.0014</v>
      </c>
      <c r="T1027" s="1" t="str">
        <f t="shared" ref="T1027:T1090" si="1983">"0"</f>
        <v>0</v>
      </c>
      <c r="U1027" s="1" t="str">
        <f t="shared" si="1972"/>
        <v>0.0056</v>
      </c>
    </row>
    <row r="1028" s="1" customFormat="1" spans="1:21">
      <c r="A1028" s="1" t="str">
        <f>"4601992008464"</f>
        <v>4601992008464</v>
      </c>
      <c r="B1028" s="1" t="s">
        <v>1052</v>
      </c>
      <c r="C1028" s="1" t="s">
        <v>24</v>
      </c>
      <c r="D1028" s="1" t="str">
        <f t="shared" si="1979"/>
        <v>2021</v>
      </c>
      <c r="E1028" s="1" t="str">
        <f>"223.78"</f>
        <v>223.78</v>
      </c>
      <c r="F1028" s="1" t="str">
        <f t="shared" ref="F1028:I1028" si="1984">"0"</f>
        <v>0</v>
      </c>
      <c r="G1028" s="1" t="str">
        <f t="shared" si="1984"/>
        <v>0</v>
      </c>
      <c r="H1028" s="1" t="str">
        <f t="shared" si="1984"/>
        <v>0</v>
      </c>
      <c r="I1028" s="1" t="str">
        <f t="shared" si="1984"/>
        <v>0</v>
      </c>
      <c r="J1028" s="1" t="str">
        <f>"14"</f>
        <v>14</v>
      </c>
      <c r="K1028" s="1" t="str">
        <f t="shared" ref="K1028:P1028" si="1985">"0"</f>
        <v>0</v>
      </c>
      <c r="L1028" s="1" t="str">
        <f t="shared" si="1985"/>
        <v>0</v>
      </c>
      <c r="M1028" s="1" t="str">
        <f t="shared" si="1985"/>
        <v>0</v>
      </c>
      <c r="N1028" s="1" t="str">
        <f t="shared" si="1985"/>
        <v>0</v>
      </c>
      <c r="O1028" s="1" t="str">
        <f t="shared" si="1985"/>
        <v>0</v>
      </c>
      <c r="P1028" s="1" t="str">
        <f t="shared" si="1985"/>
        <v>0</v>
      </c>
      <c r="Q1028" s="1" t="str">
        <f t="shared" si="1982"/>
        <v>0.0070</v>
      </c>
      <c r="R1028" s="1" t="s">
        <v>29</v>
      </c>
      <c r="S1028" s="1">
        <v>-0.0014</v>
      </c>
      <c r="T1028" s="1" t="str">
        <f t="shared" si="1983"/>
        <v>0</v>
      </c>
      <c r="U1028" s="1" t="str">
        <f t="shared" si="1972"/>
        <v>0.0056</v>
      </c>
    </row>
    <row r="1029" s="1" customFormat="1" spans="1:21">
      <c r="A1029" s="1" t="str">
        <f>"4601992008503"</f>
        <v>4601992008503</v>
      </c>
      <c r="B1029" s="1" t="s">
        <v>1053</v>
      </c>
      <c r="C1029" s="1" t="s">
        <v>24</v>
      </c>
      <c r="D1029" s="1" t="str">
        <f t="shared" si="1979"/>
        <v>2021</v>
      </c>
      <c r="E1029" s="1" t="str">
        <f>"71.88"</f>
        <v>71.88</v>
      </c>
      <c r="F1029" s="1" t="str">
        <f t="shared" ref="F1029:I1029" si="1986">"0"</f>
        <v>0</v>
      </c>
      <c r="G1029" s="1" t="str">
        <f t="shared" si="1986"/>
        <v>0</v>
      </c>
      <c r="H1029" s="1" t="str">
        <f t="shared" si="1986"/>
        <v>0</v>
      </c>
      <c r="I1029" s="1" t="str">
        <f t="shared" si="1986"/>
        <v>0</v>
      </c>
      <c r="J1029" s="1" t="str">
        <f>"5"</f>
        <v>5</v>
      </c>
      <c r="K1029" s="1" t="str">
        <f t="shared" ref="K1029:P1029" si="1987">"0"</f>
        <v>0</v>
      </c>
      <c r="L1029" s="1" t="str">
        <f t="shared" si="1987"/>
        <v>0</v>
      </c>
      <c r="M1029" s="1" t="str">
        <f t="shared" si="1987"/>
        <v>0</v>
      </c>
      <c r="N1029" s="1" t="str">
        <f t="shared" si="1987"/>
        <v>0</v>
      </c>
      <c r="O1029" s="1" t="str">
        <f t="shared" si="1987"/>
        <v>0</v>
      </c>
      <c r="P1029" s="1" t="str">
        <f t="shared" si="1987"/>
        <v>0</v>
      </c>
      <c r="Q1029" s="1" t="str">
        <f t="shared" si="1982"/>
        <v>0.0070</v>
      </c>
      <c r="R1029" s="1" t="s">
        <v>29</v>
      </c>
      <c r="S1029" s="1">
        <v>-0.0014</v>
      </c>
      <c r="T1029" s="1" t="str">
        <f t="shared" si="1983"/>
        <v>0</v>
      </c>
      <c r="U1029" s="1" t="str">
        <f t="shared" si="1972"/>
        <v>0.0056</v>
      </c>
    </row>
    <row r="1030" s="1" customFormat="1" spans="1:21">
      <c r="A1030" s="1" t="str">
        <f>"4601992008471"</f>
        <v>4601992008471</v>
      </c>
      <c r="B1030" s="1" t="s">
        <v>1054</v>
      </c>
      <c r="C1030" s="1" t="s">
        <v>24</v>
      </c>
      <c r="D1030" s="1" t="str">
        <f t="shared" si="1979"/>
        <v>2021</v>
      </c>
      <c r="E1030" s="1" t="str">
        <f>"784.97"</f>
        <v>784.97</v>
      </c>
      <c r="F1030" s="1" t="str">
        <f t="shared" ref="F1030:I1030" si="1988">"0"</f>
        <v>0</v>
      </c>
      <c r="G1030" s="1" t="str">
        <f t="shared" si="1988"/>
        <v>0</v>
      </c>
      <c r="H1030" s="1" t="str">
        <f t="shared" si="1988"/>
        <v>0</v>
      </c>
      <c r="I1030" s="1" t="str">
        <f t="shared" si="1988"/>
        <v>0</v>
      </c>
      <c r="J1030" s="1" t="str">
        <f>"64"</f>
        <v>64</v>
      </c>
      <c r="K1030" s="1" t="str">
        <f t="shared" ref="K1030:P1030" si="1989">"0"</f>
        <v>0</v>
      </c>
      <c r="L1030" s="1" t="str">
        <f t="shared" si="1989"/>
        <v>0</v>
      </c>
      <c r="M1030" s="1" t="str">
        <f t="shared" si="1989"/>
        <v>0</v>
      </c>
      <c r="N1030" s="1" t="str">
        <f t="shared" si="1989"/>
        <v>0</v>
      </c>
      <c r="O1030" s="1" t="str">
        <f t="shared" si="1989"/>
        <v>0</v>
      </c>
      <c r="P1030" s="1" t="str">
        <f t="shared" si="1989"/>
        <v>0</v>
      </c>
      <c r="Q1030" s="1" t="str">
        <f t="shared" si="1982"/>
        <v>0.0070</v>
      </c>
      <c r="R1030" s="1" t="s">
        <v>29</v>
      </c>
      <c r="S1030" s="1">
        <v>-0.0014</v>
      </c>
      <c r="T1030" s="1" t="str">
        <f t="shared" si="1983"/>
        <v>0</v>
      </c>
      <c r="U1030" s="1" t="str">
        <f t="shared" si="1972"/>
        <v>0.0056</v>
      </c>
    </row>
    <row r="1031" s="1" customFormat="1" spans="1:21">
      <c r="A1031" s="1" t="str">
        <f>"4601992008667"</f>
        <v>4601992008667</v>
      </c>
      <c r="B1031" s="1" t="s">
        <v>1055</v>
      </c>
      <c r="C1031" s="1" t="s">
        <v>24</v>
      </c>
      <c r="D1031" s="1" t="str">
        <f t="shared" si="1979"/>
        <v>2021</v>
      </c>
      <c r="E1031" s="1" t="str">
        <f t="shared" ref="E1031:P1031" si="1990">"0"</f>
        <v>0</v>
      </c>
      <c r="F1031" s="1" t="str">
        <f t="shared" si="1990"/>
        <v>0</v>
      </c>
      <c r="G1031" s="1" t="str">
        <f t="shared" si="1990"/>
        <v>0</v>
      </c>
      <c r="H1031" s="1" t="str">
        <f t="shared" si="1990"/>
        <v>0</v>
      </c>
      <c r="I1031" s="1" t="str">
        <f t="shared" si="1990"/>
        <v>0</v>
      </c>
      <c r="J1031" s="1" t="str">
        <f t="shared" si="1990"/>
        <v>0</v>
      </c>
      <c r="K1031" s="1" t="str">
        <f t="shared" si="1990"/>
        <v>0</v>
      </c>
      <c r="L1031" s="1" t="str">
        <f t="shared" si="1990"/>
        <v>0</v>
      </c>
      <c r="M1031" s="1" t="str">
        <f t="shared" si="1990"/>
        <v>0</v>
      </c>
      <c r="N1031" s="1" t="str">
        <f t="shared" si="1990"/>
        <v>0</v>
      </c>
      <c r="O1031" s="1" t="str">
        <f t="shared" si="1990"/>
        <v>0</v>
      </c>
      <c r="P1031" s="1" t="str">
        <f t="shared" si="1990"/>
        <v>0</v>
      </c>
      <c r="Q1031" s="1" t="str">
        <f t="shared" si="1982"/>
        <v>0.0070</v>
      </c>
      <c r="R1031" s="1" t="s">
        <v>25</v>
      </c>
      <c r="T1031" s="1" t="str">
        <f t="shared" si="1983"/>
        <v>0</v>
      </c>
      <c r="U1031" s="1" t="str">
        <f>"0.0070"</f>
        <v>0.0070</v>
      </c>
    </row>
    <row r="1032" s="1" customFormat="1" spans="1:21">
      <c r="A1032" s="1" t="str">
        <f>"4601992008653"</f>
        <v>4601992008653</v>
      </c>
      <c r="B1032" s="1" t="s">
        <v>1056</v>
      </c>
      <c r="C1032" s="1" t="s">
        <v>24</v>
      </c>
      <c r="D1032" s="1" t="str">
        <f t="shared" si="1979"/>
        <v>2021</v>
      </c>
      <c r="E1032" s="1" t="str">
        <f>"72.54"</f>
        <v>72.54</v>
      </c>
      <c r="F1032" s="1" t="str">
        <f t="shared" ref="F1032:I1032" si="1991">"0"</f>
        <v>0</v>
      </c>
      <c r="G1032" s="1" t="str">
        <f t="shared" si="1991"/>
        <v>0</v>
      </c>
      <c r="H1032" s="1" t="str">
        <f t="shared" si="1991"/>
        <v>0</v>
      </c>
      <c r="I1032" s="1" t="str">
        <f t="shared" si="1991"/>
        <v>0</v>
      </c>
      <c r="J1032" s="1" t="str">
        <f>"7"</f>
        <v>7</v>
      </c>
      <c r="K1032" s="1" t="str">
        <f t="shared" ref="K1032:P1032" si="1992">"0"</f>
        <v>0</v>
      </c>
      <c r="L1032" s="1" t="str">
        <f t="shared" si="1992"/>
        <v>0</v>
      </c>
      <c r="M1032" s="1" t="str">
        <f t="shared" si="1992"/>
        <v>0</v>
      </c>
      <c r="N1032" s="1" t="str">
        <f t="shared" si="1992"/>
        <v>0</v>
      </c>
      <c r="O1032" s="1" t="str">
        <f t="shared" si="1992"/>
        <v>0</v>
      </c>
      <c r="P1032" s="1" t="str">
        <f t="shared" si="1992"/>
        <v>0</v>
      </c>
      <c r="Q1032" s="1" t="str">
        <f t="shared" si="1982"/>
        <v>0.0070</v>
      </c>
      <c r="R1032" s="1" t="s">
        <v>29</v>
      </c>
      <c r="S1032" s="1">
        <v>-0.0014</v>
      </c>
      <c r="T1032" s="1" t="str">
        <f t="shared" si="1983"/>
        <v>0</v>
      </c>
      <c r="U1032" s="1" t="str">
        <f t="shared" ref="U1032:U1037" si="1993">"0.0056"</f>
        <v>0.0056</v>
      </c>
    </row>
    <row r="1033" s="1" customFormat="1" spans="1:21">
      <c r="A1033" s="1" t="str">
        <f>"4601991412535"</f>
        <v>4601991412535</v>
      </c>
      <c r="B1033" s="1" t="s">
        <v>1057</v>
      </c>
      <c r="C1033" s="1" t="s">
        <v>24</v>
      </c>
      <c r="D1033" s="1" t="str">
        <f t="shared" si="1979"/>
        <v>2021</v>
      </c>
      <c r="E1033" s="1" t="str">
        <f>"174.06"</f>
        <v>174.06</v>
      </c>
      <c r="F1033" s="1" t="str">
        <f t="shared" ref="F1033:I1033" si="1994">"0"</f>
        <v>0</v>
      </c>
      <c r="G1033" s="1" t="str">
        <f t="shared" si="1994"/>
        <v>0</v>
      </c>
      <c r="H1033" s="1" t="str">
        <f t="shared" si="1994"/>
        <v>0</v>
      </c>
      <c r="I1033" s="1" t="str">
        <f t="shared" si="1994"/>
        <v>0</v>
      </c>
      <c r="J1033" s="1" t="str">
        <f>"19"</f>
        <v>19</v>
      </c>
      <c r="K1033" s="1" t="str">
        <f t="shared" ref="K1033:P1033" si="1995">"0"</f>
        <v>0</v>
      </c>
      <c r="L1033" s="1" t="str">
        <f t="shared" si="1995"/>
        <v>0</v>
      </c>
      <c r="M1033" s="1" t="str">
        <f t="shared" si="1995"/>
        <v>0</v>
      </c>
      <c r="N1033" s="1" t="str">
        <f t="shared" si="1995"/>
        <v>0</v>
      </c>
      <c r="O1033" s="1" t="str">
        <f t="shared" si="1995"/>
        <v>0</v>
      </c>
      <c r="P1033" s="1" t="str">
        <f t="shared" si="1995"/>
        <v>0</v>
      </c>
      <c r="Q1033" s="1" t="str">
        <f t="shared" si="1982"/>
        <v>0.0070</v>
      </c>
      <c r="R1033" s="1" t="s">
        <v>29</v>
      </c>
      <c r="S1033" s="1">
        <v>-0.0014</v>
      </c>
      <c r="T1033" s="1" t="str">
        <f t="shared" si="1983"/>
        <v>0</v>
      </c>
      <c r="U1033" s="1" t="str">
        <f t="shared" si="1993"/>
        <v>0.0056</v>
      </c>
    </row>
    <row r="1034" s="1" customFormat="1" spans="1:21">
      <c r="A1034" s="1" t="str">
        <f>"4601992008756"</f>
        <v>4601992008756</v>
      </c>
      <c r="B1034" s="1" t="s">
        <v>1058</v>
      </c>
      <c r="C1034" s="1" t="s">
        <v>24</v>
      </c>
      <c r="D1034" s="1" t="str">
        <f t="shared" si="1979"/>
        <v>2021</v>
      </c>
      <c r="E1034" s="1" t="str">
        <f>"12.09"</f>
        <v>12.09</v>
      </c>
      <c r="F1034" s="1" t="str">
        <f t="shared" ref="F1034:I1034" si="1996">"0"</f>
        <v>0</v>
      </c>
      <c r="G1034" s="1" t="str">
        <f t="shared" si="1996"/>
        <v>0</v>
      </c>
      <c r="H1034" s="1" t="str">
        <f t="shared" si="1996"/>
        <v>0</v>
      </c>
      <c r="I1034" s="1" t="str">
        <f t="shared" si="1996"/>
        <v>0</v>
      </c>
      <c r="J1034" s="1" t="str">
        <f>"1"</f>
        <v>1</v>
      </c>
      <c r="K1034" s="1" t="str">
        <f t="shared" ref="K1034:P1034" si="1997">"0"</f>
        <v>0</v>
      </c>
      <c r="L1034" s="1" t="str">
        <f t="shared" si="1997"/>
        <v>0</v>
      </c>
      <c r="M1034" s="1" t="str">
        <f t="shared" si="1997"/>
        <v>0</v>
      </c>
      <c r="N1034" s="1" t="str">
        <f t="shared" si="1997"/>
        <v>0</v>
      </c>
      <c r="O1034" s="1" t="str">
        <f t="shared" si="1997"/>
        <v>0</v>
      </c>
      <c r="P1034" s="1" t="str">
        <f t="shared" si="1997"/>
        <v>0</v>
      </c>
      <c r="Q1034" s="1" t="str">
        <f t="shared" si="1982"/>
        <v>0.0070</v>
      </c>
      <c r="R1034" s="1" t="s">
        <v>29</v>
      </c>
      <c r="S1034" s="1">
        <v>-0.0014</v>
      </c>
      <c r="T1034" s="1" t="str">
        <f t="shared" si="1983"/>
        <v>0</v>
      </c>
      <c r="U1034" s="1" t="str">
        <f t="shared" si="1993"/>
        <v>0.0056</v>
      </c>
    </row>
    <row r="1035" s="1" customFormat="1" spans="1:21">
      <c r="A1035" s="1" t="str">
        <f>"4601992008711"</f>
        <v>4601992008711</v>
      </c>
      <c r="B1035" s="1" t="s">
        <v>1059</v>
      </c>
      <c r="C1035" s="1" t="s">
        <v>24</v>
      </c>
      <c r="D1035" s="1" t="str">
        <f t="shared" si="1979"/>
        <v>2021</v>
      </c>
      <c r="E1035" s="1" t="str">
        <f>"11.98"</f>
        <v>11.98</v>
      </c>
      <c r="F1035" s="1" t="str">
        <f t="shared" ref="F1035:I1035" si="1998">"0"</f>
        <v>0</v>
      </c>
      <c r="G1035" s="1" t="str">
        <f t="shared" si="1998"/>
        <v>0</v>
      </c>
      <c r="H1035" s="1" t="str">
        <f t="shared" si="1998"/>
        <v>0</v>
      </c>
      <c r="I1035" s="1" t="str">
        <f t="shared" si="1998"/>
        <v>0</v>
      </c>
      <c r="J1035" s="1" t="str">
        <f>"1"</f>
        <v>1</v>
      </c>
      <c r="K1035" s="1" t="str">
        <f t="shared" ref="K1035:P1035" si="1999">"0"</f>
        <v>0</v>
      </c>
      <c r="L1035" s="1" t="str">
        <f t="shared" si="1999"/>
        <v>0</v>
      </c>
      <c r="M1035" s="1" t="str">
        <f t="shared" si="1999"/>
        <v>0</v>
      </c>
      <c r="N1035" s="1" t="str">
        <f t="shared" si="1999"/>
        <v>0</v>
      </c>
      <c r="O1035" s="1" t="str">
        <f t="shared" si="1999"/>
        <v>0</v>
      </c>
      <c r="P1035" s="1" t="str">
        <f t="shared" si="1999"/>
        <v>0</v>
      </c>
      <c r="Q1035" s="1" t="str">
        <f t="shared" si="1982"/>
        <v>0.0070</v>
      </c>
      <c r="R1035" s="1" t="s">
        <v>29</v>
      </c>
      <c r="S1035" s="1">
        <v>-0.0014</v>
      </c>
      <c r="T1035" s="1" t="str">
        <f t="shared" si="1983"/>
        <v>0</v>
      </c>
      <c r="U1035" s="1" t="str">
        <f t="shared" si="1993"/>
        <v>0.0056</v>
      </c>
    </row>
    <row r="1036" s="1" customFormat="1" spans="1:21">
      <c r="A1036" s="1" t="str">
        <f>"4601992008684"</f>
        <v>4601992008684</v>
      </c>
      <c r="B1036" s="1" t="s">
        <v>1060</v>
      </c>
      <c r="C1036" s="1" t="s">
        <v>24</v>
      </c>
      <c r="D1036" s="1" t="str">
        <f t="shared" si="1979"/>
        <v>2021</v>
      </c>
      <c r="E1036" s="1" t="str">
        <f>"72.21"</f>
        <v>72.21</v>
      </c>
      <c r="F1036" s="1" t="str">
        <f t="shared" ref="F1036:I1036" si="2000">"0"</f>
        <v>0</v>
      </c>
      <c r="G1036" s="1" t="str">
        <f t="shared" si="2000"/>
        <v>0</v>
      </c>
      <c r="H1036" s="1" t="str">
        <f t="shared" si="2000"/>
        <v>0</v>
      </c>
      <c r="I1036" s="1" t="str">
        <f t="shared" si="2000"/>
        <v>0</v>
      </c>
      <c r="J1036" s="1" t="str">
        <f>"6"</f>
        <v>6</v>
      </c>
      <c r="K1036" s="1" t="str">
        <f t="shared" ref="K1036:P1036" si="2001">"0"</f>
        <v>0</v>
      </c>
      <c r="L1036" s="1" t="str">
        <f t="shared" si="2001"/>
        <v>0</v>
      </c>
      <c r="M1036" s="1" t="str">
        <f t="shared" si="2001"/>
        <v>0</v>
      </c>
      <c r="N1036" s="1" t="str">
        <f t="shared" si="2001"/>
        <v>0</v>
      </c>
      <c r="O1036" s="1" t="str">
        <f t="shared" si="2001"/>
        <v>0</v>
      </c>
      <c r="P1036" s="1" t="str">
        <f t="shared" si="2001"/>
        <v>0</v>
      </c>
      <c r="Q1036" s="1" t="str">
        <f t="shared" si="1982"/>
        <v>0.0070</v>
      </c>
      <c r="R1036" s="1" t="s">
        <v>29</v>
      </c>
      <c r="S1036" s="1">
        <v>-0.0014</v>
      </c>
      <c r="T1036" s="1" t="str">
        <f t="shared" si="1983"/>
        <v>0</v>
      </c>
      <c r="U1036" s="1" t="str">
        <f t="shared" si="1993"/>
        <v>0.0056</v>
      </c>
    </row>
    <row r="1037" s="1" customFormat="1" spans="1:21">
      <c r="A1037" s="1" t="str">
        <f>"4601992008851"</f>
        <v>4601992008851</v>
      </c>
      <c r="B1037" s="1" t="s">
        <v>1061</v>
      </c>
      <c r="C1037" s="1" t="s">
        <v>24</v>
      </c>
      <c r="D1037" s="1" t="str">
        <f t="shared" si="1979"/>
        <v>2021</v>
      </c>
      <c r="E1037" s="1" t="str">
        <f>"36.35"</f>
        <v>36.35</v>
      </c>
      <c r="F1037" s="1" t="str">
        <f t="shared" ref="F1037:I1037" si="2002">"0"</f>
        <v>0</v>
      </c>
      <c r="G1037" s="1" t="str">
        <f t="shared" si="2002"/>
        <v>0</v>
      </c>
      <c r="H1037" s="1" t="str">
        <f t="shared" si="2002"/>
        <v>0</v>
      </c>
      <c r="I1037" s="1" t="str">
        <f t="shared" si="2002"/>
        <v>0</v>
      </c>
      <c r="J1037" s="1" t="str">
        <f>"4"</f>
        <v>4</v>
      </c>
      <c r="K1037" s="1" t="str">
        <f t="shared" ref="K1037:P1037" si="2003">"0"</f>
        <v>0</v>
      </c>
      <c r="L1037" s="1" t="str">
        <f t="shared" si="2003"/>
        <v>0</v>
      </c>
      <c r="M1037" s="1" t="str">
        <f t="shared" si="2003"/>
        <v>0</v>
      </c>
      <c r="N1037" s="1" t="str">
        <f t="shared" si="2003"/>
        <v>0</v>
      </c>
      <c r="O1037" s="1" t="str">
        <f t="shared" si="2003"/>
        <v>0</v>
      </c>
      <c r="P1037" s="1" t="str">
        <f t="shared" si="2003"/>
        <v>0</v>
      </c>
      <c r="Q1037" s="1" t="str">
        <f t="shared" si="1982"/>
        <v>0.0070</v>
      </c>
      <c r="R1037" s="1" t="s">
        <v>29</v>
      </c>
      <c r="S1037" s="1">
        <v>-0.0014</v>
      </c>
      <c r="T1037" s="1" t="str">
        <f t="shared" si="1983"/>
        <v>0</v>
      </c>
      <c r="U1037" s="1" t="str">
        <f t="shared" si="1993"/>
        <v>0.0056</v>
      </c>
    </row>
    <row r="1038" s="1" customFormat="1" spans="1:21">
      <c r="A1038" s="1" t="str">
        <f>"4601992008911"</f>
        <v>4601992008911</v>
      </c>
      <c r="B1038" s="1" t="s">
        <v>1062</v>
      </c>
      <c r="C1038" s="1" t="s">
        <v>24</v>
      </c>
      <c r="D1038" s="1" t="str">
        <f t="shared" si="1979"/>
        <v>2021</v>
      </c>
      <c r="E1038" s="1" t="str">
        <f t="shared" ref="E1038:P1038" si="2004">"0"</f>
        <v>0</v>
      </c>
      <c r="F1038" s="1" t="str">
        <f t="shared" si="2004"/>
        <v>0</v>
      </c>
      <c r="G1038" s="1" t="str">
        <f t="shared" si="2004"/>
        <v>0</v>
      </c>
      <c r="H1038" s="1" t="str">
        <f t="shared" si="2004"/>
        <v>0</v>
      </c>
      <c r="I1038" s="1" t="str">
        <f t="shared" si="2004"/>
        <v>0</v>
      </c>
      <c r="J1038" s="1" t="str">
        <f t="shared" si="2004"/>
        <v>0</v>
      </c>
      <c r="K1038" s="1" t="str">
        <f t="shared" si="2004"/>
        <v>0</v>
      </c>
      <c r="L1038" s="1" t="str">
        <f t="shared" si="2004"/>
        <v>0</v>
      </c>
      <c r="M1038" s="1" t="str">
        <f t="shared" si="2004"/>
        <v>0</v>
      </c>
      <c r="N1038" s="1" t="str">
        <f t="shared" si="2004"/>
        <v>0</v>
      </c>
      <c r="O1038" s="1" t="str">
        <f t="shared" si="2004"/>
        <v>0</v>
      </c>
      <c r="P1038" s="1" t="str">
        <f t="shared" si="2004"/>
        <v>0</v>
      </c>
      <c r="Q1038" s="1" t="str">
        <f t="shared" si="1982"/>
        <v>0.0070</v>
      </c>
      <c r="R1038" s="1" t="s">
        <v>25</v>
      </c>
      <c r="T1038" s="1" t="str">
        <f t="shared" si="1983"/>
        <v>0</v>
      </c>
      <c r="U1038" s="1" t="str">
        <f>"0.0070"</f>
        <v>0.0070</v>
      </c>
    </row>
    <row r="1039" s="1" customFormat="1" spans="1:21">
      <c r="A1039" s="1" t="str">
        <f>"4601992008925"</f>
        <v>4601992008925</v>
      </c>
      <c r="B1039" s="1" t="s">
        <v>1063</v>
      </c>
      <c r="C1039" s="1" t="s">
        <v>24</v>
      </c>
      <c r="D1039" s="1" t="str">
        <f t="shared" si="1979"/>
        <v>2021</v>
      </c>
      <c r="E1039" s="1" t="str">
        <f>"72.54"</f>
        <v>72.54</v>
      </c>
      <c r="F1039" s="1" t="str">
        <f t="shared" ref="F1039:I1039" si="2005">"0"</f>
        <v>0</v>
      </c>
      <c r="G1039" s="1" t="str">
        <f t="shared" si="2005"/>
        <v>0</v>
      </c>
      <c r="H1039" s="1" t="str">
        <f t="shared" si="2005"/>
        <v>0</v>
      </c>
      <c r="I1039" s="1" t="str">
        <f t="shared" si="2005"/>
        <v>0</v>
      </c>
      <c r="J1039" s="1" t="str">
        <f>"6"</f>
        <v>6</v>
      </c>
      <c r="K1039" s="1" t="str">
        <f t="shared" ref="K1039:P1039" si="2006">"0"</f>
        <v>0</v>
      </c>
      <c r="L1039" s="1" t="str">
        <f t="shared" si="2006"/>
        <v>0</v>
      </c>
      <c r="M1039" s="1" t="str">
        <f t="shared" si="2006"/>
        <v>0</v>
      </c>
      <c r="N1039" s="1" t="str">
        <f t="shared" si="2006"/>
        <v>0</v>
      </c>
      <c r="O1039" s="1" t="str">
        <f t="shared" si="2006"/>
        <v>0</v>
      </c>
      <c r="P1039" s="1" t="str">
        <f t="shared" si="2006"/>
        <v>0</v>
      </c>
      <c r="Q1039" s="1" t="str">
        <f t="shared" si="1982"/>
        <v>0.0070</v>
      </c>
      <c r="R1039" s="1" t="s">
        <v>29</v>
      </c>
      <c r="S1039" s="1">
        <v>-0.0014</v>
      </c>
      <c r="T1039" s="1" t="str">
        <f t="shared" si="1983"/>
        <v>0</v>
      </c>
      <c r="U1039" s="1" t="str">
        <f t="shared" ref="U1039:U1043" si="2007">"0.0056"</f>
        <v>0.0056</v>
      </c>
    </row>
    <row r="1040" s="1" customFormat="1" spans="1:21">
      <c r="A1040" s="1" t="str">
        <f>"4601992008983"</f>
        <v>4601992008983</v>
      </c>
      <c r="B1040" s="1" t="s">
        <v>1064</v>
      </c>
      <c r="C1040" s="1" t="s">
        <v>24</v>
      </c>
      <c r="D1040" s="1" t="str">
        <f t="shared" si="1979"/>
        <v>2021</v>
      </c>
      <c r="E1040" s="1" t="str">
        <f t="shared" ref="E1040:P1040" si="2008">"0"</f>
        <v>0</v>
      </c>
      <c r="F1040" s="1" t="str">
        <f t="shared" si="2008"/>
        <v>0</v>
      </c>
      <c r="G1040" s="1" t="str">
        <f t="shared" si="2008"/>
        <v>0</v>
      </c>
      <c r="H1040" s="1" t="str">
        <f t="shared" si="2008"/>
        <v>0</v>
      </c>
      <c r="I1040" s="1" t="str">
        <f t="shared" si="2008"/>
        <v>0</v>
      </c>
      <c r="J1040" s="1" t="str">
        <f t="shared" si="2008"/>
        <v>0</v>
      </c>
      <c r="K1040" s="1" t="str">
        <f t="shared" si="2008"/>
        <v>0</v>
      </c>
      <c r="L1040" s="1" t="str">
        <f t="shared" si="2008"/>
        <v>0</v>
      </c>
      <c r="M1040" s="1" t="str">
        <f t="shared" si="2008"/>
        <v>0</v>
      </c>
      <c r="N1040" s="1" t="str">
        <f t="shared" si="2008"/>
        <v>0</v>
      </c>
      <c r="O1040" s="1" t="str">
        <f t="shared" si="2008"/>
        <v>0</v>
      </c>
      <c r="P1040" s="1" t="str">
        <f t="shared" si="2008"/>
        <v>0</v>
      </c>
      <c r="Q1040" s="1" t="str">
        <f t="shared" si="1982"/>
        <v>0.0070</v>
      </c>
      <c r="R1040" s="1" t="s">
        <v>25</v>
      </c>
      <c r="T1040" s="1" t="str">
        <f t="shared" si="1983"/>
        <v>0</v>
      </c>
      <c r="U1040" s="1" t="str">
        <f>"0.0070"</f>
        <v>0.0070</v>
      </c>
    </row>
    <row r="1041" s="1" customFormat="1" spans="1:21">
      <c r="A1041" s="1" t="str">
        <f>"4601992008940"</f>
        <v>4601992008940</v>
      </c>
      <c r="B1041" s="1" t="s">
        <v>1065</v>
      </c>
      <c r="C1041" s="1" t="s">
        <v>24</v>
      </c>
      <c r="D1041" s="1" t="str">
        <f t="shared" si="1979"/>
        <v>2021</v>
      </c>
      <c r="E1041" s="1" t="str">
        <f>"472.15"</f>
        <v>472.15</v>
      </c>
      <c r="F1041" s="1" t="str">
        <f t="shared" ref="F1041:I1041" si="2009">"0"</f>
        <v>0</v>
      </c>
      <c r="G1041" s="1" t="str">
        <f t="shared" si="2009"/>
        <v>0</v>
      </c>
      <c r="H1041" s="1" t="str">
        <f t="shared" si="2009"/>
        <v>0</v>
      </c>
      <c r="I1041" s="1" t="str">
        <f t="shared" si="2009"/>
        <v>0</v>
      </c>
      <c r="J1041" s="1" t="str">
        <f>"38"</f>
        <v>38</v>
      </c>
      <c r="K1041" s="1" t="str">
        <f t="shared" ref="K1041:P1041" si="2010">"0"</f>
        <v>0</v>
      </c>
      <c r="L1041" s="1" t="str">
        <f t="shared" si="2010"/>
        <v>0</v>
      </c>
      <c r="M1041" s="1" t="str">
        <f t="shared" si="2010"/>
        <v>0</v>
      </c>
      <c r="N1041" s="1" t="str">
        <f t="shared" si="2010"/>
        <v>0</v>
      </c>
      <c r="O1041" s="1" t="str">
        <f t="shared" si="2010"/>
        <v>0</v>
      </c>
      <c r="P1041" s="1" t="str">
        <f t="shared" si="2010"/>
        <v>0</v>
      </c>
      <c r="Q1041" s="1" t="str">
        <f t="shared" si="1982"/>
        <v>0.0070</v>
      </c>
      <c r="R1041" s="1" t="s">
        <v>29</v>
      </c>
      <c r="S1041" s="1">
        <v>-0.0014</v>
      </c>
      <c r="T1041" s="1" t="str">
        <f t="shared" si="1983"/>
        <v>0</v>
      </c>
      <c r="U1041" s="1" t="str">
        <f t="shared" si="2007"/>
        <v>0.0056</v>
      </c>
    </row>
    <row r="1042" s="1" customFormat="1" spans="1:21">
      <c r="A1042" s="1" t="str">
        <f>"4601992008943"</f>
        <v>4601992008943</v>
      </c>
      <c r="B1042" s="1" t="s">
        <v>1066</v>
      </c>
      <c r="C1042" s="1" t="s">
        <v>24</v>
      </c>
      <c r="D1042" s="1" t="str">
        <f t="shared" si="1979"/>
        <v>2021</v>
      </c>
      <c r="E1042" s="1" t="str">
        <f>"12.09"</f>
        <v>12.09</v>
      </c>
      <c r="F1042" s="1" t="str">
        <f t="shared" ref="F1042:I1042" si="2011">"0"</f>
        <v>0</v>
      </c>
      <c r="G1042" s="1" t="str">
        <f t="shared" si="2011"/>
        <v>0</v>
      </c>
      <c r="H1042" s="1" t="str">
        <f t="shared" si="2011"/>
        <v>0</v>
      </c>
      <c r="I1042" s="1" t="str">
        <f t="shared" si="2011"/>
        <v>0</v>
      </c>
      <c r="J1042" s="1" t="str">
        <f>"1"</f>
        <v>1</v>
      </c>
      <c r="K1042" s="1" t="str">
        <f t="shared" ref="K1042:P1042" si="2012">"0"</f>
        <v>0</v>
      </c>
      <c r="L1042" s="1" t="str">
        <f t="shared" si="2012"/>
        <v>0</v>
      </c>
      <c r="M1042" s="1" t="str">
        <f t="shared" si="2012"/>
        <v>0</v>
      </c>
      <c r="N1042" s="1" t="str">
        <f t="shared" si="2012"/>
        <v>0</v>
      </c>
      <c r="O1042" s="1" t="str">
        <f t="shared" si="2012"/>
        <v>0</v>
      </c>
      <c r="P1042" s="1" t="str">
        <f t="shared" si="2012"/>
        <v>0</v>
      </c>
      <c r="Q1042" s="1" t="str">
        <f t="shared" si="1982"/>
        <v>0.0070</v>
      </c>
      <c r="R1042" s="1" t="s">
        <v>29</v>
      </c>
      <c r="S1042" s="1">
        <v>-0.0014</v>
      </c>
      <c r="T1042" s="1" t="str">
        <f t="shared" si="1983"/>
        <v>0</v>
      </c>
      <c r="U1042" s="1" t="str">
        <f t="shared" si="2007"/>
        <v>0.0056</v>
      </c>
    </row>
    <row r="1043" s="1" customFormat="1" spans="1:21">
      <c r="A1043" s="1" t="str">
        <f>"4601992009075"</f>
        <v>4601992009075</v>
      </c>
      <c r="B1043" s="1" t="s">
        <v>1067</v>
      </c>
      <c r="C1043" s="1" t="s">
        <v>24</v>
      </c>
      <c r="D1043" s="1" t="str">
        <f t="shared" si="1979"/>
        <v>2021</v>
      </c>
      <c r="E1043" s="1" t="str">
        <f>"72.32"</f>
        <v>72.32</v>
      </c>
      <c r="F1043" s="1" t="str">
        <f t="shared" ref="F1043:I1043" si="2013">"0"</f>
        <v>0</v>
      </c>
      <c r="G1043" s="1" t="str">
        <f t="shared" si="2013"/>
        <v>0</v>
      </c>
      <c r="H1043" s="1" t="str">
        <f t="shared" si="2013"/>
        <v>0</v>
      </c>
      <c r="I1043" s="1" t="str">
        <f t="shared" si="2013"/>
        <v>0</v>
      </c>
      <c r="J1043" s="1" t="str">
        <f>"5"</f>
        <v>5</v>
      </c>
      <c r="K1043" s="1" t="str">
        <f t="shared" ref="K1043:P1043" si="2014">"0"</f>
        <v>0</v>
      </c>
      <c r="L1043" s="1" t="str">
        <f t="shared" si="2014"/>
        <v>0</v>
      </c>
      <c r="M1043" s="1" t="str">
        <f t="shared" si="2014"/>
        <v>0</v>
      </c>
      <c r="N1043" s="1" t="str">
        <f t="shared" si="2014"/>
        <v>0</v>
      </c>
      <c r="O1043" s="1" t="str">
        <f t="shared" si="2014"/>
        <v>0</v>
      </c>
      <c r="P1043" s="1" t="str">
        <f t="shared" si="2014"/>
        <v>0</v>
      </c>
      <c r="Q1043" s="1" t="str">
        <f t="shared" si="1982"/>
        <v>0.0070</v>
      </c>
      <c r="R1043" s="1" t="s">
        <v>29</v>
      </c>
      <c r="S1043" s="1">
        <v>-0.0014</v>
      </c>
      <c r="T1043" s="1" t="str">
        <f t="shared" si="1983"/>
        <v>0</v>
      </c>
      <c r="U1043" s="1" t="str">
        <f t="shared" si="2007"/>
        <v>0.0056</v>
      </c>
    </row>
    <row r="1044" s="1" customFormat="1" spans="1:21">
      <c r="A1044" s="1" t="str">
        <f>"4601992009254"</f>
        <v>4601992009254</v>
      </c>
      <c r="B1044" s="1" t="s">
        <v>1068</v>
      </c>
      <c r="C1044" s="1" t="s">
        <v>24</v>
      </c>
      <c r="D1044" s="1" t="str">
        <f t="shared" si="1979"/>
        <v>2021</v>
      </c>
      <c r="E1044" s="1" t="str">
        <f t="shared" ref="E1044:P1044" si="2015">"0"</f>
        <v>0</v>
      </c>
      <c r="F1044" s="1" t="str">
        <f t="shared" si="2015"/>
        <v>0</v>
      </c>
      <c r="G1044" s="1" t="str">
        <f t="shared" si="2015"/>
        <v>0</v>
      </c>
      <c r="H1044" s="1" t="str">
        <f t="shared" si="2015"/>
        <v>0</v>
      </c>
      <c r="I1044" s="1" t="str">
        <f t="shared" si="2015"/>
        <v>0</v>
      </c>
      <c r="J1044" s="1" t="str">
        <f t="shared" si="2015"/>
        <v>0</v>
      </c>
      <c r="K1044" s="1" t="str">
        <f t="shared" si="2015"/>
        <v>0</v>
      </c>
      <c r="L1044" s="1" t="str">
        <f t="shared" si="2015"/>
        <v>0</v>
      </c>
      <c r="M1044" s="1" t="str">
        <f t="shared" si="2015"/>
        <v>0</v>
      </c>
      <c r="N1044" s="1" t="str">
        <f t="shared" si="2015"/>
        <v>0</v>
      </c>
      <c r="O1044" s="1" t="str">
        <f t="shared" si="2015"/>
        <v>0</v>
      </c>
      <c r="P1044" s="1" t="str">
        <f t="shared" si="2015"/>
        <v>0</v>
      </c>
      <c r="Q1044" s="1" t="str">
        <f t="shared" si="1982"/>
        <v>0.0070</v>
      </c>
      <c r="R1044" s="1" t="s">
        <v>25</v>
      </c>
      <c r="T1044" s="1" t="str">
        <f t="shared" si="1983"/>
        <v>0</v>
      </c>
      <c r="U1044" s="1" t="str">
        <f>"0.0070"</f>
        <v>0.0070</v>
      </c>
    </row>
    <row r="1045" s="1" customFormat="1" spans="1:21">
      <c r="A1045" s="1" t="str">
        <f>"4601992009130"</f>
        <v>4601992009130</v>
      </c>
      <c r="B1045" s="1" t="s">
        <v>1069</v>
      </c>
      <c r="C1045" s="1" t="s">
        <v>24</v>
      </c>
      <c r="D1045" s="1" t="str">
        <f t="shared" si="1979"/>
        <v>2021</v>
      </c>
      <c r="E1045" s="1" t="str">
        <f>"60.45"</f>
        <v>60.45</v>
      </c>
      <c r="F1045" s="1" t="str">
        <f t="shared" ref="F1045:I1045" si="2016">"0"</f>
        <v>0</v>
      </c>
      <c r="G1045" s="1" t="str">
        <f t="shared" si="2016"/>
        <v>0</v>
      </c>
      <c r="H1045" s="1" t="str">
        <f t="shared" si="2016"/>
        <v>0</v>
      </c>
      <c r="I1045" s="1" t="str">
        <f t="shared" si="2016"/>
        <v>0</v>
      </c>
      <c r="J1045" s="1" t="str">
        <f>"4"</f>
        <v>4</v>
      </c>
      <c r="K1045" s="1" t="str">
        <f t="shared" ref="K1045:P1045" si="2017">"0"</f>
        <v>0</v>
      </c>
      <c r="L1045" s="1" t="str">
        <f t="shared" si="2017"/>
        <v>0</v>
      </c>
      <c r="M1045" s="1" t="str">
        <f t="shared" si="2017"/>
        <v>0</v>
      </c>
      <c r="N1045" s="1" t="str">
        <f t="shared" si="2017"/>
        <v>0</v>
      </c>
      <c r="O1045" s="1" t="str">
        <f t="shared" si="2017"/>
        <v>0</v>
      </c>
      <c r="P1045" s="1" t="str">
        <f t="shared" si="2017"/>
        <v>0</v>
      </c>
      <c r="Q1045" s="1" t="str">
        <f t="shared" si="1982"/>
        <v>0.0070</v>
      </c>
      <c r="R1045" s="1" t="s">
        <v>29</v>
      </c>
      <c r="S1045" s="1">
        <v>-0.0014</v>
      </c>
      <c r="T1045" s="1" t="str">
        <f t="shared" si="1983"/>
        <v>0</v>
      </c>
      <c r="U1045" s="1" t="str">
        <f t="shared" ref="U1045:U1048" si="2018">"0.0056"</f>
        <v>0.0056</v>
      </c>
    </row>
    <row r="1046" s="1" customFormat="1" spans="1:21">
      <c r="A1046" s="1" t="str">
        <f>"4601992009174"</f>
        <v>4601992009174</v>
      </c>
      <c r="B1046" s="1" t="s">
        <v>1070</v>
      </c>
      <c r="C1046" s="1" t="s">
        <v>24</v>
      </c>
      <c r="D1046" s="1" t="str">
        <f t="shared" si="1979"/>
        <v>2021</v>
      </c>
      <c r="E1046" s="1" t="str">
        <f>"216.51"</f>
        <v>216.51</v>
      </c>
      <c r="F1046" s="1" t="str">
        <f t="shared" ref="F1046:I1046" si="2019">"0"</f>
        <v>0</v>
      </c>
      <c r="G1046" s="1" t="str">
        <f t="shared" si="2019"/>
        <v>0</v>
      </c>
      <c r="H1046" s="1" t="str">
        <f t="shared" si="2019"/>
        <v>0</v>
      </c>
      <c r="I1046" s="1" t="str">
        <f t="shared" si="2019"/>
        <v>0</v>
      </c>
      <c r="J1046" s="1" t="str">
        <f>"6"</f>
        <v>6</v>
      </c>
      <c r="K1046" s="1" t="str">
        <f t="shared" ref="K1046:P1046" si="2020">"0"</f>
        <v>0</v>
      </c>
      <c r="L1046" s="1" t="str">
        <f t="shared" si="2020"/>
        <v>0</v>
      </c>
      <c r="M1046" s="1" t="str">
        <f t="shared" si="2020"/>
        <v>0</v>
      </c>
      <c r="N1046" s="1" t="str">
        <f t="shared" si="2020"/>
        <v>0</v>
      </c>
      <c r="O1046" s="1" t="str">
        <f t="shared" si="2020"/>
        <v>0</v>
      </c>
      <c r="P1046" s="1" t="str">
        <f t="shared" si="2020"/>
        <v>0</v>
      </c>
      <c r="Q1046" s="1" t="str">
        <f t="shared" si="1982"/>
        <v>0.0070</v>
      </c>
      <c r="R1046" s="1" t="s">
        <v>29</v>
      </c>
      <c r="S1046" s="1">
        <v>-0.0014</v>
      </c>
      <c r="T1046" s="1" t="str">
        <f t="shared" si="1983"/>
        <v>0</v>
      </c>
      <c r="U1046" s="1" t="str">
        <f t="shared" si="2018"/>
        <v>0.0056</v>
      </c>
    </row>
    <row r="1047" s="1" customFormat="1" spans="1:21">
      <c r="A1047" s="1" t="str">
        <f>"4601992009274"</f>
        <v>4601992009274</v>
      </c>
      <c r="B1047" s="1" t="s">
        <v>1071</v>
      </c>
      <c r="C1047" s="1" t="s">
        <v>24</v>
      </c>
      <c r="D1047" s="1" t="str">
        <f t="shared" si="1979"/>
        <v>2021</v>
      </c>
      <c r="E1047" s="1" t="str">
        <f>"24.34"</f>
        <v>24.34</v>
      </c>
      <c r="F1047" s="1" t="str">
        <f t="shared" ref="F1047:I1047" si="2021">"0"</f>
        <v>0</v>
      </c>
      <c r="G1047" s="1" t="str">
        <f t="shared" si="2021"/>
        <v>0</v>
      </c>
      <c r="H1047" s="1" t="str">
        <f t="shared" si="2021"/>
        <v>0</v>
      </c>
      <c r="I1047" s="1" t="str">
        <f t="shared" si="2021"/>
        <v>0</v>
      </c>
      <c r="J1047" s="1" t="str">
        <f>"2"</f>
        <v>2</v>
      </c>
      <c r="K1047" s="1" t="str">
        <f t="shared" ref="K1047:P1047" si="2022">"0"</f>
        <v>0</v>
      </c>
      <c r="L1047" s="1" t="str">
        <f t="shared" si="2022"/>
        <v>0</v>
      </c>
      <c r="M1047" s="1" t="str">
        <f t="shared" si="2022"/>
        <v>0</v>
      </c>
      <c r="N1047" s="1" t="str">
        <f t="shared" si="2022"/>
        <v>0</v>
      </c>
      <c r="O1047" s="1" t="str">
        <f t="shared" si="2022"/>
        <v>0</v>
      </c>
      <c r="P1047" s="1" t="str">
        <f t="shared" si="2022"/>
        <v>0</v>
      </c>
      <c r="Q1047" s="1" t="str">
        <f t="shared" si="1982"/>
        <v>0.0070</v>
      </c>
      <c r="R1047" s="1" t="s">
        <v>29</v>
      </c>
      <c r="S1047" s="1">
        <v>-0.0014</v>
      </c>
      <c r="T1047" s="1" t="str">
        <f t="shared" si="1983"/>
        <v>0</v>
      </c>
      <c r="U1047" s="1" t="str">
        <f t="shared" si="2018"/>
        <v>0.0056</v>
      </c>
    </row>
    <row r="1048" s="1" customFormat="1" spans="1:21">
      <c r="A1048" s="1" t="str">
        <f>"4601992009288"</f>
        <v>4601992009288</v>
      </c>
      <c r="B1048" s="1" t="s">
        <v>1072</v>
      </c>
      <c r="C1048" s="1" t="s">
        <v>24</v>
      </c>
      <c r="D1048" s="1" t="str">
        <f t="shared" si="1979"/>
        <v>2021</v>
      </c>
      <c r="E1048" s="1" t="str">
        <f>"36.16"</f>
        <v>36.16</v>
      </c>
      <c r="F1048" s="1" t="str">
        <f t="shared" ref="F1048:I1048" si="2023">"0"</f>
        <v>0</v>
      </c>
      <c r="G1048" s="1" t="str">
        <f t="shared" si="2023"/>
        <v>0</v>
      </c>
      <c r="H1048" s="1" t="str">
        <f t="shared" si="2023"/>
        <v>0</v>
      </c>
      <c r="I1048" s="1" t="str">
        <f t="shared" si="2023"/>
        <v>0</v>
      </c>
      <c r="J1048" s="1" t="str">
        <f>"3"</f>
        <v>3</v>
      </c>
      <c r="K1048" s="1" t="str">
        <f t="shared" ref="K1048:P1048" si="2024">"0"</f>
        <v>0</v>
      </c>
      <c r="L1048" s="1" t="str">
        <f t="shared" si="2024"/>
        <v>0</v>
      </c>
      <c r="M1048" s="1" t="str">
        <f t="shared" si="2024"/>
        <v>0</v>
      </c>
      <c r="N1048" s="1" t="str">
        <f t="shared" si="2024"/>
        <v>0</v>
      </c>
      <c r="O1048" s="1" t="str">
        <f t="shared" si="2024"/>
        <v>0</v>
      </c>
      <c r="P1048" s="1" t="str">
        <f t="shared" si="2024"/>
        <v>0</v>
      </c>
      <c r="Q1048" s="1" t="str">
        <f t="shared" si="1982"/>
        <v>0.0070</v>
      </c>
      <c r="R1048" s="1" t="s">
        <v>29</v>
      </c>
      <c r="S1048" s="1">
        <v>-0.0014</v>
      </c>
      <c r="T1048" s="1" t="str">
        <f t="shared" si="1983"/>
        <v>0</v>
      </c>
      <c r="U1048" s="1" t="str">
        <f t="shared" si="2018"/>
        <v>0.0056</v>
      </c>
    </row>
    <row r="1049" s="1" customFormat="1" spans="1:21">
      <c r="A1049" s="1" t="str">
        <f>"4601992009329"</f>
        <v>4601992009329</v>
      </c>
      <c r="B1049" s="1" t="s">
        <v>1073</v>
      </c>
      <c r="C1049" s="1" t="s">
        <v>24</v>
      </c>
      <c r="D1049" s="1" t="str">
        <f t="shared" si="1979"/>
        <v>2021</v>
      </c>
      <c r="E1049" s="1" t="str">
        <f t="shared" ref="E1049:P1049" si="2025">"0"</f>
        <v>0</v>
      </c>
      <c r="F1049" s="1" t="str">
        <f t="shared" si="2025"/>
        <v>0</v>
      </c>
      <c r="G1049" s="1" t="str">
        <f t="shared" si="2025"/>
        <v>0</v>
      </c>
      <c r="H1049" s="1" t="str">
        <f t="shared" si="2025"/>
        <v>0</v>
      </c>
      <c r="I1049" s="1" t="str">
        <f t="shared" si="2025"/>
        <v>0</v>
      </c>
      <c r="J1049" s="1" t="str">
        <f t="shared" si="2025"/>
        <v>0</v>
      </c>
      <c r="K1049" s="1" t="str">
        <f t="shared" si="2025"/>
        <v>0</v>
      </c>
      <c r="L1049" s="1" t="str">
        <f t="shared" si="2025"/>
        <v>0</v>
      </c>
      <c r="M1049" s="1" t="str">
        <f t="shared" si="2025"/>
        <v>0</v>
      </c>
      <c r="N1049" s="1" t="str">
        <f t="shared" si="2025"/>
        <v>0</v>
      </c>
      <c r="O1049" s="1" t="str">
        <f t="shared" si="2025"/>
        <v>0</v>
      </c>
      <c r="P1049" s="1" t="str">
        <f t="shared" si="2025"/>
        <v>0</v>
      </c>
      <c r="Q1049" s="1" t="str">
        <f t="shared" si="1982"/>
        <v>0.0070</v>
      </c>
      <c r="R1049" s="1" t="s">
        <v>25</v>
      </c>
      <c r="T1049" s="1" t="str">
        <f t="shared" si="1983"/>
        <v>0</v>
      </c>
      <c r="U1049" s="1" t="str">
        <f t="shared" ref="U1049:U1053" si="2026">"0.0070"</f>
        <v>0.0070</v>
      </c>
    </row>
    <row r="1050" s="1" customFormat="1" spans="1:21">
      <c r="A1050" s="1" t="str">
        <f>"4601992009397"</f>
        <v>4601992009397</v>
      </c>
      <c r="B1050" s="1" t="s">
        <v>1074</v>
      </c>
      <c r="C1050" s="1" t="s">
        <v>24</v>
      </c>
      <c r="D1050" s="1" t="str">
        <f t="shared" si="1979"/>
        <v>2021</v>
      </c>
      <c r="E1050" s="1" t="str">
        <f t="shared" ref="E1050:P1050" si="2027">"0"</f>
        <v>0</v>
      </c>
      <c r="F1050" s="1" t="str">
        <f t="shared" si="2027"/>
        <v>0</v>
      </c>
      <c r="G1050" s="1" t="str">
        <f t="shared" si="2027"/>
        <v>0</v>
      </c>
      <c r="H1050" s="1" t="str">
        <f t="shared" si="2027"/>
        <v>0</v>
      </c>
      <c r="I1050" s="1" t="str">
        <f t="shared" si="2027"/>
        <v>0</v>
      </c>
      <c r="J1050" s="1" t="str">
        <f t="shared" si="2027"/>
        <v>0</v>
      </c>
      <c r="K1050" s="1" t="str">
        <f t="shared" si="2027"/>
        <v>0</v>
      </c>
      <c r="L1050" s="1" t="str">
        <f t="shared" si="2027"/>
        <v>0</v>
      </c>
      <c r="M1050" s="1" t="str">
        <f t="shared" si="2027"/>
        <v>0</v>
      </c>
      <c r="N1050" s="1" t="str">
        <f t="shared" si="2027"/>
        <v>0</v>
      </c>
      <c r="O1050" s="1" t="str">
        <f t="shared" si="2027"/>
        <v>0</v>
      </c>
      <c r="P1050" s="1" t="str">
        <f t="shared" si="2027"/>
        <v>0</v>
      </c>
      <c r="Q1050" s="1" t="str">
        <f t="shared" si="1982"/>
        <v>0.0070</v>
      </c>
      <c r="R1050" s="1" t="s">
        <v>25</v>
      </c>
      <c r="T1050" s="1" t="str">
        <f t="shared" si="1983"/>
        <v>0</v>
      </c>
      <c r="U1050" s="1" t="str">
        <f t="shared" si="2026"/>
        <v>0.0070</v>
      </c>
    </row>
    <row r="1051" s="1" customFormat="1" spans="1:21">
      <c r="A1051" s="1" t="str">
        <f>"4601992009276"</f>
        <v>4601992009276</v>
      </c>
      <c r="B1051" s="1" t="s">
        <v>1075</v>
      </c>
      <c r="C1051" s="1" t="s">
        <v>24</v>
      </c>
      <c r="D1051" s="1" t="str">
        <f t="shared" si="1979"/>
        <v>2021</v>
      </c>
      <c r="E1051" s="1" t="str">
        <f>"352.60"</f>
        <v>352.60</v>
      </c>
      <c r="F1051" s="1" t="str">
        <f t="shared" ref="F1051:I1051" si="2028">"0"</f>
        <v>0</v>
      </c>
      <c r="G1051" s="1" t="str">
        <f t="shared" si="2028"/>
        <v>0</v>
      </c>
      <c r="H1051" s="1" t="str">
        <f t="shared" si="2028"/>
        <v>0</v>
      </c>
      <c r="I1051" s="1" t="str">
        <f t="shared" si="2028"/>
        <v>0</v>
      </c>
      <c r="J1051" s="1" t="str">
        <f>"22"</f>
        <v>22</v>
      </c>
      <c r="K1051" s="1" t="str">
        <f t="shared" ref="K1051:P1051" si="2029">"0"</f>
        <v>0</v>
      </c>
      <c r="L1051" s="1" t="str">
        <f t="shared" si="2029"/>
        <v>0</v>
      </c>
      <c r="M1051" s="1" t="str">
        <f t="shared" si="2029"/>
        <v>0</v>
      </c>
      <c r="N1051" s="1" t="str">
        <f t="shared" si="2029"/>
        <v>0</v>
      </c>
      <c r="O1051" s="1" t="str">
        <f t="shared" si="2029"/>
        <v>0</v>
      </c>
      <c r="P1051" s="1" t="str">
        <f t="shared" si="2029"/>
        <v>0</v>
      </c>
      <c r="Q1051" s="1" t="str">
        <f t="shared" si="1982"/>
        <v>0.0070</v>
      </c>
      <c r="R1051" s="1" t="s">
        <v>29</v>
      </c>
      <c r="S1051" s="1">
        <v>-0.0014</v>
      </c>
      <c r="T1051" s="1" t="str">
        <f t="shared" si="1983"/>
        <v>0</v>
      </c>
      <c r="U1051" s="1" t="str">
        <f t="shared" ref="U1051:U1057" si="2030">"0.0056"</f>
        <v>0.0056</v>
      </c>
    </row>
    <row r="1052" s="1" customFormat="1" spans="1:21">
      <c r="A1052" s="1" t="str">
        <f>"4601992009334"</f>
        <v>4601992009334</v>
      </c>
      <c r="B1052" s="1" t="s">
        <v>1076</v>
      </c>
      <c r="C1052" s="1" t="s">
        <v>24</v>
      </c>
      <c r="D1052" s="1" t="str">
        <f t="shared" si="1979"/>
        <v>2021</v>
      </c>
      <c r="E1052" s="1" t="str">
        <f>"36.27"</f>
        <v>36.27</v>
      </c>
      <c r="F1052" s="1" t="str">
        <f t="shared" ref="F1052:I1052" si="2031">"0"</f>
        <v>0</v>
      </c>
      <c r="G1052" s="1" t="str">
        <f t="shared" si="2031"/>
        <v>0</v>
      </c>
      <c r="H1052" s="1" t="str">
        <f t="shared" si="2031"/>
        <v>0</v>
      </c>
      <c r="I1052" s="1" t="str">
        <f t="shared" si="2031"/>
        <v>0</v>
      </c>
      <c r="J1052" s="1" t="str">
        <f>"3"</f>
        <v>3</v>
      </c>
      <c r="K1052" s="1" t="str">
        <f t="shared" ref="K1052:P1052" si="2032">"0"</f>
        <v>0</v>
      </c>
      <c r="L1052" s="1" t="str">
        <f t="shared" si="2032"/>
        <v>0</v>
      </c>
      <c r="M1052" s="1" t="str">
        <f t="shared" si="2032"/>
        <v>0</v>
      </c>
      <c r="N1052" s="1" t="str">
        <f t="shared" si="2032"/>
        <v>0</v>
      </c>
      <c r="O1052" s="1" t="str">
        <f t="shared" si="2032"/>
        <v>0</v>
      </c>
      <c r="P1052" s="1" t="str">
        <f t="shared" si="2032"/>
        <v>0</v>
      </c>
      <c r="Q1052" s="1" t="str">
        <f t="shared" si="1982"/>
        <v>0.0070</v>
      </c>
      <c r="R1052" s="1" t="s">
        <v>25</v>
      </c>
      <c r="T1052" s="1" t="str">
        <f t="shared" si="1983"/>
        <v>0</v>
      </c>
      <c r="U1052" s="1" t="str">
        <f t="shared" si="2026"/>
        <v>0.0070</v>
      </c>
    </row>
    <row r="1053" s="1" customFormat="1" spans="1:21">
      <c r="A1053" s="1" t="str">
        <f>"4601992009408"</f>
        <v>4601992009408</v>
      </c>
      <c r="B1053" s="1" t="s">
        <v>1077</v>
      </c>
      <c r="C1053" s="1" t="s">
        <v>24</v>
      </c>
      <c r="D1053" s="1" t="str">
        <f t="shared" si="1979"/>
        <v>2021</v>
      </c>
      <c r="E1053" s="1" t="str">
        <f t="shared" ref="E1053:P1053" si="2033">"0"</f>
        <v>0</v>
      </c>
      <c r="F1053" s="1" t="str">
        <f t="shared" si="2033"/>
        <v>0</v>
      </c>
      <c r="G1053" s="1" t="str">
        <f t="shared" si="2033"/>
        <v>0</v>
      </c>
      <c r="H1053" s="1" t="str">
        <f t="shared" si="2033"/>
        <v>0</v>
      </c>
      <c r="I1053" s="1" t="str">
        <f t="shared" si="2033"/>
        <v>0</v>
      </c>
      <c r="J1053" s="1" t="str">
        <f t="shared" si="2033"/>
        <v>0</v>
      </c>
      <c r="K1053" s="1" t="str">
        <f t="shared" si="2033"/>
        <v>0</v>
      </c>
      <c r="L1053" s="1" t="str">
        <f t="shared" si="2033"/>
        <v>0</v>
      </c>
      <c r="M1053" s="1" t="str">
        <f t="shared" si="2033"/>
        <v>0</v>
      </c>
      <c r="N1053" s="1" t="str">
        <f t="shared" si="2033"/>
        <v>0</v>
      </c>
      <c r="O1053" s="1" t="str">
        <f t="shared" si="2033"/>
        <v>0</v>
      </c>
      <c r="P1053" s="1" t="str">
        <f t="shared" si="2033"/>
        <v>0</v>
      </c>
      <c r="Q1053" s="1" t="str">
        <f t="shared" si="1982"/>
        <v>0.0070</v>
      </c>
      <c r="R1053" s="1" t="s">
        <v>25</v>
      </c>
      <c r="T1053" s="1" t="str">
        <f t="shared" si="1983"/>
        <v>0</v>
      </c>
      <c r="U1053" s="1" t="str">
        <f t="shared" si="2026"/>
        <v>0.0070</v>
      </c>
    </row>
    <row r="1054" s="1" customFormat="1" spans="1:21">
      <c r="A1054" s="1" t="str">
        <f>"4601992009419"</f>
        <v>4601992009419</v>
      </c>
      <c r="B1054" s="1" t="s">
        <v>1078</v>
      </c>
      <c r="C1054" s="1" t="s">
        <v>24</v>
      </c>
      <c r="D1054" s="1" t="str">
        <f t="shared" si="1979"/>
        <v>2021</v>
      </c>
      <c r="E1054" s="1" t="str">
        <f>"169.15"</f>
        <v>169.15</v>
      </c>
      <c r="F1054" s="1" t="str">
        <f t="shared" ref="F1054:I1054" si="2034">"0"</f>
        <v>0</v>
      </c>
      <c r="G1054" s="1" t="str">
        <f t="shared" si="2034"/>
        <v>0</v>
      </c>
      <c r="H1054" s="1" t="str">
        <f t="shared" si="2034"/>
        <v>0</v>
      </c>
      <c r="I1054" s="1" t="str">
        <f t="shared" si="2034"/>
        <v>0</v>
      </c>
      <c r="J1054" s="1" t="str">
        <f>"15"</f>
        <v>15</v>
      </c>
      <c r="K1054" s="1" t="str">
        <f t="shared" ref="K1054:P1054" si="2035">"0"</f>
        <v>0</v>
      </c>
      <c r="L1054" s="1" t="str">
        <f t="shared" si="2035"/>
        <v>0</v>
      </c>
      <c r="M1054" s="1" t="str">
        <f t="shared" si="2035"/>
        <v>0</v>
      </c>
      <c r="N1054" s="1" t="str">
        <f t="shared" si="2035"/>
        <v>0</v>
      </c>
      <c r="O1054" s="1" t="str">
        <f t="shared" si="2035"/>
        <v>0</v>
      </c>
      <c r="P1054" s="1" t="str">
        <f t="shared" si="2035"/>
        <v>0</v>
      </c>
      <c r="Q1054" s="1" t="str">
        <f t="shared" si="1982"/>
        <v>0.0070</v>
      </c>
      <c r="R1054" s="1" t="s">
        <v>29</v>
      </c>
      <c r="S1054" s="1">
        <v>-0.0014</v>
      </c>
      <c r="T1054" s="1" t="str">
        <f t="shared" si="1983"/>
        <v>0</v>
      </c>
      <c r="U1054" s="1" t="str">
        <f t="shared" si="2030"/>
        <v>0.0056</v>
      </c>
    </row>
    <row r="1055" s="1" customFormat="1" spans="1:21">
      <c r="A1055" s="1" t="str">
        <f>"4601992009477"</f>
        <v>4601992009477</v>
      </c>
      <c r="B1055" s="1" t="s">
        <v>1079</v>
      </c>
      <c r="C1055" s="1" t="s">
        <v>24</v>
      </c>
      <c r="D1055" s="1" t="str">
        <f t="shared" si="1979"/>
        <v>2021</v>
      </c>
      <c r="E1055" s="1" t="str">
        <f>"36.05"</f>
        <v>36.05</v>
      </c>
      <c r="F1055" s="1" t="str">
        <f t="shared" ref="F1055:I1055" si="2036">"0"</f>
        <v>0</v>
      </c>
      <c r="G1055" s="1" t="str">
        <f t="shared" si="2036"/>
        <v>0</v>
      </c>
      <c r="H1055" s="1" t="str">
        <f t="shared" si="2036"/>
        <v>0</v>
      </c>
      <c r="I1055" s="1" t="str">
        <f t="shared" si="2036"/>
        <v>0</v>
      </c>
      <c r="J1055" s="1" t="str">
        <f>"3"</f>
        <v>3</v>
      </c>
      <c r="K1055" s="1" t="str">
        <f t="shared" ref="K1055:P1055" si="2037">"0"</f>
        <v>0</v>
      </c>
      <c r="L1055" s="1" t="str">
        <f t="shared" si="2037"/>
        <v>0</v>
      </c>
      <c r="M1055" s="1" t="str">
        <f t="shared" si="2037"/>
        <v>0</v>
      </c>
      <c r="N1055" s="1" t="str">
        <f t="shared" si="2037"/>
        <v>0</v>
      </c>
      <c r="O1055" s="1" t="str">
        <f t="shared" si="2037"/>
        <v>0</v>
      </c>
      <c r="P1055" s="1" t="str">
        <f t="shared" si="2037"/>
        <v>0</v>
      </c>
      <c r="Q1055" s="1" t="str">
        <f t="shared" si="1982"/>
        <v>0.0070</v>
      </c>
      <c r="R1055" s="1" t="s">
        <v>29</v>
      </c>
      <c r="S1055" s="1">
        <v>-0.0014</v>
      </c>
      <c r="T1055" s="1" t="str">
        <f t="shared" si="1983"/>
        <v>0</v>
      </c>
      <c r="U1055" s="1" t="str">
        <f t="shared" si="2030"/>
        <v>0.0056</v>
      </c>
    </row>
    <row r="1056" s="1" customFormat="1" spans="1:21">
      <c r="A1056" s="1" t="str">
        <f>"4601992009485"</f>
        <v>4601992009485</v>
      </c>
      <c r="B1056" s="1" t="s">
        <v>1080</v>
      </c>
      <c r="C1056" s="1" t="s">
        <v>24</v>
      </c>
      <c r="D1056" s="1" t="str">
        <f t="shared" si="1979"/>
        <v>2021</v>
      </c>
      <c r="E1056" s="1" t="str">
        <f>"12.09"</f>
        <v>12.09</v>
      </c>
      <c r="F1056" s="1" t="str">
        <f t="shared" ref="F1056:I1056" si="2038">"0"</f>
        <v>0</v>
      </c>
      <c r="G1056" s="1" t="str">
        <f t="shared" si="2038"/>
        <v>0</v>
      </c>
      <c r="H1056" s="1" t="str">
        <f t="shared" si="2038"/>
        <v>0</v>
      </c>
      <c r="I1056" s="1" t="str">
        <f t="shared" si="2038"/>
        <v>0</v>
      </c>
      <c r="J1056" s="1" t="str">
        <f>"1"</f>
        <v>1</v>
      </c>
      <c r="K1056" s="1" t="str">
        <f t="shared" ref="K1056:P1056" si="2039">"0"</f>
        <v>0</v>
      </c>
      <c r="L1056" s="1" t="str">
        <f t="shared" si="2039"/>
        <v>0</v>
      </c>
      <c r="M1056" s="1" t="str">
        <f t="shared" si="2039"/>
        <v>0</v>
      </c>
      <c r="N1056" s="1" t="str">
        <f t="shared" si="2039"/>
        <v>0</v>
      </c>
      <c r="O1056" s="1" t="str">
        <f t="shared" si="2039"/>
        <v>0</v>
      </c>
      <c r="P1056" s="1" t="str">
        <f t="shared" si="2039"/>
        <v>0</v>
      </c>
      <c r="Q1056" s="1" t="str">
        <f t="shared" si="1982"/>
        <v>0.0070</v>
      </c>
      <c r="R1056" s="1" t="s">
        <v>29</v>
      </c>
      <c r="S1056" s="1">
        <v>-0.0014</v>
      </c>
      <c r="T1056" s="1" t="str">
        <f t="shared" si="1983"/>
        <v>0</v>
      </c>
      <c r="U1056" s="1" t="str">
        <f t="shared" si="2030"/>
        <v>0.0056</v>
      </c>
    </row>
    <row r="1057" s="1" customFormat="1" spans="1:21">
      <c r="A1057" s="1" t="str">
        <f>"4601992009482"</f>
        <v>4601992009482</v>
      </c>
      <c r="B1057" s="1" t="s">
        <v>1081</v>
      </c>
      <c r="C1057" s="1" t="s">
        <v>24</v>
      </c>
      <c r="D1057" s="1" t="str">
        <f t="shared" si="1979"/>
        <v>2021</v>
      </c>
      <c r="E1057" s="1" t="str">
        <f>"1796.69"</f>
        <v>1796.69</v>
      </c>
      <c r="F1057" s="1" t="str">
        <f>"599.12"</f>
        <v>599.12</v>
      </c>
      <c r="G1057" s="1" t="str">
        <f>"599.12"</f>
        <v>599.12</v>
      </c>
      <c r="H1057" s="1" t="str">
        <f t="shared" ref="H1057:P1057" si="2040">"0"</f>
        <v>0</v>
      </c>
      <c r="I1057" s="1" t="str">
        <f t="shared" si="2040"/>
        <v>0</v>
      </c>
      <c r="J1057" s="1" t="str">
        <f>"143"</f>
        <v>143</v>
      </c>
      <c r="K1057" s="1" t="str">
        <f>"1"</f>
        <v>1</v>
      </c>
      <c r="L1057" s="1" t="str">
        <f>"1"</f>
        <v>1</v>
      </c>
      <c r="M1057" s="1" t="str">
        <f t="shared" si="2040"/>
        <v>0</v>
      </c>
      <c r="N1057" s="1" t="str">
        <f t="shared" si="2040"/>
        <v>0</v>
      </c>
      <c r="O1057" s="1" t="str">
        <f t="shared" si="2040"/>
        <v>0</v>
      </c>
      <c r="P1057" s="1" t="str">
        <f t="shared" si="2040"/>
        <v>0</v>
      </c>
      <c r="Q1057" s="1" t="str">
        <f t="shared" si="1982"/>
        <v>0.0070</v>
      </c>
      <c r="R1057" s="1" t="s">
        <v>29</v>
      </c>
      <c r="S1057" s="1">
        <v>-0.0014</v>
      </c>
      <c r="T1057" s="1" t="str">
        <f t="shared" si="1983"/>
        <v>0</v>
      </c>
      <c r="U1057" s="1" t="str">
        <f t="shared" si="2030"/>
        <v>0.0056</v>
      </c>
    </row>
    <row r="1058" s="1" customFormat="1" spans="1:21">
      <c r="A1058" s="1" t="str">
        <f>"4601992009389"</f>
        <v>4601992009389</v>
      </c>
      <c r="B1058" s="1" t="s">
        <v>1082</v>
      </c>
      <c r="C1058" s="1" t="s">
        <v>24</v>
      </c>
      <c r="D1058" s="1" t="str">
        <f t="shared" si="1979"/>
        <v>2021</v>
      </c>
      <c r="E1058" s="1" t="str">
        <f t="shared" ref="E1058:P1058" si="2041">"0"</f>
        <v>0</v>
      </c>
      <c r="F1058" s="1" t="str">
        <f t="shared" si="2041"/>
        <v>0</v>
      </c>
      <c r="G1058" s="1" t="str">
        <f t="shared" si="2041"/>
        <v>0</v>
      </c>
      <c r="H1058" s="1" t="str">
        <f t="shared" si="2041"/>
        <v>0</v>
      </c>
      <c r="I1058" s="1" t="str">
        <f t="shared" si="2041"/>
        <v>0</v>
      </c>
      <c r="J1058" s="1" t="str">
        <f t="shared" si="2041"/>
        <v>0</v>
      </c>
      <c r="K1058" s="1" t="str">
        <f t="shared" si="2041"/>
        <v>0</v>
      </c>
      <c r="L1058" s="1" t="str">
        <f t="shared" si="2041"/>
        <v>0</v>
      </c>
      <c r="M1058" s="1" t="str">
        <f t="shared" si="2041"/>
        <v>0</v>
      </c>
      <c r="N1058" s="1" t="str">
        <f t="shared" si="2041"/>
        <v>0</v>
      </c>
      <c r="O1058" s="1" t="str">
        <f t="shared" si="2041"/>
        <v>0</v>
      </c>
      <c r="P1058" s="1" t="str">
        <f t="shared" si="2041"/>
        <v>0</v>
      </c>
      <c r="Q1058" s="1" t="str">
        <f t="shared" si="1982"/>
        <v>0.0070</v>
      </c>
      <c r="R1058" s="1" t="s">
        <v>25</v>
      </c>
      <c r="T1058" s="1" t="str">
        <f t="shared" si="1983"/>
        <v>0</v>
      </c>
      <c r="U1058" s="1" t="str">
        <f>"0.0070"</f>
        <v>0.0070</v>
      </c>
    </row>
    <row r="1059" s="1" customFormat="1" spans="1:21">
      <c r="A1059" s="1" t="str">
        <f>"4601992009519"</f>
        <v>4601992009519</v>
      </c>
      <c r="B1059" s="1" t="s">
        <v>1083</v>
      </c>
      <c r="C1059" s="1" t="s">
        <v>24</v>
      </c>
      <c r="D1059" s="1" t="str">
        <f t="shared" si="1979"/>
        <v>2021</v>
      </c>
      <c r="E1059" s="1" t="str">
        <f>"12.09"</f>
        <v>12.09</v>
      </c>
      <c r="F1059" s="1" t="str">
        <f t="shared" ref="F1059:I1059" si="2042">"0"</f>
        <v>0</v>
      </c>
      <c r="G1059" s="1" t="str">
        <f t="shared" si="2042"/>
        <v>0</v>
      </c>
      <c r="H1059" s="1" t="str">
        <f t="shared" si="2042"/>
        <v>0</v>
      </c>
      <c r="I1059" s="1" t="str">
        <f t="shared" si="2042"/>
        <v>0</v>
      </c>
      <c r="J1059" s="1" t="str">
        <f>"1"</f>
        <v>1</v>
      </c>
      <c r="K1059" s="1" t="str">
        <f t="shared" ref="K1059:P1059" si="2043">"0"</f>
        <v>0</v>
      </c>
      <c r="L1059" s="1" t="str">
        <f t="shared" si="2043"/>
        <v>0</v>
      </c>
      <c r="M1059" s="1" t="str">
        <f t="shared" si="2043"/>
        <v>0</v>
      </c>
      <c r="N1059" s="1" t="str">
        <f t="shared" si="2043"/>
        <v>0</v>
      </c>
      <c r="O1059" s="1" t="str">
        <f t="shared" si="2043"/>
        <v>0</v>
      </c>
      <c r="P1059" s="1" t="str">
        <f t="shared" si="2043"/>
        <v>0</v>
      </c>
      <c r="Q1059" s="1" t="str">
        <f t="shared" si="1982"/>
        <v>0.0070</v>
      </c>
      <c r="R1059" s="1" t="s">
        <v>29</v>
      </c>
      <c r="S1059" s="1">
        <v>-0.0014</v>
      </c>
      <c r="T1059" s="1" t="str">
        <f t="shared" si="1983"/>
        <v>0</v>
      </c>
      <c r="U1059" s="1" t="str">
        <f t="shared" ref="U1059:U1064" si="2044">"0.0056"</f>
        <v>0.0056</v>
      </c>
    </row>
    <row r="1060" s="1" customFormat="1" spans="1:21">
      <c r="A1060" s="1" t="str">
        <f>"4601991424469"</f>
        <v>4601991424469</v>
      </c>
      <c r="B1060" s="1" t="s">
        <v>1084</v>
      </c>
      <c r="C1060" s="1" t="s">
        <v>24</v>
      </c>
      <c r="D1060" s="1" t="str">
        <f t="shared" si="1979"/>
        <v>2021</v>
      </c>
      <c r="E1060" s="1" t="str">
        <f>"29.01"</f>
        <v>29.01</v>
      </c>
      <c r="F1060" s="1" t="str">
        <f t="shared" ref="F1060:I1060" si="2045">"0"</f>
        <v>0</v>
      </c>
      <c r="G1060" s="1" t="str">
        <f t="shared" si="2045"/>
        <v>0</v>
      </c>
      <c r="H1060" s="1" t="str">
        <f t="shared" si="2045"/>
        <v>0</v>
      </c>
      <c r="I1060" s="1" t="str">
        <f t="shared" si="2045"/>
        <v>0</v>
      </c>
      <c r="J1060" s="1" t="str">
        <f>"2"</f>
        <v>2</v>
      </c>
      <c r="K1060" s="1" t="str">
        <f t="shared" ref="K1060:P1060" si="2046">"0"</f>
        <v>0</v>
      </c>
      <c r="L1060" s="1" t="str">
        <f t="shared" si="2046"/>
        <v>0</v>
      </c>
      <c r="M1060" s="1" t="str">
        <f t="shared" si="2046"/>
        <v>0</v>
      </c>
      <c r="N1060" s="1" t="str">
        <f t="shared" si="2046"/>
        <v>0</v>
      </c>
      <c r="O1060" s="1" t="str">
        <f t="shared" si="2046"/>
        <v>0</v>
      </c>
      <c r="P1060" s="1" t="str">
        <f t="shared" si="2046"/>
        <v>0</v>
      </c>
      <c r="Q1060" s="1" t="str">
        <f t="shared" si="1982"/>
        <v>0.0070</v>
      </c>
      <c r="R1060" s="1" t="s">
        <v>29</v>
      </c>
      <c r="S1060" s="1">
        <v>-0.0014</v>
      </c>
      <c r="T1060" s="1" t="str">
        <f t="shared" si="1983"/>
        <v>0</v>
      </c>
      <c r="U1060" s="1" t="str">
        <f t="shared" si="2044"/>
        <v>0.0056</v>
      </c>
    </row>
    <row r="1061" s="1" customFormat="1" spans="1:21">
      <c r="A1061" s="1" t="str">
        <f>"4601991409399"</f>
        <v>4601991409399</v>
      </c>
      <c r="B1061" s="1" t="s">
        <v>1085</v>
      </c>
      <c r="C1061" s="1" t="s">
        <v>24</v>
      </c>
      <c r="D1061" s="1" t="str">
        <f t="shared" si="1979"/>
        <v>2021</v>
      </c>
      <c r="E1061" s="1" t="str">
        <f>"48.26"</f>
        <v>48.26</v>
      </c>
      <c r="F1061" s="1" t="str">
        <f t="shared" ref="F1061:I1061" si="2047">"0"</f>
        <v>0</v>
      </c>
      <c r="G1061" s="1" t="str">
        <f t="shared" si="2047"/>
        <v>0</v>
      </c>
      <c r="H1061" s="1" t="str">
        <f t="shared" si="2047"/>
        <v>0</v>
      </c>
      <c r="I1061" s="1" t="str">
        <f t="shared" si="2047"/>
        <v>0</v>
      </c>
      <c r="J1061" s="1" t="str">
        <f>"5"</f>
        <v>5</v>
      </c>
      <c r="K1061" s="1" t="str">
        <f t="shared" ref="K1061:P1061" si="2048">"0"</f>
        <v>0</v>
      </c>
      <c r="L1061" s="1" t="str">
        <f t="shared" si="2048"/>
        <v>0</v>
      </c>
      <c r="M1061" s="1" t="str">
        <f t="shared" si="2048"/>
        <v>0</v>
      </c>
      <c r="N1061" s="1" t="str">
        <f t="shared" si="2048"/>
        <v>0</v>
      </c>
      <c r="O1061" s="1" t="str">
        <f t="shared" si="2048"/>
        <v>0</v>
      </c>
      <c r="P1061" s="1" t="str">
        <f t="shared" si="2048"/>
        <v>0</v>
      </c>
      <c r="Q1061" s="1" t="str">
        <f t="shared" si="1982"/>
        <v>0.0070</v>
      </c>
      <c r="R1061" s="1" t="s">
        <v>29</v>
      </c>
      <c r="S1061" s="1">
        <v>-0.0014</v>
      </c>
      <c r="T1061" s="1" t="str">
        <f t="shared" si="1983"/>
        <v>0</v>
      </c>
      <c r="U1061" s="1" t="str">
        <f t="shared" si="2044"/>
        <v>0.0056</v>
      </c>
    </row>
    <row r="1062" s="1" customFormat="1" spans="1:21">
      <c r="A1062" s="1" t="str">
        <f>"4601992009692"</f>
        <v>4601992009692</v>
      </c>
      <c r="B1062" s="1" t="s">
        <v>1086</v>
      </c>
      <c r="C1062" s="1" t="s">
        <v>24</v>
      </c>
      <c r="D1062" s="1" t="str">
        <f t="shared" si="1979"/>
        <v>2021</v>
      </c>
      <c r="E1062" s="1" t="str">
        <f>"72.70"</f>
        <v>72.70</v>
      </c>
      <c r="F1062" s="1" t="str">
        <f t="shared" ref="F1062:I1062" si="2049">"0"</f>
        <v>0</v>
      </c>
      <c r="G1062" s="1" t="str">
        <f t="shared" si="2049"/>
        <v>0</v>
      </c>
      <c r="H1062" s="1" t="str">
        <f t="shared" si="2049"/>
        <v>0</v>
      </c>
      <c r="I1062" s="1" t="str">
        <f t="shared" si="2049"/>
        <v>0</v>
      </c>
      <c r="J1062" s="1" t="str">
        <f>"4"</f>
        <v>4</v>
      </c>
      <c r="K1062" s="1" t="str">
        <f t="shared" ref="K1062:P1062" si="2050">"0"</f>
        <v>0</v>
      </c>
      <c r="L1062" s="1" t="str">
        <f t="shared" si="2050"/>
        <v>0</v>
      </c>
      <c r="M1062" s="1" t="str">
        <f t="shared" si="2050"/>
        <v>0</v>
      </c>
      <c r="N1062" s="1" t="str">
        <f t="shared" si="2050"/>
        <v>0</v>
      </c>
      <c r="O1062" s="1" t="str">
        <f t="shared" si="2050"/>
        <v>0</v>
      </c>
      <c r="P1062" s="1" t="str">
        <f t="shared" si="2050"/>
        <v>0</v>
      </c>
      <c r="Q1062" s="1" t="str">
        <f t="shared" si="1982"/>
        <v>0.0070</v>
      </c>
      <c r="R1062" s="1" t="s">
        <v>29</v>
      </c>
      <c r="S1062" s="1">
        <v>-0.0014</v>
      </c>
      <c r="T1062" s="1" t="str">
        <f t="shared" si="1983"/>
        <v>0</v>
      </c>
      <c r="U1062" s="1" t="str">
        <f t="shared" si="2044"/>
        <v>0.0056</v>
      </c>
    </row>
    <row r="1063" s="1" customFormat="1" spans="1:21">
      <c r="A1063" s="1" t="str">
        <f>"4601992009714"</f>
        <v>4601992009714</v>
      </c>
      <c r="B1063" s="1" t="s">
        <v>1087</v>
      </c>
      <c r="C1063" s="1" t="s">
        <v>24</v>
      </c>
      <c r="D1063" s="1" t="str">
        <f t="shared" si="1979"/>
        <v>2021</v>
      </c>
      <c r="E1063" s="1" t="str">
        <f>"12.25"</f>
        <v>12.25</v>
      </c>
      <c r="F1063" s="1" t="str">
        <f t="shared" ref="F1063:I1063" si="2051">"0"</f>
        <v>0</v>
      </c>
      <c r="G1063" s="1" t="str">
        <f t="shared" si="2051"/>
        <v>0</v>
      </c>
      <c r="H1063" s="1" t="str">
        <f t="shared" si="2051"/>
        <v>0</v>
      </c>
      <c r="I1063" s="1" t="str">
        <f t="shared" si="2051"/>
        <v>0</v>
      </c>
      <c r="J1063" s="1" t="str">
        <f>"1"</f>
        <v>1</v>
      </c>
      <c r="K1063" s="1" t="str">
        <f t="shared" ref="K1063:P1063" si="2052">"0"</f>
        <v>0</v>
      </c>
      <c r="L1063" s="1" t="str">
        <f t="shared" si="2052"/>
        <v>0</v>
      </c>
      <c r="M1063" s="1" t="str">
        <f t="shared" si="2052"/>
        <v>0</v>
      </c>
      <c r="N1063" s="1" t="str">
        <f t="shared" si="2052"/>
        <v>0</v>
      </c>
      <c r="O1063" s="1" t="str">
        <f t="shared" si="2052"/>
        <v>0</v>
      </c>
      <c r="P1063" s="1" t="str">
        <f t="shared" si="2052"/>
        <v>0</v>
      </c>
      <c r="Q1063" s="1" t="str">
        <f t="shared" si="1982"/>
        <v>0.0070</v>
      </c>
      <c r="R1063" s="1" t="s">
        <v>29</v>
      </c>
      <c r="S1063" s="1">
        <v>-0.0014</v>
      </c>
      <c r="T1063" s="1" t="str">
        <f t="shared" si="1983"/>
        <v>0</v>
      </c>
      <c r="U1063" s="1" t="str">
        <f t="shared" si="2044"/>
        <v>0.0056</v>
      </c>
    </row>
    <row r="1064" s="1" customFormat="1" spans="1:21">
      <c r="A1064" s="1" t="str">
        <f>"4601992009704"</f>
        <v>4601992009704</v>
      </c>
      <c r="B1064" s="1" t="s">
        <v>1088</v>
      </c>
      <c r="C1064" s="1" t="s">
        <v>24</v>
      </c>
      <c r="D1064" s="1" t="str">
        <f t="shared" si="1979"/>
        <v>2021</v>
      </c>
      <c r="E1064" s="1" t="str">
        <f>"24.07"</f>
        <v>24.07</v>
      </c>
      <c r="F1064" s="1" t="str">
        <f t="shared" ref="F1064:I1064" si="2053">"0"</f>
        <v>0</v>
      </c>
      <c r="G1064" s="1" t="str">
        <f t="shared" si="2053"/>
        <v>0</v>
      </c>
      <c r="H1064" s="1" t="str">
        <f t="shared" si="2053"/>
        <v>0</v>
      </c>
      <c r="I1064" s="1" t="str">
        <f t="shared" si="2053"/>
        <v>0</v>
      </c>
      <c r="J1064" s="1" t="str">
        <f>"4"</f>
        <v>4</v>
      </c>
      <c r="K1064" s="1" t="str">
        <f t="shared" ref="K1064:P1064" si="2054">"0"</f>
        <v>0</v>
      </c>
      <c r="L1064" s="1" t="str">
        <f t="shared" si="2054"/>
        <v>0</v>
      </c>
      <c r="M1064" s="1" t="str">
        <f t="shared" si="2054"/>
        <v>0</v>
      </c>
      <c r="N1064" s="1" t="str">
        <f t="shared" si="2054"/>
        <v>0</v>
      </c>
      <c r="O1064" s="1" t="str">
        <f t="shared" si="2054"/>
        <v>0</v>
      </c>
      <c r="P1064" s="1" t="str">
        <f t="shared" si="2054"/>
        <v>0</v>
      </c>
      <c r="Q1064" s="1" t="str">
        <f t="shared" si="1982"/>
        <v>0.0070</v>
      </c>
      <c r="R1064" s="1" t="s">
        <v>29</v>
      </c>
      <c r="S1064" s="1">
        <v>-0.0014</v>
      </c>
      <c r="T1064" s="1" t="str">
        <f t="shared" si="1983"/>
        <v>0</v>
      </c>
      <c r="U1064" s="1" t="str">
        <f t="shared" si="2044"/>
        <v>0.0056</v>
      </c>
    </row>
    <row r="1065" s="1" customFormat="1" spans="1:21">
      <c r="A1065" s="1" t="str">
        <f>"4601992009793"</f>
        <v>4601992009793</v>
      </c>
      <c r="B1065" s="1" t="s">
        <v>1089</v>
      </c>
      <c r="C1065" s="1" t="s">
        <v>24</v>
      </c>
      <c r="D1065" s="1" t="str">
        <f t="shared" si="1979"/>
        <v>2021</v>
      </c>
      <c r="E1065" s="1" t="str">
        <f t="shared" ref="E1065:P1065" si="2055">"0"</f>
        <v>0</v>
      </c>
      <c r="F1065" s="1" t="str">
        <f t="shared" si="2055"/>
        <v>0</v>
      </c>
      <c r="G1065" s="1" t="str">
        <f t="shared" si="2055"/>
        <v>0</v>
      </c>
      <c r="H1065" s="1" t="str">
        <f t="shared" si="2055"/>
        <v>0</v>
      </c>
      <c r="I1065" s="1" t="str">
        <f t="shared" si="2055"/>
        <v>0</v>
      </c>
      <c r="J1065" s="1" t="str">
        <f t="shared" si="2055"/>
        <v>0</v>
      </c>
      <c r="K1065" s="1" t="str">
        <f t="shared" si="2055"/>
        <v>0</v>
      </c>
      <c r="L1065" s="1" t="str">
        <f t="shared" si="2055"/>
        <v>0</v>
      </c>
      <c r="M1065" s="1" t="str">
        <f t="shared" si="2055"/>
        <v>0</v>
      </c>
      <c r="N1065" s="1" t="str">
        <f t="shared" si="2055"/>
        <v>0</v>
      </c>
      <c r="O1065" s="1" t="str">
        <f t="shared" si="2055"/>
        <v>0</v>
      </c>
      <c r="P1065" s="1" t="str">
        <f t="shared" si="2055"/>
        <v>0</v>
      </c>
      <c r="Q1065" s="1" t="str">
        <f t="shared" si="1982"/>
        <v>0.0070</v>
      </c>
      <c r="R1065" s="1" t="s">
        <v>25</v>
      </c>
      <c r="T1065" s="1" t="str">
        <f t="shared" si="1983"/>
        <v>0</v>
      </c>
      <c r="U1065" s="1" t="str">
        <f t="shared" ref="U1065:U1069" si="2056">"0.0070"</f>
        <v>0.0070</v>
      </c>
    </row>
    <row r="1066" s="1" customFormat="1" spans="1:21">
      <c r="A1066" s="1" t="str">
        <f>"4601992009753"</f>
        <v>4601992009753</v>
      </c>
      <c r="B1066" s="1" t="s">
        <v>1090</v>
      </c>
      <c r="C1066" s="1" t="s">
        <v>24</v>
      </c>
      <c r="D1066" s="1" t="str">
        <f t="shared" si="1979"/>
        <v>2021</v>
      </c>
      <c r="E1066" s="1" t="str">
        <f t="shared" ref="E1066:P1066" si="2057">"0"</f>
        <v>0</v>
      </c>
      <c r="F1066" s="1" t="str">
        <f t="shared" si="2057"/>
        <v>0</v>
      </c>
      <c r="G1066" s="1" t="str">
        <f t="shared" si="2057"/>
        <v>0</v>
      </c>
      <c r="H1066" s="1" t="str">
        <f t="shared" si="2057"/>
        <v>0</v>
      </c>
      <c r="I1066" s="1" t="str">
        <f t="shared" si="2057"/>
        <v>0</v>
      </c>
      <c r="J1066" s="1" t="str">
        <f t="shared" si="2057"/>
        <v>0</v>
      </c>
      <c r="K1066" s="1" t="str">
        <f t="shared" si="2057"/>
        <v>0</v>
      </c>
      <c r="L1066" s="1" t="str">
        <f t="shared" si="2057"/>
        <v>0</v>
      </c>
      <c r="M1066" s="1" t="str">
        <f t="shared" si="2057"/>
        <v>0</v>
      </c>
      <c r="N1066" s="1" t="str">
        <f t="shared" si="2057"/>
        <v>0</v>
      </c>
      <c r="O1066" s="1" t="str">
        <f t="shared" si="2057"/>
        <v>0</v>
      </c>
      <c r="P1066" s="1" t="str">
        <f t="shared" si="2057"/>
        <v>0</v>
      </c>
      <c r="Q1066" s="1" t="str">
        <f t="shared" si="1982"/>
        <v>0.0070</v>
      </c>
      <c r="R1066" s="1" t="s">
        <v>25</v>
      </c>
      <c r="T1066" s="1" t="str">
        <f t="shared" si="1983"/>
        <v>0</v>
      </c>
      <c r="U1066" s="1" t="str">
        <f t="shared" si="2056"/>
        <v>0.0070</v>
      </c>
    </row>
    <row r="1067" s="1" customFormat="1" spans="1:21">
      <c r="A1067" s="1" t="str">
        <f>"4601992009747"</f>
        <v>4601992009747</v>
      </c>
      <c r="B1067" s="1" t="s">
        <v>1091</v>
      </c>
      <c r="C1067" s="1" t="s">
        <v>24</v>
      </c>
      <c r="D1067" s="1" t="str">
        <f t="shared" si="1979"/>
        <v>2021</v>
      </c>
      <c r="E1067" s="1" t="str">
        <f>"36.27"</f>
        <v>36.27</v>
      </c>
      <c r="F1067" s="1" t="str">
        <f t="shared" ref="F1067:I1067" si="2058">"0"</f>
        <v>0</v>
      </c>
      <c r="G1067" s="1" t="str">
        <f t="shared" si="2058"/>
        <v>0</v>
      </c>
      <c r="H1067" s="1" t="str">
        <f t="shared" si="2058"/>
        <v>0</v>
      </c>
      <c r="I1067" s="1" t="str">
        <f t="shared" si="2058"/>
        <v>0</v>
      </c>
      <c r="J1067" s="1" t="str">
        <f>"3"</f>
        <v>3</v>
      </c>
      <c r="K1067" s="1" t="str">
        <f t="shared" ref="K1067:P1067" si="2059">"0"</f>
        <v>0</v>
      </c>
      <c r="L1067" s="1" t="str">
        <f t="shared" si="2059"/>
        <v>0</v>
      </c>
      <c r="M1067" s="1" t="str">
        <f t="shared" si="2059"/>
        <v>0</v>
      </c>
      <c r="N1067" s="1" t="str">
        <f t="shared" si="2059"/>
        <v>0</v>
      </c>
      <c r="O1067" s="1" t="str">
        <f t="shared" si="2059"/>
        <v>0</v>
      </c>
      <c r="P1067" s="1" t="str">
        <f t="shared" si="2059"/>
        <v>0</v>
      </c>
      <c r="Q1067" s="1" t="str">
        <f t="shared" si="1982"/>
        <v>0.0070</v>
      </c>
      <c r="R1067" s="1" t="s">
        <v>29</v>
      </c>
      <c r="S1067" s="1">
        <v>-0.0014</v>
      </c>
      <c r="T1067" s="1" t="str">
        <f t="shared" si="1983"/>
        <v>0</v>
      </c>
      <c r="U1067" s="1" t="str">
        <f t="shared" ref="U1067:U1070" si="2060">"0.0056"</f>
        <v>0.0056</v>
      </c>
    </row>
    <row r="1068" s="1" customFormat="1" spans="1:21">
      <c r="A1068" s="1" t="str">
        <f>"4601992009818"</f>
        <v>4601992009818</v>
      </c>
      <c r="B1068" s="1" t="s">
        <v>1092</v>
      </c>
      <c r="C1068" s="1" t="s">
        <v>24</v>
      </c>
      <c r="D1068" s="1" t="str">
        <f t="shared" si="1979"/>
        <v>2021</v>
      </c>
      <c r="E1068" s="1" t="str">
        <f>"73.05"</f>
        <v>73.05</v>
      </c>
      <c r="F1068" s="1" t="str">
        <f t="shared" ref="F1068:I1068" si="2061">"0"</f>
        <v>0</v>
      </c>
      <c r="G1068" s="1" t="str">
        <f t="shared" si="2061"/>
        <v>0</v>
      </c>
      <c r="H1068" s="1" t="str">
        <f t="shared" si="2061"/>
        <v>0</v>
      </c>
      <c r="I1068" s="1" t="str">
        <f t="shared" si="2061"/>
        <v>0</v>
      </c>
      <c r="J1068" s="1" t="str">
        <f>"6"</f>
        <v>6</v>
      </c>
      <c r="K1068" s="1" t="str">
        <f t="shared" ref="K1068:P1068" si="2062">"0"</f>
        <v>0</v>
      </c>
      <c r="L1068" s="1" t="str">
        <f t="shared" si="2062"/>
        <v>0</v>
      </c>
      <c r="M1068" s="1" t="str">
        <f t="shared" si="2062"/>
        <v>0</v>
      </c>
      <c r="N1068" s="1" t="str">
        <f t="shared" si="2062"/>
        <v>0</v>
      </c>
      <c r="O1068" s="1" t="str">
        <f t="shared" si="2062"/>
        <v>0</v>
      </c>
      <c r="P1068" s="1" t="str">
        <f t="shared" si="2062"/>
        <v>0</v>
      </c>
      <c r="Q1068" s="1" t="str">
        <f t="shared" si="1982"/>
        <v>0.0070</v>
      </c>
      <c r="R1068" s="1" t="s">
        <v>29</v>
      </c>
      <c r="S1068" s="1">
        <v>-0.0014</v>
      </c>
      <c r="T1068" s="1" t="str">
        <f t="shared" si="1983"/>
        <v>0</v>
      </c>
      <c r="U1068" s="1" t="str">
        <f t="shared" si="2060"/>
        <v>0.0056</v>
      </c>
    </row>
    <row r="1069" s="1" customFormat="1" spans="1:21">
      <c r="A1069" s="1" t="str">
        <f>"4601992009832"</f>
        <v>4601992009832</v>
      </c>
      <c r="B1069" s="1" t="s">
        <v>1093</v>
      </c>
      <c r="C1069" s="1" t="s">
        <v>24</v>
      </c>
      <c r="D1069" s="1" t="str">
        <f t="shared" si="1979"/>
        <v>2021</v>
      </c>
      <c r="E1069" s="1" t="str">
        <f t="shared" ref="E1069:P1069" si="2063">"0"</f>
        <v>0</v>
      </c>
      <c r="F1069" s="1" t="str">
        <f t="shared" si="2063"/>
        <v>0</v>
      </c>
      <c r="G1069" s="1" t="str">
        <f t="shared" si="2063"/>
        <v>0</v>
      </c>
      <c r="H1069" s="1" t="str">
        <f t="shared" si="2063"/>
        <v>0</v>
      </c>
      <c r="I1069" s="1" t="str">
        <f t="shared" si="2063"/>
        <v>0</v>
      </c>
      <c r="J1069" s="1" t="str">
        <f t="shared" si="2063"/>
        <v>0</v>
      </c>
      <c r="K1069" s="1" t="str">
        <f t="shared" si="2063"/>
        <v>0</v>
      </c>
      <c r="L1069" s="1" t="str">
        <f t="shared" si="2063"/>
        <v>0</v>
      </c>
      <c r="M1069" s="1" t="str">
        <f t="shared" si="2063"/>
        <v>0</v>
      </c>
      <c r="N1069" s="1" t="str">
        <f t="shared" si="2063"/>
        <v>0</v>
      </c>
      <c r="O1069" s="1" t="str">
        <f t="shared" si="2063"/>
        <v>0</v>
      </c>
      <c r="P1069" s="1" t="str">
        <f t="shared" si="2063"/>
        <v>0</v>
      </c>
      <c r="Q1069" s="1" t="str">
        <f t="shared" si="1982"/>
        <v>0.0070</v>
      </c>
      <c r="R1069" s="1" t="s">
        <v>25</v>
      </c>
      <c r="T1069" s="1" t="str">
        <f t="shared" si="1983"/>
        <v>0</v>
      </c>
      <c r="U1069" s="1" t="str">
        <f t="shared" si="2056"/>
        <v>0.0070</v>
      </c>
    </row>
    <row r="1070" s="1" customFormat="1" spans="1:21">
      <c r="A1070" s="1" t="str">
        <f>"4601992009817"</f>
        <v>4601992009817</v>
      </c>
      <c r="B1070" s="1" t="s">
        <v>1094</v>
      </c>
      <c r="C1070" s="1" t="s">
        <v>24</v>
      </c>
      <c r="D1070" s="1" t="str">
        <f t="shared" si="1979"/>
        <v>2021</v>
      </c>
      <c r="E1070" s="1" t="str">
        <f>"59.90"</f>
        <v>59.90</v>
      </c>
      <c r="F1070" s="1" t="str">
        <f t="shared" ref="F1070:I1070" si="2064">"0"</f>
        <v>0</v>
      </c>
      <c r="G1070" s="1" t="str">
        <f t="shared" si="2064"/>
        <v>0</v>
      </c>
      <c r="H1070" s="1" t="str">
        <f t="shared" si="2064"/>
        <v>0</v>
      </c>
      <c r="I1070" s="1" t="str">
        <f t="shared" si="2064"/>
        <v>0</v>
      </c>
      <c r="J1070" s="1" t="str">
        <f>"10"</f>
        <v>10</v>
      </c>
      <c r="K1070" s="1" t="str">
        <f t="shared" ref="K1070:P1070" si="2065">"0"</f>
        <v>0</v>
      </c>
      <c r="L1070" s="1" t="str">
        <f t="shared" si="2065"/>
        <v>0</v>
      </c>
      <c r="M1070" s="1" t="str">
        <f t="shared" si="2065"/>
        <v>0</v>
      </c>
      <c r="N1070" s="1" t="str">
        <f t="shared" si="2065"/>
        <v>0</v>
      </c>
      <c r="O1070" s="1" t="str">
        <f t="shared" si="2065"/>
        <v>0</v>
      </c>
      <c r="P1070" s="1" t="str">
        <f t="shared" si="2065"/>
        <v>0</v>
      </c>
      <c r="Q1070" s="1" t="str">
        <f t="shared" si="1982"/>
        <v>0.0070</v>
      </c>
      <c r="R1070" s="1" t="s">
        <v>29</v>
      </c>
      <c r="S1070" s="1">
        <v>-0.0014</v>
      </c>
      <c r="T1070" s="1" t="str">
        <f t="shared" si="1983"/>
        <v>0</v>
      </c>
      <c r="U1070" s="1" t="str">
        <f t="shared" si="2060"/>
        <v>0.0056</v>
      </c>
    </row>
    <row r="1071" s="1" customFormat="1" spans="1:21">
      <c r="A1071" s="1" t="str">
        <f>"4601992009864"</f>
        <v>4601992009864</v>
      </c>
      <c r="B1071" s="1" t="s">
        <v>1095</v>
      </c>
      <c r="C1071" s="1" t="s">
        <v>24</v>
      </c>
      <c r="D1071" s="1" t="str">
        <f t="shared" si="1979"/>
        <v>2021</v>
      </c>
      <c r="E1071" s="1" t="str">
        <f t="shared" ref="E1071:G1071" si="2066">"0"</f>
        <v>0</v>
      </c>
      <c r="F1071" s="1" t="str">
        <f t="shared" si="2066"/>
        <v>0</v>
      </c>
      <c r="G1071" s="1" t="str">
        <f t="shared" si="2066"/>
        <v>0</v>
      </c>
      <c r="H1071" s="1" t="str">
        <f>"84.07"</f>
        <v>84.07</v>
      </c>
      <c r="I1071" s="1" t="str">
        <f t="shared" ref="I1071:P1071" si="2067">"0"</f>
        <v>0</v>
      </c>
      <c r="J1071" s="1" t="str">
        <f>"3"</f>
        <v>3</v>
      </c>
      <c r="K1071" s="1" t="str">
        <f t="shared" si="2067"/>
        <v>0</v>
      </c>
      <c r="L1071" s="1" t="str">
        <f t="shared" si="2067"/>
        <v>0</v>
      </c>
      <c r="M1071" s="1" t="str">
        <f t="shared" si="2067"/>
        <v>0</v>
      </c>
      <c r="N1071" s="1" t="str">
        <f t="shared" si="2067"/>
        <v>0</v>
      </c>
      <c r="O1071" s="1" t="str">
        <f t="shared" si="2067"/>
        <v>0</v>
      </c>
      <c r="P1071" s="1" t="str">
        <f t="shared" si="2067"/>
        <v>0</v>
      </c>
      <c r="Q1071" s="1" t="str">
        <f t="shared" si="1982"/>
        <v>0.0070</v>
      </c>
      <c r="R1071" s="1" t="s">
        <v>25</v>
      </c>
      <c r="T1071" s="1" t="str">
        <f t="shared" si="1983"/>
        <v>0</v>
      </c>
      <c r="U1071" s="1" t="str">
        <f t="shared" ref="U1071:U1076" si="2068">"0.0070"</f>
        <v>0.0070</v>
      </c>
    </row>
    <row r="1072" s="1" customFormat="1" spans="1:21">
      <c r="A1072" s="1" t="str">
        <f>"4601992009838"</f>
        <v>4601992009838</v>
      </c>
      <c r="B1072" s="1" t="s">
        <v>1096</v>
      </c>
      <c r="C1072" s="1" t="s">
        <v>24</v>
      </c>
      <c r="D1072" s="1" t="str">
        <f t="shared" si="1979"/>
        <v>2021</v>
      </c>
      <c r="E1072" s="1" t="str">
        <f>"84.63"</f>
        <v>84.63</v>
      </c>
      <c r="F1072" s="1" t="str">
        <f t="shared" ref="F1072:I1072" si="2069">"0"</f>
        <v>0</v>
      </c>
      <c r="G1072" s="1" t="str">
        <f t="shared" si="2069"/>
        <v>0</v>
      </c>
      <c r="H1072" s="1" t="str">
        <f t="shared" si="2069"/>
        <v>0</v>
      </c>
      <c r="I1072" s="1" t="str">
        <f t="shared" si="2069"/>
        <v>0</v>
      </c>
      <c r="J1072" s="1" t="str">
        <f>"8"</f>
        <v>8</v>
      </c>
      <c r="K1072" s="1" t="str">
        <f t="shared" ref="K1072:P1072" si="2070">"0"</f>
        <v>0</v>
      </c>
      <c r="L1072" s="1" t="str">
        <f t="shared" si="2070"/>
        <v>0</v>
      </c>
      <c r="M1072" s="1" t="str">
        <f t="shared" si="2070"/>
        <v>0</v>
      </c>
      <c r="N1072" s="1" t="str">
        <f t="shared" si="2070"/>
        <v>0</v>
      </c>
      <c r="O1072" s="1" t="str">
        <f t="shared" si="2070"/>
        <v>0</v>
      </c>
      <c r="P1072" s="1" t="str">
        <f t="shared" si="2070"/>
        <v>0</v>
      </c>
      <c r="Q1072" s="1" t="str">
        <f t="shared" si="1982"/>
        <v>0.0070</v>
      </c>
      <c r="R1072" s="1" t="s">
        <v>29</v>
      </c>
      <c r="S1072" s="1">
        <v>-0.0014</v>
      </c>
      <c r="T1072" s="1" t="str">
        <f t="shared" si="1983"/>
        <v>0</v>
      </c>
      <c r="U1072" s="1" t="str">
        <f t="shared" ref="U1072:U1077" si="2071">"0.0056"</f>
        <v>0.0056</v>
      </c>
    </row>
    <row r="1073" s="1" customFormat="1" spans="1:21">
      <c r="A1073" s="1" t="str">
        <f>"4601992009861"</f>
        <v>4601992009861</v>
      </c>
      <c r="B1073" s="1" t="s">
        <v>1097</v>
      </c>
      <c r="C1073" s="1" t="s">
        <v>24</v>
      </c>
      <c r="D1073" s="1" t="str">
        <f t="shared" si="1979"/>
        <v>2021</v>
      </c>
      <c r="E1073" s="1" t="str">
        <f>"72.54"</f>
        <v>72.54</v>
      </c>
      <c r="F1073" s="1" t="str">
        <f t="shared" ref="F1073:I1073" si="2072">"0"</f>
        <v>0</v>
      </c>
      <c r="G1073" s="1" t="str">
        <f t="shared" si="2072"/>
        <v>0</v>
      </c>
      <c r="H1073" s="1" t="str">
        <f t="shared" si="2072"/>
        <v>0</v>
      </c>
      <c r="I1073" s="1" t="str">
        <f t="shared" si="2072"/>
        <v>0</v>
      </c>
      <c r="J1073" s="1" t="str">
        <f>"8"</f>
        <v>8</v>
      </c>
      <c r="K1073" s="1" t="str">
        <f t="shared" ref="K1073:P1073" si="2073">"0"</f>
        <v>0</v>
      </c>
      <c r="L1073" s="1" t="str">
        <f t="shared" si="2073"/>
        <v>0</v>
      </c>
      <c r="M1073" s="1" t="str">
        <f t="shared" si="2073"/>
        <v>0</v>
      </c>
      <c r="N1073" s="1" t="str">
        <f t="shared" si="2073"/>
        <v>0</v>
      </c>
      <c r="O1073" s="1" t="str">
        <f t="shared" si="2073"/>
        <v>0</v>
      </c>
      <c r="P1073" s="1" t="str">
        <f t="shared" si="2073"/>
        <v>0</v>
      </c>
      <c r="Q1073" s="1" t="str">
        <f t="shared" si="1982"/>
        <v>0.0070</v>
      </c>
      <c r="R1073" s="1" t="s">
        <v>29</v>
      </c>
      <c r="S1073" s="1">
        <v>-0.0014</v>
      </c>
      <c r="T1073" s="1" t="str">
        <f t="shared" si="1983"/>
        <v>0</v>
      </c>
      <c r="U1073" s="1" t="str">
        <f t="shared" si="2071"/>
        <v>0.0056</v>
      </c>
    </row>
    <row r="1074" s="1" customFormat="1" spans="1:21">
      <c r="A1074" s="1" t="str">
        <f>"4601992009967"</f>
        <v>4601992009967</v>
      </c>
      <c r="B1074" s="1" t="s">
        <v>1098</v>
      </c>
      <c r="C1074" s="1" t="s">
        <v>24</v>
      </c>
      <c r="D1074" s="1" t="str">
        <f t="shared" si="1979"/>
        <v>2021</v>
      </c>
      <c r="E1074" s="1" t="str">
        <f t="shared" ref="E1074:P1074" si="2074">"0"</f>
        <v>0</v>
      </c>
      <c r="F1074" s="1" t="str">
        <f t="shared" si="2074"/>
        <v>0</v>
      </c>
      <c r="G1074" s="1" t="str">
        <f t="shared" si="2074"/>
        <v>0</v>
      </c>
      <c r="H1074" s="1" t="str">
        <f t="shared" si="2074"/>
        <v>0</v>
      </c>
      <c r="I1074" s="1" t="str">
        <f t="shared" si="2074"/>
        <v>0</v>
      </c>
      <c r="J1074" s="1" t="str">
        <f t="shared" si="2074"/>
        <v>0</v>
      </c>
      <c r="K1074" s="1" t="str">
        <f t="shared" si="2074"/>
        <v>0</v>
      </c>
      <c r="L1074" s="1" t="str">
        <f t="shared" si="2074"/>
        <v>0</v>
      </c>
      <c r="M1074" s="1" t="str">
        <f t="shared" si="2074"/>
        <v>0</v>
      </c>
      <c r="N1074" s="1" t="str">
        <f t="shared" si="2074"/>
        <v>0</v>
      </c>
      <c r="O1074" s="1" t="str">
        <f t="shared" si="2074"/>
        <v>0</v>
      </c>
      <c r="P1074" s="1" t="str">
        <f t="shared" si="2074"/>
        <v>0</v>
      </c>
      <c r="Q1074" s="1" t="str">
        <f t="shared" si="1982"/>
        <v>0.0070</v>
      </c>
      <c r="R1074" s="1" t="s">
        <v>25</v>
      </c>
      <c r="T1074" s="1" t="str">
        <f t="shared" si="1983"/>
        <v>0</v>
      </c>
      <c r="U1074" s="1" t="str">
        <f t="shared" si="2068"/>
        <v>0.0070</v>
      </c>
    </row>
    <row r="1075" s="1" customFormat="1" spans="1:21">
      <c r="A1075" s="1" t="str">
        <f>"4601992009887"</f>
        <v>4601992009887</v>
      </c>
      <c r="B1075" s="1" t="s">
        <v>1099</v>
      </c>
      <c r="C1075" s="1" t="s">
        <v>24</v>
      </c>
      <c r="D1075" s="1" t="str">
        <f t="shared" si="1979"/>
        <v>2021</v>
      </c>
      <c r="E1075" s="1" t="str">
        <f t="shared" ref="E1075:P1075" si="2075">"0"</f>
        <v>0</v>
      </c>
      <c r="F1075" s="1" t="str">
        <f t="shared" si="2075"/>
        <v>0</v>
      </c>
      <c r="G1075" s="1" t="str">
        <f t="shared" si="2075"/>
        <v>0</v>
      </c>
      <c r="H1075" s="1" t="str">
        <f t="shared" si="2075"/>
        <v>0</v>
      </c>
      <c r="I1075" s="1" t="str">
        <f t="shared" si="2075"/>
        <v>0</v>
      </c>
      <c r="J1075" s="1" t="str">
        <f t="shared" si="2075"/>
        <v>0</v>
      </c>
      <c r="K1075" s="1" t="str">
        <f t="shared" si="2075"/>
        <v>0</v>
      </c>
      <c r="L1075" s="1" t="str">
        <f t="shared" si="2075"/>
        <v>0</v>
      </c>
      <c r="M1075" s="1" t="str">
        <f t="shared" si="2075"/>
        <v>0</v>
      </c>
      <c r="N1075" s="1" t="str">
        <f t="shared" si="2075"/>
        <v>0</v>
      </c>
      <c r="O1075" s="1" t="str">
        <f t="shared" si="2075"/>
        <v>0</v>
      </c>
      <c r="P1075" s="1" t="str">
        <f t="shared" si="2075"/>
        <v>0</v>
      </c>
      <c r="Q1075" s="1" t="str">
        <f t="shared" si="1982"/>
        <v>0.0070</v>
      </c>
      <c r="R1075" s="1" t="s">
        <v>25</v>
      </c>
      <c r="T1075" s="1" t="str">
        <f t="shared" si="1983"/>
        <v>0</v>
      </c>
      <c r="U1075" s="1" t="str">
        <f t="shared" si="2068"/>
        <v>0.0070</v>
      </c>
    </row>
    <row r="1076" s="1" customFormat="1" spans="1:21">
      <c r="A1076" s="1" t="str">
        <f>"4601992009892"</f>
        <v>4601992009892</v>
      </c>
      <c r="B1076" s="1" t="s">
        <v>1100</v>
      </c>
      <c r="C1076" s="1" t="s">
        <v>24</v>
      </c>
      <c r="D1076" s="1" t="str">
        <f t="shared" si="1979"/>
        <v>2021</v>
      </c>
      <c r="E1076" s="1" t="str">
        <f t="shared" ref="E1076:P1076" si="2076">"0"</f>
        <v>0</v>
      </c>
      <c r="F1076" s="1" t="str">
        <f t="shared" si="2076"/>
        <v>0</v>
      </c>
      <c r="G1076" s="1" t="str">
        <f t="shared" si="2076"/>
        <v>0</v>
      </c>
      <c r="H1076" s="1" t="str">
        <f t="shared" si="2076"/>
        <v>0</v>
      </c>
      <c r="I1076" s="1" t="str">
        <f t="shared" si="2076"/>
        <v>0</v>
      </c>
      <c r="J1076" s="1" t="str">
        <f t="shared" si="2076"/>
        <v>0</v>
      </c>
      <c r="K1076" s="1" t="str">
        <f t="shared" si="2076"/>
        <v>0</v>
      </c>
      <c r="L1076" s="1" t="str">
        <f t="shared" si="2076"/>
        <v>0</v>
      </c>
      <c r="M1076" s="1" t="str">
        <f t="shared" si="2076"/>
        <v>0</v>
      </c>
      <c r="N1076" s="1" t="str">
        <f t="shared" si="2076"/>
        <v>0</v>
      </c>
      <c r="O1076" s="1" t="str">
        <f t="shared" si="2076"/>
        <v>0</v>
      </c>
      <c r="P1076" s="1" t="str">
        <f t="shared" si="2076"/>
        <v>0</v>
      </c>
      <c r="Q1076" s="1" t="str">
        <f t="shared" si="1982"/>
        <v>0.0070</v>
      </c>
      <c r="R1076" s="1" t="s">
        <v>25</v>
      </c>
      <c r="T1076" s="1" t="str">
        <f t="shared" si="1983"/>
        <v>0</v>
      </c>
      <c r="U1076" s="1" t="str">
        <f t="shared" si="2068"/>
        <v>0.0070</v>
      </c>
    </row>
    <row r="1077" s="1" customFormat="1" spans="1:21">
      <c r="A1077" s="1" t="str">
        <f>"4601992009916"</f>
        <v>4601992009916</v>
      </c>
      <c r="B1077" s="1" t="s">
        <v>1101</v>
      </c>
      <c r="C1077" s="1" t="s">
        <v>24</v>
      </c>
      <c r="D1077" s="1" t="str">
        <f t="shared" si="1979"/>
        <v>2021</v>
      </c>
      <c r="E1077" s="1" t="str">
        <f>"157.17"</f>
        <v>157.17</v>
      </c>
      <c r="F1077" s="1" t="str">
        <f t="shared" ref="F1077:I1077" si="2077">"0"</f>
        <v>0</v>
      </c>
      <c r="G1077" s="1" t="str">
        <f t="shared" si="2077"/>
        <v>0</v>
      </c>
      <c r="H1077" s="1" t="str">
        <f t="shared" si="2077"/>
        <v>0</v>
      </c>
      <c r="I1077" s="1" t="str">
        <f t="shared" si="2077"/>
        <v>0</v>
      </c>
      <c r="J1077" s="1" t="str">
        <f>"13"</f>
        <v>13</v>
      </c>
      <c r="K1077" s="1" t="str">
        <f t="shared" ref="K1077:P1077" si="2078">"0"</f>
        <v>0</v>
      </c>
      <c r="L1077" s="1" t="str">
        <f t="shared" si="2078"/>
        <v>0</v>
      </c>
      <c r="M1077" s="1" t="str">
        <f t="shared" si="2078"/>
        <v>0</v>
      </c>
      <c r="N1077" s="1" t="str">
        <f t="shared" si="2078"/>
        <v>0</v>
      </c>
      <c r="O1077" s="1" t="str">
        <f t="shared" si="2078"/>
        <v>0</v>
      </c>
      <c r="P1077" s="1" t="str">
        <f t="shared" si="2078"/>
        <v>0</v>
      </c>
      <c r="Q1077" s="1" t="str">
        <f t="shared" si="1982"/>
        <v>0.0070</v>
      </c>
      <c r="R1077" s="1" t="s">
        <v>29</v>
      </c>
      <c r="S1077" s="1">
        <v>-0.0014</v>
      </c>
      <c r="T1077" s="1" t="str">
        <f t="shared" si="1983"/>
        <v>0</v>
      </c>
      <c r="U1077" s="1" t="str">
        <f t="shared" si="2071"/>
        <v>0.0056</v>
      </c>
    </row>
    <row r="1078" s="1" customFormat="1" spans="1:21">
      <c r="A1078" s="1" t="str">
        <f>"4601992009968"</f>
        <v>4601992009968</v>
      </c>
      <c r="B1078" s="1" t="s">
        <v>1102</v>
      </c>
      <c r="C1078" s="1" t="s">
        <v>24</v>
      </c>
      <c r="D1078" s="1" t="str">
        <f t="shared" si="1979"/>
        <v>2021</v>
      </c>
      <c r="E1078" s="1" t="str">
        <f>"101.78"</f>
        <v>101.78</v>
      </c>
      <c r="F1078" s="1" t="str">
        <f t="shared" ref="F1078:I1078" si="2079">"0"</f>
        <v>0</v>
      </c>
      <c r="G1078" s="1" t="str">
        <f t="shared" si="2079"/>
        <v>0</v>
      </c>
      <c r="H1078" s="1" t="str">
        <f t="shared" si="2079"/>
        <v>0</v>
      </c>
      <c r="I1078" s="1" t="str">
        <f t="shared" si="2079"/>
        <v>0</v>
      </c>
      <c r="J1078" s="1" t="str">
        <f>"8"</f>
        <v>8</v>
      </c>
      <c r="K1078" s="1" t="str">
        <f t="shared" ref="K1078:P1078" si="2080">"0"</f>
        <v>0</v>
      </c>
      <c r="L1078" s="1" t="str">
        <f t="shared" si="2080"/>
        <v>0</v>
      </c>
      <c r="M1078" s="1" t="str">
        <f t="shared" si="2080"/>
        <v>0</v>
      </c>
      <c r="N1078" s="1" t="str">
        <f t="shared" si="2080"/>
        <v>0</v>
      </c>
      <c r="O1078" s="1" t="str">
        <f t="shared" si="2080"/>
        <v>0</v>
      </c>
      <c r="P1078" s="1" t="str">
        <f t="shared" si="2080"/>
        <v>0</v>
      </c>
      <c r="Q1078" s="1" t="str">
        <f t="shared" si="1982"/>
        <v>0.0070</v>
      </c>
      <c r="R1078" s="1" t="s">
        <v>25</v>
      </c>
      <c r="T1078" s="1" t="str">
        <f t="shared" si="1983"/>
        <v>0</v>
      </c>
      <c r="U1078" s="1" t="str">
        <f t="shared" ref="U1078:U1083" si="2081">"0.0070"</f>
        <v>0.0070</v>
      </c>
    </row>
    <row r="1079" s="1" customFormat="1" spans="1:21">
      <c r="A1079" s="1" t="str">
        <f>"4601992009987"</f>
        <v>4601992009987</v>
      </c>
      <c r="B1079" s="1" t="s">
        <v>1103</v>
      </c>
      <c r="C1079" s="1" t="s">
        <v>24</v>
      </c>
      <c r="D1079" s="1" t="str">
        <f t="shared" si="1979"/>
        <v>2021</v>
      </c>
      <c r="E1079" s="1" t="str">
        <f>"12.09"</f>
        <v>12.09</v>
      </c>
      <c r="F1079" s="1" t="str">
        <f t="shared" ref="F1079:I1079" si="2082">"0"</f>
        <v>0</v>
      </c>
      <c r="G1079" s="1" t="str">
        <f t="shared" si="2082"/>
        <v>0</v>
      </c>
      <c r="H1079" s="1" t="str">
        <f t="shared" si="2082"/>
        <v>0</v>
      </c>
      <c r="I1079" s="1" t="str">
        <f t="shared" si="2082"/>
        <v>0</v>
      </c>
      <c r="J1079" s="1" t="str">
        <f>"1"</f>
        <v>1</v>
      </c>
      <c r="K1079" s="1" t="str">
        <f t="shared" ref="K1079:P1079" si="2083">"0"</f>
        <v>0</v>
      </c>
      <c r="L1079" s="1" t="str">
        <f t="shared" si="2083"/>
        <v>0</v>
      </c>
      <c r="M1079" s="1" t="str">
        <f t="shared" si="2083"/>
        <v>0</v>
      </c>
      <c r="N1079" s="1" t="str">
        <f t="shared" si="2083"/>
        <v>0</v>
      </c>
      <c r="O1079" s="1" t="str">
        <f t="shared" si="2083"/>
        <v>0</v>
      </c>
      <c r="P1079" s="1" t="str">
        <f t="shared" si="2083"/>
        <v>0</v>
      </c>
      <c r="Q1079" s="1" t="str">
        <f t="shared" si="1982"/>
        <v>0.0070</v>
      </c>
      <c r="R1079" s="1" t="s">
        <v>29</v>
      </c>
      <c r="S1079" s="1">
        <v>-0.0014</v>
      </c>
      <c r="T1079" s="1" t="str">
        <f t="shared" si="1983"/>
        <v>0</v>
      </c>
      <c r="U1079" s="1" t="str">
        <f t="shared" ref="U1079:U1082" si="2084">"0.0056"</f>
        <v>0.0056</v>
      </c>
    </row>
    <row r="1080" s="1" customFormat="1" spans="1:21">
      <c r="A1080" s="1" t="str">
        <f>"4601992010002"</f>
        <v>4601992010002</v>
      </c>
      <c r="B1080" s="1" t="s">
        <v>1104</v>
      </c>
      <c r="C1080" s="1" t="s">
        <v>24</v>
      </c>
      <c r="D1080" s="1" t="str">
        <f t="shared" si="1979"/>
        <v>2021</v>
      </c>
      <c r="E1080" s="1" t="str">
        <f>"132.99"</f>
        <v>132.99</v>
      </c>
      <c r="F1080" s="1" t="str">
        <f t="shared" ref="F1080:I1080" si="2085">"0"</f>
        <v>0</v>
      </c>
      <c r="G1080" s="1" t="str">
        <f t="shared" si="2085"/>
        <v>0</v>
      </c>
      <c r="H1080" s="1" t="str">
        <f t="shared" si="2085"/>
        <v>0</v>
      </c>
      <c r="I1080" s="1" t="str">
        <f t="shared" si="2085"/>
        <v>0</v>
      </c>
      <c r="J1080" s="1" t="str">
        <f>"11"</f>
        <v>11</v>
      </c>
      <c r="K1080" s="1" t="str">
        <f t="shared" ref="K1080:P1080" si="2086">"0"</f>
        <v>0</v>
      </c>
      <c r="L1080" s="1" t="str">
        <f t="shared" si="2086"/>
        <v>0</v>
      </c>
      <c r="M1080" s="1" t="str">
        <f t="shared" si="2086"/>
        <v>0</v>
      </c>
      <c r="N1080" s="1" t="str">
        <f t="shared" si="2086"/>
        <v>0</v>
      </c>
      <c r="O1080" s="1" t="str">
        <f t="shared" si="2086"/>
        <v>0</v>
      </c>
      <c r="P1080" s="1" t="str">
        <f t="shared" si="2086"/>
        <v>0</v>
      </c>
      <c r="Q1080" s="1" t="str">
        <f t="shared" si="1982"/>
        <v>0.0070</v>
      </c>
      <c r="R1080" s="1" t="s">
        <v>29</v>
      </c>
      <c r="S1080" s="1">
        <v>-0.0014</v>
      </c>
      <c r="T1080" s="1" t="str">
        <f t="shared" si="1983"/>
        <v>0</v>
      </c>
      <c r="U1080" s="1" t="str">
        <f t="shared" si="2084"/>
        <v>0.0056</v>
      </c>
    </row>
    <row r="1081" s="1" customFormat="1" spans="1:21">
      <c r="A1081" s="1" t="str">
        <f>"4601992010101"</f>
        <v>4601992010101</v>
      </c>
      <c r="B1081" s="1" t="s">
        <v>1105</v>
      </c>
      <c r="C1081" s="1" t="s">
        <v>24</v>
      </c>
      <c r="D1081" s="1" t="str">
        <f t="shared" si="1979"/>
        <v>2021</v>
      </c>
      <c r="E1081" s="1" t="str">
        <f t="shared" ref="E1081:P1081" si="2087">"0"</f>
        <v>0</v>
      </c>
      <c r="F1081" s="1" t="str">
        <f t="shared" si="2087"/>
        <v>0</v>
      </c>
      <c r="G1081" s="1" t="str">
        <f t="shared" si="2087"/>
        <v>0</v>
      </c>
      <c r="H1081" s="1" t="str">
        <f t="shared" si="2087"/>
        <v>0</v>
      </c>
      <c r="I1081" s="1" t="str">
        <f t="shared" si="2087"/>
        <v>0</v>
      </c>
      <c r="J1081" s="1" t="str">
        <f t="shared" si="2087"/>
        <v>0</v>
      </c>
      <c r="K1081" s="1" t="str">
        <f t="shared" si="2087"/>
        <v>0</v>
      </c>
      <c r="L1081" s="1" t="str">
        <f t="shared" si="2087"/>
        <v>0</v>
      </c>
      <c r="M1081" s="1" t="str">
        <f t="shared" si="2087"/>
        <v>0</v>
      </c>
      <c r="N1081" s="1" t="str">
        <f t="shared" si="2087"/>
        <v>0</v>
      </c>
      <c r="O1081" s="1" t="str">
        <f t="shared" si="2087"/>
        <v>0</v>
      </c>
      <c r="P1081" s="1" t="str">
        <f t="shared" si="2087"/>
        <v>0</v>
      </c>
      <c r="Q1081" s="1" t="str">
        <f t="shared" si="1982"/>
        <v>0.0070</v>
      </c>
      <c r="R1081" s="1" t="s">
        <v>25</v>
      </c>
      <c r="T1081" s="1" t="str">
        <f t="shared" si="1983"/>
        <v>0</v>
      </c>
      <c r="U1081" s="1" t="str">
        <f t="shared" si="2081"/>
        <v>0.0070</v>
      </c>
    </row>
    <row r="1082" s="1" customFormat="1" spans="1:21">
      <c r="A1082" s="1" t="str">
        <f>"4601992010048"</f>
        <v>4601992010048</v>
      </c>
      <c r="B1082" s="1" t="s">
        <v>1106</v>
      </c>
      <c r="C1082" s="1" t="s">
        <v>24</v>
      </c>
      <c r="D1082" s="1" t="str">
        <f t="shared" si="1979"/>
        <v>2021</v>
      </c>
      <c r="E1082" s="1" t="str">
        <f>"24.18"</f>
        <v>24.18</v>
      </c>
      <c r="F1082" s="1" t="str">
        <f t="shared" ref="F1082:I1082" si="2088">"0"</f>
        <v>0</v>
      </c>
      <c r="G1082" s="1" t="str">
        <f t="shared" si="2088"/>
        <v>0</v>
      </c>
      <c r="H1082" s="1" t="str">
        <f t="shared" si="2088"/>
        <v>0</v>
      </c>
      <c r="I1082" s="1" t="str">
        <f t="shared" si="2088"/>
        <v>0</v>
      </c>
      <c r="J1082" s="1" t="str">
        <f>"2"</f>
        <v>2</v>
      </c>
      <c r="K1082" s="1" t="str">
        <f t="shared" ref="K1082:P1082" si="2089">"0"</f>
        <v>0</v>
      </c>
      <c r="L1082" s="1" t="str">
        <f t="shared" si="2089"/>
        <v>0</v>
      </c>
      <c r="M1082" s="1" t="str">
        <f t="shared" si="2089"/>
        <v>0</v>
      </c>
      <c r="N1082" s="1" t="str">
        <f t="shared" si="2089"/>
        <v>0</v>
      </c>
      <c r="O1082" s="1" t="str">
        <f t="shared" si="2089"/>
        <v>0</v>
      </c>
      <c r="P1082" s="1" t="str">
        <f t="shared" si="2089"/>
        <v>0</v>
      </c>
      <c r="Q1082" s="1" t="str">
        <f t="shared" si="1982"/>
        <v>0.0070</v>
      </c>
      <c r="R1082" s="1" t="s">
        <v>29</v>
      </c>
      <c r="S1082" s="1">
        <v>-0.0014</v>
      </c>
      <c r="T1082" s="1" t="str">
        <f t="shared" si="1983"/>
        <v>0</v>
      </c>
      <c r="U1082" s="1" t="str">
        <f t="shared" si="2084"/>
        <v>0.0056</v>
      </c>
    </row>
    <row r="1083" s="1" customFormat="1" spans="1:21">
      <c r="A1083" s="1" t="str">
        <f>"4601992010054"</f>
        <v>4601992010054</v>
      </c>
      <c r="B1083" s="1" t="s">
        <v>1107</v>
      </c>
      <c r="C1083" s="1" t="s">
        <v>24</v>
      </c>
      <c r="D1083" s="1" t="str">
        <f t="shared" si="1979"/>
        <v>2021</v>
      </c>
      <c r="E1083" s="1" t="str">
        <f>"217.62"</f>
        <v>217.62</v>
      </c>
      <c r="F1083" s="1" t="str">
        <f t="shared" ref="F1083:I1083" si="2090">"0"</f>
        <v>0</v>
      </c>
      <c r="G1083" s="1" t="str">
        <f t="shared" si="2090"/>
        <v>0</v>
      </c>
      <c r="H1083" s="1" t="str">
        <f t="shared" si="2090"/>
        <v>0</v>
      </c>
      <c r="I1083" s="1" t="str">
        <f t="shared" si="2090"/>
        <v>0</v>
      </c>
      <c r="J1083" s="1" t="str">
        <f>"10"</f>
        <v>10</v>
      </c>
      <c r="K1083" s="1" t="str">
        <f t="shared" ref="K1083:P1083" si="2091">"0"</f>
        <v>0</v>
      </c>
      <c r="L1083" s="1" t="str">
        <f t="shared" si="2091"/>
        <v>0</v>
      </c>
      <c r="M1083" s="1" t="str">
        <f t="shared" si="2091"/>
        <v>0</v>
      </c>
      <c r="N1083" s="1" t="str">
        <f t="shared" si="2091"/>
        <v>0</v>
      </c>
      <c r="O1083" s="1" t="str">
        <f t="shared" si="2091"/>
        <v>0</v>
      </c>
      <c r="P1083" s="1" t="str">
        <f t="shared" si="2091"/>
        <v>0</v>
      </c>
      <c r="Q1083" s="1" t="str">
        <f t="shared" si="1982"/>
        <v>0.0070</v>
      </c>
      <c r="R1083" s="1" t="s">
        <v>25</v>
      </c>
      <c r="T1083" s="1" t="str">
        <f t="shared" si="1983"/>
        <v>0</v>
      </c>
      <c r="U1083" s="1" t="str">
        <f t="shared" si="2081"/>
        <v>0.0070</v>
      </c>
    </row>
    <row r="1084" s="1" customFormat="1" spans="1:21">
      <c r="A1084" s="1" t="str">
        <f>"4601992010068"</f>
        <v>4601992010068</v>
      </c>
      <c r="B1084" s="1" t="s">
        <v>1108</v>
      </c>
      <c r="C1084" s="1" t="s">
        <v>24</v>
      </c>
      <c r="D1084" s="1" t="str">
        <f t="shared" si="1979"/>
        <v>2021</v>
      </c>
      <c r="E1084" s="1" t="str">
        <f>"147.84"</f>
        <v>147.84</v>
      </c>
      <c r="F1084" s="1" t="str">
        <f t="shared" ref="F1084:I1084" si="2092">"0"</f>
        <v>0</v>
      </c>
      <c r="G1084" s="1" t="str">
        <f t="shared" si="2092"/>
        <v>0</v>
      </c>
      <c r="H1084" s="1" t="str">
        <f t="shared" si="2092"/>
        <v>0</v>
      </c>
      <c r="I1084" s="1" t="str">
        <f t="shared" si="2092"/>
        <v>0</v>
      </c>
      <c r="J1084" s="1" t="str">
        <f>"5"</f>
        <v>5</v>
      </c>
      <c r="K1084" s="1" t="str">
        <f t="shared" ref="K1084:P1084" si="2093">"0"</f>
        <v>0</v>
      </c>
      <c r="L1084" s="1" t="str">
        <f t="shared" si="2093"/>
        <v>0</v>
      </c>
      <c r="M1084" s="1" t="str">
        <f t="shared" si="2093"/>
        <v>0</v>
      </c>
      <c r="N1084" s="1" t="str">
        <f t="shared" si="2093"/>
        <v>0</v>
      </c>
      <c r="O1084" s="1" t="str">
        <f t="shared" si="2093"/>
        <v>0</v>
      </c>
      <c r="P1084" s="1" t="str">
        <f t="shared" si="2093"/>
        <v>0</v>
      </c>
      <c r="Q1084" s="1" t="str">
        <f t="shared" si="1982"/>
        <v>0.0070</v>
      </c>
      <c r="R1084" s="1" t="s">
        <v>29</v>
      </c>
      <c r="S1084" s="1">
        <v>-0.0014</v>
      </c>
      <c r="T1084" s="1" t="str">
        <f t="shared" si="1983"/>
        <v>0</v>
      </c>
      <c r="U1084" s="1" t="str">
        <f t="shared" ref="U1084:U1088" si="2094">"0.0056"</f>
        <v>0.0056</v>
      </c>
    </row>
    <row r="1085" s="1" customFormat="1" spans="1:21">
      <c r="A1085" s="1" t="str">
        <f>"4601992010100"</f>
        <v>4601992010100</v>
      </c>
      <c r="B1085" s="1" t="s">
        <v>1109</v>
      </c>
      <c r="C1085" s="1" t="s">
        <v>24</v>
      </c>
      <c r="D1085" s="1" t="str">
        <f t="shared" si="1979"/>
        <v>2021</v>
      </c>
      <c r="E1085" s="1" t="str">
        <f t="shared" ref="E1085:P1085" si="2095">"0"</f>
        <v>0</v>
      </c>
      <c r="F1085" s="1" t="str">
        <f t="shared" si="2095"/>
        <v>0</v>
      </c>
      <c r="G1085" s="1" t="str">
        <f t="shared" si="2095"/>
        <v>0</v>
      </c>
      <c r="H1085" s="1" t="str">
        <f t="shared" si="2095"/>
        <v>0</v>
      </c>
      <c r="I1085" s="1" t="str">
        <f t="shared" si="2095"/>
        <v>0</v>
      </c>
      <c r="J1085" s="1" t="str">
        <f t="shared" si="2095"/>
        <v>0</v>
      </c>
      <c r="K1085" s="1" t="str">
        <f t="shared" si="2095"/>
        <v>0</v>
      </c>
      <c r="L1085" s="1" t="str">
        <f t="shared" si="2095"/>
        <v>0</v>
      </c>
      <c r="M1085" s="1" t="str">
        <f t="shared" si="2095"/>
        <v>0</v>
      </c>
      <c r="N1085" s="1" t="str">
        <f t="shared" si="2095"/>
        <v>0</v>
      </c>
      <c r="O1085" s="1" t="str">
        <f t="shared" si="2095"/>
        <v>0</v>
      </c>
      <c r="P1085" s="1" t="str">
        <f t="shared" si="2095"/>
        <v>0</v>
      </c>
      <c r="Q1085" s="1" t="str">
        <f t="shared" si="1982"/>
        <v>0.0070</v>
      </c>
      <c r="R1085" s="1" t="s">
        <v>25</v>
      </c>
      <c r="T1085" s="1" t="str">
        <f t="shared" si="1983"/>
        <v>0</v>
      </c>
      <c r="U1085" s="1" t="str">
        <f t="shared" ref="U1085:U1092" si="2096">"0.0070"</f>
        <v>0.0070</v>
      </c>
    </row>
    <row r="1086" s="1" customFormat="1" spans="1:21">
      <c r="A1086" s="1" t="str">
        <f>"4601992010103"</f>
        <v>4601992010103</v>
      </c>
      <c r="B1086" s="1" t="s">
        <v>1110</v>
      </c>
      <c r="C1086" s="1" t="s">
        <v>24</v>
      </c>
      <c r="D1086" s="1" t="str">
        <f t="shared" si="1979"/>
        <v>2021</v>
      </c>
      <c r="E1086" s="1" t="str">
        <f>"12.09"</f>
        <v>12.09</v>
      </c>
      <c r="F1086" s="1" t="str">
        <f t="shared" ref="F1086:I1086" si="2097">"0"</f>
        <v>0</v>
      </c>
      <c r="G1086" s="1" t="str">
        <f t="shared" si="2097"/>
        <v>0</v>
      </c>
      <c r="H1086" s="1" t="str">
        <f t="shared" si="2097"/>
        <v>0</v>
      </c>
      <c r="I1086" s="1" t="str">
        <f t="shared" si="2097"/>
        <v>0</v>
      </c>
      <c r="J1086" s="1" t="str">
        <f>"2"</f>
        <v>2</v>
      </c>
      <c r="K1086" s="1" t="str">
        <f t="shared" ref="K1086:P1086" si="2098">"0"</f>
        <v>0</v>
      </c>
      <c r="L1086" s="1" t="str">
        <f t="shared" si="2098"/>
        <v>0</v>
      </c>
      <c r="M1086" s="1" t="str">
        <f t="shared" si="2098"/>
        <v>0</v>
      </c>
      <c r="N1086" s="1" t="str">
        <f t="shared" si="2098"/>
        <v>0</v>
      </c>
      <c r="O1086" s="1" t="str">
        <f t="shared" si="2098"/>
        <v>0</v>
      </c>
      <c r="P1086" s="1" t="str">
        <f t="shared" si="2098"/>
        <v>0</v>
      </c>
      <c r="Q1086" s="1" t="str">
        <f t="shared" si="1982"/>
        <v>0.0070</v>
      </c>
      <c r="R1086" s="1" t="s">
        <v>29</v>
      </c>
      <c r="S1086" s="1">
        <v>-0.0014</v>
      </c>
      <c r="T1086" s="1" t="str">
        <f t="shared" si="1983"/>
        <v>0</v>
      </c>
      <c r="U1086" s="1" t="str">
        <f t="shared" si="2094"/>
        <v>0.0056</v>
      </c>
    </row>
    <row r="1087" s="1" customFormat="1" spans="1:21">
      <c r="A1087" s="1" t="str">
        <f>"4601992010213"</f>
        <v>4601992010213</v>
      </c>
      <c r="B1087" s="1" t="s">
        <v>1111</v>
      </c>
      <c r="C1087" s="1" t="s">
        <v>24</v>
      </c>
      <c r="D1087" s="1" t="str">
        <f t="shared" si="1979"/>
        <v>2021</v>
      </c>
      <c r="E1087" s="1" t="str">
        <f t="shared" ref="E1087:P1087" si="2099">"0"</f>
        <v>0</v>
      </c>
      <c r="F1087" s="1" t="str">
        <f t="shared" si="2099"/>
        <v>0</v>
      </c>
      <c r="G1087" s="1" t="str">
        <f t="shared" si="2099"/>
        <v>0</v>
      </c>
      <c r="H1087" s="1" t="str">
        <f t="shared" si="2099"/>
        <v>0</v>
      </c>
      <c r="I1087" s="1" t="str">
        <f t="shared" si="2099"/>
        <v>0</v>
      </c>
      <c r="J1087" s="1" t="str">
        <f t="shared" si="2099"/>
        <v>0</v>
      </c>
      <c r="K1087" s="1" t="str">
        <f t="shared" si="2099"/>
        <v>0</v>
      </c>
      <c r="L1087" s="1" t="str">
        <f t="shared" si="2099"/>
        <v>0</v>
      </c>
      <c r="M1087" s="1" t="str">
        <f t="shared" si="2099"/>
        <v>0</v>
      </c>
      <c r="N1087" s="1" t="str">
        <f t="shared" si="2099"/>
        <v>0</v>
      </c>
      <c r="O1087" s="1" t="str">
        <f t="shared" si="2099"/>
        <v>0</v>
      </c>
      <c r="P1087" s="1" t="str">
        <f t="shared" si="2099"/>
        <v>0</v>
      </c>
      <c r="Q1087" s="1" t="str">
        <f t="shared" si="1982"/>
        <v>0.0070</v>
      </c>
      <c r="R1087" s="1" t="s">
        <v>25</v>
      </c>
      <c r="T1087" s="1" t="str">
        <f t="shared" si="1983"/>
        <v>0</v>
      </c>
      <c r="U1087" s="1" t="str">
        <f t="shared" si="2096"/>
        <v>0.0070</v>
      </c>
    </row>
    <row r="1088" s="1" customFormat="1" spans="1:21">
      <c r="A1088" s="1" t="str">
        <f>"4601992010167"</f>
        <v>4601992010167</v>
      </c>
      <c r="B1088" s="1" t="s">
        <v>1112</v>
      </c>
      <c r="C1088" s="1" t="s">
        <v>24</v>
      </c>
      <c r="D1088" s="1" t="str">
        <f t="shared" si="1979"/>
        <v>2021</v>
      </c>
      <c r="E1088" s="1" t="str">
        <f>"24.18"</f>
        <v>24.18</v>
      </c>
      <c r="F1088" s="1" t="str">
        <f t="shared" ref="F1088:I1088" si="2100">"0"</f>
        <v>0</v>
      </c>
      <c r="G1088" s="1" t="str">
        <f t="shared" si="2100"/>
        <v>0</v>
      </c>
      <c r="H1088" s="1" t="str">
        <f t="shared" si="2100"/>
        <v>0</v>
      </c>
      <c r="I1088" s="1" t="str">
        <f t="shared" si="2100"/>
        <v>0</v>
      </c>
      <c r="J1088" s="1" t="str">
        <f>"2"</f>
        <v>2</v>
      </c>
      <c r="K1088" s="1" t="str">
        <f t="shared" ref="K1088:P1088" si="2101">"0"</f>
        <v>0</v>
      </c>
      <c r="L1088" s="1" t="str">
        <f t="shared" si="2101"/>
        <v>0</v>
      </c>
      <c r="M1088" s="1" t="str">
        <f t="shared" si="2101"/>
        <v>0</v>
      </c>
      <c r="N1088" s="1" t="str">
        <f t="shared" si="2101"/>
        <v>0</v>
      </c>
      <c r="O1088" s="1" t="str">
        <f t="shared" si="2101"/>
        <v>0</v>
      </c>
      <c r="P1088" s="1" t="str">
        <f t="shared" si="2101"/>
        <v>0</v>
      </c>
      <c r="Q1088" s="1" t="str">
        <f t="shared" si="1982"/>
        <v>0.0070</v>
      </c>
      <c r="R1088" s="1" t="s">
        <v>29</v>
      </c>
      <c r="S1088" s="1">
        <v>-0.0014</v>
      </c>
      <c r="T1088" s="1" t="str">
        <f t="shared" si="1983"/>
        <v>0</v>
      </c>
      <c r="U1088" s="1" t="str">
        <f t="shared" si="2094"/>
        <v>0.0056</v>
      </c>
    </row>
    <row r="1089" s="1" customFormat="1" spans="1:21">
      <c r="A1089" s="1" t="str">
        <f>"4601992010219"</f>
        <v>4601992010219</v>
      </c>
      <c r="B1089" s="1" t="s">
        <v>1113</v>
      </c>
      <c r="C1089" s="1" t="s">
        <v>24</v>
      </c>
      <c r="D1089" s="1" t="str">
        <f t="shared" si="1979"/>
        <v>2021</v>
      </c>
      <c r="E1089" s="1" t="str">
        <f t="shared" ref="E1089:P1089" si="2102">"0"</f>
        <v>0</v>
      </c>
      <c r="F1089" s="1" t="str">
        <f t="shared" si="2102"/>
        <v>0</v>
      </c>
      <c r="G1089" s="1" t="str">
        <f t="shared" si="2102"/>
        <v>0</v>
      </c>
      <c r="H1089" s="1" t="str">
        <f t="shared" si="2102"/>
        <v>0</v>
      </c>
      <c r="I1089" s="1" t="str">
        <f t="shared" si="2102"/>
        <v>0</v>
      </c>
      <c r="J1089" s="1" t="str">
        <f t="shared" si="2102"/>
        <v>0</v>
      </c>
      <c r="K1089" s="1" t="str">
        <f t="shared" si="2102"/>
        <v>0</v>
      </c>
      <c r="L1089" s="1" t="str">
        <f t="shared" si="2102"/>
        <v>0</v>
      </c>
      <c r="M1089" s="1" t="str">
        <f t="shared" si="2102"/>
        <v>0</v>
      </c>
      <c r="N1089" s="1" t="str">
        <f t="shared" si="2102"/>
        <v>0</v>
      </c>
      <c r="O1089" s="1" t="str">
        <f t="shared" si="2102"/>
        <v>0</v>
      </c>
      <c r="P1089" s="1" t="str">
        <f t="shared" si="2102"/>
        <v>0</v>
      </c>
      <c r="Q1089" s="1" t="str">
        <f t="shared" si="1982"/>
        <v>0.0070</v>
      </c>
      <c r="R1089" s="1" t="s">
        <v>25</v>
      </c>
      <c r="T1089" s="1" t="str">
        <f t="shared" si="1983"/>
        <v>0</v>
      </c>
      <c r="U1089" s="1" t="str">
        <f t="shared" si="2096"/>
        <v>0.0070</v>
      </c>
    </row>
    <row r="1090" s="1" customFormat="1" spans="1:21">
      <c r="A1090" s="1" t="str">
        <f>"4601992006132"</f>
        <v>4601992006132</v>
      </c>
      <c r="B1090" s="1" t="s">
        <v>1114</v>
      </c>
      <c r="C1090" s="1" t="s">
        <v>24</v>
      </c>
      <c r="D1090" s="1" t="str">
        <f t="shared" si="1979"/>
        <v>2021</v>
      </c>
      <c r="E1090" s="1" t="str">
        <f t="shared" ref="E1090:P1090" si="2103">"0"</f>
        <v>0</v>
      </c>
      <c r="F1090" s="1" t="str">
        <f t="shared" si="2103"/>
        <v>0</v>
      </c>
      <c r="G1090" s="1" t="str">
        <f t="shared" si="2103"/>
        <v>0</v>
      </c>
      <c r="H1090" s="1" t="str">
        <f t="shared" si="2103"/>
        <v>0</v>
      </c>
      <c r="I1090" s="1" t="str">
        <f t="shared" si="2103"/>
        <v>0</v>
      </c>
      <c r="J1090" s="1" t="str">
        <f t="shared" si="2103"/>
        <v>0</v>
      </c>
      <c r="K1090" s="1" t="str">
        <f t="shared" si="2103"/>
        <v>0</v>
      </c>
      <c r="L1090" s="1" t="str">
        <f t="shared" si="2103"/>
        <v>0</v>
      </c>
      <c r="M1090" s="1" t="str">
        <f t="shared" si="2103"/>
        <v>0</v>
      </c>
      <c r="N1090" s="1" t="str">
        <f t="shared" si="2103"/>
        <v>0</v>
      </c>
      <c r="O1090" s="1" t="str">
        <f t="shared" si="2103"/>
        <v>0</v>
      </c>
      <c r="P1090" s="1" t="str">
        <f t="shared" si="2103"/>
        <v>0</v>
      </c>
      <c r="Q1090" s="1" t="str">
        <f t="shared" si="1982"/>
        <v>0.0070</v>
      </c>
      <c r="R1090" s="1" t="s">
        <v>25</v>
      </c>
      <c r="T1090" s="1" t="str">
        <f t="shared" si="1983"/>
        <v>0</v>
      </c>
      <c r="U1090" s="1" t="str">
        <f t="shared" si="2096"/>
        <v>0.0070</v>
      </c>
    </row>
    <row r="1091" s="1" customFormat="1" spans="1:21">
      <c r="A1091" s="1" t="str">
        <f>"4601991403387"</f>
        <v>4601991403387</v>
      </c>
      <c r="B1091" s="1" t="s">
        <v>1115</v>
      </c>
      <c r="C1091" s="1" t="s">
        <v>24</v>
      </c>
      <c r="D1091" s="1" t="str">
        <f t="shared" ref="D1091:D1154" si="2104">"2021"</f>
        <v>2021</v>
      </c>
      <c r="E1091" s="1" t="str">
        <f t="shared" ref="E1091:P1091" si="2105">"0"</f>
        <v>0</v>
      </c>
      <c r="F1091" s="1" t="str">
        <f t="shared" si="2105"/>
        <v>0</v>
      </c>
      <c r="G1091" s="1" t="str">
        <f t="shared" si="2105"/>
        <v>0</v>
      </c>
      <c r="H1091" s="1" t="str">
        <f t="shared" si="2105"/>
        <v>0</v>
      </c>
      <c r="I1091" s="1" t="str">
        <f t="shared" si="2105"/>
        <v>0</v>
      </c>
      <c r="J1091" s="1" t="str">
        <f t="shared" si="2105"/>
        <v>0</v>
      </c>
      <c r="K1091" s="1" t="str">
        <f t="shared" si="2105"/>
        <v>0</v>
      </c>
      <c r="L1091" s="1" t="str">
        <f t="shared" si="2105"/>
        <v>0</v>
      </c>
      <c r="M1091" s="1" t="str">
        <f t="shared" si="2105"/>
        <v>0</v>
      </c>
      <c r="N1091" s="1" t="str">
        <f t="shared" si="2105"/>
        <v>0</v>
      </c>
      <c r="O1091" s="1" t="str">
        <f t="shared" si="2105"/>
        <v>0</v>
      </c>
      <c r="P1091" s="1" t="str">
        <f t="shared" si="2105"/>
        <v>0</v>
      </c>
      <c r="Q1091" s="1" t="str">
        <f t="shared" ref="Q1091:Q1154" si="2106">"0.0070"</f>
        <v>0.0070</v>
      </c>
      <c r="R1091" s="1" t="s">
        <v>25</v>
      </c>
      <c r="T1091" s="1" t="str">
        <f t="shared" ref="T1091:T1154" si="2107">"0"</f>
        <v>0</v>
      </c>
      <c r="U1091" s="1" t="str">
        <f t="shared" si="2096"/>
        <v>0.0070</v>
      </c>
    </row>
    <row r="1092" s="1" customFormat="1" spans="1:21">
      <c r="A1092" s="1" t="str">
        <f>"4601992010342"</f>
        <v>4601992010342</v>
      </c>
      <c r="B1092" s="1" t="s">
        <v>1116</v>
      </c>
      <c r="C1092" s="1" t="s">
        <v>24</v>
      </c>
      <c r="D1092" s="1" t="str">
        <f t="shared" si="2104"/>
        <v>2021</v>
      </c>
      <c r="E1092" s="1" t="str">
        <f t="shared" ref="E1092:P1092" si="2108">"0"</f>
        <v>0</v>
      </c>
      <c r="F1092" s="1" t="str">
        <f t="shared" si="2108"/>
        <v>0</v>
      </c>
      <c r="G1092" s="1" t="str">
        <f t="shared" si="2108"/>
        <v>0</v>
      </c>
      <c r="H1092" s="1" t="str">
        <f t="shared" si="2108"/>
        <v>0</v>
      </c>
      <c r="I1092" s="1" t="str">
        <f t="shared" si="2108"/>
        <v>0</v>
      </c>
      <c r="J1092" s="1" t="str">
        <f t="shared" si="2108"/>
        <v>0</v>
      </c>
      <c r="K1092" s="1" t="str">
        <f t="shared" si="2108"/>
        <v>0</v>
      </c>
      <c r="L1092" s="1" t="str">
        <f t="shared" si="2108"/>
        <v>0</v>
      </c>
      <c r="M1092" s="1" t="str">
        <f t="shared" si="2108"/>
        <v>0</v>
      </c>
      <c r="N1092" s="1" t="str">
        <f t="shared" si="2108"/>
        <v>0</v>
      </c>
      <c r="O1092" s="1" t="str">
        <f t="shared" si="2108"/>
        <v>0</v>
      </c>
      <c r="P1092" s="1" t="str">
        <f t="shared" si="2108"/>
        <v>0</v>
      </c>
      <c r="Q1092" s="1" t="str">
        <f t="shared" si="2106"/>
        <v>0.0070</v>
      </c>
      <c r="R1092" s="1" t="s">
        <v>25</v>
      </c>
      <c r="T1092" s="1" t="str">
        <f t="shared" si="2107"/>
        <v>0</v>
      </c>
      <c r="U1092" s="1" t="str">
        <f t="shared" si="2096"/>
        <v>0.0070</v>
      </c>
    </row>
    <row r="1093" s="1" customFormat="1" spans="1:21">
      <c r="A1093" s="1" t="str">
        <f>"4601992010291"</f>
        <v>4601992010291</v>
      </c>
      <c r="B1093" s="1" t="s">
        <v>1117</v>
      </c>
      <c r="C1093" s="1" t="s">
        <v>24</v>
      </c>
      <c r="D1093" s="1" t="str">
        <f t="shared" si="2104"/>
        <v>2021</v>
      </c>
      <c r="E1093" s="1" t="str">
        <f>"12.09"</f>
        <v>12.09</v>
      </c>
      <c r="F1093" s="1" t="str">
        <f t="shared" ref="F1093:I1093" si="2109">"0"</f>
        <v>0</v>
      </c>
      <c r="G1093" s="1" t="str">
        <f t="shared" si="2109"/>
        <v>0</v>
      </c>
      <c r="H1093" s="1" t="str">
        <f t="shared" si="2109"/>
        <v>0</v>
      </c>
      <c r="I1093" s="1" t="str">
        <f t="shared" si="2109"/>
        <v>0</v>
      </c>
      <c r="J1093" s="1" t="str">
        <f t="shared" ref="J1093:J1095" si="2110">"1"</f>
        <v>1</v>
      </c>
      <c r="K1093" s="1" t="str">
        <f t="shared" ref="K1093:P1093" si="2111">"0"</f>
        <v>0</v>
      </c>
      <c r="L1093" s="1" t="str">
        <f t="shared" si="2111"/>
        <v>0</v>
      </c>
      <c r="M1093" s="1" t="str">
        <f t="shared" si="2111"/>
        <v>0</v>
      </c>
      <c r="N1093" s="1" t="str">
        <f t="shared" si="2111"/>
        <v>0</v>
      </c>
      <c r="O1093" s="1" t="str">
        <f t="shared" si="2111"/>
        <v>0</v>
      </c>
      <c r="P1093" s="1" t="str">
        <f t="shared" si="2111"/>
        <v>0</v>
      </c>
      <c r="Q1093" s="1" t="str">
        <f t="shared" si="2106"/>
        <v>0.0070</v>
      </c>
      <c r="R1093" s="1" t="s">
        <v>29</v>
      </c>
      <c r="S1093" s="1">
        <v>-0.0014</v>
      </c>
      <c r="T1093" s="1" t="str">
        <f t="shared" si="2107"/>
        <v>0</v>
      </c>
      <c r="U1093" s="1" t="str">
        <f t="shared" ref="U1093:U1097" si="2112">"0.0056"</f>
        <v>0.0056</v>
      </c>
    </row>
    <row r="1094" s="1" customFormat="1" spans="1:21">
      <c r="A1094" s="1" t="str">
        <f>"4601992010441"</f>
        <v>4601992010441</v>
      </c>
      <c r="B1094" s="1" t="s">
        <v>1118</v>
      </c>
      <c r="C1094" s="1" t="s">
        <v>24</v>
      </c>
      <c r="D1094" s="1" t="str">
        <f t="shared" si="2104"/>
        <v>2021</v>
      </c>
      <c r="E1094" s="1" t="str">
        <f>"12.09"</f>
        <v>12.09</v>
      </c>
      <c r="F1094" s="1" t="str">
        <f t="shared" ref="F1094:I1094" si="2113">"0"</f>
        <v>0</v>
      </c>
      <c r="G1094" s="1" t="str">
        <f t="shared" si="2113"/>
        <v>0</v>
      </c>
      <c r="H1094" s="1" t="str">
        <f t="shared" si="2113"/>
        <v>0</v>
      </c>
      <c r="I1094" s="1" t="str">
        <f t="shared" si="2113"/>
        <v>0</v>
      </c>
      <c r="J1094" s="1" t="str">
        <f t="shared" si="2110"/>
        <v>1</v>
      </c>
      <c r="K1094" s="1" t="str">
        <f t="shared" ref="K1094:P1094" si="2114">"0"</f>
        <v>0</v>
      </c>
      <c r="L1094" s="1" t="str">
        <f t="shared" si="2114"/>
        <v>0</v>
      </c>
      <c r="M1094" s="1" t="str">
        <f t="shared" si="2114"/>
        <v>0</v>
      </c>
      <c r="N1094" s="1" t="str">
        <f t="shared" si="2114"/>
        <v>0</v>
      </c>
      <c r="O1094" s="1" t="str">
        <f t="shared" si="2114"/>
        <v>0</v>
      </c>
      <c r="P1094" s="1" t="str">
        <f t="shared" si="2114"/>
        <v>0</v>
      </c>
      <c r="Q1094" s="1" t="str">
        <f t="shared" si="2106"/>
        <v>0.0070</v>
      </c>
      <c r="R1094" s="1" t="s">
        <v>29</v>
      </c>
      <c r="S1094" s="1">
        <v>-0.0014</v>
      </c>
      <c r="T1094" s="1" t="str">
        <f t="shared" si="2107"/>
        <v>0</v>
      </c>
      <c r="U1094" s="1" t="str">
        <f t="shared" si="2112"/>
        <v>0.0056</v>
      </c>
    </row>
    <row r="1095" s="1" customFormat="1" spans="1:21">
      <c r="A1095" s="1" t="str">
        <f>"4601992010354"</f>
        <v>4601992010354</v>
      </c>
      <c r="B1095" s="1" t="s">
        <v>1119</v>
      </c>
      <c r="C1095" s="1" t="s">
        <v>24</v>
      </c>
      <c r="D1095" s="1" t="str">
        <f t="shared" si="2104"/>
        <v>2021</v>
      </c>
      <c r="E1095" s="1" t="str">
        <f>"17.50"</f>
        <v>17.50</v>
      </c>
      <c r="F1095" s="1" t="str">
        <f t="shared" ref="F1095:I1095" si="2115">"0"</f>
        <v>0</v>
      </c>
      <c r="G1095" s="1" t="str">
        <f t="shared" si="2115"/>
        <v>0</v>
      </c>
      <c r="H1095" s="1" t="str">
        <f t="shared" si="2115"/>
        <v>0</v>
      </c>
      <c r="I1095" s="1" t="str">
        <f t="shared" si="2115"/>
        <v>0</v>
      </c>
      <c r="J1095" s="1" t="str">
        <f t="shared" si="2110"/>
        <v>1</v>
      </c>
      <c r="K1095" s="1" t="str">
        <f t="shared" ref="K1095:P1095" si="2116">"0"</f>
        <v>0</v>
      </c>
      <c r="L1095" s="1" t="str">
        <f t="shared" si="2116"/>
        <v>0</v>
      </c>
      <c r="M1095" s="1" t="str">
        <f t="shared" si="2116"/>
        <v>0</v>
      </c>
      <c r="N1095" s="1" t="str">
        <f t="shared" si="2116"/>
        <v>0</v>
      </c>
      <c r="O1095" s="1" t="str">
        <f t="shared" si="2116"/>
        <v>0</v>
      </c>
      <c r="P1095" s="1" t="str">
        <f t="shared" si="2116"/>
        <v>0</v>
      </c>
      <c r="Q1095" s="1" t="str">
        <f t="shared" si="2106"/>
        <v>0.0070</v>
      </c>
      <c r="R1095" s="1" t="s">
        <v>29</v>
      </c>
      <c r="S1095" s="1">
        <v>-0.0014</v>
      </c>
      <c r="T1095" s="1" t="str">
        <f t="shared" si="2107"/>
        <v>0</v>
      </c>
      <c r="U1095" s="1" t="str">
        <f t="shared" si="2112"/>
        <v>0.0056</v>
      </c>
    </row>
    <row r="1096" s="1" customFormat="1" spans="1:21">
      <c r="A1096" s="1" t="str">
        <f>"4601992010379"</f>
        <v>4601992010379</v>
      </c>
      <c r="B1096" s="1" t="s">
        <v>1120</v>
      </c>
      <c r="C1096" s="1" t="s">
        <v>24</v>
      </c>
      <c r="D1096" s="1" t="str">
        <f t="shared" si="2104"/>
        <v>2021</v>
      </c>
      <c r="E1096" s="1" t="str">
        <f>"35.94"</f>
        <v>35.94</v>
      </c>
      <c r="F1096" s="1" t="str">
        <f t="shared" ref="F1096:I1096" si="2117">"0"</f>
        <v>0</v>
      </c>
      <c r="G1096" s="1" t="str">
        <f t="shared" si="2117"/>
        <v>0</v>
      </c>
      <c r="H1096" s="1" t="str">
        <f t="shared" si="2117"/>
        <v>0</v>
      </c>
      <c r="I1096" s="1" t="str">
        <f t="shared" si="2117"/>
        <v>0</v>
      </c>
      <c r="J1096" s="1" t="str">
        <f>"2"</f>
        <v>2</v>
      </c>
      <c r="K1096" s="1" t="str">
        <f t="shared" ref="K1096:P1096" si="2118">"0"</f>
        <v>0</v>
      </c>
      <c r="L1096" s="1" t="str">
        <f t="shared" si="2118"/>
        <v>0</v>
      </c>
      <c r="M1096" s="1" t="str">
        <f t="shared" si="2118"/>
        <v>0</v>
      </c>
      <c r="N1096" s="1" t="str">
        <f t="shared" si="2118"/>
        <v>0</v>
      </c>
      <c r="O1096" s="1" t="str">
        <f t="shared" si="2118"/>
        <v>0</v>
      </c>
      <c r="P1096" s="1" t="str">
        <f t="shared" si="2118"/>
        <v>0</v>
      </c>
      <c r="Q1096" s="1" t="str">
        <f t="shared" si="2106"/>
        <v>0.0070</v>
      </c>
      <c r="R1096" s="1" t="s">
        <v>29</v>
      </c>
      <c r="S1096" s="1">
        <v>-0.0014</v>
      </c>
      <c r="T1096" s="1" t="str">
        <f t="shared" si="2107"/>
        <v>0</v>
      </c>
      <c r="U1096" s="1" t="str">
        <f t="shared" si="2112"/>
        <v>0.0056</v>
      </c>
    </row>
    <row r="1097" s="1" customFormat="1" spans="1:21">
      <c r="A1097" s="1" t="str">
        <f>"4601992010413"</f>
        <v>4601992010413</v>
      </c>
      <c r="B1097" s="1" t="s">
        <v>1121</v>
      </c>
      <c r="C1097" s="1" t="s">
        <v>24</v>
      </c>
      <c r="D1097" s="1" t="str">
        <f t="shared" si="2104"/>
        <v>2021</v>
      </c>
      <c r="E1097" s="1" t="str">
        <f>"60.34"</f>
        <v>60.34</v>
      </c>
      <c r="F1097" s="1" t="str">
        <f t="shared" ref="F1097:I1097" si="2119">"0"</f>
        <v>0</v>
      </c>
      <c r="G1097" s="1" t="str">
        <f t="shared" si="2119"/>
        <v>0</v>
      </c>
      <c r="H1097" s="1" t="str">
        <f t="shared" si="2119"/>
        <v>0</v>
      </c>
      <c r="I1097" s="1" t="str">
        <f t="shared" si="2119"/>
        <v>0</v>
      </c>
      <c r="J1097" s="1" t="str">
        <f>"4"</f>
        <v>4</v>
      </c>
      <c r="K1097" s="1" t="str">
        <f t="shared" ref="K1097:P1097" si="2120">"0"</f>
        <v>0</v>
      </c>
      <c r="L1097" s="1" t="str">
        <f t="shared" si="2120"/>
        <v>0</v>
      </c>
      <c r="M1097" s="1" t="str">
        <f t="shared" si="2120"/>
        <v>0</v>
      </c>
      <c r="N1097" s="1" t="str">
        <f t="shared" si="2120"/>
        <v>0</v>
      </c>
      <c r="O1097" s="1" t="str">
        <f t="shared" si="2120"/>
        <v>0</v>
      </c>
      <c r="P1097" s="1" t="str">
        <f t="shared" si="2120"/>
        <v>0</v>
      </c>
      <c r="Q1097" s="1" t="str">
        <f t="shared" si="2106"/>
        <v>0.0070</v>
      </c>
      <c r="R1097" s="1" t="s">
        <v>29</v>
      </c>
      <c r="S1097" s="1">
        <v>-0.0014</v>
      </c>
      <c r="T1097" s="1" t="str">
        <f t="shared" si="2107"/>
        <v>0</v>
      </c>
      <c r="U1097" s="1" t="str">
        <f t="shared" si="2112"/>
        <v>0.0056</v>
      </c>
    </row>
    <row r="1098" s="1" customFormat="1" spans="1:21">
      <c r="A1098" s="1" t="str">
        <f>"4601992010717"</f>
        <v>4601992010717</v>
      </c>
      <c r="B1098" s="1" t="s">
        <v>1122</v>
      </c>
      <c r="C1098" s="1" t="s">
        <v>24</v>
      </c>
      <c r="D1098" s="1" t="str">
        <f t="shared" si="2104"/>
        <v>2021</v>
      </c>
      <c r="E1098" s="1" t="str">
        <f t="shared" ref="E1098:P1098" si="2121">"0"</f>
        <v>0</v>
      </c>
      <c r="F1098" s="1" t="str">
        <f t="shared" si="2121"/>
        <v>0</v>
      </c>
      <c r="G1098" s="1" t="str">
        <f t="shared" si="2121"/>
        <v>0</v>
      </c>
      <c r="H1098" s="1" t="str">
        <f t="shared" si="2121"/>
        <v>0</v>
      </c>
      <c r="I1098" s="1" t="str">
        <f t="shared" si="2121"/>
        <v>0</v>
      </c>
      <c r="J1098" s="1" t="str">
        <f t="shared" si="2121"/>
        <v>0</v>
      </c>
      <c r="K1098" s="1" t="str">
        <f t="shared" si="2121"/>
        <v>0</v>
      </c>
      <c r="L1098" s="1" t="str">
        <f t="shared" si="2121"/>
        <v>0</v>
      </c>
      <c r="M1098" s="1" t="str">
        <f t="shared" si="2121"/>
        <v>0</v>
      </c>
      <c r="N1098" s="1" t="str">
        <f t="shared" si="2121"/>
        <v>0</v>
      </c>
      <c r="O1098" s="1" t="str">
        <f t="shared" si="2121"/>
        <v>0</v>
      </c>
      <c r="P1098" s="1" t="str">
        <f t="shared" si="2121"/>
        <v>0</v>
      </c>
      <c r="Q1098" s="1" t="str">
        <f t="shared" si="2106"/>
        <v>0.0070</v>
      </c>
      <c r="R1098" s="1" t="s">
        <v>25</v>
      </c>
      <c r="T1098" s="1" t="str">
        <f t="shared" si="2107"/>
        <v>0</v>
      </c>
      <c r="U1098" s="1" t="str">
        <f>"0.0070"</f>
        <v>0.0070</v>
      </c>
    </row>
    <row r="1099" s="1" customFormat="1" spans="1:21">
      <c r="A1099" s="1" t="str">
        <f>"4601992010689"</f>
        <v>4601992010689</v>
      </c>
      <c r="B1099" s="1" t="s">
        <v>1123</v>
      </c>
      <c r="C1099" s="1" t="s">
        <v>24</v>
      </c>
      <c r="D1099" s="1" t="str">
        <f t="shared" si="2104"/>
        <v>2021</v>
      </c>
      <c r="E1099" s="1" t="str">
        <f>"12.09"</f>
        <v>12.09</v>
      </c>
      <c r="F1099" s="1" t="str">
        <f t="shared" ref="F1099:I1099" si="2122">"0"</f>
        <v>0</v>
      </c>
      <c r="G1099" s="1" t="str">
        <f t="shared" si="2122"/>
        <v>0</v>
      </c>
      <c r="H1099" s="1" t="str">
        <f t="shared" si="2122"/>
        <v>0</v>
      </c>
      <c r="I1099" s="1" t="str">
        <f t="shared" si="2122"/>
        <v>0</v>
      </c>
      <c r="J1099" s="1" t="str">
        <f>"1"</f>
        <v>1</v>
      </c>
      <c r="K1099" s="1" t="str">
        <f t="shared" ref="K1099:P1099" si="2123">"0"</f>
        <v>0</v>
      </c>
      <c r="L1099" s="1" t="str">
        <f t="shared" si="2123"/>
        <v>0</v>
      </c>
      <c r="M1099" s="1" t="str">
        <f t="shared" si="2123"/>
        <v>0</v>
      </c>
      <c r="N1099" s="1" t="str">
        <f t="shared" si="2123"/>
        <v>0</v>
      </c>
      <c r="O1099" s="1" t="str">
        <f t="shared" si="2123"/>
        <v>0</v>
      </c>
      <c r="P1099" s="1" t="str">
        <f t="shared" si="2123"/>
        <v>0</v>
      </c>
      <c r="Q1099" s="1" t="str">
        <f t="shared" si="2106"/>
        <v>0.0070</v>
      </c>
      <c r="R1099" s="1" t="s">
        <v>29</v>
      </c>
      <c r="S1099" s="1">
        <v>-0.0014</v>
      </c>
      <c r="T1099" s="1" t="str">
        <f t="shared" si="2107"/>
        <v>0</v>
      </c>
      <c r="U1099" s="1" t="str">
        <f t="shared" ref="U1099:U1104" si="2124">"0.0056"</f>
        <v>0.0056</v>
      </c>
    </row>
    <row r="1100" s="1" customFormat="1" spans="1:21">
      <c r="A1100" s="1" t="str">
        <f>"4601992010755"</f>
        <v>4601992010755</v>
      </c>
      <c r="B1100" s="1" t="s">
        <v>1124</v>
      </c>
      <c r="C1100" s="1" t="s">
        <v>24</v>
      </c>
      <c r="D1100" s="1" t="str">
        <f t="shared" si="2104"/>
        <v>2021</v>
      </c>
      <c r="E1100" s="1" t="str">
        <f t="shared" ref="E1100:P1100" si="2125">"0"</f>
        <v>0</v>
      </c>
      <c r="F1100" s="1" t="str">
        <f t="shared" si="2125"/>
        <v>0</v>
      </c>
      <c r="G1100" s="1" t="str">
        <f t="shared" si="2125"/>
        <v>0</v>
      </c>
      <c r="H1100" s="1" t="str">
        <f t="shared" si="2125"/>
        <v>0</v>
      </c>
      <c r="I1100" s="1" t="str">
        <f t="shared" si="2125"/>
        <v>0</v>
      </c>
      <c r="J1100" s="1" t="str">
        <f t="shared" si="2125"/>
        <v>0</v>
      </c>
      <c r="K1100" s="1" t="str">
        <f t="shared" si="2125"/>
        <v>0</v>
      </c>
      <c r="L1100" s="1" t="str">
        <f t="shared" si="2125"/>
        <v>0</v>
      </c>
      <c r="M1100" s="1" t="str">
        <f t="shared" si="2125"/>
        <v>0</v>
      </c>
      <c r="N1100" s="1" t="str">
        <f t="shared" si="2125"/>
        <v>0</v>
      </c>
      <c r="O1100" s="1" t="str">
        <f t="shared" si="2125"/>
        <v>0</v>
      </c>
      <c r="P1100" s="1" t="str">
        <f t="shared" si="2125"/>
        <v>0</v>
      </c>
      <c r="Q1100" s="1" t="str">
        <f t="shared" si="2106"/>
        <v>0.0070</v>
      </c>
      <c r="R1100" s="1" t="s">
        <v>25</v>
      </c>
      <c r="T1100" s="1" t="str">
        <f t="shared" si="2107"/>
        <v>0</v>
      </c>
      <c r="U1100" s="1" t="str">
        <f>"0.0070"</f>
        <v>0.0070</v>
      </c>
    </row>
    <row r="1101" s="1" customFormat="1" spans="1:21">
      <c r="A1101" s="1" t="str">
        <f>"4601991413513"</f>
        <v>4601991413513</v>
      </c>
      <c r="B1101" s="1" t="s">
        <v>1125</v>
      </c>
      <c r="C1101" s="1" t="s">
        <v>24</v>
      </c>
      <c r="D1101" s="1" t="str">
        <f t="shared" si="2104"/>
        <v>2021</v>
      </c>
      <c r="E1101" s="1" t="str">
        <f>"2718.60"</f>
        <v>2718.60</v>
      </c>
      <c r="F1101" s="1" t="str">
        <f t="shared" ref="F1101:I1101" si="2126">"0"</f>
        <v>0</v>
      </c>
      <c r="G1101" s="1" t="str">
        <f t="shared" si="2126"/>
        <v>0</v>
      </c>
      <c r="H1101" s="1" t="str">
        <f t="shared" si="2126"/>
        <v>0</v>
      </c>
      <c r="I1101" s="1" t="str">
        <f t="shared" si="2126"/>
        <v>0</v>
      </c>
      <c r="J1101" s="1" t="str">
        <f>"12"</f>
        <v>12</v>
      </c>
      <c r="K1101" s="1" t="str">
        <f t="shared" ref="K1101:P1101" si="2127">"0"</f>
        <v>0</v>
      </c>
      <c r="L1101" s="1" t="str">
        <f t="shared" si="2127"/>
        <v>0</v>
      </c>
      <c r="M1101" s="1" t="str">
        <f t="shared" si="2127"/>
        <v>0</v>
      </c>
      <c r="N1101" s="1" t="str">
        <f t="shared" si="2127"/>
        <v>0</v>
      </c>
      <c r="O1101" s="1" t="str">
        <f t="shared" si="2127"/>
        <v>0</v>
      </c>
      <c r="P1101" s="1" t="str">
        <f t="shared" si="2127"/>
        <v>0</v>
      </c>
      <c r="Q1101" s="1" t="str">
        <f t="shared" si="2106"/>
        <v>0.0070</v>
      </c>
      <c r="R1101" s="1" t="s">
        <v>29</v>
      </c>
      <c r="S1101" s="1">
        <v>-0.0014</v>
      </c>
      <c r="T1101" s="1" t="str">
        <f t="shared" si="2107"/>
        <v>0</v>
      </c>
      <c r="U1101" s="1" t="str">
        <f t="shared" si="2124"/>
        <v>0.0056</v>
      </c>
    </row>
    <row r="1102" s="1" customFormat="1" spans="1:21">
      <c r="A1102" s="1" t="str">
        <f>"4601992010734"</f>
        <v>4601992010734</v>
      </c>
      <c r="B1102" s="1" t="s">
        <v>1126</v>
      </c>
      <c r="C1102" s="1" t="s">
        <v>24</v>
      </c>
      <c r="D1102" s="1" t="str">
        <f t="shared" si="2104"/>
        <v>2021</v>
      </c>
      <c r="E1102" s="1" t="str">
        <f>"12.09"</f>
        <v>12.09</v>
      </c>
      <c r="F1102" s="1" t="str">
        <f t="shared" ref="F1102:I1102" si="2128">"0"</f>
        <v>0</v>
      </c>
      <c r="G1102" s="1" t="str">
        <f t="shared" si="2128"/>
        <v>0</v>
      </c>
      <c r="H1102" s="1" t="str">
        <f t="shared" si="2128"/>
        <v>0</v>
      </c>
      <c r="I1102" s="1" t="str">
        <f t="shared" si="2128"/>
        <v>0</v>
      </c>
      <c r="J1102" s="1" t="str">
        <f>"1"</f>
        <v>1</v>
      </c>
      <c r="K1102" s="1" t="str">
        <f t="shared" ref="K1102:P1102" si="2129">"0"</f>
        <v>0</v>
      </c>
      <c r="L1102" s="1" t="str">
        <f t="shared" si="2129"/>
        <v>0</v>
      </c>
      <c r="M1102" s="1" t="str">
        <f t="shared" si="2129"/>
        <v>0</v>
      </c>
      <c r="N1102" s="1" t="str">
        <f t="shared" si="2129"/>
        <v>0</v>
      </c>
      <c r="O1102" s="1" t="str">
        <f t="shared" si="2129"/>
        <v>0</v>
      </c>
      <c r="P1102" s="1" t="str">
        <f t="shared" si="2129"/>
        <v>0</v>
      </c>
      <c r="Q1102" s="1" t="str">
        <f t="shared" si="2106"/>
        <v>0.0070</v>
      </c>
      <c r="R1102" s="1" t="s">
        <v>29</v>
      </c>
      <c r="S1102" s="1">
        <v>-0.0014</v>
      </c>
      <c r="T1102" s="1" t="str">
        <f t="shared" si="2107"/>
        <v>0</v>
      </c>
      <c r="U1102" s="1" t="str">
        <f t="shared" si="2124"/>
        <v>0.0056</v>
      </c>
    </row>
    <row r="1103" s="1" customFormat="1" spans="1:21">
      <c r="A1103" s="1" t="str">
        <f>"4601992010778"</f>
        <v>4601992010778</v>
      </c>
      <c r="B1103" s="1" t="s">
        <v>1127</v>
      </c>
      <c r="C1103" s="1" t="s">
        <v>24</v>
      </c>
      <c r="D1103" s="1" t="str">
        <f t="shared" si="2104"/>
        <v>2021</v>
      </c>
      <c r="E1103" s="1" t="str">
        <f>"48.36"</f>
        <v>48.36</v>
      </c>
      <c r="F1103" s="1" t="str">
        <f t="shared" ref="F1103:I1103" si="2130">"0"</f>
        <v>0</v>
      </c>
      <c r="G1103" s="1" t="str">
        <f t="shared" si="2130"/>
        <v>0</v>
      </c>
      <c r="H1103" s="1" t="str">
        <f t="shared" si="2130"/>
        <v>0</v>
      </c>
      <c r="I1103" s="1" t="str">
        <f t="shared" si="2130"/>
        <v>0</v>
      </c>
      <c r="J1103" s="1" t="str">
        <f>"6"</f>
        <v>6</v>
      </c>
      <c r="K1103" s="1" t="str">
        <f t="shared" ref="K1103:P1103" si="2131">"0"</f>
        <v>0</v>
      </c>
      <c r="L1103" s="1" t="str">
        <f t="shared" si="2131"/>
        <v>0</v>
      </c>
      <c r="M1103" s="1" t="str">
        <f t="shared" si="2131"/>
        <v>0</v>
      </c>
      <c r="N1103" s="1" t="str">
        <f t="shared" si="2131"/>
        <v>0</v>
      </c>
      <c r="O1103" s="1" t="str">
        <f t="shared" si="2131"/>
        <v>0</v>
      </c>
      <c r="P1103" s="1" t="str">
        <f t="shared" si="2131"/>
        <v>0</v>
      </c>
      <c r="Q1103" s="1" t="str">
        <f t="shared" si="2106"/>
        <v>0.0070</v>
      </c>
      <c r="R1103" s="1" t="s">
        <v>29</v>
      </c>
      <c r="S1103" s="1">
        <v>-0.0014</v>
      </c>
      <c r="T1103" s="1" t="str">
        <f t="shared" si="2107"/>
        <v>0</v>
      </c>
      <c r="U1103" s="1" t="str">
        <f t="shared" si="2124"/>
        <v>0.0056</v>
      </c>
    </row>
    <row r="1104" s="1" customFormat="1" spans="1:21">
      <c r="A1104" s="1" t="str">
        <f>"4601992010779"</f>
        <v>4601992010779</v>
      </c>
      <c r="B1104" s="1" t="s">
        <v>1128</v>
      </c>
      <c r="C1104" s="1" t="s">
        <v>24</v>
      </c>
      <c r="D1104" s="1" t="str">
        <f t="shared" si="2104"/>
        <v>2021</v>
      </c>
      <c r="E1104" s="1" t="str">
        <f>"96.72"</f>
        <v>96.72</v>
      </c>
      <c r="F1104" s="1" t="str">
        <f t="shared" ref="F1104:I1104" si="2132">"0"</f>
        <v>0</v>
      </c>
      <c r="G1104" s="1" t="str">
        <f t="shared" si="2132"/>
        <v>0</v>
      </c>
      <c r="H1104" s="1" t="str">
        <f t="shared" si="2132"/>
        <v>0</v>
      </c>
      <c r="I1104" s="1" t="str">
        <f t="shared" si="2132"/>
        <v>0</v>
      </c>
      <c r="J1104" s="1" t="str">
        <f>"10"</f>
        <v>10</v>
      </c>
      <c r="K1104" s="1" t="str">
        <f t="shared" ref="K1104:P1104" si="2133">"0"</f>
        <v>0</v>
      </c>
      <c r="L1104" s="1" t="str">
        <f t="shared" si="2133"/>
        <v>0</v>
      </c>
      <c r="M1104" s="1" t="str">
        <f t="shared" si="2133"/>
        <v>0</v>
      </c>
      <c r="N1104" s="1" t="str">
        <f t="shared" si="2133"/>
        <v>0</v>
      </c>
      <c r="O1104" s="1" t="str">
        <f t="shared" si="2133"/>
        <v>0</v>
      </c>
      <c r="P1104" s="1" t="str">
        <f t="shared" si="2133"/>
        <v>0</v>
      </c>
      <c r="Q1104" s="1" t="str">
        <f t="shared" si="2106"/>
        <v>0.0070</v>
      </c>
      <c r="R1104" s="1" t="s">
        <v>29</v>
      </c>
      <c r="S1104" s="1">
        <v>-0.0014</v>
      </c>
      <c r="T1104" s="1" t="str">
        <f t="shared" si="2107"/>
        <v>0</v>
      </c>
      <c r="U1104" s="1" t="str">
        <f t="shared" si="2124"/>
        <v>0.0056</v>
      </c>
    </row>
    <row r="1105" s="1" customFormat="1" spans="1:21">
      <c r="A1105" s="1" t="str">
        <f>"4601992010784"</f>
        <v>4601992010784</v>
      </c>
      <c r="B1105" s="1" t="s">
        <v>1129</v>
      </c>
      <c r="C1105" s="1" t="s">
        <v>24</v>
      </c>
      <c r="D1105" s="1" t="str">
        <f t="shared" si="2104"/>
        <v>2021</v>
      </c>
      <c r="E1105" s="1" t="str">
        <f t="shared" ref="E1105:P1105" si="2134">"0"</f>
        <v>0</v>
      </c>
      <c r="F1105" s="1" t="str">
        <f t="shared" si="2134"/>
        <v>0</v>
      </c>
      <c r="G1105" s="1" t="str">
        <f t="shared" si="2134"/>
        <v>0</v>
      </c>
      <c r="H1105" s="1" t="str">
        <f t="shared" si="2134"/>
        <v>0</v>
      </c>
      <c r="I1105" s="1" t="str">
        <f t="shared" si="2134"/>
        <v>0</v>
      </c>
      <c r="J1105" s="1" t="str">
        <f t="shared" si="2134"/>
        <v>0</v>
      </c>
      <c r="K1105" s="1" t="str">
        <f t="shared" si="2134"/>
        <v>0</v>
      </c>
      <c r="L1105" s="1" t="str">
        <f t="shared" si="2134"/>
        <v>0</v>
      </c>
      <c r="M1105" s="1" t="str">
        <f t="shared" si="2134"/>
        <v>0</v>
      </c>
      <c r="N1105" s="1" t="str">
        <f t="shared" si="2134"/>
        <v>0</v>
      </c>
      <c r="O1105" s="1" t="str">
        <f t="shared" si="2134"/>
        <v>0</v>
      </c>
      <c r="P1105" s="1" t="str">
        <f t="shared" si="2134"/>
        <v>0</v>
      </c>
      <c r="Q1105" s="1" t="str">
        <f t="shared" si="2106"/>
        <v>0.0070</v>
      </c>
      <c r="R1105" s="1" t="s">
        <v>25</v>
      </c>
      <c r="T1105" s="1" t="str">
        <f t="shared" si="2107"/>
        <v>0</v>
      </c>
      <c r="U1105" s="1" t="str">
        <f t="shared" ref="U1105:U1110" si="2135">"0.0070"</f>
        <v>0.0070</v>
      </c>
    </row>
    <row r="1106" s="1" customFormat="1" spans="1:21">
      <c r="A1106" s="1" t="str">
        <f>"4601992010774"</f>
        <v>4601992010774</v>
      </c>
      <c r="B1106" s="1" t="s">
        <v>1130</v>
      </c>
      <c r="C1106" s="1" t="s">
        <v>24</v>
      </c>
      <c r="D1106" s="1" t="str">
        <f t="shared" si="2104"/>
        <v>2021</v>
      </c>
      <c r="E1106" s="1" t="str">
        <f>"590.12"</f>
        <v>590.12</v>
      </c>
      <c r="F1106" s="1" t="str">
        <f t="shared" ref="F1106:I1106" si="2136">"0"</f>
        <v>0</v>
      </c>
      <c r="G1106" s="1" t="str">
        <f t="shared" si="2136"/>
        <v>0</v>
      </c>
      <c r="H1106" s="1" t="str">
        <f t="shared" si="2136"/>
        <v>0</v>
      </c>
      <c r="I1106" s="1" t="str">
        <f t="shared" si="2136"/>
        <v>0</v>
      </c>
      <c r="J1106" s="1" t="str">
        <f>"47"</f>
        <v>47</v>
      </c>
      <c r="K1106" s="1" t="str">
        <f t="shared" ref="K1106:P1106" si="2137">"0"</f>
        <v>0</v>
      </c>
      <c r="L1106" s="1" t="str">
        <f t="shared" si="2137"/>
        <v>0</v>
      </c>
      <c r="M1106" s="1" t="str">
        <f t="shared" si="2137"/>
        <v>0</v>
      </c>
      <c r="N1106" s="1" t="str">
        <f t="shared" si="2137"/>
        <v>0</v>
      </c>
      <c r="O1106" s="1" t="str">
        <f t="shared" si="2137"/>
        <v>0</v>
      </c>
      <c r="P1106" s="1" t="str">
        <f t="shared" si="2137"/>
        <v>0</v>
      </c>
      <c r="Q1106" s="1" t="str">
        <f t="shared" si="2106"/>
        <v>0.0070</v>
      </c>
      <c r="R1106" s="1" t="s">
        <v>29</v>
      </c>
      <c r="S1106" s="1">
        <v>-0.0014</v>
      </c>
      <c r="T1106" s="1" t="str">
        <f t="shared" si="2107"/>
        <v>0</v>
      </c>
      <c r="U1106" s="1" t="str">
        <f t="shared" ref="U1106:U1109" si="2138">"0.0056"</f>
        <v>0.0056</v>
      </c>
    </row>
    <row r="1107" s="1" customFormat="1" spans="1:21">
      <c r="A1107" s="1" t="str">
        <f>"4601992010802"</f>
        <v>4601992010802</v>
      </c>
      <c r="B1107" s="1" t="s">
        <v>1131</v>
      </c>
      <c r="C1107" s="1" t="s">
        <v>24</v>
      </c>
      <c r="D1107" s="1" t="str">
        <f t="shared" si="2104"/>
        <v>2021</v>
      </c>
      <c r="E1107" s="1" t="str">
        <f t="shared" ref="E1107:P1107" si="2139">"0"</f>
        <v>0</v>
      </c>
      <c r="F1107" s="1" t="str">
        <f t="shared" si="2139"/>
        <v>0</v>
      </c>
      <c r="G1107" s="1" t="str">
        <f t="shared" si="2139"/>
        <v>0</v>
      </c>
      <c r="H1107" s="1" t="str">
        <f t="shared" si="2139"/>
        <v>0</v>
      </c>
      <c r="I1107" s="1" t="str">
        <f t="shared" si="2139"/>
        <v>0</v>
      </c>
      <c r="J1107" s="1" t="str">
        <f t="shared" si="2139"/>
        <v>0</v>
      </c>
      <c r="K1107" s="1" t="str">
        <f t="shared" si="2139"/>
        <v>0</v>
      </c>
      <c r="L1107" s="1" t="str">
        <f t="shared" si="2139"/>
        <v>0</v>
      </c>
      <c r="M1107" s="1" t="str">
        <f t="shared" si="2139"/>
        <v>0</v>
      </c>
      <c r="N1107" s="1" t="str">
        <f t="shared" si="2139"/>
        <v>0</v>
      </c>
      <c r="O1107" s="1" t="str">
        <f t="shared" si="2139"/>
        <v>0</v>
      </c>
      <c r="P1107" s="1" t="str">
        <f t="shared" si="2139"/>
        <v>0</v>
      </c>
      <c r="Q1107" s="1" t="str">
        <f t="shared" si="2106"/>
        <v>0.0070</v>
      </c>
      <c r="R1107" s="1" t="s">
        <v>25</v>
      </c>
      <c r="T1107" s="1" t="str">
        <f t="shared" si="2107"/>
        <v>0</v>
      </c>
      <c r="U1107" s="1" t="str">
        <f t="shared" si="2135"/>
        <v>0.0070</v>
      </c>
    </row>
    <row r="1108" s="1" customFormat="1" spans="1:21">
      <c r="A1108" s="1" t="str">
        <f>"4601992010786"</f>
        <v>4601992010786</v>
      </c>
      <c r="B1108" s="1" t="s">
        <v>1132</v>
      </c>
      <c r="C1108" s="1" t="s">
        <v>24</v>
      </c>
      <c r="D1108" s="1" t="str">
        <f t="shared" si="2104"/>
        <v>2021</v>
      </c>
      <c r="E1108" s="1" t="str">
        <f>"36.27"</f>
        <v>36.27</v>
      </c>
      <c r="F1108" s="1" t="str">
        <f t="shared" ref="F1108:I1108" si="2140">"0"</f>
        <v>0</v>
      </c>
      <c r="G1108" s="1" t="str">
        <f t="shared" si="2140"/>
        <v>0</v>
      </c>
      <c r="H1108" s="1" t="str">
        <f t="shared" si="2140"/>
        <v>0</v>
      </c>
      <c r="I1108" s="1" t="str">
        <f t="shared" si="2140"/>
        <v>0</v>
      </c>
      <c r="J1108" s="1" t="str">
        <f>"3"</f>
        <v>3</v>
      </c>
      <c r="K1108" s="1" t="str">
        <f t="shared" ref="K1108:P1108" si="2141">"0"</f>
        <v>0</v>
      </c>
      <c r="L1108" s="1" t="str">
        <f t="shared" si="2141"/>
        <v>0</v>
      </c>
      <c r="M1108" s="1" t="str">
        <f t="shared" si="2141"/>
        <v>0</v>
      </c>
      <c r="N1108" s="1" t="str">
        <f t="shared" si="2141"/>
        <v>0</v>
      </c>
      <c r="O1108" s="1" t="str">
        <f t="shared" si="2141"/>
        <v>0</v>
      </c>
      <c r="P1108" s="1" t="str">
        <f t="shared" si="2141"/>
        <v>0</v>
      </c>
      <c r="Q1108" s="1" t="str">
        <f t="shared" si="2106"/>
        <v>0.0070</v>
      </c>
      <c r="R1108" s="1" t="s">
        <v>29</v>
      </c>
      <c r="S1108" s="1">
        <v>-0.0014</v>
      </c>
      <c r="T1108" s="1" t="str">
        <f t="shared" si="2107"/>
        <v>0</v>
      </c>
      <c r="U1108" s="1" t="str">
        <f t="shared" si="2138"/>
        <v>0.0056</v>
      </c>
    </row>
    <row r="1109" s="1" customFormat="1" spans="1:21">
      <c r="A1109" s="1" t="str">
        <f>"4601992010809"</f>
        <v>4601992010809</v>
      </c>
      <c r="B1109" s="1" t="s">
        <v>1133</v>
      </c>
      <c r="C1109" s="1" t="s">
        <v>24</v>
      </c>
      <c r="D1109" s="1" t="str">
        <f t="shared" si="2104"/>
        <v>2021</v>
      </c>
      <c r="E1109" s="1" t="str">
        <f>"24.18"</f>
        <v>24.18</v>
      </c>
      <c r="F1109" s="1" t="str">
        <f t="shared" ref="F1109:I1109" si="2142">"0"</f>
        <v>0</v>
      </c>
      <c r="G1109" s="1" t="str">
        <f t="shared" si="2142"/>
        <v>0</v>
      </c>
      <c r="H1109" s="1" t="str">
        <f t="shared" si="2142"/>
        <v>0</v>
      </c>
      <c r="I1109" s="1" t="str">
        <f t="shared" si="2142"/>
        <v>0</v>
      </c>
      <c r="J1109" s="1" t="str">
        <f>"3"</f>
        <v>3</v>
      </c>
      <c r="K1109" s="1" t="str">
        <f t="shared" ref="K1109:P1109" si="2143">"0"</f>
        <v>0</v>
      </c>
      <c r="L1109" s="1" t="str">
        <f t="shared" si="2143"/>
        <v>0</v>
      </c>
      <c r="M1109" s="1" t="str">
        <f t="shared" si="2143"/>
        <v>0</v>
      </c>
      <c r="N1109" s="1" t="str">
        <f t="shared" si="2143"/>
        <v>0</v>
      </c>
      <c r="O1109" s="1" t="str">
        <f t="shared" si="2143"/>
        <v>0</v>
      </c>
      <c r="P1109" s="1" t="str">
        <f t="shared" si="2143"/>
        <v>0</v>
      </c>
      <c r="Q1109" s="1" t="str">
        <f t="shared" si="2106"/>
        <v>0.0070</v>
      </c>
      <c r="R1109" s="1" t="s">
        <v>29</v>
      </c>
      <c r="S1109" s="1">
        <v>-0.0014</v>
      </c>
      <c r="T1109" s="1" t="str">
        <f t="shared" si="2107"/>
        <v>0</v>
      </c>
      <c r="U1109" s="1" t="str">
        <f t="shared" si="2138"/>
        <v>0.0056</v>
      </c>
    </row>
    <row r="1110" s="1" customFormat="1" spans="1:21">
      <c r="A1110" s="1" t="str">
        <f>"4601992010824"</f>
        <v>4601992010824</v>
      </c>
      <c r="B1110" s="1" t="s">
        <v>1134</v>
      </c>
      <c r="C1110" s="1" t="s">
        <v>24</v>
      </c>
      <c r="D1110" s="1" t="str">
        <f t="shared" si="2104"/>
        <v>2021</v>
      </c>
      <c r="E1110" s="1" t="str">
        <f t="shared" ref="E1110:P1110" si="2144">"0"</f>
        <v>0</v>
      </c>
      <c r="F1110" s="1" t="str">
        <f t="shared" si="2144"/>
        <v>0</v>
      </c>
      <c r="G1110" s="1" t="str">
        <f t="shared" si="2144"/>
        <v>0</v>
      </c>
      <c r="H1110" s="1" t="str">
        <f t="shared" si="2144"/>
        <v>0</v>
      </c>
      <c r="I1110" s="1" t="str">
        <f t="shared" si="2144"/>
        <v>0</v>
      </c>
      <c r="J1110" s="1" t="str">
        <f t="shared" si="2144"/>
        <v>0</v>
      </c>
      <c r="K1110" s="1" t="str">
        <f t="shared" si="2144"/>
        <v>0</v>
      </c>
      <c r="L1110" s="1" t="str">
        <f t="shared" si="2144"/>
        <v>0</v>
      </c>
      <c r="M1110" s="1" t="str">
        <f t="shared" si="2144"/>
        <v>0</v>
      </c>
      <c r="N1110" s="1" t="str">
        <f t="shared" si="2144"/>
        <v>0</v>
      </c>
      <c r="O1110" s="1" t="str">
        <f t="shared" si="2144"/>
        <v>0</v>
      </c>
      <c r="P1110" s="1" t="str">
        <f t="shared" si="2144"/>
        <v>0</v>
      </c>
      <c r="Q1110" s="1" t="str">
        <f t="shared" si="2106"/>
        <v>0.0070</v>
      </c>
      <c r="R1110" s="1" t="s">
        <v>25</v>
      </c>
      <c r="T1110" s="1" t="str">
        <f t="shared" si="2107"/>
        <v>0</v>
      </c>
      <c r="U1110" s="1" t="str">
        <f t="shared" si="2135"/>
        <v>0.0070</v>
      </c>
    </row>
    <row r="1111" s="1" customFormat="1" spans="1:21">
      <c r="A1111" s="1" t="str">
        <f>"4601992010812"</f>
        <v>4601992010812</v>
      </c>
      <c r="B1111" s="1" t="s">
        <v>1135</v>
      </c>
      <c r="C1111" s="1" t="s">
        <v>24</v>
      </c>
      <c r="D1111" s="1" t="str">
        <f t="shared" si="2104"/>
        <v>2021</v>
      </c>
      <c r="E1111" s="1" t="str">
        <f t="shared" ref="E1111:E1116" si="2145">"12.09"</f>
        <v>12.09</v>
      </c>
      <c r="F1111" s="1" t="str">
        <f t="shared" ref="F1111:I1111" si="2146">"0"</f>
        <v>0</v>
      </c>
      <c r="G1111" s="1" t="str">
        <f t="shared" si="2146"/>
        <v>0</v>
      </c>
      <c r="H1111" s="1" t="str">
        <f t="shared" si="2146"/>
        <v>0</v>
      </c>
      <c r="I1111" s="1" t="str">
        <f t="shared" si="2146"/>
        <v>0</v>
      </c>
      <c r="J1111" s="1" t="str">
        <f>"2"</f>
        <v>2</v>
      </c>
      <c r="K1111" s="1" t="str">
        <f t="shared" ref="K1111:P1111" si="2147">"0"</f>
        <v>0</v>
      </c>
      <c r="L1111" s="1" t="str">
        <f t="shared" si="2147"/>
        <v>0</v>
      </c>
      <c r="M1111" s="1" t="str">
        <f t="shared" si="2147"/>
        <v>0</v>
      </c>
      <c r="N1111" s="1" t="str">
        <f t="shared" si="2147"/>
        <v>0</v>
      </c>
      <c r="O1111" s="1" t="str">
        <f t="shared" si="2147"/>
        <v>0</v>
      </c>
      <c r="P1111" s="1" t="str">
        <f t="shared" si="2147"/>
        <v>0</v>
      </c>
      <c r="Q1111" s="1" t="str">
        <f t="shared" si="2106"/>
        <v>0.0070</v>
      </c>
      <c r="R1111" s="1" t="s">
        <v>29</v>
      </c>
      <c r="S1111" s="1">
        <v>-0.0014</v>
      </c>
      <c r="T1111" s="1" t="str">
        <f t="shared" si="2107"/>
        <v>0</v>
      </c>
      <c r="U1111" s="1" t="str">
        <f t="shared" ref="U1111:U1114" si="2148">"0.0056"</f>
        <v>0.0056</v>
      </c>
    </row>
    <row r="1112" s="1" customFormat="1" spans="1:21">
      <c r="A1112" s="1" t="str">
        <f>"4601992010846"</f>
        <v>4601992010846</v>
      </c>
      <c r="B1112" s="1" t="s">
        <v>1136</v>
      </c>
      <c r="C1112" s="1" t="s">
        <v>24</v>
      </c>
      <c r="D1112" s="1" t="str">
        <f t="shared" si="2104"/>
        <v>2021</v>
      </c>
      <c r="E1112" s="1" t="str">
        <f>"171.23"</f>
        <v>171.23</v>
      </c>
      <c r="F1112" s="1" t="str">
        <f t="shared" ref="F1112:I1112" si="2149">"0"</f>
        <v>0</v>
      </c>
      <c r="G1112" s="1" t="str">
        <f t="shared" si="2149"/>
        <v>0</v>
      </c>
      <c r="H1112" s="1" t="str">
        <f t="shared" si="2149"/>
        <v>0</v>
      </c>
      <c r="I1112" s="1" t="str">
        <f t="shared" si="2149"/>
        <v>0</v>
      </c>
      <c r="J1112" s="1" t="str">
        <f>"14"</f>
        <v>14</v>
      </c>
      <c r="K1112" s="1" t="str">
        <f t="shared" ref="K1112:P1112" si="2150">"0"</f>
        <v>0</v>
      </c>
      <c r="L1112" s="1" t="str">
        <f t="shared" si="2150"/>
        <v>0</v>
      </c>
      <c r="M1112" s="1" t="str">
        <f t="shared" si="2150"/>
        <v>0</v>
      </c>
      <c r="N1112" s="1" t="str">
        <f t="shared" si="2150"/>
        <v>0</v>
      </c>
      <c r="O1112" s="1" t="str">
        <f t="shared" si="2150"/>
        <v>0</v>
      </c>
      <c r="P1112" s="1" t="str">
        <f t="shared" si="2150"/>
        <v>0</v>
      </c>
      <c r="Q1112" s="1" t="str">
        <f t="shared" si="2106"/>
        <v>0.0070</v>
      </c>
      <c r="R1112" s="1" t="s">
        <v>29</v>
      </c>
      <c r="S1112" s="1">
        <v>-0.0014</v>
      </c>
      <c r="T1112" s="1" t="str">
        <f t="shared" si="2107"/>
        <v>0</v>
      </c>
      <c r="U1112" s="1" t="str">
        <f t="shared" si="2148"/>
        <v>0.0056</v>
      </c>
    </row>
    <row r="1113" s="1" customFormat="1" spans="1:21">
      <c r="A1113" s="1" t="str">
        <f>"4601992010851"</f>
        <v>4601992010851</v>
      </c>
      <c r="B1113" s="1" t="s">
        <v>1137</v>
      </c>
      <c r="C1113" s="1" t="s">
        <v>24</v>
      </c>
      <c r="D1113" s="1" t="str">
        <f t="shared" si="2104"/>
        <v>2021</v>
      </c>
      <c r="E1113" s="1" t="str">
        <f>"60.45"</f>
        <v>60.45</v>
      </c>
      <c r="F1113" s="1" t="str">
        <f t="shared" ref="F1113:I1113" si="2151">"0"</f>
        <v>0</v>
      </c>
      <c r="G1113" s="1" t="str">
        <f t="shared" si="2151"/>
        <v>0</v>
      </c>
      <c r="H1113" s="1" t="str">
        <f t="shared" si="2151"/>
        <v>0</v>
      </c>
      <c r="I1113" s="1" t="str">
        <f t="shared" si="2151"/>
        <v>0</v>
      </c>
      <c r="J1113" s="1" t="str">
        <f>"5"</f>
        <v>5</v>
      </c>
      <c r="K1113" s="1" t="str">
        <f t="shared" ref="K1113:P1113" si="2152">"0"</f>
        <v>0</v>
      </c>
      <c r="L1113" s="1" t="str">
        <f t="shared" si="2152"/>
        <v>0</v>
      </c>
      <c r="M1113" s="1" t="str">
        <f t="shared" si="2152"/>
        <v>0</v>
      </c>
      <c r="N1113" s="1" t="str">
        <f t="shared" si="2152"/>
        <v>0</v>
      </c>
      <c r="O1113" s="1" t="str">
        <f t="shared" si="2152"/>
        <v>0</v>
      </c>
      <c r="P1113" s="1" t="str">
        <f t="shared" si="2152"/>
        <v>0</v>
      </c>
      <c r="Q1113" s="1" t="str">
        <f t="shared" si="2106"/>
        <v>0.0070</v>
      </c>
      <c r="R1113" s="1" t="s">
        <v>29</v>
      </c>
      <c r="S1113" s="1">
        <v>-0.0014</v>
      </c>
      <c r="T1113" s="1" t="str">
        <f t="shared" si="2107"/>
        <v>0</v>
      </c>
      <c r="U1113" s="1" t="str">
        <f t="shared" si="2148"/>
        <v>0.0056</v>
      </c>
    </row>
    <row r="1114" s="1" customFormat="1" spans="1:21">
      <c r="A1114" s="1" t="str">
        <f>"4601991401803"</f>
        <v>4601991401803</v>
      </c>
      <c r="B1114" s="1" t="s">
        <v>1138</v>
      </c>
      <c r="C1114" s="1" t="s">
        <v>24</v>
      </c>
      <c r="D1114" s="1" t="str">
        <f t="shared" si="2104"/>
        <v>2021</v>
      </c>
      <c r="E1114" s="1" t="str">
        <f>"79907.60"</f>
        <v>79907.60</v>
      </c>
      <c r="F1114" s="1" t="str">
        <f>"74938.26"</f>
        <v>74938.26</v>
      </c>
      <c r="G1114" s="1" t="str">
        <f t="shared" ref="G1114:P1114" si="2153">"0"</f>
        <v>0</v>
      </c>
      <c r="H1114" s="1" t="str">
        <f t="shared" si="2153"/>
        <v>0</v>
      </c>
      <c r="I1114" s="1" t="str">
        <f>"0.9378"</f>
        <v>0.9378</v>
      </c>
      <c r="J1114" s="1" t="str">
        <f>"456"</f>
        <v>456</v>
      </c>
      <c r="K1114" s="1" t="str">
        <f t="shared" si="2153"/>
        <v>0</v>
      </c>
      <c r="L1114" s="1" t="str">
        <f t="shared" si="2153"/>
        <v>0</v>
      </c>
      <c r="M1114" s="1" t="str">
        <f t="shared" si="2153"/>
        <v>0</v>
      </c>
      <c r="N1114" s="1" t="str">
        <f t="shared" si="2153"/>
        <v>0</v>
      </c>
      <c r="O1114" s="1" t="str">
        <f t="shared" si="2153"/>
        <v>0</v>
      </c>
      <c r="P1114" s="1" t="str">
        <f t="shared" si="2153"/>
        <v>0</v>
      </c>
      <c r="Q1114" s="1" t="str">
        <f t="shared" si="2106"/>
        <v>0.0070</v>
      </c>
      <c r="R1114" s="1" t="s">
        <v>29</v>
      </c>
      <c r="S1114" s="1">
        <v>-0.0014</v>
      </c>
      <c r="T1114" s="1" t="str">
        <f t="shared" si="2107"/>
        <v>0</v>
      </c>
      <c r="U1114" s="1" t="str">
        <f t="shared" si="2148"/>
        <v>0.0056</v>
      </c>
    </row>
    <row r="1115" s="1" customFormat="1" spans="1:21">
      <c r="A1115" s="1" t="str">
        <f>"4601992010859"</f>
        <v>4601992010859</v>
      </c>
      <c r="B1115" s="1" t="s">
        <v>1139</v>
      </c>
      <c r="C1115" s="1" t="s">
        <v>24</v>
      </c>
      <c r="D1115" s="1" t="str">
        <f t="shared" si="2104"/>
        <v>2021</v>
      </c>
      <c r="E1115" s="1" t="str">
        <f t="shared" si="2145"/>
        <v>12.09</v>
      </c>
      <c r="F1115" s="1" t="str">
        <f t="shared" ref="F1115:I1115" si="2154">"0"</f>
        <v>0</v>
      </c>
      <c r="G1115" s="1" t="str">
        <f t="shared" si="2154"/>
        <v>0</v>
      </c>
      <c r="H1115" s="1" t="str">
        <f t="shared" si="2154"/>
        <v>0</v>
      </c>
      <c r="I1115" s="1" t="str">
        <f t="shared" si="2154"/>
        <v>0</v>
      </c>
      <c r="J1115" s="1" t="str">
        <f>"4"</f>
        <v>4</v>
      </c>
      <c r="K1115" s="1" t="str">
        <f t="shared" ref="K1115:P1115" si="2155">"0"</f>
        <v>0</v>
      </c>
      <c r="L1115" s="1" t="str">
        <f t="shared" si="2155"/>
        <v>0</v>
      </c>
      <c r="M1115" s="1" t="str">
        <f t="shared" si="2155"/>
        <v>0</v>
      </c>
      <c r="N1115" s="1" t="str">
        <f t="shared" si="2155"/>
        <v>0</v>
      </c>
      <c r="O1115" s="1" t="str">
        <f t="shared" si="2155"/>
        <v>0</v>
      </c>
      <c r="P1115" s="1" t="str">
        <f t="shared" si="2155"/>
        <v>0</v>
      </c>
      <c r="Q1115" s="1" t="str">
        <f t="shared" si="2106"/>
        <v>0.0070</v>
      </c>
      <c r="R1115" s="1" t="s">
        <v>25</v>
      </c>
      <c r="T1115" s="1" t="str">
        <f t="shared" si="2107"/>
        <v>0</v>
      </c>
      <c r="U1115" s="1" t="str">
        <f>"0.0070"</f>
        <v>0.0070</v>
      </c>
    </row>
    <row r="1116" s="1" customFormat="1" spans="1:21">
      <c r="A1116" s="1" t="str">
        <f>"4601992010881"</f>
        <v>4601992010881</v>
      </c>
      <c r="B1116" s="1" t="s">
        <v>1140</v>
      </c>
      <c r="C1116" s="1" t="s">
        <v>24</v>
      </c>
      <c r="D1116" s="1" t="str">
        <f t="shared" si="2104"/>
        <v>2021</v>
      </c>
      <c r="E1116" s="1" t="str">
        <f t="shared" si="2145"/>
        <v>12.09</v>
      </c>
      <c r="F1116" s="1" t="str">
        <f t="shared" ref="F1116:I1116" si="2156">"0"</f>
        <v>0</v>
      </c>
      <c r="G1116" s="1" t="str">
        <f t="shared" si="2156"/>
        <v>0</v>
      </c>
      <c r="H1116" s="1" t="str">
        <f t="shared" si="2156"/>
        <v>0</v>
      </c>
      <c r="I1116" s="1" t="str">
        <f t="shared" si="2156"/>
        <v>0</v>
      </c>
      <c r="J1116" s="1" t="str">
        <f>"1"</f>
        <v>1</v>
      </c>
      <c r="K1116" s="1" t="str">
        <f t="shared" ref="K1116:P1116" si="2157">"0"</f>
        <v>0</v>
      </c>
      <c r="L1116" s="1" t="str">
        <f t="shared" si="2157"/>
        <v>0</v>
      </c>
      <c r="M1116" s="1" t="str">
        <f t="shared" si="2157"/>
        <v>0</v>
      </c>
      <c r="N1116" s="1" t="str">
        <f t="shared" si="2157"/>
        <v>0</v>
      </c>
      <c r="O1116" s="1" t="str">
        <f t="shared" si="2157"/>
        <v>0</v>
      </c>
      <c r="P1116" s="1" t="str">
        <f t="shared" si="2157"/>
        <v>0</v>
      </c>
      <c r="Q1116" s="1" t="str">
        <f t="shared" si="2106"/>
        <v>0.0070</v>
      </c>
      <c r="R1116" s="1" t="s">
        <v>29</v>
      </c>
      <c r="S1116" s="1">
        <v>-0.0014</v>
      </c>
      <c r="T1116" s="1" t="str">
        <f t="shared" si="2107"/>
        <v>0</v>
      </c>
      <c r="U1116" s="1" t="str">
        <f t="shared" ref="U1116:U1120" si="2158">"0.0056"</f>
        <v>0.0056</v>
      </c>
    </row>
    <row r="1117" s="1" customFormat="1" spans="1:21">
      <c r="A1117" s="1" t="str">
        <f>"4601992010897"</f>
        <v>4601992010897</v>
      </c>
      <c r="B1117" s="1" t="s">
        <v>1141</v>
      </c>
      <c r="C1117" s="1" t="s">
        <v>24</v>
      </c>
      <c r="D1117" s="1" t="str">
        <f t="shared" si="2104"/>
        <v>2021</v>
      </c>
      <c r="E1117" s="1" t="str">
        <f>"24.18"</f>
        <v>24.18</v>
      </c>
      <c r="F1117" s="1" t="str">
        <f t="shared" ref="F1117:I1117" si="2159">"0"</f>
        <v>0</v>
      </c>
      <c r="G1117" s="1" t="str">
        <f t="shared" si="2159"/>
        <v>0</v>
      </c>
      <c r="H1117" s="1" t="str">
        <f t="shared" si="2159"/>
        <v>0</v>
      </c>
      <c r="I1117" s="1" t="str">
        <f t="shared" si="2159"/>
        <v>0</v>
      </c>
      <c r="J1117" s="1" t="str">
        <f t="shared" ref="J1117:J1119" si="2160">"2"</f>
        <v>2</v>
      </c>
      <c r="K1117" s="1" t="str">
        <f t="shared" ref="K1117:P1117" si="2161">"0"</f>
        <v>0</v>
      </c>
      <c r="L1117" s="1" t="str">
        <f t="shared" si="2161"/>
        <v>0</v>
      </c>
      <c r="M1117" s="1" t="str">
        <f t="shared" si="2161"/>
        <v>0</v>
      </c>
      <c r="N1117" s="1" t="str">
        <f t="shared" si="2161"/>
        <v>0</v>
      </c>
      <c r="O1117" s="1" t="str">
        <f t="shared" si="2161"/>
        <v>0</v>
      </c>
      <c r="P1117" s="1" t="str">
        <f t="shared" si="2161"/>
        <v>0</v>
      </c>
      <c r="Q1117" s="1" t="str">
        <f t="shared" si="2106"/>
        <v>0.0070</v>
      </c>
      <c r="R1117" s="1" t="s">
        <v>29</v>
      </c>
      <c r="S1117" s="1">
        <v>-0.0014</v>
      </c>
      <c r="T1117" s="1" t="str">
        <f t="shared" si="2107"/>
        <v>0</v>
      </c>
      <c r="U1117" s="1" t="str">
        <f t="shared" si="2158"/>
        <v>0.0056</v>
      </c>
    </row>
    <row r="1118" s="1" customFormat="1" spans="1:21">
      <c r="A1118" s="1" t="str">
        <f>"4601992010957"</f>
        <v>4601992010957</v>
      </c>
      <c r="B1118" s="1" t="s">
        <v>1142</v>
      </c>
      <c r="C1118" s="1" t="s">
        <v>24</v>
      </c>
      <c r="D1118" s="1" t="str">
        <f t="shared" si="2104"/>
        <v>2021</v>
      </c>
      <c r="E1118" s="1" t="str">
        <f>"23.96"</f>
        <v>23.96</v>
      </c>
      <c r="F1118" s="1" t="str">
        <f t="shared" ref="F1118:I1118" si="2162">"0"</f>
        <v>0</v>
      </c>
      <c r="G1118" s="1" t="str">
        <f t="shared" si="2162"/>
        <v>0</v>
      </c>
      <c r="H1118" s="1" t="str">
        <f t="shared" si="2162"/>
        <v>0</v>
      </c>
      <c r="I1118" s="1" t="str">
        <f t="shared" si="2162"/>
        <v>0</v>
      </c>
      <c r="J1118" s="1" t="str">
        <f t="shared" si="2160"/>
        <v>2</v>
      </c>
      <c r="K1118" s="1" t="str">
        <f t="shared" ref="K1118:P1118" si="2163">"0"</f>
        <v>0</v>
      </c>
      <c r="L1118" s="1" t="str">
        <f t="shared" si="2163"/>
        <v>0</v>
      </c>
      <c r="M1118" s="1" t="str">
        <f t="shared" si="2163"/>
        <v>0</v>
      </c>
      <c r="N1118" s="1" t="str">
        <f t="shared" si="2163"/>
        <v>0</v>
      </c>
      <c r="O1118" s="1" t="str">
        <f t="shared" si="2163"/>
        <v>0</v>
      </c>
      <c r="P1118" s="1" t="str">
        <f t="shared" si="2163"/>
        <v>0</v>
      </c>
      <c r="Q1118" s="1" t="str">
        <f t="shared" si="2106"/>
        <v>0.0070</v>
      </c>
      <c r="R1118" s="1" t="s">
        <v>29</v>
      </c>
      <c r="S1118" s="1">
        <v>-0.0014</v>
      </c>
      <c r="T1118" s="1" t="str">
        <f t="shared" si="2107"/>
        <v>0</v>
      </c>
      <c r="U1118" s="1" t="str">
        <f t="shared" si="2158"/>
        <v>0.0056</v>
      </c>
    </row>
    <row r="1119" s="1" customFormat="1" spans="1:21">
      <c r="A1119" s="1" t="str">
        <f>"4601992010960"</f>
        <v>4601992010960</v>
      </c>
      <c r="B1119" s="1" t="s">
        <v>1143</v>
      </c>
      <c r="C1119" s="1" t="s">
        <v>24</v>
      </c>
      <c r="D1119" s="1" t="str">
        <f t="shared" si="2104"/>
        <v>2021</v>
      </c>
      <c r="E1119" s="1" t="str">
        <f>"24.18"</f>
        <v>24.18</v>
      </c>
      <c r="F1119" s="1" t="str">
        <f t="shared" ref="F1119:I1119" si="2164">"0"</f>
        <v>0</v>
      </c>
      <c r="G1119" s="1" t="str">
        <f t="shared" si="2164"/>
        <v>0</v>
      </c>
      <c r="H1119" s="1" t="str">
        <f t="shared" si="2164"/>
        <v>0</v>
      </c>
      <c r="I1119" s="1" t="str">
        <f t="shared" si="2164"/>
        <v>0</v>
      </c>
      <c r="J1119" s="1" t="str">
        <f t="shared" si="2160"/>
        <v>2</v>
      </c>
      <c r="K1119" s="1" t="str">
        <f t="shared" ref="K1119:P1119" si="2165">"0"</f>
        <v>0</v>
      </c>
      <c r="L1119" s="1" t="str">
        <f t="shared" si="2165"/>
        <v>0</v>
      </c>
      <c r="M1119" s="1" t="str">
        <f t="shared" si="2165"/>
        <v>0</v>
      </c>
      <c r="N1119" s="1" t="str">
        <f t="shared" si="2165"/>
        <v>0</v>
      </c>
      <c r="O1119" s="1" t="str">
        <f t="shared" si="2165"/>
        <v>0</v>
      </c>
      <c r="P1119" s="1" t="str">
        <f t="shared" si="2165"/>
        <v>0</v>
      </c>
      <c r="Q1119" s="1" t="str">
        <f t="shared" si="2106"/>
        <v>0.0070</v>
      </c>
      <c r="R1119" s="1" t="s">
        <v>29</v>
      </c>
      <c r="S1119" s="1">
        <v>-0.0014</v>
      </c>
      <c r="T1119" s="1" t="str">
        <f t="shared" si="2107"/>
        <v>0</v>
      </c>
      <c r="U1119" s="1" t="str">
        <f t="shared" si="2158"/>
        <v>0.0056</v>
      </c>
    </row>
    <row r="1120" s="1" customFormat="1" spans="1:21">
      <c r="A1120" s="1" t="str">
        <f>"4601992010900"</f>
        <v>4601992010900</v>
      </c>
      <c r="B1120" s="1" t="s">
        <v>1144</v>
      </c>
      <c r="C1120" s="1" t="s">
        <v>24</v>
      </c>
      <c r="D1120" s="1" t="str">
        <f t="shared" si="2104"/>
        <v>2021</v>
      </c>
      <c r="E1120" s="1" t="str">
        <f>"59.90"</f>
        <v>59.90</v>
      </c>
      <c r="F1120" s="1" t="str">
        <f t="shared" ref="F1120:I1120" si="2166">"0"</f>
        <v>0</v>
      </c>
      <c r="G1120" s="1" t="str">
        <f t="shared" si="2166"/>
        <v>0</v>
      </c>
      <c r="H1120" s="1" t="str">
        <f t="shared" si="2166"/>
        <v>0</v>
      </c>
      <c r="I1120" s="1" t="str">
        <f t="shared" si="2166"/>
        <v>0</v>
      </c>
      <c r="J1120" s="1" t="str">
        <f>"9"</f>
        <v>9</v>
      </c>
      <c r="K1120" s="1" t="str">
        <f t="shared" ref="K1120:P1120" si="2167">"0"</f>
        <v>0</v>
      </c>
      <c r="L1120" s="1" t="str">
        <f t="shared" si="2167"/>
        <v>0</v>
      </c>
      <c r="M1120" s="1" t="str">
        <f t="shared" si="2167"/>
        <v>0</v>
      </c>
      <c r="N1120" s="1" t="str">
        <f t="shared" si="2167"/>
        <v>0</v>
      </c>
      <c r="O1120" s="1" t="str">
        <f t="shared" si="2167"/>
        <v>0</v>
      </c>
      <c r="P1120" s="1" t="str">
        <f t="shared" si="2167"/>
        <v>0</v>
      </c>
      <c r="Q1120" s="1" t="str">
        <f t="shared" si="2106"/>
        <v>0.0070</v>
      </c>
      <c r="R1120" s="1" t="s">
        <v>29</v>
      </c>
      <c r="S1120" s="1">
        <v>-0.0014</v>
      </c>
      <c r="T1120" s="1" t="str">
        <f t="shared" si="2107"/>
        <v>0</v>
      </c>
      <c r="U1120" s="1" t="str">
        <f t="shared" si="2158"/>
        <v>0.0056</v>
      </c>
    </row>
    <row r="1121" s="1" customFormat="1" spans="1:21">
      <c r="A1121" s="1" t="str">
        <f>"4601992011001"</f>
        <v>4601992011001</v>
      </c>
      <c r="B1121" s="1" t="s">
        <v>1145</v>
      </c>
      <c r="C1121" s="1" t="s">
        <v>24</v>
      </c>
      <c r="D1121" s="1" t="str">
        <f t="shared" si="2104"/>
        <v>2021</v>
      </c>
      <c r="E1121" s="1" t="str">
        <f t="shared" ref="E1121:P1121" si="2168">"0"</f>
        <v>0</v>
      </c>
      <c r="F1121" s="1" t="str">
        <f t="shared" si="2168"/>
        <v>0</v>
      </c>
      <c r="G1121" s="1" t="str">
        <f t="shared" si="2168"/>
        <v>0</v>
      </c>
      <c r="H1121" s="1" t="str">
        <f t="shared" si="2168"/>
        <v>0</v>
      </c>
      <c r="I1121" s="1" t="str">
        <f t="shared" si="2168"/>
        <v>0</v>
      </c>
      <c r="J1121" s="1" t="str">
        <f t="shared" si="2168"/>
        <v>0</v>
      </c>
      <c r="K1121" s="1" t="str">
        <f t="shared" si="2168"/>
        <v>0</v>
      </c>
      <c r="L1121" s="1" t="str">
        <f t="shared" si="2168"/>
        <v>0</v>
      </c>
      <c r="M1121" s="1" t="str">
        <f t="shared" si="2168"/>
        <v>0</v>
      </c>
      <c r="N1121" s="1" t="str">
        <f t="shared" si="2168"/>
        <v>0</v>
      </c>
      <c r="O1121" s="1" t="str">
        <f t="shared" si="2168"/>
        <v>0</v>
      </c>
      <c r="P1121" s="1" t="str">
        <f t="shared" si="2168"/>
        <v>0</v>
      </c>
      <c r="Q1121" s="1" t="str">
        <f t="shared" si="2106"/>
        <v>0.0070</v>
      </c>
      <c r="R1121" s="1" t="s">
        <v>25</v>
      </c>
      <c r="T1121" s="1" t="str">
        <f t="shared" si="2107"/>
        <v>0</v>
      </c>
      <c r="U1121" s="1" t="str">
        <f>"0.0070"</f>
        <v>0.0070</v>
      </c>
    </row>
    <row r="1122" s="1" customFormat="1" spans="1:21">
      <c r="A1122" s="1" t="str">
        <f>"4601992010979"</f>
        <v>4601992010979</v>
      </c>
      <c r="B1122" s="1" t="s">
        <v>1146</v>
      </c>
      <c r="C1122" s="1" t="s">
        <v>24</v>
      </c>
      <c r="D1122" s="1" t="str">
        <f t="shared" si="2104"/>
        <v>2021</v>
      </c>
      <c r="E1122" s="1" t="str">
        <f>"60.45"</f>
        <v>60.45</v>
      </c>
      <c r="F1122" s="1" t="str">
        <f t="shared" ref="F1122:I1122" si="2169">"0"</f>
        <v>0</v>
      </c>
      <c r="G1122" s="1" t="str">
        <f t="shared" si="2169"/>
        <v>0</v>
      </c>
      <c r="H1122" s="1" t="str">
        <f t="shared" si="2169"/>
        <v>0</v>
      </c>
      <c r="I1122" s="1" t="str">
        <f t="shared" si="2169"/>
        <v>0</v>
      </c>
      <c r="J1122" s="1" t="str">
        <f>"5"</f>
        <v>5</v>
      </c>
      <c r="K1122" s="1" t="str">
        <f t="shared" ref="K1122:P1122" si="2170">"0"</f>
        <v>0</v>
      </c>
      <c r="L1122" s="1" t="str">
        <f t="shared" si="2170"/>
        <v>0</v>
      </c>
      <c r="M1122" s="1" t="str">
        <f t="shared" si="2170"/>
        <v>0</v>
      </c>
      <c r="N1122" s="1" t="str">
        <f t="shared" si="2170"/>
        <v>0</v>
      </c>
      <c r="O1122" s="1" t="str">
        <f t="shared" si="2170"/>
        <v>0</v>
      </c>
      <c r="P1122" s="1" t="str">
        <f t="shared" si="2170"/>
        <v>0</v>
      </c>
      <c r="Q1122" s="1" t="str">
        <f t="shared" si="2106"/>
        <v>0.0070</v>
      </c>
      <c r="R1122" s="1" t="s">
        <v>29</v>
      </c>
      <c r="S1122" s="1">
        <v>-0.0014</v>
      </c>
      <c r="T1122" s="1" t="str">
        <f t="shared" si="2107"/>
        <v>0</v>
      </c>
      <c r="U1122" s="1" t="str">
        <f t="shared" ref="U1122:U1127" si="2171">"0.0056"</f>
        <v>0.0056</v>
      </c>
    </row>
    <row r="1123" s="1" customFormat="1" spans="1:21">
      <c r="A1123" s="1" t="str">
        <f>"4601992011121"</f>
        <v>4601992011121</v>
      </c>
      <c r="B1123" s="1" t="s">
        <v>1147</v>
      </c>
      <c r="C1123" s="1" t="s">
        <v>24</v>
      </c>
      <c r="D1123" s="1" t="str">
        <f t="shared" si="2104"/>
        <v>2021</v>
      </c>
      <c r="E1123" s="1" t="str">
        <f>"105.87"</f>
        <v>105.87</v>
      </c>
      <c r="F1123" s="1" t="str">
        <f t="shared" ref="F1123:I1123" si="2172">"0"</f>
        <v>0</v>
      </c>
      <c r="G1123" s="1" t="str">
        <f t="shared" si="2172"/>
        <v>0</v>
      </c>
      <c r="H1123" s="1" t="str">
        <f t="shared" si="2172"/>
        <v>0</v>
      </c>
      <c r="I1123" s="1" t="str">
        <f t="shared" si="2172"/>
        <v>0</v>
      </c>
      <c r="J1123" s="1" t="str">
        <f>"7"</f>
        <v>7</v>
      </c>
      <c r="K1123" s="1" t="str">
        <f t="shared" ref="K1123:P1123" si="2173">"0"</f>
        <v>0</v>
      </c>
      <c r="L1123" s="1" t="str">
        <f t="shared" si="2173"/>
        <v>0</v>
      </c>
      <c r="M1123" s="1" t="str">
        <f t="shared" si="2173"/>
        <v>0</v>
      </c>
      <c r="N1123" s="1" t="str">
        <f t="shared" si="2173"/>
        <v>0</v>
      </c>
      <c r="O1123" s="1" t="str">
        <f t="shared" si="2173"/>
        <v>0</v>
      </c>
      <c r="P1123" s="1" t="str">
        <f t="shared" si="2173"/>
        <v>0</v>
      </c>
      <c r="Q1123" s="1" t="str">
        <f t="shared" si="2106"/>
        <v>0.0070</v>
      </c>
      <c r="R1123" s="1" t="s">
        <v>25</v>
      </c>
      <c r="T1123" s="1" t="str">
        <f t="shared" si="2107"/>
        <v>0</v>
      </c>
      <c r="U1123" s="1" t="str">
        <f>"0.0070"</f>
        <v>0.0070</v>
      </c>
    </row>
    <row r="1124" s="1" customFormat="1" spans="1:21">
      <c r="A1124" s="1" t="str">
        <f>"4601992011010"</f>
        <v>4601992011010</v>
      </c>
      <c r="B1124" s="1" t="s">
        <v>1148</v>
      </c>
      <c r="C1124" s="1" t="s">
        <v>24</v>
      </c>
      <c r="D1124" s="1" t="str">
        <f t="shared" si="2104"/>
        <v>2021</v>
      </c>
      <c r="E1124" s="1" t="str">
        <f>"268.31"</f>
        <v>268.31</v>
      </c>
      <c r="F1124" s="1" t="str">
        <f t="shared" ref="F1124:I1124" si="2174">"0"</f>
        <v>0</v>
      </c>
      <c r="G1124" s="1" t="str">
        <f t="shared" si="2174"/>
        <v>0</v>
      </c>
      <c r="H1124" s="1" t="str">
        <f t="shared" si="2174"/>
        <v>0</v>
      </c>
      <c r="I1124" s="1" t="str">
        <f t="shared" si="2174"/>
        <v>0</v>
      </c>
      <c r="J1124" s="1" t="str">
        <f>"20"</f>
        <v>20</v>
      </c>
      <c r="K1124" s="1" t="str">
        <f t="shared" ref="K1124:P1124" si="2175">"0"</f>
        <v>0</v>
      </c>
      <c r="L1124" s="1" t="str">
        <f t="shared" si="2175"/>
        <v>0</v>
      </c>
      <c r="M1124" s="1" t="str">
        <f t="shared" si="2175"/>
        <v>0</v>
      </c>
      <c r="N1124" s="1" t="str">
        <f t="shared" si="2175"/>
        <v>0</v>
      </c>
      <c r="O1124" s="1" t="str">
        <f t="shared" si="2175"/>
        <v>0</v>
      </c>
      <c r="P1124" s="1" t="str">
        <f t="shared" si="2175"/>
        <v>0</v>
      </c>
      <c r="Q1124" s="1" t="str">
        <f t="shared" si="2106"/>
        <v>0.0070</v>
      </c>
      <c r="R1124" s="1" t="s">
        <v>29</v>
      </c>
      <c r="S1124" s="1">
        <v>-0.0014</v>
      </c>
      <c r="T1124" s="1" t="str">
        <f t="shared" si="2107"/>
        <v>0</v>
      </c>
      <c r="U1124" s="1" t="str">
        <f t="shared" si="2171"/>
        <v>0.0056</v>
      </c>
    </row>
    <row r="1125" s="1" customFormat="1" spans="1:21">
      <c r="A1125" s="1" t="str">
        <f>"4601992011127"</f>
        <v>4601992011127</v>
      </c>
      <c r="B1125" s="1" t="s">
        <v>1149</v>
      </c>
      <c r="C1125" s="1" t="s">
        <v>24</v>
      </c>
      <c r="D1125" s="1" t="str">
        <f t="shared" si="2104"/>
        <v>2021</v>
      </c>
      <c r="E1125" s="1" t="str">
        <f>"163.19"</f>
        <v>163.19</v>
      </c>
      <c r="F1125" s="1" t="str">
        <f t="shared" ref="F1125:I1125" si="2176">"0"</f>
        <v>0</v>
      </c>
      <c r="G1125" s="1" t="str">
        <f t="shared" si="2176"/>
        <v>0</v>
      </c>
      <c r="H1125" s="1" t="str">
        <f t="shared" si="2176"/>
        <v>0</v>
      </c>
      <c r="I1125" s="1" t="str">
        <f t="shared" si="2176"/>
        <v>0</v>
      </c>
      <c r="J1125" s="1" t="str">
        <f>"19"</f>
        <v>19</v>
      </c>
      <c r="K1125" s="1" t="str">
        <f t="shared" ref="K1125:P1125" si="2177">"0"</f>
        <v>0</v>
      </c>
      <c r="L1125" s="1" t="str">
        <f t="shared" si="2177"/>
        <v>0</v>
      </c>
      <c r="M1125" s="1" t="str">
        <f t="shared" si="2177"/>
        <v>0</v>
      </c>
      <c r="N1125" s="1" t="str">
        <f t="shared" si="2177"/>
        <v>0</v>
      </c>
      <c r="O1125" s="1" t="str">
        <f t="shared" si="2177"/>
        <v>0</v>
      </c>
      <c r="P1125" s="1" t="str">
        <f t="shared" si="2177"/>
        <v>0</v>
      </c>
      <c r="Q1125" s="1" t="str">
        <f t="shared" si="2106"/>
        <v>0.0070</v>
      </c>
      <c r="R1125" s="1" t="s">
        <v>29</v>
      </c>
      <c r="S1125" s="1">
        <v>-0.0014</v>
      </c>
      <c r="T1125" s="1" t="str">
        <f t="shared" si="2107"/>
        <v>0</v>
      </c>
      <c r="U1125" s="1" t="str">
        <f t="shared" si="2171"/>
        <v>0.0056</v>
      </c>
    </row>
    <row r="1126" s="1" customFormat="1" spans="1:21">
      <c r="A1126" s="1" t="str">
        <f>"4601992011132"</f>
        <v>4601992011132</v>
      </c>
      <c r="B1126" s="1" t="s">
        <v>1150</v>
      </c>
      <c r="C1126" s="1" t="s">
        <v>24</v>
      </c>
      <c r="D1126" s="1" t="str">
        <f t="shared" si="2104"/>
        <v>2021</v>
      </c>
      <c r="E1126" s="1" t="str">
        <f>"24.04"</f>
        <v>24.04</v>
      </c>
      <c r="F1126" s="1" t="str">
        <f t="shared" ref="F1126:I1126" si="2178">"0"</f>
        <v>0</v>
      </c>
      <c r="G1126" s="1" t="str">
        <f t="shared" si="2178"/>
        <v>0</v>
      </c>
      <c r="H1126" s="1" t="str">
        <f t="shared" si="2178"/>
        <v>0</v>
      </c>
      <c r="I1126" s="1" t="str">
        <f t="shared" si="2178"/>
        <v>0</v>
      </c>
      <c r="J1126" s="1" t="str">
        <f>"4"</f>
        <v>4</v>
      </c>
      <c r="K1126" s="1" t="str">
        <f t="shared" ref="K1126:P1126" si="2179">"0"</f>
        <v>0</v>
      </c>
      <c r="L1126" s="1" t="str">
        <f t="shared" si="2179"/>
        <v>0</v>
      </c>
      <c r="M1126" s="1" t="str">
        <f t="shared" si="2179"/>
        <v>0</v>
      </c>
      <c r="N1126" s="1" t="str">
        <f t="shared" si="2179"/>
        <v>0</v>
      </c>
      <c r="O1126" s="1" t="str">
        <f t="shared" si="2179"/>
        <v>0</v>
      </c>
      <c r="P1126" s="1" t="str">
        <f t="shared" si="2179"/>
        <v>0</v>
      </c>
      <c r="Q1126" s="1" t="str">
        <f t="shared" si="2106"/>
        <v>0.0070</v>
      </c>
      <c r="R1126" s="1" t="s">
        <v>29</v>
      </c>
      <c r="S1126" s="1">
        <v>-0.0014</v>
      </c>
      <c r="T1126" s="1" t="str">
        <f t="shared" si="2107"/>
        <v>0</v>
      </c>
      <c r="U1126" s="1" t="str">
        <f t="shared" si="2171"/>
        <v>0.0056</v>
      </c>
    </row>
    <row r="1127" s="1" customFormat="1" spans="1:21">
      <c r="A1127" s="1" t="str">
        <f>"4601992011140"</f>
        <v>4601992011140</v>
      </c>
      <c r="B1127" s="1" t="s">
        <v>1151</v>
      </c>
      <c r="C1127" s="1" t="s">
        <v>24</v>
      </c>
      <c r="D1127" s="1" t="str">
        <f t="shared" si="2104"/>
        <v>2021</v>
      </c>
      <c r="E1127" s="1" t="str">
        <f>"83.86"</f>
        <v>83.86</v>
      </c>
      <c r="F1127" s="1" t="str">
        <f t="shared" ref="F1127:I1127" si="2180">"0"</f>
        <v>0</v>
      </c>
      <c r="G1127" s="1" t="str">
        <f t="shared" si="2180"/>
        <v>0</v>
      </c>
      <c r="H1127" s="1" t="str">
        <f t="shared" si="2180"/>
        <v>0</v>
      </c>
      <c r="I1127" s="1" t="str">
        <f t="shared" si="2180"/>
        <v>0</v>
      </c>
      <c r="J1127" s="1" t="str">
        <f>"5"</f>
        <v>5</v>
      </c>
      <c r="K1127" s="1" t="str">
        <f t="shared" ref="K1127:P1127" si="2181">"0"</f>
        <v>0</v>
      </c>
      <c r="L1127" s="1" t="str">
        <f t="shared" si="2181"/>
        <v>0</v>
      </c>
      <c r="M1127" s="1" t="str">
        <f t="shared" si="2181"/>
        <v>0</v>
      </c>
      <c r="N1127" s="1" t="str">
        <f t="shared" si="2181"/>
        <v>0</v>
      </c>
      <c r="O1127" s="1" t="str">
        <f t="shared" si="2181"/>
        <v>0</v>
      </c>
      <c r="P1127" s="1" t="str">
        <f t="shared" si="2181"/>
        <v>0</v>
      </c>
      <c r="Q1127" s="1" t="str">
        <f t="shared" si="2106"/>
        <v>0.0070</v>
      </c>
      <c r="R1127" s="1" t="s">
        <v>29</v>
      </c>
      <c r="S1127" s="1">
        <v>-0.0014</v>
      </c>
      <c r="T1127" s="1" t="str">
        <f t="shared" si="2107"/>
        <v>0</v>
      </c>
      <c r="U1127" s="1" t="str">
        <f t="shared" si="2171"/>
        <v>0.0056</v>
      </c>
    </row>
    <row r="1128" s="1" customFormat="1" spans="1:21">
      <c r="A1128" s="1" t="str">
        <f>"4601992011228"</f>
        <v>4601992011228</v>
      </c>
      <c r="B1128" s="1" t="s">
        <v>1152</v>
      </c>
      <c r="C1128" s="1" t="s">
        <v>24</v>
      </c>
      <c r="D1128" s="1" t="str">
        <f t="shared" si="2104"/>
        <v>2021</v>
      </c>
      <c r="E1128" s="1" t="str">
        <f t="shared" ref="E1128:G1128" si="2182">"0"</f>
        <v>0</v>
      </c>
      <c r="F1128" s="1" t="str">
        <f t="shared" si="2182"/>
        <v>0</v>
      </c>
      <c r="G1128" s="1" t="str">
        <f t="shared" si="2182"/>
        <v>0</v>
      </c>
      <c r="H1128" s="1" t="str">
        <f>"15.75"</f>
        <v>15.75</v>
      </c>
      <c r="I1128" s="1" t="str">
        <f t="shared" ref="I1128:P1128" si="2183">"0"</f>
        <v>0</v>
      </c>
      <c r="J1128" s="1" t="str">
        <f t="shared" si="2183"/>
        <v>0</v>
      </c>
      <c r="K1128" s="1" t="str">
        <f t="shared" si="2183"/>
        <v>0</v>
      </c>
      <c r="L1128" s="1" t="str">
        <f t="shared" si="2183"/>
        <v>0</v>
      </c>
      <c r="M1128" s="1" t="str">
        <f t="shared" si="2183"/>
        <v>0</v>
      </c>
      <c r="N1128" s="1" t="str">
        <f t="shared" si="2183"/>
        <v>0</v>
      </c>
      <c r="O1128" s="1" t="str">
        <f t="shared" si="2183"/>
        <v>0</v>
      </c>
      <c r="P1128" s="1" t="str">
        <f t="shared" si="2183"/>
        <v>0</v>
      </c>
      <c r="Q1128" s="1" t="str">
        <f t="shared" si="2106"/>
        <v>0.0070</v>
      </c>
      <c r="R1128" s="1" t="s">
        <v>25</v>
      </c>
      <c r="T1128" s="1" t="str">
        <f t="shared" si="2107"/>
        <v>0</v>
      </c>
      <c r="U1128" s="1" t="str">
        <f t="shared" ref="U1128:U1133" si="2184">"0.0070"</f>
        <v>0.0070</v>
      </c>
    </row>
    <row r="1129" s="1" customFormat="1" spans="1:21">
      <c r="A1129" s="1" t="str">
        <f>"4601992011154"</f>
        <v>4601992011154</v>
      </c>
      <c r="B1129" s="1" t="s">
        <v>1153</v>
      </c>
      <c r="C1129" s="1" t="s">
        <v>24</v>
      </c>
      <c r="D1129" s="1" t="str">
        <f t="shared" si="2104"/>
        <v>2021</v>
      </c>
      <c r="E1129" s="1" t="str">
        <f>"72.86"</f>
        <v>72.86</v>
      </c>
      <c r="F1129" s="1" t="str">
        <f t="shared" ref="F1129:I1129" si="2185">"0"</f>
        <v>0</v>
      </c>
      <c r="G1129" s="1" t="str">
        <f t="shared" si="2185"/>
        <v>0</v>
      </c>
      <c r="H1129" s="1" t="str">
        <f t="shared" si="2185"/>
        <v>0</v>
      </c>
      <c r="I1129" s="1" t="str">
        <f t="shared" si="2185"/>
        <v>0</v>
      </c>
      <c r="J1129" s="1" t="str">
        <f>"5"</f>
        <v>5</v>
      </c>
      <c r="K1129" s="1" t="str">
        <f t="shared" ref="K1129:P1129" si="2186">"0"</f>
        <v>0</v>
      </c>
      <c r="L1129" s="1" t="str">
        <f t="shared" si="2186"/>
        <v>0</v>
      </c>
      <c r="M1129" s="1" t="str">
        <f t="shared" si="2186"/>
        <v>0</v>
      </c>
      <c r="N1129" s="1" t="str">
        <f t="shared" si="2186"/>
        <v>0</v>
      </c>
      <c r="O1129" s="1" t="str">
        <f t="shared" si="2186"/>
        <v>0</v>
      </c>
      <c r="P1129" s="1" t="str">
        <f t="shared" si="2186"/>
        <v>0</v>
      </c>
      <c r="Q1129" s="1" t="str">
        <f t="shared" si="2106"/>
        <v>0.0070</v>
      </c>
      <c r="R1129" s="1" t="s">
        <v>29</v>
      </c>
      <c r="S1129" s="1">
        <v>-0.0014</v>
      </c>
      <c r="T1129" s="1" t="str">
        <f t="shared" si="2107"/>
        <v>0</v>
      </c>
      <c r="U1129" s="1" t="str">
        <f t="shared" ref="U1129:U1132" si="2187">"0.0056"</f>
        <v>0.0056</v>
      </c>
    </row>
    <row r="1130" s="1" customFormat="1" spans="1:21">
      <c r="A1130" s="1" t="str">
        <f>"4601992011162"</f>
        <v>4601992011162</v>
      </c>
      <c r="B1130" s="1" t="s">
        <v>1154</v>
      </c>
      <c r="C1130" s="1" t="s">
        <v>24</v>
      </c>
      <c r="D1130" s="1" t="str">
        <f t="shared" si="2104"/>
        <v>2021</v>
      </c>
      <c r="E1130" s="1" t="str">
        <f>"45.18"</f>
        <v>45.18</v>
      </c>
      <c r="F1130" s="1" t="str">
        <f t="shared" ref="F1130:I1130" si="2188">"0"</f>
        <v>0</v>
      </c>
      <c r="G1130" s="1" t="str">
        <f t="shared" si="2188"/>
        <v>0</v>
      </c>
      <c r="H1130" s="1" t="str">
        <f t="shared" si="2188"/>
        <v>0</v>
      </c>
      <c r="I1130" s="1" t="str">
        <f t="shared" si="2188"/>
        <v>0</v>
      </c>
      <c r="J1130" s="1" t="str">
        <f>"4"</f>
        <v>4</v>
      </c>
      <c r="K1130" s="1" t="str">
        <f t="shared" ref="K1130:P1130" si="2189">"0"</f>
        <v>0</v>
      </c>
      <c r="L1130" s="1" t="str">
        <f t="shared" si="2189"/>
        <v>0</v>
      </c>
      <c r="M1130" s="1" t="str">
        <f t="shared" si="2189"/>
        <v>0</v>
      </c>
      <c r="N1130" s="1" t="str">
        <f t="shared" si="2189"/>
        <v>0</v>
      </c>
      <c r="O1130" s="1" t="str">
        <f t="shared" si="2189"/>
        <v>0</v>
      </c>
      <c r="P1130" s="1" t="str">
        <f t="shared" si="2189"/>
        <v>0</v>
      </c>
      <c r="Q1130" s="1" t="str">
        <f t="shared" si="2106"/>
        <v>0.0070</v>
      </c>
      <c r="R1130" s="1" t="s">
        <v>29</v>
      </c>
      <c r="S1130" s="1">
        <v>-0.0014</v>
      </c>
      <c r="T1130" s="1" t="str">
        <f t="shared" si="2107"/>
        <v>0</v>
      </c>
      <c r="U1130" s="1" t="str">
        <f t="shared" si="2187"/>
        <v>0.0056</v>
      </c>
    </row>
    <row r="1131" s="1" customFormat="1" spans="1:21">
      <c r="A1131" s="1" t="str">
        <f>"4601992011305"</f>
        <v>4601992011305</v>
      </c>
      <c r="B1131" s="1" t="s">
        <v>1155</v>
      </c>
      <c r="C1131" s="1" t="s">
        <v>24</v>
      </c>
      <c r="D1131" s="1" t="str">
        <f t="shared" si="2104"/>
        <v>2021</v>
      </c>
      <c r="E1131" s="1" t="str">
        <f t="shared" ref="E1131:P1131" si="2190">"0"</f>
        <v>0</v>
      </c>
      <c r="F1131" s="1" t="str">
        <f t="shared" si="2190"/>
        <v>0</v>
      </c>
      <c r="G1131" s="1" t="str">
        <f t="shared" si="2190"/>
        <v>0</v>
      </c>
      <c r="H1131" s="1" t="str">
        <f t="shared" si="2190"/>
        <v>0</v>
      </c>
      <c r="I1131" s="1" t="str">
        <f t="shared" si="2190"/>
        <v>0</v>
      </c>
      <c r="J1131" s="1" t="str">
        <f t="shared" si="2190"/>
        <v>0</v>
      </c>
      <c r="K1131" s="1" t="str">
        <f t="shared" si="2190"/>
        <v>0</v>
      </c>
      <c r="L1131" s="1" t="str">
        <f t="shared" si="2190"/>
        <v>0</v>
      </c>
      <c r="M1131" s="1" t="str">
        <f t="shared" si="2190"/>
        <v>0</v>
      </c>
      <c r="N1131" s="1" t="str">
        <f t="shared" si="2190"/>
        <v>0</v>
      </c>
      <c r="O1131" s="1" t="str">
        <f t="shared" si="2190"/>
        <v>0</v>
      </c>
      <c r="P1131" s="1" t="str">
        <f t="shared" si="2190"/>
        <v>0</v>
      </c>
      <c r="Q1131" s="1" t="str">
        <f t="shared" si="2106"/>
        <v>0.0070</v>
      </c>
      <c r="R1131" s="1" t="s">
        <v>25</v>
      </c>
      <c r="T1131" s="1" t="str">
        <f t="shared" si="2107"/>
        <v>0</v>
      </c>
      <c r="U1131" s="1" t="str">
        <f t="shared" si="2184"/>
        <v>0.0070</v>
      </c>
    </row>
    <row r="1132" s="1" customFormat="1" spans="1:21">
      <c r="A1132" s="1" t="str">
        <f>"4601992011303"</f>
        <v>4601992011303</v>
      </c>
      <c r="B1132" s="1" t="s">
        <v>1156</v>
      </c>
      <c r="C1132" s="1" t="s">
        <v>24</v>
      </c>
      <c r="D1132" s="1" t="str">
        <f t="shared" si="2104"/>
        <v>2021</v>
      </c>
      <c r="E1132" s="1" t="str">
        <f>"48.35"</f>
        <v>48.35</v>
      </c>
      <c r="F1132" s="1" t="str">
        <f t="shared" ref="F1132:I1132" si="2191">"0"</f>
        <v>0</v>
      </c>
      <c r="G1132" s="1" t="str">
        <f t="shared" si="2191"/>
        <v>0</v>
      </c>
      <c r="H1132" s="1" t="str">
        <f t="shared" si="2191"/>
        <v>0</v>
      </c>
      <c r="I1132" s="1" t="str">
        <f t="shared" si="2191"/>
        <v>0</v>
      </c>
      <c r="J1132" s="1" t="str">
        <f>"4"</f>
        <v>4</v>
      </c>
      <c r="K1132" s="1" t="str">
        <f t="shared" ref="K1132:P1132" si="2192">"0"</f>
        <v>0</v>
      </c>
      <c r="L1132" s="1" t="str">
        <f t="shared" si="2192"/>
        <v>0</v>
      </c>
      <c r="M1132" s="1" t="str">
        <f t="shared" si="2192"/>
        <v>0</v>
      </c>
      <c r="N1132" s="1" t="str">
        <f t="shared" si="2192"/>
        <v>0</v>
      </c>
      <c r="O1132" s="1" t="str">
        <f t="shared" si="2192"/>
        <v>0</v>
      </c>
      <c r="P1132" s="1" t="str">
        <f t="shared" si="2192"/>
        <v>0</v>
      </c>
      <c r="Q1132" s="1" t="str">
        <f t="shared" si="2106"/>
        <v>0.0070</v>
      </c>
      <c r="R1132" s="1" t="s">
        <v>29</v>
      </c>
      <c r="S1132" s="1">
        <v>-0.0014</v>
      </c>
      <c r="T1132" s="1" t="str">
        <f t="shared" si="2107"/>
        <v>0</v>
      </c>
      <c r="U1132" s="1" t="str">
        <f t="shared" si="2187"/>
        <v>0.0056</v>
      </c>
    </row>
    <row r="1133" s="1" customFormat="1" spans="1:21">
      <c r="A1133" s="1" t="str">
        <f>"4601992011335"</f>
        <v>4601992011335</v>
      </c>
      <c r="B1133" s="1" t="s">
        <v>1157</v>
      </c>
      <c r="C1133" s="1" t="s">
        <v>24</v>
      </c>
      <c r="D1133" s="1" t="str">
        <f t="shared" si="2104"/>
        <v>2021</v>
      </c>
      <c r="E1133" s="1" t="str">
        <f>"12.09"</f>
        <v>12.09</v>
      </c>
      <c r="F1133" s="1" t="str">
        <f t="shared" ref="F1133:I1133" si="2193">"0"</f>
        <v>0</v>
      </c>
      <c r="G1133" s="1" t="str">
        <f t="shared" si="2193"/>
        <v>0</v>
      </c>
      <c r="H1133" s="1" t="str">
        <f t="shared" si="2193"/>
        <v>0</v>
      </c>
      <c r="I1133" s="1" t="str">
        <f t="shared" si="2193"/>
        <v>0</v>
      </c>
      <c r="J1133" s="1" t="str">
        <f t="shared" ref="J1133:J1138" si="2194">"1"</f>
        <v>1</v>
      </c>
      <c r="K1133" s="1" t="str">
        <f t="shared" ref="K1133:P1133" si="2195">"0"</f>
        <v>0</v>
      </c>
      <c r="L1133" s="1" t="str">
        <f t="shared" si="2195"/>
        <v>0</v>
      </c>
      <c r="M1133" s="1" t="str">
        <f t="shared" si="2195"/>
        <v>0</v>
      </c>
      <c r="N1133" s="1" t="str">
        <f t="shared" si="2195"/>
        <v>0</v>
      </c>
      <c r="O1133" s="1" t="str">
        <f t="shared" si="2195"/>
        <v>0</v>
      </c>
      <c r="P1133" s="1" t="str">
        <f t="shared" si="2195"/>
        <v>0</v>
      </c>
      <c r="Q1133" s="1" t="str">
        <f t="shared" si="2106"/>
        <v>0.0070</v>
      </c>
      <c r="R1133" s="1" t="s">
        <v>25</v>
      </c>
      <c r="T1133" s="1" t="str">
        <f t="shared" si="2107"/>
        <v>0</v>
      </c>
      <c r="U1133" s="1" t="str">
        <f t="shared" si="2184"/>
        <v>0.0070</v>
      </c>
    </row>
    <row r="1134" s="1" customFormat="1" spans="1:21">
      <c r="A1134" s="1" t="str">
        <f>"4601992011265"</f>
        <v>4601992011265</v>
      </c>
      <c r="B1134" s="1" t="s">
        <v>1158</v>
      </c>
      <c r="C1134" s="1" t="s">
        <v>24</v>
      </c>
      <c r="D1134" s="1" t="str">
        <f t="shared" si="2104"/>
        <v>2021</v>
      </c>
      <c r="E1134" s="1" t="str">
        <f>"11.98"</f>
        <v>11.98</v>
      </c>
      <c r="F1134" s="1" t="str">
        <f t="shared" ref="F1134:I1134" si="2196">"0"</f>
        <v>0</v>
      </c>
      <c r="G1134" s="1" t="str">
        <f t="shared" si="2196"/>
        <v>0</v>
      </c>
      <c r="H1134" s="1" t="str">
        <f t="shared" si="2196"/>
        <v>0</v>
      </c>
      <c r="I1134" s="1" t="str">
        <f t="shared" si="2196"/>
        <v>0</v>
      </c>
      <c r="J1134" s="1" t="str">
        <f t="shared" si="2194"/>
        <v>1</v>
      </c>
      <c r="K1134" s="1" t="str">
        <f t="shared" ref="K1134:P1134" si="2197">"0"</f>
        <v>0</v>
      </c>
      <c r="L1134" s="1" t="str">
        <f t="shared" si="2197"/>
        <v>0</v>
      </c>
      <c r="M1134" s="1" t="str">
        <f t="shared" si="2197"/>
        <v>0</v>
      </c>
      <c r="N1134" s="1" t="str">
        <f t="shared" si="2197"/>
        <v>0</v>
      </c>
      <c r="O1134" s="1" t="str">
        <f t="shared" si="2197"/>
        <v>0</v>
      </c>
      <c r="P1134" s="1" t="str">
        <f t="shared" si="2197"/>
        <v>0</v>
      </c>
      <c r="Q1134" s="1" t="str">
        <f t="shared" si="2106"/>
        <v>0.0070</v>
      </c>
      <c r="R1134" s="1" t="s">
        <v>29</v>
      </c>
      <c r="S1134" s="1">
        <v>-0.0014</v>
      </c>
      <c r="T1134" s="1" t="str">
        <f t="shared" si="2107"/>
        <v>0</v>
      </c>
      <c r="U1134" s="1" t="str">
        <f t="shared" ref="U1134:U1140" si="2198">"0.0056"</f>
        <v>0.0056</v>
      </c>
    </row>
    <row r="1135" s="1" customFormat="1" spans="1:21">
      <c r="A1135" s="1" t="str">
        <f>"4601992011344"</f>
        <v>4601992011344</v>
      </c>
      <c r="B1135" s="1" t="s">
        <v>1159</v>
      </c>
      <c r="C1135" s="1" t="s">
        <v>24</v>
      </c>
      <c r="D1135" s="1" t="str">
        <f t="shared" si="2104"/>
        <v>2021</v>
      </c>
      <c r="E1135" s="1" t="str">
        <f>"36.27"</f>
        <v>36.27</v>
      </c>
      <c r="F1135" s="1" t="str">
        <f t="shared" ref="F1135:I1135" si="2199">"0"</f>
        <v>0</v>
      </c>
      <c r="G1135" s="1" t="str">
        <f t="shared" si="2199"/>
        <v>0</v>
      </c>
      <c r="H1135" s="1" t="str">
        <f t="shared" si="2199"/>
        <v>0</v>
      </c>
      <c r="I1135" s="1" t="str">
        <f t="shared" si="2199"/>
        <v>0</v>
      </c>
      <c r="J1135" s="1" t="str">
        <f>"6"</f>
        <v>6</v>
      </c>
      <c r="K1135" s="1" t="str">
        <f t="shared" ref="K1135:P1135" si="2200">"0"</f>
        <v>0</v>
      </c>
      <c r="L1135" s="1" t="str">
        <f t="shared" si="2200"/>
        <v>0</v>
      </c>
      <c r="M1135" s="1" t="str">
        <f t="shared" si="2200"/>
        <v>0</v>
      </c>
      <c r="N1135" s="1" t="str">
        <f t="shared" si="2200"/>
        <v>0</v>
      </c>
      <c r="O1135" s="1" t="str">
        <f t="shared" si="2200"/>
        <v>0</v>
      </c>
      <c r="P1135" s="1" t="str">
        <f t="shared" si="2200"/>
        <v>0</v>
      </c>
      <c r="Q1135" s="1" t="str">
        <f t="shared" si="2106"/>
        <v>0.0070</v>
      </c>
      <c r="R1135" s="1" t="s">
        <v>29</v>
      </c>
      <c r="S1135" s="1">
        <v>-0.0014</v>
      </c>
      <c r="T1135" s="1" t="str">
        <f t="shared" si="2107"/>
        <v>0</v>
      </c>
      <c r="U1135" s="1" t="str">
        <f t="shared" si="2198"/>
        <v>0.0056</v>
      </c>
    </row>
    <row r="1136" s="1" customFormat="1" spans="1:21">
      <c r="A1136" s="1" t="str">
        <f>"4601992011410"</f>
        <v>4601992011410</v>
      </c>
      <c r="B1136" s="1" t="s">
        <v>1160</v>
      </c>
      <c r="C1136" s="1" t="s">
        <v>24</v>
      </c>
      <c r="D1136" s="1" t="str">
        <f t="shared" si="2104"/>
        <v>2021</v>
      </c>
      <c r="E1136" s="1" t="str">
        <f t="shared" ref="E1136:P1136" si="2201">"0"</f>
        <v>0</v>
      </c>
      <c r="F1136" s="1" t="str">
        <f t="shared" si="2201"/>
        <v>0</v>
      </c>
      <c r="G1136" s="1" t="str">
        <f t="shared" si="2201"/>
        <v>0</v>
      </c>
      <c r="H1136" s="1" t="str">
        <f t="shared" si="2201"/>
        <v>0</v>
      </c>
      <c r="I1136" s="1" t="str">
        <f t="shared" si="2201"/>
        <v>0</v>
      </c>
      <c r="J1136" s="1" t="str">
        <f t="shared" si="2201"/>
        <v>0</v>
      </c>
      <c r="K1136" s="1" t="str">
        <f t="shared" si="2201"/>
        <v>0</v>
      </c>
      <c r="L1136" s="1" t="str">
        <f t="shared" si="2201"/>
        <v>0</v>
      </c>
      <c r="M1136" s="1" t="str">
        <f t="shared" si="2201"/>
        <v>0</v>
      </c>
      <c r="N1136" s="1" t="str">
        <f t="shared" si="2201"/>
        <v>0</v>
      </c>
      <c r="O1136" s="1" t="str">
        <f t="shared" si="2201"/>
        <v>0</v>
      </c>
      <c r="P1136" s="1" t="str">
        <f t="shared" si="2201"/>
        <v>0</v>
      </c>
      <c r="Q1136" s="1" t="str">
        <f t="shared" si="2106"/>
        <v>0.0070</v>
      </c>
      <c r="R1136" s="1" t="s">
        <v>25</v>
      </c>
      <c r="T1136" s="1" t="str">
        <f t="shared" si="2107"/>
        <v>0</v>
      </c>
      <c r="U1136" s="1" t="str">
        <f t="shared" ref="U1136:U1138" si="2202">"0.0070"</f>
        <v>0.0070</v>
      </c>
    </row>
    <row r="1137" s="1" customFormat="1" spans="1:21">
      <c r="A1137" s="1" t="str">
        <f>"4601992011492"</f>
        <v>4601992011492</v>
      </c>
      <c r="B1137" s="1" t="s">
        <v>1161</v>
      </c>
      <c r="C1137" s="1" t="s">
        <v>24</v>
      </c>
      <c r="D1137" s="1" t="str">
        <f t="shared" si="2104"/>
        <v>2021</v>
      </c>
      <c r="E1137" s="1" t="str">
        <f t="shared" ref="E1137:P1137" si="2203">"0"</f>
        <v>0</v>
      </c>
      <c r="F1137" s="1" t="str">
        <f t="shared" si="2203"/>
        <v>0</v>
      </c>
      <c r="G1137" s="1" t="str">
        <f t="shared" si="2203"/>
        <v>0</v>
      </c>
      <c r="H1137" s="1" t="str">
        <f t="shared" si="2203"/>
        <v>0</v>
      </c>
      <c r="I1137" s="1" t="str">
        <f t="shared" si="2203"/>
        <v>0</v>
      </c>
      <c r="J1137" s="1" t="str">
        <f t="shared" si="2203"/>
        <v>0</v>
      </c>
      <c r="K1137" s="1" t="str">
        <f t="shared" si="2203"/>
        <v>0</v>
      </c>
      <c r="L1137" s="1" t="str">
        <f t="shared" si="2203"/>
        <v>0</v>
      </c>
      <c r="M1137" s="1" t="str">
        <f t="shared" si="2203"/>
        <v>0</v>
      </c>
      <c r="N1137" s="1" t="str">
        <f t="shared" si="2203"/>
        <v>0</v>
      </c>
      <c r="O1137" s="1" t="str">
        <f t="shared" si="2203"/>
        <v>0</v>
      </c>
      <c r="P1137" s="1" t="str">
        <f t="shared" si="2203"/>
        <v>0</v>
      </c>
      <c r="Q1137" s="1" t="str">
        <f t="shared" si="2106"/>
        <v>0.0070</v>
      </c>
      <c r="R1137" s="1" t="s">
        <v>25</v>
      </c>
      <c r="T1137" s="1" t="str">
        <f t="shared" si="2107"/>
        <v>0</v>
      </c>
      <c r="U1137" s="1" t="str">
        <f t="shared" si="2202"/>
        <v>0.0070</v>
      </c>
    </row>
    <row r="1138" s="1" customFormat="1" spans="1:21">
      <c r="A1138" s="1" t="str">
        <f>"4601992011468"</f>
        <v>4601992011468</v>
      </c>
      <c r="B1138" s="1" t="s">
        <v>1162</v>
      </c>
      <c r="C1138" s="1" t="s">
        <v>24</v>
      </c>
      <c r="D1138" s="1" t="str">
        <f t="shared" si="2104"/>
        <v>2021</v>
      </c>
      <c r="E1138" s="1" t="str">
        <f>"12.09"</f>
        <v>12.09</v>
      </c>
      <c r="F1138" s="1" t="str">
        <f t="shared" ref="F1138:I1138" si="2204">"0"</f>
        <v>0</v>
      </c>
      <c r="G1138" s="1" t="str">
        <f t="shared" si="2204"/>
        <v>0</v>
      </c>
      <c r="H1138" s="1" t="str">
        <f t="shared" si="2204"/>
        <v>0</v>
      </c>
      <c r="I1138" s="1" t="str">
        <f t="shared" si="2204"/>
        <v>0</v>
      </c>
      <c r="J1138" s="1" t="str">
        <f t="shared" si="2194"/>
        <v>1</v>
      </c>
      <c r="K1138" s="1" t="str">
        <f t="shared" ref="K1138:P1138" si="2205">"0"</f>
        <v>0</v>
      </c>
      <c r="L1138" s="1" t="str">
        <f t="shared" si="2205"/>
        <v>0</v>
      </c>
      <c r="M1138" s="1" t="str">
        <f t="shared" si="2205"/>
        <v>0</v>
      </c>
      <c r="N1138" s="1" t="str">
        <f t="shared" si="2205"/>
        <v>0</v>
      </c>
      <c r="O1138" s="1" t="str">
        <f t="shared" si="2205"/>
        <v>0</v>
      </c>
      <c r="P1138" s="1" t="str">
        <f t="shared" si="2205"/>
        <v>0</v>
      </c>
      <c r="Q1138" s="1" t="str">
        <f t="shared" si="2106"/>
        <v>0.0070</v>
      </c>
      <c r="R1138" s="1" t="s">
        <v>25</v>
      </c>
      <c r="T1138" s="1" t="str">
        <f t="shared" si="2107"/>
        <v>0</v>
      </c>
      <c r="U1138" s="1" t="str">
        <f t="shared" si="2202"/>
        <v>0.0070</v>
      </c>
    </row>
    <row r="1139" s="1" customFormat="1" spans="1:21">
      <c r="A1139" s="1" t="str">
        <f>"4601992011478"</f>
        <v>4601992011478</v>
      </c>
      <c r="B1139" s="1" t="s">
        <v>1163</v>
      </c>
      <c r="C1139" s="1" t="s">
        <v>24</v>
      </c>
      <c r="D1139" s="1" t="str">
        <f t="shared" si="2104"/>
        <v>2021</v>
      </c>
      <c r="E1139" s="1" t="str">
        <f>"72.54"</f>
        <v>72.54</v>
      </c>
      <c r="F1139" s="1" t="str">
        <f t="shared" ref="F1139:I1139" si="2206">"0"</f>
        <v>0</v>
      </c>
      <c r="G1139" s="1" t="str">
        <f t="shared" si="2206"/>
        <v>0</v>
      </c>
      <c r="H1139" s="1" t="str">
        <f t="shared" si="2206"/>
        <v>0</v>
      </c>
      <c r="I1139" s="1" t="str">
        <f t="shared" si="2206"/>
        <v>0</v>
      </c>
      <c r="J1139" s="1" t="str">
        <f>"6"</f>
        <v>6</v>
      </c>
      <c r="K1139" s="1" t="str">
        <f t="shared" ref="K1139:P1139" si="2207">"0"</f>
        <v>0</v>
      </c>
      <c r="L1139" s="1" t="str">
        <f t="shared" si="2207"/>
        <v>0</v>
      </c>
      <c r="M1139" s="1" t="str">
        <f t="shared" si="2207"/>
        <v>0</v>
      </c>
      <c r="N1139" s="1" t="str">
        <f t="shared" si="2207"/>
        <v>0</v>
      </c>
      <c r="O1139" s="1" t="str">
        <f t="shared" si="2207"/>
        <v>0</v>
      </c>
      <c r="P1139" s="1" t="str">
        <f t="shared" si="2207"/>
        <v>0</v>
      </c>
      <c r="Q1139" s="1" t="str">
        <f t="shared" si="2106"/>
        <v>0.0070</v>
      </c>
      <c r="R1139" s="1" t="s">
        <v>29</v>
      </c>
      <c r="S1139" s="1">
        <v>-0.0014</v>
      </c>
      <c r="T1139" s="1" t="str">
        <f t="shared" si="2107"/>
        <v>0</v>
      </c>
      <c r="U1139" s="1" t="str">
        <f t="shared" si="2198"/>
        <v>0.0056</v>
      </c>
    </row>
    <row r="1140" s="1" customFormat="1" spans="1:21">
      <c r="A1140" s="1" t="str">
        <f>"4601992011523"</f>
        <v>4601992011523</v>
      </c>
      <c r="B1140" s="1" t="s">
        <v>1164</v>
      </c>
      <c r="C1140" s="1" t="s">
        <v>24</v>
      </c>
      <c r="D1140" s="1" t="str">
        <f t="shared" si="2104"/>
        <v>2021</v>
      </c>
      <c r="E1140" s="1" t="str">
        <f>"132.99"</f>
        <v>132.99</v>
      </c>
      <c r="F1140" s="1" t="str">
        <f t="shared" ref="F1140:I1140" si="2208">"0"</f>
        <v>0</v>
      </c>
      <c r="G1140" s="1" t="str">
        <f t="shared" si="2208"/>
        <v>0</v>
      </c>
      <c r="H1140" s="1" t="str">
        <f t="shared" si="2208"/>
        <v>0</v>
      </c>
      <c r="I1140" s="1" t="str">
        <f t="shared" si="2208"/>
        <v>0</v>
      </c>
      <c r="J1140" s="1" t="str">
        <f>"10"</f>
        <v>10</v>
      </c>
      <c r="K1140" s="1" t="str">
        <f t="shared" ref="K1140:P1140" si="2209">"0"</f>
        <v>0</v>
      </c>
      <c r="L1140" s="1" t="str">
        <f t="shared" si="2209"/>
        <v>0</v>
      </c>
      <c r="M1140" s="1" t="str">
        <f t="shared" si="2209"/>
        <v>0</v>
      </c>
      <c r="N1140" s="1" t="str">
        <f t="shared" si="2209"/>
        <v>0</v>
      </c>
      <c r="O1140" s="1" t="str">
        <f t="shared" si="2209"/>
        <v>0</v>
      </c>
      <c r="P1140" s="1" t="str">
        <f t="shared" si="2209"/>
        <v>0</v>
      </c>
      <c r="Q1140" s="1" t="str">
        <f t="shared" si="2106"/>
        <v>0.0070</v>
      </c>
      <c r="R1140" s="1" t="s">
        <v>29</v>
      </c>
      <c r="S1140" s="1">
        <v>-0.0014</v>
      </c>
      <c r="T1140" s="1" t="str">
        <f t="shared" si="2107"/>
        <v>0</v>
      </c>
      <c r="U1140" s="1" t="str">
        <f t="shared" si="2198"/>
        <v>0.0056</v>
      </c>
    </row>
    <row r="1141" s="1" customFormat="1" spans="1:21">
      <c r="A1141" s="1" t="str">
        <f>"4601992011565"</f>
        <v>4601992011565</v>
      </c>
      <c r="B1141" s="1" t="s">
        <v>1165</v>
      </c>
      <c r="C1141" s="1" t="s">
        <v>24</v>
      </c>
      <c r="D1141" s="1" t="str">
        <f t="shared" si="2104"/>
        <v>2021</v>
      </c>
      <c r="E1141" s="1" t="str">
        <f>"12.09"</f>
        <v>12.09</v>
      </c>
      <c r="F1141" s="1" t="str">
        <f t="shared" ref="F1141:I1141" si="2210">"0"</f>
        <v>0</v>
      </c>
      <c r="G1141" s="1" t="str">
        <f t="shared" si="2210"/>
        <v>0</v>
      </c>
      <c r="H1141" s="1" t="str">
        <f t="shared" si="2210"/>
        <v>0</v>
      </c>
      <c r="I1141" s="1" t="str">
        <f t="shared" si="2210"/>
        <v>0</v>
      </c>
      <c r="J1141" s="1" t="str">
        <f>"2"</f>
        <v>2</v>
      </c>
      <c r="K1141" s="1" t="str">
        <f t="shared" ref="K1141:P1141" si="2211">"0"</f>
        <v>0</v>
      </c>
      <c r="L1141" s="1" t="str">
        <f t="shared" si="2211"/>
        <v>0</v>
      </c>
      <c r="M1141" s="1" t="str">
        <f t="shared" si="2211"/>
        <v>0</v>
      </c>
      <c r="N1141" s="1" t="str">
        <f t="shared" si="2211"/>
        <v>0</v>
      </c>
      <c r="O1141" s="1" t="str">
        <f t="shared" si="2211"/>
        <v>0</v>
      </c>
      <c r="P1141" s="1" t="str">
        <f t="shared" si="2211"/>
        <v>0</v>
      </c>
      <c r="Q1141" s="1" t="str">
        <f t="shared" si="2106"/>
        <v>0.0070</v>
      </c>
      <c r="R1141" s="1" t="s">
        <v>25</v>
      </c>
      <c r="T1141" s="1" t="str">
        <f t="shared" si="2107"/>
        <v>0</v>
      </c>
      <c r="U1141" s="1" t="str">
        <f t="shared" ref="U1141:U1144" si="2212">"0.0070"</f>
        <v>0.0070</v>
      </c>
    </row>
    <row r="1142" s="1" customFormat="1" spans="1:21">
      <c r="A1142" s="1" t="str">
        <f>"4601992011521"</f>
        <v>4601992011521</v>
      </c>
      <c r="B1142" s="1" t="s">
        <v>1166</v>
      </c>
      <c r="C1142" s="1" t="s">
        <v>24</v>
      </c>
      <c r="D1142" s="1" t="str">
        <f t="shared" si="2104"/>
        <v>2021</v>
      </c>
      <c r="E1142" s="1" t="str">
        <f>"61.06"</f>
        <v>61.06</v>
      </c>
      <c r="F1142" s="1" t="str">
        <f t="shared" ref="F1142:I1142" si="2213">"0"</f>
        <v>0</v>
      </c>
      <c r="G1142" s="1" t="str">
        <f t="shared" si="2213"/>
        <v>0</v>
      </c>
      <c r="H1142" s="1" t="str">
        <f t="shared" si="2213"/>
        <v>0</v>
      </c>
      <c r="I1142" s="1" t="str">
        <f t="shared" si="2213"/>
        <v>0</v>
      </c>
      <c r="J1142" s="1" t="str">
        <f>"5"</f>
        <v>5</v>
      </c>
      <c r="K1142" s="1" t="str">
        <f t="shared" ref="K1142:P1142" si="2214">"0"</f>
        <v>0</v>
      </c>
      <c r="L1142" s="1" t="str">
        <f t="shared" si="2214"/>
        <v>0</v>
      </c>
      <c r="M1142" s="1" t="str">
        <f t="shared" si="2214"/>
        <v>0</v>
      </c>
      <c r="N1142" s="1" t="str">
        <f t="shared" si="2214"/>
        <v>0</v>
      </c>
      <c r="O1142" s="1" t="str">
        <f t="shared" si="2214"/>
        <v>0</v>
      </c>
      <c r="P1142" s="1" t="str">
        <f t="shared" si="2214"/>
        <v>0</v>
      </c>
      <c r="Q1142" s="1" t="str">
        <f t="shared" si="2106"/>
        <v>0.0070</v>
      </c>
      <c r="R1142" s="1" t="s">
        <v>29</v>
      </c>
      <c r="S1142" s="1">
        <v>-0.0014</v>
      </c>
      <c r="T1142" s="1" t="str">
        <f t="shared" si="2107"/>
        <v>0</v>
      </c>
      <c r="U1142" s="1" t="str">
        <f t="shared" ref="U1142:U1153" si="2215">"0.0056"</f>
        <v>0.0056</v>
      </c>
    </row>
    <row r="1143" s="1" customFormat="1" spans="1:21">
      <c r="A1143" s="1" t="str">
        <f>"4601991425573"</f>
        <v>4601991425573</v>
      </c>
      <c r="B1143" s="1" t="s">
        <v>1167</v>
      </c>
      <c r="C1143" s="1" t="s">
        <v>24</v>
      </c>
      <c r="D1143" s="1" t="str">
        <f t="shared" si="2104"/>
        <v>2021</v>
      </c>
      <c r="E1143" s="1" t="str">
        <f t="shared" ref="E1143:P1143" si="2216">"0"</f>
        <v>0</v>
      </c>
      <c r="F1143" s="1" t="str">
        <f t="shared" si="2216"/>
        <v>0</v>
      </c>
      <c r="G1143" s="1" t="str">
        <f t="shared" si="2216"/>
        <v>0</v>
      </c>
      <c r="H1143" s="1" t="str">
        <f t="shared" si="2216"/>
        <v>0</v>
      </c>
      <c r="I1143" s="1" t="str">
        <f t="shared" si="2216"/>
        <v>0</v>
      </c>
      <c r="J1143" s="1" t="str">
        <f t="shared" si="2216"/>
        <v>0</v>
      </c>
      <c r="K1143" s="1" t="str">
        <f t="shared" si="2216"/>
        <v>0</v>
      </c>
      <c r="L1143" s="1" t="str">
        <f t="shared" si="2216"/>
        <v>0</v>
      </c>
      <c r="M1143" s="1" t="str">
        <f t="shared" si="2216"/>
        <v>0</v>
      </c>
      <c r="N1143" s="1" t="str">
        <f t="shared" si="2216"/>
        <v>0</v>
      </c>
      <c r="O1143" s="1" t="str">
        <f t="shared" si="2216"/>
        <v>0</v>
      </c>
      <c r="P1143" s="1" t="str">
        <f t="shared" si="2216"/>
        <v>0</v>
      </c>
      <c r="Q1143" s="1" t="str">
        <f t="shared" si="2106"/>
        <v>0.0070</v>
      </c>
      <c r="R1143" s="1" t="s">
        <v>25</v>
      </c>
      <c r="T1143" s="1" t="str">
        <f t="shared" si="2107"/>
        <v>0</v>
      </c>
      <c r="U1143" s="1" t="str">
        <f t="shared" si="2212"/>
        <v>0.0070</v>
      </c>
    </row>
    <row r="1144" s="1" customFormat="1" spans="1:21">
      <c r="A1144" s="1" t="str">
        <f>"4601992010978"</f>
        <v>4601992010978</v>
      </c>
      <c r="B1144" s="1" t="s">
        <v>1168</v>
      </c>
      <c r="C1144" s="1" t="s">
        <v>24</v>
      </c>
      <c r="D1144" s="1" t="str">
        <f t="shared" si="2104"/>
        <v>2021</v>
      </c>
      <c r="E1144" s="1" t="str">
        <f>"67.11"</f>
        <v>67.11</v>
      </c>
      <c r="F1144" s="1" t="str">
        <f t="shared" ref="F1144:I1144" si="2217">"0"</f>
        <v>0</v>
      </c>
      <c r="G1144" s="1" t="str">
        <f t="shared" si="2217"/>
        <v>0</v>
      </c>
      <c r="H1144" s="1" t="str">
        <f t="shared" si="2217"/>
        <v>0</v>
      </c>
      <c r="I1144" s="1" t="str">
        <f t="shared" si="2217"/>
        <v>0</v>
      </c>
      <c r="J1144" s="1" t="str">
        <f>"3"</f>
        <v>3</v>
      </c>
      <c r="K1144" s="1" t="str">
        <f t="shared" ref="K1144:P1144" si="2218">"0"</f>
        <v>0</v>
      </c>
      <c r="L1144" s="1" t="str">
        <f t="shared" si="2218"/>
        <v>0</v>
      </c>
      <c r="M1144" s="1" t="str">
        <f t="shared" si="2218"/>
        <v>0</v>
      </c>
      <c r="N1144" s="1" t="str">
        <f t="shared" si="2218"/>
        <v>0</v>
      </c>
      <c r="O1144" s="1" t="str">
        <f t="shared" si="2218"/>
        <v>0</v>
      </c>
      <c r="P1144" s="1" t="str">
        <f t="shared" si="2218"/>
        <v>0</v>
      </c>
      <c r="Q1144" s="1" t="str">
        <f t="shared" si="2106"/>
        <v>0.0070</v>
      </c>
      <c r="R1144" s="1" t="s">
        <v>25</v>
      </c>
      <c r="T1144" s="1" t="str">
        <f t="shared" si="2107"/>
        <v>0</v>
      </c>
      <c r="U1144" s="1" t="str">
        <f t="shared" si="2212"/>
        <v>0.0070</v>
      </c>
    </row>
    <row r="1145" s="1" customFormat="1" spans="1:21">
      <c r="A1145" s="1" t="str">
        <f>"4601992010968"</f>
        <v>4601992010968</v>
      </c>
      <c r="B1145" s="1" t="s">
        <v>1169</v>
      </c>
      <c r="C1145" s="1" t="s">
        <v>24</v>
      </c>
      <c r="D1145" s="1" t="str">
        <f t="shared" si="2104"/>
        <v>2021</v>
      </c>
      <c r="E1145" s="1" t="str">
        <f>"232.86"</f>
        <v>232.86</v>
      </c>
      <c r="F1145" s="1" t="str">
        <f t="shared" ref="F1145:I1145" si="2219">"0"</f>
        <v>0</v>
      </c>
      <c r="G1145" s="1" t="str">
        <f t="shared" si="2219"/>
        <v>0</v>
      </c>
      <c r="H1145" s="1" t="str">
        <f t="shared" si="2219"/>
        <v>0</v>
      </c>
      <c r="I1145" s="1" t="str">
        <f t="shared" si="2219"/>
        <v>0</v>
      </c>
      <c r="J1145" s="1" t="str">
        <f>"9"</f>
        <v>9</v>
      </c>
      <c r="K1145" s="1" t="str">
        <f t="shared" ref="K1145:P1145" si="2220">"0"</f>
        <v>0</v>
      </c>
      <c r="L1145" s="1" t="str">
        <f t="shared" si="2220"/>
        <v>0</v>
      </c>
      <c r="M1145" s="1" t="str">
        <f t="shared" si="2220"/>
        <v>0</v>
      </c>
      <c r="N1145" s="1" t="str">
        <f t="shared" si="2220"/>
        <v>0</v>
      </c>
      <c r="O1145" s="1" t="str">
        <f t="shared" si="2220"/>
        <v>0</v>
      </c>
      <c r="P1145" s="1" t="str">
        <f t="shared" si="2220"/>
        <v>0</v>
      </c>
      <c r="Q1145" s="1" t="str">
        <f t="shared" si="2106"/>
        <v>0.0070</v>
      </c>
      <c r="R1145" s="1" t="s">
        <v>29</v>
      </c>
      <c r="S1145" s="1">
        <v>-0.0014</v>
      </c>
      <c r="T1145" s="1" t="str">
        <f t="shared" si="2107"/>
        <v>0</v>
      </c>
      <c r="U1145" s="1" t="str">
        <f t="shared" si="2215"/>
        <v>0.0056</v>
      </c>
    </row>
    <row r="1146" s="1" customFormat="1" spans="1:21">
      <c r="A1146" s="1" t="str">
        <f>"4601992010892"</f>
        <v>4601992010892</v>
      </c>
      <c r="B1146" s="1" t="s">
        <v>1170</v>
      </c>
      <c r="C1146" s="1" t="s">
        <v>24</v>
      </c>
      <c r="D1146" s="1" t="str">
        <f t="shared" si="2104"/>
        <v>2021</v>
      </c>
      <c r="E1146" s="1" t="str">
        <f>"251.55"</f>
        <v>251.55</v>
      </c>
      <c r="F1146" s="1" t="str">
        <f t="shared" ref="F1146:I1146" si="2221">"0"</f>
        <v>0</v>
      </c>
      <c r="G1146" s="1" t="str">
        <f t="shared" si="2221"/>
        <v>0</v>
      </c>
      <c r="H1146" s="1" t="str">
        <f t="shared" si="2221"/>
        <v>0</v>
      </c>
      <c r="I1146" s="1" t="str">
        <f t="shared" si="2221"/>
        <v>0</v>
      </c>
      <c r="J1146" s="1" t="str">
        <f>"15"</f>
        <v>15</v>
      </c>
      <c r="K1146" s="1" t="str">
        <f t="shared" ref="K1146:P1146" si="2222">"0"</f>
        <v>0</v>
      </c>
      <c r="L1146" s="1" t="str">
        <f t="shared" si="2222"/>
        <v>0</v>
      </c>
      <c r="M1146" s="1" t="str">
        <f t="shared" si="2222"/>
        <v>0</v>
      </c>
      <c r="N1146" s="1" t="str">
        <f t="shared" si="2222"/>
        <v>0</v>
      </c>
      <c r="O1146" s="1" t="str">
        <f t="shared" si="2222"/>
        <v>0</v>
      </c>
      <c r="P1146" s="1" t="str">
        <f t="shared" si="2222"/>
        <v>0</v>
      </c>
      <c r="Q1146" s="1" t="str">
        <f t="shared" si="2106"/>
        <v>0.0070</v>
      </c>
      <c r="R1146" s="1" t="s">
        <v>29</v>
      </c>
      <c r="S1146" s="1">
        <v>-0.0014</v>
      </c>
      <c r="T1146" s="1" t="str">
        <f t="shared" si="2107"/>
        <v>0</v>
      </c>
      <c r="U1146" s="1" t="str">
        <f t="shared" si="2215"/>
        <v>0.0056</v>
      </c>
    </row>
    <row r="1147" s="1" customFormat="1" spans="1:21">
      <c r="A1147" s="1" t="str">
        <f>"4601991402985"</f>
        <v>4601991402985</v>
      </c>
      <c r="B1147" s="1" t="s">
        <v>1171</v>
      </c>
      <c r="C1147" s="1" t="s">
        <v>24</v>
      </c>
      <c r="D1147" s="1" t="str">
        <f t="shared" si="2104"/>
        <v>2021</v>
      </c>
      <c r="E1147" s="1" t="str">
        <f>"3021.00"</f>
        <v>3021.00</v>
      </c>
      <c r="F1147" s="1" t="str">
        <f t="shared" ref="F1147:I1147" si="2223">"0"</f>
        <v>0</v>
      </c>
      <c r="G1147" s="1" t="str">
        <f t="shared" si="2223"/>
        <v>0</v>
      </c>
      <c r="H1147" s="1" t="str">
        <f t="shared" si="2223"/>
        <v>0</v>
      </c>
      <c r="I1147" s="1" t="str">
        <f t="shared" si="2223"/>
        <v>0</v>
      </c>
      <c r="J1147" s="1" t="str">
        <f>"16"</f>
        <v>16</v>
      </c>
      <c r="K1147" s="1" t="str">
        <f t="shared" ref="K1147:P1147" si="2224">"0"</f>
        <v>0</v>
      </c>
      <c r="L1147" s="1" t="str">
        <f t="shared" si="2224"/>
        <v>0</v>
      </c>
      <c r="M1147" s="1" t="str">
        <f t="shared" si="2224"/>
        <v>0</v>
      </c>
      <c r="N1147" s="1" t="str">
        <f t="shared" si="2224"/>
        <v>0</v>
      </c>
      <c r="O1147" s="1" t="str">
        <f t="shared" si="2224"/>
        <v>0</v>
      </c>
      <c r="P1147" s="1" t="str">
        <f t="shared" si="2224"/>
        <v>0</v>
      </c>
      <c r="Q1147" s="1" t="str">
        <f t="shared" si="2106"/>
        <v>0.0070</v>
      </c>
      <c r="R1147" s="1" t="s">
        <v>29</v>
      </c>
      <c r="S1147" s="1">
        <v>-0.0014</v>
      </c>
      <c r="T1147" s="1" t="str">
        <f t="shared" si="2107"/>
        <v>0</v>
      </c>
      <c r="U1147" s="1" t="str">
        <f t="shared" si="2215"/>
        <v>0.0056</v>
      </c>
    </row>
    <row r="1148" s="1" customFormat="1" spans="1:21">
      <c r="A1148" s="1" t="str">
        <f>"4601992011000"</f>
        <v>4601992011000</v>
      </c>
      <c r="B1148" s="1" t="s">
        <v>1172</v>
      </c>
      <c r="C1148" s="1" t="s">
        <v>24</v>
      </c>
      <c r="D1148" s="1" t="str">
        <f t="shared" si="2104"/>
        <v>2021</v>
      </c>
      <c r="E1148" s="1" t="str">
        <f>"195.97"</f>
        <v>195.97</v>
      </c>
      <c r="F1148" s="1" t="str">
        <f t="shared" ref="F1148:I1148" si="2225">"0"</f>
        <v>0</v>
      </c>
      <c r="G1148" s="1" t="str">
        <f t="shared" si="2225"/>
        <v>0</v>
      </c>
      <c r="H1148" s="1" t="str">
        <f t="shared" si="2225"/>
        <v>0</v>
      </c>
      <c r="I1148" s="1" t="str">
        <f t="shared" si="2225"/>
        <v>0</v>
      </c>
      <c r="J1148" s="1" t="str">
        <f>"16"</f>
        <v>16</v>
      </c>
      <c r="K1148" s="1" t="str">
        <f t="shared" ref="K1148:P1148" si="2226">"0"</f>
        <v>0</v>
      </c>
      <c r="L1148" s="1" t="str">
        <f t="shared" si="2226"/>
        <v>0</v>
      </c>
      <c r="M1148" s="1" t="str">
        <f t="shared" si="2226"/>
        <v>0</v>
      </c>
      <c r="N1148" s="1" t="str">
        <f t="shared" si="2226"/>
        <v>0</v>
      </c>
      <c r="O1148" s="1" t="str">
        <f t="shared" si="2226"/>
        <v>0</v>
      </c>
      <c r="P1148" s="1" t="str">
        <f t="shared" si="2226"/>
        <v>0</v>
      </c>
      <c r="Q1148" s="1" t="str">
        <f t="shared" si="2106"/>
        <v>0.0070</v>
      </c>
      <c r="R1148" s="1" t="s">
        <v>29</v>
      </c>
      <c r="S1148" s="1">
        <v>-0.0014</v>
      </c>
      <c r="T1148" s="1" t="str">
        <f t="shared" si="2107"/>
        <v>0</v>
      </c>
      <c r="U1148" s="1" t="str">
        <f t="shared" si="2215"/>
        <v>0.0056</v>
      </c>
    </row>
    <row r="1149" s="1" customFormat="1" spans="1:21">
      <c r="A1149" s="1" t="str">
        <f>"4601992010844"</f>
        <v>4601992010844</v>
      </c>
      <c r="B1149" s="1" t="s">
        <v>1173</v>
      </c>
      <c r="C1149" s="1" t="s">
        <v>24</v>
      </c>
      <c r="D1149" s="1" t="str">
        <f t="shared" si="2104"/>
        <v>2021</v>
      </c>
      <c r="E1149" s="1" t="str">
        <f>"169.59"</f>
        <v>169.59</v>
      </c>
      <c r="F1149" s="1" t="str">
        <f t="shared" ref="F1149:I1149" si="2227">"0"</f>
        <v>0</v>
      </c>
      <c r="G1149" s="1" t="str">
        <f t="shared" si="2227"/>
        <v>0</v>
      </c>
      <c r="H1149" s="1" t="str">
        <f t="shared" si="2227"/>
        <v>0</v>
      </c>
      <c r="I1149" s="1" t="str">
        <f t="shared" si="2227"/>
        <v>0</v>
      </c>
      <c r="J1149" s="1" t="str">
        <f>"17"</f>
        <v>17</v>
      </c>
      <c r="K1149" s="1" t="str">
        <f t="shared" ref="K1149:P1149" si="2228">"0"</f>
        <v>0</v>
      </c>
      <c r="L1149" s="1" t="str">
        <f t="shared" si="2228"/>
        <v>0</v>
      </c>
      <c r="M1149" s="1" t="str">
        <f t="shared" si="2228"/>
        <v>0</v>
      </c>
      <c r="N1149" s="1" t="str">
        <f t="shared" si="2228"/>
        <v>0</v>
      </c>
      <c r="O1149" s="1" t="str">
        <f t="shared" si="2228"/>
        <v>0</v>
      </c>
      <c r="P1149" s="1" t="str">
        <f t="shared" si="2228"/>
        <v>0</v>
      </c>
      <c r="Q1149" s="1" t="str">
        <f t="shared" si="2106"/>
        <v>0.0070</v>
      </c>
      <c r="R1149" s="1" t="s">
        <v>29</v>
      </c>
      <c r="S1149" s="1">
        <v>-0.0014</v>
      </c>
      <c r="T1149" s="1" t="str">
        <f t="shared" si="2107"/>
        <v>0</v>
      </c>
      <c r="U1149" s="1" t="str">
        <f t="shared" si="2215"/>
        <v>0.0056</v>
      </c>
    </row>
    <row r="1150" s="1" customFormat="1" spans="1:21">
      <c r="A1150" s="1" t="str">
        <f>"4601992010901"</f>
        <v>4601992010901</v>
      </c>
      <c r="B1150" s="1" t="s">
        <v>1174</v>
      </c>
      <c r="C1150" s="1" t="s">
        <v>24</v>
      </c>
      <c r="D1150" s="1" t="str">
        <f t="shared" si="2104"/>
        <v>2021</v>
      </c>
      <c r="E1150" s="1" t="str">
        <f>"264.06"</f>
        <v>264.06</v>
      </c>
      <c r="F1150" s="1" t="str">
        <f t="shared" ref="F1150:I1150" si="2229">"0"</f>
        <v>0</v>
      </c>
      <c r="G1150" s="1" t="str">
        <f t="shared" si="2229"/>
        <v>0</v>
      </c>
      <c r="H1150" s="1" t="str">
        <f t="shared" si="2229"/>
        <v>0</v>
      </c>
      <c r="I1150" s="1" t="str">
        <f t="shared" si="2229"/>
        <v>0</v>
      </c>
      <c r="J1150" s="1" t="str">
        <f>"20"</f>
        <v>20</v>
      </c>
      <c r="K1150" s="1" t="str">
        <f t="shared" ref="K1150:P1150" si="2230">"0"</f>
        <v>0</v>
      </c>
      <c r="L1150" s="1" t="str">
        <f t="shared" si="2230"/>
        <v>0</v>
      </c>
      <c r="M1150" s="1" t="str">
        <f t="shared" si="2230"/>
        <v>0</v>
      </c>
      <c r="N1150" s="1" t="str">
        <f t="shared" si="2230"/>
        <v>0</v>
      </c>
      <c r="O1150" s="1" t="str">
        <f t="shared" si="2230"/>
        <v>0</v>
      </c>
      <c r="P1150" s="1" t="str">
        <f t="shared" si="2230"/>
        <v>0</v>
      </c>
      <c r="Q1150" s="1" t="str">
        <f t="shared" si="2106"/>
        <v>0.0070</v>
      </c>
      <c r="R1150" s="1" t="s">
        <v>29</v>
      </c>
      <c r="S1150" s="1">
        <v>-0.0014</v>
      </c>
      <c r="T1150" s="1" t="str">
        <f t="shared" si="2107"/>
        <v>0</v>
      </c>
      <c r="U1150" s="1" t="str">
        <f t="shared" si="2215"/>
        <v>0.0056</v>
      </c>
    </row>
    <row r="1151" s="1" customFormat="1" spans="1:21">
      <c r="A1151" s="1" t="str">
        <f>"4601992011736"</f>
        <v>4601992011736</v>
      </c>
      <c r="B1151" s="1" t="s">
        <v>1175</v>
      </c>
      <c r="C1151" s="1" t="s">
        <v>24</v>
      </c>
      <c r="D1151" s="1" t="str">
        <f t="shared" si="2104"/>
        <v>2021</v>
      </c>
      <c r="E1151" s="1" t="str">
        <f>"96.28"</f>
        <v>96.28</v>
      </c>
      <c r="F1151" s="1" t="str">
        <f t="shared" ref="F1151:I1151" si="2231">"0"</f>
        <v>0</v>
      </c>
      <c r="G1151" s="1" t="str">
        <f t="shared" si="2231"/>
        <v>0</v>
      </c>
      <c r="H1151" s="1" t="str">
        <f t="shared" si="2231"/>
        <v>0</v>
      </c>
      <c r="I1151" s="1" t="str">
        <f t="shared" si="2231"/>
        <v>0</v>
      </c>
      <c r="J1151" s="1" t="str">
        <f>"8"</f>
        <v>8</v>
      </c>
      <c r="K1151" s="1" t="str">
        <f t="shared" ref="K1151:P1151" si="2232">"0"</f>
        <v>0</v>
      </c>
      <c r="L1151" s="1" t="str">
        <f t="shared" si="2232"/>
        <v>0</v>
      </c>
      <c r="M1151" s="1" t="str">
        <f t="shared" si="2232"/>
        <v>0</v>
      </c>
      <c r="N1151" s="1" t="str">
        <f t="shared" si="2232"/>
        <v>0</v>
      </c>
      <c r="O1151" s="1" t="str">
        <f t="shared" si="2232"/>
        <v>0</v>
      </c>
      <c r="P1151" s="1" t="str">
        <f t="shared" si="2232"/>
        <v>0</v>
      </c>
      <c r="Q1151" s="1" t="str">
        <f t="shared" si="2106"/>
        <v>0.0070</v>
      </c>
      <c r="R1151" s="1" t="s">
        <v>29</v>
      </c>
      <c r="S1151" s="1">
        <v>-0.0014</v>
      </c>
      <c r="T1151" s="1" t="str">
        <f t="shared" si="2107"/>
        <v>0</v>
      </c>
      <c r="U1151" s="1" t="str">
        <f t="shared" si="2215"/>
        <v>0.0056</v>
      </c>
    </row>
    <row r="1152" s="1" customFormat="1" spans="1:21">
      <c r="A1152" s="1" t="str">
        <f>"4601992011760"</f>
        <v>4601992011760</v>
      </c>
      <c r="B1152" s="1" t="s">
        <v>1176</v>
      </c>
      <c r="C1152" s="1" t="s">
        <v>24</v>
      </c>
      <c r="D1152" s="1" t="str">
        <f t="shared" si="2104"/>
        <v>2021</v>
      </c>
      <c r="E1152" s="1" t="str">
        <f>"72.54"</f>
        <v>72.54</v>
      </c>
      <c r="F1152" s="1" t="str">
        <f t="shared" ref="F1152:I1152" si="2233">"0"</f>
        <v>0</v>
      </c>
      <c r="G1152" s="1" t="str">
        <f t="shared" si="2233"/>
        <v>0</v>
      </c>
      <c r="H1152" s="1" t="str">
        <f t="shared" si="2233"/>
        <v>0</v>
      </c>
      <c r="I1152" s="1" t="str">
        <f t="shared" si="2233"/>
        <v>0</v>
      </c>
      <c r="J1152" s="1" t="str">
        <f>"10"</f>
        <v>10</v>
      </c>
      <c r="K1152" s="1" t="str">
        <f t="shared" ref="K1152:P1152" si="2234">"0"</f>
        <v>0</v>
      </c>
      <c r="L1152" s="1" t="str">
        <f t="shared" si="2234"/>
        <v>0</v>
      </c>
      <c r="M1152" s="1" t="str">
        <f t="shared" si="2234"/>
        <v>0</v>
      </c>
      <c r="N1152" s="1" t="str">
        <f t="shared" si="2234"/>
        <v>0</v>
      </c>
      <c r="O1152" s="1" t="str">
        <f t="shared" si="2234"/>
        <v>0</v>
      </c>
      <c r="P1152" s="1" t="str">
        <f t="shared" si="2234"/>
        <v>0</v>
      </c>
      <c r="Q1152" s="1" t="str">
        <f t="shared" si="2106"/>
        <v>0.0070</v>
      </c>
      <c r="R1152" s="1" t="s">
        <v>29</v>
      </c>
      <c r="S1152" s="1">
        <v>-0.0014</v>
      </c>
      <c r="T1152" s="1" t="str">
        <f t="shared" si="2107"/>
        <v>0</v>
      </c>
      <c r="U1152" s="1" t="str">
        <f t="shared" si="2215"/>
        <v>0.0056</v>
      </c>
    </row>
    <row r="1153" s="1" customFormat="1" spans="1:21">
      <c r="A1153" s="1" t="str">
        <f>"4601992011744"</f>
        <v>4601992011744</v>
      </c>
      <c r="B1153" s="1" t="s">
        <v>1177</v>
      </c>
      <c r="C1153" s="1" t="s">
        <v>24</v>
      </c>
      <c r="D1153" s="1" t="str">
        <f t="shared" si="2104"/>
        <v>2021</v>
      </c>
      <c r="E1153" s="1" t="str">
        <f t="shared" ref="E1153:E1155" si="2235">"12.09"</f>
        <v>12.09</v>
      </c>
      <c r="F1153" s="1" t="str">
        <f t="shared" ref="F1153:I1153" si="2236">"0"</f>
        <v>0</v>
      </c>
      <c r="G1153" s="1" t="str">
        <f t="shared" si="2236"/>
        <v>0</v>
      </c>
      <c r="H1153" s="1" t="str">
        <f t="shared" si="2236"/>
        <v>0</v>
      </c>
      <c r="I1153" s="1" t="str">
        <f t="shared" si="2236"/>
        <v>0</v>
      </c>
      <c r="J1153" s="1" t="str">
        <f>"3"</f>
        <v>3</v>
      </c>
      <c r="K1153" s="1" t="str">
        <f t="shared" ref="K1153:P1153" si="2237">"0"</f>
        <v>0</v>
      </c>
      <c r="L1153" s="1" t="str">
        <f t="shared" si="2237"/>
        <v>0</v>
      </c>
      <c r="M1153" s="1" t="str">
        <f t="shared" si="2237"/>
        <v>0</v>
      </c>
      <c r="N1153" s="1" t="str">
        <f t="shared" si="2237"/>
        <v>0</v>
      </c>
      <c r="O1153" s="1" t="str">
        <f t="shared" si="2237"/>
        <v>0</v>
      </c>
      <c r="P1153" s="1" t="str">
        <f t="shared" si="2237"/>
        <v>0</v>
      </c>
      <c r="Q1153" s="1" t="str">
        <f t="shared" si="2106"/>
        <v>0.0070</v>
      </c>
      <c r="R1153" s="1" t="s">
        <v>29</v>
      </c>
      <c r="S1153" s="1">
        <v>-0.0014</v>
      </c>
      <c r="T1153" s="1" t="str">
        <f t="shared" si="2107"/>
        <v>0</v>
      </c>
      <c r="U1153" s="1" t="str">
        <f t="shared" si="2215"/>
        <v>0.0056</v>
      </c>
    </row>
    <row r="1154" s="1" customFormat="1" spans="1:21">
      <c r="A1154" s="1" t="str">
        <f>"4601992011848"</f>
        <v>4601992011848</v>
      </c>
      <c r="B1154" s="1" t="s">
        <v>1178</v>
      </c>
      <c r="C1154" s="1" t="s">
        <v>24</v>
      </c>
      <c r="D1154" s="1" t="str">
        <f t="shared" si="2104"/>
        <v>2021</v>
      </c>
      <c r="E1154" s="1" t="str">
        <f t="shared" si="2235"/>
        <v>12.09</v>
      </c>
      <c r="F1154" s="1" t="str">
        <f t="shared" ref="F1154:I1154" si="2238">"0"</f>
        <v>0</v>
      </c>
      <c r="G1154" s="1" t="str">
        <f t="shared" si="2238"/>
        <v>0</v>
      </c>
      <c r="H1154" s="1" t="str">
        <f t="shared" si="2238"/>
        <v>0</v>
      </c>
      <c r="I1154" s="1" t="str">
        <f t="shared" si="2238"/>
        <v>0</v>
      </c>
      <c r="J1154" s="1" t="str">
        <f>"1"</f>
        <v>1</v>
      </c>
      <c r="K1154" s="1" t="str">
        <f t="shared" ref="K1154:P1154" si="2239">"0"</f>
        <v>0</v>
      </c>
      <c r="L1154" s="1" t="str">
        <f t="shared" si="2239"/>
        <v>0</v>
      </c>
      <c r="M1154" s="1" t="str">
        <f t="shared" si="2239"/>
        <v>0</v>
      </c>
      <c r="N1154" s="1" t="str">
        <f t="shared" si="2239"/>
        <v>0</v>
      </c>
      <c r="O1154" s="1" t="str">
        <f t="shared" si="2239"/>
        <v>0</v>
      </c>
      <c r="P1154" s="1" t="str">
        <f t="shared" si="2239"/>
        <v>0</v>
      </c>
      <c r="Q1154" s="1" t="str">
        <f t="shared" si="2106"/>
        <v>0.0070</v>
      </c>
      <c r="R1154" s="1" t="s">
        <v>25</v>
      </c>
      <c r="T1154" s="1" t="str">
        <f t="shared" si="2107"/>
        <v>0</v>
      </c>
      <c r="U1154" s="1" t="str">
        <f>"0.0070"</f>
        <v>0.0070</v>
      </c>
    </row>
    <row r="1155" s="1" customFormat="1" spans="1:21">
      <c r="A1155" s="1" t="str">
        <f>"4601992011851"</f>
        <v>4601992011851</v>
      </c>
      <c r="B1155" s="1" t="s">
        <v>1179</v>
      </c>
      <c r="C1155" s="1" t="s">
        <v>24</v>
      </c>
      <c r="D1155" s="1" t="str">
        <f t="shared" ref="D1155:D1218" si="2240">"2021"</f>
        <v>2021</v>
      </c>
      <c r="E1155" s="1" t="str">
        <f t="shared" si="2235"/>
        <v>12.09</v>
      </c>
      <c r="F1155" s="1" t="str">
        <f t="shared" ref="F1155:I1155" si="2241">"0"</f>
        <v>0</v>
      </c>
      <c r="G1155" s="1" t="str">
        <f t="shared" si="2241"/>
        <v>0</v>
      </c>
      <c r="H1155" s="1" t="str">
        <f t="shared" si="2241"/>
        <v>0</v>
      </c>
      <c r="I1155" s="1" t="str">
        <f t="shared" si="2241"/>
        <v>0</v>
      </c>
      <c r="J1155" s="1" t="str">
        <f>"1"</f>
        <v>1</v>
      </c>
      <c r="K1155" s="1" t="str">
        <f t="shared" ref="K1155:P1155" si="2242">"0"</f>
        <v>0</v>
      </c>
      <c r="L1155" s="1" t="str">
        <f t="shared" si="2242"/>
        <v>0</v>
      </c>
      <c r="M1155" s="1" t="str">
        <f t="shared" si="2242"/>
        <v>0</v>
      </c>
      <c r="N1155" s="1" t="str">
        <f t="shared" si="2242"/>
        <v>0</v>
      </c>
      <c r="O1155" s="1" t="str">
        <f t="shared" si="2242"/>
        <v>0</v>
      </c>
      <c r="P1155" s="1" t="str">
        <f t="shared" si="2242"/>
        <v>0</v>
      </c>
      <c r="Q1155" s="1" t="str">
        <f t="shared" ref="Q1155:Q1218" si="2243">"0.0070"</f>
        <v>0.0070</v>
      </c>
      <c r="R1155" s="1" t="s">
        <v>29</v>
      </c>
      <c r="S1155" s="1">
        <v>-0.0014</v>
      </c>
      <c r="T1155" s="1" t="str">
        <f t="shared" ref="T1155:T1218" si="2244">"0"</f>
        <v>0</v>
      </c>
      <c r="U1155" s="1" t="str">
        <f t="shared" ref="U1155:U1163" si="2245">"0.0056"</f>
        <v>0.0056</v>
      </c>
    </row>
    <row r="1156" s="1" customFormat="1" spans="1:21">
      <c r="A1156" s="1" t="str">
        <f>"4601992011871"</f>
        <v>4601992011871</v>
      </c>
      <c r="B1156" s="1" t="s">
        <v>1180</v>
      </c>
      <c r="C1156" s="1" t="s">
        <v>24</v>
      </c>
      <c r="D1156" s="1" t="str">
        <f t="shared" si="2240"/>
        <v>2021</v>
      </c>
      <c r="E1156" s="1" t="str">
        <f>"60.45"</f>
        <v>60.45</v>
      </c>
      <c r="F1156" s="1" t="str">
        <f t="shared" ref="F1156:I1156" si="2246">"0"</f>
        <v>0</v>
      </c>
      <c r="G1156" s="1" t="str">
        <f t="shared" si="2246"/>
        <v>0</v>
      </c>
      <c r="H1156" s="1" t="str">
        <f t="shared" si="2246"/>
        <v>0</v>
      </c>
      <c r="I1156" s="1" t="str">
        <f t="shared" si="2246"/>
        <v>0</v>
      </c>
      <c r="J1156" s="1" t="str">
        <f>"6"</f>
        <v>6</v>
      </c>
      <c r="K1156" s="1" t="str">
        <f t="shared" ref="K1156:P1156" si="2247">"0"</f>
        <v>0</v>
      </c>
      <c r="L1156" s="1" t="str">
        <f t="shared" si="2247"/>
        <v>0</v>
      </c>
      <c r="M1156" s="1" t="str">
        <f t="shared" si="2247"/>
        <v>0</v>
      </c>
      <c r="N1156" s="1" t="str">
        <f t="shared" si="2247"/>
        <v>0</v>
      </c>
      <c r="O1156" s="1" t="str">
        <f t="shared" si="2247"/>
        <v>0</v>
      </c>
      <c r="P1156" s="1" t="str">
        <f t="shared" si="2247"/>
        <v>0</v>
      </c>
      <c r="Q1156" s="1" t="str">
        <f t="shared" si="2243"/>
        <v>0.0070</v>
      </c>
      <c r="R1156" s="1" t="s">
        <v>29</v>
      </c>
      <c r="S1156" s="1">
        <v>-0.0014</v>
      </c>
      <c r="T1156" s="1" t="str">
        <f t="shared" si="2244"/>
        <v>0</v>
      </c>
      <c r="U1156" s="1" t="str">
        <f t="shared" si="2245"/>
        <v>0.0056</v>
      </c>
    </row>
    <row r="1157" s="1" customFormat="1" spans="1:21">
      <c r="A1157" s="1" t="str">
        <f>"4601992011901"</f>
        <v>4601992011901</v>
      </c>
      <c r="B1157" s="1" t="s">
        <v>1181</v>
      </c>
      <c r="C1157" s="1" t="s">
        <v>24</v>
      </c>
      <c r="D1157" s="1" t="str">
        <f t="shared" si="2240"/>
        <v>2021</v>
      </c>
      <c r="E1157" s="1" t="str">
        <f>"108.97"</f>
        <v>108.97</v>
      </c>
      <c r="F1157" s="1" t="str">
        <f t="shared" ref="F1157:I1157" si="2248">"0"</f>
        <v>0</v>
      </c>
      <c r="G1157" s="1" t="str">
        <f t="shared" si="2248"/>
        <v>0</v>
      </c>
      <c r="H1157" s="1" t="str">
        <f t="shared" si="2248"/>
        <v>0</v>
      </c>
      <c r="I1157" s="1" t="str">
        <f t="shared" si="2248"/>
        <v>0</v>
      </c>
      <c r="J1157" s="1" t="str">
        <f>"9"</f>
        <v>9</v>
      </c>
      <c r="K1157" s="1" t="str">
        <f t="shared" ref="K1157:P1157" si="2249">"0"</f>
        <v>0</v>
      </c>
      <c r="L1157" s="1" t="str">
        <f t="shared" si="2249"/>
        <v>0</v>
      </c>
      <c r="M1157" s="1" t="str">
        <f t="shared" si="2249"/>
        <v>0</v>
      </c>
      <c r="N1157" s="1" t="str">
        <f t="shared" si="2249"/>
        <v>0</v>
      </c>
      <c r="O1157" s="1" t="str">
        <f t="shared" si="2249"/>
        <v>0</v>
      </c>
      <c r="P1157" s="1" t="str">
        <f t="shared" si="2249"/>
        <v>0</v>
      </c>
      <c r="Q1157" s="1" t="str">
        <f t="shared" si="2243"/>
        <v>0.0070</v>
      </c>
      <c r="R1157" s="1" t="s">
        <v>29</v>
      </c>
      <c r="S1157" s="1">
        <v>-0.0014</v>
      </c>
      <c r="T1157" s="1" t="str">
        <f t="shared" si="2244"/>
        <v>0</v>
      </c>
      <c r="U1157" s="1" t="str">
        <f t="shared" si="2245"/>
        <v>0.0056</v>
      </c>
    </row>
    <row r="1158" s="1" customFormat="1" spans="1:21">
      <c r="A1158" s="1" t="str">
        <f>"4601992011880"</f>
        <v>4601992011880</v>
      </c>
      <c r="B1158" s="1" t="s">
        <v>1182</v>
      </c>
      <c r="C1158" s="1" t="s">
        <v>24</v>
      </c>
      <c r="D1158" s="1" t="str">
        <f t="shared" si="2240"/>
        <v>2021</v>
      </c>
      <c r="E1158" s="1" t="str">
        <f>"124.92"</f>
        <v>124.92</v>
      </c>
      <c r="F1158" s="1" t="str">
        <f t="shared" ref="F1158:I1158" si="2250">"0"</f>
        <v>0</v>
      </c>
      <c r="G1158" s="1" t="str">
        <f t="shared" si="2250"/>
        <v>0</v>
      </c>
      <c r="H1158" s="1" t="str">
        <f t="shared" si="2250"/>
        <v>0</v>
      </c>
      <c r="I1158" s="1" t="str">
        <f t="shared" si="2250"/>
        <v>0</v>
      </c>
      <c r="J1158" s="1" t="str">
        <f>"10"</f>
        <v>10</v>
      </c>
      <c r="K1158" s="1" t="str">
        <f t="shared" ref="K1158:P1158" si="2251">"0"</f>
        <v>0</v>
      </c>
      <c r="L1158" s="1" t="str">
        <f t="shared" si="2251"/>
        <v>0</v>
      </c>
      <c r="M1158" s="1" t="str">
        <f t="shared" si="2251"/>
        <v>0</v>
      </c>
      <c r="N1158" s="1" t="str">
        <f t="shared" si="2251"/>
        <v>0</v>
      </c>
      <c r="O1158" s="1" t="str">
        <f t="shared" si="2251"/>
        <v>0</v>
      </c>
      <c r="P1158" s="1" t="str">
        <f t="shared" si="2251"/>
        <v>0</v>
      </c>
      <c r="Q1158" s="1" t="str">
        <f t="shared" si="2243"/>
        <v>0.0070</v>
      </c>
      <c r="R1158" s="1" t="s">
        <v>29</v>
      </c>
      <c r="S1158" s="1">
        <v>-0.0014</v>
      </c>
      <c r="T1158" s="1" t="str">
        <f t="shared" si="2244"/>
        <v>0</v>
      </c>
      <c r="U1158" s="1" t="str">
        <f t="shared" si="2245"/>
        <v>0.0056</v>
      </c>
    </row>
    <row r="1159" s="1" customFormat="1" spans="1:21">
      <c r="A1159" s="1" t="str">
        <f>"4601992011920"</f>
        <v>4601992011920</v>
      </c>
      <c r="B1159" s="1" t="s">
        <v>1183</v>
      </c>
      <c r="C1159" s="1" t="s">
        <v>24</v>
      </c>
      <c r="D1159" s="1" t="str">
        <f t="shared" si="2240"/>
        <v>2021</v>
      </c>
      <c r="E1159" s="1" t="str">
        <f>"36.27"</f>
        <v>36.27</v>
      </c>
      <c r="F1159" s="1" t="str">
        <f t="shared" ref="F1159:I1159" si="2252">"0"</f>
        <v>0</v>
      </c>
      <c r="G1159" s="1" t="str">
        <f t="shared" si="2252"/>
        <v>0</v>
      </c>
      <c r="H1159" s="1" t="str">
        <f t="shared" si="2252"/>
        <v>0</v>
      </c>
      <c r="I1159" s="1" t="str">
        <f t="shared" si="2252"/>
        <v>0</v>
      </c>
      <c r="J1159" s="1" t="str">
        <f>"3"</f>
        <v>3</v>
      </c>
      <c r="K1159" s="1" t="str">
        <f t="shared" ref="K1159:P1159" si="2253">"0"</f>
        <v>0</v>
      </c>
      <c r="L1159" s="1" t="str">
        <f t="shared" si="2253"/>
        <v>0</v>
      </c>
      <c r="M1159" s="1" t="str">
        <f t="shared" si="2253"/>
        <v>0</v>
      </c>
      <c r="N1159" s="1" t="str">
        <f t="shared" si="2253"/>
        <v>0</v>
      </c>
      <c r="O1159" s="1" t="str">
        <f t="shared" si="2253"/>
        <v>0</v>
      </c>
      <c r="P1159" s="1" t="str">
        <f t="shared" si="2253"/>
        <v>0</v>
      </c>
      <c r="Q1159" s="1" t="str">
        <f t="shared" si="2243"/>
        <v>0.0070</v>
      </c>
      <c r="R1159" s="1" t="s">
        <v>29</v>
      </c>
      <c r="S1159" s="1">
        <v>-0.0014</v>
      </c>
      <c r="T1159" s="1" t="str">
        <f t="shared" si="2244"/>
        <v>0</v>
      </c>
      <c r="U1159" s="1" t="str">
        <f t="shared" si="2245"/>
        <v>0.0056</v>
      </c>
    </row>
    <row r="1160" s="1" customFormat="1" spans="1:21">
      <c r="A1160" s="1" t="str">
        <f>"4601992011933"</f>
        <v>4601992011933</v>
      </c>
      <c r="B1160" s="1" t="s">
        <v>1184</v>
      </c>
      <c r="C1160" s="1" t="s">
        <v>24</v>
      </c>
      <c r="D1160" s="1" t="str">
        <f t="shared" si="2240"/>
        <v>2021</v>
      </c>
      <c r="E1160" s="1" t="str">
        <f>"36.27"</f>
        <v>36.27</v>
      </c>
      <c r="F1160" s="1" t="str">
        <f t="shared" ref="F1160:I1160" si="2254">"0"</f>
        <v>0</v>
      </c>
      <c r="G1160" s="1" t="str">
        <f t="shared" si="2254"/>
        <v>0</v>
      </c>
      <c r="H1160" s="1" t="str">
        <f t="shared" si="2254"/>
        <v>0</v>
      </c>
      <c r="I1160" s="1" t="str">
        <f t="shared" si="2254"/>
        <v>0</v>
      </c>
      <c r="J1160" s="1" t="str">
        <f>"2"</f>
        <v>2</v>
      </c>
      <c r="K1160" s="1" t="str">
        <f t="shared" ref="K1160:P1160" si="2255">"0"</f>
        <v>0</v>
      </c>
      <c r="L1160" s="1" t="str">
        <f t="shared" si="2255"/>
        <v>0</v>
      </c>
      <c r="M1160" s="1" t="str">
        <f t="shared" si="2255"/>
        <v>0</v>
      </c>
      <c r="N1160" s="1" t="str">
        <f t="shared" si="2255"/>
        <v>0</v>
      </c>
      <c r="O1160" s="1" t="str">
        <f t="shared" si="2255"/>
        <v>0</v>
      </c>
      <c r="P1160" s="1" t="str">
        <f t="shared" si="2255"/>
        <v>0</v>
      </c>
      <c r="Q1160" s="1" t="str">
        <f t="shared" si="2243"/>
        <v>0.0070</v>
      </c>
      <c r="R1160" s="1" t="s">
        <v>29</v>
      </c>
      <c r="S1160" s="1">
        <v>-0.0014</v>
      </c>
      <c r="T1160" s="1" t="str">
        <f t="shared" si="2244"/>
        <v>0</v>
      </c>
      <c r="U1160" s="1" t="str">
        <f t="shared" si="2245"/>
        <v>0.0056</v>
      </c>
    </row>
    <row r="1161" s="1" customFormat="1" spans="1:21">
      <c r="A1161" s="1" t="str">
        <f>"4601992011927"</f>
        <v>4601992011927</v>
      </c>
      <c r="B1161" s="1" t="s">
        <v>1185</v>
      </c>
      <c r="C1161" s="1" t="s">
        <v>24</v>
      </c>
      <c r="D1161" s="1" t="str">
        <f t="shared" si="2240"/>
        <v>2021</v>
      </c>
      <c r="E1161" s="1" t="str">
        <f>"262.15"</f>
        <v>262.15</v>
      </c>
      <c r="F1161" s="1" t="str">
        <f t="shared" ref="F1161:I1161" si="2256">"0"</f>
        <v>0</v>
      </c>
      <c r="G1161" s="1" t="str">
        <f t="shared" si="2256"/>
        <v>0</v>
      </c>
      <c r="H1161" s="1" t="str">
        <f t="shared" si="2256"/>
        <v>0</v>
      </c>
      <c r="I1161" s="1" t="str">
        <f t="shared" si="2256"/>
        <v>0</v>
      </c>
      <c r="J1161" s="1" t="str">
        <f>"20"</f>
        <v>20</v>
      </c>
      <c r="K1161" s="1" t="str">
        <f t="shared" ref="K1161:P1161" si="2257">"0"</f>
        <v>0</v>
      </c>
      <c r="L1161" s="1" t="str">
        <f t="shared" si="2257"/>
        <v>0</v>
      </c>
      <c r="M1161" s="1" t="str">
        <f t="shared" si="2257"/>
        <v>0</v>
      </c>
      <c r="N1161" s="1" t="str">
        <f t="shared" si="2257"/>
        <v>0</v>
      </c>
      <c r="O1161" s="1" t="str">
        <f t="shared" si="2257"/>
        <v>0</v>
      </c>
      <c r="P1161" s="1" t="str">
        <f t="shared" si="2257"/>
        <v>0</v>
      </c>
      <c r="Q1161" s="1" t="str">
        <f t="shared" si="2243"/>
        <v>0.0070</v>
      </c>
      <c r="R1161" s="1" t="s">
        <v>29</v>
      </c>
      <c r="S1161" s="1">
        <v>-0.0014</v>
      </c>
      <c r="T1161" s="1" t="str">
        <f t="shared" si="2244"/>
        <v>0</v>
      </c>
      <c r="U1161" s="1" t="str">
        <f t="shared" si="2245"/>
        <v>0.0056</v>
      </c>
    </row>
    <row r="1162" s="1" customFormat="1" spans="1:21">
      <c r="A1162" s="1" t="str">
        <f>"4601992011947"</f>
        <v>4601992011947</v>
      </c>
      <c r="B1162" s="1" t="s">
        <v>1186</v>
      </c>
      <c r="C1162" s="1" t="s">
        <v>24</v>
      </c>
      <c r="D1162" s="1" t="str">
        <f t="shared" si="2240"/>
        <v>2021</v>
      </c>
      <c r="E1162" s="1" t="str">
        <f>"48.25"</f>
        <v>48.25</v>
      </c>
      <c r="F1162" s="1" t="str">
        <f t="shared" ref="F1162:I1162" si="2258">"0"</f>
        <v>0</v>
      </c>
      <c r="G1162" s="1" t="str">
        <f t="shared" si="2258"/>
        <v>0</v>
      </c>
      <c r="H1162" s="1" t="str">
        <f t="shared" si="2258"/>
        <v>0</v>
      </c>
      <c r="I1162" s="1" t="str">
        <f t="shared" si="2258"/>
        <v>0</v>
      </c>
      <c r="J1162" s="1" t="str">
        <f>"4"</f>
        <v>4</v>
      </c>
      <c r="K1162" s="1" t="str">
        <f t="shared" ref="K1162:P1162" si="2259">"0"</f>
        <v>0</v>
      </c>
      <c r="L1162" s="1" t="str">
        <f t="shared" si="2259"/>
        <v>0</v>
      </c>
      <c r="M1162" s="1" t="str">
        <f t="shared" si="2259"/>
        <v>0</v>
      </c>
      <c r="N1162" s="1" t="str">
        <f t="shared" si="2259"/>
        <v>0</v>
      </c>
      <c r="O1162" s="1" t="str">
        <f t="shared" si="2259"/>
        <v>0</v>
      </c>
      <c r="P1162" s="1" t="str">
        <f t="shared" si="2259"/>
        <v>0</v>
      </c>
      <c r="Q1162" s="1" t="str">
        <f t="shared" si="2243"/>
        <v>0.0070</v>
      </c>
      <c r="R1162" s="1" t="s">
        <v>29</v>
      </c>
      <c r="S1162" s="1">
        <v>-0.0014</v>
      </c>
      <c r="T1162" s="1" t="str">
        <f t="shared" si="2244"/>
        <v>0</v>
      </c>
      <c r="U1162" s="1" t="str">
        <f t="shared" si="2245"/>
        <v>0.0056</v>
      </c>
    </row>
    <row r="1163" s="1" customFormat="1" spans="1:21">
      <c r="A1163" s="1" t="str">
        <f>"4601992011972"</f>
        <v>4601992011972</v>
      </c>
      <c r="B1163" s="1" t="s">
        <v>1187</v>
      </c>
      <c r="C1163" s="1" t="s">
        <v>24</v>
      </c>
      <c r="D1163" s="1" t="str">
        <f t="shared" si="2240"/>
        <v>2021</v>
      </c>
      <c r="E1163" s="1" t="str">
        <f>"133.51"</f>
        <v>133.51</v>
      </c>
      <c r="F1163" s="1" t="str">
        <f t="shared" ref="F1163:I1163" si="2260">"0"</f>
        <v>0</v>
      </c>
      <c r="G1163" s="1" t="str">
        <f t="shared" si="2260"/>
        <v>0</v>
      </c>
      <c r="H1163" s="1" t="str">
        <f t="shared" si="2260"/>
        <v>0</v>
      </c>
      <c r="I1163" s="1" t="str">
        <f t="shared" si="2260"/>
        <v>0</v>
      </c>
      <c r="J1163" s="1" t="str">
        <f>"11"</f>
        <v>11</v>
      </c>
      <c r="K1163" s="1" t="str">
        <f t="shared" ref="K1163:P1163" si="2261">"0"</f>
        <v>0</v>
      </c>
      <c r="L1163" s="1" t="str">
        <f t="shared" si="2261"/>
        <v>0</v>
      </c>
      <c r="M1163" s="1" t="str">
        <f t="shared" si="2261"/>
        <v>0</v>
      </c>
      <c r="N1163" s="1" t="str">
        <f t="shared" si="2261"/>
        <v>0</v>
      </c>
      <c r="O1163" s="1" t="str">
        <f t="shared" si="2261"/>
        <v>0</v>
      </c>
      <c r="P1163" s="1" t="str">
        <f t="shared" si="2261"/>
        <v>0</v>
      </c>
      <c r="Q1163" s="1" t="str">
        <f t="shared" si="2243"/>
        <v>0.0070</v>
      </c>
      <c r="R1163" s="1" t="s">
        <v>29</v>
      </c>
      <c r="S1163" s="1">
        <v>-0.0014</v>
      </c>
      <c r="T1163" s="1" t="str">
        <f t="shared" si="2244"/>
        <v>0</v>
      </c>
      <c r="U1163" s="1" t="str">
        <f t="shared" si="2245"/>
        <v>0.0056</v>
      </c>
    </row>
    <row r="1164" s="1" customFormat="1" spans="1:21">
      <c r="A1164" s="1" t="str">
        <f>"4601992012013"</f>
        <v>4601992012013</v>
      </c>
      <c r="B1164" s="1" t="s">
        <v>1188</v>
      </c>
      <c r="C1164" s="1" t="s">
        <v>24</v>
      </c>
      <c r="D1164" s="1" t="str">
        <f t="shared" si="2240"/>
        <v>2021</v>
      </c>
      <c r="E1164" s="1" t="str">
        <f t="shared" ref="E1164:P1164" si="2262">"0"</f>
        <v>0</v>
      </c>
      <c r="F1164" s="1" t="str">
        <f t="shared" si="2262"/>
        <v>0</v>
      </c>
      <c r="G1164" s="1" t="str">
        <f t="shared" si="2262"/>
        <v>0</v>
      </c>
      <c r="H1164" s="1" t="str">
        <f t="shared" si="2262"/>
        <v>0</v>
      </c>
      <c r="I1164" s="1" t="str">
        <f t="shared" si="2262"/>
        <v>0</v>
      </c>
      <c r="J1164" s="1" t="str">
        <f t="shared" si="2262"/>
        <v>0</v>
      </c>
      <c r="K1164" s="1" t="str">
        <f t="shared" si="2262"/>
        <v>0</v>
      </c>
      <c r="L1164" s="1" t="str">
        <f t="shared" si="2262"/>
        <v>0</v>
      </c>
      <c r="M1164" s="1" t="str">
        <f t="shared" si="2262"/>
        <v>0</v>
      </c>
      <c r="N1164" s="1" t="str">
        <f t="shared" si="2262"/>
        <v>0</v>
      </c>
      <c r="O1164" s="1" t="str">
        <f t="shared" si="2262"/>
        <v>0</v>
      </c>
      <c r="P1164" s="1" t="str">
        <f t="shared" si="2262"/>
        <v>0</v>
      </c>
      <c r="Q1164" s="1" t="str">
        <f t="shared" si="2243"/>
        <v>0.0070</v>
      </c>
      <c r="R1164" s="1" t="s">
        <v>25</v>
      </c>
      <c r="T1164" s="1" t="str">
        <f t="shared" si="2244"/>
        <v>0</v>
      </c>
      <c r="U1164" s="1" t="str">
        <f t="shared" ref="U1164:U1166" si="2263">"0.0070"</f>
        <v>0.0070</v>
      </c>
    </row>
    <row r="1165" s="1" customFormat="1" spans="1:21">
      <c r="A1165" s="1" t="str">
        <f>"4601992011979"</f>
        <v>4601992011979</v>
      </c>
      <c r="B1165" s="1" t="s">
        <v>1189</v>
      </c>
      <c r="C1165" s="1" t="s">
        <v>24</v>
      </c>
      <c r="D1165" s="1" t="str">
        <f t="shared" si="2240"/>
        <v>2021</v>
      </c>
      <c r="E1165" s="1" t="str">
        <f t="shared" ref="E1165:I1165" si="2264">"0"</f>
        <v>0</v>
      </c>
      <c r="F1165" s="1" t="str">
        <f t="shared" si="2264"/>
        <v>0</v>
      </c>
      <c r="G1165" s="1" t="str">
        <f t="shared" si="2264"/>
        <v>0</v>
      </c>
      <c r="H1165" s="1" t="str">
        <f t="shared" si="2264"/>
        <v>0</v>
      </c>
      <c r="I1165" s="1" t="str">
        <f t="shared" si="2264"/>
        <v>0</v>
      </c>
      <c r="J1165" s="1" t="str">
        <f>"17"</f>
        <v>17</v>
      </c>
      <c r="K1165" s="1" t="str">
        <f t="shared" ref="K1165:P1165" si="2265">"0"</f>
        <v>0</v>
      </c>
      <c r="L1165" s="1" t="str">
        <f t="shared" si="2265"/>
        <v>0</v>
      </c>
      <c r="M1165" s="1" t="str">
        <f t="shared" si="2265"/>
        <v>0</v>
      </c>
      <c r="N1165" s="1" t="str">
        <f t="shared" si="2265"/>
        <v>0</v>
      </c>
      <c r="O1165" s="1" t="str">
        <f t="shared" si="2265"/>
        <v>0</v>
      </c>
      <c r="P1165" s="1" t="str">
        <f t="shared" si="2265"/>
        <v>0</v>
      </c>
      <c r="Q1165" s="1" t="str">
        <f t="shared" si="2243"/>
        <v>0.0070</v>
      </c>
      <c r="R1165" s="1" t="s">
        <v>25</v>
      </c>
      <c r="T1165" s="1" t="str">
        <f t="shared" si="2244"/>
        <v>0</v>
      </c>
      <c r="U1165" s="1" t="str">
        <f t="shared" si="2263"/>
        <v>0.0070</v>
      </c>
    </row>
    <row r="1166" s="1" customFormat="1" spans="1:21">
      <c r="A1166" s="1" t="str">
        <f>"4601992012020"</f>
        <v>4601992012020</v>
      </c>
      <c r="B1166" s="1" t="s">
        <v>1190</v>
      </c>
      <c r="C1166" s="1" t="s">
        <v>24</v>
      </c>
      <c r="D1166" s="1" t="str">
        <f t="shared" si="2240"/>
        <v>2021</v>
      </c>
      <c r="E1166" s="1" t="str">
        <f t="shared" ref="E1166:P1166" si="2266">"0"</f>
        <v>0</v>
      </c>
      <c r="F1166" s="1" t="str">
        <f t="shared" si="2266"/>
        <v>0</v>
      </c>
      <c r="G1166" s="1" t="str">
        <f t="shared" si="2266"/>
        <v>0</v>
      </c>
      <c r="H1166" s="1" t="str">
        <f t="shared" si="2266"/>
        <v>0</v>
      </c>
      <c r="I1166" s="1" t="str">
        <f t="shared" si="2266"/>
        <v>0</v>
      </c>
      <c r="J1166" s="1" t="str">
        <f t="shared" si="2266"/>
        <v>0</v>
      </c>
      <c r="K1166" s="1" t="str">
        <f t="shared" si="2266"/>
        <v>0</v>
      </c>
      <c r="L1166" s="1" t="str">
        <f t="shared" si="2266"/>
        <v>0</v>
      </c>
      <c r="M1166" s="1" t="str">
        <f t="shared" si="2266"/>
        <v>0</v>
      </c>
      <c r="N1166" s="1" t="str">
        <f t="shared" si="2266"/>
        <v>0</v>
      </c>
      <c r="O1166" s="1" t="str">
        <f t="shared" si="2266"/>
        <v>0</v>
      </c>
      <c r="P1166" s="1" t="str">
        <f t="shared" si="2266"/>
        <v>0</v>
      </c>
      <c r="Q1166" s="1" t="str">
        <f t="shared" si="2243"/>
        <v>0.0070</v>
      </c>
      <c r="R1166" s="1" t="s">
        <v>25</v>
      </c>
      <c r="T1166" s="1" t="str">
        <f t="shared" si="2244"/>
        <v>0</v>
      </c>
      <c r="U1166" s="1" t="str">
        <f t="shared" si="2263"/>
        <v>0.0070</v>
      </c>
    </row>
    <row r="1167" s="1" customFormat="1" spans="1:21">
      <c r="A1167" s="1" t="str">
        <f>"4601992011974"</f>
        <v>4601992011974</v>
      </c>
      <c r="B1167" s="1" t="s">
        <v>1191</v>
      </c>
      <c r="C1167" s="1" t="s">
        <v>24</v>
      </c>
      <c r="D1167" s="1" t="str">
        <f t="shared" si="2240"/>
        <v>2021</v>
      </c>
      <c r="E1167" s="1" t="str">
        <f>"71.88"</f>
        <v>71.88</v>
      </c>
      <c r="F1167" s="1" t="str">
        <f t="shared" ref="F1167:I1167" si="2267">"0"</f>
        <v>0</v>
      </c>
      <c r="G1167" s="1" t="str">
        <f t="shared" si="2267"/>
        <v>0</v>
      </c>
      <c r="H1167" s="1" t="str">
        <f t="shared" si="2267"/>
        <v>0</v>
      </c>
      <c r="I1167" s="1" t="str">
        <f t="shared" si="2267"/>
        <v>0</v>
      </c>
      <c r="J1167" s="1" t="str">
        <f>"2"</f>
        <v>2</v>
      </c>
      <c r="K1167" s="1" t="str">
        <f t="shared" ref="K1167:P1167" si="2268">"0"</f>
        <v>0</v>
      </c>
      <c r="L1167" s="1" t="str">
        <f t="shared" si="2268"/>
        <v>0</v>
      </c>
      <c r="M1167" s="1" t="str">
        <f t="shared" si="2268"/>
        <v>0</v>
      </c>
      <c r="N1167" s="1" t="str">
        <f t="shared" si="2268"/>
        <v>0</v>
      </c>
      <c r="O1167" s="1" t="str">
        <f t="shared" si="2268"/>
        <v>0</v>
      </c>
      <c r="P1167" s="1" t="str">
        <f t="shared" si="2268"/>
        <v>0</v>
      </c>
      <c r="Q1167" s="1" t="str">
        <f t="shared" si="2243"/>
        <v>0.0070</v>
      </c>
      <c r="R1167" s="1" t="s">
        <v>29</v>
      </c>
      <c r="S1167" s="1">
        <v>-0.0014</v>
      </c>
      <c r="T1167" s="1" t="str">
        <f t="shared" si="2244"/>
        <v>0</v>
      </c>
      <c r="U1167" s="1" t="str">
        <f t="shared" ref="U1167:U1172" si="2269">"0.0056"</f>
        <v>0.0056</v>
      </c>
    </row>
    <row r="1168" s="1" customFormat="1" spans="1:21">
      <c r="A1168" s="1" t="str">
        <f>"4601992012186"</f>
        <v>4601992012186</v>
      </c>
      <c r="B1168" s="1" t="s">
        <v>1192</v>
      </c>
      <c r="C1168" s="1" t="s">
        <v>24</v>
      </c>
      <c r="D1168" s="1" t="str">
        <f t="shared" si="2240"/>
        <v>2021</v>
      </c>
      <c r="E1168" s="1" t="str">
        <f>"107.82"</f>
        <v>107.82</v>
      </c>
      <c r="F1168" s="1" t="str">
        <f t="shared" ref="F1168:I1168" si="2270">"0"</f>
        <v>0</v>
      </c>
      <c r="G1168" s="1" t="str">
        <f t="shared" si="2270"/>
        <v>0</v>
      </c>
      <c r="H1168" s="1" t="str">
        <f t="shared" si="2270"/>
        <v>0</v>
      </c>
      <c r="I1168" s="1" t="str">
        <f t="shared" si="2270"/>
        <v>0</v>
      </c>
      <c r="J1168" s="1" t="str">
        <f>"18"</f>
        <v>18</v>
      </c>
      <c r="K1168" s="1" t="str">
        <f t="shared" ref="K1168:P1168" si="2271">"0"</f>
        <v>0</v>
      </c>
      <c r="L1168" s="1" t="str">
        <f t="shared" si="2271"/>
        <v>0</v>
      </c>
      <c r="M1168" s="1" t="str">
        <f t="shared" si="2271"/>
        <v>0</v>
      </c>
      <c r="N1168" s="1" t="str">
        <f t="shared" si="2271"/>
        <v>0</v>
      </c>
      <c r="O1168" s="1" t="str">
        <f t="shared" si="2271"/>
        <v>0</v>
      </c>
      <c r="P1168" s="1" t="str">
        <f t="shared" si="2271"/>
        <v>0</v>
      </c>
      <c r="Q1168" s="1" t="str">
        <f t="shared" si="2243"/>
        <v>0.0070</v>
      </c>
      <c r="R1168" s="1" t="s">
        <v>29</v>
      </c>
      <c r="S1168" s="1">
        <v>-0.0014</v>
      </c>
      <c r="T1168" s="1" t="str">
        <f t="shared" si="2244"/>
        <v>0</v>
      </c>
      <c r="U1168" s="1" t="str">
        <f t="shared" si="2269"/>
        <v>0.0056</v>
      </c>
    </row>
    <row r="1169" s="1" customFormat="1" spans="1:21">
      <c r="A1169" s="1" t="str">
        <f>"4601992012066"</f>
        <v>4601992012066</v>
      </c>
      <c r="B1169" s="1" t="s">
        <v>1193</v>
      </c>
      <c r="C1169" s="1" t="s">
        <v>24</v>
      </c>
      <c r="D1169" s="1" t="str">
        <f t="shared" si="2240"/>
        <v>2021</v>
      </c>
      <c r="E1169" s="1" t="str">
        <f>"36.27"</f>
        <v>36.27</v>
      </c>
      <c r="F1169" s="1" t="str">
        <f t="shared" ref="F1169:I1169" si="2272">"0"</f>
        <v>0</v>
      </c>
      <c r="G1169" s="1" t="str">
        <f t="shared" si="2272"/>
        <v>0</v>
      </c>
      <c r="H1169" s="1" t="str">
        <f t="shared" si="2272"/>
        <v>0</v>
      </c>
      <c r="I1169" s="1" t="str">
        <f t="shared" si="2272"/>
        <v>0</v>
      </c>
      <c r="J1169" s="1" t="str">
        <f>"5"</f>
        <v>5</v>
      </c>
      <c r="K1169" s="1" t="str">
        <f t="shared" ref="K1169:P1169" si="2273">"0"</f>
        <v>0</v>
      </c>
      <c r="L1169" s="1" t="str">
        <f t="shared" si="2273"/>
        <v>0</v>
      </c>
      <c r="M1169" s="1" t="str">
        <f t="shared" si="2273"/>
        <v>0</v>
      </c>
      <c r="N1169" s="1" t="str">
        <f t="shared" si="2273"/>
        <v>0</v>
      </c>
      <c r="O1169" s="1" t="str">
        <f t="shared" si="2273"/>
        <v>0</v>
      </c>
      <c r="P1169" s="1" t="str">
        <f t="shared" si="2273"/>
        <v>0</v>
      </c>
      <c r="Q1169" s="1" t="str">
        <f t="shared" si="2243"/>
        <v>0.0070</v>
      </c>
      <c r="R1169" s="1" t="s">
        <v>29</v>
      </c>
      <c r="S1169" s="1">
        <v>-0.0014</v>
      </c>
      <c r="T1169" s="1" t="str">
        <f t="shared" si="2244"/>
        <v>0</v>
      </c>
      <c r="U1169" s="1" t="str">
        <f t="shared" si="2269"/>
        <v>0.0056</v>
      </c>
    </row>
    <row r="1170" s="1" customFormat="1" spans="1:21">
      <c r="A1170" s="1" t="str">
        <f>"4601992012084"</f>
        <v>4601992012084</v>
      </c>
      <c r="B1170" s="1" t="s">
        <v>1194</v>
      </c>
      <c r="C1170" s="1" t="s">
        <v>24</v>
      </c>
      <c r="D1170" s="1" t="str">
        <f t="shared" si="2240"/>
        <v>2021</v>
      </c>
      <c r="E1170" s="1" t="str">
        <f>"24.18"</f>
        <v>24.18</v>
      </c>
      <c r="F1170" s="1" t="str">
        <f t="shared" ref="F1170:I1170" si="2274">"0"</f>
        <v>0</v>
      </c>
      <c r="G1170" s="1" t="str">
        <f t="shared" si="2274"/>
        <v>0</v>
      </c>
      <c r="H1170" s="1" t="str">
        <f t="shared" si="2274"/>
        <v>0</v>
      </c>
      <c r="I1170" s="1" t="str">
        <f t="shared" si="2274"/>
        <v>0</v>
      </c>
      <c r="J1170" s="1" t="str">
        <f>"3"</f>
        <v>3</v>
      </c>
      <c r="K1170" s="1" t="str">
        <f t="shared" ref="K1170:P1170" si="2275">"0"</f>
        <v>0</v>
      </c>
      <c r="L1170" s="1" t="str">
        <f t="shared" si="2275"/>
        <v>0</v>
      </c>
      <c r="M1170" s="1" t="str">
        <f t="shared" si="2275"/>
        <v>0</v>
      </c>
      <c r="N1170" s="1" t="str">
        <f t="shared" si="2275"/>
        <v>0</v>
      </c>
      <c r="O1170" s="1" t="str">
        <f t="shared" si="2275"/>
        <v>0</v>
      </c>
      <c r="P1170" s="1" t="str">
        <f t="shared" si="2275"/>
        <v>0</v>
      </c>
      <c r="Q1170" s="1" t="str">
        <f t="shared" si="2243"/>
        <v>0.0070</v>
      </c>
      <c r="R1170" s="1" t="s">
        <v>29</v>
      </c>
      <c r="S1170" s="1">
        <v>-0.0014</v>
      </c>
      <c r="T1170" s="1" t="str">
        <f t="shared" si="2244"/>
        <v>0</v>
      </c>
      <c r="U1170" s="1" t="str">
        <f t="shared" si="2269"/>
        <v>0.0056</v>
      </c>
    </row>
    <row r="1171" s="1" customFormat="1" spans="1:21">
      <c r="A1171" s="1" t="str">
        <f>"4601992012208"</f>
        <v>4601992012208</v>
      </c>
      <c r="B1171" s="1" t="s">
        <v>1195</v>
      </c>
      <c r="C1171" s="1" t="s">
        <v>24</v>
      </c>
      <c r="D1171" s="1" t="str">
        <f t="shared" si="2240"/>
        <v>2021</v>
      </c>
      <c r="E1171" s="1" t="str">
        <f>"48.36"</f>
        <v>48.36</v>
      </c>
      <c r="F1171" s="1" t="str">
        <f t="shared" ref="F1171:I1171" si="2276">"0"</f>
        <v>0</v>
      </c>
      <c r="G1171" s="1" t="str">
        <f t="shared" si="2276"/>
        <v>0</v>
      </c>
      <c r="H1171" s="1" t="str">
        <f t="shared" si="2276"/>
        <v>0</v>
      </c>
      <c r="I1171" s="1" t="str">
        <f t="shared" si="2276"/>
        <v>0</v>
      </c>
      <c r="J1171" s="1" t="str">
        <f>"6"</f>
        <v>6</v>
      </c>
      <c r="K1171" s="1" t="str">
        <f t="shared" ref="K1171:P1171" si="2277">"0"</f>
        <v>0</v>
      </c>
      <c r="L1171" s="1" t="str">
        <f t="shared" si="2277"/>
        <v>0</v>
      </c>
      <c r="M1171" s="1" t="str">
        <f t="shared" si="2277"/>
        <v>0</v>
      </c>
      <c r="N1171" s="1" t="str">
        <f t="shared" si="2277"/>
        <v>0</v>
      </c>
      <c r="O1171" s="1" t="str">
        <f t="shared" si="2277"/>
        <v>0</v>
      </c>
      <c r="P1171" s="1" t="str">
        <f t="shared" si="2277"/>
        <v>0</v>
      </c>
      <c r="Q1171" s="1" t="str">
        <f t="shared" si="2243"/>
        <v>0.0070</v>
      </c>
      <c r="R1171" s="1" t="s">
        <v>29</v>
      </c>
      <c r="S1171" s="1">
        <v>-0.0014</v>
      </c>
      <c r="T1171" s="1" t="str">
        <f t="shared" si="2244"/>
        <v>0</v>
      </c>
      <c r="U1171" s="1" t="str">
        <f t="shared" si="2269"/>
        <v>0.0056</v>
      </c>
    </row>
    <row r="1172" s="1" customFormat="1" spans="1:21">
      <c r="A1172" s="1" t="str">
        <f>"4601991418484"</f>
        <v>4601991418484</v>
      </c>
      <c r="B1172" s="1" t="s">
        <v>1196</v>
      </c>
      <c r="C1172" s="1" t="s">
        <v>24</v>
      </c>
      <c r="D1172" s="1" t="str">
        <f t="shared" si="2240"/>
        <v>2021</v>
      </c>
      <c r="E1172" s="1" t="str">
        <f>"225.09"</f>
        <v>225.09</v>
      </c>
      <c r="F1172" s="1" t="str">
        <f t="shared" ref="F1172:I1172" si="2278">"0"</f>
        <v>0</v>
      </c>
      <c r="G1172" s="1" t="str">
        <f t="shared" si="2278"/>
        <v>0</v>
      </c>
      <c r="H1172" s="1" t="str">
        <f t="shared" si="2278"/>
        <v>0</v>
      </c>
      <c r="I1172" s="1" t="str">
        <f t="shared" si="2278"/>
        <v>0</v>
      </c>
      <c r="J1172" s="1" t="str">
        <f>"16"</f>
        <v>16</v>
      </c>
      <c r="K1172" s="1" t="str">
        <f t="shared" ref="K1172:P1172" si="2279">"0"</f>
        <v>0</v>
      </c>
      <c r="L1172" s="1" t="str">
        <f t="shared" si="2279"/>
        <v>0</v>
      </c>
      <c r="M1172" s="1" t="str">
        <f t="shared" si="2279"/>
        <v>0</v>
      </c>
      <c r="N1172" s="1" t="str">
        <f t="shared" si="2279"/>
        <v>0</v>
      </c>
      <c r="O1172" s="1" t="str">
        <f t="shared" si="2279"/>
        <v>0</v>
      </c>
      <c r="P1172" s="1" t="str">
        <f t="shared" si="2279"/>
        <v>0</v>
      </c>
      <c r="Q1172" s="1" t="str">
        <f t="shared" si="2243"/>
        <v>0.0070</v>
      </c>
      <c r="R1172" s="1" t="s">
        <v>29</v>
      </c>
      <c r="S1172" s="1">
        <v>-0.0014</v>
      </c>
      <c r="T1172" s="1" t="str">
        <f t="shared" si="2244"/>
        <v>0</v>
      </c>
      <c r="U1172" s="1" t="str">
        <f t="shared" si="2269"/>
        <v>0.0056</v>
      </c>
    </row>
    <row r="1173" s="1" customFormat="1" spans="1:21">
      <c r="A1173" s="1" t="str">
        <f>"4601992012282"</f>
        <v>4601992012282</v>
      </c>
      <c r="B1173" s="1" t="s">
        <v>1197</v>
      </c>
      <c r="C1173" s="1" t="s">
        <v>24</v>
      </c>
      <c r="D1173" s="1" t="str">
        <f t="shared" si="2240"/>
        <v>2021</v>
      </c>
      <c r="E1173" s="1" t="str">
        <f t="shared" ref="E1173:P1173" si="2280">"0"</f>
        <v>0</v>
      </c>
      <c r="F1173" s="1" t="str">
        <f t="shared" si="2280"/>
        <v>0</v>
      </c>
      <c r="G1173" s="1" t="str">
        <f t="shared" si="2280"/>
        <v>0</v>
      </c>
      <c r="H1173" s="1" t="str">
        <f t="shared" si="2280"/>
        <v>0</v>
      </c>
      <c r="I1173" s="1" t="str">
        <f t="shared" si="2280"/>
        <v>0</v>
      </c>
      <c r="J1173" s="1" t="str">
        <f t="shared" si="2280"/>
        <v>0</v>
      </c>
      <c r="K1173" s="1" t="str">
        <f t="shared" si="2280"/>
        <v>0</v>
      </c>
      <c r="L1173" s="1" t="str">
        <f t="shared" si="2280"/>
        <v>0</v>
      </c>
      <c r="M1173" s="1" t="str">
        <f t="shared" si="2280"/>
        <v>0</v>
      </c>
      <c r="N1173" s="1" t="str">
        <f t="shared" si="2280"/>
        <v>0</v>
      </c>
      <c r="O1173" s="1" t="str">
        <f t="shared" si="2280"/>
        <v>0</v>
      </c>
      <c r="P1173" s="1" t="str">
        <f t="shared" si="2280"/>
        <v>0</v>
      </c>
      <c r="Q1173" s="1" t="str">
        <f t="shared" si="2243"/>
        <v>0.0070</v>
      </c>
      <c r="R1173" s="1" t="s">
        <v>25</v>
      </c>
      <c r="T1173" s="1" t="str">
        <f t="shared" si="2244"/>
        <v>0</v>
      </c>
      <c r="U1173" s="1" t="str">
        <f t="shared" ref="U1173:U1176" si="2281">"0.0070"</f>
        <v>0.0070</v>
      </c>
    </row>
    <row r="1174" s="1" customFormat="1" spans="1:21">
      <c r="A1174" s="1" t="str">
        <f>"4601992012227"</f>
        <v>4601992012227</v>
      </c>
      <c r="B1174" s="1" t="s">
        <v>1198</v>
      </c>
      <c r="C1174" s="1" t="s">
        <v>24</v>
      </c>
      <c r="D1174" s="1" t="str">
        <f t="shared" si="2240"/>
        <v>2021</v>
      </c>
      <c r="E1174" s="1" t="str">
        <f>"24.18"</f>
        <v>24.18</v>
      </c>
      <c r="F1174" s="1" t="str">
        <f t="shared" ref="F1174:I1174" si="2282">"0"</f>
        <v>0</v>
      </c>
      <c r="G1174" s="1" t="str">
        <f t="shared" si="2282"/>
        <v>0</v>
      </c>
      <c r="H1174" s="1" t="str">
        <f t="shared" si="2282"/>
        <v>0</v>
      </c>
      <c r="I1174" s="1" t="str">
        <f t="shared" si="2282"/>
        <v>0</v>
      </c>
      <c r="J1174" s="1" t="str">
        <f>"2"</f>
        <v>2</v>
      </c>
      <c r="K1174" s="1" t="str">
        <f t="shared" ref="K1174:P1174" si="2283">"0"</f>
        <v>0</v>
      </c>
      <c r="L1174" s="1" t="str">
        <f t="shared" si="2283"/>
        <v>0</v>
      </c>
      <c r="M1174" s="1" t="str">
        <f t="shared" si="2283"/>
        <v>0</v>
      </c>
      <c r="N1174" s="1" t="str">
        <f t="shared" si="2283"/>
        <v>0</v>
      </c>
      <c r="O1174" s="1" t="str">
        <f t="shared" si="2283"/>
        <v>0</v>
      </c>
      <c r="P1174" s="1" t="str">
        <f t="shared" si="2283"/>
        <v>0</v>
      </c>
      <c r="Q1174" s="1" t="str">
        <f t="shared" si="2243"/>
        <v>0.0070</v>
      </c>
      <c r="R1174" s="1" t="s">
        <v>25</v>
      </c>
      <c r="T1174" s="1" t="str">
        <f t="shared" si="2244"/>
        <v>0</v>
      </c>
      <c r="U1174" s="1" t="str">
        <f t="shared" si="2281"/>
        <v>0.0070</v>
      </c>
    </row>
    <row r="1175" s="1" customFormat="1" spans="1:21">
      <c r="A1175" s="1" t="str">
        <f>"4601992012231"</f>
        <v>4601992012231</v>
      </c>
      <c r="B1175" s="1" t="s">
        <v>1199</v>
      </c>
      <c r="C1175" s="1" t="s">
        <v>24</v>
      </c>
      <c r="D1175" s="1" t="str">
        <f t="shared" si="2240"/>
        <v>2021</v>
      </c>
      <c r="E1175" s="1" t="str">
        <f>"36.27"</f>
        <v>36.27</v>
      </c>
      <c r="F1175" s="1" t="str">
        <f t="shared" ref="F1175:I1175" si="2284">"0"</f>
        <v>0</v>
      </c>
      <c r="G1175" s="1" t="str">
        <f t="shared" si="2284"/>
        <v>0</v>
      </c>
      <c r="H1175" s="1" t="str">
        <f t="shared" si="2284"/>
        <v>0</v>
      </c>
      <c r="I1175" s="1" t="str">
        <f t="shared" si="2284"/>
        <v>0</v>
      </c>
      <c r="J1175" s="1" t="str">
        <f t="shared" ref="J1175:J1180" si="2285">"3"</f>
        <v>3</v>
      </c>
      <c r="K1175" s="1" t="str">
        <f t="shared" ref="K1175:P1175" si="2286">"0"</f>
        <v>0</v>
      </c>
      <c r="L1175" s="1" t="str">
        <f t="shared" si="2286"/>
        <v>0</v>
      </c>
      <c r="M1175" s="1" t="str">
        <f t="shared" si="2286"/>
        <v>0</v>
      </c>
      <c r="N1175" s="1" t="str">
        <f t="shared" si="2286"/>
        <v>0</v>
      </c>
      <c r="O1175" s="1" t="str">
        <f t="shared" si="2286"/>
        <v>0</v>
      </c>
      <c r="P1175" s="1" t="str">
        <f t="shared" si="2286"/>
        <v>0</v>
      </c>
      <c r="Q1175" s="1" t="str">
        <f t="shared" si="2243"/>
        <v>0.0070</v>
      </c>
      <c r="R1175" s="1" t="s">
        <v>29</v>
      </c>
      <c r="S1175" s="1">
        <v>-0.0014</v>
      </c>
      <c r="T1175" s="1" t="str">
        <f t="shared" si="2244"/>
        <v>0</v>
      </c>
      <c r="U1175" s="1" t="str">
        <f t="shared" ref="U1175:U1182" si="2287">"0.0056"</f>
        <v>0.0056</v>
      </c>
    </row>
    <row r="1176" s="1" customFormat="1" spans="1:21">
      <c r="A1176" s="1" t="str">
        <f>"4601992012261"</f>
        <v>4601992012261</v>
      </c>
      <c r="B1176" s="1" t="s">
        <v>1200</v>
      </c>
      <c r="C1176" s="1" t="s">
        <v>24</v>
      </c>
      <c r="D1176" s="1" t="str">
        <f t="shared" si="2240"/>
        <v>2021</v>
      </c>
      <c r="E1176" s="1" t="str">
        <f>"11.98"</f>
        <v>11.98</v>
      </c>
      <c r="F1176" s="1" t="str">
        <f t="shared" ref="F1176:I1176" si="2288">"0"</f>
        <v>0</v>
      </c>
      <c r="G1176" s="1" t="str">
        <f t="shared" si="2288"/>
        <v>0</v>
      </c>
      <c r="H1176" s="1" t="str">
        <f t="shared" si="2288"/>
        <v>0</v>
      </c>
      <c r="I1176" s="1" t="str">
        <f t="shared" si="2288"/>
        <v>0</v>
      </c>
      <c r="J1176" s="1" t="str">
        <f>"1"</f>
        <v>1</v>
      </c>
      <c r="K1176" s="1" t="str">
        <f t="shared" ref="K1176:P1176" si="2289">"0"</f>
        <v>0</v>
      </c>
      <c r="L1176" s="1" t="str">
        <f t="shared" si="2289"/>
        <v>0</v>
      </c>
      <c r="M1176" s="1" t="str">
        <f t="shared" si="2289"/>
        <v>0</v>
      </c>
      <c r="N1176" s="1" t="str">
        <f t="shared" si="2289"/>
        <v>0</v>
      </c>
      <c r="O1176" s="1" t="str">
        <f t="shared" si="2289"/>
        <v>0</v>
      </c>
      <c r="P1176" s="1" t="str">
        <f t="shared" si="2289"/>
        <v>0</v>
      </c>
      <c r="Q1176" s="1" t="str">
        <f t="shared" si="2243"/>
        <v>0.0070</v>
      </c>
      <c r="R1176" s="1" t="s">
        <v>25</v>
      </c>
      <c r="T1176" s="1" t="str">
        <f t="shared" si="2244"/>
        <v>0</v>
      </c>
      <c r="U1176" s="1" t="str">
        <f t="shared" si="2281"/>
        <v>0.0070</v>
      </c>
    </row>
    <row r="1177" s="1" customFormat="1" spans="1:21">
      <c r="A1177" s="1" t="str">
        <f>"4601992012309"</f>
        <v>4601992012309</v>
      </c>
      <c r="B1177" s="1" t="s">
        <v>1201</v>
      </c>
      <c r="C1177" s="1" t="s">
        <v>24</v>
      </c>
      <c r="D1177" s="1" t="str">
        <f t="shared" si="2240"/>
        <v>2021</v>
      </c>
      <c r="E1177" s="1" t="str">
        <f>"11.98"</f>
        <v>11.98</v>
      </c>
      <c r="F1177" s="1" t="str">
        <f t="shared" ref="F1177:I1177" si="2290">"0"</f>
        <v>0</v>
      </c>
      <c r="G1177" s="1" t="str">
        <f t="shared" si="2290"/>
        <v>0</v>
      </c>
      <c r="H1177" s="1" t="str">
        <f t="shared" si="2290"/>
        <v>0</v>
      </c>
      <c r="I1177" s="1" t="str">
        <f t="shared" si="2290"/>
        <v>0</v>
      </c>
      <c r="J1177" s="1" t="str">
        <f>"1"</f>
        <v>1</v>
      </c>
      <c r="K1177" s="1" t="str">
        <f t="shared" ref="K1177:P1177" si="2291">"0"</f>
        <v>0</v>
      </c>
      <c r="L1177" s="1" t="str">
        <f t="shared" si="2291"/>
        <v>0</v>
      </c>
      <c r="M1177" s="1" t="str">
        <f t="shared" si="2291"/>
        <v>0</v>
      </c>
      <c r="N1177" s="1" t="str">
        <f t="shared" si="2291"/>
        <v>0</v>
      </c>
      <c r="O1177" s="1" t="str">
        <f t="shared" si="2291"/>
        <v>0</v>
      </c>
      <c r="P1177" s="1" t="str">
        <f t="shared" si="2291"/>
        <v>0</v>
      </c>
      <c r="Q1177" s="1" t="str">
        <f t="shared" si="2243"/>
        <v>0.0070</v>
      </c>
      <c r="R1177" s="1" t="s">
        <v>29</v>
      </c>
      <c r="S1177" s="1">
        <v>-0.0014</v>
      </c>
      <c r="T1177" s="1" t="str">
        <f t="shared" si="2244"/>
        <v>0</v>
      </c>
      <c r="U1177" s="1" t="str">
        <f t="shared" si="2287"/>
        <v>0.0056</v>
      </c>
    </row>
    <row r="1178" s="1" customFormat="1" spans="1:21">
      <c r="A1178" s="1" t="str">
        <f>"4601992012334"</f>
        <v>4601992012334</v>
      </c>
      <c r="B1178" s="1" t="s">
        <v>1202</v>
      </c>
      <c r="C1178" s="1" t="s">
        <v>24</v>
      </c>
      <c r="D1178" s="1" t="str">
        <f t="shared" si="2240"/>
        <v>2021</v>
      </c>
      <c r="E1178" s="1" t="str">
        <f>"24.81"</f>
        <v>24.81</v>
      </c>
      <c r="F1178" s="1" t="str">
        <f t="shared" ref="F1178:I1178" si="2292">"0"</f>
        <v>0</v>
      </c>
      <c r="G1178" s="1" t="str">
        <f t="shared" si="2292"/>
        <v>0</v>
      </c>
      <c r="H1178" s="1" t="str">
        <f t="shared" si="2292"/>
        <v>0</v>
      </c>
      <c r="I1178" s="1" t="str">
        <f t="shared" si="2292"/>
        <v>0</v>
      </c>
      <c r="J1178" s="1" t="str">
        <f t="shared" si="2285"/>
        <v>3</v>
      </c>
      <c r="K1178" s="1" t="str">
        <f t="shared" ref="K1178:P1178" si="2293">"0"</f>
        <v>0</v>
      </c>
      <c r="L1178" s="1" t="str">
        <f t="shared" si="2293"/>
        <v>0</v>
      </c>
      <c r="M1178" s="1" t="str">
        <f t="shared" si="2293"/>
        <v>0</v>
      </c>
      <c r="N1178" s="1" t="str">
        <f t="shared" si="2293"/>
        <v>0</v>
      </c>
      <c r="O1178" s="1" t="str">
        <f t="shared" si="2293"/>
        <v>0</v>
      </c>
      <c r="P1178" s="1" t="str">
        <f t="shared" si="2293"/>
        <v>0</v>
      </c>
      <c r="Q1178" s="1" t="str">
        <f t="shared" si="2243"/>
        <v>0.0070</v>
      </c>
      <c r="R1178" s="1" t="s">
        <v>29</v>
      </c>
      <c r="S1178" s="1">
        <v>-0.0014</v>
      </c>
      <c r="T1178" s="1" t="str">
        <f t="shared" si="2244"/>
        <v>0</v>
      </c>
      <c r="U1178" s="1" t="str">
        <f t="shared" si="2287"/>
        <v>0.0056</v>
      </c>
    </row>
    <row r="1179" s="1" customFormat="1" spans="1:21">
      <c r="A1179" s="1" t="str">
        <f>"4601992012286"</f>
        <v>4601992012286</v>
      </c>
      <c r="B1179" s="1" t="s">
        <v>1203</v>
      </c>
      <c r="C1179" s="1" t="s">
        <v>24</v>
      </c>
      <c r="D1179" s="1" t="str">
        <f t="shared" si="2240"/>
        <v>2021</v>
      </c>
      <c r="E1179" s="1" t="str">
        <f>"211.74"</f>
        <v>211.74</v>
      </c>
      <c r="F1179" s="1" t="str">
        <f t="shared" ref="F1179:I1179" si="2294">"0"</f>
        <v>0</v>
      </c>
      <c r="G1179" s="1" t="str">
        <f t="shared" si="2294"/>
        <v>0</v>
      </c>
      <c r="H1179" s="1" t="str">
        <f t="shared" si="2294"/>
        <v>0</v>
      </c>
      <c r="I1179" s="1" t="str">
        <f t="shared" si="2294"/>
        <v>0</v>
      </c>
      <c r="J1179" s="1" t="str">
        <f>"15"</f>
        <v>15</v>
      </c>
      <c r="K1179" s="1" t="str">
        <f t="shared" ref="K1179:P1179" si="2295">"0"</f>
        <v>0</v>
      </c>
      <c r="L1179" s="1" t="str">
        <f t="shared" si="2295"/>
        <v>0</v>
      </c>
      <c r="M1179" s="1" t="str">
        <f t="shared" si="2295"/>
        <v>0</v>
      </c>
      <c r="N1179" s="1" t="str">
        <f t="shared" si="2295"/>
        <v>0</v>
      </c>
      <c r="O1179" s="1" t="str">
        <f t="shared" si="2295"/>
        <v>0</v>
      </c>
      <c r="P1179" s="1" t="str">
        <f t="shared" si="2295"/>
        <v>0</v>
      </c>
      <c r="Q1179" s="1" t="str">
        <f t="shared" si="2243"/>
        <v>0.0070</v>
      </c>
      <c r="R1179" s="1" t="s">
        <v>29</v>
      </c>
      <c r="S1179" s="1">
        <v>-0.0014</v>
      </c>
      <c r="T1179" s="1" t="str">
        <f t="shared" si="2244"/>
        <v>0</v>
      </c>
      <c r="U1179" s="1" t="str">
        <f t="shared" si="2287"/>
        <v>0.0056</v>
      </c>
    </row>
    <row r="1180" s="1" customFormat="1" spans="1:21">
      <c r="A1180" s="1" t="str">
        <f>"4601992012366"</f>
        <v>4601992012366</v>
      </c>
      <c r="B1180" s="1" t="s">
        <v>1204</v>
      </c>
      <c r="C1180" s="1" t="s">
        <v>24</v>
      </c>
      <c r="D1180" s="1" t="str">
        <f t="shared" si="2240"/>
        <v>2021</v>
      </c>
      <c r="E1180" s="1" t="str">
        <f>"24.18"</f>
        <v>24.18</v>
      </c>
      <c r="F1180" s="1" t="str">
        <f t="shared" ref="F1180:I1180" si="2296">"0"</f>
        <v>0</v>
      </c>
      <c r="G1180" s="1" t="str">
        <f t="shared" si="2296"/>
        <v>0</v>
      </c>
      <c r="H1180" s="1" t="str">
        <f t="shared" si="2296"/>
        <v>0</v>
      </c>
      <c r="I1180" s="1" t="str">
        <f t="shared" si="2296"/>
        <v>0</v>
      </c>
      <c r="J1180" s="1" t="str">
        <f t="shared" si="2285"/>
        <v>3</v>
      </c>
      <c r="K1180" s="1" t="str">
        <f t="shared" ref="K1180:P1180" si="2297">"0"</f>
        <v>0</v>
      </c>
      <c r="L1180" s="1" t="str">
        <f t="shared" si="2297"/>
        <v>0</v>
      </c>
      <c r="M1180" s="1" t="str">
        <f t="shared" si="2297"/>
        <v>0</v>
      </c>
      <c r="N1180" s="1" t="str">
        <f t="shared" si="2297"/>
        <v>0</v>
      </c>
      <c r="O1180" s="1" t="str">
        <f t="shared" si="2297"/>
        <v>0</v>
      </c>
      <c r="P1180" s="1" t="str">
        <f t="shared" si="2297"/>
        <v>0</v>
      </c>
      <c r="Q1180" s="1" t="str">
        <f t="shared" si="2243"/>
        <v>0.0070</v>
      </c>
      <c r="R1180" s="1" t="s">
        <v>29</v>
      </c>
      <c r="S1180" s="1">
        <v>-0.0014</v>
      </c>
      <c r="T1180" s="1" t="str">
        <f t="shared" si="2244"/>
        <v>0</v>
      </c>
      <c r="U1180" s="1" t="str">
        <f t="shared" si="2287"/>
        <v>0.0056</v>
      </c>
    </row>
    <row r="1181" s="1" customFormat="1" spans="1:21">
      <c r="A1181" s="1" t="str">
        <f>"4601992012471"</f>
        <v>4601992012471</v>
      </c>
      <c r="B1181" s="1" t="s">
        <v>1205</v>
      </c>
      <c r="C1181" s="1" t="s">
        <v>24</v>
      </c>
      <c r="D1181" s="1" t="str">
        <f t="shared" si="2240"/>
        <v>2021</v>
      </c>
      <c r="E1181" s="1" t="str">
        <f>"179.70"</f>
        <v>179.70</v>
      </c>
      <c r="F1181" s="1" t="str">
        <f t="shared" ref="F1181:I1181" si="2298">"0"</f>
        <v>0</v>
      </c>
      <c r="G1181" s="1" t="str">
        <f t="shared" si="2298"/>
        <v>0</v>
      </c>
      <c r="H1181" s="1" t="str">
        <f t="shared" si="2298"/>
        <v>0</v>
      </c>
      <c r="I1181" s="1" t="str">
        <f t="shared" si="2298"/>
        <v>0</v>
      </c>
      <c r="J1181" s="1" t="str">
        <f>"13"</f>
        <v>13</v>
      </c>
      <c r="K1181" s="1" t="str">
        <f t="shared" ref="K1181:P1181" si="2299">"0"</f>
        <v>0</v>
      </c>
      <c r="L1181" s="1" t="str">
        <f t="shared" si="2299"/>
        <v>0</v>
      </c>
      <c r="M1181" s="1" t="str">
        <f t="shared" si="2299"/>
        <v>0</v>
      </c>
      <c r="N1181" s="1" t="str">
        <f t="shared" si="2299"/>
        <v>0</v>
      </c>
      <c r="O1181" s="1" t="str">
        <f t="shared" si="2299"/>
        <v>0</v>
      </c>
      <c r="P1181" s="1" t="str">
        <f t="shared" si="2299"/>
        <v>0</v>
      </c>
      <c r="Q1181" s="1" t="str">
        <f t="shared" si="2243"/>
        <v>0.0070</v>
      </c>
      <c r="R1181" s="1" t="s">
        <v>29</v>
      </c>
      <c r="S1181" s="1">
        <v>-0.0014</v>
      </c>
      <c r="T1181" s="1" t="str">
        <f t="shared" si="2244"/>
        <v>0</v>
      </c>
      <c r="U1181" s="1" t="str">
        <f t="shared" si="2287"/>
        <v>0.0056</v>
      </c>
    </row>
    <row r="1182" s="1" customFormat="1" spans="1:21">
      <c r="A1182" s="1" t="str">
        <f>"4601992012387"</f>
        <v>4601992012387</v>
      </c>
      <c r="B1182" s="1" t="s">
        <v>1206</v>
      </c>
      <c r="C1182" s="1" t="s">
        <v>24</v>
      </c>
      <c r="D1182" s="1" t="str">
        <f t="shared" si="2240"/>
        <v>2021</v>
      </c>
      <c r="E1182" s="1" t="str">
        <f>"35.94"</f>
        <v>35.94</v>
      </c>
      <c r="F1182" s="1" t="str">
        <f t="shared" ref="F1182:I1182" si="2300">"0"</f>
        <v>0</v>
      </c>
      <c r="G1182" s="1" t="str">
        <f t="shared" si="2300"/>
        <v>0</v>
      </c>
      <c r="H1182" s="1" t="str">
        <f t="shared" si="2300"/>
        <v>0</v>
      </c>
      <c r="I1182" s="1" t="str">
        <f t="shared" si="2300"/>
        <v>0</v>
      </c>
      <c r="J1182" s="1" t="str">
        <f>"3"</f>
        <v>3</v>
      </c>
      <c r="K1182" s="1" t="str">
        <f t="shared" ref="K1182:P1182" si="2301">"0"</f>
        <v>0</v>
      </c>
      <c r="L1182" s="1" t="str">
        <f t="shared" si="2301"/>
        <v>0</v>
      </c>
      <c r="M1182" s="1" t="str">
        <f t="shared" si="2301"/>
        <v>0</v>
      </c>
      <c r="N1182" s="1" t="str">
        <f t="shared" si="2301"/>
        <v>0</v>
      </c>
      <c r="O1182" s="1" t="str">
        <f t="shared" si="2301"/>
        <v>0</v>
      </c>
      <c r="P1182" s="1" t="str">
        <f t="shared" si="2301"/>
        <v>0</v>
      </c>
      <c r="Q1182" s="1" t="str">
        <f t="shared" si="2243"/>
        <v>0.0070</v>
      </c>
      <c r="R1182" s="1" t="s">
        <v>29</v>
      </c>
      <c r="S1182" s="1">
        <v>-0.0014</v>
      </c>
      <c r="T1182" s="1" t="str">
        <f t="shared" si="2244"/>
        <v>0</v>
      </c>
      <c r="U1182" s="1" t="str">
        <f t="shared" si="2287"/>
        <v>0.0056</v>
      </c>
    </row>
    <row r="1183" s="1" customFormat="1" spans="1:21">
      <c r="A1183" s="1" t="str">
        <f>"4601992012667"</f>
        <v>4601992012667</v>
      </c>
      <c r="B1183" s="1" t="s">
        <v>1207</v>
      </c>
      <c r="C1183" s="1" t="s">
        <v>24</v>
      </c>
      <c r="D1183" s="1" t="str">
        <f t="shared" si="2240"/>
        <v>2021</v>
      </c>
      <c r="E1183" s="1" t="str">
        <f t="shared" ref="E1183:P1183" si="2302">"0"</f>
        <v>0</v>
      </c>
      <c r="F1183" s="1" t="str">
        <f t="shared" si="2302"/>
        <v>0</v>
      </c>
      <c r="G1183" s="1" t="str">
        <f t="shared" si="2302"/>
        <v>0</v>
      </c>
      <c r="H1183" s="1" t="str">
        <f t="shared" si="2302"/>
        <v>0</v>
      </c>
      <c r="I1183" s="1" t="str">
        <f t="shared" si="2302"/>
        <v>0</v>
      </c>
      <c r="J1183" s="1" t="str">
        <f t="shared" si="2302"/>
        <v>0</v>
      </c>
      <c r="K1183" s="1" t="str">
        <f t="shared" si="2302"/>
        <v>0</v>
      </c>
      <c r="L1183" s="1" t="str">
        <f t="shared" si="2302"/>
        <v>0</v>
      </c>
      <c r="M1183" s="1" t="str">
        <f t="shared" si="2302"/>
        <v>0</v>
      </c>
      <c r="N1183" s="1" t="str">
        <f t="shared" si="2302"/>
        <v>0</v>
      </c>
      <c r="O1183" s="1" t="str">
        <f t="shared" si="2302"/>
        <v>0</v>
      </c>
      <c r="P1183" s="1" t="str">
        <f t="shared" si="2302"/>
        <v>0</v>
      </c>
      <c r="Q1183" s="1" t="str">
        <f t="shared" si="2243"/>
        <v>0.0070</v>
      </c>
      <c r="R1183" s="1" t="s">
        <v>25</v>
      </c>
      <c r="T1183" s="1" t="str">
        <f t="shared" si="2244"/>
        <v>0</v>
      </c>
      <c r="U1183" s="1" t="str">
        <f t="shared" ref="U1183:U1188" si="2303">"0.0070"</f>
        <v>0.0070</v>
      </c>
    </row>
    <row r="1184" s="1" customFormat="1" spans="1:21">
      <c r="A1184" s="1" t="str">
        <f>"4601991416005"</f>
        <v>4601991416005</v>
      </c>
      <c r="B1184" s="1" t="s">
        <v>1208</v>
      </c>
      <c r="C1184" s="1" t="s">
        <v>24</v>
      </c>
      <c r="D1184" s="1" t="str">
        <f t="shared" si="2240"/>
        <v>2021</v>
      </c>
      <c r="E1184" s="1" t="str">
        <f>"192.63"</f>
        <v>192.63</v>
      </c>
      <c r="F1184" s="1" t="str">
        <f t="shared" ref="F1184:I1184" si="2304">"0"</f>
        <v>0</v>
      </c>
      <c r="G1184" s="1" t="str">
        <f t="shared" si="2304"/>
        <v>0</v>
      </c>
      <c r="H1184" s="1" t="str">
        <f t="shared" si="2304"/>
        <v>0</v>
      </c>
      <c r="I1184" s="1" t="str">
        <f t="shared" si="2304"/>
        <v>0</v>
      </c>
      <c r="J1184" s="1" t="str">
        <f>"20"</f>
        <v>20</v>
      </c>
      <c r="K1184" s="1" t="str">
        <f t="shared" ref="K1184:P1184" si="2305">"0"</f>
        <v>0</v>
      </c>
      <c r="L1184" s="1" t="str">
        <f t="shared" si="2305"/>
        <v>0</v>
      </c>
      <c r="M1184" s="1" t="str">
        <f t="shared" si="2305"/>
        <v>0</v>
      </c>
      <c r="N1184" s="1" t="str">
        <f t="shared" si="2305"/>
        <v>0</v>
      </c>
      <c r="O1184" s="1" t="str">
        <f t="shared" si="2305"/>
        <v>0</v>
      </c>
      <c r="P1184" s="1" t="str">
        <f t="shared" si="2305"/>
        <v>0</v>
      </c>
      <c r="Q1184" s="1" t="str">
        <f t="shared" si="2243"/>
        <v>0.0070</v>
      </c>
      <c r="R1184" s="1" t="s">
        <v>29</v>
      </c>
      <c r="S1184" s="1">
        <v>-0.0014</v>
      </c>
      <c r="T1184" s="1" t="str">
        <f t="shared" si="2244"/>
        <v>0</v>
      </c>
      <c r="U1184" s="1" t="str">
        <f t="shared" ref="U1184:U1187" si="2306">"0.0056"</f>
        <v>0.0056</v>
      </c>
    </row>
    <row r="1185" s="1" customFormat="1" spans="1:21">
      <c r="A1185" s="1" t="str">
        <f>"4601992012670"</f>
        <v>4601992012670</v>
      </c>
      <c r="B1185" s="1" t="s">
        <v>1209</v>
      </c>
      <c r="C1185" s="1" t="s">
        <v>24</v>
      </c>
      <c r="D1185" s="1" t="str">
        <f t="shared" si="2240"/>
        <v>2021</v>
      </c>
      <c r="E1185" s="1" t="str">
        <f>"24.18"</f>
        <v>24.18</v>
      </c>
      <c r="F1185" s="1" t="str">
        <f t="shared" ref="F1185:I1185" si="2307">"0"</f>
        <v>0</v>
      </c>
      <c r="G1185" s="1" t="str">
        <f t="shared" si="2307"/>
        <v>0</v>
      </c>
      <c r="H1185" s="1" t="str">
        <f t="shared" si="2307"/>
        <v>0</v>
      </c>
      <c r="I1185" s="1" t="str">
        <f t="shared" si="2307"/>
        <v>0</v>
      </c>
      <c r="J1185" s="1" t="str">
        <f>"2"</f>
        <v>2</v>
      </c>
      <c r="K1185" s="1" t="str">
        <f t="shared" ref="K1185:P1185" si="2308">"0"</f>
        <v>0</v>
      </c>
      <c r="L1185" s="1" t="str">
        <f t="shared" si="2308"/>
        <v>0</v>
      </c>
      <c r="M1185" s="1" t="str">
        <f t="shared" si="2308"/>
        <v>0</v>
      </c>
      <c r="N1185" s="1" t="str">
        <f t="shared" si="2308"/>
        <v>0</v>
      </c>
      <c r="O1185" s="1" t="str">
        <f t="shared" si="2308"/>
        <v>0</v>
      </c>
      <c r="P1185" s="1" t="str">
        <f t="shared" si="2308"/>
        <v>0</v>
      </c>
      <c r="Q1185" s="1" t="str">
        <f t="shared" si="2243"/>
        <v>0.0070</v>
      </c>
      <c r="R1185" s="1" t="s">
        <v>29</v>
      </c>
      <c r="S1185" s="1">
        <v>-0.0014</v>
      </c>
      <c r="T1185" s="1" t="str">
        <f t="shared" si="2244"/>
        <v>0</v>
      </c>
      <c r="U1185" s="1" t="str">
        <f t="shared" si="2306"/>
        <v>0.0056</v>
      </c>
    </row>
    <row r="1186" s="1" customFormat="1" spans="1:21">
      <c r="A1186" s="1" t="str">
        <f>"4601992012680"</f>
        <v>4601992012680</v>
      </c>
      <c r="B1186" s="1" t="s">
        <v>1210</v>
      </c>
      <c r="C1186" s="1" t="s">
        <v>24</v>
      </c>
      <c r="D1186" s="1" t="str">
        <f t="shared" si="2240"/>
        <v>2021</v>
      </c>
      <c r="E1186" s="1" t="str">
        <f t="shared" ref="E1186:I1186" si="2309">"0"</f>
        <v>0</v>
      </c>
      <c r="F1186" s="1" t="str">
        <f t="shared" si="2309"/>
        <v>0</v>
      </c>
      <c r="G1186" s="1" t="str">
        <f t="shared" si="2309"/>
        <v>0</v>
      </c>
      <c r="H1186" s="1" t="str">
        <f t="shared" si="2309"/>
        <v>0</v>
      </c>
      <c r="I1186" s="1" t="str">
        <f t="shared" si="2309"/>
        <v>0</v>
      </c>
      <c r="J1186" s="1" t="str">
        <f>"1"</f>
        <v>1</v>
      </c>
      <c r="K1186" s="1" t="str">
        <f t="shared" ref="K1186:P1186" si="2310">"0"</f>
        <v>0</v>
      </c>
      <c r="L1186" s="1" t="str">
        <f t="shared" si="2310"/>
        <v>0</v>
      </c>
      <c r="M1186" s="1" t="str">
        <f t="shared" si="2310"/>
        <v>0</v>
      </c>
      <c r="N1186" s="1" t="str">
        <f t="shared" si="2310"/>
        <v>0</v>
      </c>
      <c r="O1186" s="1" t="str">
        <f t="shared" si="2310"/>
        <v>0</v>
      </c>
      <c r="P1186" s="1" t="str">
        <f t="shared" si="2310"/>
        <v>0</v>
      </c>
      <c r="Q1186" s="1" t="str">
        <f t="shared" si="2243"/>
        <v>0.0070</v>
      </c>
      <c r="R1186" s="1" t="s">
        <v>25</v>
      </c>
      <c r="T1186" s="1" t="str">
        <f t="shared" si="2244"/>
        <v>0</v>
      </c>
      <c r="U1186" s="1" t="str">
        <f t="shared" si="2303"/>
        <v>0.0070</v>
      </c>
    </row>
    <row r="1187" s="1" customFormat="1" spans="1:21">
      <c r="A1187" s="1" t="str">
        <f>"4601991422521"</f>
        <v>4601991422521</v>
      </c>
      <c r="B1187" s="1" t="s">
        <v>1211</v>
      </c>
      <c r="C1187" s="1" t="s">
        <v>24</v>
      </c>
      <c r="D1187" s="1" t="str">
        <f t="shared" si="2240"/>
        <v>2021</v>
      </c>
      <c r="E1187" s="1" t="str">
        <f>"188.78"</f>
        <v>188.78</v>
      </c>
      <c r="F1187" s="1" t="str">
        <f t="shared" ref="F1187:I1187" si="2311">"0"</f>
        <v>0</v>
      </c>
      <c r="G1187" s="1" t="str">
        <f t="shared" si="2311"/>
        <v>0</v>
      </c>
      <c r="H1187" s="1" t="str">
        <f t="shared" si="2311"/>
        <v>0</v>
      </c>
      <c r="I1187" s="1" t="str">
        <f t="shared" si="2311"/>
        <v>0</v>
      </c>
      <c r="J1187" s="1" t="str">
        <f>"19"</f>
        <v>19</v>
      </c>
      <c r="K1187" s="1" t="str">
        <f t="shared" ref="K1187:P1187" si="2312">"0"</f>
        <v>0</v>
      </c>
      <c r="L1187" s="1" t="str">
        <f t="shared" si="2312"/>
        <v>0</v>
      </c>
      <c r="M1187" s="1" t="str">
        <f t="shared" si="2312"/>
        <v>0</v>
      </c>
      <c r="N1187" s="1" t="str">
        <f t="shared" si="2312"/>
        <v>0</v>
      </c>
      <c r="O1187" s="1" t="str">
        <f t="shared" si="2312"/>
        <v>0</v>
      </c>
      <c r="P1187" s="1" t="str">
        <f t="shared" si="2312"/>
        <v>0</v>
      </c>
      <c r="Q1187" s="1" t="str">
        <f t="shared" si="2243"/>
        <v>0.0070</v>
      </c>
      <c r="R1187" s="1" t="s">
        <v>29</v>
      </c>
      <c r="S1187" s="1">
        <v>-0.0014</v>
      </c>
      <c r="T1187" s="1" t="str">
        <f t="shared" si="2244"/>
        <v>0</v>
      </c>
      <c r="U1187" s="1" t="str">
        <f t="shared" si="2306"/>
        <v>0.0056</v>
      </c>
    </row>
    <row r="1188" s="1" customFormat="1" spans="1:21">
      <c r="A1188" s="1" t="str">
        <f>"4601992012717"</f>
        <v>4601992012717</v>
      </c>
      <c r="B1188" s="1" t="s">
        <v>1212</v>
      </c>
      <c r="C1188" s="1" t="s">
        <v>24</v>
      </c>
      <c r="D1188" s="1" t="str">
        <f t="shared" si="2240"/>
        <v>2021</v>
      </c>
      <c r="E1188" s="1" t="str">
        <f t="shared" ref="E1188:P1188" si="2313">"0"</f>
        <v>0</v>
      </c>
      <c r="F1188" s="1" t="str">
        <f t="shared" si="2313"/>
        <v>0</v>
      </c>
      <c r="G1188" s="1" t="str">
        <f t="shared" si="2313"/>
        <v>0</v>
      </c>
      <c r="H1188" s="1" t="str">
        <f t="shared" si="2313"/>
        <v>0</v>
      </c>
      <c r="I1188" s="1" t="str">
        <f t="shared" si="2313"/>
        <v>0</v>
      </c>
      <c r="J1188" s="1" t="str">
        <f t="shared" si="2313"/>
        <v>0</v>
      </c>
      <c r="K1188" s="1" t="str">
        <f t="shared" si="2313"/>
        <v>0</v>
      </c>
      <c r="L1188" s="1" t="str">
        <f t="shared" si="2313"/>
        <v>0</v>
      </c>
      <c r="M1188" s="1" t="str">
        <f t="shared" si="2313"/>
        <v>0</v>
      </c>
      <c r="N1188" s="1" t="str">
        <f t="shared" si="2313"/>
        <v>0</v>
      </c>
      <c r="O1188" s="1" t="str">
        <f t="shared" si="2313"/>
        <v>0</v>
      </c>
      <c r="P1188" s="1" t="str">
        <f t="shared" si="2313"/>
        <v>0</v>
      </c>
      <c r="Q1188" s="1" t="str">
        <f t="shared" si="2243"/>
        <v>0.0070</v>
      </c>
      <c r="R1188" s="1" t="s">
        <v>25</v>
      </c>
      <c r="T1188" s="1" t="str">
        <f t="shared" si="2244"/>
        <v>0</v>
      </c>
      <c r="U1188" s="1" t="str">
        <f t="shared" si="2303"/>
        <v>0.0070</v>
      </c>
    </row>
    <row r="1189" s="1" customFormat="1" spans="1:21">
      <c r="A1189" s="1" t="str">
        <f>"4601991406946"</f>
        <v>4601991406946</v>
      </c>
      <c r="B1189" s="1" t="s">
        <v>1213</v>
      </c>
      <c r="C1189" s="1" t="s">
        <v>24</v>
      </c>
      <c r="D1189" s="1" t="str">
        <f t="shared" si="2240"/>
        <v>2021</v>
      </c>
      <c r="E1189" s="1" t="str">
        <f>"48.48"</f>
        <v>48.48</v>
      </c>
      <c r="F1189" s="1" t="str">
        <f t="shared" ref="F1189:I1189" si="2314">"0"</f>
        <v>0</v>
      </c>
      <c r="G1189" s="1" t="str">
        <f t="shared" si="2314"/>
        <v>0</v>
      </c>
      <c r="H1189" s="1" t="str">
        <f t="shared" si="2314"/>
        <v>0</v>
      </c>
      <c r="I1189" s="1" t="str">
        <f t="shared" si="2314"/>
        <v>0</v>
      </c>
      <c r="J1189" s="1" t="str">
        <f>"4"</f>
        <v>4</v>
      </c>
      <c r="K1189" s="1" t="str">
        <f t="shared" ref="K1189:P1189" si="2315">"0"</f>
        <v>0</v>
      </c>
      <c r="L1189" s="1" t="str">
        <f t="shared" si="2315"/>
        <v>0</v>
      </c>
      <c r="M1189" s="1" t="str">
        <f t="shared" si="2315"/>
        <v>0</v>
      </c>
      <c r="N1189" s="1" t="str">
        <f t="shared" si="2315"/>
        <v>0</v>
      </c>
      <c r="O1189" s="1" t="str">
        <f t="shared" si="2315"/>
        <v>0</v>
      </c>
      <c r="P1189" s="1" t="str">
        <f t="shared" si="2315"/>
        <v>0</v>
      </c>
      <c r="Q1189" s="1" t="str">
        <f t="shared" si="2243"/>
        <v>0.0070</v>
      </c>
      <c r="R1189" s="1" t="s">
        <v>29</v>
      </c>
      <c r="S1189" s="1">
        <v>-0.0014</v>
      </c>
      <c r="T1189" s="1" t="str">
        <f t="shared" si="2244"/>
        <v>0</v>
      </c>
      <c r="U1189" s="1" t="str">
        <f t="shared" ref="U1189:U1192" si="2316">"0.0056"</f>
        <v>0.0056</v>
      </c>
    </row>
    <row r="1190" s="1" customFormat="1" spans="1:21">
      <c r="A1190" s="1" t="str">
        <f>"4601992012945"</f>
        <v>4601992012945</v>
      </c>
      <c r="B1190" s="1" t="s">
        <v>1214</v>
      </c>
      <c r="C1190" s="1" t="s">
        <v>24</v>
      </c>
      <c r="D1190" s="1" t="str">
        <f t="shared" si="2240"/>
        <v>2021</v>
      </c>
      <c r="E1190" s="1" t="str">
        <f>"24.18"</f>
        <v>24.18</v>
      </c>
      <c r="F1190" s="1" t="str">
        <f t="shared" ref="F1190:I1190" si="2317">"0"</f>
        <v>0</v>
      </c>
      <c r="G1190" s="1" t="str">
        <f t="shared" si="2317"/>
        <v>0</v>
      </c>
      <c r="H1190" s="1" t="str">
        <f t="shared" si="2317"/>
        <v>0</v>
      </c>
      <c r="I1190" s="1" t="str">
        <f t="shared" si="2317"/>
        <v>0</v>
      </c>
      <c r="J1190" s="1" t="str">
        <f t="shared" ref="J1190:J1195" si="2318">"2"</f>
        <v>2</v>
      </c>
      <c r="K1190" s="1" t="str">
        <f t="shared" ref="K1190:P1190" si="2319">"0"</f>
        <v>0</v>
      </c>
      <c r="L1190" s="1" t="str">
        <f t="shared" si="2319"/>
        <v>0</v>
      </c>
      <c r="M1190" s="1" t="str">
        <f t="shared" si="2319"/>
        <v>0</v>
      </c>
      <c r="N1190" s="1" t="str">
        <f t="shared" si="2319"/>
        <v>0</v>
      </c>
      <c r="O1190" s="1" t="str">
        <f t="shared" si="2319"/>
        <v>0</v>
      </c>
      <c r="P1190" s="1" t="str">
        <f t="shared" si="2319"/>
        <v>0</v>
      </c>
      <c r="Q1190" s="1" t="str">
        <f t="shared" si="2243"/>
        <v>0.0070</v>
      </c>
      <c r="R1190" s="1" t="s">
        <v>29</v>
      </c>
      <c r="S1190" s="1">
        <v>-0.0014</v>
      </c>
      <c r="T1190" s="1" t="str">
        <f t="shared" si="2244"/>
        <v>0</v>
      </c>
      <c r="U1190" s="1" t="str">
        <f t="shared" si="2316"/>
        <v>0.0056</v>
      </c>
    </row>
    <row r="1191" s="1" customFormat="1" spans="1:21">
      <c r="A1191" s="1" t="str">
        <f>"4601992012902"</f>
        <v>4601992012902</v>
      </c>
      <c r="B1191" s="1" t="s">
        <v>1215</v>
      </c>
      <c r="C1191" s="1" t="s">
        <v>24</v>
      </c>
      <c r="D1191" s="1" t="str">
        <f t="shared" si="2240"/>
        <v>2021</v>
      </c>
      <c r="E1191" s="1" t="str">
        <f>"23.96"</f>
        <v>23.96</v>
      </c>
      <c r="F1191" s="1" t="str">
        <f t="shared" ref="F1191:I1191" si="2320">"0"</f>
        <v>0</v>
      </c>
      <c r="G1191" s="1" t="str">
        <f t="shared" si="2320"/>
        <v>0</v>
      </c>
      <c r="H1191" s="1" t="str">
        <f t="shared" si="2320"/>
        <v>0</v>
      </c>
      <c r="I1191" s="1" t="str">
        <f t="shared" si="2320"/>
        <v>0</v>
      </c>
      <c r="J1191" s="1" t="str">
        <f t="shared" si="2318"/>
        <v>2</v>
      </c>
      <c r="K1191" s="1" t="str">
        <f t="shared" ref="K1191:P1191" si="2321">"0"</f>
        <v>0</v>
      </c>
      <c r="L1191" s="1" t="str">
        <f t="shared" si="2321"/>
        <v>0</v>
      </c>
      <c r="M1191" s="1" t="str">
        <f t="shared" si="2321"/>
        <v>0</v>
      </c>
      <c r="N1191" s="1" t="str">
        <f t="shared" si="2321"/>
        <v>0</v>
      </c>
      <c r="O1191" s="1" t="str">
        <f t="shared" si="2321"/>
        <v>0</v>
      </c>
      <c r="P1191" s="1" t="str">
        <f t="shared" si="2321"/>
        <v>0</v>
      </c>
      <c r="Q1191" s="1" t="str">
        <f t="shared" si="2243"/>
        <v>0.0070</v>
      </c>
      <c r="R1191" s="1" t="s">
        <v>29</v>
      </c>
      <c r="S1191" s="1">
        <v>-0.0014</v>
      </c>
      <c r="T1191" s="1" t="str">
        <f t="shared" si="2244"/>
        <v>0</v>
      </c>
      <c r="U1191" s="1" t="str">
        <f t="shared" si="2316"/>
        <v>0.0056</v>
      </c>
    </row>
    <row r="1192" s="1" customFormat="1" spans="1:21">
      <c r="A1192" s="1" t="str">
        <f>"4601992012935"</f>
        <v>4601992012935</v>
      </c>
      <c r="B1192" s="1" t="s">
        <v>1216</v>
      </c>
      <c r="C1192" s="1" t="s">
        <v>24</v>
      </c>
      <c r="D1192" s="1" t="str">
        <f t="shared" si="2240"/>
        <v>2021</v>
      </c>
      <c r="E1192" s="1" t="str">
        <f>"36.27"</f>
        <v>36.27</v>
      </c>
      <c r="F1192" s="1" t="str">
        <f t="shared" ref="F1192:I1192" si="2322">"0"</f>
        <v>0</v>
      </c>
      <c r="G1192" s="1" t="str">
        <f t="shared" si="2322"/>
        <v>0</v>
      </c>
      <c r="H1192" s="1" t="str">
        <f t="shared" si="2322"/>
        <v>0</v>
      </c>
      <c r="I1192" s="1" t="str">
        <f t="shared" si="2322"/>
        <v>0</v>
      </c>
      <c r="J1192" s="1" t="str">
        <f>"3"</f>
        <v>3</v>
      </c>
      <c r="K1192" s="1" t="str">
        <f t="shared" ref="K1192:P1192" si="2323">"0"</f>
        <v>0</v>
      </c>
      <c r="L1192" s="1" t="str">
        <f t="shared" si="2323"/>
        <v>0</v>
      </c>
      <c r="M1192" s="1" t="str">
        <f t="shared" si="2323"/>
        <v>0</v>
      </c>
      <c r="N1192" s="1" t="str">
        <f t="shared" si="2323"/>
        <v>0</v>
      </c>
      <c r="O1192" s="1" t="str">
        <f t="shared" si="2323"/>
        <v>0</v>
      </c>
      <c r="P1192" s="1" t="str">
        <f t="shared" si="2323"/>
        <v>0</v>
      </c>
      <c r="Q1192" s="1" t="str">
        <f t="shared" si="2243"/>
        <v>0.0070</v>
      </c>
      <c r="R1192" s="1" t="s">
        <v>29</v>
      </c>
      <c r="S1192" s="1">
        <v>-0.0014</v>
      </c>
      <c r="T1192" s="1" t="str">
        <f t="shared" si="2244"/>
        <v>0</v>
      </c>
      <c r="U1192" s="1" t="str">
        <f t="shared" si="2316"/>
        <v>0.0056</v>
      </c>
    </row>
    <row r="1193" s="1" customFormat="1" spans="1:21">
      <c r="A1193" s="1" t="str">
        <f>"4601992012977"</f>
        <v>4601992012977</v>
      </c>
      <c r="B1193" s="1" t="s">
        <v>1217</v>
      </c>
      <c r="C1193" s="1" t="s">
        <v>24</v>
      </c>
      <c r="D1193" s="1" t="str">
        <f t="shared" si="2240"/>
        <v>2021</v>
      </c>
      <c r="E1193" s="1" t="str">
        <f t="shared" ref="E1193:P1193" si="2324">"0"</f>
        <v>0</v>
      </c>
      <c r="F1193" s="1" t="str">
        <f t="shared" si="2324"/>
        <v>0</v>
      </c>
      <c r="G1193" s="1" t="str">
        <f t="shared" si="2324"/>
        <v>0</v>
      </c>
      <c r="H1193" s="1" t="str">
        <f t="shared" si="2324"/>
        <v>0</v>
      </c>
      <c r="I1193" s="1" t="str">
        <f t="shared" si="2324"/>
        <v>0</v>
      </c>
      <c r="J1193" s="1" t="str">
        <f t="shared" si="2324"/>
        <v>0</v>
      </c>
      <c r="K1193" s="1" t="str">
        <f t="shared" si="2324"/>
        <v>0</v>
      </c>
      <c r="L1193" s="1" t="str">
        <f t="shared" si="2324"/>
        <v>0</v>
      </c>
      <c r="M1193" s="1" t="str">
        <f t="shared" si="2324"/>
        <v>0</v>
      </c>
      <c r="N1193" s="1" t="str">
        <f t="shared" si="2324"/>
        <v>0</v>
      </c>
      <c r="O1193" s="1" t="str">
        <f t="shared" si="2324"/>
        <v>0</v>
      </c>
      <c r="P1193" s="1" t="str">
        <f t="shared" si="2324"/>
        <v>0</v>
      </c>
      <c r="Q1193" s="1" t="str">
        <f t="shared" si="2243"/>
        <v>0.0070</v>
      </c>
      <c r="R1193" s="1" t="s">
        <v>25</v>
      </c>
      <c r="T1193" s="1" t="str">
        <f t="shared" si="2244"/>
        <v>0</v>
      </c>
      <c r="U1193" s="1" t="str">
        <f>"0.0070"</f>
        <v>0.0070</v>
      </c>
    </row>
    <row r="1194" s="1" customFormat="1" spans="1:21">
      <c r="A1194" s="1" t="str">
        <f>"4601992012922"</f>
        <v>4601992012922</v>
      </c>
      <c r="B1194" s="1" t="s">
        <v>1218</v>
      </c>
      <c r="C1194" s="1" t="s">
        <v>24</v>
      </c>
      <c r="D1194" s="1" t="str">
        <f t="shared" si="2240"/>
        <v>2021</v>
      </c>
      <c r="E1194" s="1" t="str">
        <f>"97.04"</f>
        <v>97.04</v>
      </c>
      <c r="F1194" s="1" t="str">
        <f t="shared" ref="F1194:I1194" si="2325">"0"</f>
        <v>0</v>
      </c>
      <c r="G1194" s="1" t="str">
        <f t="shared" si="2325"/>
        <v>0</v>
      </c>
      <c r="H1194" s="1" t="str">
        <f t="shared" si="2325"/>
        <v>0</v>
      </c>
      <c r="I1194" s="1" t="str">
        <f t="shared" si="2325"/>
        <v>0</v>
      </c>
      <c r="J1194" s="1" t="str">
        <f>"4"</f>
        <v>4</v>
      </c>
      <c r="K1194" s="1" t="str">
        <f t="shared" ref="K1194:P1194" si="2326">"0"</f>
        <v>0</v>
      </c>
      <c r="L1194" s="1" t="str">
        <f t="shared" si="2326"/>
        <v>0</v>
      </c>
      <c r="M1194" s="1" t="str">
        <f t="shared" si="2326"/>
        <v>0</v>
      </c>
      <c r="N1194" s="1" t="str">
        <f t="shared" si="2326"/>
        <v>0</v>
      </c>
      <c r="O1194" s="1" t="str">
        <f t="shared" si="2326"/>
        <v>0</v>
      </c>
      <c r="P1194" s="1" t="str">
        <f t="shared" si="2326"/>
        <v>0</v>
      </c>
      <c r="Q1194" s="1" t="str">
        <f t="shared" si="2243"/>
        <v>0.0070</v>
      </c>
      <c r="R1194" s="1" t="s">
        <v>29</v>
      </c>
      <c r="S1194" s="1">
        <v>-0.0014</v>
      </c>
      <c r="T1194" s="1" t="str">
        <f t="shared" si="2244"/>
        <v>0</v>
      </c>
      <c r="U1194" s="1" t="str">
        <f t="shared" ref="U1194:U1198" si="2327">"0.0056"</f>
        <v>0.0056</v>
      </c>
    </row>
    <row r="1195" s="1" customFormat="1" spans="1:21">
      <c r="A1195" s="1" t="str">
        <f>"4601992013005"</f>
        <v>4601992013005</v>
      </c>
      <c r="B1195" s="1" t="s">
        <v>1219</v>
      </c>
      <c r="C1195" s="1" t="s">
        <v>24</v>
      </c>
      <c r="D1195" s="1" t="str">
        <f t="shared" si="2240"/>
        <v>2021</v>
      </c>
      <c r="E1195" s="1" t="str">
        <f>"24.18"</f>
        <v>24.18</v>
      </c>
      <c r="F1195" s="1" t="str">
        <f t="shared" ref="F1195:I1195" si="2328">"0"</f>
        <v>0</v>
      </c>
      <c r="G1195" s="1" t="str">
        <f t="shared" si="2328"/>
        <v>0</v>
      </c>
      <c r="H1195" s="1" t="str">
        <f t="shared" si="2328"/>
        <v>0</v>
      </c>
      <c r="I1195" s="1" t="str">
        <f t="shared" si="2328"/>
        <v>0</v>
      </c>
      <c r="J1195" s="1" t="str">
        <f t="shared" si="2318"/>
        <v>2</v>
      </c>
      <c r="K1195" s="1" t="str">
        <f t="shared" ref="K1195:P1195" si="2329">"0"</f>
        <v>0</v>
      </c>
      <c r="L1195" s="1" t="str">
        <f t="shared" si="2329"/>
        <v>0</v>
      </c>
      <c r="M1195" s="1" t="str">
        <f t="shared" si="2329"/>
        <v>0</v>
      </c>
      <c r="N1195" s="1" t="str">
        <f t="shared" si="2329"/>
        <v>0</v>
      </c>
      <c r="O1195" s="1" t="str">
        <f t="shared" si="2329"/>
        <v>0</v>
      </c>
      <c r="P1195" s="1" t="str">
        <f t="shared" si="2329"/>
        <v>0</v>
      </c>
      <c r="Q1195" s="1" t="str">
        <f t="shared" si="2243"/>
        <v>0.0070</v>
      </c>
      <c r="R1195" s="1" t="s">
        <v>29</v>
      </c>
      <c r="S1195" s="1">
        <v>-0.0014</v>
      </c>
      <c r="T1195" s="1" t="str">
        <f t="shared" si="2244"/>
        <v>0</v>
      </c>
      <c r="U1195" s="1" t="str">
        <f t="shared" si="2327"/>
        <v>0.0056</v>
      </c>
    </row>
    <row r="1196" s="1" customFormat="1" spans="1:21">
      <c r="A1196" s="1" t="str">
        <f>"4601992012985"</f>
        <v>4601992012985</v>
      </c>
      <c r="B1196" s="1" t="s">
        <v>1220</v>
      </c>
      <c r="C1196" s="1" t="s">
        <v>24</v>
      </c>
      <c r="D1196" s="1" t="str">
        <f t="shared" si="2240"/>
        <v>2021</v>
      </c>
      <c r="E1196" s="1" t="str">
        <f>"12.09"</f>
        <v>12.09</v>
      </c>
      <c r="F1196" s="1" t="str">
        <f t="shared" ref="F1196:I1196" si="2330">"0"</f>
        <v>0</v>
      </c>
      <c r="G1196" s="1" t="str">
        <f t="shared" si="2330"/>
        <v>0</v>
      </c>
      <c r="H1196" s="1" t="str">
        <f t="shared" si="2330"/>
        <v>0</v>
      </c>
      <c r="I1196" s="1" t="str">
        <f t="shared" si="2330"/>
        <v>0</v>
      </c>
      <c r="J1196" s="1" t="str">
        <f>"1"</f>
        <v>1</v>
      </c>
      <c r="K1196" s="1" t="str">
        <f t="shared" ref="K1196:P1196" si="2331">"0"</f>
        <v>0</v>
      </c>
      <c r="L1196" s="1" t="str">
        <f t="shared" si="2331"/>
        <v>0</v>
      </c>
      <c r="M1196" s="1" t="str">
        <f t="shared" si="2331"/>
        <v>0</v>
      </c>
      <c r="N1196" s="1" t="str">
        <f t="shared" si="2331"/>
        <v>0</v>
      </c>
      <c r="O1196" s="1" t="str">
        <f t="shared" si="2331"/>
        <v>0</v>
      </c>
      <c r="P1196" s="1" t="str">
        <f t="shared" si="2331"/>
        <v>0</v>
      </c>
      <c r="Q1196" s="1" t="str">
        <f t="shared" si="2243"/>
        <v>0.0070</v>
      </c>
      <c r="R1196" s="1" t="s">
        <v>25</v>
      </c>
      <c r="T1196" s="1" t="str">
        <f t="shared" si="2244"/>
        <v>0</v>
      </c>
      <c r="U1196" s="1" t="str">
        <f>"0.0070"</f>
        <v>0.0070</v>
      </c>
    </row>
    <row r="1197" s="1" customFormat="1" spans="1:21">
      <c r="A1197" s="1" t="str">
        <f>"4601992013008"</f>
        <v>4601992013008</v>
      </c>
      <c r="B1197" s="1" t="s">
        <v>1221</v>
      </c>
      <c r="C1197" s="1" t="s">
        <v>24</v>
      </c>
      <c r="D1197" s="1" t="str">
        <f t="shared" si="2240"/>
        <v>2021</v>
      </c>
      <c r="E1197" s="1" t="str">
        <f>"29.24"</f>
        <v>29.24</v>
      </c>
      <c r="F1197" s="1" t="str">
        <f t="shared" ref="F1197:I1197" si="2332">"0"</f>
        <v>0</v>
      </c>
      <c r="G1197" s="1" t="str">
        <f t="shared" si="2332"/>
        <v>0</v>
      </c>
      <c r="H1197" s="1" t="str">
        <f t="shared" si="2332"/>
        <v>0</v>
      </c>
      <c r="I1197" s="1" t="str">
        <f t="shared" si="2332"/>
        <v>0</v>
      </c>
      <c r="J1197" s="1" t="str">
        <f>"2"</f>
        <v>2</v>
      </c>
      <c r="K1197" s="1" t="str">
        <f t="shared" ref="K1197:P1197" si="2333">"0"</f>
        <v>0</v>
      </c>
      <c r="L1197" s="1" t="str">
        <f t="shared" si="2333"/>
        <v>0</v>
      </c>
      <c r="M1197" s="1" t="str">
        <f t="shared" si="2333"/>
        <v>0</v>
      </c>
      <c r="N1197" s="1" t="str">
        <f t="shared" si="2333"/>
        <v>0</v>
      </c>
      <c r="O1197" s="1" t="str">
        <f t="shared" si="2333"/>
        <v>0</v>
      </c>
      <c r="P1197" s="1" t="str">
        <f t="shared" si="2333"/>
        <v>0</v>
      </c>
      <c r="Q1197" s="1" t="str">
        <f t="shared" si="2243"/>
        <v>0.0070</v>
      </c>
      <c r="R1197" s="1" t="s">
        <v>29</v>
      </c>
      <c r="S1197" s="1">
        <v>-0.0014</v>
      </c>
      <c r="T1197" s="1" t="str">
        <f t="shared" si="2244"/>
        <v>0</v>
      </c>
      <c r="U1197" s="1" t="str">
        <f t="shared" si="2327"/>
        <v>0.0056</v>
      </c>
    </row>
    <row r="1198" s="1" customFormat="1" spans="1:21">
      <c r="A1198" s="1" t="str">
        <f>"4601992013023"</f>
        <v>4601992013023</v>
      </c>
      <c r="B1198" s="1" t="s">
        <v>1222</v>
      </c>
      <c r="C1198" s="1" t="s">
        <v>24</v>
      </c>
      <c r="D1198" s="1" t="str">
        <f t="shared" si="2240"/>
        <v>2021</v>
      </c>
      <c r="E1198" s="1" t="str">
        <f>"59.90"</f>
        <v>59.90</v>
      </c>
      <c r="F1198" s="1" t="str">
        <f t="shared" ref="F1198:I1198" si="2334">"0"</f>
        <v>0</v>
      </c>
      <c r="G1198" s="1" t="str">
        <f t="shared" si="2334"/>
        <v>0</v>
      </c>
      <c r="H1198" s="1" t="str">
        <f t="shared" si="2334"/>
        <v>0</v>
      </c>
      <c r="I1198" s="1" t="str">
        <f t="shared" si="2334"/>
        <v>0</v>
      </c>
      <c r="J1198" s="1" t="str">
        <f>"5"</f>
        <v>5</v>
      </c>
      <c r="K1198" s="1" t="str">
        <f t="shared" ref="K1198:P1198" si="2335">"0"</f>
        <v>0</v>
      </c>
      <c r="L1198" s="1" t="str">
        <f t="shared" si="2335"/>
        <v>0</v>
      </c>
      <c r="M1198" s="1" t="str">
        <f t="shared" si="2335"/>
        <v>0</v>
      </c>
      <c r="N1198" s="1" t="str">
        <f t="shared" si="2335"/>
        <v>0</v>
      </c>
      <c r="O1198" s="1" t="str">
        <f t="shared" si="2335"/>
        <v>0</v>
      </c>
      <c r="P1198" s="1" t="str">
        <f t="shared" si="2335"/>
        <v>0</v>
      </c>
      <c r="Q1198" s="1" t="str">
        <f t="shared" si="2243"/>
        <v>0.0070</v>
      </c>
      <c r="R1198" s="1" t="s">
        <v>29</v>
      </c>
      <c r="S1198" s="1">
        <v>-0.0014</v>
      </c>
      <c r="T1198" s="1" t="str">
        <f t="shared" si="2244"/>
        <v>0</v>
      </c>
      <c r="U1198" s="1" t="str">
        <f t="shared" si="2327"/>
        <v>0.0056</v>
      </c>
    </row>
    <row r="1199" s="1" customFormat="1" spans="1:21">
      <c r="A1199" s="1" t="str">
        <f>"4601992013210"</f>
        <v>4601992013210</v>
      </c>
      <c r="B1199" s="1" t="s">
        <v>1223</v>
      </c>
      <c r="C1199" s="1" t="s">
        <v>24</v>
      </c>
      <c r="D1199" s="1" t="str">
        <f t="shared" si="2240"/>
        <v>2021</v>
      </c>
      <c r="E1199" s="1" t="str">
        <f t="shared" ref="E1199:P1199" si="2336">"0"</f>
        <v>0</v>
      </c>
      <c r="F1199" s="1" t="str">
        <f t="shared" si="2336"/>
        <v>0</v>
      </c>
      <c r="G1199" s="1" t="str">
        <f t="shared" si="2336"/>
        <v>0</v>
      </c>
      <c r="H1199" s="1" t="str">
        <f t="shared" si="2336"/>
        <v>0</v>
      </c>
      <c r="I1199" s="1" t="str">
        <f t="shared" si="2336"/>
        <v>0</v>
      </c>
      <c r="J1199" s="1" t="str">
        <f t="shared" si="2336"/>
        <v>0</v>
      </c>
      <c r="K1199" s="1" t="str">
        <f t="shared" si="2336"/>
        <v>0</v>
      </c>
      <c r="L1199" s="1" t="str">
        <f t="shared" si="2336"/>
        <v>0</v>
      </c>
      <c r="M1199" s="1" t="str">
        <f t="shared" si="2336"/>
        <v>0</v>
      </c>
      <c r="N1199" s="1" t="str">
        <f t="shared" si="2336"/>
        <v>0</v>
      </c>
      <c r="O1199" s="1" t="str">
        <f t="shared" si="2336"/>
        <v>0</v>
      </c>
      <c r="P1199" s="1" t="str">
        <f t="shared" si="2336"/>
        <v>0</v>
      </c>
      <c r="Q1199" s="1" t="str">
        <f t="shared" si="2243"/>
        <v>0.0070</v>
      </c>
      <c r="R1199" s="1" t="s">
        <v>25</v>
      </c>
      <c r="T1199" s="1" t="str">
        <f t="shared" si="2244"/>
        <v>0</v>
      </c>
      <c r="U1199" s="1" t="str">
        <f t="shared" ref="U1199:U1204" si="2337">"0.0070"</f>
        <v>0.0070</v>
      </c>
    </row>
    <row r="1200" s="1" customFormat="1" spans="1:21">
      <c r="A1200" s="1" t="str">
        <f>"4601992013060"</f>
        <v>4601992013060</v>
      </c>
      <c r="B1200" s="1" t="s">
        <v>1224</v>
      </c>
      <c r="C1200" s="1" t="s">
        <v>24</v>
      </c>
      <c r="D1200" s="1" t="str">
        <f t="shared" si="2240"/>
        <v>2021</v>
      </c>
      <c r="E1200" s="1" t="str">
        <f>"48.41"</f>
        <v>48.41</v>
      </c>
      <c r="F1200" s="1" t="str">
        <f t="shared" ref="F1200:I1200" si="2338">"0"</f>
        <v>0</v>
      </c>
      <c r="G1200" s="1" t="str">
        <f t="shared" si="2338"/>
        <v>0</v>
      </c>
      <c r="H1200" s="1" t="str">
        <f t="shared" si="2338"/>
        <v>0</v>
      </c>
      <c r="I1200" s="1" t="str">
        <f t="shared" si="2338"/>
        <v>0</v>
      </c>
      <c r="J1200" s="1" t="str">
        <f>"4"</f>
        <v>4</v>
      </c>
      <c r="K1200" s="1" t="str">
        <f t="shared" ref="K1200:P1200" si="2339">"0"</f>
        <v>0</v>
      </c>
      <c r="L1200" s="1" t="str">
        <f t="shared" si="2339"/>
        <v>0</v>
      </c>
      <c r="M1200" s="1" t="str">
        <f t="shared" si="2339"/>
        <v>0</v>
      </c>
      <c r="N1200" s="1" t="str">
        <f t="shared" si="2339"/>
        <v>0</v>
      </c>
      <c r="O1200" s="1" t="str">
        <f t="shared" si="2339"/>
        <v>0</v>
      </c>
      <c r="P1200" s="1" t="str">
        <f t="shared" si="2339"/>
        <v>0</v>
      </c>
      <c r="Q1200" s="1" t="str">
        <f t="shared" si="2243"/>
        <v>0.0070</v>
      </c>
      <c r="R1200" s="1" t="s">
        <v>29</v>
      </c>
      <c r="S1200" s="1">
        <v>-0.0014</v>
      </c>
      <c r="T1200" s="1" t="str">
        <f t="shared" si="2244"/>
        <v>0</v>
      </c>
      <c r="U1200" s="1" t="str">
        <f t="shared" ref="U1200:U1203" si="2340">"0.0056"</f>
        <v>0.0056</v>
      </c>
    </row>
    <row r="1201" s="1" customFormat="1" spans="1:21">
      <c r="A1201" s="1" t="str">
        <f>"4601992013114"</f>
        <v>4601992013114</v>
      </c>
      <c r="B1201" s="1" t="s">
        <v>1225</v>
      </c>
      <c r="C1201" s="1" t="s">
        <v>24</v>
      </c>
      <c r="D1201" s="1" t="str">
        <f t="shared" si="2240"/>
        <v>2021</v>
      </c>
      <c r="E1201" s="1" t="str">
        <f>"24.18"</f>
        <v>24.18</v>
      </c>
      <c r="F1201" s="1" t="str">
        <f t="shared" ref="F1201:I1201" si="2341">"0"</f>
        <v>0</v>
      </c>
      <c r="G1201" s="1" t="str">
        <f t="shared" si="2341"/>
        <v>0</v>
      </c>
      <c r="H1201" s="1" t="str">
        <f t="shared" si="2341"/>
        <v>0</v>
      </c>
      <c r="I1201" s="1" t="str">
        <f t="shared" si="2341"/>
        <v>0</v>
      </c>
      <c r="J1201" s="1" t="str">
        <f>"3"</f>
        <v>3</v>
      </c>
      <c r="K1201" s="1" t="str">
        <f t="shared" ref="K1201:P1201" si="2342">"0"</f>
        <v>0</v>
      </c>
      <c r="L1201" s="1" t="str">
        <f t="shared" si="2342"/>
        <v>0</v>
      </c>
      <c r="M1201" s="1" t="str">
        <f t="shared" si="2342"/>
        <v>0</v>
      </c>
      <c r="N1201" s="1" t="str">
        <f t="shared" si="2342"/>
        <v>0</v>
      </c>
      <c r="O1201" s="1" t="str">
        <f t="shared" si="2342"/>
        <v>0</v>
      </c>
      <c r="P1201" s="1" t="str">
        <f t="shared" si="2342"/>
        <v>0</v>
      </c>
      <c r="Q1201" s="1" t="str">
        <f t="shared" si="2243"/>
        <v>0.0070</v>
      </c>
      <c r="R1201" s="1" t="s">
        <v>29</v>
      </c>
      <c r="S1201" s="1">
        <v>-0.0014</v>
      </c>
      <c r="T1201" s="1" t="str">
        <f t="shared" si="2244"/>
        <v>0</v>
      </c>
      <c r="U1201" s="1" t="str">
        <f t="shared" si="2340"/>
        <v>0.0056</v>
      </c>
    </row>
    <row r="1202" s="1" customFormat="1" spans="1:21">
      <c r="A1202" s="1" t="str">
        <f>"4601992013238"</f>
        <v>4601992013238</v>
      </c>
      <c r="B1202" s="1" t="s">
        <v>1226</v>
      </c>
      <c r="C1202" s="1" t="s">
        <v>24</v>
      </c>
      <c r="D1202" s="1" t="str">
        <f t="shared" si="2240"/>
        <v>2021</v>
      </c>
      <c r="E1202" s="1" t="str">
        <f t="shared" ref="E1202:P1202" si="2343">"0"</f>
        <v>0</v>
      </c>
      <c r="F1202" s="1" t="str">
        <f t="shared" si="2343"/>
        <v>0</v>
      </c>
      <c r="G1202" s="1" t="str">
        <f t="shared" si="2343"/>
        <v>0</v>
      </c>
      <c r="H1202" s="1" t="str">
        <f t="shared" si="2343"/>
        <v>0</v>
      </c>
      <c r="I1202" s="1" t="str">
        <f t="shared" si="2343"/>
        <v>0</v>
      </c>
      <c r="J1202" s="1" t="str">
        <f t="shared" si="2343"/>
        <v>0</v>
      </c>
      <c r="K1202" s="1" t="str">
        <f t="shared" si="2343"/>
        <v>0</v>
      </c>
      <c r="L1202" s="1" t="str">
        <f t="shared" si="2343"/>
        <v>0</v>
      </c>
      <c r="M1202" s="1" t="str">
        <f t="shared" si="2343"/>
        <v>0</v>
      </c>
      <c r="N1202" s="1" t="str">
        <f t="shared" si="2343"/>
        <v>0</v>
      </c>
      <c r="O1202" s="1" t="str">
        <f t="shared" si="2343"/>
        <v>0</v>
      </c>
      <c r="P1202" s="1" t="str">
        <f t="shared" si="2343"/>
        <v>0</v>
      </c>
      <c r="Q1202" s="1" t="str">
        <f t="shared" si="2243"/>
        <v>0.0070</v>
      </c>
      <c r="R1202" s="1" t="s">
        <v>25</v>
      </c>
      <c r="T1202" s="1" t="str">
        <f t="shared" si="2244"/>
        <v>0</v>
      </c>
      <c r="U1202" s="1" t="str">
        <f t="shared" si="2337"/>
        <v>0.0070</v>
      </c>
    </row>
    <row r="1203" s="1" customFormat="1" spans="1:21">
      <c r="A1203" s="1" t="str">
        <f>"4601992013104"</f>
        <v>4601992013104</v>
      </c>
      <c r="B1203" s="1" t="s">
        <v>1227</v>
      </c>
      <c r="C1203" s="1" t="s">
        <v>24</v>
      </c>
      <c r="D1203" s="1" t="str">
        <f t="shared" si="2240"/>
        <v>2021</v>
      </c>
      <c r="E1203" s="1" t="str">
        <f>"108.37"</f>
        <v>108.37</v>
      </c>
      <c r="F1203" s="1" t="str">
        <f t="shared" ref="F1203:I1203" si="2344">"0"</f>
        <v>0</v>
      </c>
      <c r="G1203" s="1" t="str">
        <f t="shared" si="2344"/>
        <v>0</v>
      </c>
      <c r="H1203" s="1" t="str">
        <f t="shared" si="2344"/>
        <v>0</v>
      </c>
      <c r="I1203" s="1" t="str">
        <f t="shared" si="2344"/>
        <v>0</v>
      </c>
      <c r="J1203" s="1" t="str">
        <f>"8"</f>
        <v>8</v>
      </c>
      <c r="K1203" s="1" t="str">
        <f t="shared" ref="K1203:P1203" si="2345">"0"</f>
        <v>0</v>
      </c>
      <c r="L1203" s="1" t="str">
        <f t="shared" si="2345"/>
        <v>0</v>
      </c>
      <c r="M1203" s="1" t="str">
        <f t="shared" si="2345"/>
        <v>0</v>
      </c>
      <c r="N1203" s="1" t="str">
        <f t="shared" si="2345"/>
        <v>0</v>
      </c>
      <c r="O1203" s="1" t="str">
        <f t="shared" si="2345"/>
        <v>0</v>
      </c>
      <c r="P1203" s="1" t="str">
        <f t="shared" si="2345"/>
        <v>0</v>
      </c>
      <c r="Q1203" s="1" t="str">
        <f t="shared" si="2243"/>
        <v>0.0070</v>
      </c>
      <c r="R1203" s="1" t="s">
        <v>29</v>
      </c>
      <c r="S1203" s="1">
        <v>-0.0014</v>
      </c>
      <c r="T1203" s="1" t="str">
        <f t="shared" si="2244"/>
        <v>0</v>
      </c>
      <c r="U1203" s="1" t="str">
        <f t="shared" si="2340"/>
        <v>0.0056</v>
      </c>
    </row>
    <row r="1204" s="1" customFormat="1" spans="1:21">
      <c r="A1204" s="1" t="str">
        <f>"4601992013261"</f>
        <v>4601992013261</v>
      </c>
      <c r="B1204" s="1" t="s">
        <v>1228</v>
      </c>
      <c r="C1204" s="1" t="s">
        <v>24</v>
      </c>
      <c r="D1204" s="1" t="str">
        <f t="shared" si="2240"/>
        <v>2021</v>
      </c>
      <c r="E1204" s="1" t="str">
        <f t="shared" ref="E1204:P1204" si="2346">"0"</f>
        <v>0</v>
      </c>
      <c r="F1204" s="1" t="str">
        <f t="shared" si="2346"/>
        <v>0</v>
      </c>
      <c r="G1204" s="1" t="str">
        <f t="shared" si="2346"/>
        <v>0</v>
      </c>
      <c r="H1204" s="1" t="str">
        <f t="shared" si="2346"/>
        <v>0</v>
      </c>
      <c r="I1204" s="1" t="str">
        <f t="shared" si="2346"/>
        <v>0</v>
      </c>
      <c r="J1204" s="1" t="str">
        <f t="shared" si="2346"/>
        <v>0</v>
      </c>
      <c r="K1204" s="1" t="str">
        <f t="shared" si="2346"/>
        <v>0</v>
      </c>
      <c r="L1204" s="1" t="str">
        <f t="shared" si="2346"/>
        <v>0</v>
      </c>
      <c r="M1204" s="1" t="str">
        <f t="shared" si="2346"/>
        <v>0</v>
      </c>
      <c r="N1204" s="1" t="str">
        <f t="shared" si="2346"/>
        <v>0</v>
      </c>
      <c r="O1204" s="1" t="str">
        <f t="shared" si="2346"/>
        <v>0</v>
      </c>
      <c r="P1204" s="1" t="str">
        <f t="shared" si="2346"/>
        <v>0</v>
      </c>
      <c r="Q1204" s="1" t="str">
        <f t="shared" si="2243"/>
        <v>0.0070</v>
      </c>
      <c r="R1204" s="1" t="s">
        <v>25</v>
      </c>
      <c r="T1204" s="1" t="str">
        <f t="shared" si="2244"/>
        <v>0</v>
      </c>
      <c r="U1204" s="1" t="str">
        <f t="shared" si="2337"/>
        <v>0.0070</v>
      </c>
    </row>
    <row r="1205" s="1" customFormat="1" spans="1:21">
      <c r="A1205" s="1" t="str">
        <f>"4601992013234"</f>
        <v>4601992013234</v>
      </c>
      <c r="B1205" s="1" t="s">
        <v>1229</v>
      </c>
      <c r="C1205" s="1" t="s">
        <v>24</v>
      </c>
      <c r="D1205" s="1" t="str">
        <f t="shared" si="2240"/>
        <v>2021</v>
      </c>
      <c r="E1205" s="1" t="str">
        <f>"36.27"</f>
        <v>36.27</v>
      </c>
      <c r="F1205" s="1" t="str">
        <f t="shared" ref="F1205:I1205" si="2347">"0"</f>
        <v>0</v>
      </c>
      <c r="G1205" s="1" t="str">
        <f t="shared" si="2347"/>
        <v>0</v>
      </c>
      <c r="H1205" s="1" t="str">
        <f t="shared" si="2347"/>
        <v>0</v>
      </c>
      <c r="I1205" s="1" t="str">
        <f t="shared" si="2347"/>
        <v>0</v>
      </c>
      <c r="J1205" s="1" t="str">
        <f t="shared" ref="J1205:J1210" si="2348">"3"</f>
        <v>3</v>
      </c>
      <c r="K1205" s="1" t="str">
        <f t="shared" ref="K1205:P1205" si="2349">"0"</f>
        <v>0</v>
      </c>
      <c r="L1205" s="1" t="str">
        <f t="shared" si="2349"/>
        <v>0</v>
      </c>
      <c r="M1205" s="1" t="str">
        <f t="shared" si="2349"/>
        <v>0</v>
      </c>
      <c r="N1205" s="1" t="str">
        <f t="shared" si="2349"/>
        <v>0</v>
      </c>
      <c r="O1205" s="1" t="str">
        <f t="shared" si="2349"/>
        <v>0</v>
      </c>
      <c r="P1205" s="1" t="str">
        <f t="shared" si="2349"/>
        <v>0</v>
      </c>
      <c r="Q1205" s="1" t="str">
        <f t="shared" si="2243"/>
        <v>0.0070</v>
      </c>
      <c r="R1205" s="1" t="s">
        <v>29</v>
      </c>
      <c r="S1205" s="1">
        <v>-0.0014</v>
      </c>
      <c r="T1205" s="1" t="str">
        <f t="shared" si="2244"/>
        <v>0</v>
      </c>
      <c r="U1205" s="1" t="str">
        <f t="shared" ref="U1205:U1210" si="2350">"0.0056"</f>
        <v>0.0056</v>
      </c>
    </row>
    <row r="1206" s="1" customFormat="1" spans="1:21">
      <c r="A1206" s="1" t="str">
        <f>"4601992013254"</f>
        <v>4601992013254</v>
      </c>
      <c r="B1206" s="1" t="s">
        <v>1230</v>
      </c>
      <c r="C1206" s="1" t="s">
        <v>24</v>
      </c>
      <c r="D1206" s="1" t="str">
        <f t="shared" si="2240"/>
        <v>2021</v>
      </c>
      <c r="E1206" s="1" t="str">
        <f>"24.18"</f>
        <v>24.18</v>
      </c>
      <c r="F1206" s="1" t="str">
        <f t="shared" ref="F1206:I1206" si="2351">"0"</f>
        <v>0</v>
      </c>
      <c r="G1206" s="1" t="str">
        <f t="shared" si="2351"/>
        <v>0</v>
      </c>
      <c r="H1206" s="1" t="str">
        <f t="shared" si="2351"/>
        <v>0</v>
      </c>
      <c r="I1206" s="1" t="str">
        <f t="shared" si="2351"/>
        <v>0</v>
      </c>
      <c r="J1206" s="1" t="str">
        <f>"1"</f>
        <v>1</v>
      </c>
      <c r="K1206" s="1" t="str">
        <f t="shared" ref="K1206:P1206" si="2352">"0"</f>
        <v>0</v>
      </c>
      <c r="L1206" s="1" t="str">
        <f t="shared" si="2352"/>
        <v>0</v>
      </c>
      <c r="M1206" s="1" t="str">
        <f t="shared" si="2352"/>
        <v>0</v>
      </c>
      <c r="N1206" s="1" t="str">
        <f t="shared" si="2352"/>
        <v>0</v>
      </c>
      <c r="O1206" s="1" t="str">
        <f t="shared" si="2352"/>
        <v>0</v>
      </c>
      <c r="P1206" s="1" t="str">
        <f t="shared" si="2352"/>
        <v>0</v>
      </c>
      <c r="Q1206" s="1" t="str">
        <f t="shared" si="2243"/>
        <v>0.0070</v>
      </c>
      <c r="R1206" s="1" t="s">
        <v>25</v>
      </c>
      <c r="T1206" s="1" t="str">
        <f t="shared" si="2244"/>
        <v>0</v>
      </c>
      <c r="U1206" s="1" t="str">
        <f>"0.0070"</f>
        <v>0.0070</v>
      </c>
    </row>
    <row r="1207" s="1" customFormat="1" spans="1:21">
      <c r="A1207" s="1" t="str">
        <f>"4601992013267"</f>
        <v>4601992013267</v>
      </c>
      <c r="B1207" s="1" t="s">
        <v>1231</v>
      </c>
      <c r="C1207" s="1" t="s">
        <v>24</v>
      </c>
      <c r="D1207" s="1" t="str">
        <f t="shared" si="2240"/>
        <v>2021</v>
      </c>
      <c r="E1207" s="1" t="str">
        <f>"12.09"</f>
        <v>12.09</v>
      </c>
      <c r="F1207" s="1" t="str">
        <f t="shared" ref="F1207:I1207" si="2353">"0"</f>
        <v>0</v>
      </c>
      <c r="G1207" s="1" t="str">
        <f t="shared" si="2353"/>
        <v>0</v>
      </c>
      <c r="H1207" s="1" t="str">
        <f t="shared" si="2353"/>
        <v>0</v>
      </c>
      <c r="I1207" s="1" t="str">
        <f t="shared" si="2353"/>
        <v>0</v>
      </c>
      <c r="J1207" s="1" t="str">
        <f>"1"</f>
        <v>1</v>
      </c>
      <c r="K1207" s="1" t="str">
        <f t="shared" ref="K1207:P1207" si="2354">"0"</f>
        <v>0</v>
      </c>
      <c r="L1207" s="1" t="str">
        <f t="shared" si="2354"/>
        <v>0</v>
      </c>
      <c r="M1207" s="1" t="str">
        <f t="shared" si="2354"/>
        <v>0</v>
      </c>
      <c r="N1207" s="1" t="str">
        <f t="shared" si="2354"/>
        <v>0</v>
      </c>
      <c r="O1207" s="1" t="str">
        <f t="shared" si="2354"/>
        <v>0</v>
      </c>
      <c r="P1207" s="1" t="str">
        <f t="shared" si="2354"/>
        <v>0</v>
      </c>
      <c r="Q1207" s="1" t="str">
        <f t="shared" si="2243"/>
        <v>0.0070</v>
      </c>
      <c r="R1207" s="1" t="s">
        <v>29</v>
      </c>
      <c r="S1207" s="1">
        <v>-0.0014</v>
      </c>
      <c r="T1207" s="1" t="str">
        <f t="shared" si="2244"/>
        <v>0</v>
      </c>
      <c r="U1207" s="1" t="str">
        <f t="shared" si="2350"/>
        <v>0.0056</v>
      </c>
    </row>
    <row r="1208" s="1" customFormat="1" spans="1:21">
      <c r="A1208" s="1" t="str">
        <f>"4601992013321"</f>
        <v>4601992013321</v>
      </c>
      <c r="B1208" s="1" t="s">
        <v>1232</v>
      </c>
      <c r="C1208" s="1" t="s">
        <v>24</v>
      </c>
      <c r="D1208" s="1" t="str">
        <f t="shared" si="2240"/>
        <v>2021</v>
      </c>
      <c r="E1208" s="1" t="str">
        <f>"36.27"</f>
        <v>36.27</v>
      </c>
      <c r="F1208" s="1" t="str">
        <f t="shared" ref="F1208:I1208" si="2355">"0"</f>
        <v>0</v>
      </c>
      <c r="G1208" s="1" t="str">
        <f t="shared" si="2355"/>
        <v>0</v>
      </c>
      <c r="H1208" s="1" t="str">
        <f t="shared" si="2355"/>
        <v>0</v>
      </c>
      <c r="I1208" s="1" t="str">
        <f t="shared" si="2355"/>
        <v>0</v>
      </c>
      <c r="J1208" s="1" t="str">
        <f t="shared" si="2348"/>
        <v>3</v>
      </c>
      <c r="K1208" s="1" t="str">
        <f t="shared" ref="K1208:P1208" si="2356">"0"</f>
        <v>0</v>
      </c>
      <c r="L1208" s="1" t="str">
        <f t="shared" si="2356"/>
        <v>0</v>
      </c>
      <c r="M1208" s="1" t="str">
        <f t="shared" si="2356"/>
        <v>0</v>
      </c>
      <c r="N1208" s="1" t="str">
        <f t="shared" si="2356"/>
        <v>0</v>
      </c>
      <c r="O1208" s="1" t="str">
        <f t="shared" si="2356"/>
        <v>0</v>
      </c>
      <c r="P1208" s="1" t="str">
        <f t="shared" si="2356"/>
        <v>0</v>
      </c>
      <c r="Q1208" s="1" t="str">
        <f t="shared" si="2243"/>
        <v>0.0070</v>
      </c>
      <c r="R1208" s="1" t="s">
        <v>29</v>
      </c>
      <c r="S1208" s="1">
        <v>-0.0014</v>
      </c>
      <c r="T1208" s="1" t="str">
        <f t="shared" si="2244"/>
        <v>0</v>
      </c>
      <c r="U1208" s="1" t="str">
        <f t="shared" si="2350"/>
        <v>0.0056</v>
      </c>
    </row>
    <row r="1209" s="1" customFormat="1" spans="1:21">
      <c r="A1209" s="1" t="str">
        <f>"4601992013294"</f>
        <v>4601992013294</v>
      </c>
      <c r="B1209" s="1" t="s">
        <v>1233</v>
      </c>
      <c r="C1209" s="1" t="s">
        <v>24</v>
      </c>
      <c r="D1209" s="1" t="str">
        <f t="shared" si="2240"/>
        <v>2021</v>
      </c>
      <c r="E1209" s="1" t="str">
        <f>"17.50"</f>
        <v>17.50</v>
      </c>
      <c r="F1209" s="1" t="str">
        <f t="shared" ref="F1209:I1209" si="2357">"0"</f>
        <v>0</v>
      </c>
      <c r="G1209" s="1" t="str">
        <f t="shared" si="2357"/>
        <v>0</v>
      </c>
      <c r="H1209" s="1" t="str">
        <f t="shared" si="2357"/>
        <v>0</v>
      </c>
      <c r="I1209" s="1" t="str">
        <f t="shared" si="2357"/>
        <v>0</v>
      </c>
      <c r="J1209" s="1" t="str">
        <f>"2"</f>
        <v>2</v>
      </c>
      <c r="K1209" s="1" t="str">
        <f t="shared" ref="K1209:P1209" si="2358">"0"</f>
        <v>0</v>
      </c>
      <c r="L1209" s="1" t="str">
        <f t="shared" si="2358"/>
        <v>0</v>
      </c>
      <c r="M1209" s="1" t="str">
        <f t="shared" si="2358"/>
        <v>0</v>
      </c>
      <c r="N1209" s="1" t="str">
        <f t="shared" si="2358"/>
        <v>0</v>
      </c>
      <c r="O1209" s="1" t="str">
        <f t="shared" si="2358"/>
        <v>0</v>
      </c>
      <c r="P1209" s="1" t="str">
        <f t="shared" si="2358"/>
        <v>0</v>
      </c>
      <c r="Q1209" s="1" t="str">
        <f t="shared" si="2243"/>
        <v>0.0070</v>
      </c>
      <c r="R1209" s="1" t="s">
        <v>29</v>
      </c>
      <c r="S1209" s="1">
        <v>-0.0014</v>
      </c>
      <c r="T1209" s="1" t="str">
        <f t="shared" si="2244"/>
        <v>0</v>
      </c>
      <c r="U1209" s="1" t="str">
        <f t="shared" si="2350"/>
        <v>0.0056</v>
      </c>
    </row>
    <row r="1210" s="1" customFormat="1" spans="1:21">
      <c r="A1210" s="1" t="str">
        <f>"4601992013309"</f>
        <v>4601992013309</v>
      </c>
      <c r="B1210" s="1" t="s">
        <v>1234</v>
      </c>
      <c r="C1210" s="1" t="s">
        <v>24</v>
      </c>
      <c r="D1210" s="1" t="str">
        <f t="shared" si="2240"/>
        <v>2021</v>
      </c>
      <c r="E1210" s="1" t="str">
        <f>"24.18"</f>
        <v>24.18</v>
      </c>
      <c r="F1210" s="1" t="str">
        <f t="shared" ref="F1210:I1210" si="2359">"0"</f>
        <v>0</v>
      </c>
      <c r="G1210" s="1" t="str">
        <f t="shared" si="2359"/>
        <v>0</v>
      </c>
      <c r="H1210" s="1" t="str">
        <f t="shared" si="2359"/>
        <v>0</v>
      </c>
      <c r="I1210" s="1" t="str">
        <f t="shared" si="2359"/>
        <v>0</v>
      </c>
      <c r="J1210" s="1" t="str">
        <f t="shared" si="2348"/>
        <v>3</v>
      </c>
      <c r="K1210" s="1" t="str">
        <f t="shared" ref="K1210:P1210" si="2360">"0"</f>
        <v>0</v>
      </c>
      <c r="L1210" s="1" t="str">
        <f t="shared" si="2360"/>
        <v>0</v>
      </c>
      <c r="M1210" s="1" t="str">
        <f t="shared" si="2360"/>
        <v>0</v>
      </c>
      <c r="N1210" s="1" t="str">
        <f t="shared" si="2360"/>
        <v>0</v>
      </c>
      <c r="O1210" s="1" t="str">
        <f t="shared" si="2360"/>
        <v>0</v>
      </c>
      <c r="P1210" s="1" t="str">
        <f t="shared" si="2360"/>
        <v>0</v>
      </c>
      <c r="Q1210" s="1" t="str">
        <f t="shared" si="2243"/>
        <v>0.0070</v>
      </c>
      <c r="R1210" s="1" t="s">
        <v>29</v>
      </c>
      <c r="S1210" s="1">
        <v>-0.0014</v>
      </c>
      <c r="T1210" s="1" t="str">
        <f t="shared" si="2244"/>
        <v>0</v>
      </c>
      <c r="U1210" s="1" t="str">
        <f t="shared" si="2350"/>
        <v>0.0056</v>
      </c>
    </row>
    <row r="1211" s="1" customFormat="1" spans="1:21">
      <c r="A1211" s="1" t="str">
        <f>"4601992013346"</f>
        <v>4601992013346</v>
      </c>
      <c r="B1211" s="1" t="s">
        <v>1235</v>
      </c>
      <c r="C1211" s="1" t="s">
        <v>24</v>
      </c>
      <c r="D1211" s="1" t="str">
        <f t="shared" si="2240"/>
        <v>2021</v>
      </c>
      <c r="E1211" s="1" t="str">
        <f>"334.08"</f>
        <v>334.08</v>
      </c>
      <c r="F1211" s="1" t="str">
        <f>"815.29"</f>
        <v>815.29</v>
      </c>
      <c r="G1211" s="1" t="str">
        <f t="shared" ref="G1211:L1211" si="2361">"0"</f>
        <v>0</v>
      </c>
      <c r="H1211" s="1" t="str">
        <f t="shared" si="2361"/>
        <v>0</v>
      </c>
      <c r="I1211" s="1" t="str">
        <f>"2.4404"</f>
        <v>2.4404</v>
      </c>
      <c r="J1211" s="1" t="str">
        <f>"28"</f>
        <v>28</v>
      </c>
      <c r="K1211" s="1" t="str">
        <f>"1"</f>
        <v>1</v>
      </c>
      <c r="L1211" s="1" t="str">
        <f t="shared" si="2361"/>
        <v>0</v>
      </c>
      <c r="M1211" s="1" t="str">
        <f>"0.0357"</f>
        <v>0.0357</v>
      </c>
      <c r="N1211" s="1" t="str">
        <f t="shared" ref="N1211:P1211" si="2362">"0"</f>
        <v>0</v>
      </c>
      <c r="O1211" s="1" t="str">
        <f t="shared" si="2362"/>
        <v>0</v>
      </c>
      <c r="P1211" s="1" t="str">
        <f t="shared" si="2362"/>
        <v>0</v>
      </c>
      <c r="Q1211" s="1" t="str">
        <f t="shared" si="2243"/>
        <v>0.0070</v>
      </c>
      <c r="R1211" s="1" t="s">
        <v>25</v>
      </c>
      <c r="T1211" s="1" t="str">
        <f t="shared" si="2244"/>
        <v>0</v>
      </c>
      <c r="U1211" s="1" t="str">
        <f t="shared" ref="U1211:U1213" si="2363">"0.0070"</f>
        <v>0.0070</v>
      </c>
    </row>
    <row r="1212" s="1" customFormat="1" spans="1:21">
      <c r="A1212" s="1" t="str">
        <f>"4601992013362"</f>
        <v>4601992013362</v>
      </c>
      <c r="B1212" s="1" t="s">
        <v>1236</v>
      </c>
      <c r="C1212" s="1" t="s">
        <v>24</v>
      </c>
      <c r="D1212" s="1" t="str">
        <f t="shared" si="2240"/>
        <v>2021</v>
      </c>
      <c r="E1212" s="1" t="str">
        <f t="shared" ref="E1212:P1212" si="2364">"0"</f>
        <v>0</v>
      </c>
      <c r="F1212" s="1" t="str">
        <f t="shared" si="2364"/>
        <v>0</v>
      </c>
      <c r="G1212" s="1" t="str">
        <f t="shared" si="2364"/>
        <v>0</v>
      </c>
      <c r="H1212" s="1" t="str">
        <f t="shared" si="2364"/>
        <v>0</v>
      </c>
      <c r="I1212" s="1" t="str">
        <f t="shared" si="2364"/>
        <v>0</v>
      </c>
      <c r="J1212" s="1" t="str">
        <f t="shared" si="2364"/>
        <v>0</v>
      </c>
      <c r="K1212" s="1" t="str">
        <f t="shared" si="2364"/>
        <v>0</v>
      </c>
      <c r="L1212" s="1" t="str">
        <f t="shared" si="2364"/>
        <v>0</v>
      </c>
      <c r="M1212" s="1" t="str">
        <f t="shared" si="2364"/>
        <v>0</v>
      </c>
      <c r="N1212" s="1" t="str">
        <f t="shared" si="2364"/>
        <v>0</v>
      </c>
      <c r="O1212" s="1" t="str">
        <f t="shared" si="2364"/>
        <v>0</v>
      </c>
      <c r="P1212" s="1" t="str">
        <f t="shared" si="2364"/>
        <v>0</v>
      </c>
      <c r="Q1212" s="1" t="str">
        <f t="shared" si="2243"/>
        <v>0.0070</v>
      </c>
      <c r="R1212" s="1" t="s">
        <v>25</v>
      </c>
      <c r="T1212" s="1" t="str">
        <f t="shared" si="2244"/>
        <v>0</v>
      </c>
      <c r="U1212" s="1" t="str">
        <f t="shared" si="2363"/>
        <v>0.0070</v>
      </c>
    </row>
    <row r="1213" s="1" customFormat="1" spans="1:21">
      <c r="A1213" s="1" t="str">
        <f>"4601992013387"</f>
        <v>4601992013387</v>
      </c>
      <c r="B1213" s="1" t="s">
        <v>1237</v>
      </c>
      <c r="C1213" s="1" t="s">
        <v>24</v>
      </c>
      <c r="D1213" s="1" t="str">
        <f t="shared" si="2240"/>
        <v>2021</v>
      </c>
      <c r="E1213" s="1" t="str">
        <f t="shared" ref="E1213:P1213" si="2365">"0"</f>
        <v>0</v>
      </c>
      <c r="F1213" s="1" t="str">
        <f t="shared" si="2365"/>
        <v>0</v>
      </c>
      <c r="G1213" s="1" t="str">
        <f t="shared" si="2365"/>
        <v>0</v>
      </c>
      <c r="H1213" s="1" t="str">
        <f t="shared" si="2365"/>
        <v>0</v>
      </c>
      <c r="I1213" s="1" t="str">
        <f t="shared" si="2365"/>
        <v>0</v>
      </c>
      <c r="J1213" s="1" t="str">
        <f t="shared" si="2365"/>
        <v>0</v>
      </c>
      <c r="K1213" s="1" t="str">
        <f t="shared" si="2365"/>
        <v>0</v>
      </c>
      <c r="L1213" s="1" t="str">
        <f t="shared" si="2365"/>
        <v>0</v>
      </c>
      <c r="M1213" s="1" t="str">
        <f t="shared" si="2365"/>
        <v>0</v>
      </c>
      <c r="N1213" s="1" t="str">
        <f t="shared" si="2365"/>
        <v>0</v>
      </c>
      <c r="O1213" s="1" t="str">
        <f t="shared" si="2365"/>
        <v>0</v>
      </c>
      <c r="P1213" s="1" t="str">
        <f t="shared" si="2365"/>
        <v>0</v>
      </c>
      <c r="Q1213" s="1" t="str">
        <f t="shared" si="2243"/>
        <v>0.0070</v>
      </c>
      <c r="R1213" s="1" t="s">
        <v>25</v>
      </c>
      <c r="T1213" s="1" t="str">
        <f t="shared" si="2244"/>
        <v>0</v>
      </c>
      <c r="U1213" s="1" t="str">
        <f t="shared" si="2363"/>
        <v>0.0070</v>
      </c>
    </row>
    <row r="1214" s="1" customFormat="1" spans="1:21">
      <c r="A1214" s="1" t="str">
        <f>"4601992013347"</f>
        <v>4601992013347</v>
      </c>
      <c r="B1214" s="1" t="s">
        <v>1238</v>
      </c>
      <c r="C1214" s="1" t="s">
        <v>24</v>
      </c>
      <c r="D1214" s="1" t="str">
        <f t="shared" si="2240"/>
        <v>2021</v>
      </c>
      <c r="E1214" s="1" t="str">
        <f>"336.23"</f>
        <v>336.23</v>
      </c>
      <c r="F1214" s="1" t="str">
        <f t="shared" ref="F1214:I1214" si="2366">"0"</f>
        <v>0</v>
      </c>
      <c r="G1214" s="1" t="str">
        <f t="shared" si="2366"/>
        <v>0</v>
      </c>
      <c r="H1214" s="1" t="str">
        <f t="shared" si="2366"/>
        <v>0</v>
      </c>
      <c r="I1214" s="1" t="str">
        <f t="shared" si="2366"/>
        <v>0</v>
      </c>
      <c r="J1214" s="1" t="str">
        <f>"22"</f>
        <v>22</v>
      </c>
      <c r="K1214" s="1" t="str">
        <f t="shared" ref="K1214:P1214" si="2367">"0"</f>
        <v>0</v>
      </c>
      <c r="L1214" s="1" t="str">
        <f t="shared" si="2367"/>
        <v>0</v>
      </c>
      <c r="M1214" s="1" t="str">
        <f t="shared" si="2367"/>
        <v>0</v>
      </c>
      <c r="N1214" s="1" t="str">
        <f t="shared" si="2367"/>
        <v>0</v>
      </c>
      <c r="O1214" s="1" t="str">
        <f t="shared" si="2367"/>
        <v>0</v>
      </c>
      <c r="P1214" s="1" t="str">
        <f t="shared" si="2367"/>
        <v>0</v>
      </c>
      <c r="Q1214" s="1" t="str">
        <f t="shared" si="2243"/>
        <v>0.0070</v>
      </c>
      <c r="R1214" s="1" t="s">
        <v>29</v>
      </c>
      <c r="S1214" s="1">
        <v>-0.0014</v>
      </c>
      <c r="T1214" s="1" t="str">
        <f t="shared" si="2244"/>
        <v>0</v>
      </c>
      <c r="U1214" s="1" t="str">
        <f t="shared" ref="U1214:U1224" si="2368">"0.0056"</f>
        <v>0.0056</v>
      </c>
    </row>
    <row r="1215" s="1" customFormat="1" spans="1:21">
      <c r="A1215" s="1" t="str">
        <f>"4601992013373"</f>
        <v>4601992013373</v>
      </c>
      <c r="B1215" s="1" t="s">
        <v>1239</v>
      </c>
      <c r="C1215" s="1" t="s">
        <v>24</v>
      </c>
      <c r="D1215" s="1" t="str">
        <f t="shared" si="2240"/>
        <v>2021</v>
      </c>
      <c r="E1215" s="1" t="str">
        <f>"24.07"</f>
        <v>24.07</v>
      </c>
      <c r="F1215" s="1" t="str">
        <f t="shared" ref="F1215:I1215" si="2369">"0"</f>
        <v>0</v>
      </c>
      <c r="G1215" s="1" t="str">
        <f t="shared" si="2369"/>
        <v>0</v>
      </c>
      <c r="H1215" s="1" t="str">
        <f t="shared" si="2369"/>
        <v>0</v>
      </c>
      <c r="I1215" s="1" t="str">
        <f t="shared" si="2369"/>
        <v>0</v>
      </c>
      <c r="J1215" s="1" t="str">
        <f>"1"</f>
        <v>1</v>
      </c>
      <c r="K1215" s="1" t="str">
        <f t="shared" ref="K1215:P1215" si="2370">"0"</f>
        <v>0</v>
      </c>
      <c r="L1215" s="1" t="str">
        <f t="shared" si="2370"/>
        <v>0</v>
      </c>
      <c r="M1215" s="1" t="str">
        <f t="shared" si="2370"/>
        <v>0</v>
      </c>
      <c r="N1215" s="1" t="str">
        <f t="shared" si="2370"/>
        <v>0</v>
      </c>
      <c r="O1215" s="1" t="str">
        <f t="shared" si="2370"/>
        <v>0</v>
      </c>
      <c r="P1215" s="1" t="str">
        <f t="shared" si="2370"/>
        <v>0</v>
      </c>
      <c r="Q1215" s="1" t="str">
        <f t="shared" si="2243"/>
        <v>0.0070</v>
      </c>
      <c r="R1215" s="1" t="s">
        <v>25</v>
      </c>
      <c r="T1215" s="1" t="str">
        <f t="shared" si="2244"/>
        <v>0</v>
      </c>
      <c r="U1215" s="1" t="str">
        <f t="shared" ref="U1215:U1218" si="2371">"0.0070"</f>
        <v>0.0070</v>
      </c>
    </row>
    <row r="1216" s="1" customFormat="1" spans="1:21">
      <c r="A1216" s="1" t="str">
        <f>"4601992013375"</f>
        <v>4601992013375</v>
      </c>
      <c r="B1216" s="1" t="s">
        <v>1240</v>
      </c>
      <c r="C1216" s="1" t="s">
        <v>24</v>
      </c>
      <c r="D1216" s="1" t="str">
        <f t="shared" si="2240"/>
        <v>2021</v>
      </c>
      <c r="E1216" s="1" t="str">
        <f>"36.16"</f>
        <v>36.16</v>
      </c>
      <c r="F1216" s="1" t="str">
        <f t="shared" ref="F1216:I1216" si="2372">"0"</f>
        <v>0</v>
      </c>
      <c r="G1216" s="1" t="str">
        <f t="shared" si="2372"/>
        <v>0</v>
      </c>
      <c r="H1216" s="1" t="str">
        <f t="shared" si="2372"/>
        <v>0</v>
      </c>
      <c r="I1216" s="1" t="str">
        <f t="shared" si="2372"/>
        <v>0</v>
      </c>
      <c r="J1216" s="1" t="str">
        <f>"3"</f>
        <v>3</v>
      </c>
      <c r="K1216" s="1" t="str">
        <f t="shared" ref="K1216:P1216" si="2373">"0"</f>
        <v>0</v>
      </c>
      <c r="L1216" s="1" t="str">
        <f t="shared" si="2373"/>
        <v>0</v>
      </c>
      <c r="M1216" s="1" t="str">
        <f t="shared" si="2373"/>
        <v>0</v>
      </c>
      <c r="N1216" s="1" t="str">
        <f t="shared" si="2373"/>
        <v>0</v>
      </c>
      <c r="O1216" s="1" t="str">
        <f t="shared" si="2373"/>
        <v>0</v>
      </c>
      <c r="P1216" s="1" t="str">
        <f t="shared" si="2373"/>
        <v>0</v>
      </c>
      <c r="Q1216" s="1" t="str">
        <f t="shared" si="2243"/>
        <v>0.0070</v>
      </c>
      <c r="R1216" s="1" t="s">
        <v>29</v>
      </c>
      <c r="S1216" s="1">
        <v>-0.0014</v>
      </c>
      <c r="T1216" s="1" t="str">
        <f t="shared" si="2244"/>
        <v>0</v>
      </c>
      <c r="U1216" s="1" t="str">
        <f t="shared" si="2368"/>
        <v>0.0056</v>
      </c>
    </row>
    <row r="1217" s="1" customFormat="1" spans="1:21">
      <c r="A1217" s="1" t="str">
        <f>"4601992013393"</f>
        <v>4601992013393</v>
      </c>
      <c r="B1217" s="1" t="s">
        <v>1241</v>
      </c>
      <c r="C1217" s="1" t="s">
        <v>24</v>
      </c>
      <c r="D1217" s="1" t="str">
        <f t="shared" si="2240"/>
        <v>2021</v>
      </c>
      <c r="E1217" s="1" t="str">
        <f t="shared" ref="E1217:P1217" si="2374">"0"</f>
        <v>0</v>
      </c>
      <c r="F1217" s="1" t="str">
        <f t="shared" si="2374"/>
        <v>0</v>
      </c>
      <c r="G1217" s="1" t="str">
        <f t="shared" si="2374"/>
        <v>0</v>
      </c>
      <c r="H1217" s="1" t="str">
        <f t="shared" si="2374"/>
        <v>0</v>
      </c>
      <c r="I1217" s="1" t="str">
        <f t="shared" si="2374"/>
        <v>0</v>
      </c>
      <c r="J1217" s="1" t="str">
        <f t="shared" si="2374"/>
        <v>0</v>
      </c>
      <c r="K1217" s="1" t="str">
        <f t="shared" si="2374"/>
        <v>0</v>
      </c>
      <c r="L1217" s="1" t="str">
        <f t="shared" si="2374"/>
        <v>0</v>
      </c>
      <c r="M1217" s="1" t="str">
        <f t="shared" si="2374"/>
        <v>0</v>
      </c>
      <c r="N1217" s="1" t="str">
        <f t="shared" si="2374"/>
        <v>0</v>
      </c>
      <c r="O1217" s="1" t="str">
        <f t="shared" si="2374"/>
        <v>0</v>
      </c>
      <c r="P1217" s="1" t="str">
        <f t="shared" si="2374"/>
        <v>0</v>
      </c>
      <c r="Q1217" s="1" t="str">
        <f t="shared" si="2243"/>
        <v>0.0070</v>
      </c>
      <c r="R1217" s="1" t="s">
        <v>25</v>
      </c>
      <c r="T1217" s="1" t="str">
        <f t="shared" si="2244"/>
        <v>0</v>
      </c>
      <c r="U1217" s="1" t="str">
        <f t="shared" si="2371"/>
        <v>0.0070</v>
      </c>
    </row>
    <row r="1218" s="1" customFormat="1" spans="1:21">
      <c r="A1218" s="1" t="str">
        <f>"4601992013460"</f>
        <v>4601992013460</v>
      </c>
      <c r="B1218" s="1" t="s">
        <v>1242</v>
      </c>
      <c r="C1218" s="1" t="s">
        <v>24</v>
      </c>
      <c r="D1218" s="1" t="str">
        <f t="shared" si="2240"/>
        <v>2021</v>
      </c>
      <c r="E1218" s="1" t="str">
        <f t="shared" ref="E1218:P1218" si="2375">"0"</f>
        <v>0</v>
      </c>
      <c r="F1218" s="1" t="str">
        <f t="shared" si="2375"/>
        <v>0</v>
      </c>
      <c r="G1218" s="1" t="str">
        <f t="shared" si="2375"/>
        <v>0</v>
      </c>
      <c r="H1218" s="1" t="str">
        <f t="shared" si="2375"/>
        <v>0</v>
      </c>
      <c r="I1218" s="1" t="str">
        <f t="shared" si="2375"/>
        <v>0</v>
      </c>
      <c r="J1218" s="1" t="str">
        <f t="shared" si="2375"/>
        <v>0</v>
      </c>
      <c r="K1218" s="1" t="str">
        <f t="shared" si="2375"/>
        <v>0</v>
      </c>
      <c r="L1218" s="1" t="str">
        <f t="shared" si="2375"/>
        <v>0</v>
      </c>
      <c r="M1218" s="1" t="str">
        <f t="shared" si="2375"/>
        <v>0</v>
      </c>
      <c r="N1218" s="1" t="str">
        <f t="shared" si="2375"/>
        <v>0</v>
      </c>
      <c r="O1218" s="1" t="str">
        <f t="shared" si="2375"/>
        <v>0</v>
      </c>
      <c r="P1218" s="1" t="str">
        <f t="shared" si="2375"/>
        <v>0</v>
      </c>
      <c r="Q1218" s="1" t="str">
        <f t="shared" si="2243"/>
        <v>0.0070</v>
      </c>
      <c r="R1218" s="1" t="s">
        <v>25</v>
      </c>
      <c r="T1218" s="1" t="str">
        <f t="shared" si="2244"/>
        <v>0</v>
      </c>
      <c r="U1218" s="1" t="str">
        <f t="shared" si="2371"/>
        <v>0.0070</v>
      </c>
    </row>
    <row r="1219" s="1" customFormat="1" spans="1:21">
      <c r="A1219" s="1" t="str">
        <f>"4601992013433"</f>
        <v>4601992013433</v>
      </c>
      <c r="B1219" s="1" t="s">
        <v>1243</v>
      </c>
      <c r="C1219" s="1" t="s">
        <v>24</v>
      </c>
      <c r="D1219" s="1" t="str">
        <f t="shared" ref="D1219:D1282" si="2376">"2021"</f>
        <v>2021</v>
      </c>
      <c r="E1219" s="1" t="str">
        <f>"108.98"</f>
        <v>108.98</v>
      </c>
      <c r="F1219" s="1" t="str">
        <f t="shared" ref="F1219:I1219" si="2377">"0"</f>
        <v>0</v>
      </c>
      <c r="G1219" s="1" t="str">
        <f t="shared" si="2377"/>
        <v>0</v>
      </c>
      <c r="H1219" s="1" t="str">
        <f t="shared" si="2377"/>
        <v>0</v>
      </c>
      <c r="I1219" s="1" t="str">
        <f t="shared" si="2377"/>
        <v>0</v>
      </c>
      <c r="J1219" s="1" t="str">
        <f>"16"</f>
        <v>16</v>
      </c>
      <c r="K1219" s="1" t="str">
        <f t="shared" ref="K1219:P1219" si="2378">"0"</f>
        <v>0</v>
      </c>
      <c r="L1219" s="1" t="str">
        <f t="shared" si="2378"/>
        <v>0</v>
      </c>
      <c r="M1219" s="1" t="str">
        <f t="shared" si="2378"/>
        <v>0</v>
      </c>
      <c r="N1219" s="1" t="str">
        <f t="shared" si="2378"/>
        <v>0</v>
      </c>
      <c r="O1219" s="1" t="str">
        <f t="shared" si="2378"/>
        <v>0</v>
      </c>
      <c r="P1219" s="1" t="str">
        <f t="shared" si="2378"/>
        <v>0</v>
      </c>
      <c r="Q1219" s="1" t="str">
        <f t="shared" ref="Q1219:Q1282" si="2379">"0.0070"</f>
        <v>0.0070</v>
      </c>
      <c r="R1219" s="1" t="s">
        <v>29</v>
      </c>
      <c r="S1219" s="1">
        <v>-0.0014</v>
      </c>
      <c r="T1219" s="1" t="str">
        <f t="shared" ref="T1219:T1282" si="2380">"0"</f>
        <v>0</v>
      </c>
      <c r="U1219" s="1" t="str">
        <f t="shared" si="2368"/>
        <v>0.0056</v>
      </c>
    </row>
    <row r="1220" s="1" customFormat="1" spans="1:21">
      <c r="A1220" s="1" t="str">
        <f>"4601992013457"</f>
        <v>4601992013457</v>
      </c>
      <c r="B1220" s="1" t="s">
        <v>1244</v>
      </c>
      <c r="C1220" s="1" t="s">
        <v>24</v>
      </c>
      <c r="D1220" s="1" t="str">
        <f t="shared" si="2376"/>
        <v>2021</v>
      </c>
      <c r="E1220" s="1" t="str">
        <f>"48.36"</f>
        <v>48.36</v>
      </c>
      <c r="F1220" s="1" t="str">
        <f t="shared" ref="F1220:I1220" si="2381">"0"</f>
        <v>0</v>
      </c>
      <c r="G1220" s="1" t="str">
        <f t="shared" si="2381"/>
        <v>0</v>
      </c>
      <c r="H1220" s="1" t="str">
        <f t="shared" si="2381"/>
        <v>0</v>
      </c>
      <c r="I1220" s="1" t="str">
        <f t="shared" si="2381"/>
        <v>0</v>
      </c>
      <c r="J1220" s="1" t="str">
        <f>"4"</f>
        <v>4</v>
      </c>
      <c r="K1220" s="1" t="str">
        <f t="shared" ref="K1220:P1220" si="2382">"0"</f>
        <v>0</v>
      </c>
      <c r="L1220" s="1" t="str">
        <f t="shared" si="2382"/>
        <v>0</v>
      </c>
      <c r="M1220" s="1" t="str">
        <f t="shared" si="2382"/>
        <v>0</v>
      </c>
      <c r="N1220" s="1" t="str">
        <f t="shared" si="2382"/>
        <v>0</v>
      </c>
      <c r="O1220" s="1" t="str">
        <f t="shared" si="2382"/>
        <v>0</v>
      </c>
      <c r="P1220" s="1" t="str">
        <f t="shared" si="2382"/>
        <v>0</v>
      </c>
      <c r="Q1220" s="1" t="str">
        <f t="shared" si="2379"/>
        <v>0.0070</v>
      </c>
      <c r="R1220" s="1" t="s">
        <v>29</v>
      </c>
      <c r="S1220" s="1">
        <v>-0.0014</v>
      </c>
      <c r="T1220" s="1" t="str">
        <f t="shared" si="2380"/>
        <v>0</v>
      </c>
      <c r="U1220" s="1" t="str">
        <f t="shared" si="2368"/>
        <v>0.0056</v>
      </c>
    </row>
    <row r="1221" s="1" customFormat="1" spans="1:21">
      <c r="A1221" s="1" t="str">
        <f>"4601992013471"</f>
        <v>4601992013471</v>
      </c>
      <c r="B1221" s="1" t="s">
        <v>1245</v>
      </c>
      <c r="C1221" s="1" t="s">
        <v>24</v>
      </c>
      <c r="D1221" s="1" t="str">
        <f t="shared" si="2376"/>
        <v>2021</v>
      </c>
      <c r="E1221" s="1" t="str">
        <f>"45.50"</f>
        <v>45.50</v>
      </c>
      <c r="F1221" s="1" t="str">
        <f t="shared" ref="F1221:I1221" si="2383">"0"</f>
        <v>0</v>
      </c>
      <c r="G1221" s="1" t="str">
        <f t="shared" si="2383"/>
        <v>0</v>
      </c>
      <c r="H1221" s="1" t="str">
        <f t="shared" si="2383"/>
        <v>0</v>
      </c>
      <c r="I1221" s="1" t="str">
        <f t="shared" si="2383"/>
        <v>0</v>
      </c>
      <c r="J1221" s="1" t="str">
        <f>"2"</f>
        <v>2</v>
      </c>
      <c r="K1221" s="1" t="str">
        <f t="shared" ref="K1221:P1221" si="2384">"0"</f>
        <v>0</v>
      </c>
      <c r="L1221" s="1" t="str">
        <f t="shared" si="2384"/>
        <v>0</v>
      </c>
      <c r="M1221" s="1" t="str">
        <f t="shared" si="2384"/>
        <v>0</v>
      </c>
      <c r="N1221" s="1" t="str">
        <f t="shared" si="2384"/>
        <v>0</v>
      </c>
      <c r="O1221" s="1" t="str">
        <f t="shared" si="2384"/>
        <v>0</v>
      </c>
      <c r="P1221" s="1" t="str">
        <f t="shared" si="2384"/>
        <v>0</v>
      </c>
      <c r="Q1221" s="1" t="str">
        <f t="shared" si="2379"/>
        <v>0.0070</v>
      </c>
      <c r="R1221" s="1" t="s">
        <v>29</v>
      </c>
      <c r="S1221" s="1">
        <v>-0.0014</v>
      </c>
      <c r="T1221" s="1" t="str">
        <f t="shared" si="2380"/>
        <v>0</v>
      </c>
      <c r="U1221" s="1" t="str">
        <f t="shared" si="2368"/>
        <v>0.0056</v>
      </c>
    </row>
    <row r="1222" s="1" customFormat="1" spans="1:21">
      <c r="A1222" s="1" t="str">
        <f>"4601992013507"</f>
        <v>4601992013507</v>
      </c>
      <c r="B1222" s="1" t="s">
        <v>1246</v>
      </c>
      <c r="C1222" s="1" t="s">
        <v>24</v>
      </c>
      <c r="D1222" s="1" t="str">
        <f t="shared" si="2376"/>
        <v>2021</v>
      </c>
      <c r="E1222" s="1" t="str">
        <f>"97.04"</f>
        <v>97.04</v>
      </c>
      <c r="F1222" s="1" t="str">
        <f t="shared" ref="F1222:I1222" si="2385">"0"</f>
        <v>0</v>
      </c>
      <c r="G1222" s="1" t="str">
        <f t="shared" si="2385"/>
        <v>0</v>
      </c>
      <c r="H1222" s="1" t="str">
        <f t="shared" si="2385"/>
        <v>0</v>
      </c>
      <c r="I1222" s="1" t="str">
        <f t="shared" si="2385"/>
        <v>0</v>
      </c>
      <c r="J1222" s="1" t="str">
        <f>"8"</f>
        <v>8</v>
      </c>
      <c r="K1222" s="1" t="str">
        <f t="shared" ref="K1222:P1222" si="2386">"0"</f>
        <v>0</v>
      </c>
      <c r="L1222" s="1" t="str">
        <f t="shared" si="2386"/>
        <v>0</v>
      </c>
      <c r="M1222" s="1" t="str">
        <f t="shared" si="2386"/>
        <v>0</v>
      </c>
      <c r="N1222" s="1" t="str">
        <f t="shared" si="2386"/>
        <v>0</v>
      </c>
      <c r="O1222" s="1" t="str">
        <f t="shared" si="2386"/>
        <v>0</v>
      </c>
      <c r="P1222" s="1" t="str">
        <f t="shared" si="2386"/>
        <v>0</v>
      </c>
      <c r="Q1222" s="1" t="str">
        <f t="shared" si="2379"/>
        <v>0.0070</v>
      </c>
      <c r="R1222" s="1" t="s">
        <v>29</v>
      </c>
      <c r="S1222" s="1">
        <v>-0.0014</v>
      </c>
      <c r="T1222" s="1" t="str">
        <f t="shared" si="2380"/>
        <v>0</v>
      </c>
      <c r="U1222" s="1" t="str">
        <f t="shared" si="2368"/>
        <v>0.0056</v>
      </c>
    </row>
    <row r="1223" s="1" customFormat="1" spans="1:21">
      <c r="A1223" s="1" t="str">
        <f>"4601992013534"</f>
        <v>4601992013534</v>
      </c>
      <c r="B1223" s="1" t="s">
        <v>1247</v>
      </c>
      <c r="C1223" s="1" t="s">
        <v>24</v>
      </c>
      <c r="D1223" s="1" t="str">
        <f t="shared" si="2376"/>
        <v>2021</v>
      </c>
      <c r="E1223" s="1" t="str">
        <f>"36.27"</f>
        <v>36.27</v>
      </c>
      <c r="F1223" s="1" t="str">
        <f t="shared" ref="F1223:I1223" si="2387">"0"</f>
        <v>0</v>
      </c>
      <c r="G1223" s="1" t="str">
        <f t="shared" si="2387"/>
        <v>0</v>
      </c>
      <c r="H1223" s="1" t="str">
        <f t="shared" si="2387"/>
        <v>0</v>
      </c>
      <c r="I1223" s="1" t="str">
        <f t="shared" si="2387"/>
        <v>0</v>
      </c>
      <c r="J1223" s="1" t="str">
        <f>"3"</f>
        <v>3</v>
      </c>
      <c r="K1223" s="1" t="str">
        <f t="shared" ref="K1223:P1223" si="2388">"0"</f>
        <v>0</v>
      </c>
      <c r="L1223" s="1" t="str">
        <f t="shared" si="2388"/>
        <v>0</v>
      </c>
      <c r="M1223" s="1" t="str">
        <f t="shared" si="2388"/>
        <v>0</v>
      </c>
      <c r="N1223" s="1" t="str">
        <f t="shared" si="2388"/>
        <v>0</v>
      </c>
      <c r="O1223" s="1" t="str">
        <f t="shared" si="2388"/>
        <v>0</v>
      </c>
      <c r="P1223" s="1" t="str">
        <f t="shared" si="2388"/>
        <v>0</v>
      </c>
      <c r="Q1223" s="1" t="str">
        <f t="shared" si="2379"/>
        <v>0.0070</v>
      </c>
      <c r="R1223" s="1" t="s">
        <v>29</v>
      </c>
      <c r="S1223" s="1">
        <v>-0.0014</v>
      </c>
      <c r="T1223" s="1" t="str">
        <f t="shared" si="2380"/>
        <v>0</v>
      </c>
      <c r="U1223" s="1" t="str">
        <f t="shared" si="2368"/>
        <v>0.0056</v>
      </c>
    </row>
    <row r="1224" s="1" customFormat="1" spans="1:21">
      <c r="A1224" s="1" t="str">
        <f>"4601992013649"</f>
        <v>4601992013649</v>
      </c>
      <c r="B1224" s="1" t="s">
        <v>1248</v>
      </c>
      <c r="C1224" s="1" t="s">
        <v>24</v>
      </c>
      <c r="D1224" s="1" t="str">
        <f t="shared" si="2376"/>
        <v>2021</v>
      </c>
      <c r="E1224" s="1" t="str">
        <f>"72.54"</f>
        <v>72.54</v>
      </c>
      <c r="F1224" s="1" t="str">
        <f t="shared" ref="F1224:I1224" si="2389">"0"</f>
        <v>0</v>
      </c>
      <c r="G1224" s="1" t="str">
        <f t="shared" si="2389"/>
        <v>0</v>
      </c>
      <c r="H1224" s="1" t="str">
        <f t="shared" si="2389"/>
        <v>0</v>
      </c>
      <c r="I1224" s="1" t="str">
        <f t="shared" si="2389"/>
        <v>0</v>
      </c>
      <c r="J1224" s="1" t="str">
        <f>"7"</f>
        <v>7</v>
      </c>
      <c r="K1224" s="1" t="str">
        <f t="shared" ref="K1224:P1224" si="2390">"0"</f>
        <v>0</v>
      </c>
      <c r="L1224" s="1" t="str">
        <f t="shared" si="2390"/>
        <v>0</v>
      </c>
      <c r="M1224" s="1" t="str">
        <f t="shared" si="2390"/>
        <v>0</v>
      </c>
      <c r="N1224" s="1" t="str">
        <f t="shared" si="2390"/>
        <v>0</v>
      </c>
      <c r="O1224" s="1" t="str">
        <f t="shared" si="2390"/>
        <v>0</v>
      </c>
      <c r="P1224" s="1" t="str">
        <f t="shared" si="2390"/>
        <v>0</v>
      </c>
      <c r="Q1224" s="1" t="str">
        <f t="shared" si="2379"/>
        <v>0.0070</v>
      </c>
      <c r="R1224" s="1" t="s">
        <v>29</v>
      </c>
      <c r="S1224" s="1">
        <v>-0.0014</v>
      </c>
      <c r="T1224" s="1" t="str">
        <f t="shared" si="2380"/>
        <v>0</v>
      </c>
      <c r="U1224" s="1" t="str">
        <f t="shared" si="2368"/>
        <v>0.0056</v>
      </c>
    </row>
    <row r="1225" s="1" customFormat="1" spans="1:21">
      <c r="A1225" s="1" t="str">
        <f>"4601992013726"</f>
        <v>4601992013726</v>
      </c>
      <c r="B1225" s="1" t="s">
        <v>1249</v>
      </c>
      <c r="C1225" s="1" t="s">
        <v>24</v>
      </c>
      <c r="D1225" s="1" t="str">
        <f t="shared" si="2376"/>
        <v>2021</v>
      </c>
      <c r="E1225" s="1" t="str">
        <f t="shared" ref="E1225:P1225" si="2391">"0"</f>
        <v>0</v>
      </c>
      <c r="F1225" s="1" t="str">
        <f t="shared" si="2391"/>
        <v>0</v>
      </c>
      <c r="G1225" s="1" t="str">
        <f t="shared" si="2391"/>
        <v>0</v>
      </c>
      <c r="H1225" s="1" t="str">
        <f t="shared" si="2391"/>
        <v>0</v>
      </c>
      <c r="I1225" s="1" t="str">
        <f t="shared" si="2391"/>
        <v>0</v>
      </c>
      <c r="J1225" s="1" t="str">
        <f t="shared" si="2391"/>
        <v>0</v>
      </c>
      <c r="K1225" s="1" t="str">
        <f t="shared" si="2391"/>
        <v>0</v>
      </c>
      <c r="L1225" s="1" t="str">
        <f t="shared" si="2391"/>
        <v>0</v>
      </c>
      <c r="M1225" s="1" t="str">
        <f t="shared" si="2391"/>
        <v>0</v>
      </c>
      <c r="N1225" s="1" t="str">
        <f t="shared" si="2391"/>
        <v>0</v>
      </c>
      <c r="O1225" s="1" t="str">
        <f t="shared" si="2391"/>
        <v>0</v>
      </c>
      <c r="P1225" s="1" t="str">
        <f t="shared" si="2391"/>
        <v>0</v>
      </c>
      <c r="Q1225" s="1" t="str">
        <f t="shared" si="2379"/>
        <v>0.0070</v>
      </c>
      <c r="R1225" s="1" t="s">
        <v>25</v>
      </c>
      <c r="T1225" s="1" t="str">
        <f t="shared" si="2380"/>
        <v>0</v>
      </c>
      <c r="U1225" s="1" t="str">
        <f>"0.0070"</f>
        <v>0.0070</v>
      </c>
    </row>
    <row r="1226" s="1" customFormat="1" spans="1:21">
      <c r="A1226" s="1" t="str">
        <f>"4601992013674"</f>
        <v>4601992013674</v>
      </c>
      <c r="B1226" s="1" t="s">
        <v>1250</v>
      </c>
      <c r="C1226" s="1" t="s">
        <v>24</v>
      </c>
      <c r="D1226" s="1" t="str">
        <f t="shared" si="2376"/>
        <v>2021</v>
      </c>
      <c r="E1226" s="1" t="str">
        <f>"12.09"</f>
        <v>12.09</v>
      </c>
      <c r="F1226" s="1" t="str">
        <f t="shared" ref="F1226:I1226" si="2392">"0"</f>
        <v>0</v>
      </c>
      <c r="G1226" s="1" t="str">
        <f t="shared" si="2392"/>
        <v>0</v>
      </c>
      <c r="H1226" s="1" t="str">
        <f t="shared" si="2392"/>
        <v>0</v>
      </c>
      <c r="I1226" s="1" t="str">
        <f t="shared" si="2392"/>
        <v>0</v>
      </c>
      <c r="J1226" s="1" t="str">
        <f>"1"</f>
        <v>1</v>
      </c>
      <c r="K1226" s="1" t="str">
        <f t="shared" ref="K1226:P1226" si="2393">"0"</f>
        <v>0</v>
      </c>
      <c r="L1226" s="1" t="str">
        <f t="shared" si="2393"/>
        <v>0</v>
      </c>
      <c r="M1226" s="1" t="str">
        <f t="shared" si="2393"/>
        <v>0</v>
      </c>
      <c r="N1226" s="1" t="str">
        <f t="shared" si="2393"/>
        <v>0</v>
      </c>
      <c r="O1226" s="1" t="str">
        <f t="shared" si="2393"/>
        <v>0</v>
      </c>
      <c r="P1226" s="1" t="str">
        <f t="shared" si="2393"/>
        <v>0</v>
      </c>
      <c r="Q1226" s="1" t="str">
        <f t="shared" si="2379"/>
        <v>0.0070</v>
      </c>
      <c r="R1226" s="1" t="s">
        <v>29</v>
      </c>
      <c r="S1226" s="1">
        <v>-0.0014</v>
      </c>
      <c r="T1226" s="1" t="str">
        <f t="shared" si="2380"/>
        <v>0</v>
      </c>
      <c r="U1226" s="1" t="str">
        <f t="shared" ref="U1226:U1230" si="2394">"0.0056"</f>
        <v>0.0056</v>
      </c>
    </row>
    <row r="1227" s="1" customFormat="1" spans="1:21">
      <c r="A1227" s="1" t="str">
        <f>"4601991423036"</f>
        <v>4601991423036</v>
      </c>
      <c r="B1227" s="1" t="s">
        <v>1251</v>
      </c>
      <c r="C1227" s="1" t="s">
        <v>24</v>
      </c>
      <c r="D1227" s="1" t="str">
        <f t="shared" si="2376"/>
        <v>2021</v>
      </c>
      <c r="E1227" s="1" t="str">
        <f>"72.02"</f>
        <v>72.02</v>
      </c>
      <c r="F1227" s="1" t="str">
        <f t="shared" ref="F1227:I1227" si="2395">"0"</f>
        <v>0</v>
      </c>
      <c r="G1227" s="1" t="str">
        <f t="shared" si="2395"/>
        <v>0</v>
      </c>
      <c r="H1227" s="1" t="str">
        <f t="shared" si="2395"/>
        <v>0</v>
      </c>
      <c r="I1227" s="1" t="str">
        <f t="shared" si="2395"/>
        <v>0</v>
      </c>
      <c r="J1227" s="1" t="str">
        <f>"8"</f>
        <v>8</v>
      </c>
      <c r="K1227" s="1" t="str">
        <f t="shared" ref="K1227:P1227" si="2396">"0"</f>
        <v>0</v>
      </c>
      <c r="L1227" s="1" t="str">
        <f t="shared" si="2396"/>
        <v>0</v>
      </c>
      <c r="M1227" s="1" t="str">
        <f t="shared" si="2396"/>
        <v>0</v>
      </c>
      <c r="N1227" s="1" t="str">
        <f t="shared" si="2396"/>
        <v>0</v>
      </c>
      <c r="O1227" s="1" t="str">
        <f t="shared" si="2396"/>
        <v>0</v>
      </c>
      <c r="P1227" s="1" t="str">
        <f t="shared" si="2396"/>
        <v>0</v>
      </c>
      <c r="Q1227" s="1" t="str">
        <f t="shared" si="2379"/>
        <v>0.0070</v>
      </c>
      <c r="R1227" s="1" t="s">
        <v>29</v>
      </c>
      <c r="S1227" s="1">
        <v>-0.0014</v>
      </c>
      <c r="T1227" s="1" t="str">
        <f t="shared" si="2380"/>
        <v>0</v>
      </c>
      <c r="U1227" s="1" t="str">
        <f t="shared" si="2394"/>
        <v>0.0056</v>
      </c>
    </row>
    <row r="1228" s="1" customFormat="1" spans="1:21">
      <c r="A1228" s="1" t="str">
        <f>"4601992013761"</f>
        <v>4601992013761</v>
      </c>
      <c r="B1228" s="1" t="s">
        <v>1252</v>
      </c>
      <c r="C1228" s="1" t="s">
        <v>24</v>
      </c>
      <c r="D1228" s="1" t="str">
        <f t="shared" si="2376"/>
        <v>2021</v>
      </c>
      <c r="E1228" s="1" t="str">
        <f>"96.72"</f>
        <v>96.72</v>
      </c>
      <c r="F1228" s="1" t="str">
        <f t="shared" ref="F1228:I1228" si="2397">"0"</f>
        <v>0</v>
      </c>
      <c r="G1228" s="1" t="str">
        <f t="shared" si="2397"/>
        <v>0</v>
      </c>
      <c r="H1228" s="1" t="str">
        <f t="shared" si="2397"/>
        <v>0</v>
      </c>
      <c r="I1228" s="1" t="str">
        <f t="shared" si="2397"/>
        <v>0</v>
      </c>
      <c r="J1228" s="1" t="str">
        <f>"7"</f>
        <v>7</v>
      </c>
      <c r="K1228" s="1" t="str">
        <f t="shared" ref="K1228:P1228" si="2398">"0"</f>
        <v>0</v>
      </c>
      <c r="L1228" s="1" t="str">
        <f t="shared" si="2398"/>
        <v>0</v>
      </c>
      <c r="M1228" s="1" t="str">
        <f t="shared" si="2398"/>
        <v>0</v>
      </c>
      <c r="N1228" s="1" t="str">
        <f t="shared" si="2398"/>
        <v>0</v>
      </c>
      <c r="O1228" s="1" t="str">
        <f t="shared" si="2398"/>
        <v>0</v>
      </c>
      <c r="P1228" s="1" t="str">
        <f t="shared" si="2398"/>
        <v>0</v>
      </c>
      <c r="Q1228" s="1" t="str">
        <f t="shared" si="2379"/>
        <v>0.0070</v>
      </c>
      <c r="R1228" s="1" t="s">
        <v>29</v>
      </c>
      <c r="S1228" s="1">
        <v>-0.0014</v>
      </c>
      <c r="T1228" s="1" t="str">
        <f t="shared" si="2380"/>
        <v>0</v>
      </c>
      <c r="U1228" s="1" t="str">
        <f t="shared" si="2394"/>
        <v>0.0056</v>
      </c>
    </row>
    <row r="1229" s="1" customFormat="1" spans="1:21">
      <c r="A1229" s="1" t="str">
        <f>"4601992013744"</f>
        <v>4601992013744</v>
      </c>
      <c r="B1229" s="1" t="s">
        <v>1253</v>
      </c>
      <c r="C1229" s="1" t="s">
        <v>24</v>
      </c>
      <c r="D1229" s="1" t="str">
        <f t="shared" si="2376"/>
        <v>2021</v>
      </c>
      <c r="E1229" s="1" t="str">
        <f>"24.37"</f>
        <v>24.37</v>
      </c>
      <c r="F1229" s="1" t="str">
        <f t="shared" ref="F1229:I1229" si="2399">"0"</f>
        <v>0</v>
      </c>
      <c r="G1229" s="1" t="str">
        <f t="shared" si="2399"/>
        <v>0</v>
      </c>
      <c r="H1229" s="1" t="str">
        <f t="shared" si="2399"/>
        <v>0</v>
      </c>
      <c r="I1229" s="1" t="str">
        <f t="shared" si="2399"/>
        <v>0</v>
      </c>
      <c r="J1229" s="1" t="str">
        <f>"2"</f>
        <v>2</v>
      </c>
      <c r="K1229" s="1" t="str">
        <f t="shared" ref="K1229:P1229" si="2400">"0"</f>
        <v>0</v>
      </c>
      <c r="L1229" s="1" t="str">
        <f t="shared" si="2400"/>
        <v>0</v>
      </c>
      <c r="M1229" s="1" t="str">
        <f t="shared" si="2400"/>
        <v>0</v>
      </c>
      <c r="N1229" s="1" t="str">
        <f t="shared" si="2400"/>
        <v>0</v>
      </c>
      <c r="O1229" s="1" t="str">
        <f t="shared" si="2400"/>
        <v>0</v>
      </c>
      <c r="P1229" s="1" t="str">
        <f t="shared" si="2400"/>
        <v>0</v>
      </c>
      <c r="Q1229" s="1" t="str">
        <f t="shared" si="2379"/>
        <v>0.0070</v>
      </c>
      <c r="R1229" s="1" t="s">
        <v>29</v>
      </c>
      <c r="S1229" s="1">
        <v>-0.0014</v>
      </c>
      <c r="T1229" s="1" t="str">
        <f t="shared" si="2380"/>
        <v>0</v>
      </c>
      <c r="U1229" s="1" t="str">
        <f t="shared" si="2394"/>
        <v>0.0056</v>
      </c>
    </row>
    <row r="1230" s="1" customFormat="1" spans="1:21">
      <c r="A1230" s="1" t="str">
        <f>"4601991403884"</f>
        <v>4601991403884</v>
      </c>
      <c r="B1230" s="1" t="s">
        <v>1254</v>
      </c>
      <c r="C1230" s="1" t="s">
        <v>24</v>
      </c>
      <c r="D1230" s="1" t="str">
        <f t="shared" si="2376"/>
        <v>2021</v>
      </c>
      <c r="E1230" s="1" t="str">
        <f>"141.76"</f>
        <v>141.76</v>
      </c>
      <c r="F1230" s="1" t="str">
        <f t="shared" ref="F1230:I1230" si="2401">"0"</f>
        <v>0</v>
      </c>
      <c r="G1230" s="1" t="str">
        <f t="shared" si="2401"/>
        <v>0</v>
      </c>
      <c r="H1230" s="1" t="str">
        <f t="shared" si="2401"/>
        <v>0</v>
      </c>
      <c r="I1230" s="1" t="str">
        <f t="shared" si="2401"/>
        <v>0</v>
      </c>
      <c r="J1230" s="1" t="str">
        <f>"14"</f>
        <v>14</v>
      </c>
      <c r="K1230" s="1" t="str">
        <f t="shared" ref="K1230:P1230" si="2402">"0"</f>
        <v>0</v>
      </c>
      <c r="L1230" s="1" t="str">
        <f t="shared" si="2402"/>
        <v>0</v>
      </c>
      <c r="M1230" s="1" t="str">
        <f t="shared" si="2402"/>
        <v>0</v>
      </c>
      <c r="N1230" s="1" t="str">
        <f t="shared" si="2402"/>
        <v>0</v>
      </c>
      <c r="O1230" s="1" t="str">
        <f t="shared" si="2402"/>
        <v>0</v>
      </c>
      <c r="P1230" s="1" t="str">
        <f t="shared" si="2402"/>
        <v>0</v>
      </c>
      <c r="Q1230" s="1" t="str">
        <f t="shared" si="2379"/>
        <v>0.0070</v>
      </c>
      <c r="R1230" s="1" t="s">
        <v>29</v>
      </c>
      <c r="S1230" s="1">
        <v>-0.0014</v>
      </c>
      <c r="T1230" s="1" t="str">
        <f t="shared" si="2380"/>
        <v>0</v>
      </c>
      <c r="U1230" s="1" t="str">
        <f t="shared" si="2394"/>
        <v>0.0056</v>
      </c>
    </row>
    <row r="1231" s="1" customFormat="1" spans="1:21">
      <c r="A1231" s="1" t="str">
        <f>"4601992013768"</f>
        <v>4601992013768</v>
      </c>
      <c r="B1231" s="1" t="s">
        <v>1255</v>
      </c>
      <c r="C1231" s="1" t="s">
        <v>24</v>
      </c>
      <c r="D1231" s="1" t="str">
        <f t="shared" si="2376"/>
        <v>2021</v>
      </c>
      <c r="E1231" s="1" t="str">
        <f t="shared" ref="E1231:G1231" si="2403">"0"</f>
        <v>0</v>
      </c>
      <c r="F1231" s="1" t="str">
        <f t="shared" si="2403"/>
        <v>0</v>
      </c>
      <c r="G1231" s="1" t="str">
        <f t="shared" si="2403"/>
        <v>0</v>
      </c>
      <c r="H1231" s="1" t="str">
        <f>"36.27"</f>
        <v>36.27</v>
      </c>
      <c r="I1231" s="1" t="str">
        <f t="shared" ref="I1231:P1231" si="2404">"0"</f>
        <v>0</v>
      </c>
      <c r="J1231" s="1" t="str">
        <f>"2"</f>
        <v>2</v>
      </c>
      <c r="K1231" s="1" t="str">
        <f t="shared" si="2404"/>
        <v>0</v>
      </c>
      <c r="L1231" s="1" t="str">
        <f t="shared" si="2404"/>
        <v>0</v>
      </c>
      <c r="M1231" s="1" t="str">
        <f t="shared" si="2404"/>
        <v>0</v>
      </c>
      <c r="N1231" s="1" t="str">
        <f t="shared" si="2404"/>
        <v>0</v>
      </c>
      <c r="O1231" s="1" t="str">
        <f t="shared" si="2404"/>
        <v>0</v>
      </c>
      <c r="P1231" s="1" t="str">
        <f t="shared" si="2404"/>
        <v>0</v>
      </c>
      <c r="Q1231" s="1" t="str">
        <f t="shared" si="2379"/>
        <v>0.0070</v>
      </c>
      <c r="R1231" s="1" t="s">
        <v>25</v>
      </c>
      <c r="T1231" s="1" t="str">
        <f t="shared" si="2380"/>
        <v>0</v>
      </c>
      <c r="U1231" s="1" t="str">
        <f t="shared" ref="U1231:U1234" si="2405">"0.0070"</f>
        <v>0.0070</v>
      </c>
    </row>
    <row r="1232" s="1" customFormat="1" spans="1:21">
      <c r="A1232" s="1" t="str">
        <f>"4601992013812"</f>
        <v>4601992013812</v>
      </c>
      <c r="B1232" s="1" t="s">
        <v>1256</v>
      </c>
      <c r="C1232" s="1" t="s">
        <v>24</v>
      </c>
      <c r="D1232" s="1" t="str">
        <f t="shared" si="2376"/>
        <v>2021</v>
      </c>
      <c r="E1232" s="1" t="str">
        <f t="shared" ref="E1232:P1232" si="2406">"0"</f>
        <v>0</v>
      </c>
      <c r="F1232" s="1" t="str">
        <f t="shared" si="2406"/>
        <v>0</v>
      </c>
      <c r="G1232" s="1" t="str">
        <f t="shared" si="2406"/>
        <v>0</v>
      </c>
      <c r="H1232" s="1" t="str">
        <f t="shared" si="2406"/>
        <v>0</v>
      </c>
      <c r="I1232" s="1" t="str">
        <f t="shared" si="2406"/>
        <v>0</v>
      </c>
      <c r="J1232" s="1" t="str">
        <f t="shared" si="2406"/>
        <v>0</v>
      </c>
      <c r="K1232" s="1" t="str">
        <f t="shared" si="2406"/>
        <v>0</v>
      </c>
      <c r="L1232" s="1" t="str">
        <f t="shared" si="2406"/>
        <v>0</v>
      </c>
      <c r="M1232" s="1" t="str">
        <f t="shared" si="2406"/>
        <v>0</v>
      </c>
      <c r="N1232" s="1" t="str">
        <f t="shared" si="2406"/>
        <v>0</v>
      </c>
      <c r="O1232" s="1" t="str">
        <f t="shared" si="2406"/>
        <v>0</v>
      </c>
      <c r="P1232" s="1" t="str">
        <f t="shared" si="2406"/>
        <v>0</v>
      </c>
      <c r="Q1232" s="1" t="str">
        <f t="shared" si="2379"/>
        <v>0.0070</v>
      </c>
      <c r="R1232" s="1" t="s">
        <v>25</v>
      </c>
      <c r="T1232" s="1" t="str">
        <f t="shared" si="2380"/>
        <v>0</v>
      </c>
      <c r="U1232" s="1" t="str">
        <f t="shared" si="2405"/>
        <v>0.0070</v>
      </c>
    </row>
    <row r="1233" s="1" customFormat="1" spans="1:21">
      <c r="A1233" s="1" t="str">
        <f>"4601992013821"</f>
        <v>4601992013821</v>
      </c>
      <c r="B1233" s="1" t="s">
        <v>1257</v>
      </c>
      <c r="C1233" s="1" t="s">
        <v>24</v>
      </c>
      <c r="D1233" s="1" t="str">
        <f t="shared" si="2376"/>
        <v>2021</v>
      </c>
      <c r="E1233" s="1" t="str">
        <f t="shared" ref="E1233:P1233" si="2407">"0"</f>
        <v>0</v>
      </c>
      <c r="F1233" s="1" t="str">
        <f t="shared" si="2407"/>
        <v>0</v>
      </c>
      <c r="G1233" s="1" t="str">
        <f t="shared" si="2407"/>
        <v>0</v>
      </c>
      <c r="H1233" s="1" t="str">
        <f t="shared" si="2407"/>
        <v>0</v>
      </c>
      <c r="I1233" s="1" t="str">
        <f t="shared" si="2407"/>
        <v>0</v>
      </c>
      <c r="J1233" s="1" t="str">
        <f t="shared" si="2407"/>
        <v>0</v>
      </c>
      <c r="K1233" s="1" t="str">
        <f t="shared" si="2407"/>
        <v>0</v>
      </c>
      <c r="L1233" s="1" t="str">
        <f t="shared" si="2407"/>
        <v>0</v>
      </c>
      <c r="M1233" s="1" t="str">
        <f t="shared" si="2407"/>
        <v>0</v>
      </c>
      <c r="N1233" s="1" t="str">
        <f t="shared" si="2407"/>
        <v>0</v>
      </c>
      <c r="O1233" s="1" t="str">
        <f t="shared" si="2407"/>
        <v>0</v>
      </c>
      <c r="P1233" s="1" t="str">
        <f t="shared" si="2407"/>
        <v>0</v>
      </c>
      <c r="Q1233" s="1" t="str">
        <f t="shared" si="2379"/>
        <v>0.0070</v>
      </c>
      <c r="R1233" s="1" t="s">
        <v>25</v>
      </c>
      <c r="T1233" s="1" t="str">
        <f t="shared" si="2380"/>
        <v>0</v>
      </c>
      <c r="U1233" s="1" t="str">
        <f t="shared" si="2405"/>
        <v>0.0070</v>
      </c>
    </row>
    <row r="1234" s="1" customFormat="1" spans="1:21">
      <c r="A1234" s="1" t="str">
        <f>"4601992013858"</f>
        <v>4601992013858</v>
      </c>
      <c r="B1234" s="1" t="s">
        <v>1258</v>
      </c>
      <c r="C1234" s="1" t="s">
        <v>24</v>
      </c>
      <c r="D1234" s="1" t="str">
        <f t="shared" si="2376"/>
        <v>2021</v>
      </c>
      <c r="E1234" s="1" t="str">
        <f t="shared" ref="E1234:P1234" si="2408">"0"</f>
        <v>0</v>
      </c>
      <c r="F1234" s="1" t="str">
        <f t="shared" si="2408"/>
        <v>0</v>
      </c>
      <c r="G1234" s="1" t="str">
        <f t="shared" si="2408"/>
        <v>0</v>
      </c>
      <c r="H1234" s="1" t="str">
        <f t="shared" si="2408"/>
        <v>0</v>
      </c>
      <c r="I1234" s="1" t="str">
        <f t="shared" si="2408"/>
        <v>0</v>
      </c>
      <c r="J1234" s="1" t="str">
        <f t="shared" si="2408"/>
        <v>0</v>
      </c>
      <c r="K1234" s="1" t="str">
        <f t="shared" si="2408"/>
        <v>0</v>
      </c>
      <c r="L1234" s="1" t="str">
        <f t="shared" si="2408"/>
        <v>0</v>
      </c>
      <c r="M1234" s="1" t="str">
        <f t="shared" si="2408"/>
        <v>0</v>
      </c>
      <c r="N1234" s="1" t="str">
        <f t="shared" si="2408"/>
        <v>0</v>
      </c>
      <c r="O1234" s="1" t="str">
        <f t="shared" si="2408"/>
        <v>0</v>
      </c>
      <c r="P1234" s="1" t="str">
        <f t="shared" si="2408"/>
        <v>0</v>
      </c>
      <c r="Q1234" s="1" t="str">
        <f t="shared" si="2379"/>
        <v>0.0070</v>
      </c>
      <c r="R1234" s="1" t="s">
        <v>25</v>
      </c>
      <c r="T1234" s="1" t="str">
        <f t="shared" si="2380"/>
        <v>0</v>
      </c>
      <c r="U1234" s="1" t="str">
        <f t="shared" si="2405"/>
        <v>0.0070</v>
      </c>
    </row>
    <row r="1235" s="1" customFormat="1" spans="1:21">
      <c r="A1235" s="1" t="str">
        <f>"4601992013771"</f>
        <v>4601992013771</v>
      </c>
      <c r="B1235" s="1" t="s">
        <v>1259</v>
      </c>
      <c r="C1235" s="1" t="s">
        <v>24</v>
      </c>
      <c r="D1235" s="1" t="str">
        <f t="shared" si="2376"/>
        <v>2021</v>
      </c>
      <c r="E1235" s="1" t="str">
        <f>"24.18"</f>
        <v>24.18</v>
      </c>
      <c r="F1235" s="1" t="str">
        <f t="shared" ref="F1235:I1235" si="2409">"0"</f>
        <v>0</v>
      </c>
      <c r="G1235" s="1" t="str">
        <f t="shared" si="2409"/>
        <v>0</v>
      </c>
      <c r="H1235" s="1" t="str">
        <f t="shared" si="2409"/>
        <v>0</v>
      </c>
      <c r="I1235" s="1" t="str">
        <f t="shared" si="2409"/>
        <v>0</v>
      </c>
      <c r="J1235" s="1" t="str">
        <f>"3"</f>
        <v>3</v>
      </c>
      <c r="K1235" s="1" t="str">
        <f t="shared" ref="K1235:P1235" si="2410">"0"</f>
        <v>0</v>
      </c>
      <c r="L1235" s="1" t="str">
        <f t="shared" si="2410"/>
        <v>0</v>
      </c>
      <c r="M1235" s="1" t="str">
        <f t="shared" si="2410"/>
        <v>0</v>
      </c>
      <c r="N1235" s="1" t="str">
        <f t="shared" si="2410"/>
        <v>0</v>
      </c>
      <c r="O1235" s="1" t="str">
        <f t="shared" si="2410"/>
        <v>0</v>
      </c>
      <c r="P1235" s="1" t="str">
        <f t="shared" si="2410"/>
        <v>0</v>
      </c>
      <c r="Q1235" s="1" t="str">
        <f t="shared" si="2379"/>
        <v>0.0070</v>
      </c>
      <c r="R1235" s="1" t="s">
        <v>29</v>
      </c>
      <c r="S1235" s="1">
        <v>-0.0014</v>
      </c>
      <c r="T1235" s="1" t="str">
        <f t="shared" si="2380"/>
        <v>0</v>
      </c>
      <c r="U1235" s="1" t="str">
        <f t="shared" ref="U1235:U1239" si="2411">"0.0056"</f>
        <v>0.0056</v>
      </c>
    </row>
    <row r="1236" s="1" customFormat="1" spans="1:21">
      <c r="A1236" s="1" t="str">
        <f>"4601992013826"</f>
        <v>4601992013826</v>
      </c>
      <c r="B1236" s="1" t="s">
        <v>1260</v>
      </c>
      <c r="C1236" s="1" t="s">
        <v>24</v>
      </c>
      <c r="D1236" s="1" t="str">
        <f t="shared" si="2376"/>
        <v>2021</v>
      </c>
      <c r="E1236" s="1" t="str">
        <f>"12.12"</f>
        <v>12.12</v>
      </c>
      <c r="F1236" s="1" t="str">
        <f t="shared" ref="F1236:I1236" si="2412">"0"</f>
        <v>0</v>
      </c>
      <c r="G1236" s="1" t="str">
        <f t="shared" si="2412"/>
        <v>0</v>
      </c>
      <c r="H1236" s="1" t="str">
        <f t="shared" si="2412"/>
        <v>0</v>
      </c>
      <c r="I1236" s="1" t="str">
        <f t="shared" si="2412"/>
        <v>0</v>
      </c>
      <c r="J1236" s="1" t="str">
        <f>"1"</f>
        <v>1</v>
      </c>
      <c r="K1236" s="1" t="str">
        <f t="shared" ref="K1236:P1236" si="2413">"0"</f>
        <v>0</v>
      </c>
      <c r="L1236" s="1" t="str">
        <f t="shared" si="2413"/>
        <v>0</v>
      </c>
      <c r="M1236" s="1" t="str">
        <f t="shared" si="2413"/>
        <v>0</v>
      </c>
      <c r="N1236" s="1" t="str">
        <f t="shared" si="2413"/>
        <v>0</v>
      </c>
      <c r="O1236" s="1" t="str">
        <f t="shared" si="2413"/>
        <v>0</v>
      </c>
      <c r="P1236" s="1" t="str">
        <f t="shared" si="2413"/>
        <v>0</v>
      </c>
      <c r="Q1236" s="1" t="str">
        <f t="shared" si="2379"/>
        <v>0.0070</v>
      </c>
      <c r="R1236" s="1" t="s">
        <v>29</v>
      </c>
      <c r="S1236" s="1">
        <v>-0.0014</v>
      </c>
      <c r="T1236" s="1" t="str">
        <f t="shared" si="2380"/>
        <v>0</v>
      </c>
      <c r="U1236" s="1" t="str">
        <f t="shared" si="2411"/>
        <v>0.0056</v>
      </c>
    </row>
    <row r="1237" s="1" customFormat="1" spans="1:21">
      <c r="A1237" s="1" t="str">
        <f>"4601992013908"</f>
        <v>4601992013908</v>
      </c>
      <c r="B1237" s="1" t="s">
        <v>1261</v>
      </c>
      <c r="C1237" s="1" t="s">
        <v>24</v>
      </c>
      <c r="D1237" s="1" t="str">
        <f t="shared" si="2376"/>
        <v>2021</v>
      </c>
      <c r="E1237" s="1" t="str">
        <f>"12.09"</f>
        <v>12.09</v>
      </c>
      <c r="F1237" s="1" t="str">
        <f t="shared" ref="F1237:I1237" si="2414">"0"</f>
        <v>0</v>
      </c>
      <c r="G1237" s="1" t="str">
        <f t="shared" si="2414"/>
        <v>0</v>
      </c>
      <c r="H1237" s="1" t="str">
        <f t="shared" si="2414"/>
        <v>0</v>
      </c>
      <c r="I1237" s="1" t="str">
        <f t="shared" si="2414"/>
        <v>0</v>
      </c>
      <c r="J1237" s="1" t="str">
        <f>"1"</f>
        <v>1</v>
      </c>
      <c r="K1237" s="1" t="str">
        <f t="shared" ref="K1237:P1237" si="2415">"0"</f>
        <v>0</v>
      </c>
      <c r="L1237" s="1" t="str">
        <f t="shared" si="2415"/>
        <v>0</v>
      </c>
      <c r="M1237" s="1" t="str">
        <f t="shared" si="2415"/>
        <v>0</v>
      </c>
      <c r="N1237" s="1" t="str">
        <f t="shared" si="2415"/>
        <v>0</v>
      </c>
      <c r="O1237" s="1" t="str">
        <f t="shared" si="2415"/>
        <v>0</v>
      </c>
      <c r="P1237" s="1" t="str">
        <f t="shared" si="2415"/>
        <v>0</v>
      </c>
      <c r="Q1237" s="1" t="str">
        <f t="shared" si="2379"/>
        <v>0.0070</v>
      </c>
      <c r="R1237" s="1" t="s">
        <v>29</v>
      </c>
      <c r="S1237" s="1">
        <v>-0.0014</v>
      </c>
      <c r="T1237" s="1" t="str">
        <f t="shared" si="2380"/>
        <v>0</v>
      </c>
      <c r="U1237" s="1" t="str">
        <f t="shared" si="2411"/>
        <v>0.0056</v>
      </c>
    </row>
    <row r="1238" s="1" customFormat="1" spans="1:21">
      <c r="A1238" s="1" t="str">
        <f>"4601992013929"</f>
        <v>4601992013929</v>
      </c>
      <c r="B1238" s="1" t="s">
        <v>1262</v>
      </c>
      <c r="C1238" s="1" t="s">
        <v>24</v>
      </c>
      <c r="D1238" s="1" t="str">
        <f t="shared" si="2376"/>
        <v>2021</v>
      </c>
      <c r="E1238" s="1" t="str">
        <f>"12.09"</f>
        <v>12.09</v>
      </c>
      <c r="F1238" s="1" t="str">
        <f t="shared" ref="F1238:I1238" si="2416">"0"</f>
        <v>0</v>
      </c>
      <c r="G1238" s="1" t="str">
        <f t="shared" si="2416"/>
        <v>0</v>
      </c>
      <c r="H1238" s="1" t="str">
        <f t="shared" si="2416"/>
        <v>0</v>
      </c>
      <c r="I1238" s="1" t="str">
        <f t="shared" si="2416"/>
        <v>0</v>
      </c>
      <c r="J1238" s="1" t="str">
        <f>"2"</f>
        <v>2</v>
      </c>
      <c r="K1238" s="1" t="str">
        <f t="shared" ref="K1238:P1238" si="2417">"0"</f>
        <v>0</v>
      </c>
      <c r="L1238" s="1" t="str">
        <f t="shared" si="2417"/>
        <v>0</v>
      </c>
      <c r="M1238" s="1" t="str">
        <f t="shared" si="2417"/>
        <v>0</v>
      </c>
      <c r="N1238" s="1" t="str">
        <f t="shared" si="2417"/>
        <v>0</v>
      </c>
      <c r="O1238" s="1" t="str">
        <f t="shared" si="2417"/>
        <v>0</v>
      </c>
      <c r="P1238" s="1" t="str">
        <f t="shared" si="2417"/>
        <v>0</v>
      </c>
      <c r="Q1238" s="1" t="str">
        <f t="shared" si="2379"/>
        <v>0.0070</v>
      </c>
      <c r="R1238" s="1" t="s">
        <v>29</v>
      </c>
      <c r="S1238" s="1">
        <v>-0.0014</v>
      </c>
      <c r="T1238" s="1" t="str">
        <f t="shared" si="2380"/>
        <v>0</v>
      </c>
      <c r="U1238" s="1" t="str">
        <f t="shared" si="2411"/>
        <v>0.0056</v>
      </c>
    </row>
    <row r="1239" s="1" customFormat="1" spans="1:21">
      <c r="A1239" s="1" t="str">
        <f>"4601992013993"</f>
        <v>4601992013993</v>
      </c>
      <c r="B1239" s="1" t="s">
        <v>1263</v>
      </c>
      <c r="C1239" s="1" t="s">
        <v>24</v>
      </c>
      <c r="D1239" s="1" t="str">
        <f t="shared" si="2376"/>
        <v>2021</v>
      </c>
      <c r="E1239" s="1" t="str">
        <f>"60.61"</f>
        <v>60.61</v>
      </c>
      <c r="F1239" s="1" t="str">
        <f t="shared" ref="F1239:I1239" si="2418">"0"</f>
        <v>0</v>
      </c>
      <c r="G1239" s="1" t="str">
        <f t="shared" si="2418"/>
        <v>0</v>
      </c>
      <c r="H1239" s="1" t="str">
        <f t="shared" si="2418"/>
        <v>0</v>
      </c>
      <c r="I1239" s="1" t="str">
        <f t="shared" si="2418"/>
        <v>0</v>
      </c>
      <c r="J1239" s="1" t="str">
        <f>"4"</f>
        <v>4</v>
      </c>
      <c r="K1239" s="1" t="str">
        <f t="shared" ref="K1239:P1239" si="2419">"0"</f>
        <v>0</v>
      </c>
      <c r="L1239" s="1" t="str">
        <f t="shared" si="2419"/>
        <v>0</v>
      </c>
      <c r="M1239" s="1" t="str">
        <f t="shared" si="2419"/>
        <v>0</v>
      </c>
      <c r="N1239" s="1" t="str">
        <f t="shared" si="2419"/>
        <v>0</v>
      </c>
      <c r="O1239" s="1" t="str">
        <f t="shared" si="2419"/>
        <v>0</v>
      </c>
      <c r="P1239" s="1" t="str">
        <f t="shared" si="2419"/>
        <v>0</v>
      </c>
      <c r="Q1239" s="1" t="str">
        <f t="shared" si="2379"/>
        <v>0.0070</v>
      </c>
      <c r="R1239" s="1" t="s">
        <v>29</v>
      </c>
      <c r="S1239" s="1">
        <v>-0.0014</v>
      </c>
      <c r="T1239" s="1" t="str">
        <f t="shared" si="2380"/>
        <v>0</v>
      </c>
      <c r="U1239" s="1" t="str">
        <f t="shared" si="2411"/>
        <v>0.0056</v>
      </c>
    </row>
    <row r="1240" s="1" customFormat="1" spans="1:21">
      <c r="A1240" s="1" t="str">
        <f>"4601992013951"</f>
        <v>4601992013951</v>
      </c>
      <c r="B1240" s="1" t="s">
        <v>1264</v>
      </c>
      <c r="C1240" s="1" t="s">
        <v>24</v>
      </c>
      <c r="D1240" s="1" t="str">
        <f t="shared" si="2376"/>
        <v>2021</v>
      </c>
      <c r="E1240" s="1" t="str">
        <f>"48.14"</f>
        <v>48.14</v>
      </c>
      <c r="F1240" s="1" t="str">
        <f t="shared" ref="F1240:I1240" si="2420">"0"</f>
        <v>0</v>
      </c>
      <c r="G1240" s="1" t="str">
        <f t="shared" si="2420"/>
        <v>0</v>
      </c>
      <c r="H1240" s="1" t="str">
        <f t="shared" si="2420"/>
        <v>0</v>
      </c>
      <c r="I1240" s="1" t="str">
        <f t="shared" si="2420"/>
        <v>0</v>
      </c>
      <c r="J1240" s="1" t="str">
        <f>"5"</f>
        <v>5</v>
      </c>
      <c r="K1240" s="1" t="str">
        <f t="shared" ref="K1240:P1240" si="2421">"0"</f>
        <v>0</v>
      </c>
      <c r="L1240" s="1" t="str">
        <f t="shared" si="2421"/>
        <v>0</v>
      </c>
      <c r="M1240" s="1" t="str">
        <f t="shared" si="2421"/>
        <v>0</v>
      </c>
      <c r="N1240" s="1" t="str">
        <f t="shared" si="2421"/>
        <v>0</v>
      </c>
      <c r="O1240" s="1" t="str">
        <f t="shared" si="2421"/>
        <v>0</v>
      </c>
      <c r="P1240" s="1" t="str">
        <f t="shared" si="2421"/>
        <v>0</v>
      </c>
      <c r="Q1240" s="1" t="str">
        <f t="shared" si="2379"/>
        <v>0.0070</v>
      </c>
      <c r="R1240" s="1" t="s">
        <v>25</v>
      </c>
      <c r="T1240" s="1" t="str">
        <f t="shared" si="2380"/>
        <v>0</v>
      </c>
      <c r="U1240" s="1" t="str">
        <f t="shared" ref="U1240:U1242" si="2422">"0.0070"</f>
        <v>0.0070</v>
      </c>
    </row>
    <row r="1241" s="1" customFormat="1" spans="1:21">
      <c r="A1241" s="1" t="str">
        <f>"4601992014004"</f>
        <v>4601992014004</v>
      </c>
      <c r="B1241" s="1" t="s">
        <v>1265</v>
      </c>
      <c r="C1241" s="1" t="s">
        <v>24</v>
      </c>
      <c r="D1241" s="1" t="str">
        <f t="shared" si="2376"/>
        <v>2021</v>
      </c>
      <c r="E1241" s="1" t="str">
        <f t="shared" ref="E1241:P1241" si="2423">"0"</f>
        <v>0</v>
      </c>
      <c r="F1241" s="1" t="str">
        <f t="shared" si="2423"/>
        <v>0</v>
      </c>
      <c r="G1241" s="1" t="str">
        <f t="shared" si="2423"/>
        <v>0</v>
      </c>
      <c r="H1241" s="1" t="str">
        <f t="shared" si="2423"/>
        <v>0</v>
      </c>
      <c r="I1241" s="1" t="str">
        <f t="shared" si="2423"/>
        <v>0</v>
      </c>
      <c r="J1241" s="1" t="str">
        <f t="shared" si="2423"/>
        <v>0</v>
      </c>
      <c r="K1241" s="1" t="str">
        <f t="shared" si="2423"/>
        <v>0</v>
      </c>
      <c r="L1241" s="1" t="str">
        <f t="shared" si="2423"/>
        <v>0</v>
      </c>
      <c r="M1241" s="1" t="str">
        <f t="shared" si="2423"/>
        <v>0</v>
      </c>
      <c r="N1241" s="1" t="str">
        <f t="shared" si="2423"/>
        <v>0</v>
      </c>
      <c r="O1241" s="1" t="str">
        <f t="shared" si="2423"/>
        <v>0</v>
      </c>
      <c r="P1241" s="1" t="str">
        <f t="shared" si="2423"/>
        <v>0</v>
      </c>
      <c r="Q1241" s="1" t="str">
        <f t="shared" si="2379"/>
        <v>0.0070</v>
      </c>
      <c r="R1241" s="1" t="s">
        <v>25</v>
      </c>
      <c r="T1241" s="1" t="str">
        <f t="shared" si="2380"/>
        <v>0</v>
      </c>
      <c r="U1241" s="1" t="str">
        <f t="shared" si="2422"/>
        <v>0.0070</v>
      </c>
    </row>
    <row r="1242" s="1" customFormat="1" spans="1:21">
      <c r="A1242" s="1" t="str">
        <f>"4601992014050"</f>
        <v>4601992014050</v>
      </c>
      <c r="B1242" s="1" t="s">
        <v>1266</v>
      </c>
      <c r="C1242" s="1" t="s">
        <v>24</v>
      </c>
      <c r="D1242" s="1" t="str">
        <f t="shared" si="2376"/>
        <v>2021</v>
      </c>
      <c r="E1242" s="1" t="str">
        <f t="shared" ref="E1242:G1242" si="2424">"0"</f>
        <v>0</v>
      </c>
      <c r="F1242" s="1" t="str">
        <f t="shared" si="2424"/>
        <v>0</v>
      </c>
      <c r="G1242" s="1" t="str">
        <f t="shared" si="2424"/>
        <v>0</v>
      </c>
      <c r="H1242" s="1" t="str">
        <f>"36.43"</f>
        <v>36.43</v>
      </c>
      <c r="I1242" s="1" t="str">
        <f t="shared" ref="I1242:P1242" si="2425">"0"</f>
        <v>0</v>
      </c>
      <c r="J1242" s="1" t="str">
        <f t="shared" si="2425"/>
        <v>0</v>
      </c>
      <c r="K1242" s="1" t="str">
        <f t="shared" si="2425"/>
        <v>0</v>
      </c>
      <c r="L1242" s="1" t="str">
        <f t="shared" si="2425"/>
        <v>0</v>
      </c>
      <c r="M1242" s="1" t="str">
        <f t="shared" si="2425"/>
        <v>0</v>
      </c>
      <c r="N1242" s="1" t="str">
        <f t="shared" si="2425"/>
        <v>0</v>
      </c>
      <c r="O1242" s="1" t="str">
        <f t="shared" si="2425"/>
        <v>0</v>
      </c>
      <c r="P1242" s="1" t="str">
        <f t="shared" si="2425"/>
        <v>0</v>
      </c>
      <c r="Q1242" s="1" t="str">
        <f t="shared" si="2379"/>
        <v>0.0070</v>
      </c>
      <c r="R1242" s="1" t="s">
        <v>25</v>
      </c>
      <c r="T1242" s="1" t="str">
        <f t="shared" si="2380"/>
        <v>0</v>
      </c>
      <c r="U1242" s="1" t="str">
        <f t="shared" si="2422"/>
        <v>0.0070</v>
      </c>
    </row>
    <row r="1243" s="1" customFormat="1" spans="1:21">
      <c r="A1243" s="1" t="str">
        <f>"4601992014035"</f>
        <v>4601992014035</v>
      </c>
      <c r="B1243" s="1" t="s">
        <v>1267</v>
      </c>
      <c r="C1243" s="1" t="s">
        <v>24</v>
      </c>
      <c r="D1243" s="1" t="str">
        <f t="shared" si="2376"/>
        <v>2021</v>
      </c>
      <c r="E1243" s="1" t="str">
        <f>"12.09"</f>
        <v>12.09</v>
      </c>
      <c r="F1243" s="1" t="str">
        <f t="shared" ref="F1243:I1243" si="2426">"0"</f>
        <v>0</v>
      </c>
      <c r="G1243" s="1" t="str">
        <f t="shared" si="2426"/>
        <v>0</v>
      </c>
      <c r="H1243" s="1" t="str">
        <f t="shared" si="2426"/>
        <v>0</v>
      </c>
      <c r="I1243" s="1" t="str">
        <f t="shared" si="2426"/>
        <v>0</v>
      </c>
      <c r="J1243" s="1" t="str">
        <f>"1"</f>
        <v>1</v>
      </c>
      <c r="K1243" s="1" t="str">
        <f t="shared" ref="K1243:P1243" si="2427">"0"</f>
        <v>0</v>
      </c>
      <c r="L1243" s="1" t="str">
        <f t="shared" si="2427"/>
        <v>0</v>
      </c>
      <c r="M1243" s="1" t="str">
        <f t="shared" si="2427"/>
        <v>0</v>
      </c>
      <c r="N1243" s="1" t="str">
        <f t="shared" si="2427"/>
        <v>0</v>
      </c>
      <c r="O1243" s="1" t="str">
        <f t="shared" si="2427"/>
        <v>0</v>
      </c>
      <c r="P1243" s="1" t="str">
        <f t="shared" si="2427"/>
        <v>0</v>
      </c>
      <c r="Q1243" s="1" t="str">
        <f t="shared" si="2379"/>
        <v>0.0070</v>
      </c>
      <c r="R1243" s="1" t="s">
        <v>29</v>
      </c>
      <c r="S1243" s="1">
        <v>-0.0014</v>
      </c>
      <c r="T1243" s="1" t="str">
        <f t="shared" si="2380"/>
        <v>0</v>
      </c>
      <c r="U1243" s="1" t="str">
        <f t="shared" ref="U1243:U1250" si="2428">"0.0056"</f>
        <v>0.0056</v>
      </c>
    </row>
    <row r="1244" s="1" customFormat="1" spans="1:21">
      <c r="A1244" s="1" t="str">
        <f>"4601992014173"</f>
        <v>4601992014173</v>
      </c>
      <c r="B1244" s="1" t="s">
        <v>1268</v>
      </c>
      <c r="C1244" s="1" t="s">
        <v>24</v>
      </c>
      <c r="D1244" s="1" t="str">
        <f t="shared" si="2376"/>
        <v>2021</v>
      </c>
      <c r="E1244" s="1" t="str">
        <f>"12.09"</f>
        <v>12.09</v>
      </c>
      <c r="F1244" s="1" t="str">
        <f t="shared" ref="F1244:I1244" si="2429">"0"</f>
        <v>0</v>
      </c>
      <c r="G1244" s="1" t="str">
        <f t="shared" si="2429"/>
        <v>0</v>
      </c>
      <c r="H1244" s="1" t="str">
        <f t="shared" si="2429"/>
        <v>0</v>
      </c>
      <c r="I1244" s="1" t="str">
        <f t="shared" si="2429"/>
        <v>0</v>
      </c>
      <c r="J1244" s="1" t="str">
        <f>"2"</f>
        <v>2</v>
      </c>
      <c r="K1244" s="1" t="str">
        <f t="shared" ref="K1244:P1244" si="2430">"0"</f>
        <v>0</v>
      </c>
      <c r="L1244" s="1" t="str">
        <f t="shared" si="2430"/>
        <v>0</v>
      </c>
      <c r="M1244" s="1" t="str">
        <f t="shared" si="2430"/>
        <v>0</v>
      </c>
      <c r="N1244" s="1" t="str">
        <f t="shared" si="2430"/>
        <v>0</v>
      </c>
      <c r="O1244" s="1" t="str">
        <f t="shared" si="2430"/>
        <v>0</v>
      </c>
      <c r="P1244" s="1" t="str">
        <f t="shared" si="2430"/>
        <v>0</v>
      </c>
      <c r="Q1244" s="1" t="str">
        <f t="shared" si="2379"/>
        <v>0.0070</v>
      </c>
      <c r="R1244" s="1" t="s">
        <v>29</v>
      </c>
      <c r="S1244" s="1">
        <v>-0.0014</v>
      </c>
      <c r="T1244" s="1" t="str">
        <f t="shared" si="2380"/>
        <v>0</v>
      </c>
      <c r="U1244" s="1" t="str">
        <f t="shared" si="2428"/>
        <v>0.0056</v>
      </c>
    </row>
    <row r="1245" s="1" customFormat="1" spans="1:21">
      <c r="A1245" s="1" t="str">
        <f>"4601992014178"</f>
        <v>4601992014178</v>
      </c>
      <c r="B1245" s="1" t="s">
        <v>1269</v>
      </c>
      <c r="C1245" s="1" t="s">
        <v>24</v>
      </c>
      <c r="D1245" s="1" t="str">
        <f t="shared" si="2376"/>
        <v>2021</v>
      </c>
      <c r="E1245" s="1" t="str">
        <f t="shared" ref="E1245:P1245" si="2431">"0"</f>
        <v>0</v>
      </c>
      <c r="F1245" s="1" t="str">
        <f t="shared" si="2431"/>
        <v>0</v>
      </c>
      <c r="G1245" s="1" t="str">
        <f t="shared" si="2431"/>
        <v>0</v>
      </c>
      <c r="H1245" s="1" t="str">
        <f t="shared" si="2431"/>
        <v>0</v>
      </c>
      <c r="I1245" s="1" t="str">
        <f t="shared" si="2431"/>
        <v>0</v>
      </c>
      <c r="J1245" s="1" t="str">
        <f t="shared" si="2431"/>
        <v>0</v>
      </c>
      <c r="K1245" s="1" t="str">
        <f t="shared" si="2431"/>
        <v>0</v>
      </c>
      <c r="L1245" s="1" t="str">
        <f t="shared" si="2431"/>
        <v>0</v>
      </c>
      <c r="M1245" s="1" t="str">
        <f t="shared" si="2431"/>
        <v>0</v>
      </c>
      <c r="N1245" s="1" t="str">
        <f t="shared" si="2431"/>
        <v>0</v>
      </c>
      <c r="O1245" s="1" t="str">
        <f t="shared" si="2431"/>
        <v>0</v>
      </c>
      <c r="P1245" s="1" t="str">
        <f t="shared" si="2431"/>
        <v>0</v>
      </c>
      <c r="Q1245" s="1" t="str">
        <f t="shared" si="2379"/>
        <v>0.0070</v>
      </c>
      <c r="R1245" s="1" t="s">
        <v>25</v>
      </c>
      <c r="T1245" s="1" t="str">
        <f t="shared" si="2380"/>
        <v>0</v>
      </c>
      <c r="U1245" s="1" t="str">
        <f>"0.0070"</f>
        <v>0.0070</v>
      </c>
    </row>
    <row r="1246" s="1" customFormat="1" spans="1:21">
      <c r="A1246" s="1" t="str">
        <f>"4601992014245"</f>
        <v>4601992014245</v>
      </c>
      <c r="B1246" s="1" t="s">
        <v>1270</v>
      </c>
      <c r="C1246" s="1" t="s">
        <v>24</v>
      </c>
      <c r="D1246" s="1" t="str">
        <f t="shared" si="2376"/>
        <v>2021</v>
      </c>
      <c r="E1246" s="1" t="str">
        <f t="shared" ref="E1246:P1246" si="2432">"0"</f>
        <v>0</v>
      </c>
      <c r="F1246" s="1" t="str">
        <f t="shared" si="2432"/>
        <v>0</v>
      </c>
      <c r="G1246" s="1" t="str">
        <f t="shared" si="2432"/>
        <v>0</v>
      </c>
      <c r="H1246" s="1" t="str">
        <f t="shared" si="2432"/>
        <v>0</v>
      </c>
      <c r="I1246" s="1" t="str">
        <f t="shared" si="2432"/>
        <v>0</v>
      </c>
      <c r="J1246" s="1" t="str">
        <f t="shared" si="2432"/>
        <v>0</v>
      </c>
      <c r="K1246" s="1" t="str">
        <f t="shared" si="2432"/>
        <v>0</v>
      </c>
      <c r="L1246" s="1" t="str">
        <f t="shared" si="2432"/>
        <v>0</v>
      </c>
      <c r="M1246" s="1" t="str">
        <f t="shared" si="2432"/>
        <v>0</v>
      </c>
      <c r="N1246" s="1" t="str">
        <f t="shared" si="2432"/>
        <v>0</v>
      </c>
      <c r="O1246" s="1" t="str">
        <f t="shared" si="2432"/>
        <v>0</v>
      </c>
      <c r="P1246" s="1" t="str">
        <f t="shared" si="2432"/>
        <v>0</v>
      </c>
      <c r="Q1246" s="1" t="str">
        <f t="shared" si="2379"/>
        <v>0.0070</v>
      </c>
      <c r="R1246" s="1" t="s">
        <v>25</v>
      </c>
      <c r="T1246" s="1" t="str">
        <f t="shared" si="2380"/>
        <v>0</v>
      </c>
      <c r="U1246" s="1" t="str">
        <f>"0.0070"</f>
        <v>0.0070</v>
      </c>
    </row>
    <row r="1247" s="1" customFormat="1" spans="1:21">
      <c r="A1247" s="1" t="str">
        <f>"4601992014143"</f>
        <v>4601992014143</v>
      </c>
      <c r="B1247" s="1" t="s">
        <v>1271</v>
      </c>
      <c r="C1247" s="1" t="s">
        <v>24</v>
      </c>
      <c r="D1247" s="1" t="str">
        <f t="shared" si="2376"/>
        <v>2021</v>
      </c>
      <c r="E1247" s="1" t="str">
        <f>"2897.45"</f>
        <v>2897.45</v>
      </c>
      <c r="F1247" s="1" t="str">
        <f t="shared" ref="F1247:I1247" si="2433">"0"</f>
        <v>0</v>
      </c>
      <c r="G1247" s="1" t="str">
        <f t="shared" si="2433"/>
        <v>0</v>
      </c>
      <c r="H1247" s="1" t="str">
        <f t="shared" si="2433"/>
        <v>0</v>
      </c>
      <c r="I1247" s="1" t="str">
        <f t="shared" si="2433"/>
        <v>0</v>
      </c>
      <c r="J1247" s="1" t="str">
        <f>"103"</f>
        <v>103</v>
      </c>
      <c r="K1247" s="1" t="str">
        <f t="shared" ref="K1247:P1247" si="2434">"0"</f>
        <v>0</v>
      </c>
      <c r="L1247" s="1" t="str">
        <f t="shared" si="2434"/>
        <v>0</v>
      </c>
      <c r="M1247" s="1" t="str">
        <f t="shared" si="2434"/>
        <v>0</v>
      </c>
      <c r="N1247" s="1" t="str">
        <f t="shared" si="2434"/>
        <v>0</v>
      </c>
      <c r="O1247" s="1" t="str">
        <f t="shared" si="2434"/>
        <v>0</v>
      </c>
      <c r="P1247" s="1" t="str">
        <f t="shared" si="2434"/>
        <v>0</v>
      </c>
      <c r="Q1247" s="1" t="str">
        <f t="shared" si="2379"/>
        <v>0.0070</v>
      </c>
      <c r="R1247" s="1" t="s">
        <v>29</v>
      </c>
      <c r="S1247" s="1">
        <v>-0.0014</v>
      </c>
      <c r="T1247" s="1" t="str">
        <f t="shared" si="2380"/>
        <v>0</v>
      </c>
      <c r="U1247" s="1" t="str">
        <f t="shared" si="2428"/>
        <v>0.0056</v>
      </c>
    </row>
    <row r="1248" s="1" customFormat="1" spans="1:21">
      <c r="A1248" s="1" t="str">
        <f>"4601992014200"</f>
        <v>4601992014200</v>
      </c>
      <c r="B1248" s="1" t="s">
        <v>1272</v>
      </c>
      <c r="C1248" s="1" t="s">
        <v>24</v>
      </c>
      <c r="D1248" s="1" t="str">
        <f t="shared" si="2376"/>
        <v>2021</v>
      </c>
      <c r="E1248" s="1" t="str">
        <f>"93.44"</f>
        <v>93.44</v>
      </c>
      <c r="F1248" s="1" t="str">
        <f t="shared" ref="F1248:I1248" si="2435">"0"</f>
        <v>0</v>
      </c>
      <c r="G1248" s="1" t="str">
        <f t="shared" si="2435"/>
        <v>0</v>
      </c>
      <c r="H1248" s="1" t="str">
        <f t="shared" si="2435"/>
        <v>0</v>
      </c>
      <c r="I1248" s="1" t="str">
        <f t="shared" si="2435"/>
        <v>0</v>
      </c>
      <c r="J1248" s="1" t="str">
        <f>"6"</f>
        <v>6</v>
      </c>
      <c r="K1248" s="1" t="str">
        <f t="shared" ref="K1248:P1248" si="2436">"0"</f>
        <v>0</v>
      </c>
      <c r="L1248" s="1" t="str">
        <f t="shared" si="2436"/>
        <v>0</v>
      </c>
      <c r="M1248" s="1" t="str">
        <f t="shared" si="2436"/>
        <v>0</v>
      </c>
      <c r="N1248" s="1" t="str">
        <f t="shared" si="2436"/>
        <v>0</v>
      </c>
      <c r="O1248" s="1" t="str">
        <f t="shared" si="2436"/>
        <v>0</v>
      </c>
      <c r="P1248" s="1" t="str">
        <f t="shared" si="2436"/>
        <v>0</v>
      </c>
      <c r="Q1248" s="1" t="str">
        <f t="shared" si="2379"/>
        <v>0.0070</v>
      </c>
      <c r="R1248" s="1" t="s">
        <v>29</v>
      </c>
      <c r="S1248" s="1">
        <v>-0.0014</v>
      </c>
      <c r="T1248" s="1" t="str">
        <f t="shared" si="2380"/>
        <v>0</v>
      </c>
      <c r="U1248" s="1" t="str">
        <f t="shared" si="2428"/>
        <v>0.0056</v>
      </c>
    </row>
    <row r="1249" s="1" customFormat="1" spans="1:21">
      <c r="A1249" s="1" t="str">
        <f>"4601992014222"</f>
        <v>4601992014222</v>
      </c>
      <c r="B1249" s="1" t="s">
        <v>1273</v>
      </c>
      <c r="C1249" s="1" t="s">
        <v>24</v>
      </c>
      <c r="D1249" s="1" t="str">
        <f t="shared" si="2376"/>
        <v>2021</v>
      </c>
      <c r="E1249" s="1" t="str">
        <f>"1030.28"</f>
        <v>1030.28</v>
      </c>
      <c r="F1249" s="1" t="str">
        <f t="shared" ref="F1249:I1249" si="2437">"0"</f>
        <v>0</v>
      </c>
      <c r="G1249" s="1" t="str">
        <f t="shared" si="2437"/>
        <v>0</v>
      </c>
      <c r="H1249" s="1" t="str">
        <f t="shared" si="2437"/>
        <v>0</v>
      </c>
      <c r="I1249" s="1" t="str">
        <f t="shared" si="2437"/>
        <v>0</v>
      </c>
      <c r="J1249" s="1" t="str">
        <f>"43"</f>
        <v>43</v>
      </c>
      <c r="K1249" s="1" t="str">
        <f t="shared" ref="K1249:P1249" si="2438">"0"</f>
        <v>0</v>
      </c>
      <c r="L1249" s="1" t="str">
        <f t="shared" si="2438"/>
        <v>0</v>
      </c>
      <c r="M1249" s="1" t="str">
        <f t="shared" si="2438"/>
        <v>0</v>
      </c>
      <c r="N1249" s="1" t="str">
        <f t="shared" si="2438"/>
        <v>0</v>
      </c>
      <c r="O1249" s="1" t="str">
        <f t="shared" si="2438"/>
        <v>0</v>
      </c>
      <c r="P1249" s="1" t="str">
        <f t="shared" si="2438"/>
        <v>0</v>
      </c>
      <c r="Q1249" s="1" t="str">
        <f t="shared" si="2379"/>
        <v>0.0070</v>
      </c>
      <c r="R1249" s="1" t="s">
        <v>29</v>
      </c>
      <c r="S1249" s="1">
        <v>-0.0014</v>
      </c>
      <c r="T1249" s="1" t="str">
        <f t="shared" si="2380"/>
        <v>0</v>
      </c>
      <c r="U1249" s="1" t="str">
        <f t="shared" si="2428"/>
        <v>0.0056</v>
      </c>
    </row>
    <row r="1250" s="1" customFormat="1" spans="1:21">
      <c r="A1250" s="1" t="str">
        <f>"4601992014246"</f>
        <v>4601992014246</v>
      </c>
      <c r="B1250" s="1" t="s">
        <v>1274</v>
      </c>
      <c r="C1250" s="1" t="s">
        <v>24</v>
      </c>
      <c r="D1250" s="1" t="str">
        <f t="shared" si="2376"/>
        <v>2021</v>
      </c>
      <c r="E1250" s="1" t="str">
        <f>"25.67"</f>
        <v>25.67</v>
      </c>
      <c r="F1250" s="1" t="str">
        <f t="shared" ref="F1250:I1250" si="2439">"0"</f>
        <v>0</v>
      </c>
      <c r="G1250" s="1" t="str">
        <f t="shared" si="2439"/>
        <v>0</v>
      </c>
      <c r="H1250" s="1" t="str">
        <f t="shared" si="2439"/>
        <v>0</v>
      </c>
      <c r="I1250" s="1" t="str">
        <f t="shared" si="2439"/>
        <v>0</v>
      </c>
      <c r="J1250" s="1" t="str">
        <f>"1"</f>
        <v>1</v>
      </c>
      <c r="K1250" s="1" t="str">
        <f t="shared" ref="K1250:P1250" si="2440">"0"</f>
        <v>0</v>
      </c>
      <c r="L1250" s="1" t="str">
        <f t="shared" si="2440"/>
        <v>0</v>
      </c>
      <c r="M1250" s="1" t="str">
        <f t="shared" si="2440"/>
        <v>0</v>
      </c>
      <c r="N1250" s="1" t="str">
        <f t="shared" si="2440"/>
        <v>0</v>
      </c>
      <c r="O1250" s="1" t="str">
        <f t="shared" si="2440"/>
        <v>0</v>
      </c>
      <c r="P1250" s="1" t="str">
        <f t="shared" si="2440"/>
        <v>0</v>
      </c>
      <c r="Q1250" s="1" t="str">
        <f t="shared" si="2379"/>
        <v>0.0070</v>
      </c>
      <c r="R1250" s="1" t="s">
        <v>29</v>
      </c>
      <c r="S1250" s="1">
        <v>-0.0014</v>
      </c>
      <c r="T1250" s="1" t="str">
        <f t="shared" si="2380"/>
        <v>0</v>
      </c>
      <c r="U1250" s="1" t="str">
        <f t="shared" si="2428"/>
        <v>0.0056</v>
      </c>
    </row>
    <row r="1251" s="1" customFormat="1" spans="1:21">
      <c r="A1251" s="1" t="str">
        <f>"4601992014329"</f>
        <v>4601992014329</v>
      </c>
      <c r="B1251" s="1" t="s">
        <v>1275</v>
      </c>
      <c r="C1251" s="1" t="s">
        <v>24</v>
      </c>
      <c r="D1251" s="1" t="str">
        <f t="shared" si="2376"/>
        <v>2021</v>
      </c>
      <c r="E1251" s="1" t="str">
        <f>"816.07"</f>
        <v>816.07</v>
      </c>
      <c r="F1251" s="1" t="str">
        <f>"114836.08"</f>
        <v>114836.08</v>
      </c>
      <c r="G1251" s="1" t="str">
        <f t="shared" ref="G1251:P1251" si="2441">"0"</f>
        <v>0</v>
      </c>
      <c r="H1251" s="1" t="str">
        <f t="shared" si="2441"/>
        <v>0</v>
      </c>
      <c r="I1251" s="1" t="str">
        <f>"140.7184"</f>
        <v>140.7184</v>
      </c>
      <c r="J1251" s="1" t="str">
        <f>"10"</f>
        <v>10</v>
      </c>
      <c r="K1251" s="1" t="str">
        <f t="shared" si="2441"/>
        <v>0</v>
      </c>
      <c r="L1251" s="1" t="str">
        <f t="shared" si="2441"/>
        <v>0</v>
      </c>
      <c r="M1251" s="1" t="str">
        <f t="shared" si="2441"/>
        <v>0</v>
      </c>
      <c r="N1251" s="1" t="str">
        <f t="shared" si="2441"/>
        <v>0</v>
      </c>
      <c r="O1251" s="1" t="str">
        <f t="shared" si="2441"/>
        <v>0</v>
      </c>
      <c r="P1251" s="1" t="str">
        <f t="shared" si="2441"/>
        <v>0</v>
      </c>
      <c r="Q1251" s="1" t="str">
        <f t="shared" si="2379"/>
        <v>0.0070</v>
      </c>
      <c r="R1251" s="1" t="s">
        <v>69</v>
      </c>
      <c r="S1251" s="1" t="str">
        <f>"0.0014"</f>
        <v>0.0014</v>
      </c>
      <c r="T1251" s="1" t="str">
        <f t="shared" si="2380"/>
        <v>0</v>
      </c>
      <c r="U1251" s="1" t="str">
        <f>"0.0084"</f>
        <v>0.0084</v>
      </c>
    </row>
    <row r="1252" s="1" customFormat="1" spans="1:21">
      <c r="A1252" s="1" t="str">
        <f>"4601992014336"</f>
        <v>4601992014336</v>
      </c>
      <c r="B1252" s="1" t="s">
        <v>1276</v>
      </c>
      <c r="C1252" s="1" t="s">
        <v>24</v>
      </c>
      <c r="D1252" s="1" t="str">
        <f t="shared" si="2376"/>
        <v>2021</v>
      </c>
      <c r="E1252" s="1" t="str">
        <f>"48.25"</f>
        <v>48.25</v>
      </c>
      <c r="F1252" s="1" t="str">
        <f t="shared" ref="F1252:I1252" si="2442">"0"</f>
        <v>0</v>
      </c>
      <c r="G1252" s="1" t="str">
        <f t="shared" si="2442"/>
        <v>0</v>
      </c>
      <c r="H1252" s="1" t="str">
        <f t="shared" si="2442"/>
        <v>0</v>
      </c>
      <c r="I1252" s="1" t="str">
        <f t="shared" si="2442"/>
        <v>0</v>
      </c>
      <c r="J1252" s="1" t="str">
        <f>"4"</f>
        <v>4</v>
      </c>
      <c r="K1252" s="1" t="str">
        <f t="shared" ref="K1252:P1252" si="2443">"0"</f>
        <v>0</v>
      </c>
      <c r="L1252" s="1" t="str">
        <f t="shared" si="2443"/>
        <v>0</v>
      </c>
      <c r="M1252" s="1" t="str">
        <f t="shared" si="2443"/>
        <v>0</v>
      </c>
      <c r="N1252" s="1" t="str">
        <f t="shared" si="2443"/>
        <v>0</v>
      </c>
      <c r="O1252" s="1" t="str">
        <f t="shared" si="2443"/>
        <v>0</v>
      </c>
      <c r="P1252" s="1" t="str">
        <f t="shared" si="2443"/>
        <v>0</v>
      </c>
      <c r="Q1252" s="1" t="str">
        <f t="shared" si="2379"/>
        <v>0.0070</v>
      </c>
      <c r="R1252" s="1" t="s">
        <v>29</v>
      </c>
      <c r="S1252" s="1">
        <v>-0.0014</v>
      </c>
      <c r="T1252" s="1" t="str">
        <f t="shared" si="2380"/>
        <v>0</v>
      </c>
      <c r="U1252" s="1" t="str">
        <f t="shared" ref="U1252:U1256" si="2444">"0.0056"</f>
        <v>0.0056</v>
      </c>
    </row>
    <row r="1253" s="1" customFormat="1" spans="1:21">
      <c r="A1253" s="1" t="str">
        <f>"4601992014346"</f>
        <v>4601992014346</v>
      </c>
      <c r="B1253" s="1" t="s">
        <v>1277</v>
      </c>
      <c r="C1253" s="1" t="s">
        <v>24</v>
      </c>
      <c r="D1253" s="1" t="str">
        <f t="shared" si="2376"/>
        <v>2021</v>
      </c>
      <c r="E1253" s="1" t="str">
        <f>"12.09"</f>
        <v>12.09</v>
      </c>
      <c r="F1253" s="1" t="str">
        <f t="shared" ref="F1253:I1253" si="2445">"0"</f>
        <v>0</v>
      </c>
      <c r="G1253" s="1" t="str">
        <f t="shared" si="2445"/>
        <v>0</v>
      </c>
      <c r="H1253" s="1" t="str">
        <f t="shared" si="2445"/>
        <v>0</v>
      </c>
      <c r="I1253" s="1" t="str">
        <f t="shared" si="2445"/>
        <v>0</v>
      </c>
      <c r="J1253" s="1" t="str">
        <f>"2"</f>
        <v>2</v>
      </c>
      <c r="K1253" s="1" t="str">
        <f t="shared" ref="K1253:P1253" si="2446">"0"</f>
        <v>0</v>
      </c>
      <c r="L1253" s="1" t="str">
        <f t="shared" si="2446"/>
        <v>0</v>
      </c>
      <c r="M1253" s="1" t="str">
        <f t="shared" si="2446"/>
        <v>0</v>
      </c>
      <c r="N1253" s="1" t="str">
        <f t="shared" si="2446"/>
        <v>0</v>
      </c>
      <c r="O1253" s="1" t="str">
        <f t="shared" si="2446"/>
        <v>0</v>
      </c>
      <c r="P1253" s="1" t="str">
        <f t="shared" si="2446"/>
        <v>0</v>
      </c>
      <c r="Q1253" s="1" t="str">
        <f t="shared" si="2379"/>
        <v>0.0070</v>
      </c>
      <c r="R1253" s="1" t="s">
        <v>29</v>
      </c>
      <c r="S1253" s="1">
        <v>-0.0014</v>
      </c>
      <c r="T1253" s="1" t="str">
        <f t="shared" si="2380"/>
        <v>0</v>
      </c>
      <c r="U1253" s="1" t="str">
        <f t="shared" si="2444"/>
        <v>0.0056</v>
      </c>
    </row>
    <row r="1254" s="1" customFormat="1" spans="1:21">
      <c r="A1254" s="1" t="str">
        <f>"4601992014368"</f>
        <v>4601992014368</v>
      </c>
      <c r="B1254" s="1" t="s">
        <v>1278</v>
      </c>
      <c r="C1254" s="1" t="s">
        <v>24</v>
      </c>
      <c r="D1254" s="1" t="str">
        <f t="shared" si="2376"/>
        <v>2021</v>
      </c>
      <c r="E1254" s="1" t="str">
        <f>"24.18"</f>
        <v>24.18</v>
      </c>
      <c r="F1254" s="1" t="str">
        <f t="shared" ref="F1254:I1254" si="2447">"0"</f>
        <v>0</v>
      </c>
      <c r="G1254" s="1" t="str">
        <f t="shared" si="2447"/>
        <v>0</v>
      </c>
      <c r="H1254" s="1" t="str">
        <f t="shared" si="2447"/>
        <v>0</v>
      </c>
      <c r="I1254" s="1" t="str">
        <f t="shared" si="2447"/>
        <v>0</v>
      </c>
      <c r="J1254" s="1" t="str">
        <f>"2"</f>
        <v>2</v>
      </c>
      <c r="K1254" s="1" t="str">
        <f t="shared" ref="K1254:P1254" si="2448">"0"</f>
        <v>0</v>
      </c>
      <c r="L1254" s="1" t="str">
        <f t="shared" si="2448"/>
        <v>0</v>
      </c>
      <c r="M1254" s="1" t="str">
        <f t="shared" si="2448"/>
        <v>0</v>
      </c>
      <c r="N1254" s="1" t="str">
        <f t="shared" si="2448"/>
        <v>0</v>
      </c>
      <c r="O1254" s="1" t="str">
        <f t="shared" si="2448"/>
        <v>0</v>
      </c>
      <c r="P1254" s="1" t="str">
        <f t="shared" si="2448"/>
        <v>0</v>
      </c>
      <c r="Q1254" s="1" t="str">
        <f t="shared" si="2379"/>
        <v>0.0070</v>
      </c>
      <c r="R1254" s="1" t="s">
        <v>29</v>
      </c>
      <c r="S1254" s="1">
        <v>-0.0014</v>
      </c>
      <c r="T1254" s="1" t="str">
        <f t="shared" si="2380"/>
        <v>0</v>
      </c>
      <c r="U1254" s="1" t="str">
        <f t="shared" si="2444"/>
        <v>0.0056</v>
      </c>
    </row>
    <row r="1255" s="1" customFormat="1" spans="1:21">
      <c r="A1255" s="1" t="str">
        <f>"4601992014387"</f>
        <v>4601992014387</v>
      </c>
      <c r="B1255" s="1" t="s">
        <v>1279</v>
      </c>
      <c r="C1255" s="1" t="s">
        <v>24</v>
      </c>
      <c r="D1255" s="1" t="str">
        <f t="shared" si="2376"/>
        <v>2021</v>
      </c>
      <c r="E1255" s="1" t="str">
        <f>"362.70"</f>
        <v>362.70</v>
      </c>
      <c r="F1255" s="1" t="str">
        <f t="shared" ref="F1255:I1255" si="2449">"0"</f>
        <v>0</v>
      </c>
      <c r="G1255" s="1" t="str">
        <f t="shared" si="2449"/>
        <v>0</v>
      </c>
      <c r="H1255" s="1" t="str">
        <f t="shared" si="2449"/>
        <v>0</v>
      </c>
      <c r="I1255" s="1" t="str">
        <f t="shared" si="2449"/>
        <v>0</v>
      </c>
      <c r="J1255" s="1" t="str">
        <f>"36"</f>
        <v>36</v>
      </c>
      <c r="K1255" s="1" t="str">
        <f t="shared" ref="K1255:P1255" si="2450">"0"</f>
        <v>0</v>
      </c>
      <c r="L1255" s="1" t="str">
        <f t="shared" si="2450"/>
        <v>0</v>
      </c>
      <c r="M1255" s="1" t="str">
        <f t="shared" si="2450"/>
        <v>0</v>
      </c>
      <c r="N1255" s="1" t="str">
        <f t="shared" si="2450"/>
        <v>0</v>
      </c>
      <c r="O1255" s="1" t="str">
        <f t="shared" si="2450"/>
        <v>0</v>
      </c>
      <c r="P1255" s="1" t="str">
        <f t="shared" si="2450"/>
        <v>0</v>
      </c>
      <c r="Q1255" s="1" t="str">
        <f t="shared" si="2379"/>
        <v>0.0070</v>
      </c>
      <c r="R1255" s="1" t="s">
        <v>29</v>
      </c>
      <c r="S1255" s="1">
        <v>-0.0014</v>
      </c>
      <c r="T1255" s="1" t="str">
        <f t="shared" si="2380"/>
        <v>0</v>
      </c>
      <c r="U1255" s="1" t="str">
        <f t="shared" si="2444"/>
        <v>0.0056</v>
      </c>
    </row>
    <row r="1256" s="1" customFormat="1" spans="1:21">
      <c r="A1256" s="1" t="str">
        <f>"4601992014411"</f>
        <v>4601992014411</v>
      </c>
      <c r="B1256" s="1" t="s">
        <v>1280</v>
      </c>
      <c r="C1256" s="1" t="s">
        <v>24</v>
      </c>
      <c r="D1256" s="1" t="str">
        <f t="shared" si="2376"/>
        <v>2021</v>
      </c>
      <c r="E1256" s="1" t="str">
        <f>"217.62"</f>
        <v>217.62</v>
      </c>
      <c r="F1256" s="1" t="str">
        <f t="shared" ref="F1256:I1256" si="2451">"0"</f>
        <v>0</v>
      </c>
      <c r="G1256" s="1" t="str">
        <f t="shared" si="2451"/>
        <v>0</v>
      </c>
      <c r="H1256" s="1" t="str">
        <f t="shared" si="2451"/>
        <v>0</v>
      </c>
      <c r="I1256" s="1" t="str">
        <f t="shared" si="2451"/>
        <v>0</v>
      </c>
      <c r="J1256" s="1" t="str">
        <f>"16"</f>
        <v>16</v>
      </c>
      <c r="K1256" s="1" t="str">
        <f t="shared" ref="K1256:P1256" si="2452">"0"</f>
        <v>0</v>
      </c>
      <c r="L1256" s="1" t="str">
        <f t="shared" si="2452"/>
        <v>0</v>
      </c>
      <c r="M1256" s="1" t="str">
        <f t="shared" si="2452"/>
        <v>0</v>
      </c>
      <c r="N1256" s="1" t="str">
        <f t="shared" si="2452"/>
        <v>0</v>
      </c>
      <c r="O1256" s="1" t="str">
        <f t="shared" si="2452"/>
        <v>0</v>
      </c>
      <c r="P1256" s="1" t="str">
        <f t="shared" si="2452"/>
        <v>0</v>
      </c>
      <c r="Q1256" s="1" t="str">
        <f t="shared" si="2379"/>
        <v>0.0070</v>
      </c>
      <c r="R1256" s="1" t="s">
        <v>29</v>
      </c>
      <c r="S1256" s="1">
        <v>-0.0014</v>
      </c>
      <c r="T1256" s="1" t="str">
        <f t="shared" si="2380"/>
        <v>0</v>
      </c>
      <c r="U1256" s="1" t="str">
        <f t="shared" si="2444"/>
        <v>0.0056</v>
      </c>
    </row>
    <row r="1257" s="1" customFormat="1" spans="1:21">
      <c r="A1257" s="1" t="str">
        <f>"4601992014431"</f>
        <v>4601992014431</v>
      </c>
      <c r="B1257" s="1" t="s">
        <v>1281</v>
      </c>
      <c r="C1257" s="1" t="s">
        <v>24</v>
      </c>
      <c r="D1257" s="1" t="str">
        <f t="shared" si="2376"/>
        <v>2021</v>
      </c>
      <c r="E1257" s="1" t="str">
        <f t="shared" ref="E1257:I1257" si="2453">"0"</f>
        <v>0</v>
      </c>
      <c r="F1257" s="1" t="str">
        <f t="shared" si="2453"/>
        <v>0</v>
      </c>
      <c r="G1257" s="1" t="str">
        <f t="shared" si="2453"/>
        <v>0</v>
      </c>
      <c r="H1257" s="1" t="str">
        <f t="shared" si="2453"/>
        <v>0</v>
      </c>
      <c r="I1257" s="1" t="str">
        <f t="shared" si="2453"/>
        <v>0</v>
      </c>
      <c r="J1257" s="1" t="str">
        <f>"8"</f>
        <v>8</v>
      </c>
      <c r="K1257" s="1" t="str">
        <f t="shared" ref="K1257:P1257" si="2454">"0"</f>
        <v>0</v>
      </c>
      <c r="L1257" s="1" t="str">
        <f t="shared" si="2454"/>
        <v>0</v>
      </c>
      <c r="M1257" s="1" t="str">
        <f t="shared" si="2454"/>
        <v>0</v>
      </c>
      <c r="N1257" s="1" t="str">
        <f t="shared" si="2454"/>
        <v>0</v>
      </c>
      <c r="O1257" s="1" t="str">
        <f t="shared" si="2454"/>
        <v>0</v>
      </c>
      <c r="P1257" s="1" t="str">
        <f t="shared" si="2454"/>
        <v>0</v>
      </c>
      <c r="Q1257" s="1" t="str">
        <f t="shared" si="2379"/>
        <v>0.0070</v>
      </c>
      <c r="R1257" s="1" t="s">
        <v>25</v>
      </c>
      <c r="T1257" s="1" t="str">
        <f t="shared" si="2380"/>
        <v>0</v>
      </c>
      <c r="U1257" s="1" t="str">
        <f>"0.0070"</f>
        <v>0.0070</v>
      </c>
    </row>
    <row r="1258" s="1" customFormat="1" spans="1:21">
      <c r="A1258" s="1" t="str">
        <f>"4601992014448"</f>
        <v>4601992014448</v>
      </c>
      <c r="B1258" s="1" t="s">
        <v>1282</v>
      </c>
      <c r="C1258" s="1" t="s">
        <v>24</v>
      </c>
      <c r="D1258" s="1" t="str">
        <f t="shared" si="2376"/>
        <v>2021</v>
      </c>
      <c r="E1258" s="1" t="str">
        <f>"48.36"</f>
        <v>48.36</v>
      </c>
      <c r="F1258" s="1" t="str">
        <f t="shared" ref="F1258:I1258" si="2455">"0"</f>
        <v>0</v>
      </c>
      <c r="G1258" s="1" t="str">
        <f t="shared" si="2455"/>
        <v>0</v>
      </c>
      <c r="H1258" s="1" t="str">
        <f t="shared" si="2455"/>
        <v>0</v>
      </c>
      <c r="I1258" s="1" t="str">
        <f t="shared" si="2455"/>
        <v>0</v>
      </c>
      <c r="J1258" s="1" t="str">
        <f>"4"</f>
        <v>4</v>
      </c>
      <c r="K1258" s="1" t="str">
        <f t="shared" ref="K1258:P1258" si="2456">"0"</f>
        <v>0</v>
      </c>
      <c r="L1258" s="1" t="str">
        <f t="shared" si="2456"/>
        <v>0</v>
      </c>
      <c r="M1258" s="1" t="str">
        <f t="shared" si="2456"/>
        <v>0</v>
      </c>
      <c r="N1258" s="1" t="str">
        <f t="shared" si="2456"/>
        <v>0</v>
      </c>
      <c r="O1258" s="1" t="str">
        <f t="shared" si="2456"/>
        <v>0</v>
      </c>
      <c r="P1258" s="1" t="str">
        <f t="shared" si="2456"/>
        <v>0</v>
      </c>
      <c r="Q1258" s="1" t="str">
        <f t="shared" si="2379"/>
        <v>0.0070</v>
      </c>
      <c r="R1258" s="1" t="s">
        <v>29</v>
      </c>
      <c r="S1258" s="1">
        <v>-0.0014</v>
      </c>
      <c r="T1258" s="1" t="str">
        <f t="shared" si="2380"/>
        <v>0</v>
      </c>
      <c r="U1258" s="1" t="str">
        <f t="shared" ref="U1258:U1263" si="2457">"0.0056"</f>
        <v>0.0056</v>
      </c>
    </row>
    <row r="1259" s="1" customFormat="1" spans="1:21">
      <c r="A1259" s="1" t="str">
        <f>"4601992014451"</f>
        <v>4601992014451</v>
      </c>
      <c r="B1259" s="1" t="s">
        <v>1283</v>
      </c>
      <c r="C1259" s="1" t="s">
        <v>24</v>
      </c>
      <c r="D1259" s="1" t="str">
        <f t="shared" si="2376"/>
        <v>2021</v>
      </c>
      <c r="E1259" s="1" t="str">
        <f>"77.40"</f>
        <v>77.40</v>
      </c>
      <c r="F1259" s="1" t="str">
        <f t="shared" ref="F1259:I1259" si="2458">"0"</f>
        <v>0</v>
      </c>
      <c r="G1259" s="1" t="str">
        <f t="shared" si="2458"/>
        <v>0</v>
      </c>
      <c r="H1259" s="1" t="str">
        <f t="shared" si="2458"/>
        <v>0</v>
      </c>
      <c r="I1259" s="1" t="str">
        <f t="shared" si="2458"/>
        <v>0</v>
      </c>
      <c r="J1259" s="1" t="str">
        <f>"7"</f>
        <v>7</v>
      </c>
      <c r="K1259" s="1" t="str">
        <f t="shared" ref="K1259:P1259" si="2459">"0"</f>
        <v>0</v>
      </c>
      <c r="L1259" s="1" t="str">
        <f t="shared" si="2459"/>
        <v>0</v>
      </c>
      <c r="M1259" s="1" t="str">
        <f t="shared" si="2459"/>
        <v>0</v>
      </c>
      <c r="N1259" s="1" t="str">
        <f t="shared" si="2459"/>
        <v>0</v>
      </c>
      <c r="O1259" s="1" t="str">
        <f t="shared" si="2459"/>
        <v>0</v>
      </c>
      <c r="P1259" s="1" t="str">
        <f t="shared" si="2459"/>
        <v>0</v>
      </c>
      <c r="Q1259" s="1" t="str">
        <f t="shared" si="2379"/>
        <v>0.0070</v>
      </c>
      <c r="R1259" s="1" t="s">
        <v>29</v>
      </c>
      <c r="S1259" s="1">
        <v>-0.0014</v>
      </c>
      <c r="T1259" s="1" t="str">
        <f t="shared" si="2380"/>
        <v>0</v>
      </c>
      <c r="U1259" s="1" t="str">
        <f t="shared" si="2457"/>
        <v>0.0056</v>
      </c>
    </row>
    <row r="1260" s="1" customFormat="1" spans="1:21">
      <c r="A1260" s="1" t="str">
        <f>"4601992014487"</f>
        <v>4601992014487</v>
      </c>
      <c r="B1260" s="1" t="s">
        <v>1284</v>
      </c>
      <c r="C1260" s="1" t="s">
        <v>24</v>
      </c>
      <c r="D1260" s="1" t="str">
        <f t="shared" si="2376"/>
        <v>2021</v>
      </c>
      <c r="E1260" s="1" t="str">
        <f>"35.94"</f>
        <v>35.94</v>
      </c>
      <c r="F1260" s="1" t="str">
        <f t="shared" ref="F1260:I1260" si="2460">"0"</f>
        <v>0</v>
      </c>
      <c r="G1260" s="1" t="str">
        <f t="shared" si="2460"/>
        <v>0</v>
      </c>
      <c r="H1260" s="1" t="str">
        <f t="shared" si="2460"/>
        <v>0</v>
      </c>
      <c r="I1260" s="1" t="str">
        <f t="shared" si="2460"/>
        <v>0</v>
      </c>
      <c r="J1260" s="1" t="str">
        <f>"3"</f>
        <v>3</v>
      </c>
      <c r="K1260" s="1" t="str">
        <f t="shared" ref="K1260:P1260" si="2461">"0"</f>
        <v>0</v>
      </c>
      <c r="L1260" s="1" t="str">
        <f t="shared" si="2461"/>
        <v>0</v>
      </c>
      <c r="M1260" s="1" t="str">
        <f t="shared" si="2461"/>
        <v>0</v>
      </c>
      <c r="N1260" s="1" t="str">
        <f t="shared" si="2461"/>
        <v>0</v>
      </c>
      <c r="O1260" s="1" t="str">
        <f t="shared" si="2461"/>
        <v>0</v>
      </c>
      <c r="P1260" s="1" t="str">
        <f t="shared" si="2461"/>
        <v>0</v>
      </c>
      <c r="Q1260" s="1" t="str">
        <f t="shared" si="2379"/>
        <v>0.0070</v>
      </c>
      <c r="R1260" s="1" t="s">
        <v>29</v>
      </c>
      <c r="S1260" s="1">
        <v>-0.0014</v>
      </c>
      <c r="T1260" s="1" t="str">
        <f t="shared" si="2380"/>
        <v>0</v>
      </c>
      <c r="U1260" s="1" t="str">
        <f t="shared" si="2457"/>
        <v>0.0056</v>
      </c>
    </row>
    <row r="1261" s="1" customFormat="1" spans="1:21">
      <c r="A1261" s="1" t="str">
        <f>"4601992014458"</f>
        <v>4601992014458</v>
      </c>
      <c r="B1261" s="1" t="s">
        <v>1285</v>
      </c>
      <c r="C1261" s="1" t="s">
        <v>24</v>
      </c>
      <c r="D1261" s="1" t="str">
        <f t="shared" si="2376"/>
        <v>2021</v>
      </c>
      <c r="E1261" s="1" t="str">
        <f>"241.03"</f>
        <v>241.03</v>
      </c>
      <c r="F1261" s="1" t="str">
        <f t="shared" ref="F1261:I1261" si="2462">"0"</f>
        <v>0</v>
      </c>
      <c r="G1261" s="1" t="str">
        <f t="shared" si="2462"/>
        <v>0</v>
      </c>
      <c r="H1261" s="1" t="str">
        <f t="shared" si="2462"/>
        <v>0</v>
      </c>
      <c r="I1261" s="1" t="str">
        <f t="shared" si="2462"/>
        <v>0</v>
      </c>
      <c r="J1261" s="1" t="str">
        <f>"22"</f>
        <v>22</v>
      </c>
      <c r="K1261" s="1" t="str">
        <f t="shared" ref="K1261:P1261" si="2463">"0"</f>
        <v>0</v>
      </c>
      <c r="L1261" s="1" t="str">
        <f t="shared" si="2463"/>
        <v>0</v>
      </c>
      <c r="M1261" s="1" t="str">
        <f t="shared" si="2463"/>
        <v>0</v>
      </c>
      <c r="N1261" s="1" t="str">
        <f t="shared" si="2463"/>
        <v>0</v>
      </c>
      <c r="O1261" s="1" t="str">
        <f t="shared" si="2463"/>
        <v>0</v>
      </c>
      <c r="P1261" s="1" t="str">
        <f t="shared" si="2463"/>
        <v>0</v>
      </c>
      <c r="Q1261" s="1" t="str">
        <f t="shared" si="2379"/>
        <v>0.0070</v>
      </c>
      <c r="R1261" s="1" t="s">
        <v>29</v>
      </c>
      <c r="S1261" s="1">
        <v>-0.0014</v>
      </c>
      <c r="T1261" s="1" t="str">
        <f t="shared" si="2380"/>
        <v>0</v>
      </c>
      <c r="U1261" s="1" t="str">
        <f t="shared" si="2457"/>
        <v>0.0056</v>
      </c>
    </row>
    <row r="1262" s="1" customFormat="1" spans="1:21">
      <c r="A1262" s="1" t="str">
        <f>"4601992014461"</f>
        <v>4601992014461</v>
      </c>
      <c r="B1262" s="1" t="s">
        <v>1286</v>
      </c>
      <c r="C1262" s="1" t="s">
        <v>24</v>
      </c>
      <c r="D1262" s="1" t="str">
        <f t="shared" si="2376"/>
        <v>2021</v>
      </c>
      <c r="E1262" s="1" t="str">
        <f>"101.15"</f>
        <v>101.15</v>
      </c>
      <c r="F1262" s="1" t="str">
        <f t="shared" ref="F1262:I1262" si="2464">"0"</f>
        <v>0</v>
      </c>
      <c r="G1262" s="1" t="str">
        <f t="shared" si="2464"/>
        <v>0</v>
      </c>
      <c r="H1262" s="1" t="str">
        <f t="shared" si="2464"/>
        <v>0</v>
      </c>
      <c r="I1262" s="1" t="str">
        <f t="shared" si="2464"/>
        <v>0</v>
      </c>
      <c r="J1262" s="1" t="str">
        <f>"8"</f>
        <v>8</v>
      </c>
      <c r="K1262" s="1" t="str">
        <f t="shared" ref="K1262:P1262" si="2465">"0"</f>
        <v>0</v>
      </c>
      <c r="L1262" s="1" t="str">
        <f t="shared" si="2465"/>
        <v>0</v>
      </c>
      <c r="M1262" s="1" t="str">
        <f t="shared" si="2465"/>
        <v>0</v>
      </c>
      <c r="N1262" s="1" t="str">
        <f t="shared" si="2465"/>
        <v>0</v>
      </c>
      <c r="O1262" s="1" t="str">
        <f t="shared" si="2465"/>
        <v>0</v>
      </c>
      <c r="P1262" s="1" t="str">
        <f t="shared" si="2465"/>
        <v>0</v>
      </c>
      <c r="Q1262" s="1" t="str">
        <f t="shared" si="2379"/>
        <v>0.0070</v>
      </c>
      <c r="R1262" s="1" t="s">
        <v>29</v>
      </c>
      <c r="S1262" s="1">
        <v>-0.0014</v>
      </c>
      <c r="T1262" s="1" t="str">
        <f t="shared" si="2380"/>
        <v>0</v>
      </c>
      <c r="U1262" s="1" t="str">
        <f t="shared" si="2457"/>
        <v>0.0056</v>
      </c>
    </row>
    <row r="1263" s="1" customFormat="1" spans="1:21">
      <c r="A1263" s="1" t="str">
        <f>"4601991426675"</f>
        <v>4601991426675</v>
      </c>
      <c r="B1263" s="1" t="s">
        <v>1287</v>
      </c>
      <c r="C1263" s="1" t="s">
        <v>24</v>
      </c>
      <c r="D1263" s="1" t="str">
        <f t="shared" si="2376"/>
        <v>2021</v>
      </c>
      <c r="E1263" s="1" t="str">
        <f>"193.44"</f>
        <v>193.44</v>
      </c>
      <c r="F1263" s="1" t="str">
        <f t="shared" ref="F1263:I1263" si="2466">"0"</f>
        <v>0</v>
      </c>
      <c r="G1263" s="1" t="str">
        <f t="shared" si="2466"/>
        <v>0</v>
      </c>
      <c r="H1263" s="1" t="str">
        <f t="shared" si="2466"/>
        <v>0</v>
      </c>
      <c r="I1263" s="1" t="str">
        <f t="shared" si="2466"/>
        <v>0</v>
      </c>
      <c r="J1263" s="1" t="str">
        <f>"15"</f>
        <v>15</v>
      </c>
      <c r="K1263" s="1" t="str">
        <f t="shared" ref="K1263:P1263" si="2467">"0"</f>
        <v>0</v>
      </c>
      <c r="L1263" s="1" t="str">
        <f t="shared" si="2467"/>
        <v>0</v>
      </c>
      <c r="M1263" s="1" t="str">
        <f t="shared" si="2467"/>
        <v>0</v>
      </c>
      <c r="N1263" s="1" t="str">
        <f t="shared" si="2467"/>
        <v>0</v>
      </c>
      <c r="O1263" s="1" t="str">
        <f t="shared" si="2467"/>
        <v>0</v>
      </c>
      <c r="P1263" s="1" t="str">
        <f t="shared" si="2467"/>
        <v>0</v>
      </c>
      <c r="Q1263" s="1" t="str">
        <f t="shared" si="2379"/>
        <v>0.0070</v>
      </c>
      <c r="R1263" s="1" t="s">
        <v>29</v>
      </c>
      <c r="S1263" s="1">
        <v>-0.0014</v>
      </c>
      <c r="T1263" s="1" t="str">
        <f t="shared" si="2380"/>
        <v>0</v>
      </c>
      <c r="U1263" s="1" t="str">
        <f t="shared" si="2457"/>
        <v>0.0056</v>
      </c>
    </row>
    <row r="1264" s="1" customFormat="1" spans="1:21">
      <c r="A1264" s="1" t="str">
        <f>"4601992014610"</f>
        <v>4601992014610</v>
      </c>
      <c r="B1264" s="1" t="s">
        <v>1288</v>
      </c>
      <c r="C1264" s="1" t="s">
        <v>24</v>
      </c>
      <c r="D1264" s="1" t="str">
        <f t="shared" si="2376"/>
        <v>2021</v>
      </c>
      <c r="E1264" s="1" t="str">
        <f t="shared" ref="E1264:P1264" si="2468">"0"</f>
        <v>0</v>
      </c>
      <c r="F1264" s="1" t="str">
        <f t="shared" si="2468"/>
        <v>0</v>
      </c>
      <c r="G1264" s="1" t="str">
        <f t="shared" si="2468"/>
        <v>0</v>
      </c>
      <c r="H1264" s="1" t="str">
        <f t="shared" si="2468"/>
        <v>0</v>
      </c>
      <c r="I1264" s="1" t="str">
        <f t="shared" si="2468"/>
        <v>0</v>
      </c>
      <c r="J1264" s="1" t="str">
        <f t="shared" si="2468"/>
        <v>0</v>
      </c>
      <c r="K1264" s="1" t="str">
        <f t="shared" si="2468"/>
        <v>0</v>
      </c>
      <c r="L1264" s="1" t="str">
        <f t="shared" si="2468"/>
        <v>0</v>
      </c>
      <c r="M1264" s="1" t="str">
        <f t="shared" si="2468"/>
        <v>0</v>
      </c>
      <c r="N1264" s="1" t="str">
        <f t="shared" si="2468"/>
        <v>0</v>
      </c>
      <c r="O1264" s="1" t="str">
        <f t="shared" si="2468"/>
        <v>0</v>
      </c>
      <c r="P1264" s="1" t="str">
        <f t="shared" si="2468"/>
        <v>0</v>
      </c>
      <c r="Q1264" s="1" t="str">
        <f t="shared" si="2379"/>
        <v>0.0070</v>
      </c>
      <c r="R1264" s="1" t="s">
        <v>25</v>
      </c>
      <c r="T1264" s="1" t="str">
        <f t="shared" si="2380"/>
        <v>0</v>
      </c>
      <c r="U1264" s="1" t="str">
        <f>"0.0070"</f>
        <v>0.0070</v>
      </c>
    </row>
    <row r="1265" s="1" customFormat="1" spans="1:21">
      <c r="A1265" s="1" t="str">
        <f>"4601992014592"</f>
        <v>4601992014592</v>
      </c>
      <c r="B1265" s="1" t="s">
        <v>1289</v>
      </c>
      <c r="C1265" s="1" t="s">
        <v>24</v>
      </c>
      <c r="D1265" s="1" t="str">
        <f t="shared" si="2376"/>
        <v>2021</v>
      </c>
      <c r="E1265" s="1" t="str">
        <f>"48.36"</f>
        <v>48.36</v>
      </c>
      <c r="F1265" s="1" t="str">
        <f t="shared" ref="F1265:I1265" si="2469">"0"</f>
        <v>0</v>
      </c>
      <c r="G1265" s="1" t="str">
        <f t="shared" si="2469"/>
        <v>0</v>
      </c>
      <c r="H1265" s="1" t="str">
        <f t="shared" si="2469"/>
        <v>0</v>
      </c>
      <c r="I1265" s="1" t="str">
        <f t="shared" si="2469"/>
        <v>0</v>
      </c>
      <c r="J1265" s="1" t="str">
        <f>"5"</f>
        <v>5</v>
      </c>
      <c r="K1265" s="1" t="str">
        <f t="shared" ref="K1265:P1265" si="2470">"0"</f>
        <v>0</v>
      </c>
      <c r="L1265" s="1" t="str">
        <f t="shared" si="2470"/>
        <v>0</v>
      </c>
      <c r="M1265" s="1" t="str">
        <f t="shared" si="2470"/>
        <v>0</v>
      </c>
      <c r="N1265" s="1" t="str">
        <f t="shared" si="2470"/>
        <v>0</v>
      </c>
      <c r="O1265" s="1" t="str">
        <f t="shared" si="2470"/>
        <v>0</v>
      </c>
      <c r="P1265" s="1" t="str">
        <f t="shared" si="2470"/>
        <v>0</v>
      </c>
      <c r="Q1265" s="1" t="str">
        <f t="shared" si="2379"/>
        <v>0.0070</v>
      </c>
      <c r="R1265" s="1" t="s">
        <v>29</v>
      </c>
      <c r="S1265" s="1">
        <v>-0.0014</v>
      </c>
      <c r="T1265" s="1" t="str">
        <f t="shared" si="2380"/>
        <v>0</v>
      </c>
      <c r="U1265" s="1" t="str">
        <f t="shared" ref="U1265:U1267" si="2471">"0.0056"</f>
        <v>0.0056</v>
      </c>
    </row>
    <row r="1266" s="1" customFormat="1" spans="1:21">
      <c r="A1266" s="1" t="str">
        <f>"4601992014605"</f>
        <v>4601992014605</v>
      </c>
      <c r="B1266" s="1" t="s">
        <v>1290</v>
      </c>
      <c r="C1266" s="1" t="s">
        <v>24</v>
      </c>
      <c r="D1266" s="1" t="str">
        <f t="shared" si="2376"/>
        <v>2021</v>
      </c>
      <c r="E1266" s="1" t="str">
        <f>"24.18"</f>
        <v>24.18</v>
      </c>
      <c r="F1266" s="1" t="str">
        <f t="shared" ref="F1266:I1266" si="2472">"0"</f>
        <v>0</v>
      </c>
      <c r="G1266" s="1" t="str">
        <f t="shared" si="2472"/>
        <v>0</v>
      </c>
      <c r="H1266" s="1" t="str">
        <f t="shared" si="2472"/>
        <v>0</v>
      </c>
      <c r="I1266" s="1" t="str">
        <f t="shared" si="2472"/>
        <v>0</v>
      </c>
      <c r="J1266" s="1" t="str">
        <f>"2"</f>
        <v>2</v>
      </c>
      <c r="K1266" s="1" t="str">
        <f t="shared" ref="K1266:P1266" si="2473">"0"</f>
        <v>0</v>
      </c>
      <c r="L1266" s="1" t="str">
        <f t="shared" si="2473"/>
        <v>0</v>
      </c>
      <c r="M1266" s="1" t="str">
        <f t="shared" si="2473"/>
        <v>0</v>
      </c>
      <c r="N1266" s="1" t="str">
        <f t="shared" si="2473"/>
        <v>0</v>
      </c>
      <c r="O1266" s="1" t="str">
        <f t="shared" si="2473"/>
        <v>0</v>
      </c>
      <c r="P1266" s="1" t="str">
        <f t="shared" si="2473"/>
        <v>0</v>
      </c>
      <c r="Q1266" s="1" t="str">
        <f t="shared" si="2379"/>
        <v>0.0070</v>
      </c>
      <c r="R1266" s="1" t="s">
        <v>29</v>
      </c>
      <c r="S1266" s="1">
        <v>-0.0014</v>
      </c>
      <c r="T1266" s="1" t="str">
        <f t="shared" si="2380"/>
        <v>0</v>
      </c>
      <c r="U1266" s="1" t="str">
        <f t="shared" si="2471"/>
        <v>0.0056</v>
      </c>
    </row>
    <row r="1267" s="1" customFormat="1" spans="1:21">
      <c r="A1267" s="1" t="str">
        <f>"4601992014674"</f>
        <v>4601992014674</v>
      </c>
      <c r="B1267" s="1" t="s">
        <v>1291</v>
      </c>
      <c r="C1267" s="1" t="s">
        <v>24</v>
      </c>
      <c r="D1267" s="1" t="str">
        <f t="shared" si="2376"/>
        <v>2021</v>
      </c>
      <c r="E1267" s="1" t="str">
        <f>"23.96"</f>
        <v>23.96</v>
      </c>
      <c r="F1267" s="1" t="str">
        <f t="shared" ref="F1267:I1267" si="2474">"0"</f>
        <v>0</v>
      </c>
      <c r="G1267" s="1" t="str">
        <f t="shared" si="2474"/>
        <v>0</v>
      </c>
      <c r="H1267" s="1" t="str">
        <f t="shared" si="2474"/>
        <v>0</v>
      </c>
      <c r="I1267" s="1" t="str">
        <f t="shared" si="2474"/>
        <v>0</v>
      </c>
      <c r="J1267" s="1" t="str">
        <f>"2"</f>
        <v>2</v>
      </c>
      <c r="K1267" s="1" t="str">
        <f t="shared" ref="K1267:P1267" si="2475">"0"</f>
        <v>0</v>
      </c>
      <c r="L1267" s="1" t="str">
        <f t="shared" si="2475"/>
        <v>0</v>
      </c>
      <c r="M1267" s="1" t="str">
        <f t="shared" si="2475"/>
        <v>0</v>
      </c>
      <c r="N1267" s="1" t="str">
        <f t="shared" si="2475"/>
        <v>0</v>
      </c>
      <c r="O1267" s="1" t="str">
        <f t="shared" si="2475"/>
        <v>0</v>
      </c>
      <c r="P1267" s="1" t="str">
        <f t="shared" si="2475"/>
        <v>0</v>
      </c>
      <c r="Q1267" s="1" t="str">
        <f t="shared" si="2379"/>
        <v>0.0070</v>
      </c>
      <c r="R1267" s="1" t="s">
        <v>29</v>
      </c>
      <c r="S1267" s="1">
        <v>-0.0014</v>
      </c>
      <c r="T1267" s="1" t="str">
        <f t="shared" si="2380"/>
        <v>0</v>
      </c>
      <c r="U1267" s="1" t="str">
        <f t="shared" si="2471"/>
        <v>0.0056</v>
      </c>
    </row>
    <row r="1268" s="1" customFormat="1" spans="1:21">
      <c r="A1268" s="1" t="str">
        <f>"4601992014557"</f>
        <v>4601992014557</v>
      </c>
      <c r="B1268" s="1" t="s">
        <v>1292</v>
      </c>
      <c r="C1268" s="1" t="s">
        <v>24</v>
      </c>
      <c r="D1268" s="1" t="str">
        <f t="shared" si="2376"/>
        <v>2021</v>
      </c>
      <c r="E1268" s="1" t="str">
        <f>"2899.11"</f>
        <v>2899.11</v>
      </c>
      <c r="F1268" s="1" t="str">
        <f>"7426.76"</f>
        <v>7426.76</v>
      </c>
      <c r="G1268" s="1" t="str">
        <f t="shared" ref="G1268:L1268" si="2476">"0"</f>
        <v>0</v>
      </c>
      <c r="H1268" s="1" t="str">
        <f t="shared" si="2476"/>
        <v>0</v>
      </c>
      <c r="I1268" s="1" t="str">
        <f>"2.5617"</f>
        <v>2.5617</v>
      </c>
      <c r="J1268" s="1" t="str">
        <f>"206"</f>
        <v>206</v>
      </c>
      <c r="K1268" s="1" t="str">
        <f>"1"</f>
        <v>1</v>
      </c>
      <c r="L1268" s="1" t="str">
        <f t="shared" si="2476"/>
        <v>0</v>
      </c>
      <c r="M1268" s="1" t="str">
        <f>"0.0049"</f>
        <v>0.0049</v>
      </c>
      <c r="N1268" s="1" t="str">
        <f t="shared" ref="N1268:P1268" si="2477">"0"</f>
        <v>0</v>
      </c>
      <c r="O1268" s="1" t="str">
        <f t="shared" si="2477"/>
        <v>0</v>
      </c>
      <c r="P1268" s="1" t="str">
        <f t="shared" si="2477"/>
        <v>0</v>
      </c>
      <c r="Q1268" s="1" t="str">
        <f t="shared" si="2379"/>
        <v>0.0070</v>
      </c>
      <c r="R1268" s="1" t="s">
        <v>25</v>
      </c>
      <c r="T1268" s="1" t="str">
        <f t="shared" si="2380"/>
        <v>0</v>
      </c>
      <c r="U1268" s="1" t="str">
        <f t="shared" ref="U1268:U1273" si="2478">"0.0070"</f>
        <v>0.0070</v>
      </c>
    </row>
    <row r="1269" s="1" customFormat="1" spans="1:21">
      <c r="A1269" s="1" t="str">
        <f>"4601992014616"</f>
        <v>4601992014616</v>
      </c>
      <c r="B1269" s="1" t="s">
        <v>1293</v>
      </c>
      <c r="C1269" s="1" t="s">
        <v>24</v>
      </c>
      <c r="D1269" s="1" t="str">
        <f t="shared" si="2376"/>
        <v>2021</v>
      </c>
      <c r="E1269" s="1" t="str">
        <f>"350.61"</f>
        <v>350.61</v>
      </c>
      <c r="F1269" s="1" t="str">
        <f t="shared" ref="F1269:I1269" si="2479">"0"</f>
        <v>0</v>
      </c>
      <c r="G1269" s="1" t="str">
        <f t="shared" si="2479"/>
        <v>0</v>
      </c>
      <c r="H1269" s="1" t="str">
        <f t="shared" si="2479"/>
        <v>0</v>
      </c>
      <c r="I1269" s="1" t="str">
        <f t="shared" si="2479"/>
        <v>0</v>
      </c>
      <c r="J1269" s="1" t="str">
        <f>"39"</f>
        <v>39</v>
      </c>
      <c r="K1269" s="1" t="str">
        <f t="shared" ref="K1269:P1269" si="2480">"0"</f>
        <v>0</v>
      </c>
      <c r="L1269" s="1" t="str">
        <f t="shared" si="2480"/>
        <v>0</v>
      </c>
      <c r="M1269" s="1" t="str">
        <f t="shared" si="2480"/>
        <v>0</v>
      </c>
      <c r="N1269" s="1" t="str">
        <f t="shared" si="2480"/>
        <v>0</v>
      </c>
      <c r="O1269" s="1" t="str">
        <f t="shared" si="2480"/>
        <v>0</v>
      </c>
      <c r="P1269" s="1" t="str">
        <f t="shared" si="2480"/>
        <v>0</v>
      </c>
      <c r="Q1269" s="1" t="str">
        <f t="shared" si="2379"/>
        <v>0.0070</v>
      </c>
      <c r="R1269" s="1" t="s">
        <v>29</v>
      </c>
      <c r="S1269" s="1">
        <v>-0.0014</v>
      </c>
      <c r="T1269" s="1" t="str">
        <f t="shared" si="2380"/>
        <v>0</v>
      </c>
      <c r="U1269" s="1" t="str">
        <f t="shared" ref="U1269:U1274" si="2481">"0.0056"</f>
        <v>0.0056</v>
      </c>
    </row>
    <row r="1270" s="1" customFormat="1" spans="1:21">
      <c r="A1270" s="1" t="str">
        <f>"4601992001581"</f>
        <v>4601992001581</v>
      </c>
      <c r="B1270" s="1" t="s">
        <v>1294</v>
      </c>
      <c r="C1270" s="1" t="s">
        <v>24</v>
      </c>
      <c r="D1270" s="1" t="str">
        <f t="shared" si="2376"/>
        <v>2021</v>
      </c>
      <c r="E1270" s="1" t="str">
        <f>"48.36"</f>
        <v>48.36</v>
      </c>
      <c r="F1270" s="1" t="str">
        <f t="shared" ref="F1270:I1270" si="2482">"0"</f>
        <v>0</v>
      </c>
      <c r="G1270" s="1" t="str">
        <f t="shared" si="2482"/>
        <v>0</v>
      </c>
      <c r="H1270" s="1" t="str">
        <f t="shared" si="2482"/>
        <v>0</v>
      </c>
      <c r="I1270" s="1" t="str">
        <f t="shared" si="2482"/>
        <v>0</v>
      </c>
      <c r="J1270" s="1" t="str">
        <f>"4"</f>
        <v>4</v>
      </c>
      <c r="K1270" s="1" t="str">
        <f t="shared" ref="K1270:P1270" si="2483">"0"</f>
        <v>0</v>
      </c>
      <c r="L1270" s="1" t="str">
        <f t="shared" si="2483"/>
        <v>0</v>
      </c>
      <c r="M1270" s="1" t="str">
        <f t="shared" si="2483"/>
        <v>0</v>
      </c>
      <c r="N1270" s="1" t="str">
        <f t="shared" si="2483"/>
        <v>0</v>
      </c>
      <c r="O1270" s="1" t="str">
        <f t="shared" si="2483"/>
        <v>0</v>
      </c>
      <c r="P1270" s="1" t="str">
        <f t="shared" si="2483"/>
        <v>0</v>
      </c>
      <c r="Q1270" s="1" t="str">
        <f t="shared" si="2379"/>
        <v>0.0070</v>
      </c>
      <c r="R1270" s="1" t="s">
        <v>29</v>
      </c>
      <c r="S1270" s="1">
        <v>-0.0014</v>
      </c>
      <c r="T1270" s="1" t="str">
        <f t="shared" si="2380"/>
        <v>0</v>
      </c>
      <c r="U1270" s="1" t="str">
        <f t="shared" si="2481"/>
        <v>0.0056</v>
      </c>
    </row>
    <row r="1271" s="1" customFormat="1" spans="1:21">
      <c r="A1271" s="1" t="str">
        <f>"4601992014676"</f>
        <v>4601992014676</v>
      </c>
      <c r="B1271" s="1" t="s">
        <v>1295</v>
      </c>
      <c r="C1271" s="1" t="s">
        <v>24</v>
      </c>
      <c r="D1271" s="1" t="str">
        <f t="shared" si="2376"/>
        <v>2021</v>
      </c>
      <c r="E1271" s="1" t="str">
        <f t="shared" ref="E1271:P1271" si="2484">"0"</f>
        <v>0</v>
      </c>
      <c r="F1271" s="1" t="str">
        <f t="shared" si="2484"/>
        <v>0</v>
      </c>
      <c r="G1271" s="1" t="str">
        <f t="shared" si="2484"/>
        <v>0</v>
      </c>
      <c r="H1271" s="1" t="str">
        <f t="shared" si="2484"/>
        <v>0</v>
      </c>
      <c r="I1271" s="1" t="str">
        <f t="shared" si="2484"/>
        <v>0</v>
      </c>
      <c r="J1271" s="1" t="str">
        <f t="shared" si="2484"/>
        <v>0</v>
      </c>
      <c r="K1271" s="1" t="str">
        <f t="shared" si="2484"/>
        <v>0</v>
      </c>
      <c r="L1271" s="1" t="str">
        <f t="shared" si="2484"/>
        <v>0</v>
      </c>
      <c r="M1271" s="1" t="str">
        <f t="shared" si="2484"/>
        <v>0</v>
      </c>
      <c r="N1271" s="1" t="str">
        <f t="shared" si="2484"/>
        <v>0</v>
      </c>
      <c r="O1271" s="1" t="str">
        <f t="shared" si="2484"/>
        <v>0</v>
      </c>
      <c r="P1271" s="1" t="str">
        <f t="shared" si="2484"/>
        <v>0</v>
      </c>
      <c r="Q1271" s="1" t="str">
        <f t="shared" si="2379"/>
        <v>0.0070</v>
      </c>
      <c r="R1271" s="1" t="s">
        <v>25</v>
      </c>
      <c r="T1271" s="1" t="str">
        <f t="shared" si="2380"/>
        <v>0</v>
      </c>
      <c r="U1271" s="1" t="str">
        <f t="shared" si="2478"/>
        <v>0.0070</v>
      </c>
    </row>
    <row r="1272" s="1" customFormat="1" spans="1:21">
      <c r="A1272" s="1" t="str">
        <f>"4601992014443"</f>
        <v>4601992014443</v>
      </c>
      <c r="B1272" s="1" t="s">
        <v>1296</v>
      </c>
      <c r="C1272" s="1" t="s">
        <v>24</v>
      </c>
      <c r="D1272" s="1" t="str">
        <f t="shared" si="2376"/>
        <v>2021</v>
      </c>
      <c r="E1272" s="1" t="str">
        <f t="shared" ref="E1272:P1272" si="2485">"0"</f>
        <v>0</v>
      </c>
      <c r="F1272" s="1" t="str">
        <f t="shared" si="2485"/>
        <v>0</v>
      </c>
      <c r="G1272" s="1" t="str">
        <f t="shared" si="2485"/>
        <v>0</v>
      </c>
      <c r="H1272" s="1" t="str">
        <f t="shared" si="2485"/>
        <v>0</v>
      </c>
      <c r="I1272" s="1" t="str">
        <f t="shared" si="2485"/>
        <v>0</v>
      </c>
      <c r="J1272" s="1" t="str">
        <f t="shared" si="2485"/>
        <v>0</v>
      </c>
      <c r="K1272" s="1" t="str">
        <f t="shared" si="2485"/>
        <v>0</v>
      </c>
      <c r="L1272" s="1" t="str">
        <f t="shared" si="2485"/>
        <v>0</v>
      </c>
      <c r="M1272" s="1" t="str">
        <f t="shared" si="2485"/>
        <v>0</v>
      </c>
      <c r="N1272" s="1" t="str">
        <f t="shared" si="2485"/>
        <v>0</v>
      </c>
      <c r="O1272" s="1" t="str">
        <f t="shared" si="2485"/>
        <v>0</v>
      </c>
      <c r="P1272" s="1" t="str">
        <f t="shared" si="2485"/>
        <v>0</v>
      </c>
      <c r="Q1272" s="1" t="str">
        <f t="shared" si="2379"/>
        <v>0.0070</v>
      </c>
      <c r="R1272" s="1" t="s">
        <v>25</v>
      </c>
      <c r="T1272" s="1" t="str">
        <f t="shared" si="2380"/>
        <v>0</v>
      </c>
      <c r="U1272" s="1" t="str">
        <f t="shared" si="2478"/>
        <v>0.0070</v>
      </c>
    </row>
    <row r="1273" s="1" customFormat="1" spans="1:21">
      <c r="A1273" s="1" t="str">
        <f>"4601992014699"</f>
        <v>4601992014699</v>
      </c>
      <c r="B1273" s="1" t="s">
        <v>1297</v>
      </c>
      <c r="C1273" s="1" t="s">
        <v>24</v>
      </c>
      <c r="D1273" s="1" t="str">
        <f t="shared" si="2376"/>
        <v>2021</v>
      </c>
      <c r="E1273" s="1" t="str">
        <f t="shared" ref="E1273:P1273" si="2486">"0"</f>
        <v>0</v>
      </c>
      <c r="F1273" s="1" t="str">
        <f t="shared" si="2486"/>
        <v>0</v>
      </c>
      <c r="G1273" s="1" t="str">
        <f t="shared" si="2486"/>
        <v>0</v>
      </c>
      <c r="H1273" s="1" t="str">
        <f t="shared" si="2486"/>
        <v>0</v>
      </c>
      <c r="I1273" s="1" t="str">
        <f t="shared" si="2486"/>
        <v>0</v>
      </c>
      <c r="J1273" s="1" t="str">
        <f t="shared" si="2486"/>
        <v>0</v>
      </c>
      <c r="K1273" s="1" t="str">
        <f t="shared" si="2486"/>
        <v>0</v>
      </c>
      <c r="L1273" s="1" t="str">
        <f t="shared" si="2486"/>
        <v>0</v>
      </c>
      <c r="M1273" s="1" t="str">
        <f t="shared" si="2486"/>
        <v>0</v>
      </c>
      <c r="N1273" s="1" t="str">
        <f t="shared" si="2486"/>
        <v>0</v>
      </c>
      <c r="O1273" s="1" t="str">
        <f t="shared" si="2486"/>
        <v>0</v>
      </c>
      <c r="P1273" s="1" t="str">
        <f t="shared" si="2486"/>
        <v>0</v>
      </c>
      <c r="Q1273" s="1" t="str">
        <f t="shared" si="2379"/>
        <v>0.0070</v>
      </c>
      <c r="R1273" s="1" t="s">
        <v>25</v>
      </c>
      <c r="T1273" s="1" t="str">
        <f t="shared" si="2380"/>
        <v>0</v>
      </c>
      <c r="U1273" s="1" t="str">
        <f t="shared" si="2478"/>
        <v>0.0070</v>
      </c>
    </row>
    <row r="1274" s="1" customFormat="1" spans="1:21">
      <c r="A1274" s="1" t="str">
        <f>"4601992014698"</f>
        <v>4601992014698</v>
      </c>
      <c r="B1274" s="1" t="s">
        <v>1298</v>
      </c>
      <c r="C1274" s="1" t="s">
        <v>24</v>
      </c>
      <c r="D1274" s="1" t="str">
        <f t="shared" si="2376"/>
        <v>2021</v>
      </c>
      <c r="E1274" s="1" t="str">
        <f>"12.09"</f>
        <v>12.09</v>
      </c>
      <c r="F1274" s="1" t="str">
        <f t="shared" ref="F1274:I1274" si="2487">"0"</f>
        <v>0</v>
      </c>
      <c r="G1274" s="1" t="str">
        <f t="shared" si="2487"/>
        <v>0</v>
      </c>
      <c r="H1274" s="1" t="str">
        <f t="shared" si="2487"/>
        <v>0</v>
      </c>
      <c r="I1274" s="1" t="str">
        <f t="shared" si="2487"/>
        <v>0</v>
      </c>
      <c r="J1274" s="1" t="str">
        <f>"1"</f>
        <v>1</v>
      </c>
      <c r="K1274" s="1" t="str">
        <f t="shared" ref="K1274:P1274" si="2488">"0"</f>
        <v>0</v>
      </c>
      <c r="L1274" s="1" t="str">
        <f t="shared" si="2488"/>
        <v>0</v>
      </c>
      <c r="M1274" s="1" t="str">
        <f t="shared" si="2488"/>
        <v>0</v>
      </c>
      <c r="N1274" s="1" t="str">
        <f t="shared" si="2488"/>
        <v>0</v>
      </c>
      <c r="O1274" s="1" t="str">
        <f t="shared" si="2488"/>
        <v>0</v>
      </c>
      <c r="P1274" s="1" t="str">
        <f t="shared" si="2488"/>
        <v>0</v>
      </c>
      <c r="Q1274" s="1" t="str">
        <f t="shared" si="2379"/>
        <v>0.0070</v>
      </c>
      <c r="R1274" s="1" t="s">
        <v>29</v>
      </c>
      <c r="S1274" s="1">
        <v>-0.0014</v>
      </c>
      <c r="T1274" s="1" t="str">
        <f t="shared" si="2380"/>
        <v>0</v>
      </c>
      <c r="U1274" s="1" t="str">
        <f t="shared" si="2481"/>
        <v>0.0056</v>
      </c>
    </row>
    <row r="1275" s="1" customFormat="1" spans="1:21">
      <c r="A1275" s="1" t="str">
        <f>"4601992014689"</f>
        <v>4601992014689</v>
      </c>
      <c r="B1275" s="1" t="s">
        <v>1299</v>
      </c>
      <c r="C1275" s="1" t="s">
        <v>24</v>
      </c>
      <c r="D1275" s="1" t="str">
        <f t="shared" si="2376"/>
        <v>2021</v>
      </c>
      <c r="E1275" s="1" t="str">
        <f>"48.36"</f>
        <v>48.36</v>
      </c>
      <c r="F1275" s="1" t="str">
        <f t="shared" ref="F1275:I1275" si="2489">"0"</f>
        <v>0</v>
      </c>
      <c r="G1275" s="1" t="str">
        <f t="shared" si="2489"/>
        <v>0</v>
      </c>
      <c r="H1275" s="1" t="str">
        <f t="shared" si="2489"/>
        <v>0</v>
      </c>
      <c r="I1275" s="1" t="str">
        <f t="shared" si="2489"/>
        <v>0</v>
      </c>
      <c r="J1275" s="1" t="str">
        <f t="shared" ref="J1275:J1279" si="2490">"4"</f>
        <v>4</v>
      </c>
      <c r="K1275" s="1" t="str">
        <f t="shared" ref="K1275:P1275" si="2491">"0"</f>
        <v>0</v>
      </c>
      <c r="L1275" s="1" t="str">
        <f t="shared" si="2491"/>
        <v>0</v>
      </c>
      <c r="M1275" s="1" t="str">
        <f t="shared" si="2491"/>
        <v>0</v>
      </c>
      <c r="N1275" s="1" t="str">
        <f t="shared" si="2491"/>
        <v>0</v>
      </c>
      <c r="O1275" s="1" t="str">
        <f t="shared" si="2491"/>
        <v>0</v>
      </c>
      <c r="P1275" s="1" t="str">
        <f t="shared" si="2491"/>
        <v>0</v>
      </c>
      <c r="Q1275" s="1" t="str">
        <f t="shared" si="2379"/>
        <v>0.0070</v>
      </c>
      <c r="R1275" s="1" t="s">
        <v>25</v>
      </c>
      <c r="T1275" s="1" t="str">
        <f t="shared" si="2380"/>
        <v>0</v>
      </c>
      <c r="U1275" s="1" t="str">
        <f>"0.0070"</f>
        <v>0.0070</v>
      </c>
    </row>
    <row r="1276" s="1" customFormat="1" spans="1:21">
      <c r="A1276" s="1" t="str">
        <f>"4601992014733"</f>
        <v>4601992014733</v>
      </c>
      <c r="B1276" s="1" t="s">
        <v>1300</v>
      </c>
      <c r="C1276" s="1" t="s">
        <v>24</v>
      </c>
      <c r="D1276" s="1" t="str">
        <f t="shared" si="2376"/>
        <v>2021</v>
      </c>
      <c r="E1276" s="1" t="str">
        <f>"12.09"</f>
        <v>12.09</v>
      </c>
      <c r="F1276" s="1" t="str">
        <f t="shared" ref="F1276:I1276" si="2492">"0"</f>
        <v>0</v>
      </c>
      <c r="G1276" s="1" t="str">
        <f t="shared" si="2492"/>
        <v>0</v>
      </c>
      <c r="H1276" s="1" t="str">
        <f t="shared" si="2492"/>
        <v>0</v>
      </c>
      <c r="I1276" s="1" t="str">
        <f t="shared" si="2492"/>
        <v>0</v>
      </c>
      <c r="J1276" s="1" t="str">
        <f>"1"</f>
        <v>1</v>
      </c>
      <c r="K1276" s="1" t="str">
        <f t="shared" ref="K1276:P1276" si="2493">"0"</f>
        <v>0</v>
      </c>
      <c r="L1276" s="1" t="str">
        <f t="shared" si="2493"/>
        <v>0</v>
      </c>
      <c r="M1276" s="1" t="str">
        <f t="shared" si="2493"/>
        <v>0</v>
      </c>
      <c r="N1276" s="1" t="str">
        <f t="shared" si="2493"/>
        <v>0</v>
      </c>
      <c r="O1276" s="1" t="str">
        <f t="shared" si="2493"/>
        <v>0</v>
      </c>
      <c r="P1276" s="1" t="str">
        <f t="shared" si="2493"/>
        <v>0</v>
      </c>
      <c r="Q1276" s="1" t="str">
        <f t="shared" si="2379"/>
        <v>0.0070</v>
      </c>
      <c r="R1276" s="1" t="s">
        <v>29</v>
      </c>
      <c r="S1276" s="1">
        <v>-0.0014</v>
      </c>
      <c r="T1276" s="1" t="str">
        <f t="shared" si="2380"/>
        <v>0</v>
      </c>
      <c r="U1276" s="1" t="str">
        <f t="shared" ref="U1276:U1279" si="2494">"0.0056"</f>
        <v>0.0056</v>
      </c>
    </row>
    <row r="1277" s="1" customFormat="1" spans="1:21">
      <c r="A1277" s="1" t="str">
        <f>"4601992014776"</f>
        <v>4601992014776</v>
      </c>
      <c r="B1277" s="1" t="s">
        <v>1301</v>
      </c>
      <c r="C1277" s="1" t="s">
        <v>24</v>
      </c>
      <c r="D1277" s="1" t="str">
        <f t="shared" si="2376"/>
        <v>2021</v>
      </c>
      <c r="E1277" s="1" t="str">
        <f>"120.90"</f>
        <v>120.90</v>
      </c>
      <c r="F1277" s="1" t="str">
        <f t="shared" ref="F1277:I1277" si="2495">"0"</f>
        <v>0</v>
      </c>
      <c r="G1277" s="1" t="str">
        <f t="shared" si="2495"/>
        <v>0</v>
      </c>
      <c r="H1277" s="1" t="str">
        <f t="shared" si="2495"/>
        <v>0</v>
      </c>
      <c r="I1277" s="1" t="str">
        <f t="shared" si="2495"/>
        <v>0</v>
      </c>
      <c r="J1277" s="1" t="str">
        <f>"9"</f>
        <v>9</v>
      </c>
      <c r="K1277" s="1" t="str">
        <f t="shared" ref="K1277:P1277" si="2496">"0"</f>
        <v>0</v>
      </c>
      <c r="L1277" s="1" t="str">
        <f t="shared" si="2496"/>
        <v>0</v>
      </c>
      <c r="M1277" s="1" t="str">
        <f t="shared" si="2496"/>
        <v>0</v>
      </c>
      <c r="N1277" s="1" t="str">
        <f t="shared" si="2496"/>
        <v>0</v>
      </c>
      <c r="O1277" s="1" t="str">
        <f t="shared" si="2496"/>
        <v>0</v>
      </c>
      <c r="P1277" s="1" t="str">
        <f t="shared" si="2496"/>
        <v>0</v>
      </c>
      <c r="Q1277" s="1" t="str">
        <f t="shared" si="2379"/>
        <v>0.0070</v>
      </c>
      <c r="R1277" s="1" t="s">
        <v>29</v>
      </c>
      <c r="S1277" s="1">
        <v>-0.0014</v>
      </c>
      <c r="T1277" s="1" t="str">
        <f t="shared" si="2380"/>
        <v>0</v>
      </c>
      <c r="U1277" s="1" t="str">
        <f t="shared" si="2494"/>
        <v>0.0056</v>
      </c>
    </row>
    <row r="1278" s="1" customFormat="1" spans="1:21">
      <c r="A1278" s="1" t="str">
        <f>"4601992014727"</f>
        <v>4601992014727</v>
      </c>
      <c r="B1278" s="1" t="s">
        <v>1302</v>
      </c>
      <c r="C1278" s="1" t="s">
        <v>24</v>
      </c>
      <c r="D1278" s="1" t="str">
        <f t="shared" si="2376"/>
        <v>2021</v>
      </c>
      <c r="E1278" s="1" t="str">
        <f>"50.47"</f>
        <v>50.47</v>
      </c>
      <c r="F1278" s="1" t="str">
        <f t="shared" ref="F1278:I1278" si="2497">"0"</f>
        <v>0</v>
      </c>
      <c r="G1278" s="1" t="str">
        <f t="shared" si="2497"/>
        <v>0</v>
      </c>
      <c r="H1278" s="1" t="str">
        <f t="shared" si="2497"/>
        <v>0</v>
      </c>
      <c r="I1278" s="1" t="str">
        <f t="shared" si="2497"/>
        <v>0</v>
      </c>
      <c r="J1278" s="1" t="str">
        <f t="shared" si="2490"/>
        <v>4</v>
      </c>
      <c r="K1278" s="1" t="str">
        <f t="shared" ref="K1278:P1278" si="2498">"0"</f>
        <v>0</v>
      </c>
      <c r="L1278" s="1" t="str">
        <f t="shared" si="2498"/>
        <v>0</v>
      </c>
      <c r="M1278" s="1" t="str">
        <f t="shared" si="2498"/>
        <v>0</v>
      </c>
      <c r="N1278" s="1" t="str">
        <f t="shared" si="2498"/>
        <v>0</v>
      </c>
      <c r="O1278" s="1" t="str">
        <f t="shared" si="2498"/>
        <v>0</v>
      </c>
      <c r="P1278" s="1" t="str">
        <f t="shared" si="2498"/>
        <v>0</v>
      </c>
      <c r="Q1278" s="1" t="str">
        <f t="shared" si="2379"/>
        <v>0.0070</v>
      </c>
      <c r="R1278" s="1" t="s">
        <v>29</v>
      </c>
      <c r="S1278" s="1">
        <v>-0.0014</v>
      </c>
      <c r="T1278" s="1" t="str">
        <f t="shared" si="2380"/>
        <v>0</v>
      </c>
      <c r="U1278" s="1" t="str">
        <f t="shared" si="2494"/>
        <v>0.0056</v>
      </c>
    </row>
    <row r="1279" s="1" customFormat="1" spans="1:21">
      <c r="A1279" s="1" t="str">
        <f>"4601992014745"</f>
        <v>4601992014745</v>
      </c>
      <c r="B1279" s="1" t="s">
        <v>1303</v>
      </c>
      <c r="C1279" s="1" t="s">
        <v>24</v>
      </c>
      <c r="D1279" s="1" t="str">
        <f t="shared" si="2376"/>
        <v>2021</v>
      </c>
      <c r="E1279" s="1" t="str">
        <f>"35.94"</f>
        <v>35.94</v>
      </c>
      <c r="F1279" s="1" t="str">
        <f t="shared" ref="F1279:I1279" si="2499">"0"</f>
        <v>0</v>
      </c>
      <c r="G1279" s="1" t="str">
        <f t="shared" si="2499"/>
        <v>0</v>
      </c>
      <c r="H1279" s="1" t="str">
        <f t="shared" si="2499"/>
        <v>0</v>
      </c>
      <c r="I1279" s="1" t="str">
        <f t="shared" si="2499"/>
        <v>0</v>
      </c>
      <c r="J1279" s="1" t="str">
        <f t="shared" si="2490"/>
        <v>4</v>
      </c>
      <c r="K1279" s="1" t="str">
        <f t="shared" ref="K1279:P1279" si="2500">"0"</f>
        <v>0</v>
      </c>
      <c r="L1279" s="1" t="str">
        <f t="shared" si="2500"/>
        <v>0</v>
      </c>
      <c r="M1279" s="1" t="str">
        <f t="shared" si="2500"/>
        <v>0</v>
      </c>
      <c r="N1279" s="1" t="str">
        <f t="shared" si="2500"/>
        <v>0</v>
      </c>
      <c r="O1279" s="1" t="str">
        <f t="shared" si="2500"/>
        <v>0</v>
      </c>
      <c r="P1279" s="1" t="str">
        <f t="shared" si="2500"/>
        <v>0</v>
      </c>
      <c r="Q1279" s="1" t="str">
        <f t="shared" si="2379"/>
        <v>0.0070</v>
      </c>
      <c r="R1279" s="1" t="s">
        <v>29</v>
      </c>
      <c r="S1279" s="1">
        <v>-0.0014</v>
      </c>
      <c r="T1279" s="1" t="str">
        <f t="shared" si="2380"/>
        <v>0</v>
      </c>
      <c r="U1279" s="1" t="str">
        <f t="shared" si="2494"/>
        <v>0.0056</v>
      </c>
    </row>
    <row r="1280" s="1" customFormat="1" spans="1:21">
      <c r="A1280" s="1" t="str">
        <f>"4601992014784"</f>
        <v>4601992014784</v>
      </c>
      <c r="B1280" s="1" t="s">
        <v>1304</v>
      </c>
      <c r="C1280" s="1" t="s">
        <v>24</v>
      </c>
      <c r="D1280" s="1" t="str">
        <f t="shared" si="2376"/>
        <v>2021</v>
      </c>
      <c r="E1280" s="1" t="str">
        <f t="shared" ref="E1280:P1280" si="2501">"0"</f>
        <v>0</v>
      </c>
      <c r="F1280" s="1" t="str">
        <f t="shared" si="2501"/>
        <v>0</v>
      </c>
      <c r="G1280" s="1" t="str">
        <f t="shared" si="2501"/>
        <v>0</v>
      </c>
      <c r="H1280" s="1" t="str">
        <f t="shared" si="2501"/>
        <v>0</v>
      </c>
      <c r="I1280" s="1" t="str">
        <f t="shared" si="2501"/>
        <v>0</v>
      </c>
      <c r="J1280" s="1" t="str">
        <f t="shared" si="2501"/>
        <v>0</v>
      </c>
      <c r="K1280" s="1" t="str">
        <f t="shared" si="2501"/>
        <v>0</v>
      </c>
      <c r="L1280" s="1" t="str">
        <f t="shared" si="2501"/>
        <v>0</v>
      </c>
      <c r="M1280" s="1" t="str">
        <f t="shared" si="2501"/>
        <v>0</v>
      </c>
      <c r="N1280" s="1" t="str">
        <f t="shared" si="2501"/>
        <v>0</v>
      </c>
      <c r="O1280" s="1" t="str">
        <f t="shared" si="2501"/>
        <v>0</v>
      </c>
      <c r="P1280" s="1" t="str">
        <f t="shared" si="2501"/>
        <v>0</v>
      </c>
      <c r="Q1280" s="1" t="str">
        <f t="shared" si="2379"/>
        <v>0.0070</v>
      </c>
      <c r="R1280" s="1" t="s">
        <v>25</v>
      </c>
      <c r="T1280" s="1" t="str">
        <f t="shared" si="2380"/>
        <v>0</v>
      </c>
      <c r="U1280" s="1" t="str">
        <f>"0.0070"</f>
        <v>0.0070</v>
      </c>
    </row>
    <row r="1281" s="1" customFormat="1" spans="1:21">
      <c r="A1281" s="1" t="str">
        <f>"4601992014782"</f>
        <v>4601992014782</v>
      </c>
      <c r="B1281" s="1" t="s">
        <v>1305</v>
      </c>
      <c r="C1281" s="1" t="s">
        <v>24</v>
      </c>
      <c r="D1281" s="1" t="str">
        <f t="shared" si="2376"/>
        <v>2021</v>
      </c>
      <c r="E1281" s="1" t="str">
        <f>"59.90"</f>
        <v>59.90</v>
      </c>
      <c r="F1281" s="1" t="str">
        <f t="shared" ref="F1281:I1281" si="2502">"0"</f>
        <v>0</v>
      </c>
      <c r="G1281" s="1" t="str">
        <f t="shared" si="2502"/>
        <v>0</v>
      </c>
      <c r="H1281" s="1" t="str">
        <f t="shared" si="2502"/>
        <v>0</v>
      </c>
      <c r="I1281" s="1" t="str">
        <f t="shared" si="2502"/>
        <v>0</v>
      </c>
      <c r="J1281" s="1" t="str">
        <f>"6"</f>
        <v>6</v>
      </c>
      <c r="K1281" s="1" t="str">
        <f t="shared" ref="K1281:P1281" si="2503">"0"</f>
        <v>0</v>
      </c>
      <c r="L1281" s="1" t="str">
        <f t="shared" si="2503"/>
        <v>0</v>
      </c>
      <c r="M1281" s="1" t="str">
        <f t="shared" si="2503"/>
        <v>0</v>
      </c>
      <c r="N1281" s="1" t="str">
        <f t="shared" si="2503"/>
        <v>0</v>
      </c>
      <c r="O1281" s="1" t="str">
        <f t="shared" si="2503"/>
        <v>0</v>
      </c>
      <c r="P1281" s="1" t="str">
        <f t="shared" si="2503"/>
        <v>0</v>
      </c>
      <c r="Q1281" s="1" t="str">
        <f t="shared" si="2379"/>
        <v>0.0070</v>
      </c>
      <c r="R1281" s="1" t="s">
        <v>29</v>
      </c>
      <c r="S1281" s="1">
        <v>-0.0014</v>
      </c>
      <c r="T1281" s="1" t="str">
        <f t="shared" si="2380"/>
        <v>0</v>
      </c>
      <c r="U1281" s="1" t="str">
        <f t="shared" ref="U1281:U1285" si="2504">"0.0056"</f>
        <v>0.0056</v>
      </c>
    </row>
    <row r="1282" s="1" customFormat="1" spans="1:21">
      <c r="A1282" s="1" t="str">
        <f>"4601992014814"</f>
        <v>4601992014814</v>
      </c>
      <c r="B1282" s="1" t="s">
        <v>1306</v>
      </c>
      <c r="C1282" s="1" t="s">
        <v>24</v>
      </c>
      <c r="D1282" s="1" t="str">
        <f t="shared" si="2376"/>
        <v>2021</v>
      </c>
      <c r="E1282" s="1" t="str">
        <f>"36.27"</f>
        <v>36.27</v>
      </c>
      <c r="F1282" s="1" t="str">
        <f t="shared" ref="F1282:I1282" si="2505">"0"</f>
        <v>0</v>
      </c>
      <c r="G1282" s="1" t="str">
        <f t="shared" si="2505"/>
        <v>0</v>
      </c>
      <c r="H1282" s="1" t="str">
        <f t="shared" si="2505"/>
        <v>0</v>
      </c>
      <c r="I1282" s="1" t="str">
        <f t="shared" si="2505"/>
        <v>0</v>
      </c>
      <c r="J1282" s="1" t="str">
        <f t="shared" ref="J1282:J1287" si="2506">"3"</f>
        <v>3</v>
      </c>
      <c r="K1282" s="1" t="str">
        <f t="shared" ref="K1282:P1282" si="2507">"0"</f>
        <v>0</v>
      </c>
      <c r="L1282" s="1" t="str">
        <f t="shared" si="2507"/>
        <v>0</v>
      </c>
      <c r="M1282" s="1" t="str">
        <f t="shared" si="2507"/>
        <v>0</v>
      </c>
      <c r="N1282" s="1" t="str">
        <f t="shared" si="2507"/>
        <v>0</v>
      </c>
      <c r="O1282" s="1" t="str">
        <f t="shared" si="2507"/>
        <v>0</v>
      </c>
      <c r="P1282" s="1" t="str">
        <f t="shared" si="2507"/>
        <v>0</v>
      </c>
      <c r="Q1282" s="1" t="str">
        <f t="shared" si="2379"/>
        <v>0.0070</v>
      </c>
      <c r="R1282" s="1" t="s">
        <v>29</v>
      </c>
      <c r="S1282" s="1">
        <v>-0.0014</v>
      </c>
      <c r="T1282" s="1" t="str">
        <f t="shared" si="2380"/>
        <v>0</v>
      </c>
      <c r="U1282" s="1" t="str">
        <f t="shared" si="2504"/>
        <v>0.0056</v>
      </c>
    </row>
    <row r="1283" s="1" customFormat="1" spans="1:21">
      <c r="A1283" s="1" t="str">
        <f>"4601992014849"</f>
        <v>4601992014849</v>
      </c>
      <c r="B1283" s="1" t="s">
        <v>1307</v>
      </c>
      <c r="C1283" s="1" t="s">
        <v>24</v>
      </c>
      <c r="D1283" s="1" t="str">
        <f t="shared" ref="D1283:D1346" si="2508">"2021"</f>
        <v>2021</v>
      </c>
      <c r="E1283" s="1" t="str">
        <f>"12.25"</f>
        <v>12.25</v>
      </c>
      <c r="F1283" s="1" t="str">
        <f t="shared" ref="F1283:I1283" si="2509">"0"</f>
        <v>0</v>
      </c>
      <c r="G1283" s="1" t="str">
        <f t="shared" si="2509"/>
        <v>0</v>
      </c>
      <c r="H1283" s="1" t="str">
        <f t="shared" si="2509"/>
        <v>0</v>
      </c>
      <c r="I1283" s="1" t="str">
        <f t="shared" si="2509"/>
        <v>0</v>
      </c>
      <c r="J1283" s="1" t="str">
        <f>"1"</f>
        <v>1</v>
      </c>
      <c r="K1283" s="1" t="str">
        <f t="shared" ref="K1283:P1283" si="2510">"0"</f>
        <v>0</v>
      </c>
      <c r="L1283" s="1" t="str">
        <f t="shared" si="2510"/>
        <v>0</v>
      </c>
      <c r="M1283" s="1" t="str">
        <f t="shared" si="2510"/>
        <v>0</v>
      </c>
      <c r="N1283" s="1" t="str">
        <f t="shared" si="2510"/>
        <v>0</v>
      </c>
      <c r="O1283" s="1" t="str">
        <f t="shared" si="2510"/>
        <v>0</v>
      </c>
      <c r="P1283" s="1" t="str">
        <f t="shared" si="2510"/>
        <v>0</v>
      </c>
      <c r="Q1283" s="1" t="str">
        <f t="shared" ref="Q1283:Q1346" si="2511">"0.0070"</f>
        <v>0.0070</v>
      </c>
      <c r="R1283" s="1" t="s">
        <v>25</v>
      </c>
      <c r="T1283" s="1" t="str">
        <f t="shared" ref="T1283:T1346" si="2512">"0"</f>
        <v>0</v>
      </c>
      <c r="U1283" s="1" t="str">
        <f t="shared" ref="U1283:U1288" si="2513">"0.0070"</f>
        <v>0.0070</v>
      </c>
    </row>
    <row r="1284" s="1" customFormat="1" spans="1:21">
      <c r="A1284" s="1" t="str">
        <f>"4601992014876"</f>
        <v>4601992014876</v>
      </c>
      <c r="B1284" s="1" t="s">
        <v>1308</v>
      </c>
      <c r="C1284" s="1" t="s">
        <v>24</v>
      </c>
      <c r="D1284" s="1" t="str">
        <f t="shared" si="2508"/>
        <v>2021</v>
      </c>
      <c r="E1284" s="1" t="str">
        <f>"12.09"</f>
        <v>12.09</v>
      </c>
      <c r="F1284" s="1" t="str">
        <f t="shared" ref="F1284:I1284" si="2514">"0"</f>
        <v>0</v>
      </c>
      <c r="G1284" s="1" t="str">
        <f t="shared" si="2514"/>
        <v>0</v>
      </c>
      <c r="H1284" s="1" t="str">
        <f t="shared" si="2514"/>
        <v>0</v>
      </c>
      <c r="I1284" s="1" t="str">
        <f t="shared" si="2514"/>
        <v>0</v>
      </c>
      <c r="J1284" s="1" t="str">
        <f>"1"</f>
        <v>1</v>
      </c>
      <c r="K1284" s="1" t="str">
        <f t="shared" ref="K1284:P1284" si="2515">"0"</f>
        <v>0</v>
      </c>
      <c r="L1284" s="1" t="str">
        <f t="shared" si="2515"/>
        <v>0</v>
      </c>
      <c r="M1284" s="1" t="str">
        <f t="shared" si="2515"/>
        <v>0</v>
      </c>
      <c r="N1284" s="1" t="str">
        <f t="shared" si="2515"/>
        <v>0</v>
      </c>
      <c r="O1284" s="1" t="str">
        <f t="shared" si="2515"/>
        <v>0</v>
      </c>
      <c r="P1284" s="1" t="str">
        <f t="shared" si="2515"/>
        <v>0</v>
      </c>
      <c r="Q1284" s="1" t="str">
        <f t="shared" si="2511"/>
        <v>0.0070</v>
      </c>
      <c r="R1284" s="1" t="s">
        <v>29</v>
      </c>
      <c r="S1284" s="1">
        <v>-0.0014</v>
      </c>
      <c r="T1284" s="1" t="str">
        <f t="shared" si="2512"/>
        <v>0</v>
      </c>
      <c r="U1284" s="1" t="str">
        <f t="shared" si="2504"/>
        <v>0.0056</v>
      </c>
    </row>
    <row r="1285" s="1" customFormat="1" spans="1:21">
      <c r="A1285" s="1" t="str">
        <f>"4601992014887"</f>
        <v>4601992014887</v>
      </c>
      <c r="B1285" s="1" t="s">
        <v>1309</v>
      </c>
      <c r="C1285" s="1" t="s">
        <v>24</v>
      </c>
      <c r="D1285" s="1" t="str">
        <f t="shared" si="2508"/>
        <v>2021</v>
      </c>
      <c r="E1285" s="1" t="str">
        <f>"24.18"</f>
        <v>24.18</v>
      </c>
      <c r="F1285" s="1" t="str">
        <f t="shared" ref="F1285:I1285" si="2516">"0"</f>
        <v>0</v>
      </c>
      <c r="G1285" s="1" t="str">
        <f t="shared" si="2516"/>
        <v>0</v>
      </c>
      <c r="H1285" s="1" t="str">
        <f t="shared" si="2516"/>
        <v>0</v>
      </c>
      <c r="I1285" s="1" t="str">
        <f t="shared" si="2516"/>
        <v>0</v>
      </c>
      <c r="J1285" s="1" t="str">
        <f t="shared" si="2506"/>
        <v>3</v>
      </c>
      <c r="K1285" s="1" t="str">
        <f t="shared" ref="K1285:P1285" si="2517">"0"</f>
        <v>0</v>
      </c>
      <c r="L1285" s="1" t="str">
        <f t="shared" si="2517"/>
        <v>0</v>
      </c>
      <c r="M1285" s="1" t="str">
        <f t="shared" si="2517"/>
        <v>0</v>
      </c>
      <c r="N1285" s="1" t="str">
        <f t="shared" si="2517"/>
        <v>0</v>
      </c>
      <c r="O1285" s="1" t="str">
        <f t="shared" si="2517"/>
        <v>0</v>
      </c>
      <c r="P1285" s="1" t="str">
        <f t="shared" si="2517"/>
        <v>0</v>
      </c>
      <c r="Q1285" s="1" t="str">
        <f t="shared" si="2511"/>
        <v>0.0070</v>
      </c>
      <c r="R1285" s="1" t="s">
        <v>29</v>
      </c>
      <c r="S1285" s="1">
        <v>-0.0014</v>
      </c>
      <c r="T1285" s="1" t="str">
        <f t="shared" si="2512"/>
        <v>0</v>
      </c>
      <c r="U1285" s="1" t="str">
        <f t="shared" si="2504"/>
        <v>0.0056</v>
      </c>
    </row>
    <row r="1286" s="1" customFormat="1" spans="1:21">
      <c r="A1286" s="1" t="str">
        <f>"4601992014785"</f>
        <v>4601992014785</v>
      </c>
      <c r="B1286" s="1" t="s">
        <v>1310</v>
      </c>
      <c r="C1286" s="1" t="s">
        <v>24</v>
      </c>
      <c r="D1286" s="1" t="str">
        <f t="shared" si="2508"/>
        <v>2021</v>
      </c>
      <c r="E1286" s="1" t="str">
        <f>"3888.05"</f>
        <v>3888.05</v>
      </c>
      <c r="F1286" s="1" t="str">
        <f>"7900.95"</f>
        <v>7900.95</v>
      </c>
      <c r="G1286" s="1" t="str">
        <f t="shared" ref="G1286:L1286" si="2518">"0"</f>
        <v>0</v>
      </c>
      <c r="H1286" s="1" t="str">
        <f t="shared" si="2518"/>
        <v>0</v>
      </c>
      <c r="I1286" s="1" t="str">
        <f>"2.0321"</f>
        <v>2.0321</v>
      </c>
      <c r="J1286" s="1" t="str">
        <f>"313"</f>
        <v>313</v>
      </c>
      <c r="K1286" s="1" t="str">
        <f>"1"</f>
        <v>1</v>
      </c>
      <c r="L1286" s="1" t="str">
        <f t="shared" si="2518"/>
        <v>0</v>
      </c>
      <c r="M1286" s="1" t="str">
        <f>"0.0032"</f>
        <v>0.0032</v>
      </c>
      <c r="N1286" s="1" t="str">
        <f t="shared" ref="N1286:P1286" si="2519">"0"</f>
        <v>0</v>
      </c>
      <c r="O1286" s="1" t="str">
        <f t="shared" si="2519"/>
        <v>0</v>
      </c>
      <c r="P1286" s="1" t="str">
        <f t="shared" si="2519"/>
        <v>0</v>
      </c>
      <c r="Q1286" s="1" t="str">
        <f t="shared" si="2511"/>
        <v>0.0070</v>
      </c>
      <c r="R1286" s="1" t="s">
        <v>25</v>
      </c>
      <c r="T1286" s="1" t="str">
        <f t="shared" si="2512"/>
        <v>0</v>
      </c>
      <c r="U1286" s="1" t="str">
        <f t="shared" si="2513"/>
        <v>0.0070</v>
      </c>
    </row>
    <row r="1287" s="1" customFormat="1" spans="1:21">
      <c r="A1287" s="1" t="str">
        <f>"4601992014895"</f>
        <v>4601992014895</v>
      </c>
      <c r="B1287" s="1" t="s">
        <v>1311</v>
      </c>
      <c r="C1287" s="1" t="s">
        <v>24</v>
      </c>
      <c r="D1287" s="1" t="str">
        <f t="shared" si="2508"/>
        <v>2021</v>
      </c>
      <c r="E1287" s="1" t="str">
        <f>"36.27"</f>
        <v>36.27</v>
      </c>
      <c r="F1287" s="1" t="str">
        <f t="shared" ref="F1287:I1287" si="2520">"0"</f>
        <v>0</v>
      </c>
      <c r="G1287" s="1" t="str">
        <f t="shared" si="2520"/>
        <v>0</v>
      </c>
      <c r="H1287" s="1" t="str">
        <f t="shared" si="2520"/>
        <v>0</v>
      </c>
      <c r="I1287" s="1" t="str">
        <f t="shared" si="2520"/>
        <v>0</v>
      </c>
      <c r="J1287" s="1" t="str">
        <f t="shared" si="2506"/>
        <v>3</v>
      </c>
      <c r="K1287" s="1" t="str">
        <f t="shared" ref="K1287:P1287" si="2521">"0"</f>
        <v>0</v>
      </c>
      <c r="L1287" s="1" t="str">
        <f t="shared" si="2521"/>
        <v>0</v>
      </c>
      <c r="M1287" s="1" t="str">
        <f t="shared" si="2521"/>
        <v>0</v>
      </c>
      <c r="N1287" s="1" t="str">
        <f t="shared" si="2521"/>
        <v>0</v>
      </c>
      <c r="O1287" s="1" t="str">
        <f t="shared" si="2521"/>
        <v>0</v>
      </c>
      <c r="P1287" s="1" t="str">
        <f t="shared" si="2521"/>
        <v>0</v>
      </c>
      <c r="Q1287" s="1" t="str">
        <f t="shared" si="2511"/>
        <v>0.0070</v>
      </c>
      <c r="R1287" s="1" t="s">
        <v>29</v>
      </c>
      <c r="S1287" s="1">
        <v>-0.0014</v>
      </c>
      <c r="T1287" s="1" t="str">
        <f t="shared" si="2512"/>
        <v>0</v>
      </c>
      <c r="U1287" s="1" t="str">
        <f t="shared" ref="U1287:U1293" si="2522">"0.0056"</f>
        <v>0.0056</v>
      </c>
    </row>
    <row r="1288" s="1" customFormat="1" spans="1:21">
      <c r="A1288" s="1" t="str">
        <f>"4601992014905"</f>
        <v>4601992014905</v>
      </c>
      <c r="B1288" s="1" t="s">
        <v>1312</v>
      </c>
      <c r="C1288" s="1" t="s">
        <v>24</v>
      </c>
      <c r="D1288" s="1" t="str">
        <f t="shared" si="2508"/>
        <v>2021</v>
      </c>
      <c r="E1288" s="1" t="str">
        <f t="shared" ref="E1288:G1288" si="2523">"0"</f>
        <v>0</v>
      </c>
      <c r="F1288" s="1" t="str">
        <f t="shared" si="2523"/>
        <v>0</v>
      </c>
      <c r="G1288" s="1" t="str">
        <f t="shared" si="2523"/>
        <v>0</v>
      </c>
      <c r="H1288" s="1" t="str">
        <f>"12.25"</f>
        <v>12.25</v>
      </c>
      <c r="I1288" s="1" t="str">
        <f t="shared" ref="I1288:P1288" si="2524">"0"</f>
        <v>0</v>
      </c>
      <c r="J1288" s="1" t="str">
        <f t="shared" si="2524"/>
        <v>0</v>
      </c>
      <c r="K1288" s="1" t="str">
        <f t="shared" si="2524"/>
        <v>0</v>
      </c>
      <c r="L1288" s="1" t="str">
        <f t="shared" si="2524"/>
        <v>0</v>
      </c>
      <c r="M1288" s="1" t="str">
        <f t="shared" si="2524"/>
        <v>0</v>
      </c>
      <c r="N1288" s="1" t="str">
        <f t="shared" si="2524"/>
        <v>0</v>
      </c>
      <c r="O1288" s="1" t="str">
        <f t="shared" si="2524"/>
        <v>0</v>
      </c>
      <c r="P1288" s="1" t="str">
        <f t="shared" si="2524"/>
        <v>0</v>
      </c>
      <c r="Q1288" s="1" t="str">
        <f t="shared" si="2511"/>
        <v>0.0070</v>
      </c>
      <c r="R1288" s="1" t="s">
        <v>25</v>
      </c>
      <c r="T1288" s="1" t="str">
        <f t="shared" si="2512"/>
        <v>0</v>
      </c>
      <c r="U1288" s="1" t="str">
        <f t="shared" si="2513"/>
        <v>0.0070</v>
      </c>
    </row>
    <row r="1289" s="1" customFormat="1" spans="1:21">
      <c r="A1289" s="1" t="str">
        <f>"4601992014909"</f>
        <v>4601992014909</v>
      </c>
      <c r="B1289" s="1" t="s">
        <v>1313</v>
      </c>
      <c r="C1289" s="1" t="s">
        <v>24</v>
      </c>
      <c r="D1289" s="1" t="str">
        <f t="shared" si="2508"/>
        <v>2021</v>
      </c>
      <c r="E1289" s="1" t="str">
        <f>"24.18"</f>
        <v>24.18</v>
      </c>
      <c r="F1289" s="1" t="str">
        <f t="shared" ref="F1289:I1289" si="2525">"0"</f>
        <v>0</v>
      </c>
      <c r="G1289" s="1" t="str">
        <f t="shared" si="2525"/>
        <v>0</v>
      </c>
      <c r="H1289" s="1" t="str">
        <f t="shared" si="2525"/>
        <v>0</v>
      </c>
      <c r="I1289" s="1" t="str">
        <f t="shared" si="2525"/>
        <v>0</v>
      </c>
      <c r="J1289" s="1" t="str">
        <f>"2"</f>
        <v>2</v>
      </c>
      <c r="K1289" s="1" t="str">
        <f t="shared" ref="K1289:P1289" si="2526">"0"</f>
        <v>0</v>
      </c>
      <c r="L1289" s="1" t="str">
        <f t="shared" si="2526"/>
        <v>0</v>
      </c>
      <c r="M1289" s="1" t="str">
        <f t="shared" si="2526"/>
        <v>0</v>
      </c>
      <c r="N1289" s="1" t="str">
        <f t="shared" si="2526"/>
        <v>0</v>
      </c>
      <c r="O1289" s="1" t="str">
        <f t="shared" si="2526"/>
        <v>0</v>
      </c>
      <c r="P1289" s="1" t="str">
        <f t="shared" si="2526"/>
        <v>0</v>
      </c>
      <c r="Q1289" s="1" t="str">
        <f t="shared" si="2511"/>
        <v>0.0070</v>
      </c>
      <c r="R1289" s="1" t="s">
        <v>29</v>
      </c>
      <c r="S1289" s="1">
        <v>-0.0014</v>
      </c>
      <c r="T1289" s="1" t="str">
        <f t="shared" si="2512"/>
        <v>0</v>
      </c>
      <c r="U1289" s="1" t="str">
        <f t="shared" si="2522"/>
        <v>0.0056</v>
      </c>
    </row>
    <row r="1290" s="1" customFormat="1" spans="1:21">
      <c r="A1290" s="1" t="str">
        <f>"4601992014904"</f>
        <v>4601992014904</v>
      </c>
      <c r="B1290" s="1" t="s">
        <v>1314</v>
      </c>
      <c r="C1290" s="1" t="s">
        <v>24</v>
      </c>
      <c r="D1290" s="1" t="str">
        <f t="shared" si="2508"/>
        <v>2021</v>
      </c>
      <c r="E1290" s="1" t="str">
        <f>"760.00"</f>
        <v>760.00</v>
      </c>
      <c r="F1290" s="1" t="str">
        <f t="shared" ref="F1290:I1290" si="2527">"0"</f>
        <v>0</v>
      </c>
      <c r="G1290" s="1" t="str">
        <f t="shared" si="2527"/>
        <v>0</v>
      </c>
      <c r="H1290" s="1" t="str">
        <f t="shared" si="2527"/>
        <v>0</v>
      </c>
      <c r="I1290" s="1" t="str">
        <f t="shared" si="2527"/>
        <v>0</v>
      </c>
      <c r="J1290" s="1" t="str">
        <f>"62"</f>
        <v>62</v>
      </c>
      <c r="K1290" s="1" t="str">
        <f t="shared" ref="K1290:P1290" si="2528">"0"</f>
        <v>0</v>
      </c>
      <c r="L1290" s="1" t="str">
        <f t="shared" si="2528"/>
        <v>0</v>
      </c>
      <c r="M1290" s="1" t="str">
        <f t="shared" si="2528"/>
        <v>0</v>
      </c>
      <c r="N1290" s="1" t="str">
        <f t="shared" si="2528"/>
        <v>0</v>
      </c>
      <c r="O1290" s="1" t="str">
        <f t="shared" si="2528"/>
        <v>0</v>
      </c>
      <c r="P1290" s="1" t="str">
        <f t="shared" si="2528"/>
        <v>0</v>
      </c>
      <c r="Q1290" s="1" t="str">
        <f t="shared" si="2511"/>
        <v>0.0070</v>
      </c>
      <c r="R1290" s="1" t="s">
        <v>29</v>
      </c>
      <c r="S1290" s="1">
        <v>-0.0014</v>
      </c>
      <c r="T1290" s="1" t="str">
        <f t="shared" si="2512"/>
        <v>0</v>
      </c>
      <c r="U1290" s="1" t="str">
        <f t="shared" si="2522"/>
        <v>0.0056</v>
      </c>
    </row>
    <row r="1291" s="1" customFormat="1" spans="1:21">
      <c r="A1291" s="1" t="str">
        <f>"4601992014923"</f>
        <v>4601992014923</v>
      </c>
      <c r="B1291" s="1" t="s">
        <v>1315</v>
      </c>
      <c r="C1291" s="1" t="s">
        <v>24</v>
      </c>
      <c r="D1291" s="1" t="str">
        <f t="shared" si="2508"/>
        <v>2021</v>
      </c>
      <c r="E1291" s="1" t="str">
        <f>"23.96"</f>
        <v>23.96</v>
      </c>
      <c r="F1291" s="1" t="str">
        <f t="shared" ref="F1291:I1291" si="2529">"0"</f>
        <v>0</v>
      </c>
      <c r="G1291" s="1" t="str">
        <f t="shared" si="2529"/>
        <v>0</v>
      </c>
      <c r="H1291" s="1" t="str">
        <f t="shared" si="2529"/>
        <v>0</v>
      </c>
      <c r="I1291" s="1" t="str">
        <f t="shared" si="2529"/>
        <v>0</v>
      </c>
      <c r="J1291" s="1" t="str">
        <f>"1"</f>
        <v>1</v>
      </c>
      <c r="K1291" s="1" t="str">
        <f t="shared" ref="K1291:P1291" si="2530">"0"</f>
        <v>0</v>
      </c>
      <c r="L1291" s="1" t="str">
        <f t="shared" si="2530"/>
        <v>0</v>
      </c>
      <c r="M1291" s="1" t="str">
        <f t="shared" si="2530"/>
        <v>0</v>
      </c>
      <c r="N1291" s="1" t="str">
        <f t="shared" si="2530"/>
        <v>0</v>
      </c>
      <c r="O1291" s="1" t="str">
        <f t="shared" si="2530"/>
        <v>0</v>
      </c>
      <c r="P1291" s="1" t="str">
        <f t="shared" si="2530"/>
        <v>0</v>
      </c>
      <c r="Q1291" s="1" t="str">
        <f t="shared" si="2511"/>
        <v>0.0070</v>
      </c>
      <c r="R1291" s="1" t="s">
        <v>29</v>
      </c>
      <c r="S1291" s="1">
        <v>-0.0014</v>
      </c>
      <c r="T1291" s="1" t="str">
        <f t="shared" si="2512"/>
        <v>0</v>
      </c>
      <c r="U1291" s="1" t="str">
        <f t="shared" si="2522"/>
        <v>0.0056</v>
      </c>
    </row>
    <row r="1292" s="1" customFormat="1" spans="1:21">
      <c r="A1292" s="1" t="str">
        <f>"4601992014933"</f>
        <v>4601992014933</v>
      </c>
      <c r="B1292" s="1" t="s">
        <v>1316</v>
      </c>
      <c r="C1292" s="1" t="s">
        <v>24</v>
      </c>
      <c r="D1292" s="1" t="str">
        <f t="shared" si="2508"/>
        <v>2021</v>
      </c>
      <c r="E1292" s="1" t="str">
        <f>"29.59"</f>
        <v>29.59</v>
      </c>
      <c r="F1292" s="1" t="str">
        <f t="shared" ref="F1292:I1292" si="2531">"0"</f>
        <v>0</v>
      </c>
      <c r="G1292" s="1" t="str">
        <f t="shared" si="2531"/>
        <v>0</v>
      </c>
      <c r="H1292" s="1" t="str">
        <f t="shared" si="2531"/>
        <v>0</v>
      </c>
      <c r="I1292" s="1" t="str">
        <f t="shared" si="2531"/>
        <v>0</v>
      </c>
      <c r="J1292" s="1" t="str">
        <f>"2"</f>
        <v>2</v>
      </c>
      <c r="K1292" s="1" t="str">
        <f t="shared" ref="K1292:P1292" si="2532">"0"</f>
        <v>0</v>
      </c>
      <c r="L1292" s="1" t="str">
        <f t="shared" si="2532"/>
        <v>0</v>
      </c>
      <c r="M1292" s="1" t="str">
        <f t="shared" si="2532"/>
        <v>0</v>
      </c>
      <c r="N1292" s="1" t="str">
        <f t="shared" si="2532"/>
        <v>0</v>
      </c>
      <c r="O1292" s="1" t="str">
        <f t="shared" si="2532"/>
        <v>0</v>
      </c>
      <c r="P1292" s="1" t="str">
        <f t="shared" si="2532"/>
        <v>0</v>
      </c>
      <c r="Q1292" s="1" t="str">
        <f t="shared" si="2511"/>
        <v>0.0070</v>
      </c>
      <c r="R1292" s="1" t="s">
        <v>29</v>
      </c>
      <c r="S1292" s="1">
        <v>-0.0014</v>
      </c>
      <c r="T1292" s="1" t="str">
        <f t="shared" si="2512"/>
        <v>0</v>
      </c>
      <c r="U1292" s="1" t="str">
        <f t="shared" si="2522"/>
        <v>0.0056</v>
      </c>
    </row>
    <row r="1293" s="1" customFormat="1" spans="1:21">
      <c r="A1293" s="1" t="str">
        <f>"4601992014943"</f>
        <v>4601992014943</v>
      </c>
      <c r="B1293" s="1" t="s">
        <v>1317</v>
      </c>
      <c r="C1293" s="1" t="s">
        <v>24</v>
      </c>
      <c r="D1293" s="1" t="str">
        <f t="shared" si="2508"/>
        <v>2021</v>
      </c>
      <c r="E1293" s="1" t="str">
        <f>"12.09"</f>
        <v>12.09</v>
      </c>
      <c r="F1293" s="1" t="str">
        <f t="shared" ref="F1293:I1293" si="2533">"0"</f>
        <v>0</v>
      </c>
      <c r="G1293" s="1" t="str">
        <f t="shared" si="2533"/>
        <v>0</v>
      </c>
      <c r="H1293" s="1" t="str">
        <f t="shared" si="2533"/>
        <v>0</v>
      </c>
      <c r="I1293" s="1" t="str">
        <f t="shared" si="2533"/>
        <v>0</v>
      </c>
      <c r="J1293" s="1" t="str">
        <f>"1"</f>
        <v>1</v>
      </c>
      <c r="K1293" s="1" t="str">
        <f t="shared" ref="K1293:P1293" si="2534">"0"</f>
        <v>0</v>
      </c>
      <c r="L1293" s="1" t="str">
        <f t="shared" si="2534"/>
        <v>0</v>
      </c>
      <c r="M1293" s="1" t="str">
        <f t="shared" si="2534"/>
        <v>0</v>
      </c>
      <c r="N1293" s="1" t="str">
        <f t="shared" si="2534"/>
        <v>0</v>
      </c>
      <c r="O1293" s="1" t="str">
        <f t="shared" si="2534"/>
        <v>0</v>
      </c>
      <c r="P1293" s="1" t="str">
        <f t="shared" si="2534"/>
        <v>0</v>
      </c>
      <c r="Q1293" s="1" t="str">
        <f t="shared" si="2511"/>
        <v>0.0070</v>
      </c>
      <c r="R1293" s="1" t="s">
        <v>29</v>
      </c>
      <c r="S1293" s="1">
        <v>-0.0014</v>
      </c>
      <c r="T1293" s="1" t="str">
        <f t="shared" si="2512"/>
        <v>0</v>
      </c>
      <c r="U1293" s="1" t="str">
        <f t="shared" si="2522"/>
        <v>0.0056</v>
      </c>
    </row>
    <row r="1294" s="1" customFormat="1" spans="1:21">
      <c r="A1294" s="1" t="str">
        <f>"4601992014947"</f>
        <v>4601992014947</v>
      </c>
      <c r="B1294" s="1" t="s">
        <v>1318</v>
      </c>
      <c r="C1294" s="1" t="s">
        <v>24</v>
      </c>
      <c r="D1294" s="1" t="str">
        <f t="shared" si="2508"/>
        <v>2021</v>
      </c>
      <c r="E1294" s="1" t="str">
        <f t="shared" ref="E1294:P1294" si="2535">"0"</f>
        <v>0</v>
      </c>
      <c r="F1294" s="1" t="str">
        <f t="shared" si="2535"/>
        <v>0</v>
      </c>
      <c r="G1294" s="1" t="str">
        <f t="shared" si="2535"/>
        <v>0</v>
      </c>
      <c r="H1294" s="1" t="str">
        <f t="shared" si="2535"/>
        <v>0</v>
      </c>
      <c r="I1294" s="1" t="str">
        <f t="shared" si="2535"/>
        <v>0</v>
      </c>
      <c r="J1294" s="1" t="str">
        <f t="shared" si="2535"/>
        <v>0</v>
      </c>
      <c r="K1294" s="1" t="str">
        <f t="shared" si="2535"/>
        <v>0</v>
      </c>
      <c r="L1294" s="1" t="str">
        <f t="shared" si="2535"/>
        <v>0</v>
      </c>
      <c r="M1294" s="1" t="str">
        <f t="shared" si="2535"/>
        <v>0</v>
      </c>
      <c r="N1294" s="1" t="str">
        <f t="shared" si="2535"/>
        <v>0</v>
      </c>
      <c r="O1294" s="1" t="str">
        <f t="shared" si="2535"/>
        <v>0</v>
      </c>
      <c r="P1294" s="1" t="str">
        <f t="shared" si="2535"/>
        <v>0</v>
      </c>
      <c r="Q1294" s="1" t="str">
        <f t="shared" si="2511"/>
        <v>0.0070</v>
      </c>
      <c r="R1294" s="1" t="s">
        <v>25</v>
      </c>
      <c r="T1294" s="1" t="str">
        <f t="shared" si="2512"/>
        <v>0</v>
      </c>
      <c r="U1294" s="1" t="str">
        <f t="shared" ref="U1294:U1297" si="2536">"0.0070"</f>
        <v>0.0070</v>
      </c>
    </row>
    <row r="1295" s="1" customFormat="1" spans="1:21">
      <c r="A1295" s="1" t="str">
        <f>"4601992014979"</f>
        <v>4601992014979</v>
      </c>
      <c r="B1295" s="1" t="s">
        <v>1319</v>
      </c>
      <c r="C1295" s="1" t="s">
        <v>24</v>
      </c>
      <c r="D1295" s="1" t="str">
        <f t="shared" si="2508"/>
        <v>2021</v>
      </c>
      <c r="E1295" s="1" t="str">
        <f t="shared" ref="E1295:P1295" si="2537">"0"</f>
        <v>0</v>
      </c>
      <c r="F1295" s="1" t="str">
        <f t="shared" si="2537"/>
        <v>0</v>
      </c>
      <c r="G1295" s="1" t="str">
        <f t="shared" si="2537"/>
        <v>0</v>
      </c>
      <c r="H1295" s="1" t="str">
        <f t="shared" si="2537"/>
        <v>0</v>
      </c>
      <c r="I1295" s="1" t="str">
        <f t="shared" si="2537"/>
        <v>0</v>
      </c>
      <c r="J1295" s="1" t="str">
        <f t="shared" si="2537"/>
        <v>0</v>
      </c>
      <c r="K1295" s="1" t="str">
        <f t="shared" si="2537"/>
        <v>0</v>
      </c>
      <c r="L1295" s="1" t="str">
        <f t="shared" si="2537"/>
        <v>0</v>
      </c>
      <c r="M1295" s="1" t="str">
        <f t="shared" si="2537"/>
        <v>0</v>
      </c>
      <c r="N1295" s="1" t="str">
        <f t="shared" si="2537"/>
        <v>0</v>
      </c>
      <c r="O1295" s="1" t="str">
        <f t="shared" si="2537"/>
        <v>0</v>
      </c>
      <c r="P1295" s="1" t="str">
        <f t="shared" si="2537"/>
        <v>0</v>
      </c>
      <c r="Q1295" s="1" t="str">
        <f t="shared" si="2511"/>
        <v>0.0070</v>
      </c>
      <c r="R1295" s="1" t="s">
        <v>25</v>
      </c>
      <c r="T1295" s="1" t="str">
        <f t="shared" si="2512"/>
        <v>0</v>
      </c>
      <c r="U1295" s="1" t="str">
        <f t="shared" si="2536"/>
        <v>0.0070</v>
      </c>
    </row>
    <row r="1296" s="1" customFormat="1" spans="1:21">
      <c r="A1296" s="1" t="str">
        <f>"4601992014975"</f>
        <v>4601992014975</v>
      </c>
      <c r="B1296" s="1" t="s">
        <v>1320</v>
      </c>
      <c r="C1296" s="1" t="s">
        <v>24</v>
      </c>
      <c r="D1296" s="1" t="str">
        <f t="shared" si="2508"/>
        <v>2021</v>
      </c>
      <c r="E1296" s="1" t="str">
        <f>"60.45"</f>
        <v>60.45</v>
      </c>
      <c r="F1296" s="1" t="str">
        <f t="shared" ref="F1296:I1296" si="2538">"0"</f>
        <v>0</v>
      </c>
      <c r="G1296" s="1" t="str">
        <f t="shared" si="2538"/>
        <v>0</v>
      </c>
      <c r="H1296" s="1" t="str">
        <f t="shared" si="2538"/>
        <v>0</v>
      </c>
      <c r="I1296" s="1" t="str">
        <f t="shared" si="2538"/>
        <v>0</v>
      </c>
      <c r="J1296" s="1" t="str">
        <f>"5"</f>
        <v>5</v>
      </c>
      <c r="K1296" s="1" t="str">
        <f t="shared" ref="K1296:P1296" si="2539">"0"</f>
        <v>0</v>
      </c>
      <c r="L1296" s="1" t="str">
        <f t="shared" si="2539"/>
        <v>0</v>
      </c>
      <c r="M1296" s="1" t="str">
        <f t="shared" si="2539"/>
        <v>0</v>
      </c>
      <c r="N1296" s="1" t="str">
        <f t="shared" si="2539"/>
        <v>0</v>
      </c>
      <c r="O1296" s="1" t="str">
        <f t="shared" si="2539"/>
        <v>0</v>
      </c>
      <c r="P1296" s="1" t="str">
        <f t="shared" si="2539"/>
        <v>0</v>
      </c>
      <c r="Q1296" s="1" t="str">
        <f t="shared" si="2511"/>
        <v>0.0070</v>
      </c>
      <c r="R1296" s="1" t="s">
        <v>29</v>
      </c>
      <c r="S1296" s="1">
        <v>-0.0014</v>
      </c>
      <c r="T1296" s="1" t="str">
        <f t="shared" si="2512"/>
        <v>0</v>
      </c>
      <c r="U1296" s="1" t="str">
        <f t="shared" ref="U1296:U1300" si="2540">"0.0056"</f>
        <v>0.0056</v>
      </c>
    </row>
    <row r="1297" s="1" customFormat="1" spans="1:21">
      <c r="A1297" s="1" t="str">
        <f>"4601992014986"</f>
        <v>4601992014986</v>
      </c>
      <c r="B1297" s="1" t="s">
        <v>1321</v>
      </c>
      <c r="C1297" s="1" t="s">
        <v>24</v>
      </c>
      <c r="D1297" s="1" t="str">
        <f t="shared" si="2508"/>
        <v>2021</v>
      </c>
      <c r="E1297" s="1" t="str">
        <f t="shared" ref="E1297:P1297" si="2541">"0"</f>
        <v>0</v>
      </c>
      <c r="F1297" s="1" t="str">
        <f t="shared" si="2541"/>
        <v>0</v>
      </c>
      <c r="G1297" s="1" t="str">
        <f t="shared" si="2541"/>
        <v>0</v>
      </c>
      <c r="H1297" s="1" t="str">
        <f t="shared" si="2541"/>
        <v>0</v>
      </c>
      <c r="I1297" s="1" t="str">
        <f t="shared" si="2541"/>
        <v>0</v>
      </c>
      <c r="J1297" s="1" t="str">
        <f t="shared" si="2541"/>
        <v>0</v>
      </c>
      <c r="K1297" s="1" t="str">
        <f t="shared" si="2541"/>
        <v>0</v>
      </c>
      <c r="L1297" s="1" t="str">
        <f t="shared" si="2541"/>
        <v>0</v>
      </c>
      <c r="M1297" s="1" t="str">
        <f t="shared" si="2541"/>
        <v>0</v>
      </c>
      <c r="N1297" s="1" t="str">
        <f t="shared" si="2541"/>
        <v>0</v>
      </c>
      <c r="O1297" s="1" t="str">
        <f t="shared" si="2541"/>
        <v>0</v>
      </c>
      <c r="P1297" s="1" t="str">
        <f t="shared" si="2541"/>
        <v>0</v>
      </c>
      <c r="Q1297" s="1" t="str">
        <f t="shared" si="2511"/>
        <v>0.0070</v>
      </c>
      <c r="R1297" s="1" t="s">
        <v>25</v>
      </c>
      <c r="T1297" s="1" t="str">
        <f t="shared" si="2512"/>
        <v>0</v>
      </c>
      <c r="U1297" s="1" t="str">
        <f t="shared" si="2536"/>
        <v>0.0070</v>
      </c>
    </row>
    <row r="1298" s="1" customFormat="1" spans="1:21">
      <c r="A1298" s="1" t="str">
        <f>"4601992014987"</f>
        <v>4601992014987</v>
      </c>
      <c r="B1298" s="1" t="s">
        <v>1322</v>
      </c>
      <c r="C1298" s="1" t="s">
        <v>24</v>
      </c>
      <c r="D1298" s="1" t="str">
        <f t="shared" si="2508"/>
        <v>2021</v>
      </c>
      <c r="E1298" s="1" t="str">
        <f>"36.27"</f>
        <v>36.27</v>
      </c>
      <c r="F1298" s="1" t="str">
        <f t="shared" ref="F1298:I1298" si="2542">"0"</f>
        <v>0</v>
      </c>
      <c r="G1298" s="1" t="str">
        <f t="shared" si="2542"/>
        <v>0</v>
      </c>
      <c r="H1298" s="1" t="str">
        <f t="shared" si="2542"/>
        <v>0</v>
      </c>
      <c r="I1298" s="1" t="str">
        <f t="shared" si="2542"/>
        <v>0</v>
      </c>
      <c r="J1298" s="1" t="str">
        <f>"3"</f>
        <v>3</v>
      </c>
      <c r="K1298" s="1" t="str">
        <f t="shared" ref="K1298:P1298" si="2543">"0"</f>
        <v>0</v>
      </c>
      <c r="L1298" s="1" t="str">
        <f t="shared" si="2543"/>
        <v>0</v>
      </c>
      <c r="M1298" s="1" t="str">
        <f t="shared" si="2543"/>
        <v>0</v>
      </c>
      <c r="N1298" s="1" t="str">
        <f t="shared" si="2543"/>
        <v>0</v>
      </c>
      <c r="O1298" s="1" t="str">
        <f t="shared" si="2543"/>
        <v>0</v>
      </c>
      <c r="P1298" s="1" t="str">
        <f t="shared" si="2543"/>
        <v>0</v>
      </c>
      <c r="Q1298" s="1" t="str">
        <f t="shared" si="2511"/>
        <v>0.0070</v>
      </c>
      <c r="R1298" s="1" t="s">
        <v>29</v>
      </c>
      <c r="S1298" s="1">
        <v>-0.0014</v>
      </c>
      <c r="T1298" s="1" t="str">
        <f t="shared" si="2512"/>
        <v>0</v>
      </c>
      <c r="U1298" s="1" t="str">
        <f t="shared" si="2540"/>
        <v>0.0056</v>
      </c>
    </row>
    <row r="1299" s="1" customFormat="1" spans="1:21">
      <c r="A1299" s="1" t="str">
        <f>"4601992014989"</f>
        <v>4601992014989</v>
      </c>
      <c r="B1299" s="1" t="s">
        <v>1323</v>
      </c>
      <c r="C1299" s="1" t="s">
        <v>24</v>
      </c>
      <c r="D1299" s="1" t="str">
        <f t="shared" si="2508"/>
        <v>2021</v>
      </c>
      <c r="E1299" s="1" t="str">
        <f>"72.57"</f>
        <v>72.57</v>
      </c>
      <c r="F1299" s="1" t="str">
        <f t="shared" ref="F1299:I1299" si="2544">"0"</f>
        <v>0</v>
      </c>
      <c r="G1299" s="1" t="str">
        <f t="shared" si="2544"/>
        <v>0</v>
      </c>
      <c r="H1299" s="1" t="str">
        <f t="shared" si="2544"/>
        <v>0</v>
      </c>
      <c r="I1299" s="1" t="str">
        <f t="shared" si="2544"/>
        <v>0</v>
      </c>
      <c r="J1299" s="1" t="str">
        <f>"5"</f>
        <v>5</v>
      </c>
      <c r="K1299" s="1" t="str">
        <f t="shared" ref="K1299:P1299" si="2545">"0"</f>
        <v>0</v>
      </c>
      <c r="L1299" s="1" t="str">
        <f t="shared" si="2545"/>
        <v>0</v>
      </c>
      <c r="M1299" s="1" t="str">
        <f t="shared" si="2545"/>
        <v>0</v>
      </c>
      <c r="N1299" s="1" t="str">
        <f t="shared" si="2545"/>
        <v>0</v>
      </c>
      <c r="O1299" s="1" t="str">
        <f t="shared" si="2545"/>
        <v>0</v>
      </c>
      <c r="P1299" s="1" t="str">
        <f t="shared" si="2545"/>
        <v>0</v>
      </c>
      <c r="Q1299" s="1" t="str">
        <f t="shared" si="2511"/>
        <v>0.0070</v>
      </c>
      <c r="R1299" s="1" t="s">
        <v>29</v>
      </c>
      <c r="S1299" s="1">
        <v>-0.0014</v>
      </c>
      <c r="T1299" s="1" t="str">
        <f t="shared" si="2512"/>
        <v>0</v>
      </c>
      <c r="U1299" s="1" t="str">
        <f t="shared" si="2540"/>
        <v>0.0056</v>
      </c>
    </row>
    <row r="1300" s="1" customFormat="1" spans="1:21">
      <c r="A1300" s="1" t="str">
        <f>"4601992015020"</f>
        <v>4601992015020</v>
      </c>
      <c r="B1300" s="1" t="s">
        <v>1324</v>
      </c>
      <c r="C1300" s="1" t="s">
        <v>24</v>
      </c>
      <c r="D1300" s="1" t="str">
        <f t="shared" si="2508"/>
        <v>2021</v>
      </c>
      <c r="E1300" s="1" t="str">
        <f>"36.27"</f>
        <v>36.27</v>
      </c>
      <c r="F1300" s="1" t="str">
        <f t="shared" ref="F1300:I1300" si="2546">"0"</f>
        <v>0</v>
      </c>
      <c r="G1300" s="1" t="str">
        <f t="shared" si="2546"/>
        <v>0</v>
      </c>
      <c r="H1300" s="1" t="str">
        <f t="shared" si="2546"/>
        <v>0</v>
      </c>
      <c r="I1300" s="1" t="str">
        <f t="shared" si="2546"/>
        <v>0</v>
      </c>
      <c r="J1300" s="1" t="str">
        <f>"3"</f>
        <v>3</v>
      </c>
      <c r="K1300" s="1" t="str">
        <f t="shared" ref="K1300:P1300" si="2547">"0"</f>
        <v>0</v>
      </c>
      <c r="L1300" s="1" t="str">
        <f t="shared" si="2547"/>
        <v>0</v>
      </c>
      <c r="M1300" s="1" t="str">
        <f t="shared" si="2547"/>
        <v>0</v>
      </c>
      <c r="N1300" s="1" t="str">
        <f t="shared" si="2547"/>
        <v>0</v>
      </c>
      <c r="O1300" s="1" t="str">
        <f t="shared" si="2547"/>
        <v>0</v>
      </c>
      <c r="P1300" s="1" t="str">
        <f t="shared" si="2547"/>
        <v>0</v>
      </c>
      <c r="Q1300" s="1" t="str">
        <f t="shared" si="2511"/>
        <v>0.0070</v>
      </c>
      <c r="R1300" s="1" t="s">
        <v>29</v>
      </c>
      <c r="S1300" s="1">
        <v>-0.0014</v>
      </c>
      <c r="T1300" s="1" t="str">
        <f t="shared" si="2512"/>
        <v>0</v>
      </c>
      <c r="U1300" s="1" t="str">
        <f t="shared" si="2540"/>
        <v>0.0056</v>
      </c>
    </row>
    <row r="1301" s="1" customFormat="1" spans="1:21">
      <c r="A1301" s="1" t="str">
        <f>"4601992015027"</f>
        <v>4601992015027</v>
      </c>
      <c r="B1301" s="1" t="s">
        <v>1325</v>
      </c>
      <c r="C1301" s="1" t="s">
        <v>24</v>
      </c>
      <c r="D1301" s="1" t="str">
        <f t="shared" si="2508"/>
        <v>2021</v>
      </c>
      <c r="E1301" s="1" t="str">
        <f>"120.90"</f>
        <v>120.90</v>
      </c>
      <c r="F1301" s="1" t="str">
        <f t="shared" ref="F1301:I1301" si="2548">"0"</f>
        <v>0</v>
      </c>
      <c r="G1301" s="1" t="str">
        <f t="shared" si="2548"/>
        <v>0</v>
      </c>
      <c r="H1301" s="1" t="str">
        <f t="shared" si="2548"/>
        <v>0</v>
      </c>
      <c r="I1301" s="1" t="str">
        <f t="shared" si="2548"/>
        <v>0</v>
      </c>
      <c r="J1301" s="1" t="str">
        <f>"8"</f>
        <v>8</v>
      </c>
      <c r="K1301" s="1" t="str">
        <f t="shared" ref="K1301:P1301" si="2549">"0"</f>
        <v>0</v>
      </c>
      <c r="L1301" s="1" t="str">
        <f t="shared" si="2549"/>
        <v>0</v>
      </c>
      <c r="M1301" s="1" t="str">
        <f t="shared" si="2549"/>
        <v>0</v>
      </c>
      <c r="N1301" s="1" t="str">
        <f t="shared" si="2549"/>
        <v>0</v>
      </c>
      <c r="O1301" s="1" t="str">
        <f t="shared" si="2549"/>
        <v>0</v>
      </c>
      <c r="P1301" s="1" t="str">
        <f t="shared" si="2549"/>
        <v>0</v>
      </c>
      <c r="Q1301" s="1" t="str">
        <f t="shared" si="2511"/>
        <v>0.0070</v>
      </c>
      <c r="R1301" s="1" t="s">
        <v>25</v>
      </c>
      <c r="T1301" s="1" t="str">
        <f t="shared" si="2512"/>
        <v>0</v>
      </c>
      <c r="U1301" s="1" t="str">
        <f>"0.0070"</f>
        <v>0.0070</v>
      </c>
    </row>
    <row r="1302" s="1" customFormat="1" spans="1:21">
      <c r="A1302" s="1" t="str">
        <f>"4601992015076"</f>
        <v>4601992015076</v>
      </c>
      <c r="B1302" s="1" t="s">
        <v>1326</v>
      </c>
      <c r="C1302" s="1" t="s">
        <v>24</v>
      </c>
      <c r="D1302" s="1" t="str">
        <f t="shared" si="2508"/>
        <v>2021</v>
      </c>
      <c r="E1302" s="1" t="str">
        <f t="shared" ref="E1302:P1302" si="2550">"0"</f>
        <v>0</v>
      </c>
      <c r="F1302" s="1" t="str">
        <f t="shared" si="2550"/>
        <v>0</v>
      </c>
      <c r="G1302" s="1" t="str">
        <f t="shared" si="2550"/>
        <v>0</v>
      </c>
      <c r="H1302" s="1" t="str">
        <f t="shared" si="2550"/>
        <v>0</v>
      </c>
      <c r="I1302" s="1" t="str">
        <f t="shared" si="2550"/>
        <v>0</v>
      </c>
      <c r="J1302" s="1" t="str">
        <f t="shared" si="2550"/>
        <v>0</v>
      </c>
      <c r="K1302" s="1" t="str">
        <f t="shared" si="2550"/>
        <v>0</v>
      </c>
      <c r="L1302" s="1" t="str">
        <f t="shared" si="2550"/>
        <v>0</v>
      </c>
      <c r="M1302" s="1" t="str">
        <f t="shared" si="2550"/>
        <v>0</v>
      </c>
      <c r="N1302" s="1" t="str">
        <f t="shared" si="2550"/>
        <v>0</v>
      </c>
      <c r="O1302" s="1" t="str">
        <f t="shared" si="2550"/>
        <v>0</v>
      </c>
      <c r="P1302" s="1" t="str">
        <f t="shared" si="2550"/>
        <v>0</v>
      </c>
      <c r="Q1302" s="1" t="str">
        <f t="shared" si="2511"/>
        <v>0.0070</v>
      </c>
      <c r="R1302" s="1" t="s">
        <v>25</v>
      </c>
      <c r="T1302" s="1" t="str">
        <f t="shared" si="2512"/>
        <v>0</v>
      </c>
      <c r="U1302" s="1" t="str">
        <f>"0.0070"</f>
        <v>0.0070</v>
      </c>
    </row>
    <row r="1303" s="1" customFormat="1" spans="1:21">
      <c r="A1303" s="1" t="str">
        <f>"4601992015030"</f>
        <v>4601992015030</v>
      </c>
      <c r="B1303" s="1" t="s">
        <v>1327</v>
      </c>
      <c r="C1303" s="1" t="s">
        <v>24</v>
      </c>
      <c r="D1303" s="1" t="str">
        <f t="shared" si="2508"/>
        <v>2021</v>
      </c>
      <c r="E1303" s="1" t="str">
        <f>"72.54"</f>
        <v>72.54</v>
      </c>
      <c r="F1303" s="1" t="str">
        <f t="shared" ref="F1303:I1303" si="2551">"0"</f>
        <v>0</v>
      </c>
      <c r="G1303" s="1" t="str">
        <f t="shared" si="2551"/>
        <v>0</v>
      </c>
      <c r="H1303" s="1" t="str">
        <f t="shared" si="2551"/>
        <v>0</v>
      </c>
      <c r="I1303" s="1" t="str">
        <f t="shared" si="2551"/>
        <v>0</v>
      </c>
      <c r="J1303" s="1" t="str">
        <f>"6"</f>
        <v>6</v>
      </c>
      <c r="K1303" s="1" t="str">
        <f t="shared" ref="K1303:P1303" si="2552">"0"</f>
        <v>0</v>
      </c>
      <c r="L1303" s="1" t="str">
        <f t="shared" si="2552"/>
        <v>0</v>
      </c>
      <c r="M1303" s="1" t="str">
        <f t="shared" si="2552"/>
        <v>0</v>
      </c>
      <c r="N1303" s="1" t="str">
        <f t="shared" si="2552"/>
        <v>0</v>
      </c>
      <c r="O1303" s="1" t="str">
        <f t="shared" si="2552"/>
        <v>0</v>
      </c>
      <c r="P1303" s="1" t="str">
        <f t="shared" si="2552"/>
        <v>0</v>
      </c>
      <c r="Q1303" s="1" t="str">
        <f t="shared" si="2511"/>
        <v>0.0070</v>
      </c>
      <c r="R1303" s="1" t="s">
        <v>29</v>
      </c>
      <c r="S1303" s="1">
        <v>-0.0014</v>
      </c>
      <c r="T1303" s="1" t="str">
        <f t="shared" si="2512"/>
        <v>0</v>
      </c>
      <c r="U1303" s="1" t="str">
        <f t="shared" ref="U1303:U1308" si="2553">"0.0056"</f>
        <v>0.0056</v>
      </c>
    </row>
    <row r="1304" s="1" customFormat="1" spans="1:21">
      <c r="A1304" s="1" t="str">
        <f>"4601992015083"</f>
        <v>4601992015083</v>
      </c>
      <c r="B1304" s="1" t="s">
        <v>1328</v>
      </c>
      <c r="C1304" s="1" t="s">
        <v>24</v>
      </c>
      <c r="D1304" s="1" t="str">
        <f t="shared" si="2508"/>
        <v>2021</v>
      </c>
      <c r="E1304" s="1" t="str">
        <f>"60.45"</f>
        <v>60.45</v>
      </c>
      <c r="F1304" s="1" t="str">
        <f t="shared" ref="F1304:I1304" si="2554">"0"</f>
        <v>0</v>
      </c>
      <c r="G1304" s="1" t="str">
        <f t="shared" si="2554"/>
        <v>0</v>
      </c>
      <c r="H1304" s="1" t="str">
        <f t="shared" si="2554"/>
        <v>0</v>
      </c>
      <c r="I1304" s="1" t="str">
        <f t="shared" si="2554"/>
        <v>0</v>
      </c>
      <c r="J1304" s="1" t="str">
        <f>"5"</f>
        <v>5</v>
      </c>
      <c r="K1304" s="1" t="str">
        <f t="shared" ref="K1304:P1304" si="2555">"0"</f>
        <v>0</v>
      </c>
      <c r="L1304" s="1" t="str">
        <f t="shared" si="2555"/>
        <v>0</v>
      </c>
      <c r="M1304" s="1" t="str">
        <f t="shared" si="2555"/>
        <v>0</v>
      </c>
      <c r="N1304" s="1" t="str">
        <f t="shared" si="2555"/>
        <v>0</v>
      </c>
      <c r="O1304" s="1" t="str">
        <f t="shared" si="2555"/>
        <v>0</v>
      </c>
      <c r="P1304" s="1" t="str">
        <f t="shared" si="2555"/>
        <v>0</v>
      </c>
      <c r="Q1304" s="1" t="str">
        <f t="shared" si="2511"/>
        <v>0.0070</v>
      </c>
      <c r="R1304" s="1" t="s">
        <v>29</v>
      </c>
      <c r="S1304" s="1">
        <v>-0.0014</v>
      </c>
      <c r="T1304" s="1" t="str">
        <f t="shared" si="2512"/>
        <v>0</v>
      </c>
      <c r="U1304" s="1" t="str">
        <f t="shared" si="2553"/>
        <v>0.0056</v>
      </c>
    </row>
    <row r="1305" s="1" customFormat="1" spans="1:21">
      <c r="A1305" s="1" t="str">
        <f>"4601992015064"</f>
        <v>4601992015064</v>
      </c>
      <c r="B1305" s="1" t="s">
        <v>1329</v>
      </c>
      <c r="C1305" s="1" t="s">
        <v>24</v>
      </c>
      <c r="D1305" s="1" t="str">
        <f t="shared" si="2508"/>
        <v>2021</v>
      </c>
      <c r="E1305" s="1" t="str">
        <f>"232.14"</f>
        <v>232.14</v>
      </c>
      <c r="F1305" s="1" t="str">
        <f t="shared" ref="F1305:I1305" si="2556">"0"</f>
        <v>0</v>
      </c>
      <c r="G1305" s="1" t="str">
        <f t="shared" si="2556"/>
        <v>0</v>
      </c>
      <c r="H1305" s="1" t="str">
        <f t="shared" si="2556"/>
        <v>0</v>
      </c>
      <c r="I1305" s="1" t="str">
        <f t="shared" si="2556"/>
        <v>0</v>
      </c>
      <c r="J1305" s="1" t="str">
        <f>"9"</f>
        <v>9</v>
      </c>
      <c r="K1305" s="1" t="str">
        <f t="shared" ref="K1305:P1305" si="2557">"0"</f>
        <v>0</v>
      </c>
      <c r="L1305" s="1" t="str">
        <f t="shared" si="2557"/>
        <v>0</v>
      </c>
      <c r="M1305" s="1" t="str">
        <f t="shared" si="2557"/>
        <v>0</v>
      </c>
      <c r="N1305" s="1" t="str">
        <f t="shared" si="2557"/>
        <v>0</v>
      </c>
      <c r="O1305" s="1" t="str">
        <f t="shared" si="2557"/>
        <v>0</v>
      </c>
      <c r="P1305" s="1" t="str">
        <f t="shared" si="2557"/>
        <v>0</v>
      </c>
      <c r="Q1305" s="1" t="str">
        <f t="shared" si="2511"/>
        <v>0.0070</v>
      </c>
      <c r="R1305" s="1" t="s">
        <v>29</v>
      </c>
      <c r="S1305" s="1">
        <v>-0.0014</v>
      </c>
      <c r="T1305" s="1" t="str">
        <f t="shared" si="2512"/>
        <v>0</v>
      </c>
      <c r="U1305" s="1" t="str">
        <f t="shared" si="2553"/>
        <v>0.0056</v>
      </c>
    </row>
    <row r="1306" s="1" customFormat="1" spans="1:21">
      <c r="A1306" s="1" t="str">
        <f>"4601992015163"</f>
        <v>4601992015163</v>
      </c>
      <c r="B1306" s="1" t="s">
        <v>1330</v>
      </c>
      <c r="C1306" s="1" t="s">
        <v>24</v>
      </c>
      <c r="D1306" s="1" t="str">
        <f t="shared" si="2508"/>
        <v>2021</v>
      </c>
      <c r="E1306" s="1" t="str">
        <f>"84.52"</f>
        <v>84.52</v>
      </c>
      <c r="F1306" s="1" t="str">
        <f t="shared" ref="F1306:I1306" si="2558">"0"</f>
        <v>0</v>
      </c>
      <c r="G1306" s="1" t="str">
        <f t="shared" si="2558"/>
        <v>0</v>
      </c>
      <c r="H1306" s="1" t="str">
        <f t="shared" si="2558"/>
        <v>0</v>
      </c>
      <c r="I1306" s="1" t="str">
        <f t="shared" si="2558"/>
        <v>0</v>
      </c>
      <c r="J1306" s="1" t="str">
        <f>"7"</f>
        <v>7</v>
      </c>
      <c r="K1306" s="1" t="str">
        <f t="shared" ref="K1306:P1306" si="2559">"0"</f>
        <v>0</v>
      </c>
      <c r="L1306" s="1" t="str">
        <f t="shared" si="2559"/>
        <v>0</v>
      </c>
      <c r="M1306" s="1" t="str">
        <f t="shared" si="2559"/>
        <v>0</v>
      </c>
      <c r="N1306" s="1" t="str">
        <f t="shared" si="2559"/>
        <v>0</v>
      </c>
      <c r="O1306" s="1" t="str">
        <f t="shared" si="2559"/>
        <v>0</v>
      </c>
      <c r="P1306" s="1" t="str">
        <f t="shared" si="2559"/>
        <v>0</v>
      </c>
      <c r="Q1306" s="1" t="str">
        <f t="shared" si="2511"/>
        <v>0.0070</v>
      </c>
      <c r="R1306" s="1" t="s">
        <v>29</v>
      </c>
      <c r="S1306" s="1">
        <v>-0.0014</v>
      </c>
      <c r="T1306" s="1" t="str">
        <f t="shared" si="2512"/>
        <v>0</v>
      </c>
      <c r="U1306" s="1" t="str">
        <f t="shared" si="2553"/>
        <v>0.0056</v>
      </c>
    </row>
    <row r="1307" s="1" customFormat="1" spans="1:21">
      <c r="A1307" s="1" t="str">
        <f>"4601992015156"</f>
        <v>4601992015156</v>
      </c>
      <c r="B1307" s="1" t="s">
        <v>1331</v>
      </c>
      <c r="C1307" s="1" t="s">
        <v>24</v>
      </c>
      <c r="D1307" s="1" t="str">
        <f t="shared" si="2508"/>
        <v>2021</v>
      </c>
      <c r="E1307" s="1" t="str">
        <f>"17.50"</f>
        <v>17.50</v>
      </c>
      <c r="F1307" s="1" t="str">
        <f t="shared" ref="F1307:I1307" si="2560">"0"</f>
        <v>0</v>
      </c>
      <c r="G1307" s="1" t="str">
        <f t="shared" si="2560"/>
        <v>0</v>
      </c>
      <c r="H1307" s="1" t="str">
        <f t="shared" si="2560"/>
        <v>0</v>
      </c>
      <c r="I1307" s="1" t="str">
        <f t="shared" si="2560"/>
        <v>0</v>
      </c>
      <c r="J1307" s="1" t="str">
        <f>"1"</f>
        <v>1</v>
      </c>
      <c r="K1307" s="1" t="str">
        <f t="shared" ref="K1307:P1307" si="2561">"0"</f>
        <v>0</v>
      </c>
      <c r="L1307" s="1" t="str">
        <f t="shared" si="2561"/>
        <v>0</v>
      </c>
      <c r="M1307" s="1" t="str">
        <f t="shared" si="2561"/>
        <v>0</v>
      </c>
      <c r="N1307" s="1" t="str">
        <f t="shared" si="2561"/>
        <v>0</v>
      </c>
      <c r="O1307" s="1" t="str">
        <f t="shared" si="2561"/>
        <v>0</v>
      </c>
      <c r="P1307" s="1" t="str">
        <f t="shared" si="2561"/>
        <v>0</v>
      </c>
      <c r="Q1307" s="1" t="str">
        <f t="shared" si="2511"/>
        <v>0.0070</v>
      </c>
      <c r="R1307" s="1" t="s">
        <v>29</v>
      </c>
      <c r="S1307" s="1">
        <v>-0.0014</v>
      </c>
      <c r="T1307" s="1" t="str">
        <f t="shared" si="2512"/>
        <v>0</v>
      </c>
      <c r="U1307" s="1" t="str">
        <f t="shared" si="2553"/>
        <v>0.0056</v>
      </c>
    </row>
    <row r="1308" s="1" customFormat="1" spans="1:21">
      <c r="A1308" s="1" t="str">
        <f>"4601992015177"</f>
        <v>4601992015177</v>
      </c>
      <c r="B1308" s="1" t="s">
        <v>1332</v>
      </c>
      <c r="C1308" s="1" t="s">
        <v>24</v>
      </c>
      <c r="D1308" s="1" t="str">
        <f t="shared" si="2508"/>
        <v>2021</v>
      </c>
      <c r="E1308" s="1" t="str">
        <f>"36.43"</f>
        <v>36.43</v>
      </c>
      <c r="F1308" s="1" t="str">
        <f t="shared" ref="F1308:I1308" si="2562">"0"</f>
        <v>0</v>
      </c>
      <c r="G1308" s="1" t="str">
        <f t="shared" si="2562"/>
        <v>0</v>
      </c>
      <c r="H1308" s="1" t="str">
        <f t="shared" si="2562"/>
        <v>0</v>
      </c>
      <c r="I1308" s="1" t="str">
        <f t="shared" si="2562"/>
        <v>0</v>
      </c>
      <c r="J1308" s="1" t="str">
        <f>"3"</f>
        <v>3</v>
      </c>
      <c r="K1308" s="1" t="str">
        <f t="shared" ref="K1308:P1308" si="2563">"0"</f>
        <v>0</v>
      </c>
      <c r="L1308" s="1" t="str">
        <f t="shared" si="2563"/>
        <v>0</v>
      </c>
      <c r="M1308" s="1" t="str">
        <f t="shared" si="2563"/>
        <v>0</v>
      </c>
      <c r="N1308" s="1" t="str">
        <f t="shared" si="2563"/>
        <v>0</v>
      </c>
      <c r="O1308" s="1" t="str">
        <f t="shared" si="2563"/>
        <v>0</v>
      </c>
      <c r="P1308" s="1" t="str">
        <f t="shared" si="2563"/>
        <v>0</v>
      </c>
      <c r="Q1308" s="1" t="str">
        <f t="shared" si="2511"/>
        <v>0.0070</v>
      </c>
      <c r="R1308" s="1" t="s">
        <v>29</v>
      </c>
      <c r="S1308" s="1">
        <v>-0.0014</v>
      </c>
      <c r="T1308" s="1" t="str">
        <f t="shared" si="2512"/>
        <v>0</v>
      </c>
      <c r="U1308" s="1" t="str">
        <f t="shared" si="2553"/>
        <v>0.0056</v>
      </c>
    </row>
    <row r="1309" s="1" customFormat="1" spans="1:21">
      <c r="A1309" s="1" t="str">
        <f>"4601992015206"</f>
        <v>4601992015206</v>
      </c>
      <c r="B1309" s="1" t="s">
        <v>1333</v>
      </c>
      <c r="C1309" s="1" t="s">
        <v>24</v>
      </c>
      <c r="D1309" s="1" t="str">
        <f t="shared" si="2508"/>
        <v>2021</v>
      </c>
      <c r="E1309" s="1" t="str">
        <f t="shared" ref="E1309:P1309" si="2564">"0"</f>
        <v>0</v>
      </c>
      <c r="F1309" s="1" t="str">
        <f t="shared" si="2564"/>
        <v>0</v>
      </c>
      <c r="G1309" s="1" t="str">
        <f t="shared" si="2564"/>
        <v>0</v>
      </c>
      <c r="H1309" s="1" t="str">
        <f t="shared" si="2564"/>
        <v>0</v>
      </c>
      <c r="I1309" s="1" t="str">
        <f t="shared" si="2564"/>
        <v>0</v>
      </c>
      <c r="J1309" s="1" t="str">
        <f t="shared" si="2564"/>
        <v>0</v>
      </c>
      <c r="K1309" s="1" t="str">
        <f t="shared" si="2564"/>
        <v>0</v>
      </c>
      <c r="L1309" s="1" t="str">
        <f t="shared" si="2564"/>
        <v>0</v>
      </c>
      <c r="M1309" s="1" t="str">
        <f t="shared" si="2564"/>
        <v>0</v>
      </c>
      <c r="N1309" s="1" t="str">
        <f t="shared" si="2564"/>
        <v>0</v>
      </c>
      <c r="O1309" s="1" t="str">
        <f t="shared" si="2564"/>
        <v>0</v>
      </c>
      <c r="P1309" s="1" t="str">
        <f t="shared" si="2564"/>
        <v>0</v>
      </c>
      <c r="Q1309" s="1" t="str">
        <f t="shared" si="2511"/>
        <v>0.0070</v>
      </c>
      <c r="R1309" s="1" t="s">
        <v>25</v>
      </c>
      <c r="T1309" s="1" t="str">
        <f t="shared" si="2512"/>
        <v>0</v>
      </c>
      <c r="U1309" s="1" t="str">
        <f>"0.0070"</f>
        <v>0.0070</v>
      </c>
    </row>
    <row r="1310" s="1" customFormat="1" spans="1:21">
      <c r="A1310" s="1" t="str">
        <f>"4601992015203"</f>
        <v>4601992015203</v>
      </c>
      <c r="B1310" s="1" t="s">
        <v>1334</v>
      </c>
      <c r="C1310" s="1" t="s">
        <v>24</v>
      </c>
      <c r="D1310" s="1" t="str">
        <f t="shared" si="2508"/>
        <v>2021</v>
      </c>
      <c r="E1310" s="1" t="str">
        <f>"60.45"</f>
        <v>60.45</v>
      </c>
      <c r="F1310" s="1" t="str">
        <f t="shared" ref="F1310:I1310" si="2565">"0"</f>
        <v>0</v>
      </c>
      <c r="G1310" s="1" t="str">
        <f t="shared" si="2565"/>
        <v>0</v>
      </c>
      <c r="H1310" s="1" t="str">
        <f t="shared" si="2565"/>
        <v>0</v>
      </c>
      <c r="I1310" s="1" t="str">
        <f t="shared" si="2565"/>
        <v>0</v>
      </c>
      <c r="J1310" s="1" t="str">
        <f>"5"</f>
        <v>5</v>
      </c>
      <c r="K1310" s="1" t="str">
        <f t="shared" ref="K1310:P1310" si="2566">"0"</f>
        <v>0</v>
      </c>
      <c r="L1310" s="1" t="str">
        <f t="shared" si="2566"/>
        <v>0</v>
      </c>
      <c r="M1310" s="1" t="str">
        <f t="shared" si="2566"/>
        <v>0</v>
      </c>
      <c r="N1310" s="1" t="str">
        <f t="shared" si="2566"/>
        <v>0</v>
      </c>
      <c r="O1310" s="1" t="str">
        <f t="shared" si="2566"/>
        <v>0</v>
      </c>
      <c r="P1310" s="1" t="str">
        <f t="shared" si="2566"/>
        <v>0</v>
      </c>
      <c r="Q1310" s="1" t="str">
        <f t="shared" si="2511"/>
        <v>0.0070</v>
      </c>
      <c r="R1310" s="1" t="s">
        <v>29</v>
      </c>
      <c r="S1310" s="1">
        <v>-0.0014</v>
      </c>
      <c r="T1310" s="1" t="str">
        <f t="shared" si="2512"/>
        <v>0</v>
      </c>
      <c r="U1310" s="1" t="str">
        <f t="shared" ref="U1310:U1319" si="2567">"0.0056"</f>
        <v>0.0056</v>
      </c>
    </row>
    <row r="1311" s="1" customFormat="1" spans="1:21">
      <c r="A1311" s="1" t="str">
        <f>"4601992015187"</f>
        <v>4601992015187</v>
      </c>
      <c r="B1311" s="1" t="s">
        <v>1335</v>
      </c>
      <c r="C1311" s="1" t="s">
        <v>24</v>
      </c>
      <c r="D1311" s="1" t="str">
        <f t="shared" si="2508"/>
        <v>2021</v>
      </c>
      <c r="E1311" s="1" t="str">
        <f>"23.96"</f>
        <v>23.96</v>
      </c>
      <c r="F1311" s="1" t="str">
        <f t="shared" ref="F1311:I1311" si="2568">"0"</f>
        <v>0</v>
      </c>
      <c r="G1311" s="1" t="str">
        <f t="shared" si="2568"/>
        <v>0</v>
      </c>
      <c r="H1311" s="1" t="str">
        <f t="shared" si="2568"/>
        <v>0</v>
      </c>
      <c r="I1311" s="1" t="str">
        <f t="shared" si="2568"/>
        <v>0</v>
      </c>
      <c r="J1311" s="1" t="str">
        <f t="shared" ref="J1311:J1314" si="2569">"2"</f>
        <v>2</v>
      </c>
      <c r="K1311" s="1" t="str">
        <f t="shared" ref="K1311:P1311" si="2570">"0"</f>
        <v>0</v>
      </c>
      <c r="L1311" s="1" t="str">
        <f t="shared" si="2570"/>
        <v>0</v>
      </c>
      <c r="M1311" s="1" t="str">
        <f t="shared" si="2570"/>
        <v>0</v>
      </c>
      <c r="N1311" s="1" t="str">
        <f t="shared" si="2570"/>
        <v>0</v>
      </c>
      <c r="O1311" s="1" t="str">
        <f t="shared" si="2570"/>
        <v>0</v>
      </c>
      <c r="P1311" s="1" t="str">
        <f t="shared" si="2570"/>
        <v>0</v>
      </c>
      <c r="Q1311" s="1" t="str">
        <f t="shared" si="2511"/>
        <v>0.0070</v>
      </c>
      <c r="R1311" s="1" t="s">
        <v>29</v>
      </c>
      <c r="S1311" s="1">
        <v>-0.0014</v>
      </c>
      <c r="T1311" s="1" t="str">
        <f t="shared" si="2512"/>
        <v>0</v>
      </c>
      <c r="U1311" s="1" t="str">
        <f t="shared" si="2567"/>
        <v>0.0056</v>
      </c>
    </row>
    <row r="1312" s="1" customFormat="1" spans="1:21">
      <c r="A1312" s="1" t="str">
        <f>"4601992015217"</f>
        <v>4601992015217</v>
      </c>
      <c r="B1312" s="1" t="s">
        <v>1336</v>
      </c>
      <c r="C1312" s="1" t="s">
        <v>24</v>
      </c>
      <c r="D1312" s="1" t="str">
        <f t="shared" si="2508"/>
        <v>2021</v>
      </c>
      <c r="E1312" s="1" t="str">
        <f>"24.18"</f>
        <v>24.18</v>
      </c>
      <c r="F1312" s="1" t="str">
        <f t="shared" ref="F1312:I1312" si="2571">"0"</f>
        <v>0</v>
      </c>
      <c r="G1312" s="1" t="str">
        <f t="shared" si="2571"/>
        <v>0</v>
      </c>
      <c r="H1312" s="1" t="str">
        <f t="shared" si="2571"/>
        <v>0</v>
      </c>
      <c r="I1312" s="1" t="str">
        <f t="shared" si="2571"/>
        <v>0</v>
      </c>
      <c r="J1312" s="1" t="str">
        <f t="shared" si="2569"/>
        <v>2</v>
      </c>
      <c r="K1312" s="1" t="str">
        <f t="shared" ref="K1312:P1312" si="2572">"0"</f>
        <v>0</v>
      </c>
      <c r="L1312" s="1" t="str">
        <f t="shared" si="2572"/>
        <v>0</v>
      </c>
      <c r="M1312" s="1" t="str">
        <f t="shared" si="2572"/>
        <v>0</v>
      </c>
      <c r="N1312" s="1" t="str">
        <f t="shared" si="2572"/>
        <v>0</v>
      </c>
      <c r="O1312" s="1" t="str">
        <f t="shared" si="2572"/>
        <v>0</v>
      </c>
      <c r="P1312" s="1" t="str">
        <f t="shared" si="2572"/>
        <v>0</v>
      </c>
      <c r="Q1312" s="1" t="str">
        <f t="shared" si="2511"/>
        <v>0.0070</v>
      </c>
      <c r="R1312" s="1" t="s">
        <v>29</v>
      </c>
      <c r="S1312" s="1">
        <v>-0.0014</v>
      </c>
      <c r="T1312" s="1" t="str">
        <f t="shared" si="2512"/>
        <v>0</v>
      </c>
      <c r="U1312" s="1" t="str">
        <f t="shared" si="2567"/>
        <v>0.0056</v>
      </c>
    </row>
    <row r="1313" s="1" customFormat="1" spans="1:21">
      <c r="A1313" s="1" t="str">
        <f>"4601992015212"</f>
        <v>4601992015212</v>
      </c>
      <c r="B1313" s="1" t="s">
        <v>1337</v>
      </c>
      <c r="C1313" s="1" t="s">
        <v>24</v>
      </c>
      <c r="D1313" s="1" t="str">
        <f t="shared" si="2508"/>
        <v>2021</v>
      </c>
      <c r="E1313" s="1" t="str">
        <f>"48.36"</f>
        <v>48.36</v>
      </c>
      <c r="F1313" s="1" t="str">
        <f t="shared" ref="F1313:I1313" si="2573">"0"</f>
        <v>0</v>
      </c>
      <c r="G1313" s="1" t="str">
        <f t="shared" si="2573"/>
        <v>0</v>
      </c>
      <c r="H1313" s="1" t="str">
        <f t="shared" si="2573"/>
        <v>0</v>
      </c>
      <c r="I1313" s="1" t="str">
        <f t="shared" si="2573"/>
        <v>0</v>
      </c>
      <c r="J1313" s="1" t="str">
        <f>"4"</f>
        <v>4</v>
      </c>
      <c r="K1313" s="1" t="str">
        <f t="shared" ref="K1313:P1313" si="2574">"0"</f>
        <v>0</v>
      </c>
      <c r="L1313" s="1" t="str">
        <f t="shared" si="2574"/>
        <v>0</v>
      </c>
      <c r="M1313" s="1" t="str">
        <f t="shared" si="2574"/>
        <v>0</v>
      </c>
      <c r="N1313" s="1" t="str">
        <f t="shared" si="2574"/>
        <v>0</v>
      </c>
      <c r="O1313" s="1" t="str">
        <f t="shared" si="2574"/>
        <v>0</v>
      </c>
      <c r="P1313" s="1" t="str">
        <f t="shared" si="2574"/>
        <v>0</v>
      </c>
      <c r="Q1313" s="1" t="str">
        <f t="shared" si="2511"/>
        <v>0.0070</v>
      </c>
      <c r="R1313" s="1" t="s">
        <v>29</v>
      </c>
      <c r="S1313" s="1">
        <v>-0.0014</v>
      </c>
      <c r="T1313" s="1" t="str">
        <f t="shared" si="2512"/>
        <v>0</v>
      </c>
      <c r="U1313" s="1" t="str">
        <f t="shared" si="2567"/>
        <v>0.0056</v>
      </c>
    </row>
    <row r="1314" s="1" customFormat="1" spans="1:21">
      <c r="A1314" s="1" t="str">
        <f>"4601992015223"</f>
        <v>4601992015223</v>
      </c>
      <c r="B1314" s="1" t="s">
        <v>1338</v>
      </c>
      <c r="C1314" s="1" t="s">
        <v>24</v>
      </c>
      <c r="D1314" s="1" t="str">
        <f t="shared" si="2508"/>
        <v>2021</v>
      </c>
      <c r="E1314" s="1" t="str">
        <f>"24.18"</f>
        <v>24.18</v>
      </c>
      <c r="F1314" s="1" t="str">
        <f t="shared" ref="F1314:I1314" si="2575">"0"</f>
        <v>0</v>
      </c>
      <c r="G1314" s="1" t="str">
        <f t="shared" si="2575"/>
        <v>0</v>
      </c>
      <c r="H1314" s="1" t="str">
        <f t="shared" si="2575"/>
        <v>0</v>
      </c>
      <c r="I1314" s="1" t="str">
        <f t="shared" si="2575"/>
        <v>0</v>
      </c>
      <c r="J1314" s="1" t="str">
        <f t="shared" si="2569"/>
        <v>2</v>
      </c>
      <c r="K1314" s="1" t="str">
        <f t="shared" ref="K1314:P1314" si="2576">"0"</f>
        <v>0</v>
      </c>
      <c r="L1314" s="1" t="str">
        <f t="shared" si="2576"/>
        <v>0</v>
      </c>
      <c r="M1314" s="1" t="str">
        <f t="shared" si="2576"/>
        <v>0</v>
      </c>
      <c r="N1314" s="1" t="str">
        <f t="shared" si="2576"/>
        <v>0</v>
      </c>
      <c r="O1314" s="1" t="str">
        <f t="shared" si="2576"/>
        <v>0</v>
      </c>
      <c r="P1314" s="1" t="str">
        <f t="shared" si="2576"/>
        <v>0</v>
      </c>
      <c r="Q1314" s="1" t="str">
        <f t="shared" si="2511"/>
        <v>0.0070</v>
      </c>
      <c r="R1314" s="1" t="s">
        <v>29</v>
      </c>
      <c r="S1314" s="1">
        <v>-0.0014</v>
      </c>
      <c r="T1314" s="1" t="str">
        <f t="shared" si="2512"/>
        <v>0</v>
      </c>
      <c r="U1314" s="1" t="str">
        <f t="shared" si="2567"/>
        <v>0.0056</v>
      </c>
    </row>
    <row r="1315" s="1" customFormat="1" spans="1:21">
      <c r="A1315" s="1" t="str">
        <f>"4601992015244"</f>
        <v>4601992015244</v>
      </c>
      <c r="B1315" s="1" t="s">
        <v>1339</v>
      </c>
      <c r="C1315" s="1" t="s">
        <v>24</v>
      </c>
      <c r="D1315" s="1" t="str">
        <f t="shared" si="2508"/>
        <v>2021</v>
      </c>
      <c r="E1315" s="1" t="str">
        <f>"36.27"</f>
        <v>36.27</v>
      </c>
      <c r="F1315" s="1" t="str">
        <f t="shared" ref="F1315:I1315" si="2577">"0"</f>
        <v>0</v>
      </c>
      <c r="G1315" s="1" t="str">
        <f t="shared" si="2577"/>
        <v>0</v>
      </c>
      <c r="H1315" s="1" t="str">
        <f t="shared" si="2577"/>
        <v>0</v>
      </c>
      <c r="I1315" s="1" t="str">
        <f t="shared" si="2577"/>
        <v>0</v>
      </c>
      <c r="J1315" s="1" t="str">
        <f>"3"</f>
        <v>3</v>
      </c>
      <c r="K1315" s="1" t="str">
        <f t="shared" ref="K1315:P1315" si="2578">"0"</f>
        <v>0</v>
      </c>
      <c r="L1315" s="1" t="str">
        <f t="shared" si="2578"/>
        <v>0</v>
      </c>
      <c r="M1315" s="1" t="str">
        <f t="shared" si="2578"/>
        <v>0</v>
      </c>
      <c r="N1315" s="1" t="str">
        <f t="shared" si="2578"/>
        <v>0</v>
      </c>
      <c r="O1315" s="1" t="str">
        <f t="shared" si="2578"/>
        <v>0</v>
      </c>
      <c r="P1315" s="1" t="str">
        <f t="shared" si="2578"/>
        <v>0</v>
      </c>
      <c r="Q1315" s="1" t="str">
        <f t="shared" si="2511"/>
        <v>0.0070</v>
      </c>
      <c r="R1315" s="1" t="s">
        <v>29</v>
      </c>
      <c r="S1315" s="1">
        <v>-0.0014</v>
      </c>
      <c r="T1315" s="1" t="str">
        <f t="shared" si="2512"/>
        <v>0</v>
      </c>
      <c r="U1315" s="1" t="str">
        <f t="shared" si="2567"/>
        <v>0.0056</v>
      </c>
    </row>
    <row r="1316" s="1" customFormat="1" spans="1:21">
      <c r="A1316" s="1" t="str">
        <f>"4601992015252"</f>
        <v>4601992015252</v>
      </c>
      <c r="B1316" s="1" t="s">
        <v>1340</v>
      </c>
      <c r="C1316" s="1" t="s">
        <v>24</v>
      </c>
      <c r="D1316" s="1" t="str">
        <f t="shared" si="2508"/>
        <v>2021</v>
      </c>
      <c r="E1316" s="1" t="str">
        <f>"48.25"</f>
        <v>48.25</v>
      </c>
      <c r="F1316" s="1" t="str">
        <f t="shared" ref="F1316:I1316" si="2579">"0"</f>
        <v>0</v>
      </c>
      <c r="G1316" s="1" t="str">
        <f t="shared" si="2579"/>
        <v>0</v>
      </c>
      <c r="H1316" s="1" t="str">
        <f t="shared" si="2579"/>
        <v>0</v>
      </c>
      <c r="I1316" s="1" t="str">
        <f t="shared" si="2579"/>
        <v>0</v>
      </c>
      <c r="J1316" s="1" t="str">
        <f>"4"</f>
        <v>4</v>
      </c>
      <c r="K1316" s="1" t="str">
        <f t="shared" ref="K1316:P1316" si="2580">"0"</f>
        <v>0</v>
      </c>
      <c r="L1316" s="1" t="str">
        <f t="shared" si="2580"/>
        <v>0</v>
      </c>
      <c r="M1316" s="1" t="str">
        <f t="shared" si="2580"/>
        <v>0</v>
      </c>
      <c r="N1316" s="1" t="str">
        <f t="shared" si="2580"/>
        <v>0</v>
      </c>
      <c r="O1316" s="1" t="str">
        <f t="shared" si="2580"/>
        <v>0</v>
      </c>
      <c r="P1316" s="1" t="str">
        <f t="shared" si="2580"/>
        <v>0</v>
      </c>
      <c r="Q1316" s="1" t="str">
        <f t="shared" si="2511"/>
        <v>0.0070</v>
      </c>
      <c r="R1316" s="1" t="s">
        <v>29</v>
      </c>
      <c r="S1316" s="1">
        <v>-0.0014</v>
      </c>
      <c r="T1316" s="1" t="str">
        <f t="shared" si="2512"/>
        <v>0</v>
      </c>
      <c r="U1316" s="1" t="str">
        <f t="shared" si="2567"/>
        <v>0.0056</v>
      </c>
    </row>
    <row r="1317" s="1" customFormat="1" spans="1:21">
      <c r="A1317" s="1" t="str">
        <f>"4601992015267"</f>
        <v>4601992015267</v>
      </c>
      <c r="B1317" s="1" t="s">
        <v>1341</v>
      </c>
      <c r="C1317" s="1" t="s">
        <v>24</v>
      </c>
      <c r="D1317" s="1" t="str">
        <f t="shared" si="2508"/>
        <v>2021</v>
      </c>
      <c r="E1317" s="1" t="str">
        <f>"36.27"</f>
        <v>36.27</v>
      </c>
      <c r="F1317" s="1" t="str">
        <f t="shared" ref="F1317:I1317" si="2581">"0"</f>
        <v>0</v>
      </c>
      <c r="G1317" s="1" t="str">
        <f t="shared" si="2581"/>
        <v>0</v>
      </c>
      <c r="H1317" s="1" t="str">
        <f t="shared" si="2581"/>
        <v>0</v>
      </c>
      <c r="I1317" s="1" t="str">
        <f t="shared" si="2581"/>
        <v>0</v>
      </c>
      <c r="J1317" s="1" t="str">
        <f>"2"</f>
        <v>2</v>
      </c>
      <c r="K1317" s="1" t="str">
        <f t="shared" ref="K1317:P1317" si="2582">"0"</f>
        <v>0</v>
      </c>
      <c r="L1317" s="1" t="str">
        <f t="shared" si="2582"/>
        <v>0</v>
      </c>
      <c r="M1317" s="1" t="str">
        <f t="shared" si="2582"/>
        <v>0</v>
      </c>
      <c r="N1317" s="1" t="str">
        <f t="shared" si="2582"/>
        <v>0</v>
      </c>
      <c r="O1317" s="1" t="str">
        <f t="shared" si="2582"/>
        <v>0</v>
      </c>
      <c r="P1317" s="1" t="str">
        <f t="shared" si="2582"/>
        <v>0</v>
      </c>
      <c r="Q1317" s="1" t="str">
        <f t="shared" si="2511"/>
        <v>0.0070</v>
      </c>
      <c r="R1317" s="1" t="s">
        <v>29</v>
      </c>
      <c r="S1317" s="1">
        <v>-0.0014</v>
      </c>
      <c r="T1317" s="1" t="str">
        <f t="shared" si="2512"/>
        <v>0</v>
      </c>
      <c r="U1317" s="1" t="str">
        <f t="shared" si="2567"/>
        <v>0.0056</v>
      </c>
    </row>
    <row r="1318" s="1" customFormat="1" spans="1:21">
      <c r="A1318" s="1" t="str">
        <f>"4601992015273"</f>
        <v>4601992015273</v>
      </c>
      <c r="B1318" s="1" t="s">
        <v>1342</v>
      </c>
      <c r="C1318" s="1" t="s">
        <v>24</v>
      </c>
      <c r="D1318" s="1" t="str">
        <f t="shared" si="2508"/>
        <v>2021</v>
      </c>
      <c r="E1318" s="1" t="str">
        <f>"48.36"</f>
        <v>48.36</v>
      </c>
      <c r="F1318" s="1" t="str">
        <f t="shared" ref="F1318:I1318" si="2583">"0"</f>
        <v>0</v>
      </c>
      <c r="G1318" s="1" t="str">
        <f t="shared" si="2583"/>
        <v>0</v>
      </c>
      <c r="H1318" s="1" t="str">
        <f t="shared" si="2583"/>
        <v>0</v>
      </c>
      <c r="I1318" s="1" t="str">
        <f t="shared" si="2583"/>
        <v>0</v>
      </c>
      <c r="J1318" s="1" t="str">
        <f>"5"</f>
        <v>5</v>
      </c>
      <c r="K1318" s="1" t="str">
        <f t="shared" ref="K1318:P1318" si="2584">"0"</f>
        <v>0</v>
      </c>
      <c r="L1318" s="1" t="str">
        <f t="shared" si="2584"/>
        <v>0</v>
      </c>
      <c r="M1318" s="1" t="str">
        <f t="shared" si="2584"/>
        <v>0</v>
      </c>
      <c r="N1318" s="1" t="str">
        <f t="shared" si="2584"/>
        <v>0</v>
      </c>
      <c r="O1318" s="1" t="str">
        <f t="shared" si="2584"/>
        <v>0</v>
      </c>
      <c r="P1318" s="1" t="str">
        <f t="shared" si="2584"/>
        <v>0</v>
      </c>
      <c r="Q1318" s="1" t="str">
        <f t="shared" si="2511"/>
        <v>0.0070</v>
      </c>
      <c r="R1318" s="1" t="s">
        <v>29</v>
      </c>
      <c r="S1318" s="1">
        <v>-0.0014</v>
      </c>
      <c r="T1318" s="1" t="str">
        <f t="shared" si="2512"/>
        <v>0</v>
      </c>
      <c r="U1318" s="1" t="str">
        <f t="shared" si="2567"/>
        <v>0.0056</v>
      </c>
    </row>
    <row r="1319" s="1" customFormat="1" spans="1:21">
      <c r="A1319" s="1" t="str">
        <f>"4601992003924"</f>
        <v>4601992003924</v>
      </c>
      <c r="B1319" s="1" t="s">
        <v>1343</v>
      </c>
      <c r="C1319" s="1" t="s">
        <v>24</v>
      </c>
      <c r="D1319" s="1" t="str">
        <f t="shared" si="2508"/>
        <v>2021</v>
      </c>
      <c r="E1319" s="1" t="str">
        <f>"48.36"</f>
        <v>48.36</v>
      </c>
      <c r="F1319" s="1" t="str">
        <f t="shared" ref="F1319:I1319" si="2585">"0"</f>
        <v>0</v>
      </c>
      <c r="G1319" s="1" t="str">
        <f t="shared" si="2585"/>
        <v>0</v>
      </c>
      <c r="H1319" s="1" t="str">
        <f t="shared" si="2585"/>
        <v>0</v>
      </c>
      <c r="I1319" s="1" t="str">
        <f t="shared" si="2585"/>
        <v>0</v>
      </c>
      <c r="J1319" s="1" t="str">
        <f>"3"</f>
        <v>3</v>
      </c>
      <c r="K1319" s="1" t="str">
        <f t="shared" ref="K1319:P1319" si="2586">"0"</f>
        <v>0</v>
      </c>
      <c r="L1319" s="1" t="str">
        <f t="shared" si="2586"/>
        <v>0</v>
      </c>
      <c r="M1319" s="1" t="str">
        <f t="shared" si="2586"/>
        <v>0</v>
      </c>
      <c r="N1319" s="1" t="str">
        <f t="shared" si="2586"/>
        <v>0</v>
      </c>
      <c r="O1319" s="1" t="str">
        <f t="shared" si="2586"/>
        <v>0</v>
      </c>
      <c r="P1319" s="1" t="str">
        <f t="shared" si="2586"/>
        <v>0</v>
      </c>
      <c r="Q1319" s="1" t="str">
        <f t="shared" si="2511"/>
        <v>0.0070</v>
      </c>
      <c r="R1319" s="1" t="s">
        <v>29</v>
      </c>
      <c r="S1319" s="1">
        <v>-0.0014</v>
      </c>
      <c r="T1319" s="1" t="str">
        <f t="shared" si="2512"/>
        <v>0</v>
      </c>
      <c r="U1319" s="1" t="str">
        <f t="shared" si="2567"/>
        <v>0.0056</v>
      </c>
    </row>
    <row r="1320" s="1" customFormat="1" spans="1:21">
      <c r="A1320" s="1" t="str">
        <f>"4601992015521"</f>
        <v>4601992015521</v>
      </c>
      <c r="B1320" s="1" t="s">
        <v>1344</v>
      </c>
      <c r="C1320" s="1" t="s">
        <v>24</v>
      </c>
      <c r="D1320" s="1" t="str">
        <f t="shared" si="2508"/>
        <v>2021</v>
      </c>
      <c r="E1320" s="1" t="str">
        <f t="shared" ref="E1320:P1320" si="2587">"0"</f>
        <v>0</v>
      </c>
      <c r="F1320" s="1" t="str">
        <f t="shared" si="2587"/>
        <v>0</v>
      </c>
      <c r="G1320" s="1" t="str">
        <f t="shared" si="2587"/>
        <v>0</v>
      </c>
      <c r="H1320" s="1" t="str">
        <f t="shared" si="2587"/>
        <v>0</v>
      </c>
      <c r="I1320" s="1" t="str">
        <f t="shared" si="2587"/>
        <v>0</v>
      </c>
      <c r="J1320" s="1" t="str">
        <f t="shared" si="2587"/>
        <v>0</v>
      </c>
      <c r="K1320" s="1" t="str">
        <f t="shared" si="2587"/>
        <v>0</v>
      </c>
      <c r="L1320" s="1" t="str">
        <f t="shared" si="2587"/>
        <v>0</v>
      </c>
      <c r="M1320" s="1" t="str">
        <f t="shared" si="2587"/>
        <v>0</v>
      </c>
      <c r="N1320" s="1" t="str">
        <f t="shared" si="2587"/>
        <v>0</v>
      </c>
      <c r="O1320" s="1" t="str">
        <f t="shared" si="2587"/>
        <v>0</v>
      </c>
      <c r="P1320" s="1" t="str">
        <f t="shared" si="2587"/>
        <v>0</v>
      </c>
      <c r="Q1320" s="1" t="str">
        <f t="shared" si="2511"/>
        <v>0.0070</v>
      </c>
      <c r="R1320" s="1" t="s">
        <v>25</v>
      </c>
      <c r="T1320" s="1" t="str">
        <f t="shared" si="2512"/>
        <v>0</v>
      </c>
      <c r="U1320" s="1" t="str">
        <f t="shared" ref="U1320:U1325" si="2588">"0.0070"</f>
        <v>0.0070</v>
      </c>
    </row>
    <row r="1321" s="1" customFormat="1" spans="1:21">
      <c r="A1321" s="1" t="str">
        <f>"4601992015472"</f>
        <v>4601992015472</v>
      </c>
      <c r="B1321" s="1" t="s">
        <v>1345</v>
      </c>
      <c r="C1321" s="1" t="s">
        <v>24</v>
      </c>
      <c r="D1321" s="1" t="str">
        <f t="shared" si="2508"/>
        <v>2021</v>
      </c>
      <c r="E1321" s="1" t="str">
        <f>"266.50"</f>
        <v>266.50</v>
      </c>
      <c r="F1321" s="1" t="str">
        <f t="shared" ref="F1321:I1321" si="2589">"0"</f>
        <v>0</v>
      </c>
      <c r="G1321" s="1" t="str">
        <f t="shared" si="2589"/>
        <v>0</v>
      </c>
      <c r="H1321" s="1" t="str">
        <f t="shared" si="2589"/>
        <v>0</v>
      </c>
      <c r="I1321" s="1" t="str">
        <f t="shared" si="2589"/>
        <v>0</v>
      </c>
      <c r="J1321" s="1" t="str">
        <f>"23"</f>
        <v>23</v>
      </c>
      <c r="K1321" s="1" t="str">
        <f t="shared" ref="K1321:P1321" si="2590">"0"</f>
        <v>0</v>
      </c>
      <c r="L1321" s="1" t="str">
        <f t="shared" si="2590"/>
        <v>0</v>
      </c>
      <c r="M1321" s="1" t="str">
        <f t="shared" si="2590"/>
        <v>0</v>
      </c>
      <c r="N1321" s="1" t="str">
        <f t="shared" si="2590"/>
        <v>0</v>
      </c>
      <c r="O1321" s="1" t="str">
        <f t="shared" si="2590"/>
        <v>0</v>
      </c>
      <c r="P1321" s="1" t="str">
        <f t="shared" si="2590"/>
        <v>0</v>
      </c>
      <c r="Q1321" s="1" t="str">
        <f t="shared" si="2511"/>
        <v>0.0070</v>
      </c>
      <c r="R1321" s="1" t="s">
        <v>29</v>
      </c>
      <c r="S1321" s="1">
        <v>-0.0014</v>
      </c>
      <c r="T1321" s="1" t="str">
        <f t="shared" si="2512"/>
        <v>0</v>
      </c>
      <c r="U1321" s="1" t="str">
        <f t="shared" ref="U1321:U1323" si="2591">"0.0056"</f>
        <v>0.0056</v>
      </c>
    </row>
    <row r="1322" s="1" customFormat="1" spans="1:21">
      <c r="A1322" s="1" t="str">
        <f>"4601992015503"</f>
        <v>4601992015503</v>
      </c>
      <c r="B1322" s="1" t="s">
        <v>1346</v>
      </c>
      <c r="C1322" s="1" t="s">
        <v>24</v>
      </c>
      <c r="D1322" s="1" t="str">
        <f t="shared" si="2508"/>
        <v>2021</v>
      </c>
      <c r="E1322" s="1" t="str">
        <f>"97.71"</f>
        <v>97.71</v>
      </c>
      <c r="F1322" s="1" t="str">
        <f t="shared" ref="F1322:I1322" si="2592">"0"</f>
        <v>0</v>
      </c>
      <c r="G1322" s="1" t="str">
        <f t="shared" si="2592"/>
        <v>0</v>
      </c>
      <c r="H1322" s="1" t="str">
        <f t="shared" si="2592"/>
        <v>0</v>
      </c>
      <c r="I1322" s="1" t="str">
        <f t="shared" si="2592"/>
        <v>0</v>
      </c>
      <c r="J1322" s="1" t="str">
        <f>"6"</f>
        <v>6</v>
      </c>
      <c r="K1322" s="1" t="str">
        <f t="shared" ref="K1322:P1322" si="2593">"0"</f>
        <v>0</v>
      </c>
      <c r="L1322" s="1" t="str">
        <f t="shared" si="2593"/>
        <v>0</v>
      </c>
      <c r="M1322" s="1" t="str">
        <f t="shared" si="2593"/>
        <v>0</v>
      </c>
      <c r="N1322" s="1" t="str">
        <f t="shared" si="2593"/>
        <v>0</v>
      </c>
      <c r="O1322" s="1" t="str">
        <f t="shared" si="2593"/>
        <v>0</v>
      </c>
      <c r="P1322" s="1" t="str">
        <f t="shared" si="2593"/>
        <v>0</v>
      </c>
      <c r="Q1322" s="1" t="str">
        <f t="shared" si="2511"/>
        <v>0.0070</v>
      </c>
      <c r="R1322" s="1" t="s">
        <v>29</v>
      </c>
      <c r="S1322" s="1">
        <v>-0.0014</v>
      </c>
      <c r="T1322" s="1" t="str">
        <f t="shared" si="2512"/>
        <v>0</v>
      </c>
      <c r="U1322" s="1" t="str">
        <f t="shared" si="2591"/>
        <v>0.0056</v>
      </c>
    </row>
    <row r="1323" s="1" customFormat="1" spans="1:21">
      <c r="A1323" s="1" t="str">
        <f>"4601992015526"</f>
        <v>4601992015526</v>
      </c>
      <c r="B1323" s="1" t="s">
        <v>1347</v>
      </c>
      <c r="C1323" s="1" t="s">
        <v>24</v>
      </c>
      <c r="D1323" s="1" t="str">
        <f t="shared" si="2508"/>
        <v>2021</v>
      </c>
      <c r="E1323" s="1" t="str">
        <f>"132.99"</f>
        <v>132.99</v>
      </c>
      <c r="F1323" s="1" t="str">
        <f t="shared" ref="F1323:I1323" si="2594">"0"</f>
        <v>0</v>
      </c>
      <c r="G1323" s="1" t="str">
        <f t="shared" si="2594"/>
        <v>0</v>
      </c>
      <c r="H1323" s="1" t="str">
        <f t="shared" si="2594"/>
        <v>0</v>
      </c>
      <c r="I1323" s="1" t="str">
        <f t="shared" si="2594"/>
        <v>0</v>
      </c>
      <c r="J1323" s="1" t="str">
        <f>"12"</f>
        <v>12</v>
      </c>
      <c r="K1323" s="1" t="str">
        <f t="shared" ref="K1323:P1323" si="2595">"0"</f>
        <v>0</v>
      </c>
      <c r="L1323" s="1" t="str">
        <f t="shared" si="2595"/>
        <v>0</v>
      </c>
      <c r="M1323" s="1" t="str">
        <f t="shared" si="2595"/>
        <v>0</v>
      </c>
      <c r="N1323" s="1" t="str">
        <f t="shared" si="2595"/>
        <v>0</v>
      </c>
      <c r="O1323" s="1" t="str">
        <f t="shared" si="2595"/>
        <v>0</v>
      </c>
      <c r="P1323" s="1" t="str">
        <f t="shared" si="2595"/>
        <v>0</v>
      </c>
      <c r="Q1323" s="1" t="str">
        <f t="shared" si="2511"/>
        <v>0.0070</v>
      </c>
      <c r="R1323" s="1" t="s">
        <v>29</v>
      </c>
      <c r="S1323" s="1">
        <v>-0.0014</v>
      </c>
      <c r="T1323" s="1" t="str">
        <f t="shared" si="2512"/>
        <v>0</v>
      </c>
      <c r="U1323" s="1" t="str">
        <f t="shared" si="2591"/>
        <v>0.0056</v>
      </c>
    </row>
    <row r="1324" s="1" customFormat="1" spans="1:21">
      <c r="A1324" s="1" t="str">
        <f>"4601992015544"</f>
        <v>4601992015544</v>
      </c>
      <c r="B1324" s="1" t="s">
        <v>1348</v>
      </c>
      <c r="C1324" s="1" t="s">
        <v>24</v>
      </c>
      <c r="D1324" s="1" t="str">
        <f t="shared" si="2508"/>
        <v>2021</v>
      </c>
      <c r="E1324" s="1" t="str">
        <f t="shared" ref="E1324:P1324" si="2596">"0"</f>
        <v>0</v>
      </c>
      <c r="F1324" s="1" t="str">
        <f t="shared" si="2596"/>
        <v>0</v>
      </c>
      <c r="G1324" s="1" t="str">
        <f t="shared" si="2596"/>
        <v>0</v>
      </c>
      <c r="H1324" s="1" t="str">
        <f t="shared" si="2596"/>
        <v>0</v>
      </c>
      <c r="I1324" s="1" t="str">
        <f t="shared" si="2596"/>
        <v>0</v>
      </c>
      <c r="J1324" s="1" t="str">
        <f t="shared" si="2596"/>
        <v>0</v>
      </c>
      <c r="K1324" s="1" t="str">
        <f t="shared" si="2596"/>
        <v>0</v>
      </c>
      <c r="L1324" s="1" t="str">
        <f t="shared" si="2596"/>
        <v>0</v>
      </c>
      <c r="M1324" s="1" t="str">
        <f t="shared" si="2596"/>
        <v>0</v>
      </c>
      <c r="N1324" s="1" t="str">
        <f t="shared" si="2596"/>
        <v>0</v>
      </c>
      <c r="O1324" s="1" t="str">
        <f t="shared" si="2596"/>
        <v>0</v>
      </c>
      <c r="P1324" s="1" t="str">
        <f t="shared" si="2596"/>
        <v>0</v>
      </c>
      <c r="Q1324" s="1" t="str">
        <f t="shared" si="2511"/>
        <v>0.0070</v>
      </c>
      <c r="R1324" s="1" t="s">
        <v>25</v>
      </c>
      <c r="T1324" s="1" t="str">
        <f t="shared" si="2512"/>
        <v>0</v>
      </c>
      <c r="U1324" s="1" t="str">
        <f t="shared" si="2588"/>
        <v>0.0070</v>
      </c>
    </row>
    <row r="1325" s="1" customFormat="1" spans="1:21">
      <c r="A1325" s="1" t="str">
        <f>"4601992015537"</f>
        <v>4601992015537</v>
      </c>
      <c r="B1325" s="1" t="s">
        <v>1349</v>
      </c>
      <c r="C1325" s="1" t="s">
        <v>24</v>
      </c>
      <c r="D1325" s="1" t="str">
        <f t="shared" si="2508"/>
        <v>2021</v>
      </c>
      <c r="E1325" s="1" t="str">
        <f t="shared" ref="E1325:G1325" si="2597">"0"</f>
        <v>0</v>
      </c>
      <c r="F1325" s="1" t="str">
        <f t="shared" si="2597"/>
        <v>0</v>
      </c>
      <c r="G1325" s="1" t="str">
        <f t="shared" si="2597"/>
        <v>0</v>
      </c>
      <c r="H1325" s="1" t="str">
        <f>"12.09"</f>
        <v>12.09</v>
      </c>
      <c r="I1325" s="1" t="str">
        <f t="shared" ref="I1325:P1325" si="2598">"0"</f>
        <v>0</v>
      </c>
      <c r="J1325" s="1" t="str">
        <f>"1"</f>
        <v>1</v>
      </c>
      <c r="K1325" s="1" t="str">
        <f t="shared" si="2598"/>
        <v>0</v>
      </c>
      <c r="L1325" s="1" t="str">
        <f t="shared" si="2598"/>
        <v>0</v>
      </c>
      <c r="M1325" s="1" t="str">
        <f t="shared" si="2598"/>
        <v>0</v>
      </c>
      <c r="N1325" s="1" t="str">
        <f t="shared" si="2598"/>
        <v>0</v>
      </c>
      <c r="O1325" s="1" t="str">
        <f t="shared" si="2598"/>
        <v>0</v>
      </c>
      <c r="P1325" s="1" t="str">
        <f t="shared" si="2598"/>
        <v>0</v>
      </c>
      <c r="Q1325" s="1" t="str">
        <f t="shared" si="2511"/>
        <v>0.0070</v>
      </c>
      <c r="R1325" s="1" t="s">
        <v>25</v>
      </c>
      <c r="T1325" s="1" t="str">
        <f t="shared" si="2512"/>
        <v>0</v>
      </c>
      <c r="U1325" s="1" t="str">
        <f t="shared" si="2588"/>
        <v>0.0070</v>
      </c>
    </row>
    <row r="1326" s="1" customFormat="1" spans="1:21">
      <c r="A1326" s="1" t="str">
        <f>"4601992015534"</f>
        <v>4601992015534</v>
      </c>
      <c r="B1326" s="1" t="s">
        <v>1350</v>
      </c>
      <c r="C1326" s="1" t="s">
        <v>24</v>
      </c>
      <c r="D1326" s="1" t="str">
        <f t="shared" si="2508"/>
        <v>2021</v>
      </c>
      <c r="E1326" s="1" t="str">
        <f>"24.07"</f>
        <v>24.07</v>
      </c>
      <c r="F1326" s="1" t="str">
        <f t="shared" ref="F1326:I1326" si="2599">"0"</f>
        <v>0</v>
      </c>
      <c r="G1326" s="1" t="str">
        <f t="shared" si="2599"/>
        <v>0</v>
      </c>
      <c r="H1326" s="1" t="str">
        <f t="shared" si="2599"/>
        <v>0</v>
      </c>
      <c r="I1326" s="1" t="str">
        <f t="shared" si="2599"/>
        <v>0</v>
      </c>
      <c r="J1326" s="1" t="str">
        <f>"5"</f>
        <v>5</v>
      </c>
      <c r="K1326" s="1" t="str">
        <f t="shared" ref="K1326:P1326" si="2600">"0"</f>
        <v>0</v>
      </c>
      <c r="L1326" s="1" t="str">
        <f t="shared" si="2600"/>
        <v>0</v>
      </c>
      <c r="M1326" s="1" t="str">
        <f t="shared" si="2600"/>
        <v>0</v>
      </c>
      <c r="N1326" s="1" t="str">
        <f t="shared" si="2600"/>
        <v>0</v>
      </c>
      <c r="O1326" s="1" t="str">
        <f t="shared" si="2600"/>
        <v>0</v>
      </c>
      <c r="P1326" s="1" t="str">
        <f t="shared" si="2600"/>
        <v>0</v>
      </c>
      <c r="Q1326" s="1" t="str">
        <f t="shared" si="2511"/>
        <v>0.0070</v>
      </c>
      <c r="R1326" s="1" t="s">
        <v>29</v>
      </c>
      <c r="S1326" s="1">
        <v>-0.0014</v>
      </c>
      <c r="T1326" s="1" t="str">
        <f t="shared" si="2512"/>
        <v>0</v>
      </c>
      <c r="U1326" s="1" t="str">
        <f t="shared" ref="U1326:U1335" si="2601">"0.0056"</f>
        <v>0.0056</v>
      </c>
    </row>
    <row r="1327" s="1" customFormat="1" spans="1:21">
      <c r="A1327" s="1" t="str">
        <f>"4601992015561"</f>
        <v>4601992015561</v>
      </c>
      <c r="B1327" s="1" t="s">
        <v>1351</v>
      </c>
      <c r="C1327" s="1" t="s">
        <v>24</v>
      </c>
      <c r="D1327" s="1" t="str">
        <f t="shared" si="2508"/>
        <v>2021</v>
      </c>
      <c r="E1327" s="1" t="str">
        <f t="shared" ref="E1327:P1327" si="2602">"0"</f>
        <v>0</v>
      </c>
      <c r="F1327" s="1" t="str">
        <f t="shared" si="2602"/>
        <v>0</v>
      </c>
      <c r="G1327" s="1" t="str">
        <f t="shared" si="2602"/>
        <v>0</v>
      </c>
      <c r="H1327" s="1" t="str">
        <f t="shared" si="2602"/>
        <v>0</v>
      </c>
      <c r="I1327" s="1" t="str">
        <f t="shared" si="2602"/>
        <v>0</v>
      </c>
      <c r="J1327" s="1" t="str">
        <f t="shared" si="2602"/>
        <v>0</v>
      </c>
      <c r="K1327" s="1" t="str">
        <f t="shared" si="2602"/>
        <v>0</v>
      </c>
      <c r="L1327" s="1" t="str">
        <f t="shared" si="2602"/>
        <v>0</v>
      </c>
      <c r="M1327" s="1" t="str">
        <f t="shared" si="2602"/>
        <v>0</v>
      </c>
      <c r="N1327" s="1" t="str">
        <f t="shared" si="2602"/>
        <v>0</v>
      </c>
      <c r="O1327" s="1" t="str">
        <f t="shared" si="2602"/>
        <v>0</v>
      </c>
      <c r="P1327" s="1" t="str">
        <f t="shared" si="2602"/>
        <v>0</v>
      </c>
      <c r="Q1327" s="1" t="str">
        <f t="shared" si="2511"/>
        <v>0.0070</v>
      </c>
      <c r="R1327" s="1" t="s">
        <v>25</v>
      </c>
      <c r="T1327" s="1" t="str">
        <f t="shared" si="2512"/>
        <v>0</v>
      </c>
      <c r="U1327" s="1" t="str">
        <f>"0.0070"</f>
        <v>0.0070</v>
      </c>
    </row>
    <row r="1328" s="1" customFormat="1" spans="1:21">
      <c r="A1328" s="1" t="str">
        <f>"4601992015625"</f>
        <v>4601992015625</v>
      </c>
      <c r="B1328" s="1" t="s">
        <v>1352</v>
      </c>
      <c r="C1328" s="1" t="s">
        <v>24</v>
      </c>
      <c r="D1328" s="1" t="str">
        <f t="shared" si="2508"/>
        <v>2021</v>
      </c>
      <c r="E1328" s="1" t="str">
        <f t="shared" ref="E1328:P1328" si="2603">"0"</f>
        <v>0</v>
      </c>
      <c r="F1328" s="1" t="str">
        <f t="shared" si="2603"/>
        <v>0</v>
      </c>
      <c r="G1328" s="1" t="str">
        <f t="shared" si="2603"/>
        <v>0</v>
      </c>
      <c r="H1328" s="1" t="str">
        <f t="shared" si="2603"/>
        <v>0</v>
      </c>
      <c r="I1328" s="1" t="str">
        <f t="shared" si="2603"/>
        <v>0</v>
      </c>
      <c r="J1328" s="1" t="str">
        <f t="shared" si="2603"/>
        <v>0</v>
      </c>
      <c r="K1328" s="1" t="str">
        <f t="shared" si="2603"/>
        <v>0</v>
      </c>
      <c r="L1328" s="1" t="str">
        <f t="shared" si="2603"/>
        <v>0</v>
      </c>
      <c r="M1328" s="1" t="str">
        <f t="shared" si="2603"/>
        <v>0</v>
      </c>
      <c r="N1328" s="1" t="str">
        <f t="shared" si="2603"/>
        <v>0</v>
      </c>
      <c r="O1328" s="1" t="str">
        <f t="shared" si="2603"/>
        <v>0</v>
      </c>
      <c r="P1328" s="1" t="str">
        <f t="shared" si="2603"/>
        <v>0</v>
      </c>
      <c r="Q1328" s="1" t="str">
        <f t="shared" si="2511"/>
        <v>0.0070</v>
      </c>
      <c r="R1328" s="1" t="s">
        <v>25</v>
      </c>
      <c r="T1328" s="1" t="str">
        <f t="shared" si="2512"/>
        <v>0</v>
      </c>
      <c r="U1328" s="1" t="str">
        <f>"0.0070"</f>
        <v>0.0070</v>
      </c>
    </row>
    <row r="1329" s="1" customFormat="1" spans="1:21">
      <c r="A1329" s="1" t="str">
        <f>"4601992015612"</f>
        <v>4601992015612</v>
      </c>
      <c r="B1329" s="1" t="s">
        <v>1353</v>
      </c>
      <c r="C1329" s="1" t="s">
        <v>24</v>
      </c>
      <c r="D1329" s="1" t="str">
        <f t="shared" si="2508"/>
        <v>2021</v>
      </c>
      <c r="E1329" s="1" t="str">
        <f>"60.45"</f>
        <v>60.45</v>
      </c>
      <c r="F1329" s="1" t="str">
        <f t="shared" ref="F1329:I1329" si="2604">"0"</f>
        <v>0</v>
      </c>
      <c r="G1329" s="1" t="str">
        <f t="shared" si="2604"/>
        <v>0</v>
      </c>
      <c r="H1329" s="1" t="str">
        <f t="shared" si="2604"/>
        <v>0</v>
      </c>
      <c r="I1329" s="1" t="str">
        <f t="shared" si="2604"/>
        <v>0</v>
      </c>
      <c r="J1329" s="1" t="str">
        <f>"5"</f>
        <v>5</v>
      </c>
      <c r="K1329" s="1" t="str">
        <f t="shared" ref="K1329:P1329" si="2605">"0"</f>
        <v>0</v>
      </c>
      <c r="L1329" s="1" t="str">
        <f t="shared" si="2605"/>
        <v>0</v>
      </c>
      <c r="M1329" s="1" t="str">
        <f t="shared" si="2605"/>
        <v>0</v>
      </c>
      <c r="N1329" s="1" t="str">
        <f t="shared" si="2605"/>
        <v>0</v>
      </c>
      <c r="O1329" s="1" t="str">
        <f t="shared" si="2605"/>
        <v>0</v>
      </c>
      <c r="P1329" s="1" t="str">
        <f t="shared" si="2605"/>
        <v>0</v>
      </c>
      <c r="Q1329" s="1" t="str">
        <f t="shared" si="2511"/>
        <v>0.0070</v>
      </c>
      <c r="R1329" s="1" t="s">
        <v>29</v>
      </c>
      <c r="S1329" s="1">
        <v>-0.0014</v>
      </c>
      <c r="T1329" s="1" t="str">
        <f t="shared" si="2512"/>
        <v>0</v>
      </c>
      <c r="U1329" s="1" t="str">
        <f t="shared" si="2601"/>
        <v>0.0056</v>
      </c>
    </row>
    <row r="1330" s="1" customFormat="1" spans="1:21">
      <c r="A1330" s="1" t="str">
        <f>"4601992015548"</f>
        <v>4601992015548</v>
      </c>
      <c r="B1330" s="1" t="s">
        <v>1354</v>
      </c>
      <c r="C1330" s="1" t="s">
        <v>24</v>
      </c>
      <c r="D1330" s="1" t="str">
        <f t="shared" si="2508"/>
        <v>2021</v>
      </c>
      <c r="E1330" s="1" t="str">
        <f>"35.94"</f>
        <v>35.94</v>
      </c>
      <c r="F1330" s="1" t="str">
        <f t="shared" ref="F1330:I1330" si="2606">"0"</f>
        <v>0</v>
      </c>
      <c r="G1330" s="1" t="str">
        <f t="shared" si="2606"/>
        <v>0</v>
      </c>
      <c r="H1330" s="1" t="str">
        <f t="shared" si="2606"/>
        <v>0</v>
      </c>
      <c r="I1330" s="1" t="str">
        <f t="shared" si="2606"/>
        <v>0</v>
      </c>
      <c r="J1330" s="1" t="str">
        <f>"3"</f>
        <v>3</v>
      </c>
      <c r="K1330" s="1" t="str">
        <f t="shared" ref="K1330:P1330" si="2607">"0"</f>
        <v>0</v>
      </c>
      <c r="L1330" s="1" t="str">
        <f t="shared" si="2607"/>
        <v>0</v>
      </c>
      <c r="M1330" s="1" t="str">
        <f t="shared" si="2607"/>
        <v>0</v>
      </c>
      <c r="N1330" s="1" t="str">
        <f t="shared" si="2607"/>
        <v>0</v>
      </c>
      <c r="O1330" s="1" t="str">
        <f t="shared" si="2607"/>
        <v>0</v>
      </c>
      <c r="P1330" s="1" t="str">
        <f t="shared" si="2607"/>
        <v>0</v>
      </c>
      <c r="Q1330" s="1" t="str">
        <f t="shared" si="2511"/>
        <v>0.0070</v>
      </c>
      <c r="R1330" s="1" t="s">
        <v>29</v>
      </c>
      <c r="S1330" s="1">
        <v>-0.0014</v>
      </c>
      <c r="T1330" s="1" t="str">
        <f t="shared" si="2512"/>
        <v>0</v>
      </c>
      <c r="U1330" s="1" t="str">
        <f t="shared" si="2601"/>
        <v>0.0056</v>
      </c>
    </row>
    <row r="1331" s="1" customFormat="1" spans="1:21">
      <c r="A1331" s="1" t="str">
        <f>"4601992015624"</f>
        <v>4601992015624</v>
      </c>
      <c r="B1331" s="1" t="s">
        <v>1355</v>
      </c>
      <c r="C1331" s="1" t="s">
        <v>24</v>
      </c>
      <c r="D1331" s="1" t="str">
        <f t="shared" si="2508"/>
        <v>2021</v>
      </c>
      <c r="E1331" s="1" t="str">
        <f>"84.63"</f>
        <v>84.63</v>
      </c>
      <c r="F1331" s="1" t="str">
        <f t="shared" ref="F1331:I1331" si="2608">"0"</f>
        <v>0</v>
      </c>
      <c r="G1331" s="1" t="str">
        <f t="shared" si="2608"/>
        <v>0</v>
      </c>
      <c r="H1331" s="1" t="str">
        <f t="shared" si="2608"/>
        <v>0</v>
      </c>
      <c r="I1331" s="1" t="str">
        <f t="shared" si="2608"/>
        <v>0</v>
      </c>
      <c r="J1331" s="1" t="str">
        <f>"7"</f>
        <v>7</v>
      </c>
      <c r="K1331" s="1" t="str">
        <f t="shared" ref="K1331:P1331" si="2609">"0"</f>
        <v>0</v>
      </c>
      <c r="L1331" s="1" t="str">
        <f t="shared" si="2609"/>
        <v>0</v>
      </c>
      <c r="M1331" s="1" t="str">
        <f t="shared" si="2609"/>
        <v>0</v>
      </c>
      <c r="N1331" s="1" t="str">
        <f t="shared" si="2609"/>
        <v>0</v>
      </c>
      <c r="O1331" s="1" t="str">
        <f t="shared" si="2609"/>
        <v>0</v>
      </c>
      <c r="P1331" s="1" t="str">
        <f t="shared" si="2609"/>
        <v>0</v>
      </c>
      <c r="Q1331" s="1" t="str">
        <f t="shared" si="2511"/>
        <v>0.0070</v>
      </c>
      <c r="R1331" s="1" t="s">
        <v>29</v>
      </c>
      <c r="S1331" s="1">
        <v>-0.0014</v>
      </c>
      <c r="T1331" s="1" t="str">
        <f t="shared" si="2512"/>
        <v>0</v>
      </c>
      <c r="U1331" s="1" t="str">
        <f t="shared" si="2601"/>
        <v>0.0056</v>
      </c>
    </row>
    <row r="1332" s="1" customFormat="1" spans="1:21">
      <c r="A1332" s="1" t="str">
        <f>"4601992015643"</f>
        <v>4601992015643</v>
      </c>
      <c r="B1332" s="1" t="s">
        <v>1356</v>
      </c>
      <c r="C1332" s="1" t="s">
        <v>24</v>
      </c>
      <c r="D1332" s="1" t="str">
        <f t="shared" si="2508"/>
        <v>2021</v>
      </c>
      <c r="E1332" s="1" t="str">
        <f>"12.09"</f>
        <v>12.09</v>
      </c>
      <c r="F1332" s="1" t="str">
        <f t="shared" ref="F1332:I1332" si="2610">"0"</f>
        <v>0</v>
      </c>
      <c r="G1332" s="1" t="str">
        <f t="shared" si="2610"/>
        <v>0</v>
      </c>
      <c r="H1332" s="1" t="str">
        <f t="shared" si="2610"/>
        <v>0</v>
      </c>
      <c r="I1332" s="1" t="str">
        <f t="shared" si="2610"/>
        <v>0</v>
      </c>
      <c r="J1332" s="1" t="str">
        <f>"1"</f>
        <v>1</v>
      </c>
      <c r="K1332" s="1" t="str">
        <f t="shared" ref="K1332:P1332" si="2611">"0"</f>
        <v>0</v>
      </c>
      <c r="L1332" s="1" t="str">
        <f t="shared" si="2611"/>
        <v>0</v>
      </c>
      <c r="M1332" s="1" t="str">
        <f t="shared" si="2611"/>
        <v>0</v>
      </c>
      <c r="N1332" s="1" t="str">
        <f t="shared" si="2611"/>
        <v>0</v>
      </c>
      <c r="O1332" s="1" t="str">
        <f t="shared" si="2611"/>
        <v>0</v>
      </c>
      <c r="P1332" s="1" t="str">
        <f t="shared" si="2611"/>
        <v>0</v>
      </c>
      <c r="Q1332" s="1" t="str">
        <f t="shared" si="2511"/>
        <v>0.0070</v>
      </c>
      <c r="R1332" s="1" t="s">
        <v>29</v>
      </c>
      <c r="S1332" s="1">
        <v>-0.0014</v>
      </c>
      <c r="T1332" s="1" t="str">
        <f t="shared" si="2512"/>
        <v>0</v>
      </c>
      <c r="U1332" s="1" t="str">
        <f t="shared" si="2601"/>
        <v>0.0056</v>
      </c>
    </row>
    <row r="1333" s="1" customFormat="1" spans="1:21">
      <c r="A1333" s="1" t="str">
        <f>"4601992015639"</f>
        <v>4601992015639</v>
      </c>
      <c r="B1333" s="1" t="s">
        <v>1357</v>
      </c>
      <c r="C1333" s="1" t="s">
        <v>24</v>
      </c>
      <c r="D1333" s="1" t="str">
        <f t="shared" si="2508"/>
        <v>2021</v>
      </c>
      <c r="E1333" s="1" t="str">
        <f>"36.27"</f>
        <v>36.27</v>
      </c>
      <c r="F1333" s="1" t="str">
        <f t="shared" ref="F1333:I1333" si="2612">"0"</f>
        <v>0</v>
      </c>
      <c r="G1333" s="1" t="str">
        <f t="shared" si="2612"/>
        <v>0</v>
      </c>
      <c r="H1333" s="1" t="str">
        <f t="shared" si="2612"/>
        <v>0</v>
      </c>
      <c r="I1333" s="1" t="str">
        <f t="shared" si="2612"/>
        <v>0</v>
      </c>
      <c r="J1333" s="1" t="str">
        <f>"6"</f>
        <v>6</v>
      </c>
      <c r="K1333" s="1" t="str">
        <f t="shared" ref="K1333:P1333" si="2613">"0"</f>
        <v>0</v>
      </c>
      <c r="L1333" s="1" t="str">
        <f t="shared" si="2613"/>
        <v>0</v>
      </c>
      <c r="M1333" s="1" t="str">
        <f t="shared" si="2613"/>
        <v>0</v>
      </c>
      <c r="N1333" s="1" t="str">
        <f t="shared" si="2613"/>
        <v>0</v>
      </c>
      <c r="O1333" s="1" t="str">
        <f t="shared" si="2613"/>
        <v>0</v>
      </c>
      <c r="P1333" s="1" t="str">
        <f t="shared" si="2613"/>
        <v>0</v>
      </c>
      <c r="Q1333" s="1" t="str">
        <f t="shared" si="2511"/>
        <v>0.0070</v>
      </c>
      <c r="R1333" s="1" t="s">
        <v>29</v>
      </c>
      <c r="S1333" s="1">
        <v>-0.0014</v>
      </c>
      <c r="T1333" s="1" t="str">
        <f t="shared" si="2512"/>
        <v>0</v>
      </c>
      <c r="U1333" s="1" t="str">
        <f t="shared" si="2601"/>
        <v>0.0056</v>
      </c>
    </row>
    <row r="1334" s="1" customFormat="1" spans="1:21">
      <c r="A1334" s="1" t="str">
        <f>"4601992015627"</f>
        <v>4601992015627</v>
      </c>
      <c r="B1334" s="1" t="s">
        <v>1358</v>
      </c>
      <c r="C1334" s="1" t="s">
        <v>24</v>
      </c>
      <c r="D1334" s="1" t="str">
        <f t="shared" si="2508"/>
        <v>2021</v>
      </c>
      <c r="E1334" s="1" t="str">
        <f>"60.45"</f>
        <v>60.45</v>
      </c>
      <c r="F1334" s="1" t="str">
        <f t="shared" ref="F1334:I1334" si="2614">"0"</f>
        <v>0</v>
      </c>
      <c r="G1334" s="1" t="str">
        <f t="shared" si="2614"/>
        <v>0</v>
      </c>
      <c r="H1334" s="1" t="str">
        <f t="shared" si="2614"/>
        <v>0</v>
      </c>
      <c r="I1334" s="1" t="str">
        <f t="shared" si="2614"/>
        <v>0</v>
      </c>
      <c r="J1334" s="1" t="str">
        <f>"6"</f>
        <v>6</v>
      </c>
      <c r="K1334" s="1" t="str">
        <f t="shared" ref="K1334:P1334" si="2615">"0"</f>
        <v>0</v>
      </c>
      <c r="L1334" s="1" t="str">
        <f t="shared" si="2615"/>
        <v>0</v>
      </c>
      <c r="M1334" s="1" t="str">
        <f t="shared" si="2615"/>
        <v>0</v>
      </c>
      <c r="N1334" s="1" t="str">
        <f t="shared" si="2615"/>
        <v>0</v>
      </c>
      <c r="O1334" s="1" t="str">
        <f t="shared" si="2615"/>
        <v>0</v>
      </c>
      <c r="P1334" s="1" t="str">
        <f t="shared" si="2615"/>
        <v>0</v>
      </c>
      <c r="Q1334" s="1" t="str">
        <f t="shared" si="2511"/>
        <v>0.0070</v>
      </c>
      <c r="R1334" s="1" t="s">
        <v>29</v>
      </c>
      <c r="S1334" s="1">
        <v>-0.0014</v>
      </c>
      <c r="T1334" s="1" t="str">
        <f t="shared" si="2512"/>
        <v>0</v>
      </c>
      <c r="U1334" s="1" t="str">
        <f t="shared" si="2601"/>
        <v>0.0056</v>
      </c>
    </row>
    <row r="1335" s="1" customFormat="1" spans="1:21">
      <c r="A1335" s="1" t="str">
        <f>"4601992015644"</f>
        <v>4601992015644</v>
      </c>
      <c r="B1335" s="1" t="s">
        <v>1359</v>
      </c>
      <c r="C1335" s="1" t="s">
        <v>24</v>
      </c>
      <c r="D1335" s="1" t="str">
        <f t="shared" si="2508"/>
        <v>2021</v>
      </c>
      <c r="E1335" s="1" t="str">
        <f>"157.17"</f>
        <v>157.17</v>
      </c>
      <c r="F1335" s="1" t="str">
        <f t="shared" ref="F1335:I1335" si="2616">"0"</f>
        <v>0</v>
      </c>
      <c r="G1335" s="1" t="str">
        <f t="shared" si="2616"/>
        <v>0</v>
      </c>
      <c r="H1335" s="1" t="str">
        <f t="shared" si="2616"/>
        <v>0</v>
      </c>
      <c r="I1335" s="1" t="str">
        <f t="shared" si="2616"/>
        <v>0</v>
      </c>
      <c r="J1335" s="1" t="str">
        <f>"14"</f>
        <v>14</v>
      </c>
      <c r="K1335" s="1" t="str">
        <f t="shared" ref="K1335:P1335" si="2617">"0"</f>
        <v>0</v>
      </c>
      <c r="L1335" s="1" t="str">
        <f t="shared" si="2617"/>
        <v>0</v>
      </c>
      <c r="M1335" s="1" t="str">
        <f t="shared" si="2617"/>
        <v>0</v>
      </c>
      <c r="N1335" s="1" t="str">
        <f t="shared" si="2617"/>
        <v>0</v>
      </c>
      <c r="O1335" s="1" t="str">
        <f t="shared" si="2617"/>
        <v>0</v>
      </c>
      <c r="P1335" s="1" t="str">
        <f t="shared" si="2617"/>
        <v>0</v>
      </c>
      <c r="Q1335" s="1" t="str">
        <f t="shared" si="2511"/>
        <v>0.0070</v>
      </c>
      <c r="R1335" s="1" t="s">
        <v>29</v>
      </c>
      <c r="S1335" s="1">
        <v>-0.0014</v>
      </c>
      <c r="T1335" s="1" t="str">
        <f t="shared" si="2512"/>
        <v>0</v>
      </c>
      <c r="U1335" s="1" t="str">
        <f t="shared" si="2601"/>
        <v>0.0056</v>
      </c>
    </row>
    <row r="1336" s="1" customFormat="1" spans="1:21">
      <c r="A1336" s="1" t="str">
        <f>"4601992015657"</f>
        <v>4601992015657</v>
      </c>
      <c r="B1336" s="1" t="s">
        <v>1360</v>
      </c>
      <c r="C1336" s="1" t="s">
        <v>24</v>
      </c>
      <c r="D1336" s="1" t="str">
        <f t="shared" si="2508"/>
        <v>2021</v>
      </c>
      <c r="E1336" s="1" t="str">
        <f t="shared" ref="E1336:I1336" si="2618">"0"</f>
        <v>0</v>
      </c>
      <c r="F1336" s="1" t="str">
        <f t="shared" si="2618"/>
        <v>0</v>
      </c>
      <c r="G1336" s="1" t="str">
        <f t="shared" si="2618"/>
        <v>0</v>
      </c>
      <c r="H1336" s="1" t="str">
        <f t="shared" si="2618"/>
        <v>0</v>
      </c>
      <c r="I1336" s="1" t="str">
        <f t="shared" si="2618"/>
        <v>0</v>
      </c>
      <c r="J1336" s="1" t="str">
        <f>"4"</f>
        <v>4</v>
      </c>
      <c r="K1336" s="1" t="str">
        <f t="shared" ref="K1336:P1336" si="2619">"0"</f>
        <v>0</v>
      </c>
      <c r="L1336" s="1" t="str">
        <f t="shared" si="2619"/>
        <v>0</v>
      </c>
      <c r="M1336" s="1" t="str">
        <f t="shared" si="2619"/>
        <v>0</v>
      </c>
      <c r="N1336" s="1" t="str">
        <f t="shared" si="2619"/>
        <v>0</v>
      </c>
      <c r="O1336" s="1" t="str">
        <f t="shared" si="2619"/>
        <v>0</v>
      </c>
      <c r="P1336" s="1" t="str">
        <f t="shared" si="2619"/>
        <v>0</v>
      </c>
      <c r="Q1336" s="1" t="str">
        <f t="shared" si="2511"/>
        <v>0.0070</v>
      </c>
      <c r="R1336" s="1" t="s">
        <v>25</v>
      </c>
      <c r="T1336" s="1" t="str">
        <f t="shared" si="2512"/>
        <v>0</v>
      </c>
      <c r="U1336" s="1" t="str">
        <f>"0.0070"</f>
        <v>0.0070</v>
      </c>
    </row>
    <row r="1337" s="1" customFormat="1" spans="1:21">
      <c r="A1337" s="1" t="str">
        <f>"4601992015655"</f>
        <v>4601992015655</v>
      </c>
      <c r="B1337" s="1" t="s">
        <v>1361</v>
      </c>
      <c r="C1337" s="1" t="s">
        <v>24</v>
      </c>
      <c r="D1337" s="1" t="str">
        <f t="shared" si="2508"/>
        <v>2021</v>
      </c>
      <c r="E1337" s="1" t="str">
        <f>"72.10"</f>
        <v>72.10</v>
      </c>
      <c r="F1337" s="1" t="str">
        <f t="shared" ref="F1337:I1337" si="2620">"0"</f>
        <v>0</v>
      </c>
      <c r="G1337" s="1" t="str">
        <f t="shared" si="2620"/>
        <v>0</v>
      </c>
      <c r="H1337" s="1" t="str">
        <f t="shared" si="2620"/>
        <v>0</v>
      </c>
      <c r="I1337" s="1" t="str">
        <f t="shared" si="2620"/>
        <v>0</v>
      </c>
      <c r="J1337" s="1" t="str">
        <f>"15"</f>
        <v>15</v>
      </c>
      <c r="K1337" s="1" t="str">
        <f t="shared" ref="K1337:P1337" si="2621">"0"</f>
        <v>0</v>
      </c>
      <c r="L1337" s="1" t="str">
        <f t="shared" si="2621"/>
        <v>0</v>
      </c>
      <c r="M1337" s="1" t="str">
        <f t="shared" si="2621"/>
        <v>0</v>
      </c>
      <c r="N1337" s="1" t="str">
        <f t="shared" si="2621"/>
        <v>0</v>
      </c>
      <c r="O1337" s="1" t="str">
        <f t="shared" si="2621"/>
        <v>0</v>
      </c>
      <c r="P1337" s="1" t="str">
        <f t="shared" si="2621"/>
        <v>0</v>
      </c>
      <c r="Q1337" s="1" t="str">
        <f t="shared" si="2511"/>
        <v>0.0070</v>
      </c>
      <c r="R1337" s="1" t="s">
        <v>29</v>
      </c>
      <c r="S1337" s="1">
        <v>-0.0014</v>
      </c>
      <c r="T1337" s="1" t="str">
        <f t="shared" si="2512"/>
        <v>0</v>
      </c>
      <c r="U1337" s="1" t="str">
        <f t="shared" ref="U1337:U1339" si="2622">"0.0056"</f>
        <v>0.0056</v>
      </c>
    </row>
    <row r="1338" s="1" customFormat="1" spans="1:21">
      <c r="A1338" s="1" t="str">
        <f>"4601992015661"</f>
        <v>4601992015661</v>
      </c>
      <c r="B1338" s="1" t="s">
        <v>1362</v>
      </c>
      <c r="C1338" s="1" t="s">
        <v>24</v>
      </c>
      <c r="D1338" s="1" t="str">
        <f t="shared" si="2508"/>
        <v>2021</v>
      </c>
      <c r="E1338" s="1" t="str">
        <f>"24.07"</f>
        <v>24.07</v>
      </c>
      <c r="F1338" s="1" t="str">
        <f t="shared" ref="F1338:I1338" si="2623">"0"</f>
        <v>0</v>
      </c>
      <c r="G1338" s="1" t="str">
        <f t="shared" si="2623"/>
        <v>0</v>
      </c>
      <c r="H1338" s="1" t="str">
        <f t="shared" si="2623"/>
        <v>0</v>
      </c>
      <c r="I1338" s="1" t="str">
        <f t="shared" si="2623"/>
        <v>0</v>
      </c>
      <c r="J1338" s="1" t="str">
        <f>"2"</f>
        <v>2</v>
      </c>
      <c r="K1338" s="1" t="str">
        <f t="shared" ref="K1338:P1338" si="2624">"0"</f>
        <v>0</v>
      </c>
      <c r="L1338" s="1" t="str">
        <f t="shared" si="2624"/>
        <v>0</v>
      </c>
      <c r="M1338" s="1" t="str">
        <f t="shared" si="2624"/>
        <v>0</v>
      </c>
      <c r="N1338" s="1" t="str">
        <f t="shared" si="2624"/>
        <v>0</v>
      </c>
      <c r="O1338" s="1" t="str">
        <f t="shared" si="2624"/>
        <v>0</v>
      </c>
      <c r="P1338" s="1" t="str">
        <f t="shared" si="2624"/>
        <v>0</v>
      </c>
      <c r="Q1338" s="1" t="str">
        <f t="shared" si="2511"/>
        <v>0.0070</v>
      </c>
      <c r="R1338" s="1" t="s">
        <v>29</v>
      </c>
      <c r="S1338" s="1">
        <v>-0.0014</v>
      </c>
      <c r="T1338" s="1" t="str">
        <f t="shared" si="2512"/>
        <v>0</v>
      </c>
      <c r="U1338" s="1" t="str">
        <f t="shared" si="2622"/>
        <v>0.0056</v>
      </c>
    </row>
    <row r="1339" s="1" customFormat="1" spans="1:21">
      <c r="A1339" s="1" t="str">
        <f>"4601992015671"</f>
        <v>4601992015671</v>
      </c>
      <c r="B1339" s="1" t="s">
        <v>1363</v>
      </c>
      <c r="C1339" s="1" t="s">
        <v>24</v>
      </c>
      <c r="D1339" s="1" t="str">
        <f t="shared" si="2508"/>
        <v>2021</v>
      </c>
      <c r="E1339" s="1" t="str">
        <f>"12.09"</f>
        <v>12.09</v>
      </c>
      <c r="F1339" s="1" t="str">
        <f t="shared" ref="F1339:I1339" si="2625">"0"</f>
        <v>0</v>
      </c>
      <c r="G1339" s="1" t="str">
        <f t="shared" si="2625"/>
        <v>0</v>
      </c>
      <c r="H1339" s="1" t="str">
        <f t="shared" si="2625"/>
        <v>0</v>
      </c>
      <c r="I1339" s="1" t="str">
        <f t="shared" si="2625"/>
        <v>0</v>
      </c>
      <c r="J1339" s="1" t="str">
        <f t="shared" ref="J1339:J1344" si="2626">"1"</f>
        <v>1</v>
      </c>
      <c r="K1339" s="1" t="str">
        <f t="shared" ref="K1339:P1339" si="2627">"0"</f>
        <v>0</v>
      </c>
      <c r="L1339" s="1" t="str">
        <f t="shared" si="2627"/>
        <v>0</v>
      </c>
      <c r="M1339" s="1" t="str">
        <f t="shared" si="2627"/>
        <v>0</v>
      </c>
      <c r="N1339" s="1" t="str">
        <f t="shared" si="2627"/>
        <v>0</v>
      </c>
      <c r="O1339" s="1" t="str">
        <f t="shared" si="2627"/>
        <v>0</v>
      </c>
      <c r="P1339" s="1" t="str">
        <f t="shared" si="2627"/>
        <v>0</v>
      </c>
      <c r="Q1339" s="1" t="str">
        <f t="shared" si="2511"/>
        <v>0.0070</v>
      </c>
      <c r="R1339" s="1" t="s">
        <v>29</v>
      </c>
      <c r="S1339" s="1">
        <v>-0.0014</v>
      </c>
      <c r="T1339" s="1" t="str">
        <f t="shared" si="2512"/>
        <v>0</v>
      </c>
      <c r="U1339" s="1" t="str">
        <f t="shared" si="2622"/>
        <v>0.0056</v>
      </c>
    </row>
    <row r="1340" s="1" customFormat="1" spans="1:21">
      <c r="A1340" s="1" t="str">
        <f>"4601992015698"</f>
        <v>4601992015698</v>
      </c>
      <c r="B1340" s="1" t="s">
        <v>1364</v>
      </c>
      <c r="C1340" s="1" t="s">
        <v>24</v>
      </c>
      <c r="D1340" s="1" t="str">
        <f t="shared" si="2508"/>
        <v>2021</v>
      </c>
      <c r="E1340" s="1" t="str">
        <f t="shared" ref="E1340:P1340" si="2628">"0"</f>
        <v>0</v>
      </c>
      <c r="F1340" s="1" t="str">
        <f t="shared" si="2628"/>
        <v>0</v>
      </c>
      <c r="G1340" s="1" t="str">
        <f t="shared" si="2628"/>
        <v>0</v>
      </c>
      <c r="H1340" s="1" t="str">
        <f t="shared" si="2628"/>
        <v>0</v>
      </c>
      <c r="I1340" s="1" t="str">
        <f t="shared" si="2628"/>
        <v>0</v>
      </c>
      <c r="J1340" s="1" t="str">
        <f t="shared" si="2628"/>
        <v>0</v>
      </c>
      <c r="K1340" s="1" t="str">
        <f t="shared" si="2628"/>
        <v>0</v>
      </c>
      <c r="L1340" s="1" t="str">
        <f t="shared" si="2628"/>
        <v>0</v>
      </c>
      <c r="M1340" s="1" t="str">
        <f t="shared" si="2628"/>
        <v>0</v>
      </c>
      <c r="N1340" s="1" t="str">
        <f t="shared" si="2628"/>
        <v>0</v>
      </c>
      <c r="O1340" s="1" t="str">
        <f t="shared" si="2628"/>
        <v>0</v>
      </c>
      <c r="P1340" s="1" t="str">
        <f t="shared" si="2628"/>
        <v>0</v>
      </c>
      <c r="Q1340" s="1" t="str">
        <f t="shared" si="2511"/>
        <v>0.0070</v>
      </c>
      <c r="R1340" s="1" t="s">
        <v>25</v>
      </c>
      <c r="T1340" s="1" t="str">
        <f t="shared" si="2512"/>
        <v>0</v>
      </c>
      <c r="U1340" s="1" t="str">
        <f t="shared" ref="U1340:U1345" si="2629">"0.0070"</f>
        <v>0.0070</v>
      </c>
    </row>
    <row r="1341" s="1" customFormat="1" spans="1:21">
      <c r="A1341" s="1" t="str">
        <f>"4601992015694"</f>
        <v>4601992015694</v>
      </c>
      <c r="B1341" s="1" t="s">
        <v>1365</v>
      </c>
      <c r="C1341" s="1" t="s">
        <v>24</v>
      </c>
      <c r="D1341" s="1" t="str">
        <f t="shared" si="2508"/>
        <v>2021</v>
      </c>
      <c r="E1341" s="1" t="str">
        <f>"11.98"</f>
        <v>11.98</v>
      </c>
      <c r="F1341" s="1" t="str">
        <f t="shared" ref="F1341:I1341" si="2630">"0"</f>
        <v>0</v>
      </c>
      <c r="G1341" s="1" t="str">
        <f t="shared" si="2630"/>
        <v>0</v>
      </c>
      <c r="H1341" s="1" t="str">
        <f t="shared" si="2630"/>
        <v>0</v>
      </c>
      <c r="I1341" s="1" t="str">
        <f t="shared" si="2630"/>
        <v>0</v>
      </c>
      <c r="J1341" s="1" t="str">
        <f t="shared" si="2626"/>
        <v>1</v>
      </c>
      <c r="K1341" s="1" t="str">
        <f t="shared" ref="K1341:P1341" si="2631">"0"</f>
        <v>0</v>
      </c>
      <c r="L1341" s="1" t="str">
        <f t="shared" si="2631"/>
        <v>0</v>
      </c>
      <c r="M1341" s="1" t="str">
        <f t="shared" si="2631"/>
        <v>0</v>
      </c>
      <c r="N1341" s="1" t="str">
        <f t="shared" si="2631"/>
        <v>0</v>
      </c>
      <c r="O1341" s="1" t="str">
        <f t="shared" si="2631"/>
        <v>0</v>
      </c>
      <c r="P1341" s="1" t="str">
        <f t="shared" si="2631"/>
        <v>0</v>
      </c>
      <c r="Q1341" s="1" t="str">
        <f t="shared" si="2511"/>
        <v>0.0070</v>
      </c>
      <c r="R1341" s="1" t="s">
        <v>29</v>
      </c>
      <c r="S1341" s="1">
        <v>-0.0014</v>
      </c>
      <c r="T1341" s="1" t="str">
        <f t="shared" si="2512"/>
        <v>0</v>
      </c>
      <c r="U1341" s="1" t="str">
        <f t="shared" ref="U1341:U1351" si="2632">"0.0056"</f>
        <v>0.0056</v>
      </c>
    </row>
    <row r="1342" s="1" customFormat="1" spans="1:21">
      <c r="A1342" s="1" t="str">
        <f>"4601992015703"</f>
        <v>4601992015703</v>
      </c>
      <c r="B1342" s="1" t="s">
        <v>1366</v>
      </c>
      <c r="C1342" s="1" t="s">
        <v>24</v>
      </c>
      <c r="D1342" s="1" t="str">
        <f t="shared" si="2508"/>
        <v>2021</v>
      </c>
      <c r="E1342" s="1" t="str">
        <f>"36.27"</f>
        <v>36.27</v>
      </c>
      <c r="F1342" s="1" t="str">
        <f t="shared" ref="F1342:I1342" si="2633">"0"</f>
        <v>0</v>
      </c>
      <c r="G1342" s="1" t="str">
        <f t="shared" si="2633"/>
        <v>0</v>
      </c>
      <c r="H1342" s="1" t="str">
        <f t="shared" si="2633"/>
        <v>0</v>
      </c>
      <c r="I1342" s="1" t="str">
        <f t="shared" si="2633"/>
        <v>0</v>
      </c>
      <c r="J1342" s="1" t="str">
        <f>"3"</f>
        <v>3</v>
      </c>
      <c r="K1342" s="1" t="str">
        <f t="shared" ref="K1342:P1342" si="2634">"0"</f>
        <v>0</v>
      </c>
      <c r="L1342" s="1" t="str">
        <f t="shared" si="2634"/>
        <v>0</v>
      </c>
      <c r="M1342" s="1" t="str">
        <f t="shared" si="2634"/>
        <v>0</v>
      </c>
      <c r="N1342" s="1" t="str">
        <f t="shared" si="2634"/>
        <v>0</v>
      </c>
      <c r="O1342" s="1" t="str">
        <f t="shared" si="2634"/>
        <v>0</v>
      </c>
      <c r="P1342" s="1" t="str">
        <f t="shared" si="2634"/>
        <v>0</v>
      </c>
      <c r="Q1342" s="1" t="str">
        <f t="shared" si="2511"/>
        <v>0.0070</v>
      </c>
      <c r="R1342" s="1" t="s">
        <v>29</v>
      </c>
      <c r="S1342" s="1">
        <v>-0.0014</v>
      </c>
      <c r="T1342" s="1" t="str">
        <f t="shared" si="2512"/>
        <v>0</v>
      </c>
      <c r="U1342" s="1" t="str">
        <f t="shared" si="2632"/>
        <v>0.0056</v>
      </c>
    </row>
    <row r="1343" s="1" customFormat="1" spans="1:21">
      <c r="A1343" s="1" t="str">
        <f>"4601992015724"</f>
        <v>4601992015724</v>
      </c>
      <c r="B1343" s="1" t="s">
        <v>1367</v>
      </c>
      <c r="C1343" s="1" t="s">
        <v>24</v>
      </c>
      <c r="D1343" s="1" t="str">
        <f t="shared" si="2508"/>
        <v>2021</v>
      </c>
      <c r="E1343" s="1" t="str">
        <f t="shared" ref="E1343:P1343" si="2635">"0"</f>
        <v>0</v>
      </c>
      <c r="F1343" s="1" t="str">
        <f t="shared" si="2635"/>
        <v>0</v>
      </c>
      <c r="G1343" s="1" t="str">
        <f t="shared" si="2635"/>
        <v>0</v>
      </c>
      <c r="H1343" s="1" t="str">
        <f t="shared" si="2635"/>
        <v>0</v>
      </c>
      <c r="I1343" s="1" t="str">
        <f t="shared" si="2635"/>
        <v>0</v>
      </c>
      <c r="J1343" s="1" t="str">
        <f t="shared" si="2635"/>
        <v>0</v>
      </c>
      <c r="K1343" s="1" t="str">
        <f t="shared" si="2635"/>
        <v>0</v>
      </c>
      <c r="L1343" s="1" t="str">
        <f t="shared" si="2635"/>
        <v>0</v>
      </c>
      <c r="M1343" s="1" t="str">
        <f t="shared" si="2635"/>
        <v>0</v>
      </c>
      <c r="N1343" s="1" t="str">
        <f t="shared" si="2635"/>
        <v>0</v>
      </c>
      <c r="O1343" s="1" t="str">
        <f t="shared" si="2635"/>
        <v>0</v>
      </c>
      <c r="P1343" s="1" t="str">
        <f t="shared" si="2635"/>
        <v>0</v>
      </c>
      <c r="Q1343" s="1" t="str">
        <f t="shared" si="2511"/>
        <v>0.0070</v>
      </c>
      <c r="R1343" s="1" t="s">
        <v>25</v>
      </c>
      <c r="T1343" s="1" t="str">
        <f t="shared" si="2512"/>
        <v>0</v>
      </c>
      <c r="U1343" s="1" t="str">
        <f t="shared" si="2629"/>
        <v>0.0070</v>
      </c>
    </row>
    <row r="1344" s="1" customFormat="1" spans="1:21">
      <c r="A1344" s="1" t="str">
        <f>"4601992015738"</f>
        <v>4601992015738</v>
      </c>
      <c r="B1344" s="1" t="s">
        <v>1368</v>
      </c>
      <c r="C1344" s="1" t="s">
        <v>24</v>
      </c>
      <c r="D1344" s="1" t="str">
        <f t="shared" si="2508"/>
        <v>2021</v>
      </c>
      <c r="E1344" s="1" t="str">
        <f>"11.98"</f>
        <v>11.98</v>
      </c>
      <c r="F1344" s="1" t="str">
        <f t="shared" ref="F1344:I1344" si="2636">"0"</f>
        <v>0</v>
      </c>
      <c r="G1344" s="1" t="str">
        <f t="shared" si="2636"/>
        <v>0</v>
      </c>
      <c r="H1344" s="1" t="str">
        <f t="shared" si="2636"/>
        <v>0</v>
      </c>
      <c r="I1344" s="1" t="str">
        <f t="shared" si="2636"/>
        <v>0</v>
      </c>
      <c r="J1344" s="1" t="str">
        <f t="shared" si="2626"/>
        <v>1</v>
      </c>
      <c r="K1344" s="1" t="str">
        <f t="shared" ref="K1344:P1344" si="2637">"0"</f>
        <v>0</v>
      </c>
      <c r="L1344" s="1" t="str">
        <f t="shared" si="2637"/>
        <v>0</v>
      </c>
      <c r="M1344" s="1" t="str">
        <f t="shared" si="2637"/>
        <v>0</v>
      </c>
      <c r="N1344" s="1" t="str">
        <f t="shared" si="2637"/>
        <v>0</v>
      </c>
      <c r="O1344" s="1" t="str">
        <f t="shared" si="2637"/>
        <v>0</v>
      </c>
      <c r="P1344" s="1" t="str">
        <f t="shared" si="2637"/>
        <v>0</v>
      </c>
      <c r="Q1344" s="1" t="str">
        <f t="shared" si="2511"/>
        <v>0.0070</v>
      </c>
      <c r="R1344" s="1" t="s">
        <v>25</v>
      </c>
      <c r="T1344" s="1" t="str">
        <f t="shared" si="2512"/>
        <v>0</v>
      </c>
      <c r="U1344" s="1" t="str">
        <f t="shared" si="2629"/>
        <v>0.0070</v>
      </c>
    </row>
    <row r="1345" s="1" customFormat="1" spans="1:21">
      <c r="A1345" s="1" t="str">
        <f>"4601992015808"</f>
        <v>4601992015808</v>
      </c>
      <c r="B1345" s="1" t="s">
        <v>1369</v>
      </c>
      <c r="C1345" s="1" t="s">
        <v>24</v>
      </c>
      <c r="D1345" s="1" t="str">
        <f t="shared" si="2508"/>
        <v>2021</v>
      </c>
      <c r="E1345" s="1" t="str">
        <f t="shared" ref="E1345:P1345" si="2638">"0"</f>
        <v>0</v>
      </c>
      <c r="F1345" s="1" t="str">
        <f t="shared" si="2638"/>
        <v>0</v>
      </c>
      <c r="G1345" s="1" t="str">
        <f t="shared" si="2638"/>
        <v>0</v>
      </c>
      <c r="H1345" s="1" t="str">
        <f t="shared" si="2638"/>
        <v>0</v>
      </c>
      <c r="I1345" s="1" t="str">
        <f t="shared" si="2638"/>
        <v>0</v>
      </c>
      <c r="J1345" s="1" t="str">
        <f t="shared" si="2638"/>
        <v>0</v>
      </c>
      <c r="K1345" s="1" t="str">
        <f t="shared" si="2638"/>
        <v>0</v>
      </c>
      <c r="L1345" s="1" t="str">
        <f t="shared" si="2638"/>
        <v>0</v>
      </c>
      <c r="M1345" s="1" t="str">
        <f t="shared" si="2638"/>
        <v>0</v>
      </c>
      <c r="N1345" s="1" t="str">
        <f t="shared" si="2638"/>
        <v>0</v>
      </c>
      <c r="O1345" s="1" t="str">
        <f t="shared" si="2638"/>
        <v>0</v>
      </c>
      <c r="P1345" s="1" t="str">
        <f t="shared" si="2638"/>
        <v>0</v>
      </c>
      <c r="Q1345" s="1" t="str">
        <f t="shared" si="2511"/>
        <v>0.0070</v>
      </c>
      <c r="R1345" s="1" t="s">
        <v>25</v>
      </c>
      <c r="T1345" s="1" t="str">
        <f t="shared" si="2512"/>
        <v>0</v>
      </c>
      <c r="U1345" s="1" t="str">
        <f t="shared" si="2629"/>
        <v>0.0070</v>
      </c>
    </row>
    <row r="1346" s="1" customFormat="1" spans="1:21">
      <c r="A1346" s="1" t="str">
        <f>"4601992015807"</f>
        <v>4601992015807</v>
      </c>
      <c r="B1346" s="1" t="s">
        <v>1370</v>
      </c>
      <c r="C1346" s="1" t="s">
        <v>24</v>
      </c>
      <c r="D1346" s="1" t="str">
        <f t="shared" si="2508"/>
        <v>2021</v>
      </c>
      <c r="E1346" s="1" t="str">
        <f>"24.18"</f>
        <v>24.18</v>
      </c>
      <c r="F1346" s="1" t="str">
        <f t="shared" ref="F1346:I1346" si="2639">"0"</f>
        <v>0</v>
      </c>
      <c r="G1346" s="1" t="str">
        <f t="shared" si="2639"/>
        <v>0</v>
      </c>
      <c r="H1346" s="1" t="str">
        <f t="shared" si="2639"/>
        <v>0</v>
      </c>
      <c r="I1346" s="1" t="str">
        <f t="shared" si="2639"/>
        <v>0</v>
      </c>
      <c r="J1346" s="1" t="str">
        <f>"2"</f>
        <v>2</v>
      </c>
      <c r="K1346" s="1" t="str">
        <f t="shared" ref="K1346:P1346" si="2640">"0"</f>
        <v>0</v>
      </c>
      <c r="L1346" s="1" t="str">
        <f t="shared" si="2640"/>
        <v>0</v>
      </c>
      <c r="M1346" s="1" t="str">
        <f t="shared" si="2640"/>
        <v>0</v>
      </c>
      <c r="N1346" s="1" t="str">
        <f t="shared" si="2640"/>
        <v>0</v>
      </c>
      <c r="O1346" s="1" t="str">
        <f t="shared" si="2640"/>
        <v>0</v>
      </c>
      <c r="P1346" s="1" t="str">
        <f t="shared" si="2640"/>
        <v>0</v>
      </c>
      <c r="Q1346" s="1" t="str">
        <f t="shared" si="2511"/>
        <v>0.0070</v>
      </c>
      <c r="R1346" s="1" t="s">
        <v>29</v>
      </c>
      <c r="S1346" s="1">
        <v>-0.0014</v>
      </c>
      <c r="T1346" s="1" t="str">
        <f t="shared" si="2512"/>
        <v>0</v>
      </c>
      <c r="U1346" s="1" t="str">
        <f t="shared" si="2632"/>
        <v>0.0056</v>
      </c>
    </row>
    <row r="1347" s="1" customFormat="1" spans="1:21">
      <c r="A1347" s="1" t="str">
        <f>"4601992015719"</f>
        <v>4601992015719</v>
      </c>
      <c r="B1347" s="1" t="s">
        <v>1371</v>
      </c>
      <c r="C1347" s="1" t="s">
        <v>24</v>
      </c>
      <c r="D1347" s="1" t="str">
        <f t="shared" ref="D1347:D1410" si="2641">"2021"</f>
        <v>2021</v>
      </c>
      <c r="E1347" s="1" t="str">
        <f>"232.20"</f>
        <v>232.20</v>
      </c>
      <c r="F1347" s="1" t="str">
        <f t="shared" ref="F1347:I1347" si="2642">"0"</f>
        <v>0</v>
      </c>
      <c r="G1347" s="1" t="str">
        <f t="shared" si="2642"/>
        <v>0</v>
      </c>
      <c r="H1347" s="1" t="str">
        <f t="shared" si="2642"/>
        <v>0</v>
      </c>
      <c r="I1347" s="1" t="str">
        <f t="shared" si="2642"/>
        <v>0</v>
      </c>
      <c r="J1347" s="1" t="str">
        <f>"19"</f>
        <v>19</v>
      </c>
      <c r="K1347" s="1" t="str">
        <f t="shared" ref="K1347:P1347" si="2643">"0"</f>
        <v>0</v>
      </c>
      <c r="L1347" s="1" t="str">
        <f t="shared" si="2643"/>
        <v>0</v>
      </c>
      <c r="M1347" s="1" t="str">
        <f t="shared" si="2643"/>
        <v>0</v>
      </c>
      <c r="N1347" s="1" t="str">
        <f t="shared" si="2643"/>
        <v>0</v>
      </c>
      <c r="O1347" s="1" t="str">
        <f t="shared" si="2643"/>
        <v>0</v>
      </c>
      <c r="P1347" s="1" t="str">
        <f t="shared" si="2643"/>
        <v>0</v>
      </c>
      <c r="Q1347" s="1" t="str">
        <f t="shared" ref="Q1347:Q1410" si="2644">"0.0070"</f>
        <v>0.0070</v>
      </c>
      <c r="R1347" s="1" t="s">
        <v>29</v>
      </c>
      <c r="S1347" s="1">
        <v>-0.0014</v>
      </c>
      <c r="T1347" s="1" t="str">
        <f t="shared" ref="T1347:T1410" si="2645">"0"</f>
        <v>0</v>
      </c>
      <c r="U1347" s="1" t="str">
        <f t="shared" si="2632"/>
        <v>0.0056</v>
      </c>
    </row>
    <row r="1348" s="1" customFormat="1" spans="1:21">
      <c r="A1348" s="1" t="str">
        <f>"4601992015871"</f>
        <v>4601992015871</v>
      </c>
      <c r="B1348" s="1" t="s">
        <v>1372</v>
      </c>
      <c r="C1348" s="1" t="s">
        <v>24</v>
      </c>
      <c r="D1348" s="1" t="str">
        <f t="shared" si="2641"/>
        <v>2021</v>
      </c>
      <c r="E1348" s="1" t="str">
        <f t="shared" ref="E1348:E1351" si="2646">"12.09"</f>
        <v>12.09</v>
      </c>
      <c r="F1348" s="1" t="str">
        <f t="shared" ref="F1348:I1348" si="2647">"0"</f>
        <v>0</v>
      </c>
      <c r="G1348" s="1" t="str">
        <f t="shared" si="2647"/>
        <v>0</v>
      </c>
      <c r="H1348" s="1" t="str">
        <f t="shared" si="2647"/>
        <v>0</v>
      </c>
      <c r="I1348" s="1" t="str">
        <f t="shared" si="2647"/>
        <v>0</v>
      </c>
      <c r="J1348" s="1" t="str">
        <f>"2"</f>
        <v>2</v>
      </c>
      <c r="K1348" s="1" t="str">
        <f t="shared" ref="K1348:P1348" si="2648">"0"</f>
        <v>0</v>
      </c>
      <c r="L1348" s="1" t="str">
        <f t="shared" si="2648"/>
        <v>0</v>
      </c>
      <c r="M1348" s="1" t="str">
        <f t="shared" si="2648"/>
        <v>0</v>
      </c>
      <c r="N1348" s="1" t="str">
        <f t="shared" si="2648"/>
        <v>0</v>
      </c>
      <c r="O1348" s="1" t="str">
        <f t="shared" si="2648"/>
        <v>0</v>
      </c>
      <c r="P1348" s="1" t="str">
        <f t="shared" si="2648"/>
        <v>0</v>
      </c>
      <c r="Q1348" s="1" t="str">
        <f t="shared" si="2644"/>
        <v>0.0070</v>
      </c>
      <c r="R1348" s="1" t="s">
        <v>29</v>
      </c>
      <c r="S1348" s="1">
        <v>-0.0014</v>
      </c>
      <c r="T1348" s="1" t="str">
        <f t="shared" si="2645"/>
        <v>0</v>
      </c>
      <c r="U1348" s="1" t="str">
        <f t="shared" si="2632"/>
        <v>0.0056</v>
      </c>
    </row>
    <row r="1349" s="1" customFormat="1" spans="1:21">
      <c r="A1349" s="1" t="str">
        <f>"4601992015821"</f>
        <v>4601992015821</v>
      </c>
      <c r="B1349" s="1" t="s">
        <v>1373</v>
      </c>
      <c r="C1349" s="1" t="s">
        <v>24</v>
      </c>
      <c r="D1349" s="1" t="str">
        <f t="shared" si="2641"/>
        <v>2021</v>
      </c>
      <c r="E1349" s="1" t="str">
        <f t="shared" si="2646"/>
        <v>12.09</v>
      </c>
      <c r="F1349" s="1" t="str">
        <f t="shared" ref="F1349:I1349" si="2649">"0"</f>
        <v>0</v>
      </c>
      <c r="G1349" s="1" t="str">
        <f t="shared" si="2649"/>
        <v>0</v>
      </c>
      <c r="H1349" s="1" t="str">
        <f t="shared" si="2649"/>
        <v>0</v>
      </c>
      <c r="I1349" s="1" t="str">
        <f t="shared" si="2649"/>
        <v>0</v>
      </c>
      <c r="J1349" s="1" t="str">
        <f>"3"</f>
        <v>3</v>
      </c>
      <c r="K1349" s="1" t="str">
        <f t="shared" ref="K1349:P1349" si="2650">"0"</f>
        <v>0</v>
      </c>
      <c r="L1349" s="1" t="str">
        <f t="shared" si="2650"/>
        <v>0</v>
      </c>
      <c r="M1349" s="1" t="str">
        <f t="shared" si="2650"/>
        <v>0</v>
      </c>
      <c r="N1349" s="1" t="str">
        <f t="shared" si="2650"/>
        <v>0</v>
      </c>
      <c r="O1349" s="1" t="str">
        <f t="shared" si="2650"/>
        <v>0</v>
      </c>
      <c r="P1349" s="1" t="str">
        <f t="shared" si="2650"/>
        <v>0</v>
      </c>
      <c r="Q1349" s="1" t="str">
        <f t="shared" si="2644"/>
        <v>0.0070</v>
      </c>
      <c r="R1349" s="1" t="s">
        <v>29</v>
      </c>
      <c r="S1349" s="1">
        <v>-0.0014</v>
      </c>
      <c r="T1349" s="1" t="str">
        <f t="shared" si="2645"/>
        <v>0</v>
      </c>
      <c r="U1349" s="1" t="str">
        <f t="shared" si="2632"/>
        <v>0.0056</v>
      </c>
    </row>
    <row r="1350" s="1" customFormat="1" spans="1:21">
      <c r="A1350" s="1" t="str">
        <f>"4601992015853"</f>
        <v>4601992015853</v>
      </c>
      <c r="B1350" s="1" t="s">
        <v>1374</v>
      </c>
      <c r="C1350" s="1" t="s">
        <v>24</v>
      </c>
      <c r="D1350" s="1" t="str">
        <f t="shared" si="2641"/>
        <v>2021</v>
      </c>
      <c r="E1350" s="1" t="str">
        <f>"36.16"</f>
        <v>36.16</v>
      </c>
      <c r="F1350" s="1" t="str">
        <f t="shared" ref="F1350:I1350" si="2651">"0"</f>
        <v>0</v>
      </c>
      <c r="G1350" s="1" t="str">
        <f t="shared" si="2651"/>
        <v>0</v>
      </c>
      <c r="H1350" s="1" t="str">
        <f t="shared" si="2651"/>
        <v>0</v>
      </c>
      <c r="I1350" s="1" t="str">
        <f t="shared" si="2651"/>
        <v>0</v>
      </c>
      <c r="J1350" s="1" t="str">
        <f>"4"</f>
        <v>4</v>
      </c>
      <c r="K1350" s="1" t="str">
        <f t="shared" ref="K1350:P1350" si="2652">"0"</f>
        <v>0</v>
      </c>
      <c r="L1350" s="1" t="str">
        <f t="shared" si="2652"/>
        <v>0</v>
      </c>
      <c r="M1350" s="1" t="str">
        <f t="shared" si="2652"/>
        <v>0</v>
      </c>
      <c r="N1350" s="1" t="str">
        <f t="shared" si="2652"/>
        <v>0</v>
      </c>
      <c r="O1350" s="1" t="str">
        <f t="shared" si="2652"/>
        <v>0</v>
      </c>
      <c r="P1350" s="1" t="str">
        <f t="shared" si="2652"/>
        <v>0</v>
      </c>
      <c r="Q1350" s="1" t="str">
        <f t="shared" si="2644"/>
        <v>0.0070</v>
      </c>
      <c r="R1350" s="1" t="s">
        <v>29</v>
      </c>
      <c r="S1350" s="1">
        <v>-0.0014</v>
      </c>
      <c r="T1350" s="1" t="str">
        <f t="shared" si="2645"/>
        <v>0</v>
      </c>
      <c r="U1350" s="1" t="str">
        <f t="shared" si="2632"/>
        <v>0.0056</v>
      </c>
    </row>
    <row r="1351" s="1" customFormat="1" spans="1:21">
      <c r="A1351" s="1" t="str">
        <f>"4601992015901"</f>
        <v>4601992015901</v>
      </c>
      <c r="B1351" s="1" t="s">
        <v>1375</v>
      </c>
      <c r="C1351" s="1" t="s">
        <v>24</v>
      </c>
      <c r="D1351" s="1" t="str">
        <f t="shared" si="2641"/>
        <v>2021</v>
      </c>
      <c r="E1351" s="1" t="str">
        <f t="shared" si="2646"/>
        <v>12.09</v>
      </c>
      <c r="F1351" s="1" t="str">
        <f t="shared" ref="F1351:I1351" si="2653">"0"</f>
        <v>0</v>
      </c>
      <c r="G1351" s="1" t="str">
        <f t="shared" si="2653"/>
        <v>0</v>
      </c>
      <c r="H1351" s="1" t="str">
        <f t="shared" si="2653"/>
        <v>0</v>
      </c>
      <c r="I1351" s="1" t="str">
        <f t="shared" si="2653"/>
        <v>0</v>
      </c>
      <c r="J1351" s="1" t="str">
        <f t="shared" ref="J1351:J1356" si="2654">"1"</f>
        <v>1</v>
      </c>
      <c r="K1351" s="1" t="str">
        <f t="shared" ref="K1351:P1351" si="2655">"0"</f>
        <v>0</v>
      </c>
      <c r="L1351" s="1" t="str">
        <f t="shared" si="2655"/>
        <v>0</v>
      </c>
      <c r="M1351" s="1" t="str">
        <f t="shared" si="2655"/>
        <v>0</v>
      </c>
      <c r="N1351" s="1" t="str">
        <f t="shared" si="2655"/>
        <v>0</v>
      </c>
      <c r="O1351" s="1" t="str">
        <f t="shared" si="2655"/>
        <v>0</v>
      </c>
      <c r="P1351" s="1" t="str">
        <f t="shared" si="2655"/>
        <v>0</v>
      </c>
      <c r="Q1351" s="1" t="str">
        <f t="shared" si="2644"/>
        <v>0.0070</v>
      </c>
      <c r="R1351" s="1" t="s">
        <v>29</v>
      </c>
      <c r="S1351" s="1">
        <v>-0.0014</v>
      </c>
      <c r="T1351" s="1" t="str">
        <f t="shared" si="2645"/>
        <v>0</v>
      </c>
      <c r="U1351" s="1" t="str">
        <f t="shared" si="2632"/>
        <v>0.0056</v>
      </c>
    </row>
    <row r="1352" s="1" customFormat="1" spans="1:21">
      <c r="A1352" s="1" t="str">
        <f>"4601992015922"</f>
        <v>4601992015922</v>
      </c>
      <c r="B1352" s="1" t="s">
        <v>1376</v>
      </c>
      <c r="C1352" s="1" t="s">
        <v>24</v>
      </c>
      <c r="D1352" s="1" t="str">
        <f t="shared" si="2641"/>
        <v>2021</v>
      </c>
      <c r="E1352" s="1" t="str">
        <f t="shared" ref="E1352:I1352" si="2656">"0"</f>
        <v>0</v>
      </c>
      <c r="F1352" s="1" t="str">
        <f t="shared" si="2656"/>
        <v>0</v>
      </c>
      <c r="G1352" s="1" t="str">
        <f t="shared" si="2656"/>
        <v>0</v>
      </c>
      <c r="H1352" s="1" t="str">
        <f t="shared" si="2656"/>
        <v>0</v>
      </c>
      <c r="I1352" s="1" t="str">
        <f t="shared" si="2656"/>
        <v>0</v>
      </c>
      <c r="J1352" s="1" t="str">
        <f t="shared" si="2654"/>
        <v>1</v>
      </c>
      <c r="K1352" s="1" t="str">
        <f t="shared" ref="K1352:P1352" si="2657">"0"</f>
        <v>0</v>
      </c>
      <c r="L1352" s="1" t="str">
        <f t="shared" si="2657"/>
        <v>0</v>
      </c>
      <c r="M1352" s="1" t="str">
        <f t="shared" si="2657"/>
        <v>0</v>
      </c>
      <c r="N1352" s="1" t="str">
        <f t="shared" si="2657"/>
        <v>0</v>
      </c>
      <c r="O1352" s="1" t="str">
        <f t="shared" si="2657"/>
        <v>0</v>
      </c>
      <c r="P1352" s="1" t="str">
        <f t="shared" si="2657"/>
        <v>0</v>
      </c>
      <c r="Q1352" s="1" t="str">
        <f t="shared" si="2644"/>
        <v>0.0070</v>
      </c>
      <c r="R1352" s="1" t="s">
        <v>25</v>
      </c>
      <c r="T1352" s="1" t="str">
        <f t="shared" si="2645"/>
        <v>0</v>
      </c>
      <c r="U1352" s="1" t="str">
        <f>"0.0070"</f>
        <v>0.0070</v>
      </c>
    </row>
    <row r="1353" s="1" customFormat="1" spans="1:21">
      <c r="A1353" s="1" t="str">
        <f>"4601992015906"</f>
        <v>4601992015906</v>
      </c>
      <c r="B1353" s="1" t="s">
        <v>1377</v>
      </c>
      <c r="C1353" s="1" t="s">
        <v>24</v>
      </c>
      <c r="D1353" s="1" t="str">
        <f t="shared" si="2641"/>
        <v>2021</v>
      </c>
      <c r="E1353" s="1" t="str">
        <f>"24.18"</f>
        <v>24.18</v>
      </c>
      <c r="F1353" s="1" t="str">
        <f t="shared" ref="F1353:I1353" si="2658">"0"</f>
        <v>0</v>
      </c>
      <c r="G1353" s="1" t="str">
        <f t="shared" si="2658"/>
        <v>0</v>
      </c>
      <c r="H1353" s="1" t="str">
        <f t="shared" si="2658"/>
        <v>0</v>
      </c>
      <c r="I1353" s="1" t="str">
        <f t="shared" si="2658"/>
        <v>0</v>
      </c>
      <c r="J1353" s="1" t="str">
        <f>"2"</f>
        <v>2</v>
      </c>
      <c r="K1353" s="1" t="str">
        <f t="shared" ref="K1353:P1353" si="2659">"0"</f>
        <v>0</v>
      </c>
      <c r="L1353" s="1" t="str">
        <f t="shared" si="2659"/>
        <v>0</v>
      </c>
      <c r="M1353" s="1" t="str">
        <f t="shared" si="2659"/>
        <v>0</v>
      </c>
      <c r="N1353" s="1" t="str">
        <f t="shared" si="2659"/>
        <v>0</v>
      </c>
      <c r="O1353" s="1" t="str">
        <f t="shared" si="2659"/>
        <v>0</v>
      </c>
      <c r="P1353" s="1" t="str">
        <f t="shared" si="2659"/>
        <v>0</v>
      </c>
      <c r="Q1353" s="1" t="str">
        <f t="shared" si="2644"/>
        <v>0.0070</v>
      </c>
      <c r="R1353" s="1" t="s">
        <v>29</v>
      </c>
      <c r="S1353" s="1">
        <v>-0.0014</v>
      </c>
      <c r="T1353" s="1" t="str">
        <f t="shared" si="2645"/>
        <v>0</v>
      </c>
      <c r="U1353" s="1" t="str">
        <f t="shared" ref="U1353:U1356" si="2660">"0.0056"</f>
        <v>0.0056</v>
      </c>
    </row>
    <row r="1354" s="1" customFormat="1" spans="1:21">
      <c r="A1354" s="1" t="str">
        <f>"4601992015934"</f>
        <v>4601992015934</v>
      </c>
      <c r="B1354" s="1" t="s">
        <v>1378</v>
      </c>
      <c r="C1354" s="1" t="s">
        <v>24</v>
      </c>
      <c r="D1354" s="1" t="str">
        <f t="shared" si="2641"/>
        <v>2021</v>
      </c>
      <c r="E1354" s="1" t="str">
        <f>"48.25"</f>
        <v>48.25</v>
      </c>
      <c r="F1354" s="1" t="str">
        <f t="shared" ref="F1354:I1354" si="2661">"0"</f>
        <v>0</v>
      </c>
      <c r="G1354" s="1" t="str">
        <f t="shared" si="2661"/>
        <v>0</v>
      </c>
      <c r="H1354" s="1" t="str">
        <f t="shared" si="2661"/>
        <v>0</v>
      </c>
      <c r="I1354" s="1" t="str">
        <f t="shared" si="2661"/>
        <v>0</v>
      </c>
      <c r="J1354" s="1" t="str">
        <f>"4"</f>
        <v>4</v>
      </c>
      <c r="K1354" s="1" t="str">
        <f t="shared" ref="K1354:P1354" si="2662">"0"</f>
        <v>0</v>
      </c>
      <c r="L1354" s="1" t="str">
        <f t="shared" si="2662"/>
        <v>0</v>
      </c>
      <c r="M1354" s="1" t="str">
        <f t="shared" si="2662"/>
        <v>0</v>
      </c>
      <c r="N1354" s="1" t="str">
        <f t="shared" si="2662"/>
        <v>0</v>
      </c>
      <c r="O1354" s="1" t="str">
        <f t="shared" si="2662"/>
        <v>0</v>
      </c>
      <c r="P1354" s="1" t="str">
        <f t="shared" si="2662"/>
        <v>0</v>
      </c>
      <c r="Q1354" s="1" t="str">
        <f t="shared" si="2644"/>
        <v>0.0070</v>
      </c>
      <c r="R1354" s="1" t="s">
        <v>29</v>
      </c>
      <c r="S1354" s="1">
        <v>-0.0014</v>
      </c>
      <c r="T1354" s="1" t="str">
        <f t="shared" si="2645"/>
        <v>0</v>
      </c>
      <c r="U1354" s="1" t="str">
        <f t="shared" si="2660"/>
        <v>0.0056</v>
      </c>
    </row>
    <row r="1355" s="1" customFormat="1" spans="1:21">
      <c r="A1355" s="1" t="str">
        <f>"4601992015981"</f>
        <v>4601992015981</v>
      </c>
      <c r="B1355" s="1" t="s">
        <v>1379</v>
      </c>
      <c r="C1355" s="1" t="s">
        <v>24</v>
      </c>
      <c r="D1355" s="1" t="str">
        <f t="shared" si="2641"/>
        <v>2021</v>
      </c>
      <c r="E1355" s="1" t="str">
        <f>"24.18"</f>
        <v>24.18</v>
      </c>
      <c r="F1355" s="1" t="str">
        <f t="shared" ref="F1355:I1355" si="2663">"0"</f>
        <v>0</v>
      </c>
      <c r="G1355" s="1" t="str">
        <f t="shared" si="2663"/>
        <v>0</v>
      </c>
      <c r="H1355" s="1" t="str">
        <f t="shared" si="2663"/>
        <v>0</v>
      </c>
      <c r="I1355" s="1" t="str">
        <f t="shared" si="2663"/>
        <v>0</v>
      </c>
      <c r="J1355" s="1" t="str">
        <f>"2"</f>
        <v>2</v>
      </c>
      <c r="K1355" s="1" t="str">
        <f t="shared" ref="K1355:P1355" si="2664">"0"</f>
        <v>0</v>
      </c>
      <c r="L1355" s="1" t="str">
        <f t="shared" si="2664"/>
        <v>0</v>
      </c>
      <c r="M1355" s="1" t="str">
        <f t="shared" si="2664"/>
        <v>0</v>
      </c>
      <c r="N1355" s="1" t="str">
        <f t="shared" si="2664"/>
        <v>0</v>
      </c>
      <c r="O1355" s="1" t="str">
        <f t="shared" si="2664"/>
        <v>0</v>
      </c>
      <c r="P1355" s="1" t="str">
        <f t="shared" si="2664"/>
        <v>0</v>
      </c>
      <c r="Q1355" s="1" t="str">
        <f t="shared" si="2644"/>
        <v>0.0070</v>
      </c>
      <c r="R1355" s="1" t="s">
        <v>29</v>
      </c>
      <c r="S1355" s="1">
        <v>-0.0014</v>
      </c>
      <c r="T1355" s="1" t="str">
        <f t="shared" si="2645"/>
        <v>0</v>
      </c>
      <c r="U1355" s="1" t="str">
        <f t="shared" si="2660"/>
        <v>0.0056</v>
      </c>
    </row>
    <row r="1356" s="1" customFormat="1" spans="1:21">
      <c r="A1356" s="1" t="str">
        <f>"4601992016016"</f>
        <v>4601992016016</v>
      </c>
      <c r="B1356" s="1" t="s">
        <v>1380</v>
      </c>
      <c r="C1356" s="1" t="s">
        <v>24</v>
      </c>
      <c r="D1356" s="1" t="str">
        <f t="shared" si="2641"/>
        <v>2021</v>
      </c>
      <c r="E1356" s="1" t="str">
        <f t="shared" ref="E1356:E1360" si="2665">"12.09"</f>
        <v>12.09</v>
      </c>
      <c r="F1356" s="1" t="str">
        <f t="shared" ref="F1356:I1356" si="2666">"0"</f>
        <v>0</v>
      </c>
      <c r="G1356" s="1" t="str">
        <f t="shared" si="2666"/>
        <v>0</v>
      </c>
      <c r="H1356" s="1" t="str">
        <f t="shared" si="2666"/>
        <v>0</v>
      </c>
      <c r="I1356" s="1" t="str">
        <f t="shared" si="2666"/>
        <v>0</v>
      </c>
      <c r="J1356" s="1" t="str">
        <f t="shared" si="2654"/>
        <v>1</v>
      </c>
      <c r="K1356" s="1" t="str">
        <f t="shared" ref="K1356:P1356" si="2667">"0"</f>
        <v>0</v>
      </c>
      <c r="L1356" s="1" t="str">
        <f t="shared" si="2667"/>
        <v>0</v>
      </c>
      <c r="M1356" s="1" t="str">
        <f t="shared" si="2667"/>
        <v>0</v>
      </c>
      <c r="N1356" s="1" t="str">
        <f t="shared" si="2667"/>
        <v>0</v>
      </c>
      <c r="O1356" s="1" t="str">
        <f t="shared" si="2667"/>
        <v>0</v>
      </c>
      <c r="P1356" s="1" t="str">
        <f t="shared" si="2667"/>
        <v>0</v>
      </c>
      <c r="Q1356" s="1" t="str">
        <f t="shared" si="2644"/>
        <v>0.0070</v>
      </c>
      <c r="R1356" s="1" t="s">
        <v>29</v>
      </c>
      <c r="S1356" s="1">
        <v>-0.0014</v>
      </c>
      <c r="T1356" s="1" t="str">
        <f t="shared" si="2645"/>
        <v>0</v>
      </c>
      <c r="U1356" s="1" t="str">
        <f t="shared" si="2660"/>
        <v>0.0056</v>
      </c>
    </row>
    <row r="1357" s="1" customFormat="1" spans="1:21">
      <c r="A1357" s="1" t="str">
        <f>"4601992016096"</f>
        <v>4601992016096</v>
      </c>
      <c r="B1357" s="1" t="s">
        <v>1381</v>
      </c>
      <c r="C1357" s="1" t="s">
        <v>24</v>
      </c>
      <c r="D1357" s="1" t="str">
        <f t="shared" si="2641"/>
        <v>2021</v>
      </c>
      <c r="E1357" s="1" t="str">
        <f t="shared" ref="E1357:G1357" si="2668">"0"</f>
        <v>0</v>
      </c>
      <c r="F1357" s="1" t="str">
        <f t="shared" si="2668"/>
        <v>0</v>
      </c>
      <c r="G1357" s="1" t="str">
        <f t="shared" si="2668"/>
        <v>0</v>
      </c>
      <c r="H1357" s="1" t="str">
        <f>"12.09"</f>
        <v>12.09</v>
      </c>
      <c r="I1357" s="1" t="str">
        <f t="shared" ref="I1357:P1357" si="2669">"0"</f>
        <v>0</v>
      </c>
      <c r="J1357" s="1" t="str">
        <f t="shared" si="2669"/>
        <v>0</v>
      </c>
      <c r="K1357" s="1" t="str">
        <f t="shared" si="2669"/>
        <v>0</v>
      </c>
      <c r="L1357" s="1" t="str">
        <f t="shared" si="2669"/>
        <v>0</v>
      </c>
      <c r="M1357" s="1" t="str">
        <f t="shared" si="2669"/>
        <v>0</v>
      </c>
      <c r="N1357" s="1" t="str">
        <f t="shared" si="2669"/>
        <v>0</v>
      </c>
      <c r="O1357" s="1" t="str">
        <f t="shared" si="2669"/>
        <v>0</v>
      </c>
      <c r="P1357" s="1" t="str">
        <f t="shared" si="2669"/>
        <v>0</v>
      </c>
      <c r="Q1357" s="1" t="str">
        <f t="shared" si="2644"/>
        <v>0.0070</v>
      </c>
      <c r="R1357" s="1" t="s">
        <v>25</v>
      </c>
      <c r="T1357" s="1" t="str">
        <f t="shared" si="2645"/>
        <v>0</v>
      </c>
      <c r="U1357" s="1" t="str">
        <f>"0.0070"</f>
        <v>0.0070</v>
      </c>
    </row>
    <row r="1358" s="1" customFormat="1" spans="1:21">
      <c r="A1358" s="1" t="str">
        <f>"4601992016077"</f>
        <v>4601992016077</v>
      </c>
      <c r="B1358" s="1" t="s">
        <v>1382</v>
      </c>
      <c r="C1358" s="1" t="s">
        <v>24</v>
      </c>
      <c r="D1358" s="1" t="str">
        <f t="shared" si="2641"/>
        <v>2021</v>
      </c>
      <c r="E1358" s="1" t="str">
        <f t="shared" si="2665"/>
        <v>12.09</v>
      </c>
      <c r="F1358" s="1" t="str">
        <f t="shared" ref="F1358:I1358" si="2670">"0"</f>
        <v>0</v>
      </c>
      <c r="G1358" s="1" t="str">
        <f t="shared" si="2670"/>
        <v>0</v>
      </c>
      <c r="H1358" s="1" t="str">
        <f t="shared" si="2670"/>
        <v>0</v>
      </c>
      <c r="I1358" s="1" t="str">
        <f t="shared" si="2670"/>
        <v>0</v>
      </c>
      <c r="J1358" s="1" t="str">
        <f>"1"</f>
        <v>1</v>
      </c>
      <c r="K1358" s="1" t="str">
        <f t="shared" ref="K1358:P1358" si="2671">"0"</f>
        <v>0</v>
      </c>
      <c r="L1358" s="1" t="str">
        <f t="shared" si="2671"/>
        <v>0</v>
      </c>
      <c r="M1358" s="1" t="str">
        <f t="shared" si="2671"/>
        <v>0</v>
      </c>
      <c r="N1358" s="1" t="str">
        <f t="shared" si="2671"/>
        <v>0</v>
      </c>
      <c r="O1358" s="1" t="str">
        <f t="shared" si="2671"/>
        <v>0</v>
      </c>
      <c r="P1358" s="1" t="str">
        <f t="shared" si="2671"/>
        <v>0</v>
      </c>
      <c r="Q1358" s="1" t="str">
        <f t="shared" si="2644"/>
        <v>0.0070</v>
      </c>
      <c r="R1358" s="1" t="s">
        <v>29</v>
      </c>
      <c r="S1358" s="1">
        <v>-0.0014</v>
      </c>
      <c r="T1358" s="1" t="str">
        <f t="shared" si="2645"/>
        <v>0</v>
      </c>
      <c r="U1358" s="1" t="str">
        <f t="shared" ref="U1358:U1360" si="2672">"0.0056"</f>
        <v>0.0056</v>
      </c>
    </row>
    <row r="1359" s="1" customFormat="1" spans="1:21">
      <c r="A1359" s="1" t="str">
        <f>"4601992016018"</f>
        <v>4601992016018</v>
      </c>
      <c r="B1359" s="1" t="s">
        <v>1383</v>
      </c>
      <c r="C1359" s="1" t="s">
        <v>24</v>
      </c>
      <c r="D1359" s="1" t="str">
        <f t="shared" si="2641"/>
        <v>2021</v>
      </c>
      <c r="E1359" s="1" t="str">
        <f>"96.77"</f>
        <v>96.77</v>
      </c>
      <c r="F1359" s="1" t="str">
        <f t="shared" ref="F1359:I1359" si="2673">"0"</f>
        <v>0</v>
      </c>
      <c r="G1359" s="1" t="str">
        <f t="shared" si="2673"/>
        <v>0</v>
      </c>
      <c r="H1359" s="1" t="str">
        <f t="shared" si="2673"/>
        <v>0</v>
      </c>
      <c r="I1359" s="1" t="str">
        <f t="shared" si="2673"/>
        <v>0</v>
      </c>
      <c r="J1359" s="1" t="str">
        <f>"8"</f>
        <v>8</v>
      </c>
      <c r="K1359" s="1" t="str">
        <f t="shared" ref="K1359:P1359" si="2674">"0"</f>
        <v>0</v>
      </c>
      <c r="L1359" s="1" t="str">
        <f t="shared" si="2674"/>
        <v>0</v>
      </c>
      <c r="M1359" s="1" t="str">
        <f t="shared" si="2674"/>
        <v>0</v>
      </c>
      <c r="N1359" s="1" t="str">
        <f t="shared" si="2674"/>
        <v>0</v>
      </c>
      <c r="O1359" s="1" t="str">
        <f t="shared" si="2674"/>
        <v>0</v>
      </c>
      <c r="P1359" s="1" t="str">
        <f t="shared" si="2674"/>
        <v>0</v>
      </c>
      <c r="Q1359" s="1" t="str">
        <f t="shared" si="2644"/>
        <v>0.0070</v>
      </c>
      <c r="R1359" s="1" t="s">
        <v>29</v>
      </c>
      <c r="S1359" s="1">
        <v>-0.0014</v>
      </c>
      <c r="T1359" s="1" t="str">
        <f t="shared" si="2645"/>
        <v>0</v>
      </c>
      <c r="U1359" s="1" t="str">
        <f t="shared" si="2672"/>
        <v>0.0056</v>
      </c>
    </row>
    <row r="1360" s="1" customFormat="1" spans="1:21">
      <c r="A1360" s="1" t="str">
        <f>"4601992016076"</f>
        <v>4601992016076</v>
      </c>
      <c r="B1360" s="1" t="s">
        <v>1384</v>
      </c>
      <c r="C1360" s="1" t="s">
        <v>24</v>
      </c>
      <c r="D1360" s="1" t="str">
        <f t="shared" si="2641"/>
        <v>2021</v>
      </c>
      <c r="E1360" s="1" t="str">
        <f t="shared" si="2665"/>
        <v>12.09</v>
      </c>
      <c r="F1360" s="1" t="str">
        <f t="shared" ref="F1360:I1360" si="2675">"0"</f>
        <v>0</v>
      </c>
      <c r="G1360" s="1" t="str">
        <f t="shared" si="2675"/>
        <v>0</v>
      </c>
      <c r="H1360" s="1" t="str">
        <f t="shared" si="2675"/>
        <v>0</v>
      </c>
      <c r="I1360" s="1" t="str">
        <f t="shared" si="2675"/>
        <v>0</v>
      </c>
      <c r="J1360" s="1" t="str">
        <f>"1"</f>
        <v>1</v>
      </c>
      <c r="K1360" s="1" t="str">
        <f t="shared" ref="K1360:P1360" si="2676">"0"</f>
        <v>0</v>
      </c>
      <c r="L1360" s="1" t="str">
        <f t="shared" si="2676"/>
        <v>0</v>
      </c>
      <c r="M1360" s="1" t="str">
        <f t="shared" si="2676"/>
        <v>0</v>
      </c>
      <c r="N1360" s="1" t="str">
        <f t="shared" si="2676"/>
        <v>0</v>
      </c>
      <c r="O1360" s="1" t="str">
        <f t="shared" si="2676"/>
        <v>0</v>
      </c>
      <c r="P1360" s="1" t="str">
        <f t="shared" si="2676"/>
        <v>0</v>
      </c>
      <c r="Q1360" s="1" t="str">
        <f t="shared" si="2644"/>
        <v>0.0070</v>
      </c>
      <c r="R1360" s="1" t="s">
        <v>29</v>
      </c>
      <c r="S1360" s="1">
        <v>-0.0014</v>
      </c>
      <c r="T1360" s="1" t="str">
        <f t="shared" si="2645"/>
        <v>0</v>
      </c>
      <c r="U1360" s="1" t="str">
        <f t="shared" si="2672"/>
        <v>0.0056</v>
      </c>
    </row>
    <row r="1361" s="1" customFormat="1" spans="1:21">
      <c r="A1361" s="1" t="str">
        <f>"4601992016126"</f>
        <v>4601992016126</v>
      </c>
      <c r="B1361" s="1" t="s">
        <v>1385</v>
      </c>
      <c r="C1361" s="1" t="s">
        <v>24</v>
      </c>
      <c r="D1361" s="1" t="str">
        <f t="shared" si="2641"/>
        <v>2021</v>
      </c>
      <c r="E1361" s="1" t="str">
        <f t="shared" ref="E1361:P1361" si="2677">"0"</f>
        <v>0</v>
      </c>
      <c r="F1361" s="1" t="str">
        <f t="shared" si="2677"/>
        <v>0</v>
      </c>
      <c r="G1361" s="1" t="str">
        <f t="shared" si="2677"/>
        <v>0</v>
      </c>
      <c r="H1361" s="1" t="str">
        <f t="shared" si="2677"/>
        <v>0</v>
      </c>
      <c r="I1361" s="1" t="str">
        <f t="shared" si="2677"/>
        <v>0</v>
      </c>
      <c r="J1361" s="1" t="str">
        <f t="shared" si="2677"/>
        <v>0</v>
      </c>
      <c r="K1361" s="1" t="str">
        <f t="shared" si="2677"/>
        <v>0</v>
      </c>
      <c r="L1361" s="1" t="str">
        <f t="shared" si="2677"/>
        <v>0</v>
      </c>
      <c r="M1361" s="1" t="str">
        <f t="shared" si="2677"/>
        <v>0</v>
      </c>
      <c r="N1361" s="1" t="str">
        <f t="shared" si="2677"/>
        <v>0</v>
      </c>
      <c r="O1361" s="1" t="str">
        <f t="shared" si="2677"/>
        <v>0</v>
      </c>
      <c r="P1361" s="1" t="str">
        <f t="shared" si="2677"/>
        <v>0</v>
      </c>
      <c r="Q1361" s="1" t="str">
        <f t="shared" si="2644"/>
        <v>0.0070</v>
      </c>
      <c r="R1361" s="1" t="s">
        <v>25</v>
      </c>
      <c r="T1361" s="1" t="str">
        <f t="shared" si="2645"/>
        <v>0</v>
      </c>
      <c r="U1361" s="1" t="str">
        <f t="shared" ref="U1361:U1367" si="2678">"0.0070"</f>
        <v>0.0070</v>
      </c>
    </row>
    <row r="1362" s="1" customFormat="1" spans="1:21">
      <c r="A1362" s="1" t="str">
        <f>"4601992016135"</f>
        <v>4601992016135</v>
      </c>
      <c r="B1362" s="1" t="s">
        <v>1386</v>
      </c>
      <c r="C1362" s="1" t="s">
        <v>24</v>
      </c>
      <c r="D1362" s="1" t="str">
        <f t="shared" si="2641"/>
        <v>2021</v>
      </c>
      <c r="E1362" s="1" t="str">
        <f>"36.27"</f>
        <v>36.27</v>
      </c>
      <c r="F1362" s="1" t="str">
        <f t="shared" ref="F1362:I1362" si="2679">"0"</f>
        <v>0</v>
      </c>
      <c r="G1362" s="1" t="str">
        <f t="shared" si="2679"/>
        <v>0</v>
      </c>
      <c r="H1362" s="1" t="str">
        <f t="shared" si="2679"/>
        <v>0</v>
      </c>
      <c r="I1362" s="1" t="str">
        <f t="shared" si="2679"/>
        <v>0</v>
      </c>
      <c r="J1362" s="1" t="str">
        <f>"3"</f>
        <v>3</v>
      </c>
      <c r="K1362" s="1" t="str">
        <f t="shared" ref="K1362:P1362" si="2680">"0"</f>
        <v>0</v>
      </c>
      <c r="L1362" s="1" t="str">
        <f t="shared" si="2680"/>
        <v>0</v>
      </c>
      <c r="M1362" s="1" t="str">
        <f t="shared" si="2680"/>
        <v>0</v>
      </c>
      <c r="N1362" s="1" t="str">
        <f t="shared" si="2680"/>
        <v>0</v>
      </c>
      <c r="O1362" s="1" t="str">
        <f t="shared" si="2680"/>
        <v>0</v>
      </c>
      <c r="P1362" s="1" t="str">
        <f t="shared" si="2680"/>
        <v>0</v>
      </c>
      <c r="Q1362" s="1" t="str">
        <f t="shared" si="2644"/>
        <v>0.0070</v>
      </c>
      <c r="R1362" s="1" t="s">
        <v>29</v>
      </c>
      <c r="S1362" s="1">
        <v>-0.0014</v>
      </c>
      <c r="T1362" s="1" t="str">
        <f t="shared" si="2645"/>
        <v>0</v>
      </c>
      <c r="U1362" s="1" t="str">
        <f t="shared" ref="U1362:U1364" si="2681">"0.0056"</f>
        <v>0.0056</v>
      </c>
    </row>
    <row r="1363" s="1" customFormat="1" spans="1:21">
      <c r="A1363" s="1" t="str">
        <f>"4601992016102"</f>
        <v>4601992016102</v>
      </c>
      <c r="B1363" s="1" t="s">
        <v>1387</v>
      </c>
      <c r="C1363" s="1" t="s">
        <v>24</v>
      </c>
      <c r="D1363" s="1" t="str">
        <f t="shared" si="2641"/>
        <v>2021</v>
      </c>
      <c r="E1363" s="1" t="str">
        <f>"96.72"</f>
        <v>96.72</v>
      </c>
      <c r="F1363" s="1" t="str">
        <f t="shared" ref="F1363:I1363" si="2682">"0"</f>
        <v>0</v>
      </c>
      <c r="G1363" s="1" t="str">
        <f t="shared" si="2682"/>
        <v>0</v>
      </c>
      <c r="H1363" s="1" t="str">
        <f t="shared" si="2682"/>
        <v>0</v>
      </c>
      <c r="I1363" s="1" t="str">
        <f t="shared" si="2682"/>
        <v>0</v>
      </c>
      <c r="J1363" s="1" t="str">
        <f>"10"</f>
        <v>10</v>
      </c>
      <c r="K1363" s="1" t="str">
        <f t="shared" ref="K1363:P1363" si="2683">"0"</f>
        <v>0</v>
      </c>
      <c r="L1363" s="1" t="str">
        <f t="shared" si="2683"/>
        <v>0</v>
      </c>
      <c r="M1363" s="1" t="str">
        <f t="shared" si="2683"/>
        <v>0</v>
      </c>
      <c r="N1363" s="1" t="str">
        <f t="shared" si="2683"/>
        <v>0</v>
      </c>
      <c r="O1363" s="1" t="str">
        <f t="shared" si="2683"/>
        <v>0</v>
      </c>
      <c r="P1363" s="1" t="str">
        <f t="shared" si="2683"/>
        <v>0</v>
      </c>
      <c r="Q1363" s="1" t="str">
        <f t="shared" si="2644"/>
        <v>0.0070</v>
      </c>
      <c r="R1363" s="1" t="s">
        <v>29</v>
      </c>
      <c r="S1363" s="1">
        <v>-0.0014</v>
      </c>
      <c r="T1363" s="1" t="str">
        <f t="shared" si="2645"/>
        <v>0</v>
      </c>
      <c r="U1363" s="1" t="str">
        <f t="shared" si="2681"/>
        <v>0.0056</v>
      </c>
    </row>
    <row r="1364" s="1" customFormat="1" spans="1:21">
      <c r="A1364" s="1" t="str">
        <f>"4601992016212"</f>
        <v>4601992016212</v>
      </c>
      <c r="B1364" s="1" t="s">
        <v>1388</v>
      </c>
      <c r="C1364" s="1" t="s">
        <v>24</v>
      </c>
      <c r="D1364" s="1" t="str">
        <f t="shared" si="2641"/>
        <v>2021</v>
      </c>
      <c r="E1364" s="1" t="str">
        <f>"36.27"</f>
        <v>36.27</v>
      </c>
      <c r="F1364" s="1" t="str">
        <f t="shared" ref="F1364:I1364" si="2684">"0"</f>
        <v>0</v>
      </c>
      <c r="G1364" s="1" t="str">
        <f t="shared" si="2684"/>
        <v>0</v>
      </c>
      <c r="H1364" s="1" t="str">
        <f t="shared" si="2684"/>
        <v>0</v>
      </c>
      <c r="I1364" s="1" t="str">
        <f t="shared" si="2684"/>
        <v>0</v>
      </c>
      <c r="J1364" s="1" t="str">
        <f>"3"</f>
        <v>3</v>
      </c>
      <c r="K1364" s="1" t="str">
        <f t="shared" ref="K1364:P1364" si="2685">"0"</f>
        <v>0</v>
      </c>
      <c r="L1364" s="1" t="str">
        <f t="shared" si="2685"/>
        <v>0</v>
      </c>
      <c r="M1364" s="1" t="str">
        <f t="shared" si="2685"/>
        <v>0</v>
      </c>
      <c r="N1364" s="1" t="str">
        <f t="shared" si="2685"/>
        <v>0</v>
      </c>
      <c r="O1364" s="1" t="str">
        <f t="shared" si="2685"/>
        <v>0</v>
      </c>
      <c r="P1364" s="1" t="str">
        <f t="shared" si="2685"/>
        <v>0</v>
      </c>
      <c r="Q1364" s="1" t="str">
        <f t="shared" si="2644"/>
        <v>0.0070</v>
      </c>
      <c r="R1364" s="1" t="s">
        <v>29</v>
      </c>
      <c r="S1364" s="1">
        <v>-0.0014</v>
      </c>
      <c r="T1364" s="1" t="str">
        <f t="shared" si="2645"/>
        <v>0</v>
      </c>
      <c r="U1364" s="1" t="str">
        <f t="shared" si="2681"/>
        <v>0.0056</v>
      </c>
    </row>
    <row r="1365" s="1" customFormat="1" spans="1:21">
      <c r="A1365" s="1" t="str">
        <f>"4601992016225"</f>
        <v>4601992016225</v>
      </c>
      <c r="B1365" s="1" t="s">
        <v>1389</v>
      </c>
      <c r="C1365" s="1" t="s">
        <v>24</v>
      </c>
      <c r="D1365" s="1" t="str">
        <f t="shared" si="2641"/>
        <v>2021</v>
      </c>
      <c r="E1365" s="1" t="str">
        <f t="shared" ref="E1365:I1365" si="2686">"0"</f>
        <v>0</v>
      </c>
      <c r="F1365" s="1" t="str">
        <f t="shared" si="2686"/>
        <v>0</v>
      </c>
      <c r="G1365" s="1" t="str">
        <f t="shared" si="2686"/>
        <v>0</v>
      </c>
      <c r="H1365" s="1" t="str">
        <f t="shared" si="2686"/>
        <v>0</v>
      </c>
      <c r="I1365" s="1" t="str">
        <f t="shared" si="2686"/>
        <v>0</v>
      </c>
      <c r="J1365" s="1" t="str">
        <f>"1"</f>
        <v>1</v>
      </c>
      <c r="K1365" s="1" t="str">
        <f t="shared" ref="K1365:P1365" si="2687">"0"</f>
        <v>0</v>
      </c>
      <c r="L1365" s="1" t="str">
        <f t="shared" si="2687"/>
        <v>0</v>
      </c>
      <c r="M1365" s="1" t="str">
        <f t="shared" si="2687"/>
        <v>0</v>
      </c>
      <c r="N1365" s="1" t="str">
        <f t="shared" si="2687"/>
        <v>0</v>
      </c>
      <c r="O1365" s="1" t="str">
        <f t="shared" si="2687"/>
        <v>0</v>
      </c>
      <c r="P1365" s="1" t="str">
        <f t="shared" si="2687"/>
        <v>0</v>
      </c>
      <c r="Q1365" s="1" t="str">
        <f t="shared" si="2644"/>
        <v>0.0070</v>
      </c>
      <c r="R1365" s="1" t="s">
        <v>25</v>
      </c>
      <c r="T1365" s="1" t="str">
        <f t="shared" si="2645"/>
        <v>0</v>
      </c>
      <c r="U1365" s="1" t="str">
        <f t="shared" si="2678"/>
        <v>0.0070</v>
      </c>
    </row>
    <row r="1366" s="1" customFormat="1" spans="1:21">
      <c r="A1366" s="1" t="str">
        <f>"4601992016239"</f>
        <v>4601992016239</v>
      </c>
      <c r="B1366" s="1" t="s">
        <v>1390</v>
      </c>
      <c r="C1366" s="1" t="s">
        <v>24</v>
      </c>
      <c r="D1366" s="1" t="str">
        <f t="shared" si="2641"/>
        <v>2021</v>
      </c>
      <c r="E1366" s="1" t="str">
        <f t="shared" ref="E1366:G1366" si="2688">"0"</f>
        <v>0</v>
      </c>
      <c r="F1366" s="1" t="str">
        <f t="shared" si="2688"/>
        <v>0</v>
      </c>
      <c r="G1366" s="1" t="str">
        <f t="shared" si="2688"/>
        <v>0</v>
      </c>
      <c r="H1366" s="1" t="str">
        <f>"24.18"</f>
        <v>24.18</v>
      </c>
      <c r="I1366" s="1" t="str">
        <f t="shared" ref="I1366:P1366" si="2689">"0"</f>
        <v>0</v>
      </c>
      <c r="J1366" s="1" t="str">
        <f t="shared" ref="J1366:J1371" si="2690">"2"</f>
        <v>2</v>
      </c>
      <c r="K1366" s="1" t="str">
        <f t="shared" si="2689"/>
        <v>0</v>
      </c>
      <c r="L1366" s="1" t="str">
        <f t="shared" si="2689"/>
        <v>0</v>
      </c>
      <c r="M1366" s="1" t="str">
        <f t="shared" si="2689"/>
        <v>0</v>
      </c>
      <c r="N1366" s="1" t="str">
        <f t="shared" si="2689"/>
        <v>0</v>
      </c>
      <c r="O1366" s="1" t="str">
        <f t="shared" si="2689"/>
        <v>0</v>
      </c>
      <c r="P1366" s="1" t="str">
        <f t="shared" si="2689"/>
        <v>0</v>
      </c>
      <c r="Q1366" s="1" t="str">
        <f t="shared" si="2644"/>
        <v>0.0070</v>
      </c>
      <c r="R1366" s="1" t="s">
        <v>25</v>
      </c>
      <c r="T1366" s="1" t="str">
        <f t="shared" si="2645"/>
        <v>0</v>
      </c>
      <c r="U1366" s="1" t="str">
        <f t="shared" si="2678"/>
        <v>0.0070</v>
      </c>
    </row>
    <row r="1367" s="1" customFormat="1" spans="1:21">
      <c r="A1367" s="1" t="str">
        <f>"4601992016412"</f>
        <v>4601992016412</v>
      </c>
      <c r="B1367" s="1" t="s">
        <v>1391</v>
      </c>
      <c r="C1367" s="1" t="s">
        <v>24</v>
      </c>
      <c r="D1367" s="1" t="str">
        <f t="shared" si="2641"/>
        <v>2021</v>
      </c>
      <c r="E1367" s="1" t="str">
        <f t="shared" ref="E1367:P1367" si="2691">"0"</f>
        <v>0</v>
      </c>
      <c r="F1367" s="1" t="str">
        <f t="shared" si="2691"/>
        <v>0</v>
      </c>
      <c r="G1367" s="1" t="str">
        <f t="shared" si="2691"/>
        <v>0</v>
      </c>
      <c r="H1367" s="1" t="str">
        <f t="shared" si="2691"/>
        <v>0</v>
      </c>
      <c r="I1367" s="1" t="str">
        <f t="shared" si="2691"/>
        <v>0</v>
      </c>
      <c r="J1367" s="1" t="str">
        <f t="shared" si="2691"/>
        <v>0</v>
      </c>
      <c r="K1367" s="1" t="str">
        <f t="shared" si="2691"/>
        <v>0</v>
      </c>
      <c r="L1367" s="1" t="str">
        <f t="shared" si="2691"/>
        <v>0</v>
      </c>
      <c r="M1367" s="1" t="str">
        <f t="shared" si="2691"/>
        <v>0</v>
      </c>
      <c r="N1367" s="1" t="str">
        <f t="shared" si="2691"/>
        <v>0</v>
      </c>
      <c r="O1367" s="1" t="str">
        <f t="shared" si="2691"/>
        <v>0</v>
      </c>
      <c r="P1367" s="1" t="str">
        <f t="shared" si="2691"/>
        <v>0</v>
      </c>
      <c r="Q1367" s="1" t="str">
        <f t="shared" si="2644"/>
        <v>0.0070</v>
      </c>
      <c r="R1367" s="1" t="s">
        <v>25</v>
      </c>
      <c r="T1367" s="1" t="str">
        <f t="shared" si="2645"/>
        <v>0</v>
      </c>
      <c r="U1367" s="1" t="str">
        <f t="shared" si="2678"/>
        <v>0.0070</v>
      </c>
    </row>
    <row r="1368" s="1" customFormat="1" spans="1:21">
      <c r="A1368" s="1" t="str">
        <f>"4601991412046"</f>
        <v>4601991412046</v>
      </c>
      <c r="B1368" s="1" t="s">
        <v>1392</v>
      </c>
      <c r="C1368" s="1" t="s">
        <v>24</v>
      </c>
      <c r="D1368" s="1" t="str">
        <f t="shared" si="2641"/>
        <v>2021</v>
      </c>
      <c r="E1368" s="1" t="str">
        <f>"270.48"</f>
        <v>270.48</v>
      </c>
      <c r="F1368" s="1" t="str">
        <f t="shared" ref="F1368:I1368" si="2692">"0"</f>
        <v>0</v>
      </c>
      <c r="G1368" s="1" t="str">
        <f t="shared" si="2692"/>
        <v>0</v>
      </c>
      <c r="H1368" s="1" t="str">
        <f t="shared" si="2692"/>
        <v>0</v>
      </c>
      <c r="I1368" s="1" t="str">
        <f t="shared" si="2692"/>
        <v>0</v>
      </c>
      <c r="J1368" s="1" t="str">
        <f>"28"</f>
        <v>28</v>
      </c>
      <c r="K1368" s="1" t="str">
        <f t="shared" ref="K1368:P1368" si="2693">"0"</f>
        <v>0</v>
      </c>
      <c r="L1368" s="1" t="str">
        <f t="shared" si="2693"/>
        <v>0</v>
      </c>
      <c r="M1368" s="1" t="str">
        <f t="shared" si="2693"/>
        <v>0</v>
      </c>
      <c r="N1368" s="1" t="str">
        <f t="shared" si="2693"/>
        <v>0</v>
      </c>
      <c r="O1368" s="1" t="str">
        <f t="shared" si="2693"/>
        <v>0</v>
      </c>
      <c r="P1368" s="1" t="str">
        <f t="shared" si="2693"/>
        <v>0</v>
      </c>
      <c r="Q1368" s="1" t="str">
        <f t="shared" si="2644"/>
        <v>0.0070</v>
      </c>
      <c r="R1368" s="1" t="s">
        <v>29</v>
      </c>
      <c r="S1368" s="1">
        <v>-0.0014</v>
      </c>
      <c r="T1368" s="1" t="str">
        <f t="shared" si="2645"/>
        <v>0</v>
      </c>
      <c r="U1368" s="1" t="str">
        <f t="shared" ref="U1368:U1376" si="2694">"0.0056"</f>
        <v>0.0056</v>
      </c>
    </row>
    <row r="1369" s="1" customFormat="1" spans="1:21">
      <c r="A1369" s="1" t="str">
        <f>"4601992016420"</f>
        <v>4601992016420</v>
      </c>
      <c r="B1369" s="1" t="s">
        <v>1393</v>
      </c>
      <c r="C1369" s="1" t="s">
        <v>24</v>
      </c>
      <c r="D1369" s="1" t="str">
        <f t="shared" si="2641"/>
        <v>2021</v>
      </c>
      <c r="E1369" s="1" t="str">
        <f>"60.45"</f>
        <v>60.45</v>
      </c>
      <c r="F1369" s="1" t="str">
        <f t="shared" ref="F1369:I1369" si="2695">"0"</f>
        <v>0</v>
      </c>
      <c r="G1369" s="1" t="str">
        <f t="shared" si="2695"/>
        <v>0</v>
      </c>
      <c r="H1369" s="1" t="str">
        <f t="shared" si="2695"/>
        <v>0</v>
      </c>
      <c r="I1369" s="1" t="str">
        <f t="shared" si="2695"/>
        <v>0</v>
      </c>
      <c r="J1369" s="1" t="str">
        <f t="shared" si="2690"/>
        <v>2</v>
      </c>
      <c r="K1369" s="1" t="str">
        <f t="shared" ref="K1369:P1369" si="2696">"0"</f>
        <v>0</v>
      </c>
      <c r="L1369" s="1" t="str">
        <f t="shared" si="2696"/>
        <v>0</v>
      </c>
      <c r="M1369" s="1" t="str">
        <f t="shared" si="2696"/>
        <v>0</v>
      </c>
      <c r="N1369" s="1" t="str">
        <f t="shared" si="2696"/>
        <v>0</v>
      </c>
      <c r="O1369" s="1" t="str">
        <f t="shared" si="2696"/>
        <v>0</v>
      </c>
      <c r="P1369" s="1" t="str">
        <f t="shared" si="2696"/>
        <v>0</v>
      </c>
      <c r="Q1369" s="1" t="str">
        <f t="shared" si="2644"/>
        <v>0.0070</v>
      </c>
      <c r="R1369" s="1" t="s">
        <v>25</v>
      </c>
      <c r="T1369" s="1" t="str">
        <f t="shared" si="2645"/>
        <v>0</v>
      </c>
      <c r="U1369" s="1" t="str">
        <f t="shared" ref="U1369:U1372" si="2697">"0.0070"</f>
        <v>0.0070</v>
      </c>
    </row>
    <row r="1370" s="1" customFormat="1" spans="1:21">
      <c r="A1370" s="1" t="str">
        <f>"4601992016426"</f>
        <v>4601992016426</v>
      </c>
      <c r="B1370" s="1" t="s">
        <v>1394</v>
      </c>
      <c r="C1370" s="1" t="s">
        <v>24</v>
      </c>
      <c r="D1370" s="1" t="str">
        <f t="shared" si="2641"/>
        <v>2021</v>
      </c>
      <c r="E1370" s="1" t="str">
        <f t="shared" ref="E1370:P1370" si="2698">"0"</f>
        <v>0</v>
      </c>
      <c r="F1370" s="1" t="str">
        <f t="shared" si="2698"/>
        <v>0</v>
      </c>
      <c r="G1370" s="1" t="str">
        <f t="shared" si="2698"/>
        <v>0</v>
      </c>
      <c r="H1370" s="1" t="str">
        <f t="shared" si="2698"/>
        <v>0</v>
      </c>
      <c r="I1370" s="1" t="str">
        <f t="shared" si="2698"/>
        <v>0</v>
      </c>
      <c r="J1370" s="1" t="str">
        <f t="shared" si="2698"/>
        <v>0</v>
      </c>
      <c r="K1370" s="1" t="str">
        <f t="shared" si="2698"/>
        <v>0</v>
      </c>
      <c r="L1370" s="1" t="str">
        <f t="shared" si="2698"/>
        <v>0</v>
      </c>
      <c r="M1370" s="1" t="str">
        <f t="shared" si="2698"/>
        <v>0</v>
      </c>
      <c r="N1370" s="1" t="str">
        <f t="shared" si="2698"/>
        <v>0</v>
      </c>
      <c r="O1370" s="1" t="str">
        <f t="shared" si="2698"/>
        <v>0</v>
      </c>
      <c r="P1370" s="1" t="str">
        <f t="shared" si="2698"/>
        <v>0</v>
      </c>
      <c r="Q1370" s="1" t="str">
        <f t="shared" si="2644"/>
        <v>0.0070</v>
      </c>
      <c r="R1370" s="1" t="s">
        <v>25</v>
      </c>
      <c r="T1370" s="1" t="str">
        <f t="shared" si="2645"/>
        <v>0</v>
      </c>
      <c r="U1370" s="1" t="str">
        <f t="shared" si="2697"/>
        <v>0.0070</v>
      </c>
    </row>
    <row r="1371" s="1" customFormat="1" spans="1:21">
      <c r="A1371" s="1" t="str">
        <f>"4601992016423"</f>
        <v>4601992016423</v>
      </c>
      <c r="B1371" s="1" t="s">
        <v>1395</v>
      </c>
      <c r="C1371" s="1" t="s">
        <v>24</v>
      </c>
      <c r="D1371" s="1" t="str">
        <f t="shared" si="2641"/>
        <v>2021</v>
      </c>
      <c r="E1371" s="1" t="str">
        <f>"12.09"</f>
        <v>12.09</v>
      </c>
      <c r="F1371" s="1" t="str">
        <f t="shared" ref="F1371:I1371" si="2699">"0"</f>
        <v>0</v>
      </c>
      <c r="G1371" s="1" t="str">
        <f t="shared" si="2699"/>
        <v>0</v>
      </c>
      <c r="H1371" s="1" t="str">
        <f t="shared" si="2699"/>
        <v>0</v>
      </c>
      <c r="I1371" s="1" t="str">
        <f t="shared" si="2699"/>
        <v>0</v>
      </c>
      <c r="J1371" s="1" t="str">
        <f t="shared" si="2690"/>
        <v>2</v>
      </c>
      <c r="K1371" s="1" t="str">
        <f t="shared" ref="K1371:P1371" si="2700">"0"</f>
        <v>0</v>
      </c>
      <c r="L1371" s="1" t="str">
        <f t="shared" si="2700"/>
        <v>0</v>
      </c>
      <c r="M1371" s="1" t="str">
        <f t="shared" si="2700"/>
        <v>0</v>
      </c>
      <c r="N1371" s="1" t="str">
        <f t="shared" si="2700"/>
        <v>0</v>
      </c>
      <c r="O1371" s="1" t="str">
        <f t="shared" si="2700"/>
        <v>0</v>
      </c>
      <c r="P1371" s="1" t="str">
        <f t="shared" si="2700"/>
        <v>0</v>
      </c>
      <c r="Q1371" s="1" t="str">
        <f t="shared" si="2644"/>
        <v>0.0070</v>
      </c>
      <c r="R1371" s="1" t="s">
        <v>29</v>
      </c>
      <c r="S1371" s="1">
        <v>-0.0014</v>
      </c>
      <c r="T1371" s="1" t="str">
        <f t="shared" si="2645"/>
        <v>0</v>
      </c>
      <c r="U1371" s="1" t="str">
        <f t="shared" si="2694"/>
        <v>0.0056</v>
      </c>
    </row>
    <row r="1372" s="1" customFormat="1" spans="1:21">
      <c r="A1372" s="1" t="str">
        <f>"4601992016430"</f>
        <v>4601992016430</v>
      </c>
      <c r="B1372" s="1" t="s">
        <v>1396</v>
      </c>
      <c r="C1372" s="1" t="s">
        <v>24</v>
      </c>
      <c r="D1372" s="1" t="str">
        <f t="shared" si="2641"/>
        <v>2021</v>
      </c>
      <c r="E1372" s="1" t="str">
        <f t="shared" ref="E1372:P1372" si="2701">"0"</f>
        <v>0</v>
      </c>
      <c r="F1372" s="1" t="str">
        <f t="shared" si="2701"/>
        <v>0</v>
      </c>
      <c r="G1372" s="1" t="str">
        <f t="shared" si="2701"/>
        <v>0</v>
      </c>
      <c r="H1372" s="1" t="str">
        <f t="shared" si="2701"/>
        <v>0</v>
      </c>
      <c r="I1372" s="1" t="str">
        <f t="shared" si="2701"/>
        <v>0</v>
      </c>
      <c r="J1372" s="1" t="str">
        <f t="shared" si="2701"/>
        <v>0</v>
      </c>
      <c r="K1372" s="1" t="str">
        <f t="shared" si="2701"/>
        <v>0</v>
      </c>
      <c r="L1372" s="1" t="str">
        <f t="shared" si="2701"/>
        <v>0</v>
      </c>
      <c r="M1372" s="1" t="str">
        <f t="shared" si="2701"/>
        <v>0</v>
      </c>
      <c r="N1372" s="1" t="str">
        <f t="shared" si="2701"/>
        <v>0</v>
      </c>
      <c r="O1372" s="1" t="str">
        <f t="shared" si="2701"/>
        <v>0</v>
      </c>
      <c r="P1372" s="1" t="str">
        <f t="shared" si="2701"/>
        <v>0</v>
      </c>
      <c r="Q1372" s="1" t="str">
        <f t="shared" si="2644"/>
        <v>0.0070</v>
      </c>
      <c r="R1372" s="1" t="s">
        <v>25</v>
      </c>
      <c r="T1372" s="1" t="str">
        <f t="shared" si="2645"/>
        <v>0</v>
      </c>
      <c r="U1372" s="1" t="str">
        <f t="shared" si="2697"/>
        <v>0.0070</v>
      </c>
    </row>
    <row r="1373" s="1" customFormat="1" spans="1:21">
      <c r="A1373" s="1" t="str">
        <f>"4601992016432"</f>
        <v>4601992016432</v>
      </c>
      <c r="B1373" s="1" t="s">
        <v>1397</v>
      </c>
      <c r="C1373" s="1" t="s">
        <v>24</v>
      </c>
      <c r="D1373" s="1" t="str">
        <f t="shared" si="2641"/>
        <v>2021</v>
      </c>
      <c r="E1373" s="1" t="str">
        <f>"36.16"</f>
        <v>36.16</v>
      </c>
      <c r="F1373" s="1" t="str">
        <f t="shared" ref="F1373:I1373" si="2702">"0"</f>
        <v>0</v>
      </c>
      <c r="G1373" s="1" t="str">
        <f t="shared" si="2702"/>
        <v>0</v>
      </c>
      <c r="H1373" s="1" t="str">
        <f t="shared" si="2702"/>
        <v>0</v>
      </c>
      <c r="I1373" s="1" t="str">
        <f t="shared" si="2702"/>
        <v>0</v>
      </c>
      <c r="J1373" s="1" t="str">
        <f>"3"</f>
        <v>3</v>
      </c>
      <c r="K1373" s="1" t="str">
        <f t="shared" ref="K1373:P1373" si="2703">"0"</f>
        <v>0</v>
      </c>
      <c r="L1373" s="1" t="str">
        <f t="shared" si="2703"/>
        <v>0</v>
      </c>
      <c r="M1373" s="1" t="str">
        <f t="shared" si="2703"/>
        <v>0</v>
      </c>
      <c r="N1373" s="1" t="str">
        <f t="shared" si="2703"/>
        <v>0</v>
      </c>
      <c r="O1373" s="1" t="str">
        <f t="shared" si="2703"/>
        <v>0</v>
      </c>
      <c r="P1373" s="1" t="str">
        <f t="shared" si="2703"/>
        <v>0</v>
      </c>
      <c r="Q1373" s="1" t="str">
        <f t="shared" si="2644"/>
        <v>0.0070</v>
      </c>
      <c r="R1373" s="1" t="s">
        <v>29</v>
      </c>
      <c r="S1373" s="1">
        <v>-0.0014</v>
      </c>
      <c r="T1373" s="1" t="str">
        <f t="shared" si="2645"/>
        <v>0</v>
      </c>
      <c r="U1373" s="1" t="str">
        <f t="shared" si="2694"/>
        <v>0.0056</v>
      </c>
    </row>
    <row r="1374" s="1" customFormat="1" spans="1:21">
      <c r="A1374" s="1" t="str">
        <f>"4601992016451"</f>
        <v>4601992016451</v>
      </c>
      <c r="B1374" s="1" t="s">
        <v>1398</v>
      </c>
      <c r="C1374" s="1" t="s">
        <v>24</v>
      </c>
      <c r="D1374" s="1" t="str">
        <f t="shared" si="2641"/>
        <v>2021</v>
      </c>
      <c r="E1374" s="1" t="str">
        <f>"72.54"</f>
        <v>72.54</v>
      </c>
      <c r="F1374" s="1" t="str">
        <f t="shared" ref="F1374:I1374" si="2704">"0"</f>
        <v>0</v>
      </c>
      <c r="G1374" s="1" t="str">
        <f t="shared" si="2704"/>
        <v>0</v>
      </c>
      <c r="H1374" s="1" t="str">
        <f t="shared" si="2704"/>
        <v>0</v>
      </c>
      <c r="I1374" s="1" t="str">
        <f t="shared" si="2704"/>
        <v>0</v>
      </c>
      <c r="J1374" s="1" t="str">
        <f>"4"</f>
        <v>4</v>
      </c>
      <c r="K1374" s="1" t="str">
        <f t="shared" ref="K1374:P1374" si="2705">"0"</f>
        <v>0</v>
      </c>
      <c r="L1374" s="1" t="str">
        <f t="shared" si="2705"/>
        <v>0</v>
      </c>
      <c r="M1374" s="1" t="str">
        <f t="shared" si="2705"/>
        <v>0</v>
      </c>
      <c r="N1374" s="1" t="str">
        <f t="shared" si="2705"/>
        <v>0</v>
      </c>
      <c r="O1374" s="1" t="str">
        <f t="shared" si="2705"/>
        <v>0</v>
      </c>
      <c r="P1374" s="1" t="str">
        <f t="shared" si="2705"/>
        <v>0</v>
      </c>
      <c r="Q1374" s="1" t="str">
        <f t="shared" si="2644"/>
        <v>0.0070</v>
      </c>
      <c r="R1374" s="1" t="s">
        <v>29</v>
      </c>
      <c r="S1374" s="1">
        <v>-0.0014</v>
      </c>
      <c r="T1374" s="1" t="str">
        <f t="shared" si="2645"/>
        <v>0</v>
      </c>
      <c r="U1374" s="1" t="str">
        <f t="shared" si="2694"/>
        <v>0.0056</v>
      </c>
    </row>
    <row r="1375" s="1" customFormat="1" spans="1:21">
      <c r="A1375" s="1" t="str">
        <f>"4601992016474"</f>
        <v>4601992016474</v>
      </c>
      <c r="B1375" s="1" t="s">
        <v>1399</v>
      </c>
      <c r="C1375" s="1" t="s">
        <v>24</v>
      </c>
      <c r="D1375" s="1" t="str">
        <f t="shared" si="2641"/>
        <v>2021</v>
      </c>
      <c r="E1375" s="1" t="str">
        <f>"12.09"</f>
        <v>12.09</v>
      </c>
      <c r="F1375" s="1" t="str">
        <f t="shared" ref="F1375:I1375" si="2706">"0"</f>
        <v>0</v>
      </c>
      <c r="G1375" s="1" t="str">
        <f t="shared" si="2706"/>
        <v>0</v>
      </c>
      <c r="H1375" s="1" t="str">
        <f t="shared" si="2706"/>
        <v>0</v>
      </c>
      <c r="I1375" s="1" t="str">
        <f t="shared" si="2706"/>
        <v>0</v>
      </c>
      <c r="J1375" s="1" t="str">
        <f>"1"</f>
        <v>1</v>
      </c>
      <c r="K1375" s="1" t="str">
        <f t="shared" ref="K1375:P1375" si="2707">"0"</f>
        <v>0</v>
      </c>
      <c r="L1375" s="1" t="str">
        <f t="shared" si="2707"/>
        <v>0</v>
      </c>
      <c r="M1375" s="1" t="str">
        <f t="shared" si="2707"/>
        <v>0</v>
      </c>
      <c r="N1375" s="1" t="str">
        <f t="shared" si="2707"/>
        <v>0</v>
      </c>
      <c r="O1375" s="1" t="str">
        <f t="shared" si="2707"/>
        <v>0</v>
      </c>
      <c r="P1375" s="1" t="str">
        <f t="shared" si="2707"/>
        <v>0</v>
      </c>
      <c r="Q1375" s="1" t="str">
        <f t="shared" si="2644"/>
        <v>0.0070</v>
      </c>
      <c r="R1375" s="1" t="s">
        <v>29</v>
      </c>
      <c r="S1375" s="1">
        <v>-0.0014</v>
      </c>
      <c r="T1375" s="1" t="str">
        <f t="shared" si="2645"/>
        <v>0</v>
      </c>
      <c r="U1375" s="1" t="str">
        <f t="shared" si="2694"/>
        <v>0.0056</v>
      </c>
    </row>
    <row r="1376" s="1" customFormat="1" spans="1:21">
      <c r="A1376" s="1" t="str">
        <f>"4601992016489"</f>
        <v>4601992016489</v>
      </c>
      <c r="B1376" s="1" t="s">
        <v>1400</v>
      </c>
      <c r="C1376" s="1" t="s">
        <v>24</v>
      </c>
      <c r="D1376" s="1" t="str">
        <f t="shared" si="2641"/>
        <v>2021</v>
      </c>
      <c r="E1376" s="1" t="str">
        <f>"84.63"</f>
        <v>84.63</v>
      </c>
      <c r="F1376" s="1" t="str">
        <f t="shared" ref="F1376:I1376" si="2708">"0"</f>
        <v>0</v>
      </c>
      <c r="G1376" s="1" t="str">
        <f t="shared" si="2708"/>
        <v>0</v>
      </c>
      <c r="H1376" s="1" t="str">
        <f t="shared" si="2708"/>
        <v>0</v>
      </c>
      <c r="I1376" s="1" t="str">
        <f t="shared" si="2708"/>
        <v>0</v>
      </c>
      <c r="J1376" s="1" t="str">
        <f>"7"</f>
        <v>7</v>
      </c>
      <c r="K1376" s="1" t="str">
        <f t="shared" ref="K1376:P1376" si="2709">"0"</f>
        <v>0</v>
      </c>
      <c r="L1376" s="1" t="str">
        <f t="shared" si="2709"/>
        <v>0</v>
      </c>
      <c r="M1376" s="1" t="str">
        <f t="shared" si="2709"/>
        <v>0</v>
      </c>
      <c r="N1376" s="1" t="str">
        <f t="shared" si="2709"/>
        <v>0</v>
      </c>
      <c r="O1376" s="1" t="str">
        <f t="shared" si="2709"/>
        <v>0</v>
      </c>
      <c r="P1376" s="1" t="str">
        <f t="shared" si="2709"/>
        <v>0</v>
      </c>
      <c r="Q1376" s="1" t="str">
        <f t="shared" si="2644"/>
        <v>0.0070</v>
      </c>
      <c r="R1376" s="1" t="s">
        <v>29</v>
      </c>
      <c r="S1376" s="1">
        <v>-0.0014</v>
      </c>
      <c r="T1376" s="1" t="str">
        <f t="shared" si="2645"/>
        <v>0</v>
      </c>
      <c r="U1376" s="1" t="str">
        <f t="shared" si="2694"/>
        <v>0.0056</v>
      </c>
    </row>
    <row r="1377" s="1" customFormat="1" spans="1:21">
      <c r="A1377" s="1" t="str">
        <f>"4601992016509"</f>
        <v>4601992016509</v>
      </c>
      <c r="B1377" s="1" t="s">
        <v>1401</v>
      </c>
      <c r="C1377" s="1" t="s">
        <v>24</v>
      </c>
      <c r="D1377" s="1" t="str">
        <f t="shared" si="2641"/>
        <v>2021</v>
      </c>
      <c r="E1377" s="1" t="str">
        <f t="shared" ref="E1377:P1377" si="2710">"0"</f>
        <v>0</v>
      </c>
      <c r="F1377" s="1" t="str">
        <f t="shared" si="2710"/>
        <v>0</v>
      </c>
      <c r="G1377" s="1" t="str">
        <f t="shared" si="2710"/>
        <v>0</v>
      </c>
      <c r="H1377" s="1" t="str">
        <f t="shared" si="2710"/>
        <v>0</v>
      </c>
      <c r="I1377" s="1" t="str">
        <f t="shared" si="2710"/>
        <v>0</v>
      </c>
      <c r="J1377" s="1" t="str">
        <f t="shared" si="2710"/>
        <v>0</v>
      </c>
      <c r="K1377" s="1" t="str">
        <f t="shared" si="2710"/>
        <v>0</v>
      </c>
      <c r="L1377" s="1" t="str">
        <f t="shared" si="2710"/>
        <v>0</v>
      </c>
      <c r="M1377" s="1" t="str">
        <f t="shared" si="2710"/>
        <v>0</v>
      </c>
      <c r="N1377" s="1" t="str">
        <f t="shared" si="2710"/>
        <v>0</v>
      </c>
      <c r="O1377" s="1" t="str">
        <f t="shared" si="2710"/>
        <v>0</v>
      </c>
      <c r="P1377" s="1" t="str">
        <f t="shared" si="2710"/>
        <v>0</v>
      </c>
      <c r="Q1377" s="1" t="str">
        <f t="shared" si="2644"/>
        <v>0.0070</v>
      </c>
      <c r="R1377" s="1" t="s">
        <v>25</v>
      </c>
      <c r="T1377" s="1" t="str">
        <f t="shared" si="2645"/>
        <v>0</v>
      </c>
      <c r="U1377" s="1" t="str">
        <f>"0.0070"</f>
        <v>0.0070</v>
      </c>
    </row>
    <row r="1378" s="1" customFormat="1" spans="1:21">
      <c r="A1378" s="1" t="str">
        <f>"4601992016497"</f>
        <v>4601992016497</v>
      </c>
      <c r="B1378" s="1" t="s">
        <v>1402</v>
      </c>
      <c r="C1378" s="1" t="s">
        <v>24</v>
      </c>
      <c r="D1378" s="1" t="str">
        <f t="shared" si="2641"/>
        <v>2021</v>
      </c>
      <c r="E1378" s="1" t="str">
        <f>"24.18"</f>
        <v>24.18</v>
      </c>
      <c r="F1378" s="1" t="str">
        <f t="shared" ref="F1378:I1378" si="2711">"0"</f>
        <v>0</v>
      </c>
      <c r="G1378" s="1" t="str">
        <f t="shared" si="2711"/>
        <v>0</v>
      </c>
      <c r="H1378" s="1" t="str">
        <f t="shared" si="2711"/>
        <v>0</v>
      </c>
      <c r="I1378" s="1" t="str">
        <f t="shared" si="2711"/>
        <v>0</v>
      </c>
      <c r="J1378" s="1" t="str">
        <f>"2"</f>
        <v>2</v>
      </c>
      <c r="K1378" s="1" t="str">
        <f t="shared" ref="K1378:P1378" si="2712">"0"</f>
        <v>0</v>
      </c>
      <c r="L1378" s="1" t="str">
        <f t="shared" si="2712"/>
        <v>0</v>
      </c>
      <c r="M1378" s="1" t="str">
        <f t="shared" si="2712"/>
        <v>0</v>
      </c>
      <c r="N1378" s="1" t="str">
        <f t="shared" si="2712"/>
        <v>0</v>
      </c>
      <c r="O1378" s="1" t="str">
        <f t="shared" si="2712"/>
        <v>0</v>
      </c>
      <c r="P1378" s="1" t="str">
        <f t="shared" si="2712"/>
        <v>0</v>
      </c>
      <c r="Q1378" s="1" t="str">
        <f t="shared" si="2644"/>
        <v>0.0070</v>
      </c>
      <c r="R1378" s="1" t="s">
        <v>29</v>
      </c>
      <c r="S1378" s="1">
        <v>-0.0014</v>
      </c>
      <c r="T1378" s="1" t="str">
        <f t="shared" si="2645"/>
        <v>0</v>
      </c>
      <c r="U1378" s="1" t="str">
        <f t="shared" ref="U1378:U1383" si="2713">"0.0056"</f>
        <v>0.0056</v>
      </c>
    </row>
    <row r="1379" s="1" customFormat="1" spans="1:21">
      <c r="A1379" s="1" t="str">
        <f>"4601992016494"</f>
        <v>4601992016494</v>
      </c>
      <c r="B1379" s="1" t="s">
        <v>1403</v>
      </c>
      <c r="C1379" s="1" t="s">
        <v>24</v>
      </c>
      <c r="D1379" s="1" t="str">
        <f t="shared" si="2641"/>
        <v>2021</v>
      </c>
      <c r="E1379" s="1" t="str">
        <f>"24.18"</f>
        <v>24.18</v>
      </c>
      <c r="F1379" s="1" t="str">
        <f t="shared" ref="F1379:I1379" si="2714">"0"</f>
        <v>0</v>
      </c>
      <c r="G1379" s="1" t="str">
        <f t="shared" si="2714"/>
        <v>0</v>
      </c>
      <c r="H1379" s="1" t="str">
        <f t="shared" si="2714"/>
        <v>0</v>
      </c>
      <c r="I1379" s="1" t="str">
        <f t="shared" si="2714"/>
        <v>0</v>
      </c>
      <c r="J1379" s="1" t="str">
        <f>"2"</f>
        <v>2</v>
      </c>
      <c r="K1379" s="1" t="str">
        <f t="shared" ref="K1379:P1379" si="2715">"0"</f>
        <v>0</v>
      </c>
      <c r="L1379" s="1" t="str">
        <f t="shared" si="2715"/>
        <v>0</v>
      </c>
      <c r="M1379" s="1" t="str">
        <f t="shared" si="2715"/>
        <v>0</v>
      </c>
      <c r="N1379" s="1" t="str">
        <f t="shared" si="2715"/>
        <v>0</v>
      </c>
      <c r="O1379" s="1" t="str">
        <f t="shared" si="2715"/>
        <v>0</v>
      </c>
      <c r="P1379" s="1" t="str">
        <f t="shared" si="2715"/>
        <v>0</v>
      </c>
      <c r="Q1379" s="1" t="str">
        <f t="shared" si="2644"/>
        <v>0.0070</v>
      </c>
      <c r="R1379" s="1" t="s">
        <v>29</v>
      </c>
      <c r="S1379" s="1">
        <v>-0.0014</v>
      </c>
      <c r="T1379" s="1" t="str">
        <f t="shared" si="2645"/>
        <v>0</v>
      </c>
      <c r="U1379" s="1" t="str">
        <f t="shared" si="2713"/>
        <v>0.0056</v>
      </c>
    </row>
    <row r="1380" s="1" customFormat="1" spans="1:21">
      <c r="A1380" s="1" t="str">
        <f>"4601992016523"</f>
        <v>4601992016523</v>
      </c>
      <c r="B1380" s="1" t="s">
        <v>1404</v>
      </c>
      <c r="C1380" s="1" t="s">
        <v>24</v>
      </c>
      <c r="D1380" s="1" t="str">
        <f t="shared" si="2641"/>
        <v>2021</v>
      </c>
      <c r="E1380" s="1" t="str">
        <f>"36.27"</f>
        <v>36.27</v>
      </c>
      <c r="F1380" s="1" t="str">
        <f t="shared" ref="F1380:I1380" si="2716">"0"</f>
        <v>0</v>
      </c>
      <c r="G1380" s="1" t="str">
        <f t="shared" si="2716"/>
        <v>0</v>
      </c>
      <c r="H1380" s="1" t="str">
        <f t="shared" si="2716"/>
        <v>0</v>
      </c>
      <c r="I1380" s="1" t="str">
        <f t="shared" si="2716"/>
        <v>0</v>
      </c>
      <c r="J1380" s="1" t="str">
        <f>"3"</f>
        <v>3</v>
      </c>
      <c r="K1380" s="1" t="str">
        <f t="shared" ref="K1380:P1380" si="2717">"0"</f>
        <v>0</v>
      </c>
      <c r="L1380" s="1" t="str">
        <f t="shared" si="2717"/>
        <v>0</v>
      </c>
      <c r="M1380" s="1" t="str">
        <f t="shared" si="2717"/>
        <v>0</v>
      </c>
      <c r="N1380" s="1" t="str">
        <f t="shared" si="2717"/>
        <v>0</v>
      </c>
      <c r="O1380" s="1" t="str">
        <f t="shared" si="2717"/>
        <v>0</v>
      </c>
      <c r="P1380" s="1" t="str">
        <f t="shared" si="2717"/>
        <v>0</v>
      </c>
      <c r="Q1380" s="1" t="str">
        <f t="shared" si="2644"/>
        <v>0.0070</v>
      </c>
      <c r="R1380" s="1" t="s">
        <v>29</v>
      </c>
      <c r="S1380" s="1">
        <v>-0.0014</v>
      </c>
      <c r="T1380" s="1" t="str">
        <f t="shared" si="2645"/>
        <v>0</v>
      </c>
      <c r="U1380" s="1" t="str">
        <f t="shared" si="2713"/>
        <v>0.0056</v>
      </c>
    </row>
    <row r="1381" s="1" customFormat="1" spans="1:21">
      <c r="A1381" s="1" t="str">
        <f>"4601992016506"</f>
        <v>4601992016506</v>
      </c>
      <c r="B1381" s="1" t="s">
        <v>1405</v>
      </c>
      <c r="C1381" s="1" t="s">
        <v>24</v>
      </c>
      <c r="D1381" s="1" t="str">
        <f t="shared" si="2641"/>
        <v>2021</v>
      </c>
      <c r="E1381" s="1" t="str">
        <f>"36.27"</f>
        <v>36.27</v>
      </c>
      <c r="F1381" s="1" t="str">
        <f t="shared" ref="F1381:I1381" si="2718">"0"</f>
        <v>0</v>
      </c>
      <c r="G1381" s="1" t="str">
        <f t="shared" si="2718"/>
        <v>0</v>
      </c>
      <c r="H1381" s="1" t="str">
        <f t="shared" si="2718"/>
        <v>0</v>
      </c>
      <c r="I1381" s="1" t="str">
        <f t="shared" si="2718"/>
        <v>0</v>
      </c>
      <c r="J1381" s="1" t="str">
        <f>"4"</f>
        <v>4</v>
      </c>
      <c r="K1381" s="1" t="str">
        <f t="shared" ref="K1381:P1381" si="2719">"0"</f>
        <v>0</v>
      </c>
      <c r="L1381" s="1" t="str">
        <f t="shared" si="2719"/>
        <v>0</v>
      </c>
      <c r="M1381" s="1" t="str">
        <f t="shared" si="2719"/>
        <v>0</v>
      </c>
      <c r="N1381" s="1" t="str">
        <f t="shared" si="2719"/>
        <v>0</v>
      </c>
      <c r="O1381" s="1" t="str">
        <f t="shared" si="2719"/>
        <v>0</v>
      </c>
      <c r="P1381" s="1" t="str">
        <f t="shared" si="2719"/>
        <v>0</v>
      </c>
      <c r="Q1381" s="1" t="str">
        <f t="shared" si="2644"/>
        <v>0.0070</v>
      </c>
      <c r="R1381" s="1" t="s">
        <v>29</v>
      </c>
      <c r="S1381" s="1">
        <v>-0.0014</v>
      </c>
      <c r="T1381" s="1" t="str">
        <f t="shared" si="2645"/>
        <v>0</v>
      </c>
      <c r="U1381" s="1" t="str">
        <f t="shared" si="2713"/>
        <v>0.0056</v>
      </c>
    </row>
    <row r="1382" s="1" customFormat="1" spans="1:21">
      <c r="A1382" s="1" t="str">
        <f>"4601992016529"</f>
        <v>4601992016529</v>
      </c>
      <c r="B1382" s="1" t="s">
        <v>1406</v>
      </c>
      <c r="C1382" s="1" t="s">
        <v>24</v>
      </c>
      <c r="D1382" s="1" t="str">
        <f t="shared" si="2641"/>
        <v>2021</v>
      </c>
      <c r="E1382" s="1" t="str">
        <f>"12.25"</f>
        <v>12.25</v>
      </c>
      <c r="F1382" s="1" t="str">
        <f t="shared" ref="F1382:I1382" si="2720">"0"</f>
        <v>0</v>
      </c>
      <c r="G1382" s="1" t="str">
        <f t="shared" si="2720"/>
        <v>0</v>
      </c>
      <c r="H1382" s="1" t="str">
        <f t="shared" si="2720"/>
        <v>0</v>
      </c>
      <c r="I1382" s="1" t="str">
        <f t="shared" si="2720"/>
        <v>0</v>
      </c>
      <c r="J1382" s="1" t="str">
        <f>"1"</f>
        <v>1</v>
      </c>
      <c r="K1382" s="1" t="str">
        <f t="shared" ref="K1382:P1382" si="2721">"0"</f>
        <v>0</v>
      </c>
      <c r="L1382" s="1" t="str">
        <f t="shared" si="2721"/>
        <v>0</v>
      </c>
      <c r="M1382" s="1" t="str">
        <f t="shared" si="2721"/>
        <v>0</v>
      </c>
      <c r="N1382" s="1" t="str">
        <f t="shared" si="2721"/>
        <v>0</v>
      </c>
      <c r="O1382" s="1" t="str">
        <f t="shared" si="2721"/>
        <v>0</v>
      </c>
      <c r="P1382" s="1" t="str">
        <f t="shared" si="2721"/>
        <v>0</v>
      </c>
      <c r="Q1382" s="1" t="str">
        <f t="shared" si="2644"/>
        <v>0.0070</v>
      </c>
      <c r="R1382" s="1" t="s">
        <v>29</v>
      </c>
      <c r="S1382" s="1">
        <v>-0.0014</v>
      </c>
      <c r="T1382" s="1" t="str">
        <f t="shared" si="2645"/>
        <v>0</v>
      </c>
      <c r="U1382" s="1" t="str">
        <f t="shared" si="2713"/>
        <v>0.0056</v>
      </c>
    </row>
    <row r="1383" s="1" customFormat="1" spans="1:21">
      <c r="A1383" s="1" t="str">
        <f>"4601992016538"</f>
        <v>4601992016538</v>
      </c>
      <c r="B1383" s="1" t="s">
        <v>1407</v>
      </c>
      <c r="C1383" s="1" t="s">
        <v>24</v>
      </c>
      <c r="D1383" s="1" t="str">
        <f t="shared" si="2641"/>
        <v>2021</v>
      </c>
      <c r="E1383" s="1" t="str">
        <f>"12.09"</f>
        <v>12.09</v>
      </c>
      <c r="F1383" s="1" t="str">
        <f t="shared" ref="F1383:I1383" si="2722">"0"</f>
        <v>0</v>
      </c>
      <c r="G1383" s="1" t="str">
        <f t="shared" si="2722"/>
        <v>0</v>
      </c>
      <c r="H1383" s="1" t="str">
        <f t="shared" si="2722"/>
        <v>0</v>
      </c>
      <c r="I1383" s="1" t="str">
        <f t="shared" si="2722"/>
        <v>0</v>
      </c>
      <c r="J1383" s="1" t="str">
        <f>"1"</f>
        <v>1</v>
      </c>
      <c r="K1383" s="1" t="str">
        <f t="shared" ref="K1383:P1383" si="2723">"0"</f>
        <v>0</v>
      </c>
      <c r="L1383" s="1" t="str">
        <f t="shared" si="2723"/>
        <v>0</v>
      </c>
      <c r="M1383" s="1" t="str">
        <f t="shared" si="2723"/>
        <v>0</v>
      </c>
      <c r="N1383" s="1" t="str">
        <f t="shared" si="2723"/>
        <v>0</v>
      </c>
      <c r="O1383" s="1" t="str">
        <f t="shared" si="2723"/>
        <v>0</v>
      </c>
      <c r="P1383" s="1" t="str">
        <f t="shared" si="2723"/>
        <v>0</v>
      </c>
      <c r="Q1383" s="1" t="str">
        <f t="shared" si="2644"/>
        <v>0.0070</v>
      </c>
      <c r="R1383" s="1" t="s">
        <v>29</v>
      </c>
      <c r="S1383" s="1">
        <v>-0.0014</v>
      </c>
      <c r="T1383" s="1" t="str">
        <f t="shared" si="2645"/>
        <v>0</v>
      </c>
      <c r="U1383" s="1" t="str">
        <f t="shared" si="2713"/>
        <v>0.0056</v>
      </c>
    </row>
    <row r="1384" s="1" customFormat="1" spans="1:21">
      <c r="A1384" s="1" t="str">
        <f>"4601992016557"</f>
        <v>4601992016557</v>
      </c>
      <c r="B1384" s="1" t="s">
        <v>1408</v>
      </c>
      <c r="C1384" s="1" t="s">
        <v>24</v>
      </c>
      <c r="D1384" s="1" t="str">
        <f t="shared" si="2641"/>
        <v>2021</v>
      </c>
      <c r="E1384" s="1" t="str">
        <f t="shared" ref="E1384:P1384" si="2724">"0"</f>
        <v>0</v>
      </c>
      <c r="F1384" s="1" t="str">
        <f t="shared" si="2724"/>
        <v>0</v>
      </c>
      <c r="G1384" s="1" t="str">
        <f t="shared" si="2724"/>
        <v>0</v>
      </c>
      <c r="H1384" s="1" t="str">
        <f t="shared" si="2724"/>
        <v>0</v>
      </c>
      <c r="I1384" s="1" t="str">
        <f t="shared" si="2724"/>
        <v>0</v>
      </c>
      <c r="J1384" s="1" t="str">
        <f t="shared" si="2724"/>
        <v>0</v>
      </c>
      <c r="K1384" s="1" t="str">
        <f t="shared" si="2724"/>
        <v>0</v>
      </c>
      <c r="L1384" s="1" t="str">
        <f t="shared" si="2724"/>
        <v>0</v>
      </c>
      <c r="M1384" s="1" t="str">
        <f t="shared" si="2724"/>
        <v>0</v>
      </c>
      <c r="N1384" s="1" t="str">
        <f t="shared" si="2724"/>
        <v>0</v>
      </c>
      <c r="O1384" s="1" t="str">
        <f t="shared" si="2724"/>
        <v>0</v>
      </c>
      <c r="P1384" s="1" t="str">
        <f t="shared" si="2724"/>
        <v>0</v>
      </c>
      <c r="Q1384" s="1" t="str">
        <f t="shared" si="2644"/>
        <v>0.0070</v>
      </c>
      <c r="R1384" s="1" t="s">
        <v>25</v>
      </c>
      <c r="T1384" s="1" t="str">
        <f t="shared" si="2645"/>
        <v>0</v>
      </c>
      <c r="U1384" s="1" t="str">
        <f t="shared" ref="U1384:U1388" si="2725">"0.0070"</f>
        <v>0.0070</v>
      </c>
    </row>
    <row r="1385" s="1" customFormat="1" spans="1:21">
      <c r="A1385" s="1" t="str">
        <f>"4601992016594"</f>
        <v>4601992016594</v>
      </c>
      <c r="B1385" s="1" t="s">
        <v>1409</v>
      </c>
      <c r="C1385" s="1" t="s">
        <v>24</v>
      </c>
      <c r="D1385" s="1" t="str">
        <f t="shared" si="2641"/>
        <v>2021</v>
      </c>
      <c r="E1385" s="1" t="str">
        <f t="shared" ref="E1385:G1385" si="2726">"0"</f>
        <v>0</v>
      </c>
      <c r="F1385" s="1" t="str">
        <f t="shared" si="2726"/>
        <v>0</v>
      </c>
      <c r="G1385" s="1" t="str">
        <f t="shared" si="2726"/>
        <v>0</v>
      </c>
      <c r="H1385" s="1" t="str">
        <f>"48.36"</f>
        <v>48.36</v>
      </c>
      <c r="I1385" s="1" t="str">
        <f t="shared" ref="I1385:P1385" si="2727">"0"</f>
        <v>0</v>
      </c>
      <c r="J1385" s="1" t="str">
        <f t="shared" si="2727"/>
        <v>0</v>
      </c>
      <c r="K1385" s="1" t="str">
        <f t="shared" si="2727"/>
        <v>0</v>
      </c>
      <c r="L1385" s="1" t="str">
        <f t="shared" si="2727"/>
        <v>0</v>
      </c>
      <c r="M1385" s="1" t="str">
        <f t="shared" si="2727"/>
        <v>0</v>
      </c>
      <c r="N1385" s="1" t="str">
        <f t="shared" si="2727"/>
        <v>0</v>
      </c>
      <c r="O1385" s="1" t="str">
        <f t="shared" si="2727"/>
        <v>0</v>
      </c>
      <c r="P1385" s="1" t="str">
        <f t="shared" si="2727"/>
        <v>0</v>
      </c>
      <c r="Q1385" s="1" t="str">
        <f t="shared" si="2644"/>
        <v>0.0070</v>
      </c>
      <c r="R1385" s="1" t="s">
        <v>25</v>
      </c>
      <c r="T1385" s="1" t="str">
        <f t="shared" si="2645"/>
        <v>0</v>
      </c>
      <c r="U1385" s="1" t="str">
        <f t="shared" si="2725"/>
        <v>0.0070</v>
      </c>
    </row>
    <row r="1386" s="1" customFormat="1" spans="1:21">
      <c r="A1386" s="1" t="str">
        <f>"4601992016611"</f>
        <v>4601992016611</v>
      </c>
      <c r="B1386" s="1" t="s">
        <v>1410</v>
      </c>
      <c r="C1386" s="1" t="s">
        <v>24</v>
      </c>
      <c r="D1386" s="1" t="str">
        <f t="shared" si="2641"/>
        <v>2021</v>
      </c>
      <c r="E1386" s="1" t="str">
        <f t="shared" ref="E1386:P1386" si="2728">"0"</f>
        <v>0</v>
      </c>
      <c r="F1386" s="1" t="str">
        <f t="shared" si="2728"/>
        <v>0</v>
      </c>
      <c r="G1386" s="1" t="str">
        <f t="shared" si="2728"/>
        <v>0</v>
      </c>
      <c r="H1386" s="1" t="str">
        <f t="shared" si="2728"/>
        <v>0</v>
      </c>
      <c r="I1386" s="1" t="str">
        <f t="shared" si="2728"/>
        <v>0</v>
      </c>
      <c r="J1386" s="1" t="str">
        <f t="shared" si="2728"/>
        <v>0</v>
      </c>
      <c r="K1386" s="1" t="str">
        <f t="shared" si="2728"/>
        <v>0</v>
      </c>
      <c r="L1386" s="1" t="str">
        <f t="shared" si="2728"/>
        <v>0</v>
      </c>
      <c r="M1386" s="1" t="str">
        <f t="shared" si="2728"/>
        <v>0</v>
      </c>
      <c r="N1386" s="1" t="str">
        <f t="shared" si="2728"/>
        <v>0</v>
      </c>
      <c r="O1386" s="1" t="str">
        <f t="shared" si="2728"/>
        <v>0</v>
      </c>
      <c r="P1386" s="1" t="str">
        <f t="shared" si="2728"/>
        <v>0</v>
      </c>
      <c r="Q1386" s="1" t="str">
        <f t="shared" si="2644"/>
        <v>0.0070</v>
      </c>
      <c r="R1386" s="1" t="s">
        <v>25</v>
      </c>
      <c r="T1386" s="1" t="str">
        <f t="shared" si="2645"/>
        <v>0</v>
      </c>
      <c r="U1386" s="1" t="str">
        <f t="shared" si="2725"/>
        <v>0.0070</v>
      </c>
    </row>
    <row r="1387" s="1" customFormat="1" spans="1:21">
      <c r="A1387" s="1" t="str">
        <f>"4601992016614"</f>
        <v>4601992016614</v>
      </c>
      <c r="B1387" s="1" t="s">
        <v>1411</v>
      </c>
      <c r="C1387" s="1" t="s">
        <v>24</v>
      </c>
      <c r="D1387" s="1" t="str">
        <f t="shared" si="2641"/>
        <v>2021</v>
      </c>
      <c r="E1387" s="1" t="str">
        <f t="shared" ref="E1387:G1387" si="2729">"0"</f>
        <v>0</v>
      </c>
      <c r="F1387" s="1" t="str">
        <f t="shared" si="2729"/>
        <v>0</v>
      </c>
      <c r="G1387" s="1" t="str">
        <f t="shared" si="2729"/>
        <v>0</v>
      </c>
      <c r="H1387" s="1" t="str">
        <f>"12.09"</f>
        <v>12.09</v>
      </c>
      <c r="I1387" s="1" t="str">
        <f t="shared" ref="I1387:P1387" si="2730">"0"</f>
        <v>0</v>
      </c>
      <c r="J1387" s="1" t="str">
        <f t="shared" si="2730"/>
        <v>0</v>
      </c>
      <c r="K1387" s="1" t="str">
        <f t="shared" si="2730"/>
        <v>0</v>
      </c>
      <c r="L1387" s="1" t="str">
        <f t="shared" si="2730"/>
        <v>0</v>
      </c>
      <c r="M1387" s="1" t="str">
        <f t="shared" si="2730"/>
        <v>0</v>
      </c>
      <c r="N1387" s="1" t="str">
        <f t="shared" si="2730"/>
        <v>0</v>
      </c>
      <c r="O1387" s="1" t="str">
        <f t="shared" si="2730"/>
        <v>0</v>
      </c>
      <c r="P1387" s="1" t="str">
        <f t="shared" si="2730"/>
        <v>0</v>
      </c>
      <c r="Q1387" s="1" t="str">
        <f t="shared" si="2644"/>
        <v>0.0070</v>
      </c>
      <c r="R1387" s="1" t="s">
        <v>25</v>
      </c>
      <c r="T1387" s="1" t="str">
        <f t="shared" si="2645"/>
        <v>0</v>
      </c>
      <c r="U1387" s="1" t="str">
        <f t="shared" si="2725"/>
        <v>0.0070</v>
      </c>
    </row>
    <row r="1388" s="1" customFormat="1" spans="1:21">
      <c r="A1388" s="1" t="str">
        <f>"4601992016632"</f>
        <v>4601992016632</v>
      </c>
      <c r="B1388" s="1" t="s">
        <v>1412</v>
      </c>
      <c r="C1388" s="1" t="s">
        <v>24</v>
      </c>
      <c r="D1388" s="1" t="str">
        <f t="shared" si="2641"/>
        <v>2021</v>
      </c>
      <c r="E1388" s="1" t="str">
        <f t="shared" ref="E1388:P1388" si="2731">"0"</f>
        <v>0</v>
      </c>
      <c r="F1388" s="1" t="str">
        <f t="shared" si="2731"/>
        <v>0</v>
      </c>
      <c r="G1388" s="1" t="str">
        <f t="shared" si="2731"/>
        <v>0</v>
      </c>
      <c r="H1388" s="1" t="str">
        <f t="shared" si="2731"/>
        <v>0</v>
      </c>
      <c r="I1388" s="1" t="str">
        <f t="shared" si="2731"/>
        <v>0</v>
      </c>
      <c r="J1388" s="1" t="str">
        <f t="shared" si="2731"/>
        <v>0</v>
      </c>
      <c r="K1388" s="1" t="str">
        <f t="shared" si="2731"/>
        <v>0</v>
      </c>
      <c r="L1388" s="1" t="str">
        <f t="shared" si="2731"/>
        <v>0</v>
      </c>
      <c r="M1388" s="1" t="str">
        <f t="shared" si="2731"/>
        <v>0</v>
      </c>
      <c r="N1388" s="1" t="str">
        <f t="shared" si="2731"/>
        <v>0</v>
      </c>
      <c r="O1388" s="1" t="str">
        <f t="shared" si="2731"/>
        <v>0</v>
      </c>
      <c r="P1388" s="1" t="str">
        <f t="shared" si="2731"/>
        <v>0</v>
      </c>
      <c r="Q1388" s="1" t="str">
        <f t="shared" si="2644"/>
        <v>0.0070</v>
      </c>
      <c r="R1388" s="1" t="s">
        <v>25</v>
      </c>
      <c r="T1388" s="1" t="str">
        <f t="shared" si="2645"/>
        <v>0</v>
      </c>
      <c r="U1388" s="1" t="str">
        <f t="shared" si="2725"/>
        <v>0.0070</v>
      </c>
    </row>
    <row r="1389" s="1" customFormat="1" spans="1:21">
      <c r="A1389" s="1" t="str">
        <f>"4601992016647"</f>
        <v>4601992016647</v>
      </c>
      <c r="B1389" s="1" t="s">
        <v>1413</v>
      </c>
      <c r="C1389" s="1" t="s">
        <v>24</v>
      </c>
      <c r="D1389" s="1" t="str">
        <f t="shared" si="2641"/>
        <v>2021</v>
      </c>
      <c r="E1389" s="1" t="str">
        <f>"1741.29"</f>
        <v>1741.29</v>
      </c>
      <c r="F1389" s="1" t="str">
        <f t="shared" ref="F1389:I1389" si="2732">"0"</f>
        <v>0</v>
      </c>
      <c r="G1389" s="1" t="str">
        <f t="shared" si="2732"/>
        <v>0</v>
      </c>
      <c r="H1389" s="1" t="str">
        <f t="shared" si="2732"/>
        <v>0</v>
      </c>
      <c r="I1389" s="1" t="str">
        <f t="shared" si="2732"/>
        <v>0</v>
      </c>
      <c r="J1389" s="1" t="str">
        <f>"6"</f>
        <v>6</v>
      </c>
      <c r="K1389" s="1" t="str">
        <f t="shared" ref="K1389:P1389" si="2733">"0"</f>
        <v>0</v>
      </c>
      <c r="L1389" s="1" t="str">
        <f t="shared" si="2733"/>
        <v>0</v>
      </c>
      <c r="M1389" s="1" t="str">
        <f t="shared" si="2733"/>
        <v>0</v>
      </c>
      <c r="N1389" s="1" t="str">
        <f t="shared" si="2733"/>
        <v>0</v>
      </c>
      <c r="O1389" s="1" t="str">
        <f t="shared" si="2733"/>
        <v>0</v>
      </c>
      <c r="P1389" s="1" t="str">
        <f t="shared" si="2733"/>
        <v>0</v>
      </c>
      <c r="Q1389" s="1" t="str">
        <f t="shared" si="2644"/>
        <v>0.0070</v>
      </c>
      <c r="R1389" s="1" t="s">
        <v>29</v>
      </c>
      <c r="S1389" s="1">
        <v>-0.0014</v>
      </c>
      <c r="T1389" s="1" t="str">
        <f t="shared" si="2645"/>
        <v>0</v>
      </c>
      <c r="U1389" s="1" t="str">
        <f t="shared" ref="U1389:U1397" si="2734">"0.0056"</f>
        <v>0.0056</v>
      </c>
    </row>
    <row r="1390" s="1" customFormat="1" spans="1:21">
      <c r="A1390" s="1" t="str">
        <f>"4601992016670"</f>
        <v>4601992016670</v>
      </c>
      <c r="B1390" s="1" t="s">
        <v>1414</v>
      </c>
      <c r="C1390" s="1" t="s">
        <v>24</v>
      </c>
      <c r="D1390" s="1" t="str">
        <f t="shared" si="2641"/>
        <v>2021</v>
      </c>
      <c r="E1390" s="1" t="str">
        <f>"60.45"</f>
        <v>60.45</v>
      </c>
      <c r="F1390" s="1" t="str">
        <f t="shared" ref="F1390:I1390" si="2735">"0"</f>
        <v>0</v>
      </c>
      <c r="G1390" s="1" t="str">
        <f t="shared" si="2735"/>
        <v>0</v>
      </c>
      <c r="H1390" s="1" t="str">
        <f t="shared" si="2735"/>
        <v>0</v>
      </c>
      <c r="I1390" s="1" t="str">
        <f t="shared" si="2735"/>
        <v>0</v>
      </c>
      <c r="J1390" s="1" t="str">
        <f>"10"</f>
        <v>10</v>
      </c>
      <c r="K1390" s="1" t="str">
        <f t="shared" ref="K1390:P1390" si="2736">"0"</f>
        <v>0</v>
      </c>
      <c r="L1390" s="1" t="str">
        <f t="shared" si="2736"/>
        <v>0</v>
      </c>
      <c r="M1390" s="1" t="str">
        <f t="shared" si="2736"/>
        <v>0</v>
      </c>
      <c r="N1390" s="1" t="str">
        <f t="shared" si="2736"/>
        <v>0</v>
      </c>
      <c r="O1390" s="1" t="str">
        <f t="shared" si="2736"/>
        <v>0</v>
      </c>
      <c r="P1390" s="1" t="str">
        <f t="shared" si="2736"/>
        <v>0</v>
      </c>
      <c r="Q1390" s="1" t="str">
        <f t="shared" si="2644"/>
        <v>0.0070</v>
      </c>
      <c r="R1390" s="1" t="s">
        <v>29</v>
      </c>
      <c r="S1390" s="1">
        <v>-0.0014</v>
      </c>
      <c r="T1390" s="1" t="str">
        <f t="shared" si="2645"/>
        <v>0</v>
      </c>
      <c r="U1390" s="1" t="str">
        <f t="shared" si="2734"/>
        <v>0.0056</v>
      </c>
    </row>
    <row r="1391" s="1" customFormat="1" spans="1:21">
      <c r="A1391" s="1" t="str">
        <f>"4601992016744"</f>
        <v>4601992016744</v>
      </c>
      <c r="B1391" s="1" t="s">
        <v>1415</v>
      </c>
      <c r="C1391" s="1" t="s">
        <v>24</v>
      </c>
      <c r="D1391" s="1" t="str">
        <f t="shared" si="2641"/>
        <v>2021</v>
      </c>
      <c r="E1391" s="1" t="str">
        <f>"12.09"</f>
        <v>12.09</v>
      </c>
      <c r="F1391" s="1" t="str">
        <f t="shared" ref="F1391:I1391" si="2737">"0"</f>
        <v>0</v>
      </c>
      <c r="G1391" s="1" t="str">
        <f t="shared" si="2737"/>
        <v>0</v>
      </c>
      <c r="H1391" s="1" t="str">
        <f t="shared" si="2737"/>
        <v>0</v>
      </c>
      <c r="I1391" s="1" t="str">
        <f t="shared" si="2737"/>
        <v>0</v>
      </c>
      <c r="J1391" s="1" t="str">
        <f t="shared" ref="J1391:J1396" si="2738">"1"</f>
        <v>1</v>
      </c>
      <c r="K1391" s="1" t="str">
        <f t="shared" ref="K1391:P1391" si="2739">"0"</f>
        <v>0</v>
      </c>
      <c r="L1391" s="1" t="str">
        <f t="shared" si="2739"/>
        <v>0</v>
      </c>
      <c r="M1391" s="1" t="str">
        <f t="shared" si="2739"/>
        <v>0</v>
      </c>
      <c r="N1391" s="1" t="str">
        <f t="shared" si="2739"/>
        <v>0</v>
      </c>
      <c r="O1391" s="1" t="str">
        <f t="shared" si="2739"/>
        <v>0</v>
      </c>
      <c r="P1391" s="1" t="str">
        <f t="shared" si="2739"/>
        <v>0</v>
      </c>
      <c r="Q1391" s="1" t="str">
        <f t="shared" si="2644"/>
        <v>0.0070</v>
      </c>
      <c r="R1391" s="1" t="s">
        <v>29</v>
      </c>
      <c r="S1391" s="1">
        <v>-0.0014</v>
      </c>
      <c r="T1391" s="1" t="str">
        <f t="shared" si="2645"/>
        <v>0</v>
      </c>
      <c r="U1391" s="1" t="str">
        <f t="shared" si="2734"/>
        <v>0.0056</v>
      </c>
    </row>
    <row r="1392" s="1" customFormat="1" spans="1:21">
      <c r="A1392" s="1" t="str">
        <f>"4601992016690"</f>
        <v>4601992016690</v>
      </c>
      <c r="B1392" s="1" t="s">
        <v>1416</v>
      </c>
      <c r="C1392" s="1" t="s">
        <v>24</v>
      </c>
      <c r="D1392" s="1" t="str">
        <f t="shared" si="2641"/>
        <v>2021</v>
      </c>
      <c r="E1392" s="1" t="str">
        <f>"42.95"</f>
        <v>42.95</v>
      </c>
      <c r="F1392" s="1" t="str">
        <f t="shared" ref="F1392:I1392" si="2740">"0"</f>
        <v>0</v>
      </c>
      <c r="G1392" s="1" t="str">
        <f t="shared" si="2740"/>
        <v>0</v>
      </c>
      <c r="H1392" s="1" t="str">
        <f t="shared" si="2740"/>
        <v>0</v>
      </c>
      <c r="I1392" s="1" t="str">
        <f t="shared" si="2740"/>
        <v>0</v>
      </c>
      <c r="J1392" s="1" t="str">
        <f>"2"</f>
        <v>2</v>
      </c>
      <c r="K1392" s="1" t="str">
        <f t="shared" ref="K1392:P1392" si="2741">"0"</f>
        <v>0</v>
      </c>
      <c r="L1392" s="1" t="str">
        <f t="shared" si="2741"/>
        <v>0</v>
      </c>
      <c r="M1392" s="1" t="str">
        <f t="shared" si="2741"/>
        <v>0</v>
      </c>
      <c r="N1392" s="1" t="str">
        <f t="shared" si="2741"/>
        <v>0</v>
      </c>
      <c r="O1392" s="1" t="str">
        <f t="shared" si="2741"/>
        <v>0</v>
      </c>
      <c r="P1392" s="1" t="str">
        <f t="shared" si="2741"/>
        <v>0</v>
      </c>
      <c r="Q1392" s="1" t="str">
        <f t="shared" si="2644"/>
        <v>0.0070</v>
      </c>
      <c r="R1392" s="1" t="s">
        <v>29</v>
      </c>
      <c r="S1392" s="1">
        <v>-0.0014</v>
      </c>
      <c r="T1392" s="1" t="str">
        <f t="shared" si="2645"/>
        <v>0</v>
      </c>
      <c r="U1392" s="1" t="str">
        <f t="shared" si="2734"/>
        <v>0.0056</v>
      </c>
    </row>
    <row r="1393" s="1" customFormat="1" spans="1:21">
      <c r="A1393" s="1" t="str">
        <f>"4601992016720"</f>
        <v>4601992016720</v>
      </c>
      <c r="B1393" s="1" t="s">
        <v>1417</v>
      </c>
      <c r="C1393" s="1" t="s">
        <v>24</v>
      </c>
      <c r="D1393" s="1" t="str">
        <f t="shared" si="2641"/>
        <v>2021</v>
      </c>
      <c r="E1393" s="1" t="str">
        <f>"12.09"</f>
        <v>12.09</v>
      </c>
      <c r="F1393" s="1" t="str">
        <f t="shared" ref="F1393:I1393" si="2742">"0"</f>
        <v>0</v>
      </c>
      <c r="G1393" s="1" t="str">
        <f t="shared" si="2742"/>
        <v>0</v>
      </c>
      <c r="H1393" s="1" t="str">
        <f t="shared" si="2742"/>
        <v>0</v>
      </c>
      <c r="I1393" s="1" t="str">
        <f t="shared" si="2742"/>
        <v>0</v>
      </c>
      <c r="J1393" s="1" t="str">
        <f t="shared" si="2738"/>
        <v>1</v>
      </c>
      <c r="K1393" s="1" t="str">
        <f t="shared" ref="K1393:P1393" si="2743">"0"</f>
        <v>0</v>
      </c>
      <c r="L1393" s="1" t="str">
        <f t="shared" si="2743"/>
        <v>0</v>
      </c>
      <c r="M1393" s="1" t="str">
        <f t="shared" si="2743"/>
        <v>0</v>
      </c>
      <c r="N1393" s="1" t="str">
        <f t="shared" si="2743"/>
        <v>0</v>
      </c>
      <c r="O1393" s="1" t="str">
        <f t="shared" si="2743"/>
        <v>0</v>
      </c>
      <c r="P1393" s="1" t="str">
        <f t="shared" si="2743"/>
        <v>0</v>
      </c>
      <c r="Q1393" s="1" t="str">
        <f t="shared" si="2644"/>
        <v>0.0070</v>
      </c>
      <c r="R1393" s="1" t="s">
        <v>29</v>
      </c>
      <c r="S1393" s="1">
        <v>-0.0014</v>
      </c>
      <c r="T1393" s="1" t="str">
        <f t="shared" si="2645"/>
        <v>0</v>
      </c>
      <c r="U1393" s="1" t="str">
        <f t="shared" si="2734"/>
        <v>0.0056</v>
      </c>
    </row>
    <row r="1394" s="1" customFormat="1" spans="1:21">
      <c r="A1394" s="1" t="str">
        <f>"4601992016752"</f>
        <v>4601992016752</v>
      </c>
      <c r="B1394" s="1" t="s">
        <v>1418</v>
      </c>
      <c r="C1394" s="1" t="s">
        <v>24</v>
      </c>
      <c r="D1394" s="1" t="str">
        <f t="shared" si="2641"/>
        <v>2021</v>
      </c>
      <c r="E1394" s="1" t="str">
        <f>"48.36"</f>
        <v>48.36</v>
      </c>
      <c r="F1394" s="1" t="str">
        <f t="shared" ref="F1394:I1394" si="2744">"0"</f>
        <v>0</v>
      </c>
      <c r="G1394" s="1" t="str">
        <f t="shared" si="2744"/>
        <v>0</v>
      </c>
      <c r="H1394" s="1" t="str">
        <f t="shared" si="2744"/>
        <v>0</v>
      </c>
      <c r="I1394" s="1" t="str">
        <f t="shared" si="2744"/>
        <v>0</v>
      </c>
      <c r="J1394" s="1" t="str">
        <f>"3"</f>
        <v>3</v>
      </c>
      <c r="K1394" s="1" t="str">
        <f t="shared" ref="K1394:P1394" si="2745">"0"</f>
        <v>0</v>
      </c>
      <c r="L1394" s="1" t="str">
        <f t="shared" si="2745"/>
        <v>0</v>
      </c>
      <c r="M1394" s="1" t="str">
        <f t="shared" si="2745"/>
        <v>0</v>
      </c>
      <c r="N1394" s="1" t="str">
        <f t="shared" si="2745"/>
        <v>0</v>
      </c>
      <c r="O1394" s="1" t="str">
        <f t="shared" si="2745"/>
        <v>0</v>
      </c>
      <c r="P1394" s="1" t="str">
        <f t="shared" si="2745"/>
        <v>0</v>
      </c>
      <c r="Q1394" s="1" t="str">
        <f t="shared" si="2644"/>
        <v>0.0070</v>
      </c>
      <c r="R1394" s="1" t="s">
        <v>29</v>
      </c>
      <c r="S1394" s="1">
        <v>-0.0014</v>
      </c>
      <c r="T1394" s="1" t="str">
        <f t="shared" si="2645"/>
        <v>0</v>
      </c>
      <c r="U1394" s="1" t="str">
        <f t="shared" si="2734"/>
        <v>0.0056</v>
      </c>
    </row>
    <row r="1395" s="1" customFormat="1" spans="1:21">
      <c r="A1395" s="1" t="str">
        <f>"4601992016770"</f>
        <v>4601992016770</v>
      </c>
      <c r="B1395" s="1" t="s">
        <v>1419</v>
      </c>
      <c r="C1395" s="1" t="s">
        <v>24</v>
      </c>
      <c r="D1395" s="1" t="str">
        <f t="shared" si="2641"/>
        <v>2021</v>
      </c>
      <c r="E1395" s="1" t="str">
        <f>"84.63"</f>
        <v>84.63</v>
      </c>
      <c r="F1395" s="1" t="str">
        <f t="shared" ref="F1395:I1395" si="2746">"0"</f>
        <v>0</v>
      </c>
      <c r="G1395" s="1" t="str">
        <f t="shared" si="2746"/>
        <v>0</v>
      </c>
      <c r="H1395" s="1" t="str">
        <f t="shared" si="2746"/>
        <v>0</v>
      </c>
      <c r="I1395" s="1" t="str">
        <f t="shared" si="2746"/>
        <v>0</v>
      </c>
      <c r="J1395" s="1" t="str">
        <f>"7"</f>
        <v>7</v>
      </c>
      <c r="K1395" s="1" t="str">
        <f t="shared" ref="K1395:P1395" si="2747">"0"</f>
        <v>0</v>
      </c>
      <c r="L1395" s="1" t="str">
        <f t="shared" si="2747"/>
        <v>0</v>
      </c>
      <c r="M1395" s="1" t="str">
        <f t="shared" si="2747"/>
        <v>0</v>
      </c>
      <c r="N1395" s="1" t="str">
        <f t="shared" si="2747"/>
        <v>0</v>
      </c>
      <c r="O1395" s="1" t="str">
        <f t="shared" si="2747"/>
        <v>0</v>
      </c>
      <c r="P1395" s="1" t="str">
        <f t="shared" si="2747"/>
        <v>0</v>
      </c>
      <c r="Q1395" s="1" t="str">
        <f t="shared" si="2644"/>
        <v>0.0070</v>
      </c>
      <c r="R1395" s="1" t="s">
        <v>29</v>
      </c>
      <c r="S1395" s="1">
        <v>-0.0014</v>
      </c>
      <c r="T1395" s="1" t="str">
        <f t="shared" si="2645"/>
        <v>0</v>
      </c>
      <c r="U1395" s="1" t="str">
        <f t="shared" si="2734"/>
        <v>0.0056</v>
      </c>
    </row>
    <row r="1396" s="1" customFormat="1" spans="1:21">
      <c r="A1396" s="1" t="str">
        <f>"4601992016774"</f>
        <v>4601992016774</v>
      </c>
      <c r="B1396" s="1" t="s">
        <v>1420</v>
      </c>
      <c r="C1396" s="1" t="s">
        <v>24</v>
      </c>
      <c r="D1396" s="1" t="str">
        <f t="shared" si="2641"/>
        <v>2021</v>
      </c>
      <c r="E1396" s="1" t="str">
        <f>"11.98"</f>
        <v>11.98</v>
      </c>
      <c r="F1396" s="1" t="str">
        <f t="shared" ref="F1396:I1396" si="2748">"0"</f>
        <v>0</v>
      </c>
      <c r="G1396" s="1" t="str">
        <f t="shared" si="2748"/>
        <v>0</v>
      </c>
      <c r="H1396" s="1" t="str">
        <f t="shared" si="2748"/>
        <v>0</v>
      </c>
      <c r="I1396" s="1" t="str">
        <f t="shared" si="2748"/>
        <v>0</v>
      </c>
      <c r="J1396" s="1" t="str">
        <f t="shared" si="2738"/>
        <v>1</v>
      </c>
      <c r="K1396" s="1" t="str">
        <f t="shared" ref="K1396:P1396" si="2749">"0"</f>
        <v>0</v>
      </c>
      <c r="L1396" s="1" t="str">
        <f t="shared" si="2749"/>
        <v>0</v>
      </c>
      <c r="M1396" s="1" t="str">
        <f t="shared" si="2749"/>
        <v>0</v>
      </c>
      <c r="N1396" s="1" t="str">
        <f t="shared" si="2749"/>
        <v>0</v>
      </c>
      <c r="O1396" s="1" t="str">
        <f t="shared" si="2749"/>
        <v>0</v>
      </c>
      <c r="P1396" s="1" t="str">
        <f t="shared" si="2749"/>
        <v>0</v>
      </c>
      <c r="Q1396" s="1" t="str">
        <f t="shared" si="2644"/>
        <v>0.0070</v>
      </c>
      <c r="R1396" s="1" t="s">
        <v>29</v>
      </c>
      <c r="S1396" s="1">
        <v>-0.0014</v>
      </c>
      <c r="T1396" s="1" t="str">
        <f t="shared" si="2645"/>
        <v>0</v>
      </c>
      <c r="U1396" s="1" t="str">
        <f t="shared" si="2734"/>
        <v>0.0056</v>
      </c>
    </row>
    <row r="1397" s="1" customFormat="1" spans="1:21">
      <c r="A1397" s="1" t="str">
        <f>"4601992016815"</f>
        <v>4601992016815</v>
      </c>
      <c r="B1397" s="1" t="s">
        <v>1421</v>
      </c>
      <c r="C1397" s="1" t="s">
        <v>24</v>
      </c>
      <c r="D1397" s="1" t="str">
        <f t="shared" si="2641"/>
        <v>2021</v>
      </c>
      <c r="E1397" s="1" t="str">
        <f>"48.36"</f>
        <v>48.36</v>
      </c>
      <c r="F1397" s="1" t="str">
        <f t="shared" ref="F1397:I1397" si="2750">"0"</f>
        <v>0</v>
      </c>
      <c r="G1397" s="1" t="str">
        <f t="shared" si="2750"/>
        <v>0</v>
      </c>
      <c r="H1397" s="1" t="str">
        <f t="shared" si="2750"/>
        <v>0</v>
      </c>
      <c r="I1397" s="1" t="str">
        <f t="shared" si="2750"/>
        <v>0</v>
      </c>
      <c r="J1397" s="1" t="str">
        <f>"4"</f>
        <v>4</v>
      </c>
      <c r="K1397" s="1" t="str">
        <f t="shared" ref="K1397:P1397" si="2751">"0"</f>
        <v>0</v>
      </c>
      <c r="L1397" s="1" t="str">
        <f t="shared" si="2751"/>
        <v>0</v>
      </c>
      <c r="M1397" s="1" t="str">
        <f t="shared" si="2751"/>
        <v>0</v>
      </c>
      <c r="N1397" s="1" t="str">
        <f t="shared" si="2751"/>
        <v>0</v>
      </c>
      <c r="O1397" s="1" t="str">
        <f t="shared" si="2751"/>
        <v>0</v>
      </c>
      <c r="P1397" s="1" t="str">
        <f t="shared" si="2751"/>
        <v>0</v>
      </c>
      <c r="Q1397" s="1" t="str">
        <f t="shared" si="2644"/>
        <v>0.0070</v>
      </c>
      <c r="R1397" s="1" t="s">
        <v>29</v>
      </c>
      <c r="S1397" s="1">
        <v>-0.0014</v>
      </c>
      <c r="T1397" s="1" t="str">
        <f t="shared" si="2645"/>
        <v>0</v>
      </c>
      <c r="U1397" s="1" t="str">
        <f t="shared" si="2734"/>
        <v>0.0056</v>
      </c>
    </row>
    <row r="1398" s="1" customFormat="1" spans="1:21">
      <c r="A1398" s="1" t="str">
        <f>"4601992016883"</f>
        <v>4601992016883</v>
      </c>
      <c r="B1398" s="1" t="s">
        <v>1422</v>
      </c>
      <c r="C1398" s="1" t="s">
        <v>24</v>
      </c>
      <c r="D1398" s="1" t="str">
        <f t="shared" si="2641"/>
        <v>2021</v>
      </c>
      <c r="E1398" s="1" t="str">
        <f t="shared" ref="E1398:E1403" si="2752">"12.09"</f>
        <v>12.09</v>
      </c>
      <c r="F1398" s="1" t="str">
        <f t="shared" ref="F1398:I1398" si="2753">"0"</f>
        <v>0</v>
      </c>
      <c r="G1398" s="1" t="str">
        <f t="shared" si="2753"/>
        <v>0</v>
      </c>
      <c r="H1398" s="1" t="str">
        <f t="shared" si="2753"/>
        <v>0</v>
      </c>
      <c r="I1398" s="1" t="str">
        <f t="shared" si="2753"/>
        <v>0</v>
      </c>
      <c r="J1398" s="1" t="str">
        <f t="shared" ref="J1398:J1403" si="2754">"1"</f>
        <v>1</v>
      </c>
      <c r="K1398" s="1" t="str">
        <f t="shared" ref="K1398:P1398" si="2755">"0"</f>
        <v>0</v>
      </c>
      <c r="L1398" s="1" t="str">
        <f t="shared" si="2755"/>
        <v>0</v>
      </c>
      <c r="M1398" s="1" t="str">
        <f t="shared" si="2755"/>
        <v>0</v>
      </c>
      <c r="N1398" s="1" t="str">
        <f t="shared" si="2755"/>
        <v>0</v>
      </c>
      <c r="O1398" s="1" t="str">
        <f t="shared" si="2755"/>
        <v>0</v>
      </c>
      <c r="P1398" s="1" t="str">
        <f t="shared" si="2755"/>
        <v>0</v>
      </c>
      <c r="Q1398" s="1" t="str">
        <f t="shared" si="2644"/>
        <v>0.0070</v>
      </c>
      <c r="R1398" s="1" t="s">
        <v>25</v>
      </c>
      <c r="T1398" s="1" t="str">
        <f t="shared" si="2645"/>
        <v>0</v>
      </c>
      <c r="U1398" s="1" t="str">
        <f t="shared" ref="U1398:U1403" si="2756">"0.0070"</f>
        <v>0.0070</v>
      </c>
    </row>
    <row r="1399" s="1" customFormat="1" spans="1:21">
      <c r="A1399" s="1" t="str">
        <f>"4601992016822"</f>
        <v>4601992016822</v>
      </c>
      <c r="B1399" s="1" t="s">
        <v>1423</v>
      </c>
      <c r="C1399" s="1" t="s">
        <v>24</v>
      </c>
      <c r="D1399" s="1" t="str">
        <f t="shared" si="2641"/>
        <v>2021</v>
      </c>
      <c r="E1399" s="1" t="str">
        <f t="shared" si="2752"/>
        <v>12.09</v>
      </c>
      <c r="F1399" s="1" t="str">
        <f t="shared" ref="F1399:I1399" si="2757">"0"</f>
        <v>0</v>
      </c>
      <c r="G1399" s="1" t="str">
        <f t="shared" si="2757"/>
        <v>0</v>
      </c>
      <c r="H1399" s="1" t="str">
        <f t="shared" si="2757"/>
        <v>0</v>
      </c>
      <c r="I1399" s="1" t="str">
        <f t="shared" si="2757"/>
        <v>0</v>
      </c>
      <c r="J1399" s="1" t="str">
        <f t="shared" si="2754"/>
        <v>1</v>
      </c>
      <c r="K1399" s="1" t="str">
        <f t="shared" ref="K1399:P1399" si="2758">"0"</f>
        <v>0</v>
      </c>
      <c r="L1399" s="1" t="str">
        <f t="shared" si="2758"/>
        <v>0</v>
      </c>
      <c r="M1399" s="1" t="str">
        <f t="shared" si="2758"/>
        <v>0</v>
      </c>
      <c r="N1399" s="1" t="str">
        <f t="shared" si="2758"/>
        <v>0</v>
      </c>
      <c r="O1399" s="1" t="str">
        <f t="shared" si="2758"/>
        <v>0</v>
      </c>
      <c r="P1399" s="1" t="str">
        <f t="shared" si="2758"/>
        <v>0</v>
      </c>
      <c r="Q1399" s="1" t="str">
        <f t="shared" si="2644"/>
        <v>0.0070</v>
      </c>
      <c r="R1399" s="1" t="s">
        <v>25</v>
      </c>
      <c r="T1399" s="1" t="str">
        <f t="shared" si="2645"/>
        <v>0</v>
      </c>
      <c r="U1399" s="1" t="str">
        <f t="shared" si="2756"/>
        <v>0.0070</v>
      </c>
    </row>
    <row r="1400" s="1" customFormat="1" spans="1:21">
      <c r="A1400" s="1" t="str">
        <f>"4601992016824"</f>
        <v>4601992016824</v>
      </c>
      <c r="B1400" s="1" t="s">
        <v>1424</v>
      </c>
      <c r="C1400" s="1" t="s">
        <v>24</v>
      </c>
      <c r="D1400" s="1" t="str">
        <f t="shared" si="2641"/>
        <v>2021</v>
      </c>
      <c r="E1400" s="1" t="str">
        <f>"71.88"</f>
        <v>71.88</v>
      </c>
      <c r="F1400" s="1" t="str">
        <f t="shared" ref="F1400:I1400" si="2759">"0"</f>
        <v>0</v>
      </c>
      <c r="G1400" s="1" t="str">
        <f t="shared" si="2759"/>
        <v>0</v>
      </c>
      <c r="H1400" s="1" t="str">
        <f t="shared" si="2759"/>
        <v>0</v>
      </c>
      <c r="I1400" s="1" t="str">
        <f t="shared" si="2759"/>
        <v>0</v>
      </c>
      <c r="J1400" s="1" t="str">
        <f>"7"</f>
        <v>7</v>
      </c>
      <c r="K1400" s="1" t="str">
        <f t="shared" ref="K1400:P1400" si="2760">"0"</f>
        <v>0</v>
      </c>
      <c r="L1400" s="1" t="str">
        <f t="shared" si="2760"/>
        <v>0</v>
      </c>
      <c r="M1400" s="1" t="str">
        <f t="shared" si="2760"/>
        <v>0</v>
      </c>
      <c r="N1400" s="1" t="str">
        <f t="shared" si="2760"/>
        <v>0</v>
      </c>
      <c r="O1400" s="1" t="str">
        <f t="shared" si="2760"/>
        <v>0</v>
      </c>
      <c r="P1400" s="1" t="str">
        <f t="shared" si="2760"/>
        <v>0</v>
      </c>
      <c r="Q1400" s="1" t="str">
        <f t="shared" si="2644"/>
        <v>0.0070</v>
      </c>
      <c r="R1400" s="1" t="s">
        <v>29</v>
      </c>
      <c r="S1400" s="1">
        <v>-0.0014</v>
      </c>
      <c r="T1400" s="1" t="str">
        <f t="shared" si="2645"/>
        <v>0</v>
      </c>
      <c r="U1400" s="1" t="str">
        <f t="shared" ref="U1400:U1406" si="2761">"0.0056"</f>
        <v>0.0056</v>
      </c>
    </row>
    <row r="1401" s="1" customFormat="1" spans="1:21">
      <c r="A1401" s="1" t="str">
        <f>"4601992016886"</f>
        <v>4601992016886</v>
      </c>
      <c r="B1401" s="1" t="s">
        <v>1425</v>
      </c>
      <c r="C1401" s="1" t="s">
        <v>24</v>
      </c>
      <c r="D1401" s="1" t="str">
        <f t="shared" si="2641"/>
        <v>2021</v>
      </c>
      <c r="E1401" s="1" t="str">
        <f t="shared" ref="E1401:P1401" si="2762">"0"</f>
        <v>0</v>
      </c>
      <c r="F1401" s="1" t="str">
        <f t="shared" si="2762"/>
        <v>0</v>
      </c>
      <c r="G1401" s="1" t="str">
        <f t="shared" si="2762"/>
        <v>0</v>
      </c>
      <c r="H1401" s="1" t="str">
        <f t="shared" si="2762"/>
        <v>0</v>
      </c>
      <c r="I1401" s="1" t="str">
        <f t="shared" si="2762"/>
        <v>0</v>
      </c>
      <c r="J1401" s="1" t="str">
        <f t="shared" si="2762"/>
        <v>0</v>
      </c>
      <c r="K1401" s="1" t="str">
        <f t="shared" si="2762"/>
        <v>0</v>
      </c>
      <c r="L1401" s="1" t="str">
        <f t="shared" si="2762"/>
        <v>0</v>
      </c>
      <c r="M1401" s="1" t="str">
        <f t="shared" si="2762"/>
        <v>0</v>
      </c>
      <c r="N1401" s="1" t="str">
        <f t="shared" si="2762"/>
        <v>0</v>
      </c>
      <c r="O1401" s="1" t="str">
        <f t="shared" si="2762"/>
        <v>0</v>
      </c>
      <c r="P1401" s="1" t="str">
        <f t="shared" si="2762"/>
        <v>0</v>
      </c>
      <c r="Q1401" s="1" t="str">
        <f t="shared" si="2644"/>
        <v>0.0070</v>
      </c>
      <c r="R1401" s="1" t="s">
        <v>25</v>
      </c>
      <c r="T1401" s="1" t="str">
        <f t="shared" si="2645"/>
        <v>0</v>
      </c>
      <c r="U1401" s="1" t="str">
        <f t="shared" si="2756"/>
        <v>0.0070</v>
      </c>
    </row>
    <row r="1402" s="1" customFormat="1" spans="1:21">
      <c r="A1402" s="1" t="str">
        <f>"4601992016897"</f>
        <v>4601992016897</v>
      </c>
      <c r="B1402" s="1" t="s">
        <v>1426</v>
      </c>
      <c r="C1402" s="1" t="s">
        <v>24</v>
      </c>
      <c r="D1402" s="1" t="str">
        <f t="shared" si="2641"/>
        <v>2021</v>
      </c>
      <c r="E1402" s="1" t="str">
        <f t="shared" ref="E1402:P1402" si="2763">"0"</f>
        <v>0</v>
      </c>
      <c r="F1402" s="1" t="str">
        <f t="shared" si="2763"/>
        <v>0</v>
      </c>
      <c r="G1402" s="1" t="str">
        <f t="shared" si="2763"/>
        <v>0</v>
      </c>
      <c r="H1402" s="1" t="str">
        <f t="shared" si="2763"/>
        <v>0</v>
      </c>
      <c r="I1402" s="1" t="str">
        <f t="shared" si="2763"/>
        <v>0</v>
      </c>
      <c r="J1402" s="1" t="str">
        <f t="shared" si="2763"/>
        <v>0</v>
      </c>
      <c r="K1402" s="1" t="str">
        <f t="shared" si="2763"/>
        <v>0</v>
      </c>
      <c r="L1402" s="1" t="str">
        <f t="shared" si="2763"/>
        <v>0</v>
      </c>
      <c r="M1402" s="1" t="str">
        <f t="shared" si="2763"/>
        <v>0</v>
      </c>
      <c r="N1402" s="1" t="str">
        <f t="shared" si="2763"/>
        <v>0</v>
      </c>
      <c r="O1402" s="1" t="str">
        <f t="shared" si="2763"/>
        <v>0</v>
      </c>
      <c r="P1402" s="1" t="str">
        <f t="shared" si="2763"/>
        <v>0</v>
      </c>
      <c r="Q1402" s="1" t="str">
        <f t="shared" si="2644"/>
        <v>0.0070</v>
      </c>
      <c r="R1402" s="1" t="s">
        <v>25</v>
      </c>
      <c r="T1402" s="1" t="str">
        <f t="shared" si="2645"/>
        <v>0</v>
      </c>
      <c r="U1402" s="1" t="str">
        <f t="shared" si="2756"/>
        <v>0.0070</v>
      </c>
    </row>
    <row r="1403" s="1" customFormat="1" spans="1:21">
      <c r="A1403" s="1" t="str">
        <f>"4601992016961"</f>
        <v>4601992016961</v>
      </c>
      <c r="B1403" s="1" t="s">
        <v>1427</v>
      </c>
      <c r="C1403" s="1" t="s">
        <v>24</v>
      </c>
      <c r="D1403" s="1" t="str">
        <f t="shared" si="2641"/>
        <v>2021</v>
      </c>
      <c r="E1403" s="1" t="str">
        <f t="shared" si="2752"/>
        <v>12.09</v>
      </c>
      <c r="F1403" s="1" t="str">
        <f t="shared" ref="F1403:I1403" si="2764">"0"</f>
        <v>0</v>
      </c>
      <c r="G1403" s="1" t="str">
        <f t="shared" si="2764"/>
        <v>0</v>
      </c>
      <c r="H1403" s="1" t="str">
        <f t="shared" si="2764"/>
        <v>0</v>
      </c>
      <c r="I1403" s="1" t="str">
        <f t="shared" si="2764"/>
        <v>0</v>
      </c>
      <c r="J1403" s="1" t="str">
        <f t="shared" si="2754"/>
        <v>1</v>
      </c>
      <c r="K1403" s="1" t="str">
        <f t="shared" ref="K1403:P1403" si="2765">"0"</f>
        <v>0</v>
      </c>
      <c r="L1403" s="1" t="str">
        <f t="shared" si="2765"/>
        <v>0</v>
      </c>
      <c r="M1403" s="1" t="str">
        <f t="shared" si="2765"/>
        <v>0</v>
      </c>
      <c r="N1403" s="1" t="str">
        <f t="shared" si="2765"/>
        <v>0</v>
      </c>
      <c r="O1403" s="1" t="str">
        <f t="shared" si="2765"/>
        <v>0</v>
      </c>
      <c r="P1403" s="1" t="str">
        <f t="shared" si="2765"/>
        <v>0</v>
      </c>
      <c r="Q1403" s="1" t="str">
        <f t="shared" si="2644"/>
        <v>0.0070</v>
      </c>
      <c r="R1403" s="1" t="s">
        <v>25</v>
      </c>
      <c r="T1403" s="1" t="str">
        <f t="shared" si="2645"/>
        <v>0</v>
      </c>
      <c r="U1403" s="1" t="str">
        <f t="shared" si="2756"/>
        <v>0.0070</v>
      </c>
    </row>
    <row r="1404" s="1" customFormat="1" spans="1:21">
      <c r="A1404" s="1" t="str">
        <f>"4601992016926"</f>
        <v>4601992016926</v>
      </c>
      <c r="B1404" s="1" t="s">
        <v>1428</v>
      </c>
      <c r="C1404" s="1" t="s">
        <v>24</v>
      </c>
      <c r="D1404" s="1" t="str">
        <f t="shared" si="2641"/>
        <v>2021</v>
      </c>
      <c r="E1404" s="1" t="str">
        <f t="shared" ref="E1404:E1409" si="2766">"24.18"</f>
        <v>24.18</v>
      </c>
      <c r="F1404" s="1" t="str">
        <f t="shared" ref="F1404:I1404" si="2767">"0"</f>
        <v>0</v>
      </c>
      <c r="G1404" s="1" t="str">
        <f t="shared" si="2767"/>
        <v>0</v>
      </c>
      <c r="H1404" s="1" t="str">
        <f t="shared" si="2767"/>
        <v>0</v>
      </c>
      <c r="I1404" s="1" t="str">
        <f t="shared" si="2767"/>
        <v>0</v>
      </c>
      <c r="J1404" s="1" t="str">
        <f>"3"</f>
        <v>3</v>
      </c>
      <c r="K1404" s="1" t="str">
        <f t="shared" ref="K1404:P1404" si="2768">"0"</f>
        <v>0</v>
      </c>
      <c r="L1404" s="1" t="str">
        <f t="shared" si="2768"/>
        <v>0</v>
      </c>
      <c r="M1404" s="1" t="str">
        <f t="shared" si="2768"/>
        <v>0</v>
      </c>
      <c r="N1404" s="1" t="str">
        <f t="shared" si="2768"/>
        <v>0</v>
      </c>
      <c r="O1404" s="1" t="str">
        <f t="shared" si="2768"/>
        <v>0</v>
      </c>
      <c r="P1404" s="1" t="str">
        <f t="shared" si="2768"/>
        <v>0</v>
      </c>
      <c r="Q1404" s="1" t="str">
        <f t="shared" si="2644"/>
        <v>0.0070</v>
      </c>
      <c r="R1404" s="1" t="s">
        <v>29</v>
      </c>
      <c r="S1404" s="1">
        <v>-0.0014</v>
      </c>
      <c r="T1404" s="1" t="str">
        <f t="shared" si="2645"/>
        <v>0</v>
      </c>
      <c r="U1404" s="1" t="str">
        <f t="shared" si="2761"/>
        <v>0.0056</v>
      </c>
    </row>
    <row r="1405" s="1" customFormat="1" spans="1:21">
      <c r="A1405" s="1" t="str">
        <f>"4601992016930"</f>
        <v>4601992016930</v>
      </c>
      <c r="B1405" s="1" t="s">
        <v>1429</v>
      </c>
      <c r="C1405" s="1" t="s">
        <v>24</v>
      </c>
      <c r="D1405" s="1" t="str">
        <f t="shared" si="2641"/>
        <v>2021</v>
      </c>
      <c r="E1405" s="1" t="str">
        <f t="shared" si="2766"/>
        <v>24.18</v>
      </c>
      <c r="F1405" s="1" t="str">
        <f t="shared" ref="F1405:I1405" si="2769">"0"</f>
        <v>0</v>
      </c>
      <c r="G1405" s="1" t="str">
        <f t="shared" si="2769"/>
        <v>0</v>
      </c>
      <c r="H1405" s="1" t="str">
        <f t="shared" si="2769"/>
        <v>0</v>
      </c>
      <c r="I1405" s="1" t="str">
        <f t="shared" si="2769"/>
        <v>0</v>
      </c>
      <c r="J1405" s="1" t="str">
        <f>"2"</f>
        <v>2</v>
      </c>
      <c r="K1405" s="1" t="str">
        <f t="shared" ref="K1405:P1405" si="2770">"0"</f>
        <v>0</v>
      </c>
      <c r="L1405" s="1" t="str">
        <f t="shared" si="2770"/>
        <v>0</v>
      </c>
      <c r="M1405" s="1" t="str">
        <f t="shared" si="2770"/>
        <v>0</v>
      </c>
      <c r="N1405" s="1" t="str">
        <f t="shared" si="2770"/>
        <v>0</v>
      </c>
      <c r="O1405" s="1" t="str">
        <f t="shared" si="2770"/>
        <v>0</v>
      </c>
      <c r="P1405" s="1" t="str">
        <f t="shared" si="2770"/>
        <v>0</v>
      </c>
      <c r="Q1405" s="1" t="str">
        <f t="shared" si="2644"/>
        <v>0.0070</v>
      </c>
      <c r="R1405" s="1" t="s">
        <v>29</v>
      </c>
      <c r="S1405" s="1">
        <v>-0.0014</v>
      </c>
      <c r="T1405" s="1" t="str">
        <f t="shared" si="2645"/>
        <v>0</v>
      </c>
      <c r="U1405" s="1" t="str">
        <f t="shared" si="2761"/>
        <v>0.0056</v>
      </c>
    </row>
    <row r="1406" s="1" customFormat="1" spans="1:21">
      <c r="A1406" s="1" t="str">
        <f>"4601992016953"</f>
        <v>4601992016953</v>
      </c>
      <c r="B1406" s="1" t="s">
        <v>1430</v>
      </c>
      <c r="C1406" s="1" t="s">
        <v>24</v>
      </c>
      <c r="D1406" s="1" t="str">
        <f t="shared" si="2641"/>
        <v>2021</v>
      </c>
      <c r="E1406" s="1" t="str">
        <f>"12.09"</f>
        <v>12.09</v>
      </c>
      <c r="F1406" s="1" t="str">
        <f t="shared" ref="F1406:I1406" si="2771">"0"</f>
        <v>0</v>
      </c>
      <c r="G1406" s="1" t="str">
        <f t="shared" si="2771"/>
        <v>0</v>
      </c>
      <c r="H1406" s="1" t="str">
        <f t="shared" si="2771"/>
        <v>0</v>
      </c>
      <c r="I1406" s="1" t="str">
        <f t="shared" si="2771"/>
        <v>0</v>
      </c>
      <c r="J1406" s="1" t="str">
        <f>"1"</f>
        <v>1</v>
      </c>
      <c r="K1406" s="1" t="str">
        <f t="shared" ref="K1406:P1406" si="2772">"0"</f>
        <v>0</v>
      </c>
      <c r="L1406" s="1" t="str">
        <f t="shared" si="2772"/>
        <v>0</v>
      </c>
      <c r="M1406" s="1" t="str">
        <f t="shared" si="2772"/>
        <v>0</v>
      </c>
      <c r="N1406" s="1" t="str">
        <f t="shared" si="2772"/>
        <v>0</v>
      </c>
      <c r="O1406" s="1" t="str">
        <f t="shared" si="2772"/>
        <v>0</v>
      </c>
      <c r="P1406" s="1" t="str">
        <f t="shared" si="2772"/>
        <v>0</v>
      </c>
      <c r="Q1406" s="1" t="str">
        <f t="shared" si="2644"/>
        <v>0.0070</v>
      </c>
      <c r="R1406" s="1" t="s">
        <v>29</v>
      </c>
      <c r="S1406" s="1">
        <v>-0.0014</v>
      </c>
      <c r="T1406" s="1" t="str">
        <f t="shared" si="2645"/>
        <v>0</v>
      </c>
      <c r="U1406" s="1" t="str">
        <f t="shared" si="2761"/>
        <v>0.0056</v>
      </c>
    </row>
    <row r="1407" s="1" customFormat="1" spans="1:21">
      <c r="A1407" s="1" t="str">
        <f>"4601992017130"</f>
        <v>4601992017130</v>
      </c>
      <c r="B1407" s="1" t="s">
        <v>1431</v>
      </c>
      <c r="C1407" s="1" t="s">
        <v>24</v>
      </c>
      <c r="D1407" s="1" t="str">
        <f t="shared" si="2641"/>
        <v>2021</v>
      </c>
      <c r="E1407" s="1" t="str">
        <f t="shared" ref="E1407:P1407" si="2773">"0"</f>
        <v>0</v>
      </c>
      <c r="F1407" s="1" t="str">
        <f t="shared" si="2773"/>
        <v>0</v>
      </c>
      <c r="G1407" s="1" t="str">
        <f t="shared" si="2773"/>
        <v>0</v>
      </c>
      <c r="H1407" s="1" t="str">
        <f t="shared" si="2773"/>
        <v>0</v>
      </c>
      <c r="I1407" s="1" t="str">
        <f t="shared" si="2773"/>
        <v>0</v>
      </c>
      <c r="J1407" s="1" t="str">
        <f t="shared" si="2773"/>
        <v>0</v>
      </c>
      <c r="K1407" s="1" t="str">
        <f t="shared" si="2773"/>
        <v>0</v>
      </c>
      <c r="L1407" s="1" t="str">
        <f t="shared" si="2773"/>
        <v>0</v>
      </c>
      <c r="M1407" s="1" t="str">
        <f t="shared" si="2773"/>
        <v>0</v>
      </c>
      <c r="N1407" s="1" t="str">
        <f t="shared" si="2773"/>
        <v>0</v>
      </c>
      <c r="O1407" s="1" t="str">
        <f t="shared" si="2773"/>
        <v>0</v>
      </c>
      <c r="P1407" s="1" t="str">
        <f t="shared" si="2773"/>
        <v>0</v>
      </c>
      <c r="Q1407" s="1" t="str">
        <f t="shared" si="2644"/>
        <v>0.0070</v>
      </c>
      <c r="R1407" s="1" t="s">
        <v>25</v>
      </c>
      <c r="T1407" s="1" t="str">
        <f t="shared" si="2645"/>
        <v>0</v>
      </c>
      <c r="U1407" s="1" t="str">
        <f>"0.0070"</f>
        <v>0.0070</v>
      </c>
    </row>
    <row r="1408" s="1" customFormat="1" spans="1:21">
      <c r="A1408" s="1" t="str">
        <f>"4601992017020"</f>
        <v>4601992017020</v>
      </c>
      <c r="B1408" s="1" t="s">
        <v>1432</v>
      </c>
      <c r="C1408" s="1" t="s">
        <v>24</v>
      </c>
      <c r="D1408" s="1" t="str">
        <f t="shared" si="2641"/>
        <v>2021</v>
      </c>
      <c r="E1408" s="1" t="str">
        <f>"36.27"</f>
        <v>36.27</v>
      </c>
      <c r="F1408" s="1" t="str">
        <f t="shared" ref="F1408:I1408" si="2774">"0"</f>
        <v>0</v>
      </c>
      <c r="G1408" s="1" t="str">
        <f t="shared" si="2774"/>
        <v>0</v>
      </c>
      <c r="H1408" s="1" t="str">
        <f t="shared" si="2774"/>
        <v>0</v>
      </c>
      <c r="I1408" s="1" t="str">
        <f t="shared" si="2774"/>
        <v>0</v>
      </c>
      <c r="J1408" s="1" t="str">
        <f>"3"</f>
        <v>3</v>
      </c>
      <c r="K1408" s="1" t="str">
        <f t="shared" ref="K1408:P1408" si="2775">"0"</f>
        <v>0</v>
      </c>
      <c r="L1408" s="1" t="str">
        <f t="shared" si="2775"/>
        <v>0</v>
      </c>
      <c r="M1408" s="1" t="str">
        <f t="shared" si="2775"/>
        <v>0</v>
      </c>
      <c r="N1408" s="1" t="str">
        <f t="shared" si="2775"/>
        <v>0</v>
      </c>
      <c r="O1408" s="1" t="str">
        <f t="shared" si="2775"/>
        <v>0</v>
      </c>
      <c r="P1408" s="1" t="str">
        <f t="shared" si="2775"/>
        <v>0</v>
      </c>
      <c r="Q1408" s="1" t="str">
        <f t="shared" si="2644"/>
        <v>0.0070</v>
      </c>
      <c r="R1408" s="1" t="s">
        <v>29</v>
      </c>
      <c r="S1408" s="1">
        <v>-0.0014</v>
      </c>
      <c r="T1408" s="1" t="str">
        <f t="shared" si="2645"/>
        <v>0</v>
      </c>
      <c r="U1408" s="1" t="str">
        <f t="shared" ref="U1408:U1410" si="2776">"0.0056"</f>
        <v>0.0056</v>
      </c>
    </row>
    <row r="1409" s="1" customFormat="1" spans="1:21">
      <c r="A1409" s="1" t="str">
        <f>"4601992017077"</f>
        <v>4601992017077</v>
      </c>
      <c r="B1409" s="1" t="s">
        <v>1433</v>
      </c>
      <c r="C1409" s="1" t="s">
        <v>24</v>
      </c>
      <c r="D1409" s="1" t="str">
        <f t="shared" si="2641"/>
        <v>2021</v>
      </c>
      <c r="E1409" s="1" t="str">
        <f t="shared" si="2766"/>
        <v>24.18</v>
      </c>
      <c r="F1409" s="1" t="str">
        <f t="shared" ref="F1409:I1409" si="2777">"0"</f>
        <v>0</v>
      </c>
      <c r="G1409" s="1" t="str">
        <f t="shared" si="2777"/>
        <v>0</v>
      </c>
      <c r="H1409" s="1" t="str">
        <f t="shared" si="2777"/>
        <v>0</v>
      </c>
      <c r="I1409" s="1" t="str">
        <f t="shared" si="2777"/>
        <v>0</v>
      </c>
      <c r="J1409" s="1" t="str">
        <f>"2"</f>
        <v>2</v>
      </c>
      <c r="K1409" s="1" t="str">
        <f t="shared" ref="K1409:P1409" si="2778">"0"</f>
        <v>0</v>
      </c>
      <c r="L1409" s="1" t="str">
        <f t="shared" si="2778"/>
        <v>0</v>
      </c>
      <c r="M1409" s="1" t="str">
        <f t="shared" si="2778"/>
        <v>0</v>
      </c>
      <c r="N1409" s="1" t="str">
        <f t="shared" si="2778"/>
        <v>0</v>
      </c>
      <c r="O1409" s="1" t="str">
        <f t="shared" si="2778"/>
        <v>0</v>
      </c>
      <c r="P1409" s="1" t="str">
        <f t="shared" si="2778"/>
        <v>0</v>
      </c>
      <c r="Q1409" s="1" t="str">
        <f t="shared" si="2644"/>
        <v>0.0070</v>
      </c>
      <c r="R1409" s="1" t="s">
        <v>29</v>
      </c>
      <c r="S1409" s="1">
        <v>-0.0014</v>
      </c>
      <c r="T1409" s="1" t="str">
        <f t="shared" si="2645"/>
        <v>0</v>
      </c>
      <c r="U1409" s="1" t="str">
        <f t="shared" si="2776"/>
        <v>0.0056</v>
      </c>
    </row>
    <row r="1410" s="1" customFormat="1" spans="1:21">
      <c r="A1410" s="1" t="str">
        <f>"4601992017071"</f>
        <v>4601992017071</v>
      </c>
      <c r="B1410" s="1" t="s">
        <v>1434</v>
      </c>
      <c r="C1410" s="1" t="s">
        <v>24</v>
      </c>
      <c r="D1410" s="1" t="str">
        <f t="shared" si="2641"/>
        <v>2021</v>
      </c>
      <c r="E1410" s="1" t="str">
        <f>"84.63"</f>
        <v>84.63</v>
      </c>
      <c r="F1410" s="1" t="str">
        <f t="shared" ref="F1410:I1410" si="2779">"0"</f>
        <v>0</v>
      </c>
      <c r="G1410" s="1" t="str">
        <f t="shared" si="2779"/>
        <v>0</v>
      </c>
      <c r="H1410" s="1" t="str">
        <f t="shared" si="2779"/>
        <v>0</v>
      </c>
      <c r="I1410" s="1" t="str">
        <f t="shared" si="2779"/>
        <v>0</v>
      </c>
      <c r="J1410" s="1" t="str">
        <f>"7"</f>
        <v>7</v>
      </c>
      <c r="K1410" s="1" t="str">
        <f t="shared" ref="K1410:P1410" si="2780">"0"</f>
        <v>0</v>
      </c>
      <c r="L1410" s="1" t="str">
        <f t="shared" si="2780"/>
        <v>0</v>
      </c>
      <c r="M1410" s="1" t="str">
        <f t="shared" si="2780"/>
        <v>0</v>
      </c>
      <c r="N1410" s="1" t="str">
        <f t="shared" si="2780"/>
        <v>0</v>
      </c>
      <c r="O1410" s="1" t="str">
        <f t="shared" si="2780"/>
        <v>0</v>
      </c>
      <c r="P1410" s="1" t="str">
        <f t="shared" si="2780"/>
        <v>0</v>
      </c>
      <c r="Q1410" s="1" t="str">
        <f t="shared" si="2644"/>
        <v>0.0070</v>
      </c>
      <c r="R1410" s="1" t="s">
        <v>29</v>
      </c>
      <c r="S1410" s="1">
        <v>-0.0014</v>
      </c>
      <c r="T1410" s="1" t="str">
        <f t="shared" si="2645"/>
        <v>0</v>
      </c>
      <c r="U1410" s="1" t="str">
        <f t="shared" si="2776"/>
        <v>0.0056</v>
      </c>
    </row>
    <row r="1411" s="1" customFormat="1" spans="1:21">
      <c r="A1411" s="1" t="str">
        <f>"4601992017134"</f>
        <v>4601992017134</v>
      </c>
      <c r="B1411" s="1" t="s">
        <v>1435</v>
      </c>
      <c r="C1411" s="1" t="s">
        <v>24</v>
      </c>
      <c r="D1411" s="1" t="str">
        <f t="shared" ref="D1411:D1474" si="2781">"2021"</f>
        <v>2021</v>
      </c>
      <c r="E1411" s="1" t="str">
        <f t="shared" ref="E1411:P1411" si="2782">"0"</f>
        <v>0</v>
      </c>
      <c r="F1411" s="1" t="str">
        <f t="shared" si="2782"/>
        <v>0</v>
      </c>
      <c r="G1411" s="1" t="str">
        <f t="shared" si="2782"/>
        <v>0</v>
      </c>
      <c r="H1411" s="1" t="str">
        <f t="shared" si="2782"/>
        <v>0</v>
      </c>
      <c r="I1411" s="1" t="str">
        <f t="shared" si="2782"/>
        <v>0</v>
      </c>
      <c r="J1411" s="1" t="str">
        <f t="shared" si="2782"/>
        <v>0</v>
      </c>
      <c r="K1411" s="1" t="str">
        <f t="shared" si="2782"/>
        <v>0</v>
      </c>
      <c r="L1411" s="1" t="str">
        <f t="shared" si="2782"/>
        <v>0</v>
      </c>
      <c r="M1411" s="1" t="str">
        <f t="shared" si="2782"/>
        <v>0</v>
      </c>
      <c r="N1411" s="1" t="str">
        <f t="shared" si="2782"/>
        <v>0</v>
      </c>
      <c r="O1411" s="1" t="str">
        <f t="shared" si="2782"/>
        <v>0</v>
      </c>
      <c r="P1411" s="1" t="str">
        <f t="shared" si="2782"/>
        <v>0</v>
      </c>
      <c r="Q1411" s="1" t="str">
        <f t="shared" ref="Q1411:Q1474" si="2783">"0.0070"</f>
        <v>0.0070</v>
      </c>
      <c r="R1411" s="1" t="s">
        <v>25</v>
      </c>
      <c r="T1411" s="1" t="str">
        <f t="shared" ref="T1411:T1474" si="2784">"0"</f>
        <v>0</v>
      </c>
      <c r="U1411" s="1" t="str">
        <f t="shared" ref="U1411:U1416" si="2785">"0.0070"</f>
        <v>0.0070</v>
      </c>
    </row>
    <row r="1412" s="1" customFormat="1" spans="1:21">
      <c r="A1412" s="1" t="str">
        <f>"4601992017025"</f>
        <v>4601992017025</v>
      </c>
      <c r="B1412" s="1" t="s">
        <v>1436</v>
      </c>
      <c r="C1412" s="1" t="s">
        <v>24</v>
      </c>
      <c r="D1412" s="1" t="str">
        <f t="shared" si="2781"/>
        <v>2021</v>
      </c>
      <c r="E1412" s="1" t="str">
        <f>"12.09"</f>
        <v>12.09</v>
      </c>
      <c r="F1412" s="1" t="str">
        <f t="shared" ref="F1412:I1412" si="2786">"0"</f>
        <v>0</v>
      </c>
      <c r="G1412" s="1" t="str">
        <f t="shared" si="2786"/>
        <v>0</v>
      </c>
      <c r="H1412" s="1" t="str">
        <f t="shared" si="2786"/>
        <v>0</v>
      </c>
      <c r="I1412" s="1" t="str">
        <f t="shared" si="2786"/>
        <v>0</v>
      </c>
      <c r="J1412" s="1" t="str">
        <f>"1"</f>
        <v>1</v>
      </c>
      <c r="K1412" s="1" t="str">
        <f t="shared" ref="K1412:P1412" si="2787">"0"</f>
        <v>0</v>
      </c>
      <c r="L1412" s="1" t="str">
        <f t="shared" si="2787"/>
        <v>0</v>
      </c>
      <c r="M1412" s="1" t="str">
        <f t="shared" si="2787"/>
        <v>0</v>
      </c>
      <c r="N1412" s="1" t="str">
        <f t="shared" si="2787"/>
        <v>0</v>
      </c>
      <c r="O1412" s="1" t="str">
        <f t="shared" si="2787"/>
        <v>0</v>
      </c>
      <c r="P1412" s="1" t="str">
        <f t="shared" si="2787"/>
        <v>0</v>
      </c>
      <c r="Q1412" s="1" t="str">
        <f t="shared" si="2783"/>
        <v>0.0070</v>
      </c>
      <c r="R1412" s="1" t="s">
        <v>29</v>
      </c>
      <c r="S1412" s="1">
        <v>-0.0014</v>
      </c>
      <c r="T1412" s="1" t="str">
        <f t="shared" si="2784"/>
        <v>0</v>
      </c>
      <c r="U1412" s="1" t="str">
        <f t="shared" ref="U1412:U1415" si="2788">"0.0056"</f>
        <v>0.0056</v>
      </c>
    </row>
    <row r="1413" s="1" customFormat="1" spans="1:21">
      <c r="A1413" s="1" t="str">
        <f>"4601992017132"</f>
        <v>4601992017132</v>
      </c>
      <c r="B1413" s="1" t="s">
        <v>1437</v>
      </c>
      <c r="C1413" s="1" t="s">
        <v>24</v>
      </c>
      <c r="D1413" s="1" t="str">
        <f t="shared" si="2781"/>
        <v>2021</v>
      </c>
      <c r="E1413" s="1" t="str">
        <f>"471.63"</f>
        <v>471.63</v>
      </c>
      <c r="F1413" s="1" t="str">
        <f t="shared" ref="F1413:I1413" si="2789">"0"</f>
        <v>0</v>
      </c>
      <c r="G1413" s="1" t="str">
        <f t="shared" si="2789"/>
        <v>0</v>
      </c>
      <c r="H1413" s="1" t="str">
        <f t="shared" si="2789"/>
        <v>0</v>
      </c>
      <c r="I1413" s="1" t="str">
        <f t="shared" si="2789"/>
        <v>0</v>
      </c>
      <c r="J1413" s="1" t="str">
        <f>"33"</f>
        <v>33</v>
      </c>
      <c r="K1413" s="1" t="str">
        <f t="shared" ref="K1413:P1413" si="2790">"0"</f>
        <v>0</v>
      </c>
      <c r="L1413" s="1" t="str">
        <f t="shared" si="2790"/>
        <v>0</v>
      </c>
      <c r="M1413" s="1" t="str">
        <f t="shared" si="2790"/>
        <v>0</v>
      </c>
      <c r="N1413" s="1" t="str">
        <f t="shared" si="2790"/>
        <v>0</v>
      </c>
      <c r="O1413" s="1" t="str">
        <f t="shared" si="2790"/>
        <v>0</v>
      </c>
      <c r="P1413" s="1" t="str">
        <f t="shared" si="2790"/>
        <v>0</v>
      </c>
      <c r="Q1413" s="1" t="str">
        <f t="shared" si="2783"/>
        <v>0.0070</v>
      </c>
      <c r="R1413" s="1" t="s">
        <v>25</v>
      </c>
      <c r="T1413" s="1" t="str">
        <f t="shared" si="2784"/>
        <v>0</v>
      </c>
      <c r="U1413" s="1" t="str">
        <f t="shared" si="2785"/>
        <v>0.0070</v>
      </c>
    </row>
    <row r="1414" s="1" customFormat="1" spans="1:21">
      <c r="A1414" s="1" t="str">
        <f>"4601992003797"</f>
        <v>4601992003797</v>
      </c>
      <c r="B1414" s="1" t="s">
        <v>1438</v>
      </c>
      <c r="C1414" s="1" t="s">
        <v>24</v>
      </c>
      <c r="D1414" s="1" t="str">
        <f t="shared" si="2781"/>
        <v>2021</v>
      </c>
      <c r="E1414" s="1" t="str">
        <f>"42.00"</f>
        <v>42.00</v>
      </c>
      <c r="F1414" s="1" t="str">
        <f t="shared" ref="F1414:I1414" si="2791">"0"</f>
        <v>0</v>
      </c>
      <c r="G1414" s="1" t="str">
        <f t="shared" si="2791"/>
        <v>0</v>
      </c>
      <c r="H1414" s="1" t="str">
        <f t="shared" si="2791"/>
        <v>0</v>
      </c>
      <c r="I1414" s="1" t="str">
        <f t="shared" si="2791"/>
        <v>0</v>
      </c>
      <c r="J1414" s="1" t="str">
        <f>"2"</f>
        <v>2</v>
      </c>
      <c r="K1414" s="1" t="str">
        <f t="shared" ref="K1414:P1414" si="2792">"0"</f>
        <v>0</v>
      </c>
      <c r="L1414" s="1" t="str">
        <f t="shared" si="2792"/>
        <v>0</v>
      </c>
      <c r="M1414" s="1" t="str">
        <f t="shared" si="2792"/>
        <v>0</v>
      </c>
      <c r="N1414" s="1" t="str">
        <f t="shared" si="2792"/>
        <v>0</v>
      </c>
      <c r="O1414" s="1" t="str">
        <f t="shared" si="2792"/>
        <v>0</v>
      </c>
      <c r="P1414" s="1" t="str">
        <f t="shared" si="2792"/>
        <v>0</v>
      </c>
      <c r="Q1414" s="1" t="str">
        <f t="shared" si="2783"/>
        <v>0.0070</v>
      </c>
      <c r="R1414" s="1" t="s">
        <v>29</v>
      </c>
      <c r="S1414" s="1">
        <v>-0.0014</v>
      </c>
      <c r="T1414" s="1" t="str">
        <f t="shared" si="2784"/>
        <v>0</v>
      </c>
      <c r="U1414" s="1" t="str">
        <f t="shared" si="2788"/>
        <v>0.0056</v>
      </c>
    </row>
    <row r="1415" s="1" customFormat="1" spans="1:21">
      <c r="A1415" s="1" t="str">
        <f>"4601992017198"</f>
        <v>4601992017198</v>
      </c>
      <c r="B1415" s="1" t="s">
        <v>1439</v>
      </c>
      <c r="C1415" s="1" t="s">
        <v>24</v>
      </c>
      <c r="D1415" s="1" t="str">
        <f t="shared" si="2781"/>
        <v>2021</v>
      </c>
      <c r="E1415" s="1" t="str">
        <f>"72.46"</f>
        <v>72.46</v>
      </c>
      <c r="F1415" s="1" t="str">
        <f t="shared" ref="F1415:I1415" si="2793">"0"</f>
        <v>0</v>
      </c>
      <c r="G1415" s="1" t="str">
        <f t="shared" si="2793"/>
        <v>0</v>
      </c>
      <c r="H1415" s="1" t="str">
        <f t="shared" si="2793"/>
        <v>0</v>
      </c>
      <c r="I1415" s="1" t="str">
        <f t="shared" si="2793"/>
        <v>0</v>
      </c>
      <c r="J1415" s="1" t="str">
        <f>"13"</f>
        <v>13</v>
      </c>
      <c r="K1415" s="1" t="str">
        <f t="shared" ref="K1415:P1415" si="2794">"0"</f>
        <v>0</v>
      </c>
      <c r="L1415" s="1" t="str">
        <f t="shared" si="2794"/>
        <v>0</v>
      </c>
      <c r="M1415" s="1" t="str">
        <f t="shared" si="2794"/>
        <v>0</v>
      </c>
      <c r="N1415" s="1" t="str">
        <f t="shared" si="2794"/>
        <v>0</v>
      </c>
      <c r="O1415" s="1" t="str">
        <f t="shared" si="2794"/>
        <v>0</v>
      </c>
      <c r="P1415" s="1" t="str">
        <f t="shared" si="2794"/>
        <v>0</v>
      </c>
      <c r="Q1415" s="1" t="str">
        <f t="shared" si="2783"/>
        <v>0.0070</v>
      </c>
      <c r="R1415" s="1" t="s">
        <v>29</v>
      </c>
      <c r="S1415" s="1">
        <v>-0.0014</v>
      </c>
      <c r="T1415" s="1" t="str">
        <f t="shared" si="2784"/>
        <v>0</v>
      </c>
      <c r="U1415" s="1" t="str">
        <f t="shared" si="2788"/>
        <v>0.0056</v>
      </c>
    </row>
    <row r="1416" s="1" customFormat="1" spans="1:21">
      <c r="A1416" s="1" t="str">
        <f>"4601992016033"</f>
        <v>4601992016033</v>
      </c>
      <c r="B1416" s="1" t="s">
        <v>1440</v>
      </c>
      <c r="C1416" s="1" t="s">
        <v>24</v>
      </c>
      <c r="D1416" s="1" t="str">
        <f t="shared" si="2781"/>
        <v>2021</v>
      </c>
      <c r="E1416" s="1" t="str">
        <f t="shared" ref="E1416:P1416" si="2795">"0"</f>
        <v>0</v>
      </c>
      <c r="F1416" s="1" t="str">
        <f t="shared" si="2795"/>
        <v>0</v>
      </c>
      <c r="G1416" s="1" t="str">
        <f t="shared" si="2795"/>
        <v>0</v>
      </c>
      <c r="H1416" s="1" t="str">
        <f t="shared" si="2795"/>
        <v>0</v>
      </c>
      <c r="I1416" s="1" t="str">
        <f t="shared" si="2795"/>
        <v>0</v>
      </c>
      <c r="J1416" s="1" t="str">
        <f t="shared" si="2795"/>
        <v>0</v>
      </c>
      <c r="K1416" s="1" t="str">
        <f t="shared" si="2795"/>
        <v>0</v>
      </c>
      <c r="L1416" s="1" t="str">
        <f t="shared" si="2795"/>
        <v>0</v>
      </c>
      <c r="M1416" s="1" t="str">
        <f t="shared" si="2795"/>
        <v>0</v>
      </c>
      <c r="N1416" s="1" t="str">
        <f t="shared" si="2795"/>
        <v>0</v>
      </c>
      <c r="O1416" s="1" t="str">
        <f t="shared" si="2795"/>
        <v>0</v>
      </c>
      <c r="P1416" s="1" t="str">
        <f t="shared" si="2795"/>
        <v>0</v>
      </c>
      <c r="Q1416" s="1" t="str">
        <f t="shared" si="2783"/>
        <v>0.0070</v>
      </c>
      <c r="R1416" s="1" t="s">
        <v>25</v>
      </c>
      <c r="T1416" s="1" t="str">
        <f t="shared" si="2784"/>
        <v>0</v>
      </c>
      <c r="U1416" s="1" t="str">
        <f t="shared" si="2785"/>
        <v>0.0070</v>
      </c>
    </row>
    <row r="1417" s="1" customFormat="1" spans="1:21">
      <c r="A1417" s="1" t="str">
        <f>"4601991411003"</f>
        <v>4601991411003</v>
      </c>
      <c r="B1417" s="1" t="s">
        <v>1441</v>
      </c>
      <c r="C1417" s="1" t="s">
        <v>24</v>
      </c>
      <c r="D1417" s="1" t="str">
        <f t="shared" si="2781"/>
        <v>2021</v>
      </c>
      <c r="E1417" s="1" t="str">
        <f>"21.72"</f>
        <v>21.72</v>
      </c>
      <c r="F1417" s="1" t="str">
        <f t="shared" ref="F1417:I1417" si="2796">"0"</f>
        <v>0</v>
      </c>
      <c r="G1417" s="1" t="str">
        <f t="shared" si="2796"/>
        <v>0</v>
      </c>
      <c r="H1417" s="1" t="str">
        <f t="shared" si="2796"/>
        <v>0</v>
      </c>
      <c r="I1417" s="1" t="str">
        <f t="shared" si="2796"/>
        <v>0</v>
      </c>
      <c r="J1417" s="1" t="str">
        <f>"2"</f>
        <v>2</v>
      </c>
      <c r="K1417" s="1" t="str">
        <f t="shared" ref="K1417:P1417" si="2797">"0"</f>
        <v>0</v>
      </c>
      <c r="L1417" s="1" t="str">
        <f t="shared" si="2797"/>
        <v>0</v>
      </c>
      <c r="M1417" s="1" t="str">
        <f t="shared" si="2797"/>
        <v>0</v>
      </c>
      <c r="N1417" s="1" t="str">
        <f t="shared" si="2797"/>
        <v>0</v>
      </c>
      <c r="O1417" s="1" t="str">
        <f t="shared" si="2797"/>
        <v>0</v>
      </c>
      <c r="P1417" s="1" t="str">
        <f t="shared" si="2797"/>
        <v>0</v>
      </c>
      <c r="Q1417" s="1" t="str">
        <f t="shared" si="2783"/>
        <v>0.0070</v>
      </c>
      <c r="R1417" s="1" t="s">
        <v>29</v>
      </c>
      <c r="S1417" s="1">
        <v>-0.0014</v>
      </c>
      <c r="T1417" s="1" t="str">
        <f t="shared" si="2784"/>
        <v>0</v>
      </c>
      <c r="U1417" s="1" t="str">
        <f t="shared" ref="U1417:U1425" si="2798">"0.0056"</f>
        <v>0.0056</v>
      </c>
    </row>
    <row r="1418" s="1" customFormat="1" spans="1:21">
      <c r="A1418" s="1" t="str">
        <f>"4601991425231"</f>
        <v>4601991425231</v>
      </c>
      <c r="B1418" s="1" t="s">
        <v>1442</v>
      </c>
      <c r="C1418" s="1" t="s">
        <v>24</v>
      </c>
      <c r="D1418" s="1" t="str">
        <f t="shared" si="2781"/>
        <v>2021</v>
      </c>
      <c r="E1418" s="1" t="str">
        <f>"19.34"</f>
        <v>19.34</v>
      </c>
      <c r="F1418" s="1" t="str">
        <f t="shared" ref="F1418:I1418" si="2799">"0"</f>
        <v>0</v>
      </c>
      <c r="G1418" s="1" t="str">
        <f t="shared" si="2799"/>
        <v>0</v>
      </c>
      <c r="H1418" s="1" t="str">
        <f t="shared" si="2799"/>
        <v>0</v>
      </c>
      <c r="I1418" s="1" t="str">
        <f t="shared" si="2799"/>
        <v>0</v>
      </c>
      <c r="J1418" s="1" t="str">
        <f>"3"</f>
        <v>3</v>
      </c>
      <c r="K1418" s="1" t="str">
        <f t="shared" ref="K1418:P1418" si="2800">"0"</f>
        <v>0</v>
      </c>
      <c r="L1418" s="1" t="str">
        <f t="shared" si="2800"/>
        <v>0</v>
      </c>
      <c r="M1418" s="1" t="str">
        <f t="shared" si="2800"/>
        <v>0</v>
      </c>
      <c r="N1418" s="1" t="str">
        <f t="shared" si="2800"/>
        <v>0</v>
      </c>
      <c r="O1418" s="1" t="str">
        <f t="shared" si="2800"/>
        <v>0</v>
      </c>
      <c r="P1418" s="1" t="str">
        <f t="shared" si="2800"/>
        <v>0</v>
      </c>
      <c r="Q1418" s="1" t="str">
        <f t="shared" si="2783"/>
        <v>0.0070</v>
      </c>
      <c r="R1418" s="1" t="s">
        <v>29</v>
      </c>
      <c r="S1418" s="1">
        <v>-0.0014</v>
      </c>
      <c r="T1418" s="1" t="str">
        <f t="shared" si="2784"/>
        <v>0</v>
      </c>
      <c r="U1418" s="1" t="str">
        <f t="shared" si="2798"/>
        <v>0.0056</v>
      </c>
    </row>
    <row r="1419" s="1" customFormat="1" spans="1:21">
      <c r="A1419" s="1" t="str">
        <f>"4601992017371"</f>
        <v>4601992017371</v>
      </c>
      <c r="B1419" s="1" t="s">
        <v>1443</v>
      </c>
      <c r="C1419" s="1" t="s">
        <v>24</v>
      </c>
      <c r="D1419" s="1" t="str">
        <f t="shared" si="2781"/>
        <v>2021</v>
      </c>
      <c r="E1419" s="1" t="str">
        <f t="shared" ref="E1419:P1419" si="2801">"0"</f>
        <v>0</v>
      </c>
      <c r="F1419" s="1" t="str">
        <f t="shared" si="2801"/>
        <v>0</v>
      </c>
      <c r="G1419" s="1" t="str">
        <f t="shared" si="2801"/>
        <v>0</v>
      </c>
      <c r="H1419" s="1" t="str">
        <f t="shared" si="2801"/>
        <v>0</v>
      </c>
      <c r="I1419" s="1" t="str">
        <f t="shared" si="2801"/>
        <v>0</v>
      </c>
      <c r="J1419" s="1" t="str">
        <f t="shared" si="2801"/>
        <v>0</v>
      </c>
      <c r="K1419" s="1" t="str">
        <f t="shared" si="2801"/>
        <v>0</v>
      </c>
      <c r="L1419" s="1" t="str">
        <f t="shared" si="2801"/>
        <v>0</v>
      </c>
      <c r="M1419" s="1" t="str">
        <f t="shared" si="2801"/>
        <v>0</v>
      </c>
      <c r="N1419" s="1" t="str">
        <f t="shared" si="2801"/>
        <v>0</v>
      </c>
      <c r="O1419" s="1" t="str">
        <f t="shared" si="2801"/>
        <v>0</v>
      </c>
      <c r="P1419" s="1" t="str">
        <f t="shared" si="2801"/>
        <v>0</v>
      </c>
      <c r="Q1419" s="1" t="str">
        <f t="shared" si="2783"/>
        <v>0.0070</v>
      </c>
      <c r="R1419" s="1" t="s">
        <v>25</v>
      </c>
      <c r="T1419" s="1" t="str">
        <f t="shared" si="2784"/>
        <v>0</v>
      </c>
      <c r="U1419" s="1" t="str">
        <f>"0.0070"</f>
        <v>0.0070</v>
      </c>
    </row>
    <row r="1420" s="1" customFormat="1" spans="1:21">
      <c r="A1420" s="1" t="str">
        <f>"4601991410138"</f>
        <v>4601991410138</v>
      </c>
      <c r="B1420" s="1" t="s">
        <v>1444</v>
      </c>
      <c r="C1420" s="1" t="s">
        <v>24</v>
      </c>
      <c r="D1420" s="1" t="str">
        <f t="shared" si="2781"/>
        <v>2021</v>
      </c>
      <c r="E1420" s="1" t="str">
        <f t="shared" ref="E1420:P1420" si="2802">"0"</f>
        <v>0</v>
      </c>
      <c r="F1420" s="1" t="str">
        <f t="shared" si="2802"/>
        <v>0</v>
      </c>
      <c r="G1420" s="1" t="str">
        <f t="shared" si="2802"/>
        <v>0</v>
      </c>
      <c r="H1420" s="1" t="str">
        <f t="shared" si="2802"/>
        <v>0</v>
      </c>
      <c r="I1420" s="1" t="str">
        <f t="shared" si="2802"/>
        <v>0</v>
      </c>
      <c r="J1420" s="1" t="str">
        <f t="shared" si="2802"/>
        <v>0</v>
      </c>
      <c r="K1420" s="1" t="str">
        <f t="shared" si="2802"/>
        <v>0</v>
      </c>
      <c r="L1420" s="1" t="str">
        <f t="shared" si="2802"/>
        <v>0</v>
      </c>
      <c r="M1420" s="1" t="str">
        <f t="shared" si="2802"/>
        <v>0</v>
      </c>
      <c r="N1420" s="1" t="str">
        <f t="shared" si="2802"/>
        <v>0</v>
      </c>
      <c r="O1420" s="1" t="str">
        <f t="shared" si="2802"/>
        <v>0</v>
      </c>
      <c r="P1420" s="1" t="str">
        <f t="shared" si="2802"/>
        <v>0</v>
      </c>
      <c r="Q1420" s="1" t="str">
        <f t="shared" si="2783"/>
        <v>0.0070</v>
      </c>
      <c r="R1420" s="1" t="s">
        <v>25</v>
      </c>
      <c r="T1420" s="1" t="str">
        <f t="shared" si="2784"/>
        <v>0</v>
      </c>
      <c r="U1420" s="1" t="str">
        <f>"0.0070"</f>
        <v>0.0070</v>
      </c>
    </row>
    <row r="1421" s="1" customFormat="1" spans="1:21">
      <c r="A1421" s="1" t="str">
        <f>"4601992017262"</f>
        <v>4601992017262</v>
      </c>
      <c r="B1421" s="1" t="s">
        <v>1445</v>
      </c>
      <c r="C1421" s="1" t="s">
        <v>24</v>
      </c>
      <c r="D1421" s="1" t="str">
        <f t="shared" si="2781"/>
        <v>2021</v>
      </c>
      <c r="E1421" s="1" t="str">
        <f>"83.86"</f>
        <v>83.86</v>
      </c>
      <c r="F1421" s="1" t="str">
        <f t="shared" ref="F1421:I1421" si="2803">"0"</f>
        <v>0</v>
      </c>
      <c r="G1421" s="1" t="str">
        <f t="shared" si="2803"/>
        <v>0</v>
      </c>
      <c r="H1421" s="1" t="str">
        <f t="shared" si="2803"/>
        <v>0</v>
      </c>
      <c r="I1421" s="1" t="str">
        <f t="shared" si="2803"/>
        <v>0</v>
      </c>
      <c r="J1421" s="1" t="str">
        <f>"7"</f>
        <v>7</v>
      </c>
      <c r="K1421" s="1" t="str">
        <f t="shared" ref="K1421:P1421" si="2804">"0"</f>
        <v>0</v>
      </c>
      <c r="L1421" s="1" t="str">
        <f t="shared" si="2804"/>
        <v>0</v>
      </c>
      <c r="M1421" s="1" t="str">
        <f t="shared" si="2804"/>
        <v>0</v>
      </c>
      <c r="N1421" s="1" t="str">
        <f t="shared" si="2804"/>
        <v>0</v>
      </c>
      <c r="O1421" s="1" t="str">
        <f t="shared" si="2804"/>
        <v>0</v>
      </c>
      <c r="P1421" s="1" t="str">
        <f t="shared" si="2804"/>
        <v>0</v>
      </c>
      <c r="Q1421" s="1" t="str">
        <f t="shared" si="2783"/>
        <v>0.0070</v>
      </c>
      <c r="R1421" s="1" t="s">
        <v>29</v>
      </c>
      <c r="S1421" s="1">
        <v>-0.0014</v>
      </c>
      <c r="T1421" s="1" t="str">
        <f t="shared" si="2784"/>
        <v>0</v>
      </c>
      <c r="U1421" s="1" t="str">
        <f t="shared" si="2798"/>
        <v>0.0056</v>
      </c>
    </row>
    <row r="1422" s="1" customFormat="1" spans="1:21">
      <c r="A1422" s="1" t="str">
        <f>"4601992017373"</f>
        <v>4601992017373</v>
      </c>
      <c r="B1422" s="1" t="s">
        <v>1446</v>
      </c>
      <c r="C1422" s="1" t="s">
        <v>24</v>
      </c>
      <c r="D1422" s="1" t="str">
        <f t="shared" si="2781"/>
        <v>2021</v>
      </c>
      <c r="E1422" s="1" t="str">
        <f>"75.33"</f>
        <v>75.33</v>
      </c>
      <c r="F1422" s="1" t="str">
        <f t="shared" ref="F1422:I1422" si="2805">"0"</f>
        <v>0</v>
      </c>
      <c r="G1422" s="1" t="str">
        <f t="shared" si="2805"/>
        <v>0</v>
      </c>
      <c r="H1422" s="1" t="str">
        <f t="shared" si="2805"/>
        <v>0</v>
      </c>
      <c r="I1422" s="1" t="str">
        <f t="shared" si="2805"/>
        <v>0</v>
      </c>
      <c r="J1422" s="1" t="str">
        <f>"9"</f>
        <v>9</v>
      </c>
      <c r="K1422" s="1" t="str">
        <f t="shared" ref="K1422:P1422" si="2806">"0"</f>
        <v>0</v>
      </c>
      <c r="L1422" s="1" t="str">
        <f t="shared" si="2806"/>
        <v>0</v>
      </c>
      <c r="M1422" s="1" t="str">
        <f t="shared" si="2806"/>
        <v>0</v>
      </c>
      <c r="N1422" s="1" t="str">
        <f t="shared" si="2806"/>
        <v>0</v>
      </c>
      <c r="O1422" s="1" t="str">
        <f t="shared" si="2806"/>
        <v>0</v>
      </c>
      <c r="P1422" s="1" t="str">
        <f t="shared" si="2806"/>
        <v>0</v>
      </c>
      <c r="Q1422" s="1" t="str">
        <f t="shared" si="2783"/>
        <v>0.0070</v>
      </c>
      <c r="R1422" s="1" t="s">
        <v>29</v>
      </c>
      <c r="S1422" s="1">
        <v>-0.0014</v>
      </c>
      <c r="T1422" s="1" t="str">
        <f t="shared" si="2784"/>
        <v>0</v>
      </c>
      <c r="U1422" s="1" t="str">
        <f t="shared" si="2798"/>
        <v>0.0056</v>
      </c>
    </row>
    <row r="1423" s="1" customFormat="1" spans="1:21">
      <c r="A1423" s="1" t="str">
        <f>"4601992017390"</f>
        <v>4601992017390</v>
      </c>
      <c r="B1423" s="1" t="s">
        <v>1447</v>
      </c>
      <c r="C1423" s="1" t="s">
        <v>24</v>
      </c>
      <c r="D1423" s="1" t="str">
        <f t="shared" si="2781"/>
        <v>2021</v>
      </c>
      <c r="E1423" s="1" t="str">
        <f>"24.18"</f>
        <v>24.18</v>
      </c>
      <c r="F1423" s="1" t="str">
        <f t="shared" ref="F1423:I1423" si="2807">"0"</f>
        <v>0</v>
      </c>
      <c r="G1423" s="1" t="str">
        <f t="shared" si="2807"/>
        <v>0</v>
      </c>
      <c r="H1423" s="1" t="str">
        <f t="shared" si="2807"/>
        <v>0</v>
      </c>
      <c r="I1423" s="1" t="str">
        <f t="shared" si="2807"/>
        <v>0</v>
      </c>
      <c r="J1423" s="1" t="str">
        <f>"2"</f>
        <v>2</v>
      </c>
      <c r="K1423" s="1" t="str">
        <f t="shared" ref="K1423:P1423" si="2808">"0"</f>
        <v>0</v>
      </c>
      <c r="L1423" s="1" t="str">
        <f t="shared" si="2808"/>
        <v>0</v>
      </c>
      <c r="M1423" s="1" t="str">
        <f t="shared" si="2808"/>
        <v>0</v>
      </c>
      <c r="N1423" s="1" t="str">
        <f t="shared" si="2808"/>
        <v>0</v>
      </c>
      <c r="O1423" s="1" t="str">
        <f t="shared" si="2808"/>
        <v>0</v>
      </c>
      <c r="P1423" s="1" t="str">
        <f t="shared" si="2808"/>
        <v>0</v>
      </c>
      <c r="Q1423" s="1" t="str">
        <f t="shared" si="2783"/>
        <v>0.0070</v>
      </c>
      <c r="R1423" s="1" t="s">
        <v>29</v>
      </c>
      <c r="S1423" s="1">
        <v>-0.0014</v>
      </c>
      <c r="T1423" s="1" t="str">
        <f t="shared" si="2784"/>
        <v>0</v>
      </c>
      <c r="U1423" s="1" t="str">
        <f t="shared" si="2798"/>
        <v>0.0056</v>
      </c>
    </row>
    <row r="1424" s="1" customFormat="1" spans="1:21">
      <c r="A1424" s="1" t="str">
        <f>"4601992017388"</f>
        <v>4601992017388</v>
      </c>
      <c r="B1424" s="1" t="s">
        <v>1448</v>
      </c>
      <c r="C1424" s="1" t="s">
        <v>24</v>
      </c>
      <c r="D1424" s="1" t="str">
        <f t="shared" si="2781"/>
        <v>2021</v>
      </c>
      <c r="E1424" s="1" t="str">
        <f>"36.16"</f>
        <v>36.16</v>
      </c>
      <c r="F1424" s="1" t="str">
        <f t="shared" ref="F1424:I1424" si="2809">"0"</f>
        <v>0</v>
      </c>
      <c r="G1424" s="1" t="str">
        <f t="shared" si="2809"/>
        <v>0</v>
      </c>
      <c r="H1424" s="1" t="str">
        <f t="shared" si="2809"/>
        <v>0</v>
      </c>
      <c r="I1424" s="1" t="str">
        <f t="shared" si="2809"/>
        <v>0</v>
      </c>
      <c r="J1424" s="1" t="str">
        <f>"4"</f>
        <v>4</v>
      </c>
      <c r="K1424" s="1" t="str">
        <f t="shared" ref="K1424:P1424" si="2810">"0"</f>
        <v>0</v>
      </c>
      <c r="L1424" s="1" t="str">
        <f t="shared" si="2810"/>
        <v>0</v>
      </c>
      <c r="M1424" s="1" t="str">
        <f t="shared" si="2810"/>
        <v>0</v>
      </c>
      <c r="N1424" s="1" t="str">
        <f t="shared" si="2810"/>
        <v>0</v>
      </c>
      <c r="O1424" s="1" t="str">
        <f t="shared" si="2810"/>
        <v>0</v>
      </c>
      <c r="P1424" s="1" t="str">
        <f t="shared" si="2810"/>
        <v>0</v>
      </c>
      <c r="Q1424" s="1" t="str">
        <f t="shared" si="2783"/>
        <v>0.0070</v>
      </c>
      <c r="R1424" s="1" t="s">
        <v>29</v>
      </c>
      <c r="S1424" s="1">
        <v>-0.0014</v>
      </c>
      <c r="T1424" s="1" t="str">
        <f t="shared" si="2784"/>
        <v>0</v>
      </c>
      <c r="U1424" s="1" t="str">
        <f t="shared" si="2798"/>
        <v>0.0056</v>
      </c>
    </row>
    <row r="1425" s="1" customFormat="1" spans="1:21">
      <c r="A1425" s="1" t="str">
        <f>"4601992017381"</f>
        <v>4601992017381</v>
      </c>
      <c r="B1425" s="1" t="s">
        <v>1449</v>
      </c>
      <c r="C1425" s="1" t="s">
        <v>24</v>
      </c>
      <c r="D1425" s="1" t="str">
        <f t="shared" si="2781"/>
        <v>2021</v>
      </c>
      <c r="E1425" s="1" t="str">
        <f>"239.60"</f>
        <v>239.60</v>
      </c>
      <c r="F1425" s="1" t="str">
        <f t="shared" ref="F1425:I1425" si="2811">"0"</f>
        <v>0</v>
      </c>
      <c r="G1425" s="1" t="str">
        <f t="shared" si="2811"/>
        <v>0</v>
      </c>
      <c r="H1425" s="1" t="str">
        <f t="shared" si="2811"/>
        <v>0</v>
      </c>
      <c r="I1425" s="1" t="str">
        <f t="shared" si="2811"/>
        <v>0</v>
      </c>
      <c r="J1425" s="1" t="str">
        <f>"23"</f>
        <v>23</v>
      </c>
      <c r="K1425" s="1" t="str">
        <f t="shared" ref="K1425:P1425" si="2812">"0"</f>
        <v>0</v>
      </c>
      <c r="L1425" s="1" t="str">
        <f t="shared" si="2812"/>
        <v>0</v>
      </c>
      <c r="M1425" s="1" t="str">
        <f t="shared" si="2812"/>
        <v>0</v>
      </c>
      <c r="N1425" s="1" t="str">
        <f t="shared" si="2812"/>
        <v>0</v>
      </c>
      <c r="O1425" s="1" t="str">
        <f t="shared" si="2812"/>
        <v>0</v>
      </c>
      <c r="P1425" s="1" t="str">
        <f t="shared" si="2812"/>
        <v>0</v>
      </c>
      <c r="Q1425" s="1" t="str">
        <f t="shared" si="2783"/>
        <v>0.0070</v>
      </c>
      <c r="R1425" s="1" t="s">
        <v>29</v>
      </c>
      <c r="S1425" s="1">
        <v>-0.0014</v>
      </c>
      <c r="T1425" s="1" t="str">
        <f t="shared" si="2784"/>
        <v>0</v>
      </c>
      <c r="U1425" s="1" t="str">
        <f t="shared" si="2798"/>
        <v>0.0056</v>
      </c>
    </row>
    <row r="1426" s="1" customFormat="1" spans="1:21">
      <c r="A1426" s="1" t="str">
        <f>"4601992017409"</f>
        <v>4601992017409</v>
      </c>
      <c r="B1426" s="1" t="s">
        <v>1450</v>
      </c>
      <c r="C1426" s="1" t="s">
        <v>24</v>
      </c>
      <c r="D1426" s="1" t="str">
        <f t="shared" si="2781"/>
        <v>2021</v>
      </c>
      <c r="E1426" s="1" t="str">
        <f t="shared" ref="E1426:P1426" si="2813">"0"</f>
        <v>0</v>
      </c>
      <c r="F1426" s="1" t="str">
        <f t="shared" si="2813"/>
        <v>0</v>
      </c>
      <c r="G1426" s="1" t="str">
        <f t="shared" si="2813"/>
        <v>0</v>
      </c>
      <c r="H1426" s="1" t="str">
        <f t="shared" si="2813"/>
        <v>0</v>
      </c>
      <c r="I1426" s="1" t="str">
        <f t="shared" si="2813"/>
        <v>0</v>
      </c>
      <c r="J1426" s="1" t="str">
        <f t="shared" si="2813"/>
        <v>0</v>
      </c>
      <c r="K1426" s="1" t="str">
        <f t="shared" si="2813"/>
        <v>0</v>
      </c>
      <c r="L1426" s="1" t="str">
        <f t="shared" si="2813"/>
        <v>0</v>
      </c>
      <c r="M1426" s="1" t="str">
        <f t="shared" si="2813"/>
        <v>0</v>
      </c>
      <c r="N1426" s="1" t="str">
        <f t="shared" si="2813"/>
        <v>0</v>
      </c>
      <c r="O1426" s="1" t="str">
        <f t="shared" si="2813"/>
        <v>0</v>
      </c>
      <c r="P1426" s="1" t="str">
        <f t="shared" si="2813"/>
        <v>0</v>
      </c>
      <c r="Q1426" s="1" t="str">
        <f t="shared" si="2783"/>
        <v>0.0070</v>
      </c>
      <c r="R1426" s="1" t="s">
        <v>25</v>
      </c>
      <c r="T1426" s="1" t="str">
        <f t="shared" si="2784"/>
        <v>0</v>
      </c>
      <c r="U1426" s="1" t="str">
        <f t="shared" ref="U1426:U1428" si="2814">"0.0070"</f>
        <v>0.0070</v>
      </c>
    </row>
    <row r="1427" s="1" customFormat="1" spans="1:21">
      <c r="A1427" s="1" t="str">
        <f>"4601992017417"</f>
        <v>4601992017417</v>
      </c>
      <c r="B1427" s="1" t="s">
        <v>1451</v>
      </c>
      <c r="C1427" s="1" t="s">
        <v>24</v>
      </c>
      <c r="D1427" s="1" t="str">
        <f t="shared" si="2781"/>
        <v>2021</v>
      </c>
      <c r="E1427" s="1" t="str">
        <f t="shared" ref="E1427:P1427" si="2815">"0"</f>
        <v>0</v>
      </c>
      <c r="F1427" s="1" t="str">
        <f t="shared" si="2815"/>
        <v>0</v>
      </c>
      <c r="G1427" s="1" t="str">
        <f t="shared" si="2815"/>
        <v>0</v>
      </c>
      <c r="H1427" s="1" t="str">
        <f t="shared" si="2815"/>
        <v>0</v>
      </c>
      <c r="I1427" s="1" t="str">
        <f t="shared" si="2815"/>
        <v>0</v>
      </c>
      <c r="J1427" s="1" t="str">
        <f t="shared" si="2815"/>
        <v>0</v>
      </c>
      <c r="K1427" s="1" t="str">
        <f t="shared" si="2815"/>
        <v>0</v>
      </c>
      <c r="L1427" s="1" t="str">
        <f t="shared" si="2815"/>
        <v>0</v>
      </c>
      <c r="M1427" s="1" t="str">
        <f t="shared" si="2815"/>
        <v>0</v>
      </c>
      <c r="N1427" s="1" t="str">
        <f t="shared" si="2815"/>
        <v>0</v>
      </c>
      <c r="O1427" s="1" t="str">
        <f t="shared" si="2815"/>
        <v>0</v>
      </c>
      <c r="P1427" s="1" t="str">
        <f t="shared" si="2815"/>
        <v>0</v>
      </c>
      <c r="Q1427" s="1" t="str">
        <f t="shared" si="2783"/>
        <v>0.0070</v>
      </c>
      <c r="R1427" s="1" t="s">
        <v>25</v>
      </c>
      <c r="T1427" s="1" t="str">
        <f t="shared" si="2784"/>
        <v>0</v>
      </c>
      <c r="U1427" s="1" t="str">
        <f t="shared" si="2814"/>
        <v>0.0070</v>
      </c>
    </row>
    <row r="1428" s="1" customFormat="1" spans="1:21">
      <c r="A1428" s="1" t="str">
        <f>"4601992017428"</f>
        <v>4601992017428</v>
      </c>
      <c r="B1428" s="1" t="s">
        <v>1452</v>
      </c>
      <c r="C1428" s="1" t="s">
        <v>24</v>
      </c>
      <c r="D1428" s="1" t="str">
        <f t="shared" si="2781"/>
        <v>2021</v>
      </c>
      <c r="E1428" s="1" t="str">
        <f t="shared" ref="E1428:P1428" si="2816">"0"</f>
        <v>0</v>
      </c>
      <c r="F1428" s="1" t="str">
        <f t="shared" si="2816"/>
        <v>0</v>
      </c>
      <c r="G1428" s="1" t="str">
        <f t="shared" si="2816"/>
        <v>0</v>
      </c>
      <c r="H1428" s="1" t="str">
        <f t="shared" si="2816"/>
        <v>0</v>
      </c>
      <c r="I1428" s="1" t="str">
        <f t="shared" si="2816"/>
        <v>0</v>
      </c>
      <c r="J1428" s="1" t="str">
        <f t="shared" si="2816"/>
        <v>0</v>
      </c>
      <c r="K1428" s="1" t="str">
        <f t="shared" si="2816"/>
        <v>0</v>
      </c>
      <c r="L1428" s="1" t="str">
        <f t="shared" si="2816"/>
        <v>0</v>
      </c>
      <c r="M1428" s="1" t="str">
        <f t="shared" si="2816"/>
        <v>0</v>
      </c>
      <c r="N1428" s="1" t="str">
        <f t="shared" si="2816"/>
        <v>0</v>
      </c>
      <c r="O1428" s="1" t="str">
        <f t="shared" si="2816"/>
        <v>0</v>
      </c>
      <c r="P1428" s="1" t="str">
        <f t="shared" si="2816"/>
        <v>0</v>
      </c>
      <c r="Q1428" s="1" t="str">
        <f t="shared" si="2783"/>
        <v>0.0070</v>
      </c>
      <c r="R1428" s="1" t="s">
        <v>25</v>
      </c>
      <c r="T1428" s="1" t="str">
        <f t="shared" si="2784"/>
        <v>0</v>
      </c>
      <c r="U1428" s="1" t="str">
        <f t="shared" si="2814"/>
        <v>0.0070</v>
      </c>
    </row>
    <row r="1429" s="1" customFormat="1" spans="1:21">
      <c r="A1429" s="1" t="str">
        <f>"4601992017399"</f>
        <v>4601992017399</v>
      </c>
      <c r="B1429" s="1" t="s">
        <v>1453</v>
      </c>
      <c r="C1429" s="1" t="s">
        <v>24</v>
      </c>
      <c r="D1429" s="1" t="str">
        <f t="shared" si="2781"/>
        <v>2021</v>
      </c>
      <c r="E1429" s="1" t="str">
        <f>"11.98"</f>
        <v>11.98</v>
      </c>
      <c r="F1429" s="1" t="str">
        <f t="shared" ref="F1429:I1429" si="2817">"0"</f>
        <v>0</v>
      </c>
      <c r="G1429" s="1" t="str">
        <f t="shared" si="2817"/>
        <v>0</v>
      </c>
      <c r="H1429" s="1" t="str">
        <f t="shared" si="2817"/>
        <v>0</v>
      </c>
      <c r="I1429" s="1" t="str">
        <f t="shared" si="2817"/>
        <v>0</v>
      </c>
      <c r="J1429" s="1" t="str">
        <f t="shared" ref="J1429:J1433" si="2818">"2"</f>
        <v>2</v>
      </c>
      <c r="K1429" s="1" t="str">
        <f t="shared" ref="K1429:P1429" si="2819">"0"</f>
        <v>0</v>
      </c>
      <c r="L1429" s="1" t="str">
        <f t="shared" si="2819"/>
        <v>0</v>
      </c>
      <c r="M1429" s="1" t="str">
        <f t="shared" si="2819"/>
        <v>0</v>
      </c>
      <c r="N1429" s="1" t="str">
        <f t="shared" si="2819"/>
        <v>0</v>
      </c>
      <c r="O1429" s="1" t="str">
        <f t="shared" si="2819"/>
        <v>0</v>
      </c>
      <c r="P1429" s="1" t="str">
        <f t="shared" si="2819"/>
        <v>0</v>
      </c>
      <c r="Q1429" s="1" t="str">
        <f t="shared" si="2783"/>
        <v>0.0070</v>
      </c>
      <c r="R1429" s="1" t="s">
        <v>29</v>
      </c>
      <c r="S1429" s="1">
        <v>-0.0014</v>
      </c>
      <c r="T1429" s="1" t="str">
        <f t="shared" si="2784"/>
        <v>0</v>
      </c>
      <c r="U1429" s="1" t="str">
        <f t="shared" ref="U1429:U1437" si="2820">"0.0056"</f>
        <v>0.0056</v>
      </c>
    </row>
    <row r="1430" s="1" customFormat="1" spans="1:21">
      <c r="A1430" s="1" t="str">
        <f>"4601992017420"</f>
        <v>4601992017420</v>
      </c>
      <c r="B1430" s="1" t="s">
        <v>1454</v>
      </c>
      <c r="C1430" s="1" t="s">
        <v>24</v>
      </c>
      <c r="D1430" s="1" t="str">
        <f t="shared" si="2781"/>
        <v>2021</v>
      </c>
      <c r="E1430" s="1" t="str">
        <f t="shared" ref="E1430:P1430" si="2821">"0"</f>
        <v>0</v>
      </c>
      <c r="F1430" s="1" t="str">
        <f t="shared" si="2821"/>
        <v>0</v>
      </c>
      <c r="G1430" s="1" t="str">
        <f t="shared" si="2821"/>
        <v>0</v>
      </c>
      <c r="H1430" s="1" t="str">
        <f t="shared" si="2821"/>
        <v>0</v>
      </c>
      <c r="I1430" s="1" t="str">
        <f t="shared" si="2821"/>
        <v>0</v>
      </c>
      <c r="J1430" s="1" t="str">
        <f t="shared" si="2821"/>
        <v>0</v>
      </c>
      <c r="K1430" s="1" t="str">
        <f t="shared" si="2821"/>
        <v>0</v>
      </c>
      <c r="L1430" s="1" t="str">
        <f t="shared" si="2821"/>
        <v>0</v>
      </c>
      <c r="M1430" s="1" t="str">
        <f t="shared" si="2821"/>
        <v>0</v>
      </c>
      <c r="N1430" s="1" t="str">
        <f t="shared" si="2821"/>
        <v>0</v>
      </c>
      <c r="O1430" s="1" t="str">
        <f t="shared" si="2821"/>
        <v>0</v>
      </c>
      <c r="P1430" s="1" t="str">
        <f t="shared" si="2821"/>
        <v>0</v>
      </c>
      <c r="Q1430" s="1" t="str">
        <f t="shared" si="2783"/>
        <v>0.0070</v>
      </c>
      <c r="R1430" s="1" t="s">
        <v>25</v>
      </c>
      <c r="T1430" s="1" t="str">
        <f t="shared" si="2784"/>
        <v>0</v>
      </c>
      <c r="U1430" s="1" t="str">
        <f>"0.0070"</f>
        <v>0.0070</v>
      </c>
    </row>
    <row r="1431" s="1" customFormat="1" spans="1:21">
      <c r="A1431" s="1" t="str">
        <f>"4601992017421"</f>
        <v>4601992017421</v>
      </c>
      <c r="B1431" s="1" t="s">
        <v>1455</v>
      </c>
      <c r="C1431" s="1" t="s">
        <v>24</v>
      </c>
      <c r="D1431" s="1" t="str">
        <f t="shared" si="2781"/>
        <v>2021</v>
      </c>
      <c r="E1431" s="1" t="str">
        <f>"144.97"</f>
        <v>144.97</v>
      </c>
      <c r="F1431" s="1" t="str">
        <f t="shared" ref="F1431:I1431" si="2822">"0"</f>
        <v>0</v>
      </c>
      <c r="G1431" s="1" t="str">
        <f t="shared" si="2822"/>
        <v>0</v>
      </c>
      <c r="H1431" s="1" t="str">
        <f t="shared" si="2822"/>
        <v>0</v>
      </c>
      <c r="I1431" s="1" t="str">
        <f t="shared" si="2822"/>
        <v>0</v>
      </c>
      <c r="J1431" s="1" t="str">
        <f>"11"</f>
        <v>11</v>
      </c>
      <c r="K1431" s="1" t="str">
        <f t="shared" ref="K1431:P1431" si="2823">"0"</f>
        <v>0</v>
      </c>
      <c r="L1431" s="1" t="str">
        <f t="shared" si="2823"/>
        <v>0</v>
      </c>
      <c r="M1431" s="1" t="str">
        <f t="shared" si="2823"/>
        <v>0</v>
      </c>
      <c r="N1431" s="1" t="str">
        <f t="shared" si="2823"/>
        <v>0</v>
      </c>
      <c r="O1431" s="1" t="str">
        <f t="shared" si="2823"/>
        <v>0</v>
      </c>
      <c r="P1431" s="1" t="str">
        <f t="shared" si="2823"/>
        <v>0</v>
      </c>
      <c r="Q1431" s="1" t="str">
        <f t="shared" si="2783"/>
        <v>0.0070</v>
      </c>
      <c r="R1431" s="1" t="s">
        <v>29</v>
      </c>
      <c r="S1431" s="1">
        <v>-0.0014</v>
      </c>
      <c r="T1431" s="1" t="str">
        <f t="shared" si="2784"/>
        <v>0</v>
      </c>
      <c r="U1431" s="1" t="str">
        <f t="shared" si="2820"/>
        <v>0.0056</v>
      </c>
    </row>
    <row r="1432" s="1" customFormat="1" spans="1:21">
      <c r="A1432" s="1" t="str">
        <f>"4601992017437"</f>
        <v>4601992017437</v>
      </c>
      <c r="B1432" s="1" t="s">
        <v>1456</v>
      </c>
      <c r="C1432" s="1" t="s">
        <v>24</v>
      </c>
      <c r="D1432" s="1" t="str">
        <f t="shared" si="2781"/>
        <v>2021</v>
      </c>
      <c r="E1432" s="1" t="str">
        <f>"12.09"</f>
        <v>12.09</v>
      </c>
      <c r="F1432" s="1" t="str">
        <f t="shared" ref="F1432:I1432" si="2824">"0"</f>
        <v>0</v>
      </c>
      <c r="G1432" s="1" t="str">
        <f t="shared" si="2824"/>
        <v>0</v>
      </c>
      <c r="H1432" s="1" t="str">
        <f t="shared" si="2824"/>
        <v>0</v>
      </c>
      <c r="I1432" s="1" t="str">
        <f t="shared" si="2824"/>
        <v>0</v>
      </c>
      <c r="J1432" s="1" t="str">
        <f t="shared" si="2818"/>
        <v>2</v>
      </c>
      <c r="K1432" s="1" t="str">
        <f t="shared" ref="K1432:P1432" si="2825">"0"</f>
        <v>0</v>
      </c>
      <c r="L1432" s="1" t="str">
        <f t="shared" si="2825"/>
        <v>0</v>
      </c>
      <c r="M1432" s="1" t="str">
        <f t="shared" si="2825"/>
        <v>0</v>
      </c>
      <c r="N1432" s="1" t="str">
        <f t="shared" si="2825"/>
        <v>0</v>
      </c>
      <c r="O1432" s="1" t="str">
        <f t="shared" si="2825"/>
        <v>0</v>
      </c>
      <c r="P1432" s="1" t="str">
        <f t="shared" si="2825"/>
        <v>0</v>
      </c>
      <c r="Q1432" s="1" t="str">
        <f t="shared" si="2783"/>
        <v>0.0070</v>
      </c>
      <c r="R1432" s="1" t="s">
        <v>29</v>
      </c>
      <c r="S1432" s="1">
        <v>-0.0014</v>
      </c>
      <c r="T1432" s="1" t="str">
        <f t="shared" si="2784"/>
        <v>0</v>
      </c>
      <c r="U1432" s="1" t="str">
        <f t="shared" si="2820"/>
        <v>0.0056</v>
      </c>
    </row>
    <row r="1433" s="1" customFormat="1" spans="1:21">
      <c r="A1433" s="1" t="str">
        <f>"4601992017436"</f>
        <v>4601992017436</v>
      </c>
      <c r="B1433" s="1" t="s">
        <v>1457</v>
      </c>
      <c r="C1433" s="1" t="s">
        <v>24</v>
      </c>
      <c r="D1433" s="1" t="str">
        <f t="shared" si="2781"/>
        <v>2021</v>
      </c>
      <c r="E1433" s="1" t="str">
        <f>"11.98"</f>
        <v>11.98</v>
      </c>
      <c r="F1433" s="1" t="str">
        <f t="shared" ref="F1433:I1433" si="2826">"0"</f>
        <v>0</v>
      </c>
      <c r="G1433" s="1" t="str">
        <f t="shared" si="2826"/>
        <v>0</v>
      </c>
      <c r="H1433" s="1" t="str">
        <f t="shared" si="2826"/>
        <v>0</v>
      </c>
      <c r="I1433" s="1" t="str">
        <f t="shared" si="2826"/>
        <v>0</v>
      </c>
      <c r="J1433" s="1" t="str">
        <f t="shared" si="2818"/>
        <v>2</v>
      </c>
      <c r="K1433" s="1" t="str">
        <f t="shared" ref="K1433:P1433" si="2827">"0"</f>
        <v>0</v>
      </c>
      <c r="L1433" s="1" t="str">
        <f t="shared" si="2827"/>
        <v>0</v>
      </c>
      <c r="M1433" s="1" t="str">
        <f t="shared" si="2827"/>
        <v>0</v>
      </c>
      <c r="N1433" s="1" t="str">
        <f t="shared" si="2827"/>
        <v>0</v>
      </c>
      <c r="O1433" s="1" t="str">
        <f t="shared" si="2827"/>
        <v>0</v>
      </c>
      <c r="P1433" s="1" t="str">
        <f t="shared" si="2827"/>
        <v>0</v>
      </c>
      <c r="Q1433" s="1" t="str">
        <f t="shared" si="2783"/>
        <v>0.0070</v>
      </c>
      <c r="R1433" s="1" t="s">
        <v>29</v>
      </c>
      <c r="S1433" s="1">
        <v>-0.0014</v>
      </c>
      <c r="T1433" s="1" t="str">
        <f t="shared" si="2784"/>
        <v>0</v>
      </c>
      <c r="U1433" s="1" t="str">
        <f t="shared" si="2820"/>
        <v>0.0056</v>
      </c>
    </row>
    <row r="1434" s="1" customFormat="1" spans="1:21">
      <c r="A1434" s="1" t="str">
        <f>"4601992017485"</f>
        <v>4601992017485</v>
      </c>
      <c r="B1434" s="1" t="s">
        <v>1458</v>
      </c>
      <c r="C1434" s="1" t="s">
        <v>24</v>
      </c>
      <c r="D1434" s="1" t="str">
        <f t="shared" si="2781"/>
        <v>2021</v>
      </c>
      <c r="E1434" s="1" t="str">
        <f>"116.87"</f>
        <v>116.87</v>
      </c>
      <c r="F1434" s="1" t="str">
        <f t="shared" ref="F1434:I1434" si="2828">"0"</f>
        <v>0</v>
      </c>
      <c r="G1434" s="1" t="str">
        <f t="shared" si="2828"/>
        <v>0</v>
      </c>
      <c r="H1434" s="1" t="str">
        <f t="shared" si="2828"/>
        <v>0</v>
      </c>
      <c r="I1434" s="1" t="str">
        <f t="shared" si="2828"/>
        <v>0</v>
      </c>
      <c r="J1434" s="1" t="str">
        <f>"1"</f>
        <v>1</v>
      </c>
      <c r="K1434" s="1" t="str">
        <f t="shared" ref="K1434:P1434" si="2829">"0"</f>
        <v>0</v>
      </c>
      <c r="L1434" s="1" t="str">
        <f t="shared" si="2829"/>
        <v>0</v>
      </c>
      <c r="M1434" s="1" t="str">
        <f t="shared" si="2829"/>
        <v>0</v>
      </c>
      <c r="N1434" s="1" t="str">
        <f t="shared" si="2829"/>
        <v>0</v>
      </c>
      <c r="O1434" s="1" t="str">
        <f t="shared" si="2829"/>
        <v>0</v>
      </c>
      <c r="P1434" s="1" t="str">
        <f t="shared" si="2829"/>
        <v>0</v>
      </c>
      <c r="Q1434" s="1" t="str">
        <f t="shared" si="2783"/>
        <v>0.0070</v>
      </c>
      <c r="R1434" s="1" t="s">
        <v>29</v>
      </c>
      <c r="S1434" s="1">
        <v>-0.0014</v>
      </c>
      <c r="T1434" s="1" t="str">
        <f t="shared" si="2784"/>
        <v>0</v>
      </c>
      <c r="U1434" s="1" t="str">
        <f t="shared" si="2820"/>
        <v>0.0056</v>
      </c>
    </row>
    <row r="1435" s="1" customFormat="1" spans="1:21">
      <c r="A1435" s="1" t="str">
        <f>"4601992017535"</f>
        <v>4601992017535</v>
      </c>
      <c r="B1435" s="1" t="s">
        <v>1459</v>
      </c>
      <c r="C1435" s="1" t="s">
        <v>24</v>
      </c>
      <c r="D1435" s="1" t="str">
        <f t="shared" si="2781"/>
        <v>2021</v>
      </c>
      <c r="E1435" s="1" t="str">
        <f>"24.07"</f>
        <v>24.07</v>
      </c>
      <c r="F1435" s="1" t="str">
        <f t="shared" ref="F1435:I1435" si="2830">"0"</f>
        <v>0</v>
      </c>
      <c r="G1435" s="1" t="str">
        <f t="shared" si="2830"/>
        <v>0</v>
      </c>
      <c r="H1435" s="1" t="str">
        <f t="shared" si="2830"/>
        <v>0</v>
      </c>
      <c r="I1435" s="1" t="str">
        <f t="shared" si="2830"/>
        <v>0</v>
      </c>
      <c r="J1435" s="1" t="str">
        <f>"2"</f>
        <v>2</v>
      </c>
      <c r="K1435" s="1" t="str">
        <f t="shared" ref="K1435:P1435" si="2831">"0"</f>
        <v>0</v>
      </c>
      <c r="L1435" s="1" t="str">
        <f t="shared" si="2831"/>
        <v>0</v>
      </c>
      <c r="M1435" s="1" t="str">
        <f t="shared" si="2831"/>
        <v>0</v>
      </c>
      <c r="N1435" s="1" t="str">
        <f t="shared" si="2831"/>
        <v>0</v>
      </c>
      <c r="O1435" s="1" t="str">
        <f t="shared" si="2831"/>
        <v>0</v>
      </c>
      <c r="P1435" s="1" t="str">
        <f t="shared" si="2831"/>
        <v>0</v>
      </c>
      <c r="Q1435" s="1" t="str">
        <f t="shared" si="2783"/>
        <v>0.0070</v>
      </c>
      <c r="R1435" s="1" t="s">
        <v>29</v>
      </c>
      <c r="S1435" s="1">
        <v>-0.0014</v>
      </c>
      <c r="T1435" s="1" t="str">
        <f t="shared" si="2784"/>
        <v>0</v>
      </c>
      <c r="U1435" s="1" t="str">
        <f t="shared" si="2820"/>
        <v>0.0056</v>
      </c>
    </row>
    <row r="1436" s="1" customFormat="1" spans="1:21">
      <c r="A1436" s="1" t="str">
        <f>"4601992017486"</f>
        <v>4601992017486</v>
      </c>
      <c r="B1436" s="1" t="s">
        <v>1460</v>
      </c>
      <c r="C1436" s="1" t="s">
        <v>24</v>
      </c>
      <c r="D1436" s="1" t="str">
        <f t="shared" si="2781"/>
        <v>2021</v>
      </c>
      <c r="E1436" s="1" t="str">
        <f>"131.78"</f>
        <v>131.78</v>
      </c>
      <c r="F1436" s="1" t="str">
        <f t="shared" ref="F1436:I1436" si="2832">"0"</f>
        <v>0</v>
      </c>
      <c r="G1436" s="1" t="str">
        <f t="shared" si="2832"/>
        <v>0</v>
      </c>
      <c r="H1436" s="1" t="str">
        <f t="shared" si="2832"/>
        <v>0</v>
      </c>
      <c r="I1436" s="1" t="str">
        <f t="shared" si="2832"/>
        <v>0</v>
      </c>
      <c r="J1436" s="1" t="str">
        <f>"15"</f>
        <v>15</v>
      </c>
      <c r="K1436" s="1" t="str">
        <f t="shared" ref="K1436:P1436" si="2833">"0"</f>
        <v>0</v>
      </c>
      <c r="L1436" s="1" t="str">
        <f t="shared" si="2833"/>
        <v>0</v>
      </c>
      <c r="M1436" s="1" t="str">
        <f t="shared" si="2833"/>
        <v>0</v>
      </c>
      <c r="N1436" s="1" t="str">
        <f t="shared" si="2833"/>
        <v>0</v>
      </c>
      <c r="O1436" s="1" t="str">
        <f t="shared" si="2833"/>
        <v>0</v>
      </c>
      <c r="P1436" s="1" t="str">
        <f t="shared" si="2833"/>
        <v>0</v>
      </c>
      <c r="Q1436" s="1" t="str">
        <f t="shared" si="2783"/>
        <v>0.0070</v>
      </c>
      <c r="R1436" s="1" t="s">
        <v>29</v>
      </c>
      <c r="S1436" s="1">
        <v>-0.0014</v>
      </c>
      <c r="T1436" s="1" t="str">
        <f t="shared" si="2784"/>
        <v>0</v>
      </c>
      <c r="U1436" s="1" t="str">
        <f t="shared" si="2820"/>
        <v>0.0056</v>
      </c>
    </row>
    <row r="1437" s="1" customFormat="1" spans="1:21">
      <c r="A1437" s="1" t="str">
        <f>"4601992017568"</f>
        <v>4601992017568</v>
      </c>
      <c r="B1437" s="1" t="s">
        <v>1461</v>
      </c>
      <c r="C1437" s="1" t="s">
        <v>24</v>
      </c>
      <c r="D1437" s="1" t="str">
        <f t="shared" si="2781"/>
        <v>2021</v>
      </c>
      <c r="E1437" s="1" t="str">
        <f>"24.18"</f>
        <v>24.18</v>
      </c>
      <c r="F1437" s="1" t="str">
        <f t="shared" ref="F1437:I1437" si="2834">"0"</f>
        <v>0</v>
      </c>
      <c r="G1437" s="1" t="str">
        <f t="shared" si="2834"/>
        <v>0</v>
      </c>
      <c r="H1437" s="1" t="str">
        <f t="shared" si="2834"/>
        <v>0</v>
      </c>
      <c r="I1437" s="1" t="str">
        <f t="shared" si="2834"/>
        <v>0</v>
      </c>
      <c r="J1437" s="1" t="str">
        <f>"2"</f>
        <v>2</v>
      </c>
      <c r="K1437" s="1" t="str">
        <f t="shared" ref="K1437:P1437" si="2835">"0"</f>
        <v>0</v>
      </c>
      <c r="L1437" s="1" t="str">
        <f t="shared" si="2835"/>
        <v>0</v>
      </c>
      <c r="M1437" s="1" t="str">
        <f t="shared" si="2835"/>
        <v>0</v>
      </c>
      <c r="N1437" s="1" t="str">
        <f t="shared" si="2835"/>
        <v>0</v>
      </c>
      <c r="O1437" s="1" t="str">
        <f t="shared" si="2835"/>
        <v>0</v>
      </c>
      <c r="P1437" s="1" t="str">
        <f t="shared" si="2835"/>
        <v>0</v>
      </c>
      <c r="Q1437" s="1" t="str">
        <f t="shared" si="2783"/>
        <v>0.0070</v>
      </c>
      <c r="R1437" s="1" t="s">
        <v>29</v>
      </c>
      <c r="S1437" s="1">
        <v>-0.0014</v>
      </c>
      <c r="T1437" s="1" t="str">
        <f t="shared" si="2784"/>
        <v>0</v>
      </c>
      <c r="U1437" s="1" t="str">
        <f t="shared" si="2820"/>
        <v>0.0056</v>
      </c>
    </row>
    <row r="1438" s="1" customFormat="1" spans="1:21">
      <c r="A1438" s="1" t="str">
        <f>"4601992017593"</f>
        <v>4601992017593</v>
      </c>
      <c r="B1438" s="1" t="s">
        <v>1462</v>
      </c>
      <c r="C1438" s="1" t="s">
        <v>24</v>
      </c>
      <c r="D1438" s="1" t="str">
        <f t="shared" si="2781"/>
        <v>2021</v>
      </c>
      <c r="E1438" s="1" t="str">
        <f t="shared" ref="E1438:P1438" si="2836">"0"</f>
        <v>0</v>
      </c>
      <c r="F1438" s="1" t="str">
        <f t="shared" si="2836"/>
        <v>0</v>
      </c>
      <c r="G1438" s="1" t="str">
        <f t="shared" si="2836"/>
        <v>0</v>
      </c>
      <c r="H1438" s="1" t="str">
        <f t="shared" si="2836"/>
        <v>0</v>
      </c>
      <c r="I1438" s="1" t="str">
        <f t="shared" si="2836"/>
        <v>0</v>
      </c>
      <c r="J1438" s="1" t="str">
        <f t="shared" si="2836"/>
        <v>0</v>
      </c>
      <c r="K1438" s="1" t="str">
        <f t="shared" si="2836"/>
        <v>0</v>
      </c>
      <c r="L1438" s="1" t="str">
        <f t="shared" si="2836"/>
        <v>0</v>
      </c>
      <c r="M1438" s="1" t="str">
        <f t="shared" si="2836"/>
        <v>0</v>
      </c>
      <c r="N1438" s="1" t="str">
        <f t="shared" si="2836"/>
        <v>0</v>
      </c>
      <c r="O1438" s="1" t="str">
        <f t="shared" si="2836"/>
        <v>0</v>
      </c>
      <c r="P1438" s="1" t="str">
        <f t="shared" si="2836"/>
        <v>0</v>
      </c>
      <c r="Q1438" s="1" t="str">
        <f t="shared" si="2783"/>
        <v>0.0070</v>
      </c>
      <c r="R1438" s="1" t="s">
        <v>25</v>
      </c>
      <c r="T1438" s="1" t="str">
        <f t="shared" si="2784"/>
        <v>0</v>
      </c>
      <c r="U1438" s="1" t="str">
        <f t="shared" ref="U1438:U1444" si="2837">"0.0070"</f>
        <v>0.0070</v>
      </c>
    </row>
    <row r="1439" s="1" customFormat="1" spans="1:21">
      <c r="A1439" s="1" t="str">
        <f>"4601992017608"</f>
        <v>4601992017608</v>
      </c>
      <c r="B1439" s="1" t="s">
        <v>1463</v>
      </c>
      <c r="C1439" s="1" t="s">
        <v>24</v>
      </c>
      <c r="D1439" s="1" t="str">
        <f t="shared" si="2781"/>
        <v>2021</v>
      </c>
      <c r="E1439" s="1" t="str">
        <f t="shared" ref="E1439:P1439" si="2838">"0"</f>
        <v>0</v>
      </c>
      <c r="F1439" s="1" t="str">
        <f t="shared" si="2838"/>
        <v>0</v>
      </c>
      <c r="G1439" s="1" t="str">
        <f t="shared" si="2838"/>
        <v>0</v>
      </c>
      <c r="H1439" s="1" t="str">
        <f t="shared" si="2838"/>
        <v>0</v>
      </c>
      <c r="I1439" s="1" t="str">
        <f t="shared" si="2838"/>
        <v>0</v>
      </c>
      <c r="J1439" s="1" t="str">
        <f t="shared" si="2838"/>
        <v>0</v>
      </c>
      <c r="K1439" s="1" t="str">
        <f t="shared" si="2838"/>
        <v>0</v>
      </c>
      <c r="L1439" s="1" t="str">
        <f t="shared" si="2838"/>
        <v>0</v>
      </c>
      <c r="M1439" s="1" t="str">
        <f t="shared" si="2838"/>
        <v>0</v>
      </c>
      <c r="N1439" s="1" t="str">
        <f t="shared" si="2838"/>
        <v>0</v>
      </c>
      <c r="O1439" s="1" t="str">
        <f t="shared" si="2838"/>
        <v>0</v>
      </c>
      <c r="P1439" s="1" t="str">
        <f t="shared" si="2838"/>
        <v>0</v>
      </c>
      <c r="Q1439" s="1" t="str">
        <f t="shared" si="2783"/>
        <v>0.0070</v>
      </c>
      <c r="R1439" s="1" t="s">
        <v>25</v>
      </c>
      <c r="T1439" s="1" t="str">
        <f t="shared" si="2784"/>
        <v>0</v>
      </c>
      <c r="U1439" s="1" t="str">
        <f t="shared" si="2837"/>
        <v>0.0070</v>
      </c>
    </row>
    <row r="1440" s="1" customFormat="1" spans="1:21">
      <c r="A1440" s="1" t="str">
        <f>"4601992017571"</f>
        <v>4601992017571</v>
      </c>
      <c r="B1440" s="1" t="s">
        <v>1464</v>
      </c>
      <c r="C1440" s="1" t="s">
        <v>24</v>
      </c>
      <c r="D1440" s="1" t="str">
        <f t="shared" si="2781"/>
        <v>2021</v>
      </c>
      <c r="E1440" s="1" t="str">
        <f>"148.05"</f>
        <v>148.05</v>
      </c>
      <c r="F1440" s="1" t="str">
        <f t="shared" ref="F1440:I1440" si="2839">"0"</f>
        <v>0</v>
      </c>
      <c r="G1440" s="1" t="str">
        <f t="shared" si="2839"/>
        <v>0</v>
      </c>
      <c r="H1440" s="1" t="str">
        <f t="shared" si="2839"/>
        <v>0</v>
      </c>
      <c r="I1440" s="1" t="str">
        <f t="shared" si="2839"/>
        <v>0</v>
      </c>
      <c r="J1440" s="1" t="str">
        <f>"12"</f>
        <v>12</v>
      </c>
      <c r="K1440" s="1" t="str">
        <f t="shared" ref="K1440:P1440" si="2840">"0"</f>
        <v>0</v>
      </c>
      <c r="L1440" s="1" t="str">
        <f t="shared" si="2840"/>
        <v>0</v>
      </c>
      <c r="M1440" s="1" t="str">
        <f t="shared" si="2840"/>
        <v>0</v>
      </c>
      <c r="N1440" s="1" t="str">
        <f t="shared" si="2840"/>
        <v>0</v>
      </c>
      <c r="O1440" s="1" t="str">
        <f t="shared" si="2840"/>
        <v>0</v>
      </c>
      <c r="P1440" s="1" t="str">
        <f t="shared" si="2840"/>
        <v>0</v>
      </c>
      <c r="Q1440" s="1" t="str">
        <f t="shared" si="2783"/>
        <v>0.0070</v>
      </c>
      <c r="R1440" s="1" t="s">
        <v>29</v>
      </c>
      <c r="S1440" s="1">
        <v>-0.0014</v>
      </c>
      <c r="T1440" s="1" t="str">
        <f t="shared" si="2784"/>
        <v>0</v>
      </c>
      <c r="U1440" s="1" t="str">
        <f t="shared" ref="U1440:U1442" si="2841">"0.0056"</f>
        <v>0.0056</v>
      </c>
    </row>
    <row r="1441" s="1" customFormat="1" spans="1:21">
      <c r="A1441" s="1" t="str">
        <f>"4601992017589"</f>
        <v>4601992017589</v>
      </c>
      <c r="B1441" s="1" t="s">
        <v>1465</v>
      </c>
      <c r="C1441" s="1" t="s">
        <v>24</v>
      </c>
      <c r="D1441" s="1" t="str">
        <f t="shared" si="2781"/>
        <v>2021</v>
      </c>
      <c r="E1441" s="1" t="str">
        <f>"98.46"</f>
        <v>98.46</v>
      </c>
      <c r="F1441" s="1" t="str">
        <f t="shared" ref="F1441:I1441" si="2842">"0"</f>
        <v>0</v>
      </c>
      <c r="G1441" s="1" t="str">
        <f t="shared" si="2842"/>
        <v>0</v>
      </c>
      <c r="H1441" s="1" t="str">
        <f t="shared" si="2842"/>
        <v>0</v>
      </c>
      <c r="I1441" s="1" t="str">
        <f t="shared" si="2842"/>
        <v>0</v>
      </c>
      <c r="J1441" s="1" t="str">
        <f>"11"</f>
        <v>11</v>
      </c>
      <c r="K1441" s="1" t="str">
        <f t="shared" ref="K1441:P1441" si="2843">"0"</f>
        <v>0</v>
      </c>
      <c r="L1441" s="1" t="str">
        <f t="shared" si="2843"/>
        <v>0</v>
      </c>
      <c r="M1441" s="1" t="str">
        <f t="shared" si="2843"/>
        <v>0</v>
      </c>
      <c r="N1441" s="1" t="str">
        <f t="shared" si="2843"/>
        <v>0</v>
      </c>
      <c r="O1441" s="1" t="str">
        <f t="shared" si="2843"/>
        <v>0</v>
      </c>
      <c r="P1441" s="1" t="str">
        <f t="shared" si="2843"/>
        <v>0</v>
      </c>
      <c r="Q1441" s="1" t="str">
        <f t="shared" si="2783"/>
        <v>0.0070</v>
      </c>
      <c r="R1441" s="1" t="s">
        <v>29</v>
      </c>
      <c r="S1441" s="1">
        <v>-0.0014</v>
      </c>
      <c r="T1441" s="1" t="str">
        <f t="shared" si="2784"/>
        <v>0</v>
      </c>
      <c r="U1441" s="1" t="str">
        <f t="shared" si="2841"/>
        <v>0.0056</v>
      </c>
    </row>
    <row r="1442" s="1" customFormat="1" spans="1:21">
      <c r="A1442" s="1" t="str">
        <f>"4601992017602"</f>
        <v>4601992017602</v>
      </c>
      <c r="B1442" s="1" t="s">
        <v>1466</v>
      </c>
      <c r="C1442" s="1" t="s">
        <v>24</v>
      </c>
      <c r="D1442" s="1" t="str">
        <f t="shared" si="2781"/>
        <v>2021</v>
      </c>
      <c r="E1442" s="1" t="str">
        <f>"12.09"</f>
        <v>12.09</v>
      </c>
      <c r="F1442" s="1" t="str">
        <f t="shared" ref="F1442:I1442" si="2844">"0"</f>
        <v>0</v>
      </c>
      <c r="G1442" s="1" t="str">
        <f t="shared" si="2844"/>
        <v>0</v>
      </c>
      <c r="H1442" s="1" t="str">
        <f t="shared" si="2844"/>
        <v>0</v>
      </c>
      <c r="I1442" s="1" t="str">
        <f t="shared" si="2844"/>
        <v>0</v>
      </c>
      <c r="J1442" s="1" t="str">
        <f>"1"</f>
        <v>1</v>
      </c>
      <c r="K1442" s="1" t="str">
        <f t="shared" ref="K1442:P1442" si="2845">"0"</f>
        <v>0</v>
      </c>
      <c r="L1442" s="1" t="str">
        <f t="shared" si="2845"/>
        <v>0</v>
      </c>
      <c r="M1442" s="1" t="str">
        <f t="shared" si="2845"/>
        <v>0</v>
      </c>
      <c r="N1442" s="1" t="str">
        <f t="shared" si="2845"/>
        <v>0</v>
      </c>
      <c r="O1442" s="1" t="str">
        <f t="shared" si="2845"/>
        <v>0</v>
      </c>
      <c r="P1442" s="1" t="str">
        <f t="shared" si="2845"/>
        <v>0</v>
      </c>
      <c r="Q1442" s="1" t="str">
        <f t="shared" si="2783"/>
        <v>0.0070</v>
      </c>
      <c r="R1442" s="1" t="s">
        <v>29</v>
      </c>
      <c r="S1442" s="1">
        <v>-0.0014</v>
      </c>
      <c r="T1442" s="1" t="str">
        <f t="shared" si="2784"/>
        <v>0</v>
      </c>
      <c r="U1442" s="1" t="str">
        <f t="shared" si="2841"/>
        <v>0.0056</v>
      </c>
    </row>
    <row r="1443" s="1" customFormat="1" spans="1:21">
      <c r="A1443" s="1" t="str">
        <f>"4601992017708"</f>
        <v>4601992017708</v>
      </c>
      <c r="B1443" s="1" t="s">
        <v>1467</v>
      </c>
      <c r="C1443" s="1" t="s">
        <v>24</v>
      </c>
      <c r="D1443" s="1" t="str">
        <f t="shared" si="2781"/>
        <v>2021</v>
      </c>
      <c r="E1443" s="1" t="str">
        <f t="shared" ref="E1443:P1443" si="2846">"0"</f>
        <v>0</v>
      </c>
      <c r="F1443" s="1" t="str">
        <f t="shared" si="2846"/>
        <v>0</v>
      </c>
      <c r="G1443" s="1" t="str">
        <f t="shared" si="2846"/>
        <v>0</v>
      </c>
      <c r="H1443" s="1" t="str">
        <f t="shared" si="2846"/>
        <v>0</v>
      </c>
      <c r="I1443" s="1" t="str">
        <f t="shared" si="2846"/>
        <v>0</v>
      </c>
      <c r="J1443" s="1" t="str">
        <f t="shared" si="2846"/>
        <v>0</v>
      </c>
      <c r="K1443" s="1" t="str">
        <f t="shared" si="2846"/>
        <v>0</v>
      </c>
      <c r="L1443" s="1" t="str">
        <f t="shared" si="2846"/>
        <v>0</v>
      </c>
      <c r="M1443" s="1" t="str">
        <f t="shared" si="2846"/>
        <v>0</v>
      </c>
      <c r="N1443" s="1" t="str">
        <f t="shared" si="2846"/>
        <v>0</v>
      </c>
      <c r="O1443" s="1" t="str">
        <f t="shared" si="2846"/>
        <v>0</v>
      </c>
      <c r="P1443" s="1" t="str">
        <f t="shared" si="2846"/>
        <v>0</v>
      </c>
      <c r="Q1443" s="1" t="str">
        <f t="shared" si="2783"/>
        <v>0.0070</v>
      </c>
      <c r="R1443" s="1" t="s">
        <v>25</v>
      </c>
      <c r="T1443" s="1" t="str">
        <f t="shared" si="2784"/>
        <v>0</v>
      </c>
      <c r="U1443" s="1" t="str">
        <f t="shared" si="2837"/>
        <v>0.0070</v>
      </c>
    </row>
    <row r="1444" s="1" customFormat="1" spans="1:21">
      <c r="A1444" s="1" t="str">
        <f>"4601992017701"</f>
        <v>4601992017701</v>
      </c>
      <c r="B1444" s="1" t="s">
        <v>1468</v>
      </c>
      <c r="C1444" s="1" t="s">
        <v>24</v>
      </c>
      <c r="D1444" s="1" t="str">
        <f t="shared" si="2781"/>
        <v>2021</v>
      </c>
      <c r="E1444" s="1" t="str">
        <f t="shared" ref="E1444:P1444" si="2847">"0"</f>
        <v>0</v>
      </c>
      <c r="F1444" s="1" t="str">
        <f t="shared" si="2847"/>
        <v>0</v>
      </c>
      <c r="G1444" s="1" t="str">
        <f t="shared" si="2847"/>
        <v>0</v>
      </c>
      <c r="H1444" s="1" t="str">
        <f t="shared" si="2847"/>
        <v>0</v>
      </c>
      <c r="I1444" s="1" t="str">
        <f t="shared" si="2847"/>
        <v>0</v>
      </c>
      <c r="J1444" s="1" t="str">
        <f t="shared" si="2847"/>
        <v>0</v>
      </c>
      <c r="K1444" s="1" t="str">
        <f t="shared" si="2847"/>
        <v>0</v>
      </c>
      <c r="L1444" s="1" t="str">
        <f t="shared" si="2847"/>
        <v>0</v>
      </c>
      <c r="M1444" s="1" t="str">
        <f t="shared" si="2847"/>
        <v>0</v>
      </c>
      <c r="N1444" s="1" t="str">
        <f t="shared" si="2847"/>
        <v>0</v>
      </c>
      <c r="O1444" s="1" t="str">
        <f t="shared" si="2847"/>
        <v>0</v>
      </c>
      <c r="P1444" s="1" t="str">
        <f t="shared" si="2847"/>
        <v>0</v>
      </c>
      <c r="Q1444" s="1" t="str">
        <f t="shared" si="2783"/>
        <v>0.0070</v>
      </c>
      <c r="R1444" s="1" t="s">
        <v>25</v>
      </c>
      <c r="T1444" s="1" t="str">
        <f t="shared" si="2784"/>
        <v>0</v>
      </c>
      <c r="U1444" s="1" t="str">
        <f t="shared" si="2837"/>
        <v>0.0070</v>
      </c>
    </row>
    <row r="1445" s="1" customFormat="1" spans="1:21">
      <c r="A1445" s="1" t="str">
        <f>"4601992017648"</f>
        <v>4601992017648</v>
      </c>
      <c r="B1445" s="1" t="s">
        <v>1469</v>
      </c>
      <c r="C1445" s="1" t="s">
        <v>24</v>
      </c>
      <c r="D1445" s="1" t="str">
        <f t="shared" si="2781"/>
        <v>2021</v>
      </c>
      <c r="E1445" s="1" t="str">
        <f>"36.16"</f>
        <v>36.16</v>
      </c>
      <c r="F1445" s="1" t="str">
        <f t="shared" ref="F1445:I1445" si="2848">"0"</f>
        <v>0</v>
      </c>
      <c r="G1445" s="1" t="str">
        <f t="shared" si="2848"/>
        <v>0</v>
      </c>
      <c r="H1445" s="1" t="str">
        <f t="shared" si="2848"/>
        <v>0</v>
      </c>
      <c r="I1445" s="1" t="str">
        <f t="shared" si="2848"/>
        <v>0</v>
      </c>
      <c r="J1445" s="1" t="str">
        <f>"5"</f>
        <v>5</v>
      </c>
      <c r="K1445" s="1" t="str">
        <f t="shared" ref="K1445:P1445" si="2849">"0"</f>
        <v>0</v>
      </c>
      <c r="L1445" s="1" t="str">
        <f t="shared" si="2849"/>
        <v>0</v>
      </c>
      <c r="M1445" s="1" t="str">
        <f t="shared" si="2849"/>
        <v>0</v>
      </c>
      <c r="N1445" s="1" t="str">
        <f t="shared" si="2849"/>
        <v>0</v>
      </c>
      <c r="O1445" s="1" t="str">
        <f t="shared" si="2849"/>
        <v>0</v>
      </c>
      <c r="P1445" s="1" t="str">
        <f t="shared" si="2849"/>
        <v>0</v>
      </c>
      <c r="Q1445" s="1" t="str">
        <f t="shared" si="2783"/>
        <v>0.0070</v>
      </c>
      <c r="R1445" s="1" t="s">
        <v>29</v>
      </c>
      <c r="S1445" s="1">
        <v>-0.0014</v>
      </c>
      <c r="T1445" s="1" t="str">
        <f t="shared" si="2784"/>
        <v>0</v>
      </c>
      <c r="U1445" s="1" t="str">
        <f t="shared" ref="U1445:U1449" si="2850">"0.0056"</f>
        <v>0.0056</v>
      </c>
    </row>
    <row r="1446" s="1" customFormat="1" spans="1:21">
      <c r="A1446" s="1" t="str">
        <f>"4601992017679"</f>
        <v>4601992017679</v>
      </c>
      <c r="B1446" s="1" t="s">
        <v>1470</v>
      </c>
      <c r="C1446" s="1" t="s">
        <v>24</v>
      </c>
      <c r="D1446" s="1" t="str">
        <f t="shared" si="2781"/>
        <v>2021</v>
      </c>
      <c r="E1446" s="1" t="str">
        <f>"12.09"</f>
        <v>12.09</v>
      </c>
      <c r="F1446" s="1" t="str">
        <f t="shared" ref="F1446:I1446" si="2851">"0"</f>
        <v>0</v>
      </c>
      <c r="G1446" s="1" t="str">
        <f t="shared" si="2851"/>
        <v>0</v>
      </c>
      <c r="H1446" s="1" t="str">
        <f t="shared" si="2851"/>
        <v>0</v>
      </c>
      <c r="I1446" s="1" t="str">
        <f t="shared" si="2851"/>
        <v>0</v>
      </c>
      <c r="J1446" s="1" t="str">
        <f>"1"</f>
        <v>1</v>
      </c>
      <c r="K1446" s="1" t="str">
        <f t="shared" ref="K1446:P1446" si="2852">"0"</f>
        <v>0</v>
      </c>
      <c r="L1446" s="1" t="str">
        <f t="shared" si="2852"/>
        <v>0</v>
      </c>
      <c r="M1446" s="1" t="str">
        <f t="shared" si="2852"/>
        <v>0</v>
      </c>
      <c r="N1446" s="1" t="str">
        <f t="shared" si="2852"/>
        <v>0</v>
      </c>
      <c r="O1446" s="1" t="str">
        <f t="shared" si="2852"/>
        <v>0</v>
      </c>
      <c r="P1446" s="1" t="str">
        <f t="shared" si="2852"/>
        <v>0</v>
      </c>
      <c r="Q1446" s="1" t="str">
        <f t="shared" si="2783"/>
        <v>0.0070</v>
      </c>
      <c r="R1446" s="1" t="s">
        <v>25</v>
      </c>
      <c r="T1446" s="1" t="str">
        <f t="shared" si="2784"/>
        <v>0</v>
      </c>
      <c r="U1446" s="1" t="str">
        <f t="shared" ref="U1446:U1451" si="2853">"0.0070"</f>
        <v>0.0070</v>
      </c>
    </row>
    <row r="1447" s="1" customFormat="1" spans="1:21">
      <c r="A1447" s="1" t="str">
        <f>"4601992017715"</f>
        <v>4601992017715</v>
      </c>
      <c r="B1447" s="1" t="s">
        <v>1471</v>
      </c>
      <c r="C1447" s="1" t="s">
        <v>24</v>
      </c>
      <c r="D1447" s="1" t="str">
        <f t="shared" si="2781"/>
        <v>2021</v>
      </c>
      <c r="E1447" s="1" t="str">
        <f>"179.70"</f>
        <v>179.70</v>
      </c>
      <c r="F1447" s="1" t="str">
        <f t="shared" ref="F1447:I1447" si="2854">"0"</f>
        <v>0</v>
      </c>
      <c r="G1447" s="1" t="str">
        <f t="shared" si="2854"/>
        <v>0</v>
      </c>
      <c r="H1447" s="1" t="str">
        <f t="shared" si="2854"/>
        <v>0</v>
      </c>
      <c r="I1447" s="1" t="str">
        <f t="shared" si="2854"/>
        <v>0</v>
      </c>
      <c r="J1447" s="1" t="str">
        <f>"18"</f>
        <v>18</v>
      </c>
      <c r="K1447" s="1" t="str">
        <f t="shared" ref="K1447:P1447" si="2855">"0"</f>
        <v>0</v>
      </c>
      <c r="L1447" s="1" t="str">
        <f t="shared" si="2855"/>
        <v>0</v>
      </c>
      <c r="M1447" s="1" t="str">
        <f t="shared" si="2855"/>
        <v>0</v>
      </c>
      <c r="N1447" s="1" t="str">
        <f t="shared" si="2855"/>
        <v>0</v>
      </c>
      <c r="O1447" s="1" t="str">
        <f t="shared" si="2855"/>
        <v>0</v>
      </c>
      <c r="P1447" s="1" t="str">
        <f t="shared" si="2855"/>
        <v>0</v>
      </c>
      <c r="Q1447" s="1" t="str">
        <f t="shared" si="2783"/>
        <v>0.0070</v>
      </c>
      <c r="R1447" s="1" t="s">
        <v>29</v>
      </c>
      <c r="S1447" s="1">
        <v>-0.0014</v>
      </c>
      <c r="T1447" s="1" t="str">
        <f t="shared" si="2784"/>
        <v>0</v>
      </c>
      <c r="U1447" s="1" t="str">
        <f t="shared" si="2850"/>
        <v>0.0056</v>
      </c>
    </row>
    <row r="1448" s="1" customFormat="1" spans="1:21">
      <c r="A1448" s="1" t="str">
        <f>"4601992017754"</f>
        <v>4601992017754</v>
      </c>
      <c r="B1448" s="1" t="s">
        <v>1472</v>
      </c>
      <c r="C1448" s="1" t="s">
        <v>24</v>
      </c>
      <c r="D1448" s="1" t="str">
        <f t="shared" si="2781"/>
        <v>2021</v>
      </c>
      <c r="E1448" s="1" t="str">
        <f>"191.68"</f>
        <v>191.68</v>
      </c>
      <c r="F1448" s="1" t="str">
        <f t="shared" ref="F1448:I1448" si="2856">"0"</f>
        <v>0</v>
      </c>
      <c r="G1448" s="1" t="str">
        <f t="shared" si="2856"/>
        <v>0</v>
      </c>
      <c r="H1448" s="1" t="str">
        <f t="shared" si="2856"/>
        <v>0</v>
      </c>
      <c r="I1448" s="1" t="str">
        <f t="shared" si="2856"/>
        <v>0</v>
      </c>
      <c r="J1448" s="1" t="str">
        <f>"14"</f>
        <v>14</v>
      </c>
      <c r="K1448" s="1" t="str">
        <f t="shared" ref="K1448:P1448" si="2857">"0"</f>
        <v>0</v>
      </c>
      <c r="L1448" s="1" t="str">
        <f t="shared" si="2857"/>
        <v>0</v>
      </c>
      <c r="M1448" s="1" t="str">
        <f t="shared" si="2857"/>
        <v>0</v>
      </c>
      <c r="N1448" s="1" t="str">
        <f t="shared" si="2857"/>
        <v>0</v>
      </c>
      <c r="O1448" s="1" t="str">
        <f t="shared" si="2857"/>
        <v>0</v>
      </c>
      <c r="P1448" s="1" t="str">
        <f t="shared" si="2857"/>
        <v>0</v>
      </c>
      <c r="Q1448" s="1" t="str">
        <f t="shared" si="2783"/>
        <v>0.0070</v>
      </c>
      <c r="R1448" s="1" t="s">
        <v>29</v>
      </c>
      <c r="S1448" s="1">
        <v>-0.0014</v>
      </c>
      <c r="T1448" s="1" t="str">
        <f t="shared" si="2784"/>
        <v>0</v>
      </c>
      <c r="U1448" s="1" t="str">
        <f t="shared" si="2850"/>
        <v>0.0056</v>
      </c>
    </row>
    <row r="1449" s="1" customFormat="1" spans="1:21">
      <c r="A1449" s="1" t="str">
        <f>"4601992017859"</f>
        <v>4601992017859</v>
      </c>
      <c r="B1449" s="1" t="s">
        <v>1473</v>
      </c>
      <c r="C1449" s="1" t="s">
        <v>24</v>
      </c>
      <c r="D1449" s="1" t="str">
        <f t="shared" si="2781"/>
        <v>2021</v>
      </c>
      <c r="E1449" s="1" t="str">
        <f>"36.91"</f>
        <v>36.91</v>
      </c>
      <c r="F1449" s="1" t="str">
        <f t="shared" ref="F1449:I1449" si="2858">"0"</f>
        <v>0</v>
      </c>
      <c r="G1449" s="1" t="str">
        <f t="shared" si="2858"/>
        <v>0</v>
      </c>
      <c r="H1449" s="1" t="str">
        <f t="shared" si="2858"/>
        <v>0</v>
      </c>
      <c r="I1449" s="1" t="str">
        <f t="shared" si="2858"/>
        <v>0</v>
      </c>
      <c r="J1449" s="1" t="str">
        <f t="shared" ref="J1449:J1454" si="2859">"4"</f>
        <v>4</v>
      </c>
      <c r="K1449" s="1" t="str">
        <f t="shared" ref="K1449:P1449" si="2860">"0"</f>
        <v>0</v>
      </c>
      <c r="L1449" s="1" t="str">
        <f t="shared" si="2860"/>
        <v>0</v>
      </c>
      <c r="M1449" s="1" t="str">
        <f t="shared" si="2860"/>
        <v>0</v>
      </c>
      <c r="N1449" s="1" t="str">
        <f t="shared" si="2860"/>
        <v>0</v>
      </c>
      <c r="O1449" s="1" t="str">
        <f t="shared" si="2860"/>
        <v>0</v>
      </c>
      <c r="P1449" s="1" t="str">
        <f t="shared" si="2860"/>
        <v>0</v>
      </c>
      <c r="Q1449" s="1" t="str">
        <f t="shared" si="2783"/>
        <v>0.0070</v>
      </c>
      <c r="R1449" s="1" t="s">
        <v>29</v>
      </c>
      <c r="S1449" s="1">
        <v>-0.0014</v>
      </c>
      <c r="T1449" s="1" t="str">
        <f t="shared" si="2784"/>
        <v>0</v>
      </c>
      <c r="U1449" s="1" t="str">
        <f t="shared" si="2850"/>
        <v>0.0056</v>
      </c>
    </row>
    <row r="1450" s="1" customFormat="1" spans="1:21">
      <c r="A1450" s="1" t="str">
        <f>"4601992017874"</f>
        <v>4601992017874</v>
      </c>
      <c r="B1450" s="1" t="s">
        <v>1474</v>
      </c>
      <c r="C1450" s="1" t="s">
        <v>24</v>
      </c>
      <c r="D1450" s="1" t="str">
        <f t="shared" si="2781"/>
        <v>2021</v>
      </c>
      <c r="E1450" s="1" t="str">
        <f t="shared" ref="E1450:P1450" si="2861">"0"</f>
        <v>0</v>
      </c>
      <c r="F1450" s="1" t="str">
        <f t="shared" si="2861"/>
        <v>0</v>
      </c>
      <c r="G1450" s="1" t="str">
        <f t="shared" si="2861"/>
        <v>0</v>
      </c>
      <c r="H1450" s="1" t="str">
        <f t="shared" si="2861"/>
        <v>0</v>
      </c>
      <c r="I1450" s="1" t="str">
        <f t="shared" si="2861"/>
        <v>0</v>
      </c>
      <c r="J1450" s="1" t="str">
        <f t="shared" si="2861"/>
        <v>0</v>
      </c>
      <c r="K1450" s="1" t="str">
        <f t="shared" si="2861"/>
        <v>0</v>
      </c>
      <c r="L1450" s="1" t="str">
        <f t="shared" si="2861"/>
        <v>0</v>
      </c>
      <c r="M1450" s="1" t="str">
        <f t="shared" si="2861"/>
        <v>0</v>
      </c>
      <c r="N1450" s="1" t="str">
        <f t="shared" si="2861"/>
        <v>0</v>
      </c>
      <c r="O1450" s="1" t="str">
        <f t="shared" si="2861"/>
        <v>0</v>
      </c>
      <c r="P1450" s="1" t="str">
        <f t="shared" si="2861"/>
        <v>0</v>
      </c>
      <c r="Q1450" s="1" t="str">
        <f t="shared" si="2783"/>
        <v>0.0070</v>
      </c>
      <c r="R1450" s="1" t="s">
        <v>25</v>
      </c>
      <c r="T1450" s="1" t="str">
        <f t="shared" si="2784"/>
        <v>0</v>
      </c>
      <c r="U1450" s="1" t="str">
        <f t="shared" si="2853"/>
        <v>0.0070</v>
      </c>
    </row>
    <row r="1451" s="1" customFormat="1" spans="1:21">
      <c r="A1451" s="1" t="str">
        <f>"4601992017876"</f>
        <v>4601992017876</v>
      </c>
      <c r="B1451" s="1" t="s">
        <v>1475</v>
      </c>
      <c r="C1451" s="1" t="s">
        <v>24</v>
      </c>
      <c r="D1451" s="1" t="str">
        <f t="shared" si="2781"/>
        <v>2021</v>
      </c>
      <c r="E1451" s="1" t="str">
        <f t="shared" ref="E1451:P1451" si="2862">"0"</f>
        <v>0</v>
      </c>
      <c r="F1451" s="1" t="str">
        <f t="shared" si="2862"/>
        <v>0</v>
      </c>
      <c r="G1451" s="1" t="str">
        <f t="shared" si="2862"/>
        <v>0</v>
      </c>
      <c r="H1451" s="1" t="str">
        <f t="shared" si="2862"/>
        <v>0</v>
      </c>
      <c r="I1451" s="1" t="str">
        <f t="shared" si="2862"/>
        <v>0</v>
      </c>
      <c r="J1451" s="1" t="str">
        <f t="shared" si="2862"/>
        <v>0</v>
      </c>
      <c r="K1451" s="1" t="str">
        <f t="shared" si="2862"/>
        <v>0</v>
      </c>
      <c r="L1451" s="1" t="str">
        <f t="shared" si="2862"/>
        <v>0</v>
      </c>
      <c r="M1451" s="1" t="str">
        <f t="shared" si="2862"/>
        <v>0</v>
      </c>
      <c r="N1451" s="1" t="str">
        <f t="shared" si="2862"/>
        <v>0</v>
      </c>
      <c r="O1451" s="1" t="str">
        <f t="shared" si="2862"/>
        <v>0</v>
      </c>
      <c r="P1451" s="1" t="str">
        <f t="shared" si="2862"/>
        <v>0</v>
      </c>
      <c r="Q1451" s="1" t="str">
        <f t="shared" si="2783"/>
        <v>0.0070</v>
      </c>
      <c r="R1451" s="1" t="s">
        <v>25</v>
      </c>
      <c r="T1451" s="1" t="str">
        <f t="shared" si="2784"/>
        <v>0</v>
      </c>
      <c r="U1451" s="1" t="str">
        <f t="shared" si="2853"/>
        <v>0.0070</v>
      </c>
    </row>
    <row r="1452" s="1" customFormat="1" spans="1:21">
      <c r="A1452" s="1" t="str">
        <f>"4601992017834"</f>
        <v>4601992017834</v>
      </c>
      <c r="B1452" s="1" t="s">
        <v>1476</v>
      </c>
      <c r="C1452" s="1" t="s">
        <v>24</v>
      </c>
      <c r="D1452" s="1" t="str">
        <f t="shared" si="2781"/>
        <v>2021</v>
      </c>
      <c r="E1452" s="1" t="str">
        <f>"48.36"</f>
        <v>48.36</v>
      </c>
      <c r="F1452" s="1" t="str">
        <f t="shared" ref="F1452:I1452" si="2863">"0"</f>
        <v>0</v>
      </c>
      <c r="G1452" s="1" t="str">
        <f t="shared" si="2863"/>
        <v>0</v>
      </c>
      <c r="H1452" s="1" t="str">
        <f t="shared" si="2863"/>
        <v>0</v>
      </c>
      <c r="I1452" s="1" t="str">
        <f t="shared" si="2863"/>
        <v>0</v>
      </c>
      <c r="J1452" s="1" t="str">
        <f t="shared" si="2859"/>
        <v>4</v>
      </c>
      <c r="K1452" s="1" t="str">
        <f t="shared" ref="K1452:P1452" si="2864">"0"</f>
        <v>0</v>
      </c>
      <c r="L1452" s="1" t="str">
        <f t="shared" si="2864"/>
        <v>0</v>
      </c>
      <c r="M1452" s="1" t="str">
        <f t="shared" si="2864"/>
        <v>0</v>
      </c>
      <c r="N1452" s="1" t="str">
        <f t="shared" si="2864"/>
        <v>0</v>
      </c>
      <c r="O1452" s="1" t="str">
        <f t="shared" si="2864"/>
        <v>0</v>
      </c>
      <c r="P1452" s="1" t="str">
        <f t="shared" si="2864"/>
        <v>0</v>
      </c>
      <c r="Q1452" s="1" t="str">
        <f t="shared" si="2783"/>
        <v>0.0070</v>
      </c>
      <c r="R1452" s="1" t="s">
        <v>29</v>
      </c>
      <c r="S1452" s="1">
        <v>-0.0014</v>
      </c>
      <c r="T1452" s="1" t="str">
        <f t="shared" si="2784"/>
        <v>0</v>
      </c>
      <c r="U1452" s="1" t="str">
        <f t="shared" ref="U1452:U1457" si="2865">"0.0056"</f>
        <v>0.0056</v>
      </c>
    </row>
    <row r="1453" s="1" customFormat="1" spans="1:21">
      <c r="A1453" s="1" t="str">
        <f>"4601992017867"</f>
        <v>4601992017867</v>
      </c>
      <c r="B1453" s="1" t="s">
        <v>1477</v>
      </c>
      <c r="C1453" s="1" t="s">
        <v>24</v>
      </c>
      <c r="D1453" s="1" t="str">
        <f t="shared" si="2781"/>
        <v>2021</v>
      </c>
      <c r="E1453" s="1" t="str">
        <f>"386.04"</f>
        <v>386.04</v>
      </c>
      <c r="F1453" s="1" t="str">
        <f t="shared" ref="F1453:I1453" si="2866">"0"</f>
        <v>0</v>
      </c>
      <c r="G1453" s="1" t="str">
        <f t="shared" si="2866"/>
        <v>0</v>
      </c>
      <c r="H1453" s="1" t="str">
        <f t="shared" si="2866"/>
        <v>0</v>
      </c>
      <c r="I1453" s="1" t="str">
        <f t="shared" si="2866"/>
        <v>0</v>
      </c>
      <c r="J1453" s="1" t="str">
        <f>"12"</f>
        <v>12</v>
      </c>
      <c r="K1453" s="1" t="str">
        <f t="shared" ref="K1453:P1453" si="2867">"0"</f>
        <v>0</v>
      </c>
      <c r="L1453" s="1" t="str">
        <f t="shared" si="2867"/>
        <v>0</v>
      </c>
      <c r="M1453" s="1" t="str">
        <f t="shared" si="2867"/>
        <v>0</v>
      </c>
      <c r="N1453" s="1" t="str">
        <f t="shared" si="2867"/>
        <v>0</v>
      </c>
      <c r="O1453" s="1" t="str">
        <f t="shared" si="2867"/>
        <v>0</v>
      </c>
      <c r="P1453" s="1" t="str">
        <f t="shared" si="2867"/>
        <v>0</v>
      </c>
      <c r="Q1453" s="1" t="str">
        <f t="shared" si="2783"/>
        <v>0.0070</v>
      </c>
      <c r="R1453" s="1" t="s">
        <v>29</v>
      </c>
      <c r="S1453" s="1">
        <v>-0.0014</v>
      </c>
      <c r="T1453" s="1" t="str">
        <f t="shared" si="2784"/>
        <v>0</v>
      </c>
      <c r="U1453" s="1" t="str">
        <f t="shared" si="2865"/>
        <v>0.0056</v>
      </c>
    </row>
    <row r="1454" s="1" customFormat="1" spans="1:21">
      <c r="A1454" s="1" t="str">
        <f>"4601992017877"</f>
        <v>4601992017877</v>
      </c>
      <c r="B1454" s="1" t="s">
        <v>1478</v>
      </c>
      <c r="C1454" s="1" t="s">
        <v>24</v>
      </c>
      <c r="D1454" s="1" t="str">
        <f t="shared" si="2781"/>
        <v>2021</v>
      </c>
      <c r="E1454" s="1" t="str">
        <f>"24.18"</f>
        <v>24.18</v>
      </c>
      <c r="F1454" s="1" t="str">
        <f t="shared" ref="F1454:I1454" si="2868">"0"</f>
        <v>0</v>
      </c>
      <c r="G1454" s="1" t="str">
        <f t="shared" si="2868"/>
        <v>0</v>
      </c>
      <c r="H1454" s="1" t="str">
        <f t="shared" si="2868"/>
        <v>0</v>
      </c>
      <c r="I1454" s="1" t="str">
        <f t="shared" si="2868"/>
        <v>0</v>
      </c>
      <c r="J1454" s="1" t="str">
        <f t="shared" si="2859"/>
        <v>4</v>
      </c>
      <c r="K1454" s="1" t="str">
        <f t="shared" ref="K1454:P1454" si="2869">"0"</f>
        <v>0</v>
      </c>
      <c r="L1454" s="1" t="str">
        <f t="shared" si="2869"/>
        <v>0</v>
      </c>
      <c r="M1454" s="1" t="str">
        <f t="shared" si="2869"/>
        <v>0</v>
      </c>
      <c r="N1454" s="1" t="str">
        <f t="shared" si="2869"/>
        <v>0</v>
      </c>
      <c r="O1454" s="1" t="str">
        <f t="shared" si="2869"/>
        <v>0</v>
      </c>
      <c r="P1454" s="1" t="str">
        <f t="shared" si="2869"/>
        <v>0</v>
      </c>
      <c r="Q1454" s="1" t="str">
        <f t="shared" si="2783"/>
        <v>0.0070</v>
      </c>
      <c r="R1454" s="1" t="s">
        <v>29</v>
      </c>
      <c r="S1454" s="1">
        <v>-0.0014</v>
      </c>
      <c r="T1454" s="1" t="str">
        <f t="shared" si="2784"/>
        <v>0</v>
      </c>
      <c r="U1454" s="1" t="str">
        <f t="shared" si="2865"/>
        <v>0.0056</v>
      </c>
    </row>
    <row r="1455" s="1" customFormat="1" spans="1:21">
      <c r="A1455" s="1" t="str">
        <f>"4601992017903"</f>
        <v>4601992017903</v>
      </c>
      <c r="B1455" s="1" t="s">
        <v>1479</v>
      </c>
      <c r="C1455" s="1" t="s">
        <v>24</v>
      </c>
      <c r="D1455" s="1" t="str">
        <f t="shared" si="2781"/>
        <v>2021</v>
      </c>
      <c r="E1455" s="1" t="str">
        <f>"12.09"</f>
        <v>12.09</v>
      </c>
      <c r="F1455" s="1" t="str">
        <f t="shared" ref="F1455:I1455" si="2870">"0"</f>
        <v>0</v>
      </c>
      <c r="G1455" s="1" t="str">
        <f t="shared" si="2870"/>
        <v>0</v>
      </c>
      <c r="H1455" s="1" t="str">
        <f t="shared" si="2870"/>
        <v>0</v>
      </c>
      <c r="I1455" s="1" t="str">
        <f t="shared" si="2870"/>
        <v>0</v>
      </c>
      <c r="J1455" s="1" t="str">
        <f>"1"</f>
        <v>1</v>
      </c>
      <c r="K1455" s="1" t="str">
        <f t="shared" ref="K1455:P1455" si="2871">"0"</f>
        <v>0</v>
      </c>
      <c r="L1455" s="1" t="str">
        <f t="shared" si="2871"/>
        <v>0</v>
      </c>
      <c r="M1455" s="1" t="str">
        <f t="shared" si="2871"/>
        <v>0</v>
      </c>
      <c r="N1455" s="1" t="str">
        <f t="shared" si="2871"/>
        <v>0</v>
      </c>
      <c r="O1455" s="1" t="str">
        <f t="shared" si="2871"/>
        <v>0</v>
      </c>
      <c r="P1455" s="1" t="str">
        <f t="shared" si="2871"/>
        <v>0</v>
      </c>
      <c r="Q1455" s="1" t="str">
        <f t="shared" si="2783"/>
        <v>0.0070</v>
      </c>
      <c r="R1455" s="1" t="s">
        <v>29</v>
      </c>
      <c r="S1455" s="1">
        <v>-0.0014</v>
      </c>
      <c r="T1455" s="1" t="str">
        <f t="shared" si="2784"/>
        <v>0</v>
      </c>
      <c r="U1455" s="1" t="str">
        <f t="shared" si="2865"/>
        <v>0.0056</v>
      </c>
    </row>
    <row r="1456" s="1" customFormat="1" spans="1:21">
      <c r="A1456" s="1" t="str">
        <f>"4601992017904"</f>
        <v>4601992017904</v>
      </c>
      <c r="B1456" s="1" t="s">
        <v>1480</v>
      </c>
      <c r="C1456" s="1" t="s">
        <v>24</v>
      </c>
      <c r="D1456" s="1" t="str">
        <f t="shared" si="2781"/>
        <v>2021</v>
      </c>
      <c r="E1456" s="1" t="str">
        <f>"108.81"</f>
        <v>108.81</v>
      </c>
      <c r="F1456" s="1" t="str">
        <f t="shared" ref="F1456:I1456" si="2872">"0"</f>
        <v>0</v>
      </c>
      <c r="G1456" s="1" t="str">
        <f t="shared" si="2872"/>
        <v>0</v>
      </c>
      <c r="H1456" s="1" t="str">
        <f t="shared" si="2872"/>
        <v>0</v>
      </c>
      <c r="I1456" s="1" t="str">
        <f t="shared" si="2872"/>
        <v>0</v>
      </c>
      <c r="J1456" s="1" t="str">
        <f>"9"</f>
        <v>9</v>
      </c>
      <c r="K1456" s="1" t="str">
        <f t="shared" ref="K1456:P1456" si="2873">"0"</f>
        <v>0</v>
      </c>
      <c r="L1456" s="1" t="str">
        <f t="shared" si="2873"/>
        <v>0</v>
      </c>
      <c r="M1456" s="1" t="str">
        <f t="shared" si="2873"/>
        <v>0</v>
      </c>
      <c r="N1456" s="1" t="str">
        <f t="shared" si="2873"/>
        <v>0</v>
      </c>
      <c r="O1456" s="1" t="str">
        <f t="shared" si="2873"/>
        <v>0</v>
      </c>
      <c r="P1456" s="1" t="str">
        <f t="shared" si="2873"/>
        <v>0</v>
      </c>
      <c r="Q1456" s="1" t="str">
        <f t="shared" si="2783"/>
        <v>0.0070</v>
      </c>
      <c r="R1456" s="1" t="s">
        <v>29</v>
      </c>
      <c r="S1456" s="1">
        <v>-0.0014</v>
      </c>
      <c r="T1456" s="1" t="str">
        <f t="shared" si="2784"/>
        <v>0</v>
      </c>
      <c r="U1456" s="1" t="str">
        <f t="shared" si="2865"/>
        <v>0.0056</v>
      </c>
    </row>
    <row r="1457" s="1" customFormat="1" spans="1:21">
      <c r="A1457" s="1" t="str">
        <f>"4601992017878"</f>
        <v>4601992017878</v>
      </c>
      <c r="B1457" s="1" t="s">
        <v>1481</v>
      </c>
      <c r="C1457" s="1" t="s">
        <v>24</v>
      </c>
      <c r="D1457" s="1" t="str">
        <f t="shared" si="2781"/>
        <v>2021</v>
      </c>
      <c r="E1457" s="1" t="str">
        <f>"24.18"</f>
        <v>24.18</v>
      </c>
      <c r="F1457" s="1" t="str">
        <f t="shared" ref="F1457:I1457" si="2874">"0"</f>
        <v>0</v>
      </c>
      <c r="G1457" s="1" t="str">
        <f t="shared" si="2874"/>
        <v>0</v>
      </c>
      <c r="H1457" s="1" t="str">
        <f t="shared" si="2874"/>
        <v>0</v>
      </c>
      <c r="I1457" s="1" t="str">
        <f t="shared" si="2874"/>
        <v>0</v>
      </c>
      <c r="J1457" s="1" t="str">
        <f>"2"</f>
        <v>2</v>
      </c>
      <c r="K1457" s="1" t="str">
        <f t="shared" ref="K1457:P1457" si="2875">"0"</f>
        <v>0</v>
      </c>
      <c r="L1457" s="1" t="str">
        <f t="shared" si="2875"/>
        <v>0</v>
      </c>
      <c r="M1457" s="1" t="str">
        <f t="shared" si="2875"/>
        <v>0</v>
      </c>
      <c r="N1457" s="1" t="str">
        <f t="shared" si="2875"/>
        <v>0</v>
      </c>
      <c r="O1457" s="1" t="str">
        <f t="shared" si="2875"/>
        <v>0</v>
      </c>
      <c r="P1457" s="1" t="str">
        <f t="shared" si="2875"/>
        <v>0</v>
      </c>
      <c r="Q1457" s="1" t="str">
        <f t="shared" si="2783"/>
        <v>0.0070</v>
      </c>
      <c r="R1457" s="1" t="s">
        <v>29</v>
      </c>
      <c r="S1457" s="1">
        <v>-0.0014</v>
      </c>
      <c r="T1457" s="1" t="str">
        <f t="shared" si="2784"/>
        <v>0</v>
      </c>
      <c r="U1457" s="1" t="str">
        <f t="shared" si="2865"/>
        <v>0.0056</v>
      </c>
    </row>
    <row r="1458" s="1" customFormat="1" spans="1:21">
      <c r="A1458" s="1" t="str">
        <f>"4601992017953"</f>
        <v>4601992017953</v>
      </c>
      <c r="B1458" s="1" t="s">
        <v>1482</v>
      </c>
      <c r="C1458" s="1" t="s">
        <v>24</v>
      </c>
      <c r="D1458" s="1" t="str">
        <f t="shared" si="2781"/>
        <v>2021</v>
      </c>
      <c r="E1458" s="1" t="str">
        <f t="shared" ref="E1458:P1458" si="2876">"0"</f>
        <v>0</v>
      </c>
      <c r="F1458" s="1" t="str">
        <f t="shared" si="2876"/>
        <v>0</v>
      </c>
      <c r="G1458" s="1" t="str">
        <f t="shared" si="2876"/>
        <v>0</v>
      </c>
      <c r="H1458" s="1" t="str">
        <f t="shared" si="2876"/>
        <v>0</v>
      </c>
      <c r="I1458" s="1" t="str">
        <f t="shared" si="2876"/>
        <v>0</v>
      </c>
      <c r="J1458" s="1" t="str">
        <f t="shared" si="2876"/>
        <v>0</v>
      </c>
      <c r="K1458" s="1" t="str">
        <f t="shared" si="2876"/>
        <v>0</v>
      </c>
      <c r="L1458" s="1" t="str">
        <f t="shared" si="2876"/>
        <v>0</v>
      </c>
      <c r="M1458" s="1" t="str">
        <f t="shared" si="2876"/>
        <v>0</v>
      </c>
      <c r="N1458" s="1" t="str">
        <f t="shared" si="2876"/>
        <v>0</v>
      </c>
      <c r="O1458" s="1" t="str">
        <f t="shared" si="2876"/>
        <v>0</v>
      </c>
      <c r="P1458" s="1" t="str">
        <f t="shared" si="2876"/>
        <v>0</v>
      </c>
      <c r="Q1458" s="1" t="str">
        <f t="shared" si="2783"/>
        <v>0.0070</v>
      </c>
      <c r="R1458" s="1" t="s">
        <v>25</v>
      </c>
      <c r="T1458" s="1" t="str">
        <f t="shared" si="2784"/>
        <v>0</v>
      </c>
      <c r="U1458" s="1" t="str">
        <f t="shared" ref="U1458:U1463" si="2877">"0.0070"</f>
        <v>0.0070</v>
      </c>
    </row>
    <row r="1459" s="1" customFormat="1" spans="1:21">
      <c r="A1459" s="1" t="str">
        <f>"4601992017956"</f>
        <v>4601992017956</v>
      </c>
      <c r="B1459" s="1" t="s">
        <v>1483</v>
      </c>
      <c r="C1459" s="1" t="s">
        <v>24</v>
      </c>
      <c r="D1459" s="1" t="str">
        <f t="shared" si="2781"/>
        <v>2021</v>
      </c>
      <c r="E1459" s="1" t="str">
        <f>"84.63"</f>
        <v>84.63</v>
      </c>
      <c r="F1459" s="1" t="str">
        <f t="shared" ref="F1459:I1459" si="2878">"0"</f>
        <v>0</v>
      </c>
      <c r="G1459" s="1" t="str">
        <f t="shared" si="2878"/>
        <v>0</v>
      </c>
      <c r="H1459" s="1" t="str">
        <f t="shared" si="2878"/>
        <v>0</v>
      </c>
      <c r="I1459" s="1" t="str">
        <f t="shared" si="2878"/>
        <v>0</v>
      </c>
      <c r="J1459" s="1" t="str">
        <f>"7"</f>
        <v>7</v>
      </c>
      <c r="K1459" s="1" t="str">
        <f t="shared" ref="K1459:P1459" si="2879">"0"</f>
        <v>0</v>
      </c>
      <c r="L1459" s="1" t="str">
        <f t="shared" si="2879"/>
        <v>0</v>
      </c>
      <c r="M1459" s="1" t="str">
        <f t="shared" si="2879"/>
        <v>0</v>
      </c>
      <c r="N1459" s="1" t="str">
        <f t="shared" si="2879"/>
        <v>0</v>
      </c>
      <c r="O1459" s="1" t="str">
        <f t="shared" si="2879"/>
        <v>0</v>
      </c>
      <c r="P1459" s="1" t="str">
        <f t="shared" si="2879"/>
        <v>0</v>
      </c>
      <c r="Q1459" s="1" t="str">
        <f t="shared" si="2783"/>
        <v>0.0070</v>
      </c>
      <c r="R1459" s="1" t="s">
        <v>29</v>
      </c>
      <c r="S1459" s="1">
        <v>-0.0014</v>
      </c>
      <c r="T1459" s="1" t="str">
        <f t="shared" si="2784"/>
        <v>0</v>
      </c>
      <c r="U1459" s="1" t="str">
        <f t="shared" ref="U1459:U1461" si="2880">"0.0056"</f>
        <v>0.0056</v>
      </c>
    </row>
    <row r="1460" s="1" customFormat="1" spans="1:21">
      <c r="A1460" s="1" t="str">
        <f>"4601992017938"</f>
        <v>4601992017938</v>
      </c>
      <c r="B1460" s="1" t="s">
        <v>1484</v>
      </c>
      <c r="C1460" s="1" t="s">
        <v>24</v>
      </c>
      <c r="D1460" s="1" t="str">
        <f t="shared" si="2781"/>
        <v>2021</v>
      </c>
      <c r="E1460" s="1" t="str">
        <f>"24.18"</f>
        <v>24.18</v>
      </c>
      <c r="F1460" s="1" t="str">
        <f t="shared" ref="F1460:I1460" si="2881">"0"</f>
        <v>0</v>
      </c>
      <c r="G1460" s="1" t="str">
        <f t="shared" si="2881"/>
        <v>0</v>
      </c>
      <c r="H1460" s="1" t="str">
        <f t="shared" si="2881"/>
        <v>0</v>
      </c>
      <c r="I1460" s="1" t="str">
        <f t="shared" si="2881"/>
        <v>0</v>
      </c>
      <c r="J1460" s="1" t="str">
        <f t="shared" ref="J1460:J1464" si="2882">"5"</f>
        <v>5</v>
      </c>
      <c r="K1460" s="1" t="str">
        <f t="shared" ref="K1460:P1460" si="2883">"0"</f>
        <v>0</v>
      </c>
      <c r="L1460" s="1" t="str">
        <f t="shared" si="2883"/>
        <v>0</v>
      </c>
      <c r="M1460" s="1" t="str">
        <f t="shared" si="2883"/>
        <v>0</v>
      </c>
      <c r="N1460" s="1" t="str">
        <f t="shared" si="2883"/>
        <v>0</v>
      </c>
      <c r="O1460" s="1" t="str">
        <f t="shared" si="2883"/>
        <v>0</v>
      </c>
      <c r="P1460" s="1" t="str">
        <f t="shared" si="2883"/>
        <v>0</v>
      </c>
      <c r="Q1460" s="1" t="str">
        <f t="shared" si="2783"/>
        <v>0.0070</v>
      </c>
      <c r="R1460" s="1" t="s">
        <v>29</v>
      </c>
      <c r="S1460" s="1">
        <v>-0.0014</v>
      </c>
      <c r="T1460" s="1" t="str">
        <f t="shared" si="2784"/>
        <v>0</v>
      </c>
      <c r="U1460" s="1" t="str">
        <f t="shared" si="2880"/>
        <v>0.0056</v>
      </c>
    </row>
    <row r="1461" s="1" customFormat="1" spans="1:21">
      <c r="A1461" s="1" t="str">
        <f>"4601992017943"</f>
        <v>4601992017943</v>
      </c>
      <c r="B1461" s="1" t="s">
        <v>1485</v>
      </c>
      <c r="C1461" s="1" t="s">
        <v>24</v>
      </c>
      <c r="D1461" s="1" t="str">
        <f t="shared" si="2781"/>
        <v>2021</v>
      </c>
      <c r="E1461" s="1" t="str">
        <f>"40.98"</f>
        <v>40.98</v>
      </c>
      <c r="F1461" s="1" t="str">
        <f t="shared" ref="F1461:I1461" si="2884">"0"</f>
        <v>0</v>
      </c>
      <c r="G1461" s="1" t="str">
        <f t="shared" si="2884"/>
        <v>0</v>
      </c>
      <c r="H1461" s="1" t="str">
        <f t="shared" si="2884"/>
        <v>0</v>
      </c>
      <c r="I1461" s="1" t="str">
        <f t="shared" si="2884"/>
        <v>0</v>
      </c>
      <c r="J1461" s="1" t="str">
        <f t="shared" si="2882"/>
        <v>5</v>
      </c>
      <c r="K1461" s="1" t="str">
        <f t="shared" ref="K1461:P1461" si="2885">"0"</f>
        <v>0</v>
      </c>
      <c r="L1461" s="1" t="str">
        <f t="shared" si="2885"/>
        <v>0</v>
      </c>
      <c r="M1461" s="1" t="str">
        <f t="shared" si="2885"/>
        <v>0</v>
      </c>
      <c r="N1461" s="1" t="str">
        <f t="shared" si="2885"/>
        <v>0</v>
      </c>
      <c r="O1461" s="1" t="str">
        <f t="shared" si="2885"/>
        <v>0</v>
      </c>
      <c r="P1461" s="1" t="str">
        <f t="shared" si="2885"/>
        <v>0</v>
      </c>
      <c r="Q1461" s="1" t="str">
        <f t="shared" si="2783"/>
        <v>0.0070</v>
      </c>
      <c r="R1461" s="1" t="s">
        <v>29</v>
      </c>
      <c r="S1461" s="1">
        <v>-0.0014</v>
      </c>
      <c r="T1461" s="1" t="str">
        <f t="shared" si="2784"/>
        <v>0</v>
      </c>
      <c r="U1461" s="1" t="str">
        <f t="shared" si="2880"/>
        <v>0.0056</v>
      </c>
    </row>
    <row r="1462" s="1" customFormat="1" spans="1:21">
      <c r="A1462" s="1" t="str">
        <f>"4601992018034"</f>
        <v>4601992018034</v>
      </c>
      <c r="B1462" s="1" t="s">
        <v>1486</v>
      </c>
      <c r="C1462" s="1" t="s">
        <v>24</v>
      </c>
      <c r="D1462" s="1" t="str">
        <f t="shared" si="2781"/>
        <v>2021</v>
      </c>
      <c r="E1462" s="1" t="str">
        <f t="shared" ref="E1462:P1462" si="2886">"0"</f>
        <v>0</v>
      </c>
      <c r="F1462" s="1" t="str">
        <f t="shared" si="2886"/>
        <v>0</v>
      </c>
      <c r="G1462" s="1" t="str">
        <f t="shared" si="2886"/>
        <v>0</v>
      </c>
      <c r="H1462" s="1" t="str">
        <f t="shared" si="2886"/>
        <v>0</v>
      </c>
      <c r="I1462" s="1" t="str">
        <f t="shared" si="2886"/>
        <v>0</v>
      </c>
      <c r="J1462" s="1" t="str">
        <f t="shared" si="2886"/>
        <v>0</v>
      </c>
      <c r="K1462" s="1" t="str">
        <f t="shared" si="2886"/>
        <v>0</v>
      </c>
      <c r="L1462" s="1" t="str">
        <f t="shared" si="2886"/>
        <v>0</v>
      </c>
      <c r="M1462" s="1" t="str">
        <f t="shared" si="2886"/>
        <v>0</v>
      </c>
      <c r="N1462" s="1" t="str">
        <f t="shared" si="2886"/>
        <v>0</v>
      </c>
      <c r="O1462" s="1" t="str">
        <f t="shared" si="2886"/>
        <v>0</v>
      </c>
      <c r="P1462" s="1" t="str">
        <f t="shared" si="2886"/>
        <v>0</v>
      </c>
      <c r="Q1462" s="1" t="str">
        <f t="shared" si="2783"/>
        <v>0.0070</v>
      </c>
      <c r="R1462" s="1" t="s">
        <v>25</v>
      </c>
      <c r="T1462" s="1" t="str">
        <f t="shared" si="2784"/>
        <v>0</v>
      </c>
      <c r="U1462" s="1" t="str">
        <f t="shared" si="2877"/>
        <v>0.0070</v>
      </c>
    </row>
    <row r="1463" s="1" customFormat="1" spans="1:21">
      <c r="A1463" s="1" t="str">
        <f>"4601992018028"</f>
        <v>4601992018028</v>
      </c>
      <c r="B1463" s="1" t="s">
        <v>1487</v>
      </c>
      <c r="C1463" s="1" t="s">
        <v>24</v>
      </c>
      <c r="D1463" s="1" t="str">
        <f t="shared" si="2781"/>
        <v>2021</v>
      </c>
      <c r="E1463" s="1" t="str">
        <f>"11.98"</f>
        <v>11.98</v>
      </c>
      <c r="F1463" s="1" t="str">
        <f t="shared" ref="F1463:I1463" si="2887">"0"</f>
        <v>0</v>
      </c>
      <c r="G1463" s="1" t="str">
        <f t="shared" si="2887"/>
        <v>0</v>
      </c>
      <c r="H1463" s="1" t="str">
        <f t="shared" si="2887"/>
        <v>0</v>
      </c>
      <c r="I1463" s="1" t="str">
        <f t="shared" si="2887"/>
        <v>0</v>
      </c>
      <c r="J1463" s="1" t="str">
        <f>"1"</f>
        <v>1</v>
      </c>
      <c r="K1463" s="1" t="str">
        <f t="shared" ref="K1463:P1463" si="2888">"0"</f>
        <v>0</v>
      </c>
      <c r="L1463" s="1" t="str">
        <f t="shared" si="2888"/>
        <v>0</v>
      </c>
      <c r="M1463" s="1" t="str">
        <f t="shared" si="2888"/>
        <v>0</v>
      </c>
      <c r="N1463" s="1" t="str">
        <f t="shared" si="2888"/>
        <v>0</v>
      </c>
      <c r="O1463" s="1" t="str">
        <f t="shared" si="2888"/>
        <v>0</v>
      </c>
      <c r="P1463" s="1" t="str">
        <f t="shared" si="2888"/>
        <v>0</v>
      </c>
      <c r="Q1463" s="1" t="str">
        <f t="shared" si="2783"/>
        <v>0.0070</v>
      </c>
      <c r="R1463" s="1" t="s">
        <v>25</v>
      </c>
      <c r="T1463" s="1" t="str">
        <f t="shared" si="2784"/>
        <v>0</v>
      </c>
      <c r="U1463" s="1" t="str">
        <f t="shared" si="2877"/>
        <v>0.0070</v>
      </c>
    </row>
    <row r="1464" s="1" customFormat="1" spans="1:21">
      <c r="A1464" s="1" t="str">
        <f>"4601992017970"</f>
        <v>4601992017970</v>
      </c>
      <c r="B1464" s="1" t="s">
        <v>1488</v>
      </c>
      <c r="C1464" s="1" t="s">
        <v>24</v>
      </c>
      <c r="D1464" s="1" t="str">
        <f t="shared" si="2781"/>
        <v>2021</v>
      </c>
      <c r="E1464" s="1" t="str">
        <f>"60.51"</f>
        <v>60.51</v>
      </c>
      <c r="F1464" s="1" t="str">
        <f t="shared" ref="F1464:I1464" si="2889">"0"</f>
        <v>0</v>
      </c>
      <c r="G1464" s="1" t="str">
        <f t="shared" si="2889"/>
        <v>0</v>
      </c>
      <c r="H1464" s="1" t="str">
        <f t="shared" si="2889"/>
        <v>0</v>
      </c>
      <c r="I1464" s="1" t="str">
        <f t="shared" si="2889"/>
        <v>0</v>
      </c>
      <c r="J1464" s="1" t="str">
        <f t="shared" si="2882"/>
        <v>5</v>
      </c>
      <c r="K1464" s="1" t="str">
        <f t="shared" ref="K1464:P1464" si="2890">"0"</f>
        <v>0</v>
      </c>
      <c r="L1464" s="1" t="str">
        <f t="shared" si="2890"/>
        <v>0</v>
      </c>
      <c r="M1464" s="1" t="str">
        <f t="shared" si="2890"/>
        <v>0</v>
      </c>
      <c r="N1464" s="1" t="str">
        <f t="shared" si="2890"/>
        <v>0</v>
      </c>
      <c r="O1464" s="1" t="str">
        <f t="shared" si="2890"/>
        <v>0</v>
      </c>
      <c r="P1464" s="1" t="str">
        <f t="shared" si="2890"/>
        <v>0</v>
      </c>
      <c r="Q1464" s="1" t="str">
        <f t="shared" si="2783"/>
        <v>0.0070</v>
      </c>
      <c r="R1464" s="1" t="s">
        <v>29</v>
      </c>
      <c r="S1464" s="1">
        <v>-0.0014</v>
      </c>
      <c r="T1464" s="1" t="str">
        <f t="shared" si="2784"/>
        <v>0</v>
      </c>
      <c r="U1464" s="1" t="str">
        <f t="shared" ref="U1464:U1475" si="2891">"0.0056"</f>
        <v>0.0056</v>
      </c>
    </row>
    <row r="1465" s="1" customFormat="1" spans="1:21">
      <c r="A1465" s="1" t="str">
        <f>"4601992017979"</f>
        <v>4601992017979</v>
      </c>
      <c r="B1465" s="1" t="s">
        <v>1489</v>
      </c>
      <c r="C1465" s="1" t="s">
        <v>24</v>
      </c>
      <c r="D1465" s="1" t="str">
        <f t="shared" si="2781"/>
        <v>2021</v>
      </c>
      <c r="E1465" s="1" t="str">
        <f>"406.29"</f>
        <v>406.29</v>
      </c>
      <c r="F1465" s="1" t="str">
        <f>"39194.96"</f>
        <v>39194.96</v>
      </c>
      <c r="G1465" s="1" t="str">
        <f>"39194.96"</f>
        <v>39194.96</v>
      </c>
      <c r="H1465" s="1" t="str">
        <f t="shared" ref="H1465:P1465" si="2892">"0"</f>
        <v>0</v>
      </c>
      <c r="I1465" s="1" t="str">
        <f t="shared" si="2892"/>
        <v>0</v>
      </c>
      <c r="J1465" s="1" t="str">
        <f>"19"</f>
        <v>19</v>
      </c>
      <c r="K1465" s="1" t="str">
        <f>"1"</f>
        <v>1</v>
      </c>
      <c r="L1465" s="1" t="str">
        <f>"1"</f>
        <v>1</v>
      </c>
      <c r="M1465" s="1" t="str">
        <f t="shared" si="2892"/>
        <v>0</v>
      </c>
      <c r="N1465" s="1" t="str">
        <f t="shared" si="2892"/>
        <v>0</v>
      </c>
      <c r="O1465" s="1" t="str">
        <f t="shared" si="2892"/>
        <v>0</v>
      </c>
      <c r="P1465" s="1" t="str">
        <f t="shared" si="2892"/>
        <v>0</v>
      </c>
      <c r="Q1465" s="1" t="str">
        <f t="shared" si="2783"/>
        <v>0.0070</v>
      </c>
      <c r="R1465" s="1" t="s">
        <v>29</v>
      </c>
      <c r="S1465" s="1">
        <v>-0.0014</v>
      </c>
      <c r="T1465" s="1" t="str">
        <f t="shared" si="2784"/>
        <v>0</v>
      </c>
      <c r="U1465" s="1" t="str">
        <f t="shared" si="2891"/>
        <v>0.0056</v>
      </c>
    </row>
    <row r="1466" s="1" customFormat="1" spans="1:21">
      <c r="A1466" s="1" t="str">
        <f>"4601992018183"</f>
        <v>4601992018183</v>
      </c>
      <c r="B1466" s="1" t="s">
        <v>1490</v>
      </c>
      <c r="C1466" s="1" t="s">
        <v>24</v>
      </c>
      <c r="D1466" s="1" t="str">
        <f t="shared" si="2781"/>
        <v>2021</v>
      </c>
      <c r="E1466" s="1" t="str">
        <f t="shared" ref="E1466:P1466" si="2893">"0"</f>
        <v>0</v>
      </c>
      <c r="F1466" s="1" t="str">
        <f t="shared" si="2893"/>
        <v>0</v>
      </c>
      <c r="G1466" s="1" t="str">
        <f t="shared" si="2893"/>
        <v>0</v>
      </c>
      <c r="H1466" s="1" t="str">
        <f t="shared" si="2893"/>
        <v>0</v>
      </c>
      <c r="I1466" s="1" t="str">
        <f t="shared" si="2893"/>
        <v>0</v>
      </c>
      <c r="J1466" s="1" t="str">
        <f t="shared" si="2893"/>
        <v>0</v>
      </c>
      <c r="K1466" s="1" t="str">
        <f t="shared" si="2893"/>
        <v>0</v>
      </c>
      <c r="L1466" s="1" t="str">
        <f t="shared" si="2893"/>
        <v>0</v>
      </c>
      <c r="M1466" s="1" t="str">
        <f t="shared" si="2893"/>
        <v>0</v>
      </c>
      <c r="N1466" s="1" t="str">
        <f t="shared" si="2893"/>
        <v>0</v>
      </c>
      <c r="O1466" s="1" t="str">
        <f t="shared" si="2893"/>
        <v>0</v>
      </c>
      <c r="P1466" s="1" t="str">
        <f t="shared" si="2893"/>
        <v>0</v>
      </c>
      <c r="Q1466" s="1" t="str">
        <f t="shared" si="2783"/>
        <v>0.0070</v>
      </c>
      <c r="R1466" s="1" t="s">
        <v>25</v>
      </c>
      <c r="T1466" s="1" t="str">
        <f t="shared" si="2784"/>
        <v>0</v>
      </c>
      <c r="U1466" s="1" t="str">
        <f>"0.0070"</f>
        <v>0.0070</v>
      </c>
    </row>
    <row r="1467" s="1" customFormat="1" spans="1:21">
      <c r="A1467" s="1" t="str">
        <f>"4601992018096"</f>
        <v>4601992018096</v>
      </c>
      <c r="B1467" s="1" t="s">
        <v>1491</v>
      </c>
      <c r="C1467" s="1" t="s">
        <v>24</v>
      </c>
      <c r="D1467" s="1" t="str">
        <f t="shared" si="2781"/>
        <v>2021</v>
      </c>
      <c r="E1467" s="1" t="str">
        <f>"12.09"</f>
        <v>12.09</v>
      </c>
      <c r="F1467" s="1" t="str">
        <f t="shared" ref="F1467:I1467" si="2894">"0"</f>
        <v>0</v>
      </c>
      <c r="G1467" s="1" t="str">
        <f t="shared" si="2894"/>
        <v>0</v>
      </c>
      <c r="H1467" s="1" t="str">
        <f t="shared" si="2894"/>
        <v>0</v>
      </c>
      <c r="I1467" s="1" t="str">
        <f t="shared" si="2894"/>
        <v>0</v>
      </c>
      <c r="J1467" s="1" t="str">
        <f>"2"</f>
        <v>2</v>
      </c>
      <c r="K1467" s="1" t="str">
        <f t="shared" ref="K1467:P1467" si="2895">"0"</f>
        <v>0</v>
      </c>
      <c r="L1467" s="1" t="str">
        <f t="shared" si="2895"/>
        <v>0</v>
      </c>
      <c r="M1467" s="1" t="str">
        <f t="shared" si="2895"/>
        <v>0</v>
      </c>
      <c r="N1467" s="1" t="str">
        <f t="shared" si="2895"/>
        <v>0</v>
      </c>
      <c r="O1467" s="1" t="str">
        <f t="shared" si="2895"/>
        <v>0</v>
      </c>
      <c r="P1467" s="1" t="str">
        <f t="shared" si="2895"/>
        <v>0</v>
      </c>
      <c r="Q1467" s="1" t="str">
        <f t="shared" si="2783"/>
        <v>0.0070</v>
      </c>
      <c r="R1467" s="1" t="s">
        <v>29</v>
      </c>
      <c r="S1467" s="1">
        <v>-0.0014</v>
      </c>
      <c r="T1467" s="1" t="str">
        <f t="shared" si="2784"/>
        <v>0</v>
      </c>
      <c r="U1467" s="1" t="str">
        <f t="shared" si="2891"/>
        <v>0.0056</v>
      </c>
    </row>
    <row r="1468" s="1" customFormat="1" spans="1:21">
      <c r="A1468" s="1" t="str">
        <f>"4601992018185"</f>
        <v>4601992018185</v>
      </c>
      <c r="B1468" s="1" t="s">
        <v>1492</v>
      </c>
      <c r="C1468" s="1" t="s">
        <v>24</v>
      </c>
      <c r="D1468" s="1" t="str">
        <f t="shared" si="2781"/>
        <v>2021</v>
      </c>
      <c r="E1468" s="1" t="str">
        <f>"12.09"</f>
        <v>12.09</v>
      </c>
      <c r="F1468" s="1" t="str">
        <f t="shared" ref="F1468:I1468" si="2896">"0"</f>
        <v>0</v>
      </c>
      <c r="G1468" s="1" t="str">
        <f t="shared" si="2896"/>
        <v>0</v>
      </c>
      <c r="H1468" s="1" t="str">
        <f t="shared" si="2896"/>
        <v>0</v>
      </c>
      <c r="I1468" s="1" t="str">
        <f t="shared" si="2896"/>
        <v>0</v>
      </c>
      <c r="J1468" s="1" t="str">
        <f>"1"</f>
        <v>1</v>
      </c>
      <c r="K1468" s="1" t="str">
        <f t="shared" ref="K1468:P1468" si="2897">"0"</f>
        <v>0</v>
      </c>
      <c r="L1468" s="1" t="str">
        <f t="shared" si="2897"/>
        <v>0</v>
      </c>
      <c r="M1468" s="1" t="str">
        <f t="shared" si="2897"/>
        <v>0</v>
      </c>
      <c r="N1468" s="1" t="str">
        <f t="shared" si="2897"/>
        <v>0</v>
      </c>
      <c r="O1468" s="1" t="str">
        <f t="shared" si="2897"/>
        <v>0</v>
      </c>
      <c r="P1468" s="1" t="str">
        <f t="shared" si="2897"/>
        <v>0</v>
      </c>
      <c r="Q1468" s="1" t="str">
        <f t="shared" si="2783"/>
        <v>0.0070</v>
      </c>
      <c r="R1468" s="1" t="s">
        <v>29</v>
      </c>
      <c r="S1468" s="1">
        <v>-0.0014</v>
      </c>
      <c r="T1468" s="1" t="str">
        <f t="shared" si="2784"/>
        <v>0</v>
      </c>
      <c r="U1468" s="1" t="str">
        <f t="shared" si="2891"/>
        <v>0.0056</v>
      </c>
    </row>
    <row r="1469" s="1" customFormat="1" spans="1:21">
      <c r="A1469" s="1" t="str">
        <f>"4601992018085"</f>
        <v>4601992018085</v>
      </c>
      <c r="B1469" s="1" t="s">
        <v>1493</v>
      </c>
      <c r="C1469" s="1" t="s">
        <v>24</v>
      </c>
      <c r="D1469" s="1" t="str">
        <f t="shared" si="2781"/>
        <v>2021</v>
      </c>
      <c r="E1469" s="1" t="str">
        <f>"48.36"</f>
        <v>48.36</v>
      </c>
      <c r="F1469" s="1" t="str">
        <f t="shared" ref="F1469:I1469" si="2898">"0"</f>
        <v>0</v>
      </c>
      <c r="G1469" s="1" t="str">
        <f t="shared" si="2898"/>
        <v>0</v>
      </c>
      <c r="H1469" s="1" t="str">
        <f t="shared" si="2898"/>
        <v>0</v>
      </c>
      <c r="I1469" s="1" t="str">
        <f t="shared" si="2898"/>
        <v>0</v>
      </c>
      <c r="J1469" s="1" t="str">
        <f>"3"</f>
        <v>3</v>
      </c>
      <c r="K1469" s="1" t="str">
        <f t="shared" ref="K1469:P1469" si="2899">"0"</f>
        <v>0</v>
      </c>
      <c r="L1469" s="1" t="str">
        <f t="shared" si="2899"/>
        <v>0</v>
      </c>
      <c r="M1469" s="1" t="str">
        <f t="shared" si="2899"/>
        <v>0</v>
      </c>
      <c r="N1469" s="1" t="str">
        <f t="shared" si="2899"/>
        <v>0</v>
      </c>
      <c r="O1469" s="1" t="str">
        <f t="shared" si="2899"/>
        <v>0</v>
      </c>
      <c r="P1469" s="1" t="str">
        <f t="shared" si="2899"/>
        <v>0</v>
      </c>
      <c r="Q1469" s="1" t="str">
        <f t="shared" si="2783"/>
        <v>0.0070</v>
      </c>
      <c r="R1469" s="1" t="s">
        <v>29</v>
      </c>
      <c r="S1469" s="1">
        <v>-0.0014</v>
      </c>
      <c r="T1469" s="1" t="str">
        <f t="shared" si="2784"/>
        <v>0</v>
      </c>
      <c r="U1469" s="1" t="str">
        <f t="shared" si="2891"/>
        <v>0.0056</v>
      </c>
    </row>
    <row r="1470" s="1" customFormat="1" spans="1:21">
      <c r="A1470" s="1" t="str">
        <f>"4601992018197"</f>
        <v>4601992018197</v>
      </c>
      <c r="B1470" s="1" t="s">
        <v>1494</v>
      </c>
      <c r="C1470" s="1" t="s">
        <v>24</v>
      </c>
      <c r="D1470" s="1" t="str">
        <f t="shared" si="2781"/>
        <v>2021</v>
      </c>
      <c r="E1470" s="1" t="str">
        <f>"48.25"</f>
        <v>48.25</v>
      </c>
      <c r="F1470" s="1" t="str">
        <f t="shared" ref="F1470:I1470" si="2900">"0"</f>
        <v>0</v>
      </c>
      <c r="G1470" s="1" t="str">
        <f t="shared" si="2900"/>
        <v>0</v>
      </c>
      <c r="H1470" s="1" t="str">
        <f t="shared" si="2900"/>
        <v>0</v>
      </c>
      <c r="I1470" s="1" t="str">
        <f t="shared" si="2900"/>
        <v>0</v>
      </c>
      <c r="J1470" s="1" t="str">
        <f>"4"</f>
        <v>4</v>
      </c>
      <c r="K1470" s="1" t="str">
        <f t="shared" ref="K1470:P1470" si="2901">"0"</f>
        <v>0</v>
      </c>
      <c r="L1470" s="1" t="str">
        <f t="shared" si="2901"/>
        <v>0</v>
      </c>
      <c r="M1470" s="1" t="str">
        <f t="shared" si="2901"/>
        <v>0</v>
      </c>
      <c r="N1470" s="1" t="str">
        <f t="shared" si="2901"/>
        <v>0</v>
      </c>
      <c r="O1470" s="1" t="str">
        <f t="shared" si="2901"/>
        <v>0</v>
      </c>
      <c r="P1470" s="1" t="str">
        <f t="shared" si="2901"/>
        <v>0</v>
      </c>
      <c r="Q1470" s="1" t="str">
        <f t="shared" si="2783"/>
        <v>0.0070</v>
      </c>
      <c r="R1470" s="1" t="s">
        <v>29</v>
      </c>
      <c r="S1470" s="1">
        <v>-0.0014</v>
      </c>
      <c r="T1470" s="1" t="str">
        <f t="shared" si="2784"/>
        <v>0</v>
      </c>
      <c r="U1470" s="1" t="str">
        <f t="shared" si="2891"/>
        <v>0.0056</v>
      </c>
    </row>
    <row r="1471" s="1" customFormat="1" spans="1:21">
      <c r="A1471" s="1" t="str">
        <f>"4601992018201"</f>
        <v>4601992018201</v>
      </c>
      <c r="B1471" s="1" t="s">
        <v>1495</v>
      </c>
      <c r="C1471" s="1" t="s">
        <v>24</v>
      </c>
      <c r="D1471" s="1" t="str">
        <f t="shared" si="2781"/>
        <v>2021</v>
      </c>
      <c r="E1471" s="1" t="str">
        <f>"24.18"</f>
        <v>24.18</v>
      </c>
      <c r="F1471" s="1" t="str">
        <f t="shared" ref="F1471:I1471" si="2902">"0"</f>
        <v>0</v>
      </c>
      <c r="G1471" s="1" t="str">
        <f t="shared" si="2902"/>
        <v>0</v>
      </c>
      <c r="H1471" s="1" t="str">
        <f t="shared" si="2902"/>
        <v>0</v>
      </c>
      <c r="I1471" s="1" t="str">
        <f t="shared" si="2902"/>
        <v>0</v>
      </c>
      <c r="J1471" s="1" t="str">
        <f>"3"</f>
        <v>3</v>
      </c>
      <c r="K1471" s="1" t="str">
        <f t="shared" ref="K1471:P1471" si="2903">"0"</f>
        <v>0</v>
      </c>
      <c r="L1471" s="1" t="str">
        <f t="shared" si="2903"/>
        <v>0</v>
      </c>
      <c r="M1471" s="1" t="str">
        <f t="shared" si="2903"/>
        <v>0</v>
      </c>
      <c r="N1471" s="1" t="str">
        <f t="shared" si="2903"/>
        <v>0</v>
      </c>
      <c r="O1471" s="1" t="str">
        <f t="shared" si="2903"/>
        <v>0</v>
      </c>
      <c r="P1471" s="1" t="str">
        <f t="shared" si="2903"/>
        <v>0</v>
      </c>
      <c r="Q1471" s="1" t="str">
        <f t="shared" si="2783"/>
        <v>0.0070</v>
      </c>
      <c r="R1471" s="1" t="s">
        <v>29</v>
      </c>
      <c r="S1471" s="1">
        <v>-0.0014</v>
      </c>
      <c r="T1471" s="1" t="str">
        <f t="shared" si="2784"/>
        <v>0</v>
      </c>
      <c r="U1471" s="1" t="str">
        <f t="shared" si="2891"/>
        <v>0.0056</v>
      </c>
    </row>
    <row r="1472" s="1" customFormat="1" spans="1:21">
      <c r="A1472" s="1" t="str">
        <f>"4601992018210"</f>
        <v>4601992018210</v>
      </c>
      <c r="B1472" s="1" t="s">
        <v>1496</v>
      </c>
      <c r="C1472" s="1" t="s">
        <v>24</v>
      </c>
      <c r="D1472" s="1" t="str">
        <f t="shared" si="2781"/>
        <v>2021</v>
      </c>
      <c r="E1472" s="1" t="str">
        <f>"24.18"</f>
        <v>24.18</v>
      </c>
      <c r="F1472" s="1" t="str">
        <f t="shared" ref="F1472:I1472" si="2904">"0"</f>
        <v>0</v>
      </c>
      <c r="G1472" s="1" t="str">
        <f t="shared" si="2904"/>
        <v>0</v>
      </c>
      <c r="H1472" s="1" t="str">
        <f t="shared" si="2904"/>
        <v>0</v>
      </c>
      <c r="I1472" s="1" t="str">
        <f t="shared" si="2904"/>
        <v>0</v>
      </c>
      <c r="J1472" s="1" t="str">
        <f>"1"</f>
        <v>1</v>
      </c>
      <c r="K1472" s="1" t="str">
        <f t="shared" ref="K1472:P1472" si="2905">"0"</f>
        <v>0</v>
      </c>
      <c r="L1472" s="1" t="str">
        <f t="shared" si="2905"/>
        <v>0</v>
      </c>
      <c r="M1472" s="1" t="str">
        <f t="shared" si="2905"/>
        <v>0</v>
      </c>
      <c r="N1472" s="1" t="str">
        <f t="shared" si="2905"/>
        <v>0</v>
      </c>
      <c r="O1472" s="1" t="str">
        <f t="shared" si="2905"/>
        <v>0</v>
      </c>
      <c r="P1472" s="1" t="str">
        <f t="shared" si="2905"/>
        <v>0</v>
      </c>
      <c r="Q1472" s="1" t="str">
        <f t="shared" si="2783"/>
        <v>0.0070</v>
      </c>
      <c r="R1472" s="1" t="s">
        <v>29</v>
      </c>
      <c r="S1472" s="1">
        <v>-0.0014</v>
      </c>
      <c r="T1472" s="1" t="str">
        <f t="shared" si="2784"/>
        <v>0</v>
      </c>
      <c r="U1472" s="1" t="str">
        <f t="shared" si="2891"/>
        <v>0.0056</v>
      </c>
    </row>
    <row r="1473" s="1" customFormat="1" spans="1:21">
      <c r="A1473" s="1" t="str">
        <f>"4601992018214"</f>
        <v>4601992018214</v>
      </c>
      <c r="B1473" s="1" t="s">
        <v>1497</v>
      </c>
      <c r="C1473" s="1" t="s">
        <v>24</v>
      </c>
      <c r="D1473" s="1" t="str">
        <f t="shared" si="2781"/>
        <v>2021</v>
      </c>
      <c r="E1473" s="1" t="str">
        <f>"96.72"</f>
        <v>96.72</v>
      </c>
      <c r="F1473" s="1" t="str">
        <f t="shared" ref="F1473:I1473" si="2906">"0"</f>
        <v>0</v>
      </c>
      <c r="G1473" s="1" t="str">
        <f t="shared" si="2906"/>
        <v>0</v>
      </c>
      <c r="H1473" s="1" t="str">
        <f t="shared" si="2906"/>
        <v>0</v>
      </c>
      <c r="I1473" s="1" t="str">
        <f t="shared" si="2906"/>
        <v>0</v>
      </c>
      <c r="J1473" s="1" t="str">
        <f>"8"</f>
        <v>8</v>
      </c>
      <c r="K1473" s="1" t="str">
        <f t="shared" ref="K1473:P1473" si="2907">"0"</f>
        <v>0</v>
      </c>
      <c r="L1473" s="1" t="str">
        <f t="shared" si="2907"/>
        <v>0</v>
      </c>
      <c r="M1473" s="1" t="str">
        <f t="shared" si="2907"/>
        <v>0</v>
      </c>
      <c r="N1473" s="1" t="str">
        <f t="shared" si="2907"/>
        <v>0</v>
      </c>
      <c r="O1473" s="1" t="str">
        <f t="shared" si="2907"/>
        <v>0</v>
      </c>
      <c r="P1473" s="1" t="str">
        <f t="shared" si="2907"/>
        <v>0</v>
      </c>
      <c r="Q1473" s="1" t="str">
        <f t="shared" si="2783"/>
        <v>0.0070</v>
      </c>
      <c r="R1473" s="1" t="s">
        <v>29</v>
      </c>
      <c r="S1473" s="1">
        <v>-0.0014</v>
      </c>
      <c r="T1473" s="1" t="str">
        <f t="shared" si="2784"/>
        <v>0</v>
      </c>
      <c r="U1473" s="1" t="str">
        <f t="shared" si="2891"/>
        <v>0.0056</v>
      </c>
    </row>
    <row r="1474" s="1" customFormat="1" spans="1:21">
      <c r="A1474" s="1" t="str">
        <f>"4601992018414"</f>
        <v>4601992018414</v>
      </c>
      <c r="B1474" s="1" t="s">
        <v>1498</v>
      </c>
      <c r="C1474" s="1" t="s">
        <v>24</v>
      </c>
      <c r="D1474" s="1" t="str">
        <f t="shared" si="2781"/>
        <v>2021</v>
      </c>
      <c r="E1474" s="1" t="str">
        <f>"64.16"</f>
        <v>64.16</v>
      </c>
      <c r="F1474" s="1" t="str">
        <f t="shared" ref="F1474:I1474" si="2908">"0"</f>
        <v>0</v>
      </c>
      <c r="G1474" s="1" t="str">
        <f t="shared" si="2908"/>
        <v>0</v>
      </c>
      <c r="H1474" s="1" t="str">
        <f t="shared" si="2908"/>
        <v>0</v>
      </c>
      <c r="I1474" s="1" t="str">
        <f t="shared" si="2908"/>
        <v>0</v>
      </c>
      <c r="J1474" s="1" t="str">
        <f>"6"</f>
        <v>6</v>
      </c>
      <c r="K1474" s="1" t="str">
        <f t="shared" ref="K1474:P1474" si="2909">"0"</f>
        <v>0</v>
      </c>
      <c r="L1474" s="1" t="str">
        <f t="shared" si="2909"/>
        <v>0</v>
      </c>
      <c r="M1474" s="1" t="str">
        <f t="shared" si="2909"/>
        <v>0</v>
      </c>
      <c r="N1474" s="1" t="str">
        <f t="shared" si="2909"/>
        <v>0</v>
      </c>
      <c r="O1474" s="1" t="str">
        <f t="shared" si="2909"/>
        <v>0</v>
      </c>
      <c r="P1474" s="1" t="str">
        <f t="shared" si="2909"/>
        <v>0</v>
      </c>
      <c r="Q1474" s="1" t="str">
        <f t="shared" si="2783"/>
        <v>0.0070</v>
      </c>
      <c r="R1474" s="1" t="s">
        <v>29</v>
      </c>
      <c r="S1474" s="1">
        <v>-0.0014</v>
      </c>
      <c r="T1474" s="1" t="str">
        <f t="shared" si="2784"/>
        <v>0</v>
      </c>
      <c r="U1474" s="1" t="str">
        <f t="shared" si="2891"/>
        <v>0.0056</v>
      </c>
    </row>
    <row r="1475" s="1" customFormat="1" spans="1:21">
      <c r="A1475" s="1" t="str">
        <f>"4601992018452"</f>
        <v>4601992018452</v>
      </c>
      <c r="B1475" s="1" t="s">
        <v>1499</v>
      </c>
      <c r="C1475" s="1" t="s">
        <v>24</v>
      </c>
      <c r="D1475" s="1" t="str">
        <f t="shared" ref="D1475:D1538" si="2910">"2021"</f>
        <v>2021</v>
      </c>
      <c r="E1475" s="1" t="str">
        <f>"72.54"</f>
        <v>72.54</v>
      </c>
      <c r="F1475" s="1" t="str">
        <f t="shared" ref="F1475:I1475" si="2911">"0"</f>
        <v>0</v>
      </c>
      <c r="G1475" s="1" t="str">
        <f t="shared" si="2911"/>
        <v>0</v>
      </c>
      <c r="H1475" s="1" t="str">
        <f t="shared" si="2911"/>
        <v>0</v>
      </c>
      <c r="I1475" s="1" t="str">
        <f t="shared" si="2911"/>
        <v>0</v>
      </c>
      <c r="J1475" s="1" t="str">
        <f>"7"</f>
        <v>7</v>
      </c>
      <c r="K1475" s="1" t="str">
        <f t="shared" ref="K1475:P1475" si="2912">"0"</f>
        <v>0</v>
      </c>
      <c r="L1475" s="1" t="str">
        <f t="shared" si="2912"/>
        <v>0</v>
      </c>
      <c r="M1475" s="1" t="str">
        <f t="shared" si="2912"/>
        <v>0</v>
      </c>
      <c r="N1475" s="1" t="str">
        <f t="shared" si="2912"/>
        <v>0</v>
      </c>
      <c r="O1475" s="1" t="str">
        <f t="shared" si="2912"/>
        <v>0</v>
      </c>
      <c r="P1475" s="1" t="str">
        <f t="shared" si="2912"/>
        <v>0</v>
      </c>
      <c r="Q1475" s="1" t="str">
        <f t="shared" ref="Q1475:Q1538" si="2913">"0.0070"</f>
        <v>0.0070</v>
      </c>
      <c r="R1475" s="1" t="s">
        <v>29</v>
      </c>
      <c r="S1475" s="1">
        <v>-0.0014</v>
      </c>
      <c r="T1475" s="1" t="str">
        <f t="shared" ref="T1475:T1538" si="2914">"0"</f>
        <v>0</v>
      </c>
      <c r="U1475" s="1" t="str">
        <f t="shared" si="2891"/>
        <v>0.0056</v>
      </c>
    </row>
    <row r="1476" s="1" customFormat="1" spans="1:21">
      <c r="A1476" s="1" t="str">
        <f>"4601992018474"</f>
        <v>4601992018474</v>
      </c>
      <c r="B1476" s="1" t="s">
        <v>1500</v>
      </c>
      <c r="C1476" s="1" t="s">
        <v>24</v>
      </c>
      <c r="D1476" s="1" t="str">
        <f t="shared" si="2910"/>
        <v>2021</v>
      </c>
      <c r="E1476" s="1" t="str">
        <f>"35.94"</f>
        <v>35.94</v>
      </c>
      <c r="F1476" s="1" t="str">
        <f t="shared" ref="F1476:I1476" si="2915">"0"</f>
        <v>0</v>
      </c>
      <c r="G1476" s="1" t="str">
        <f t="shared" si="2915"/>
        <v>0</v>
      </c>
      <c r="H1476" s="1" t="str">
        <f t="shared" si="2915"/>
        <v>0</v>
      </c>
      <c r="I1476" s="1" t="str">
        <f t="shared" si="2915"/>
        <v>0</v>
      </c>
      <c r="J1476" s="1" t="str">
        <f>"2"</f>
        <v>2</v>
      </c>
      <c r="K1476" s="1" t="str">
        <f t="shared" ref="K1476:P1476" si="2916">"0"</f>
        <v>0</v>
      </c>
      <c r="L1476" s="1" t="str">
        <f t="shared" si="2916"/>
        <v>0</v>
      </c>
      <c r="M1476" s="1" t="str">
        <f t="shared" si="2916"/>
        <v>0</v>
      </c>
      <c r="N1476" s="1" t="str">
        <f t="shared" si="2916"/>
        <v>0</v>
      </c>
      <c r="O1476" s="1" t="str">
        <f t="shared" si="2916"/>
        <v>0</v>
      </c>
      <c r="P1476" s="1" t="str">
        <f t="shared" si="2916"/>
        <v>0</v>
      </c>
      <c r="Q1476" s="1" t="str">
        <f t="shared" si="2913"/>
        <v>0.0070</v>
      </c>
      <c r="R1476" s="1" t="s">
        <v>25</v>
      </c>
      <c r="T1476" s="1" t="str">
        <f t="shared" si="2914"/>
        <v>0</v>
      </c>
      <c r="U1476" s="1" t="str">
        <f>"0.0070"</f>
        <v>0.0070</v>
      </c>
    </row>
    <row r="1477" s="1" customFormat="1" spans="1:21">
      <c r="A1477" s="1" t="str">
        <f>"4601992018471"</f>
        <v>4601992018471</v>
      </c>
      <c r="B1477" s="1" t="s">
        <v>1501</v>
      </c>
      <c r="C1477" s="1" t="s">
        <v>24</v>
      </c>
      <c r="D1477" s="1" t="str">
        <f t="shared" si="2910"/>
        <v>2021</v>
      </c>
      <c r="E1477" s="1" t="str">
        <f>"12.25"</f>
        <v>12.25</v>
      </c>
      <c r="F1477" s="1" t="str">
        <f t="shared" ref="F1477:I1477" si="2917">"0"</f>
        <v>0</v>
      </c>
      <c r="G1477" s="1" t="str">
        <f t="shared" si="2917"/>
        <v>0</v>
      </c>
      <c r="H1477" s="1" t="str">
        <f t="shared" si="2917"/>
        <v>0</v>
      </c>
      <c r="I1477" s="1" t="str">
        <f t="shared" si="2917"/>
        <v>0</v>
      </c>
      <c r="J1477" s="1" t="str">
        <f>"1"</f>
        <v>1</v>
      </c>
      <c r="K1477" s="1" t="str">
        <f t="shared" ref="K1477:P1477" si="2918">"0"</f>
        <v>0</v>
      </c>
      <c r="L1477" s="1" t="str">
        <f t="shared" si="2918"/>
        <v>0</v>
      </c>
      <c r="M1477" s="1" t="str">
        <f t="shared" si="2918"/>
        <v>0</v>
      </c>
      <c r="N1477" s="1" t="str">
        <f t="shared" si="2918"/>
        <v>0</v>
      </c>
      <c r="O1477" s="1" t="str">
        <f t="shared" si="2918"/>
        <v>0</v>
      </c>
      <c r="P1477" s="1" t="str">
        <f t="shared" si="2918"/>
        <v>0</v>
      </c>
      <c r="Q1477" s="1" t="str">
        <f t="shared" si="2913"/>
        <v>0.0070</v>
      </c>
      <c r="R1477" s="1" t="s">
        <v>29</v>
      </c>
      <c r="S1477" s="1">
        <v>-0.0014</v>
      </c>
      <c r="T1477" s="1" t="str">
        <f t="shared" si="2914"/>
        <v>0</v>
      </c>
      <c r="U1477" s="1" t="str">
        <f t="shared" ref="U1477:U1483" si="2919">"0.0056"</f>
        <v>0.0056</v>
      </c>
    </row>
    <row r="1478" s="1" customFormat="1" spans="1:21">
      <c r="A1478" s="1" t="str">
        <f>"4601992018557"</f>
        <v>4601992018557</v>
      </c>
      <c r="B1478" s="1" t="s">
        <v>1502</v>
      </c>
      <c r="C1478" s="1" t="s">
        <v>24</v>
      </c>
      <c r="D1478" s="1" t="str">
        <f t="shared" si="2910"/>
        <v>2021</v>
      </c>
      <c r="E1478" s="1" t="str">
        <f>"87.18"</f>
        <v>87.18</v>
      </c>
      <c r="F1478" s="1" t="str">
        <f t="shared" ref="F1478:I1478" si="2920">"0"</f>
        <v>0</v>
      </c>
      <c r="G1478" s="1" t="str">
        <f t="shared" si="2920"/>
        <v>0</v>
      </c>
      <c r="H1478" s="1" t="str">
        <f t="shared" si="2920"/>
        <v>0</v>
      </c>
      <c r="I1478" s="1" t="str">
        <f t="shared" si="2920"/>
        <v>0</v>
      </c>
      <c r="J1478" s="1" t="str">
        <f>"8"</f>
        <v>8</v>
      </c>
      <c r="K1478" s="1" t="str">
        <f t="shared" ref="K1478:P1478" si="2921">"0"</f>
        <v>0</v>
      </c>
      <c r="L1478" s="1" t="str">
        <f t="shared" si="2921"/>
        <v>0</v>
      </c>
      <c r="M1478" s="1" t="str">
        <f t="shared" si="2921"/>
        <v>0</v>
      </c>
      <c r="N1478" s="1" t="str">
        <f t="shared" si="2921"/>
        <v>0</v>
      </c>
      <c r="O1478" s="1" t="str">
        <f t="shared" si="2921"/>
        <v>0</v>
      </c>
      <c r="P1478" s="1" t="str">
        <f t="shared" si="2921"/>
        <v>0</v>
      </c>
      <c r="Q1478" s="1" t="str">
        <f t="shared" si="2913"/>
        <v>0.0070</v>
      </c>
      <c r="R1478" s="1" t="s">
        <v>29</v>
      </c>
      <c r="S1478" s="1">
        <v>-0.0014</v>
      </c>
      <c r="T1478" s="1" t="str">
        <f t="shared" si="2914"/>
        <v>0</v>
      </c>
      <c r="U1478" s="1" t="str">
        <f t="shared" si="2919"/>
        <v>0.0056</v>
      </c>
    </row>
    <row r="1479" s="1" customFormat="1" spans="1:21">
      <c r="A1479" s="1" t="str">
        <f>"4601992018544"</f>
        <v>4601992018544</v>
      </c>
      <c r="B1479" s="1" t="s">
        <v>1503</v>
      </c>
      <c r="C1479" s="1" t="s">
        <v>24</v>
      </c>
      <c r="D1479" s="1" t="str">
        <f t="shared" si="2910"/>
        <v>2021</v>
      </c>
      <c r="E1479" s="1" t="str">
        <f>"24.18"</f>
        <v>24.18</v>
      </c>
      <c r="F1479" s="1" t="str">
        <f t="shared" ref="F1479:I1479" si="2922">"0"</f>
        <v>0</v>
      </c>
      <c r="G1479" s="1" t="str">
        <f t="shared" si="2922"/>
        <v>0</v>
      </c>
      <c r="H1479" s="1" t="str">
        <f t="shared" si="2922"/>
        <v>0</v>
      </c>
      <c r="I1479" s="1" t="str">
        <f t="shared" si="2922"/>
        <v>0</v>
      </c>
      <c r="J1479" s="1" t="str">
        <f>"2"</f>
        <v>2</v>
      </c>
      <c r="K1479" s="1" t="str">
        <f t="shared" ref="K1479:P1479" si="2923">"0"</f>
        <v>0</v>
      </c>
      <c r="L1479" s="1" t="str">
        <f t="shared" si="2923"/>
        <v>0</v>
      </c>
      <c r="M1479" s="1" t="str">
        <f t="shared" si="2923"/>
        <v>0</v>
      </c>
      <c r="N1479" s="1" t="str">
        <f t="shared" si="2923"/>
        <v>0</v>
      </c>
      <c r="O1479" s="1" t="str">
        <f t="shared" si="2923"/>
        <v>0</v>
      </c>
      <c r="P1479" s="1" t="str">
        <f t="shared" si="2923"/>
        <v>0</v>
      </c>
      <c r="Q1479" s="1" t="str">
        <f t="shared" si="2913"/>
        <v>0.0070</v>
      </c>
      <c r="R1479" s="1" t="s">
        <v>29</v>
      </c>
      <c r="S1479" s="1">
        <v>-0.0014</v>
      </c>
      <c r="T1479" s="1" t="str">
        <f t="shared" si="2914"/>
        <v>0</v>
      </c>
      <c r="U1479" s="1" t="str">
        <f t="shared" si="2919"/>
        <v>0.0056</v>
      </c>
    </row>
    <row r="1480" s="1" customFormat="1" spans="1:21">
      <c r="A1480" s="1" t="str">
        <f>"4601992018598"</f>
        <v>4601992018598</v>
      </c>
      <c r="B1480" s="1" t="s">
        <v>1504</v>
      </c>
      <c r="C1480" s="1" t="s">
        <v>24</v>
      </c>
      <c r="D1480" s="1" t="str">
        <f t="shared" si="2910"/>
        <v>2021</v>
      </c>
      <c r="E1480" s="1" t="str">
        <f>"96.61"</f>
        <v>96.61</v>
      </c>
      <c r="F1480" s="1" t="str">
        <f t="shared" ref="F1480:I1480" si="2924">"0"</f>
        <v>0</v>
      </c>
      <c r="G1480" s="1" t="str">
        <f t="shared" si="2924"/>
        <v>0</v>
      </c>
      <c r="H1480" s="1" t="str">
        <f t="shared" si="2924"/>
        <v>0</v>
      </c>
      <c r="I1480" s="1" t="str">
        <f t="shared" si="2924"/>
        <v>0</v>
      </c>
      <c r="J1480" s="1" t="str">
        <f>"8"</f>
        <v>8</v>
      </c>
      <c r="K1480" s="1" t="str">
        <f t="shared" ref="K1480:P1480" si="2925">"0"</f>
        <v>0</v>
      </c>
      <c r="L1480" s="1" t="str">
        <f t="shared" si="2925"/>
        <v>0</v>
      </c>
      <c r="M1480" s="1" t="str">
        <f t="shared" si="2925"/>
        <v>0</v>
      </c>
      <c r="N1480" s="1" t="str">
        <f t="shared" si="2925"/>
        <v>0</v>
      </c>
      <c r="O1480" s="1" t="str">
        <f t="shared" si="2925"/>
        <v>0</v>
      </c>
      <c r="P1480" s="1" t="str">
        <f t="shared" si="2925"/>
        <v>0</v>
      </c>
      <c r="Q1480" s="1" t="str">
        <f t="shared" si="2913"/>
        <v>0.0070</v>
      </c>
      <c r="R1480" s="1" t="s">
        <v>29</v>
      </c>
      <c r="S1480" s="1">
        <v>-0.0014</v>
      </c>
      <c r="T1480" s="1" t="str">
        <f t="shared" si="2914"/>
        <v>0</v>
      </c>
      <c r="U1480" s="1" t="str">
        <f t="shared" si="2919"/>
        <v>0.0056</v>
      </c>
    </row>
    <row r="1481" s="1" customFormat="1" spans="1:21">
      <c r="A1481" s="1" t="str">
        <f>"4601992018638"</f>
        <v>4601992018638</v>
      </c>
      <c r="B1481" s="1" t="s">
        <v>1505</v>
      </c>
      <c r="C1481" s="1" t="s">
        <v>24</v>
      </c>
      <c r="D1481" s="1" t="str">
        <f t="shared" si="2910"/>
        <v>2021</v>
      </c>
      <c r="E1481" s="1" t="str">
        <f t="shared" ref="E1481:E1485" si="2926">"12.09"</f>
        <v>12.09</v>
      </c>
      <c r="F1481" s="1" t="str">
        <f t="shared" ref="F1481:I1481" si="2927">"0"</f>
        <v>0</v>
      </c>
      <c r="G1481" s="1" t="str">
        <f t="shared" si="2927"/>
        <v>0</v>
      </c>
      <c r="H1481" s="1" t="str">
        <f t="shared" si="2927"/>
        <v>0</v>
      </c>
      <c r="I1481" s="1" t="str">
        <f t="shared" si="2927"/>
        <v>0</v>
      </c>
      <c r="J1481" s="1" t="str">
        <f t="shared" ref="J1481:J1485" si="2928">"1"</f>
        <v>1</v>
      </c>
      <c r="K1481" s="1" t="str">
        <f t="shared" ref="K1481:P1481" si="2929">"0"</f>
        <v>0</v>
      </c>
      <c r="L1481" s="1" t="str">
        <f t="shared" si="2929"/>
        <v>0</v>
      </c>
      <c r="M1481" s="1" t="str">
        <f t="shared" si="2929"/>
        <v>0</v>
      </c>
      <c r="N1481" s="1" t="str">
        <f t="shared" si="2929"/>
        <v>0</v>
      </c>
      <c r="O1481" s="1" t="str">
        <f t="shared" si="2929"/>
        <v>0</v>
      </c>
      <c r="P1481" s="1" t="str">
        <f t="shared" si="2929"/>
        <v>0</v>
      </c>
      <c r="Q1481" s="1" t="str">
        <f t="shared" si="2913"/>
        <v>0.0070</v>
      </c>
      <c r="R1481" s="1" t="s">
        <v>29</v>
      </c>
      <c r="S1481" s="1">
        <v>-0.0014</v>
      </c>
      <c r="T1481" s="1" t="str">
        <f t="shared" si="2914"/>
        <v>0</v>
      </c>
      <c r="U1481" s="1" t="str">
        <f t="shared" si="2919"/>
        <v>0.0056</v>
      </c>
    </row>
    <row r="1482" s="1" customFormat="1" spans="1:21">
      <c r="A1482" s="1" t="str">
        <f>"4601992018594"</f>
        <v>4601992018594</v>
      </c>
      <c r="B1482" s="1" t="s">
        <v>1506</v>
      </c>
      <c r="C1482" s="1" t="s">
        <v>24</v>
      </c>
      <c r="D1482" s="1" t="str">
        <f t="shared" si="2910"/>
        <v>2021</v>
      </c>
      <c r="E1482" s="1" t="str">
        <f>"145.08"</f>
        <v>145.08</v>
      </c>
      <c r="F1482" s="1" t="str">
        <f t="shared" ref="F1482:I1482" si="2930">"0"</f>
        <v>0</v>
      </c>
      <c r="G1482" s="1" t="str">
        <f t="shared" si="2930"/>
        <v>0</v>
      </c>
      <c r="H1482" s="1" t="str">
        <f t="shared" si="2930"/>
        <v>0</v>
      </c>
      <c r="I1482" s="1" t="str">
        <f t="shared" si="2930"/>
        <v>0</v>
      </c>
      <c r="J1482" s="1" t="str">
        <f>"11"</f>
        <v>11</v>
      </c>
      <c r="K1482" s="1" t="str">
        <f t="shared" ref="K1482:P1482" si="2931">"0"</f>
        <v>0</v>
      </c>
      <c r="L1482" s="1" t="str">
        <f t="shared" si="2931"/>
        <v>0</v>
      </c>
      <c r="M1482" s="1" t="str">
        <f t="shared" si="2931"/>
        <v>0</v>
      </c>
      <c r="N1482" s="1" t="str">
        <f t="shared" si="2931"/>
        <v>0</v>
      </c>
      <c r="O1482" s="1" t="str">
        <f t="shared" si="2931"/>
        <v>0</v>
      </c>
      <c r="P1482" s="1" t="str">
        <f t="shared" si="2931"/>
        <v>0</v>
      </c>
      <c r="Q1482" s="1" t="str">
        <f t="shared" si="2913"/>
        <v>0.0070</v>
      </c>
      <c r="R1482" s="1" t="s">
        <v>29</v>
      </c>
      <c r="S1482" s="1">
        <v>-0.0014</v>
      </c>
      <c r="T1482" s="1" t="str">
        <f t="shared" si="2914"/>
        <v>0</v>
      </c>
      <c r="U1482" s="1" t="str">
        <f t="shared" si="2919"/>
        <v>0.0056</v>
      </c>
    </row>
    <row r="1483" s="1" customFormat="1" spans="1:21">
      <c r="A1483" s="1" t="str">
        <f>"4601992018575"</f>
        <v>4601992018575</v>
      </c>
      <c r="B1483" s="1" t="s">
        <v>1507</v>
      </c>
      <c r="C1483" s="1" t="s">
        <v>24</v>
      </c>
      <c r="D1483" s="1" t="str">
        <f t="shared" si="2910"/>
        <v>2021</v>
      </c>
      <c r="E1483" s="1" t="str">
        <f>"36.27"</f>
        <v>36.27</v>
      </c>
      <c r="F1483" s="1" t="str">
        <f t="shared" ref="F1483:I1483" si="2932">"0"</f>
        <v>0</v>
      </c>
      <c r="G1483" s="1" t="str">
        <f t="shared" si="2932"/>
        <v>0</v>
      </c>
      <c r="H1483" s="1" t="str">
        <f t="shared" si="2932"/>
        <v>0</v>
      </c>
      <c r="I1483" s="1" t="str">
        <f t="shared" si="2932"/>
        <v>0</v>
      </c>
      <c r="J1483" s="1" t="str">
        <f>"3"</f>
        <v>3</v>
      </c>
      <c r="K1483" s="1" t="str">
        <f t="shared" ref="K1483:P1483" si="2933">"0"</f>
        <v>0</v>
      </c>
      <c r="L1483" s="1" t="str">
        <f t="shared" si="2933"/>
        <v>0</v>
      </c>
      <c r="M1483" s="1" t="str">
        <f t="shared" si="2933"/>
        <v>0</v>
      </c>
      <c r="N1483" s="1" t="str">
        <f t="shared" si="2933"/>
        <v>0</v>
      </c>
      <c r="O1483" s="1" t="str">
        <f t="shared" si="2933"/>
        <v>0</v>
      </c>
      <c r="P1483" s="1" t="str">
        <f t="shared" si="2933"/>
        <v>0</v>
      </c>
      <c r="Q1483" s="1" t="str">
        <f t="shared" si="2913"/>
        <v>0.0070</v>
      </c>
      <c r="R1483" s="1" t="s">
        <v>29</v>
      </c>
      <c r="S1483" s="1">
        <v>-0.0014</v>
      </c>
      <c r="T1483" s="1" t="str">
        <f t="shared" si="2914"/>
        <v>0</v>
      </c>
      <c r="U1483" s="1" t="str">
        <f t="shared" si="2919"/>
        <v>0.0056</v>
      </c>
    </row>
    <row r="1484" s="1" customFormat="1" spans="1:21">
      <c r="A1484" s="1" t="str">
        <f>"4601992018768"</f>
        <v>4601992018768</v>
      </c>
      <c r="B1484" s="1" t="s">
        <v>1508</v>
      </c>
      <c r="C1484" s="1" t="s">
        <v>24</v>
      </c>
      <c r="D1484" s="1" t="str">
        <f t="shared" si="2910"/>
        <v>2021</v>
      </c>
      <c r="E1484" s="1" t="str">
        <f t="shared" si="2926"/>
        <v>12.09</v>
      </c>
      <c r="F1484" s="1" t="str">
        <f t="shared" ref="F1484:I1484" si="2934">"0"</f>
        <v>0</v>
      </c>
      <c r="G1484" s="1" t="str">
        <f t="shared" si="2934"/>
        <v>0</v>
      </c>
      <c r="H1484" s="1" t="str">
        <f t="shared" si="2934"/>
        <v>0</v>
      </c>
      <c r="I1484" s="1" t="str">
        <f t="shared" si="2934"/>
        <v>0</v>
      </c>
      <c r="J1484" s="1" t="str">
        <f t="shared" si="2928"/>
        <v>1</v>
      </c>
      <c r="K1484" s="1" t="str">
        <f t="shared" ref="K1484:P1484" si="2935">"0"</f>
        <v>0</v>
      </c>
      <c r="L1484" s="1" t="str">
        <f t="shared" si="2935"/>
        <v>0</v>
      </c>
      <c r="M1484" s="1" t="str">
        <f t="shared" si="2935"/>
        <v>0</v>
      </c>
      <c r="N1484" s="1" t="str">
        <f t="shared" si="2935"/>
        <v>0</v>
      </c>
      <c r="O1484" s="1" t="str">
        <f t="shared" si="2935"/>
        <v>0</v>
      </c>
      <c r="P1484" s="1" t="str">
        <f t="shared" si="2935"/>
        <v>0</v>
      </c>
      <c r="Q1484" s="1" t="str">
        <f t="shared" si="2913"/>
        <v>0.0070</v>
      </c>
      <c r="R1484" s="1" t="s">
        <v>25</v>
      </c>
      <c r="T1484" s="1" t="str">
        <f t="shared" si="2914"/>
        <v>0</v>
      </c>
      <c r="U1484" s="1" t="str">
        <f>"0.0070"</f>
        <v>0.0070</v>
      </c>
    </row>
    <row r="1485" s="1" customFormat="1" spans="1:21">
      <c r="A1485" s="1" t="str">
        <f>"4601992018775"</f>
        <v>4601992018775</v>
      </c>
      <c r="B1485" s="1" t="s">
        <v>1509</v>
      </c>
      <c r="C1485" s="1" t="s">
        <v>24</v>
      </c>
      <c r="D1485" s="1" t="str">
        <f t="shared" si="2910"/>
        <v>2021</v>
      </c>
      <c r="E1485" s="1" t="str">
        <f t="shared" si="2926"/>
        <v>12.09</v>
      </c>
      <c r="F1485" s="1" t="str">
        <f t="shared" ref="F1485:I1485" si="2936">"0"</f>
        <v>0</v>
      </c>
      <c r="G1485" s="1" t="str">
        <f t="shared" si="2936"/>
        <v>0</v>
      </c>
      <c r="H1485" s="1" t="str">
        <f t="shared" si="2936"/>
        <v>0</v>
      </c>
      <c r="I1485" s="1" t="str">
        <f t="shared" si="2936"/>
        <v>0</v>
      </c>
      <c r="J1485" s="1" t="str">
        <f t="shared" si="2928"/>
        <v>1</v>
      </c>
      <c r="K1485" s="1" t="str">
        <f t="shared" ref="K1485:P1485" si="2937">"0"</f>
        <v>0</v>
      </c>
      <c r="L1485" s="1" t="str">
        <f t="shared" si="2937"/>
        <v>0</v>
      </c>
      <c r="M1485" s="1" t="str">
        <f t="shared" si="2937"/>
        <v>0</v>
      </c>
      <c r="N1485" s="1" t="str">
        <f t="shared" si="2937"/>
        <v>0</v>
      </c>
      <c r="O1485" s="1" t="str">
        <f t="shared" si="2937"/>
        <v>0</v>
      </c>
      <c r="P1485" s="1" t="str">
        <f t="shared" si="2937"/>
        <v>0</v>
      </c>
      <c r="Q1485" s="1" t="str">
        <f t="shared" si="2913"/>
        <v>0.0070</v>
      </c>
      <c r="R1485" s="1" t="s">
        <v>29</v>
      </c>
      <c r="S1485" s="1">
        <v>-0.0014</v>
      </c>
      <c r="T1485" s="1" t="str">
        <f t="shared" si="2914"/>
        <v>0</v>
      </c>
      <c r="U1485" s="1" t="str">
        <f t="shared" ref="U1485:U1487" si="2938">"0.0056"</f>
        <v>0.0056</v>
      </c>
    </row>
    <row r="1486" s="1" customFormat="1" spans="1:21">
      <c r="A1486" s="1" t="str">
        <f>"4601992018643"</f>
        <v>4601992018643</v>
      </c>
      <c r="B1486" s="1" t="s">
        <v>1510</v>
      </c>
      <c r="C1486" s="1" t="s">
        <v>24</v>
      </c>
      <c r="D1486" s="1" t="str">
        <f t="shared" si="2910"/>
        <v>2021</v>
      </c>
      <c r="E1486" s="1" t="str">
        <f>"60.34"</f>
        <v>60.34</v>
      </c>
      <c r="F1486" s="1" t="str">
        <f t="shared" ref="F1486:I1486" si="2939">"0"</f>
        <v>0</v>
      </c>
      <c r="G1486" s="1" t="str">
        <f t="shared" si="2939"/>
        <v>0</v>
      </c>
      <c r="H1486" s="1" t="str">
        <f t="shared" si="2939"/>
        <v>0</v>
      </c>
      <c r="I1486" s="1" t="str">
        <f t="shared" si="2939"/>
        <v>0</v>
      </c>
      <c r="J1486" s="1" t="str">
        <f>"6"</f>
        <v>6</v>
      </c>
      <c r="K1486" s="1" t="str">
        <f t="shared" ref="K1486:P1486" si="2940">"0"</f>
        <v>0</v>
      </c>
      <c r="L1486" s="1" t="str">
        <f t="shared" si="2940"/>
        <v>0</v>
      </c>
      <c r="M1486" s="1" t="str">
        <f t="shared" si="2940"/>
        <v>0</v>
      </c>
      <c r="N1486" s="1" t="str">
        <f t="shared" si="2940"/>
        <v>0</v>
      </c>
      <c r="O1486" s="1" t="str">
        <f t="shared" si="2940"/>
        <v>0</v>
      </c>
      <c r="P1486" s="1" t="str">
        <f t="shared" si="2940"/>
        <v>0</v>
      </c>
      <c r="Q1486" s="1" t="str">
        <f t="shared" si="2913"/>
        <v>0.0070</v>
      </c>
      <c r="R1486" s="1" t="s">
        <v>29</v>
      </c>
      <c r="S1486" s="1">
        <v>-0.0014</v>
      </c>
      <c r="T1486" s="1" t="str">
        <f t="shared" si="2914"/>
        <v>0</v>
      </c>
      <c r="U1486" s="1" t="str">
        <f t="shared" si="2938"/>
        <v>0.0056</v>
      </c>
    </row>
    <row r="1487" s="1" customFormat="1" spans="1:21">
      <c r="A1487" s="1" t="str">
        <f>"4601992018788"</f>
        <v>4601992018788</v>
      </c>
      <c r="B1487" s="1" t="s">
        <v>1511</v>
      </c>
      <c r="C1487" s="1" t="s">
        <v>24</v>
      </c>
      <c r="D1487" s="1" t="str">
        <f t="shared" si="2910"/>
        <v>2021</v>
      </c>
      <c r="E1487" s="1" t="str">
        <f>"60.45"</f>
        <v>60.45</v>
      </c>
      <c r="F1487" s="1" t="str">
        <f t="shared" ref="F1487:I1487" si="2941">"0"</f>
        <v>0</v>
      </c>
      <c r="G1487" s="1" t="str">
        <f t="shared" si="2941"/>
        <v>0</v>
      </c>
      <c r="H1487" s="1" t="str">
        <f t="shared" si="2941"/>
        <v>0</v>
      </c>
      <c r="I1487" s="1" t="str">
        <f t="shared" si="2941"/>
        <v>0</v>
      </c>
      <c r="J1487" s="1" t="str">
        <f>"4"</f>
        <v>4</v>
      </c>
      <c r="K1487" s="1" t="str">
        <f t="shared" ref="K1487:P1487" si="2942">"0"</f>
        <v>0</v>
      </c>
      <c r="L1487" s="1" t="str">
        <f t="shared" si="2942"/>
        <v>0</v>
      </c>
      <c r="M1487" s="1" t="str">
        <f t="shared" si="2942"/>
        <v>0</v>
      </c>
      <c r="N1487" s="1" t="str">
        <f t="shared" si="2942"/>
        <v>0</v>
      </c>
      <c r="O1487" s="1" t="str">
        <f t="shared" si="2942"/>
        <v>0</v>
      </c>
      <c r="P1487" s="1" t="str">
        <f t="shared" si="2942"/>
        <v>0</v>
      </c>
      <c r="Q1487" s="1" t="str">
        <f t="shared" si="2913"/>
        <v>0.0070</v>
      </c>
      <c r="R1487" s="1" t="s">
        <v>29</v>
      </c>
      <c r="S1487" s="1">
        <v>-0.0014</v>
      </c>
      <c r="T1487" s="1" t="str">
        <f t="shared" si="2914"/>
        <v>0</v>
      </c>
      <c r="U1487" s="1" t="str">
        <f t="shared" si="2938"/>
        <v>0.0056</v>
      </c>
    </row>
    <row r="1488" s="1" customFormat="1" spans="1:21">
      <c r="A1488" s="1" t="str">
        <f>"4601992018795"</f>
        <v>4601992018795</v>
      </c>
      <c r="B1488" s="1" t="s">
        <v>1512</v>
      </c>
      <c r="C1488" s="1" t="s">
        <v>24</v>
      </c>
      <c r="D1488" s="1" t="str">
        <f t="shared" si="2910"/>
        <v>2021</v>
      </c>
      <c r="E1488" s="1" t="str">
        <f>"36.27"</f>
        <v>36.27</v>
      </c>
      <c r="F1488" s="1" t="str">
        <f t="shared" ref="F1488:I1488" si="2943">"0"</f>
        <v>0</v>
      </c>
      <c r="G1488" s="1" t="str">
        <f t="shared" si="2943"/>
        <v>0</v>
      </c>
      <c r="H1488" s="1" t="str">
        <f t="shared" si="2943"/>
        <v>0</v>
      </c>
      <c r="I1488" s="1" t="str">
        <f t="shared" si="2943"/>
        <v>0</v>
      </c>
      <c r="J1488" s="1" t="str">
        <f>"2"</f>
        <v>2</v>
      </c>
      <c r="K1488" s="1" t="str">
        <f t="shared" ref="K1488:P1488" si="2944">"0"</f>
        <v>0</v>
      </c>
      <c r="L1488" s="1" t="str">
        <f t="shared" si="2944"/>
        <v>0</v>
      </c>
      <c r="M1488" s="1" t="str">
        <f t="shared" si="2944"/>
        <v>0</v>
      </c>
      <c r="N1488" s="1" t="str">
        <f t="shared" si="2944"/>
        <v>0</v>
      </c>
      <c r="O1488" s="1" t="str">
        <f t="shared" si="2944"/>
        <v>0</v>
      </c>
      <c r="P1488" s="1" t="str">
        <f t="shared" si="2944"/>
        <v>0</v>
      </c>
      <c r="Q1488" s="1" t="str">
        <f t="shared" si="2913"/>
        <v>0.0070</v>
      </c>
      <c r="R1488" s="1" t="s">
        <v>25</v>
      </c>
      <c r="T1488" s="1" t="str">
        <f t="shared" si="2914"/>
        <v>0</v>
      </c>
      <c r="U1488" s="1" t="str">
        <f t="shared" ref="U1488:U1492" si="2945">"0.0070"</f>
        <v>0.0070</v>
      </c>
    </row>
    <row r="1489" s="1" customFormat="1" spans="1:21">
      <c r="A1489" s="1" t="str">
        <f>"4601992018802"</f>
        <v>4601992018802</v>
      </c>
      <c r="B1489" s="1" t="s">
        <v>1513</v>
      </c>
      <c r="C1489" s="1" t="s">
        <v>24</v>
      </c>
      <c r="D1489" s="1" t="str">
        <f t="shared" si="2910"/>
        <v>2021</v>
      </c>
      <c r="E1489" s="1" t="str">
        <f>"36.27"</f>
        <v>36.27</v>
      </c>
      <c r="F1489" s="1" t="str">
        <f t="shared" ref="F1489:I1489" si="2946">"0"</f>
        <v>0</v>
      </c>
      <c r="G1489" s="1" t="str">
        <f t="shared" si="2946"/>
        <v>0</v>
      </c>
      <c r="H1489" s="1" t="str">
        <f t="shared" si="2946"/>
        <v>0</v>
      </c>
      <c r="I1489" s="1" t="str">
        <f t="shared" si="2946"/>
        <v>0</v>
      </c>
      <c r="J1489" s="1" t="str">
        <f>"3"</f>
        <v>3</v>
      </c>
      <c r="K1489" s="1" t="str">
        <f t="shared" ref="K1489:P1489" si="2947">"0"</f>
        <v>0</v>
      </c>
      <c r="L1489" s="1" t="str">
        <f t="shared" si="2947"/>
        <v>0</v>
      </c>
      <c r="M1489" s="1" t="str">
        <f t="shared" si="2947"/>
        <v>0</v>
      </c>
      <c r="N1489" s="1" t="str">
        <f t="shared" si="2947"/>
        <v>0</v>
      </c>
      <c r="O1489" s="1" t="str">
        <f t="shared" si="2947"/>
        <v>0</v>
      </c>
      <c r="P1489" s="1" t="str">
        <f t="shared" si="2947"/>
        <v>0</v>
      </c>
      <c r="Q1489" s="1" t="str">
        <f t="shared" si="2913"/>
        <v>0.0070</v>
      </c>
      <c r="R1489" s="1" t="s">
        <v>29</v>
      </c>
      <c r="S1489" s="1">
        <v>-0.0014</v>
      </c>
      <c r="T1489" s="1" t="str">
        <f t="shared" si="2914"/>
        <v>0</v>
      </c>
      <c r="U1489" s="1" t="str">
        <f t="shared" ref="U1489:U1501" si="2948">"0.0056"</f>
        <v>0.0056</v>
      </c>
    </row>
    <row r="1490" s="1" customFormat="1" spans="1:21">
      <c r="A1490" s="1" t="str">
        <f>"4601992018838"</f>
        <v>4601992018838</v>
      </c>
      <c r="B1490" s="1" t="s">
        <v>1514</v>
      </c>
      <c r="C1490" s="1" t="s">
        <v>24</v>
      </c>
      <c r="D1490" s="1" t="str">
        <f t="shared" si="2910"/>
        <v>2021</v>
      </c>
      <c r="E1490" s="1" t="str">
        <f>"72.54"</f>
        <v>72.54</v>
      </c>
      <c r="F1490" s="1" t="str">
        <f t="shared" ref="F1490:I1490" si="2949">"0"</f>
        <v>0</v>
      </c>
      <c r="G1490" s="1" t="str">
        <f t="shared" si="2949"/>
        <v>0</v>
      </c>
      <c r="H1490" s="1" t="str">
        <f t="shared" si="2949"/>
        <v>0</v>
      </c>
      <c r="I1490" s="1" t="str">
        <f t="shared" si="2949"/>
        <v>0</v>
      </c>
      <c r="J1490" s="1" t="str">
        <f>"5"</f>
        <v>5</v>
      </c>
      <c r="K1490" s="1" t="str">
        <f t="shared" ref="K1490:P1490" si="2950">"0"</f>
        <v>0</v>
      </c>
      <c r="L1490" s="1" t="str">
        <f t="shared" si="2950"/>
        <v>0</v>
      </c>
      <c r="M1490" s="1" t="str">
        <f t="shared" si="2950"/>
        <v>0</v>
      </c>
      <c r="N1490" s="1" t="str">
        <f t="shared" si="2950"/>
        <v>0</v>
      </c>
      <c r="O1490" s="1" t="str">
        <f t="shared" si="2950"/>
        <v>0</v>
      </c>
      <c r="P1490" s="1" t="str">
        <f t="shared" si="2950"/>
        <v>0</v>
      </c>
      <c r="Q1490" s="1" t="str">
        <f t="shared" si="2913"/>
        <v>0.0070</v>
      </c>
      <c r="R1490" s="1" t="s">
        <v>29</v>
      </c>
      <c r="S1490" s="1">
        <v>-0.0014</v>
      </c>
      <c r="T1490" s="1" t="str">
        <f t="shared" si="2914"/>
        <v>0</v>
      </c>
      <c r="U1490" s="1" t="str">
        <f t="shared" si="2948"/>
        <v>0.0056</v>
      </c>
    </row>
    <row r="1491" s="1" customFormat="1" spans="1:21">
      <c r="A1491" s="1" t="str">
        <f>"4601992018828"</f>
        <v>4601992018828</v>
      </c>
      <c r="B1491" s="1" t="s">
        <v>1515</v>
      </c>
      <c r="C1491" s="1" t="s">
        <v>24</v>
      </c>
      <c r="D1491" s="1" t="str">
        <f t="shared" si="2910"/>
        <v>2021</v>
      </c>
      <c r="E1491" s="1" t="str">
        <f t="shared" ref="E1491:I1491" si="2951">"0"</f>
        <v>0</v>
      </c>
      <c r="F1491" s="1" t="str">
        <f t="shared" si="2951"/>
        <v>0</v>
      </c>
      <c r="G1491" s="1" t="str">
        <f t="shared" si="2951"/>
        <v>0</v>
      </c>
      <c r="H1491" s="1" t="str">
        <f t="shared" si="2951"/>
        <v>0</v>
      </c>
      <c r="I1491" s="1" t="str">
        <f t="shared" si="2951"/>
        <v>0</v>
      </c>
      <c r="J1491" s="1" t="str">
        <f>"1"</f>
        <v>1</v>
      </c>
      <c r="K1491" s="1" t="str">
        <f t="shared" ref="K1491:P1491" si="2952">"0"</f>
        <v>0</v>
      </c>
      <c r="L1491" s="1" t="str">
        <f t="shared" si="2952"/>
        <v>0</v>
      </c>
      <c r="M1491" s="1" t="str">
        <f t="shared" si="2952"/>
        <v>0</v>
      </c>
      <c r="N1491" s="1" t="str">
        <f t="shared" si="2952"/>
        <v>0</v>
      </c>
      <c r="O1491" s="1" t="str">
        <f t="shared" si="2952"/>
        <v>0</v>
      </c>
      <c r="P1491" s="1" t="str">
        <f t="shared" si="2952"/>
        <v>0</v>
      </c>
      <c r="Q1491" s="1" t="str">
        <f t="shared" si="2913"/>
        <v>0.0070</v>
      </c>
      <c r="R1491" s="1" t="s">
        <v>25</v>
      </c>
      <c r="T1491" s="1" t="str">
        <f t="shared" si="2914"/>
        <v>0</v>
      </c>
      <c r="U1491" s="1" t="str">
        <f t="shared" si="2945"/>
        <v>0.0070</v>
      </c>
    </row>
    <row r="1492" s="1" customFormat="1" spans="1:21">
      <c r="A1492" s="1" t="str">
        <f>"4601992018863"</f>
        <v>4601992018863</v>
      </c>
      <c r="B1492" s="1" t="s">
        <v>1516</v>
      </c>
      <c r="C1492" s="1" t="s">
        <v>24</v>
      </c>
      <c r="D1492" s="1" t="str">
        <f t="shared" si="2910"/>
        <v>2021</v>
      </c>
      <c r="E1492" s="1" t="str">
        <f t="shared" ref="E1492:P1492" si="2953">"0"</f>
        <v>0</v>
      </c>
      <c r="F1492" s="1" t="str">
        <f t="shared" si="2953"/>
        <v>0</v>
      </c>
      <c r="G1492" s="1" t="str">
        <f t="shared" si="2953"/>
        <v>0</v>
      </c>
      <c r="H1492" s="1" t="str">
        <f t="shared" si="2953"/>
        <v>0</v>
      </c>
      <c r="I1492" s="1" t="str">
        <f t="shared" si="2953"/>
        <v>0</v>
      </c>
      <c r="J1492" s="1" t="str">
        <f t="shared" si="2953"/>
        <v>0</v>
      </c>
      <c r="K1492" s="1" t="str">
        <f t="shared" si="2953"/>
        <v>0</v>
      </c>
      <c r="L1492" s="1" t="str">
        <f t="shared" si="2953"/>
        <v>0</v>
      </c>
      <c r="M1492" s="1" t="str">
        <f t="shared" si="2953"/>
        <v>0</v>
      </c>
      <c r="N1492" s="1" t="str">
        <f t="shared" si="2953"/>
        <v>0</v>
      </c>
      <c r="O1492" s="1" t="str">
        <f t="shared" si="2953"/>
        <v>0</v>
      </c>
      <c r="P1492" s="1" t="str">
        <f t="shared" si="2953"/>
        <v>0</v>
      </c>
      <c r="Q1492" s="1" t="str">
        <f t="shared" si="2913"/>
        <v>0.0070</v>
      </c>
      <c r="R1492" s="1" t="s">
        <v>25</v>
      </c>
      <c r="T1492" s="1" t="str">
        <f t="shared" si="2914"/>
        <v>0</v>
      </c>
      <c r="U1492" s="1" t="str">
        <f t="shared" si="2945"/>
        <v>0.0070</v>
      </c>
    </row>
    <row r="1493" s="1" customFormat="1" spans="1:21">
      <c r="A1493" s="1" t="str">
        <f>"4601992018829"</f>
        <v>4601992018829</v>
      </c>
      <c r="B1493" s="1" t="s">
        <v>1517</v>
      </c>
      <c r="C1493" s="1" t="s">
        <v>24</v>
      </c>
      <c r="D1493" s="1" t="str">
        <f t="shared" si="2910"/>
        <v>2021</v>
      </c>
      <c r="E1493" s="1" t="str">
        <f>"127.05"</f>
        <v>127.05</v>
      </c>
      <c r="F1493" s="1" t="str">
        <f t="shared" ref="F1493:I1493" si="2954">"0"</f>
        <v>0</v>
      </c>
      <c r="G1493" s="1" t="str">
        <f t="shared" si="2954"/>
        <v>0</v>
      </c>
      <c r="H1493" s="1" t="str">
        <f t="shared" si="2954"/>
        <v>0</v>
      </c>
      <c r="I1493" s="1" t="str">
        <f t="shared" si="2954"/>
        <v>0</v>
      </c>
      <c r="J1493" s="1" t="str">
        <f>"12"</f>
        <v>12</v>
      </c>
      <c r="K1493" s="1" t="str">
        <f t="shared" ref="K1493:P1493" si="2955">"0"</f>
        <v>0</v>
      </c>
      <c r="L1493" s="1" t="str">
        <f t="shared" si="2955"/>
        <v>0</v>
      </c>
      <c r="M1493" s="1" t="str">
        <f t="shared" si="2955"/>
        <v>0</v>
      </c>
      <c r="N1493" s="1" t="str">
        <f t="shared" si="2955"/>
        <v>0</v>
      </c>
      <c r="O1493" s="1" t="str">
        <f t="shared" si="2955"/>
        <v>0</v>
      </c>
      <c r="P1493" s="1" t="str">
        <f t="shared" si="2955"/>
        <v>0</v>
      </c>
      <c r="Q1493" s="1" t="str">
        <f t="shared" si="2913"/>
        <v>0.0070</v>
      </c>
      <c r="R1493" s="1" t="s">
        <v>29</v>
      </c>
      <c r="S1493" s="1">
        <v>-0.0014</v>
      </c>
      <c r="T1493" s="1" t="str">
        <f t="shared" si="2914"/>
        <v>0</v>
      </c>
      <c r="U1493" s="1" t="str">
        <f t="shared" si="2948"/>
        <v>0.0056</v>
      </c>
    </row>
    <row r="1494" s="1" customFormat="1" spans="1:21">
      <c r="A1494" s="1" t="str">
        <f>"4601992018865"</f>
        <v>4601992018865</v>
      </c>
      <c r="B1494" s="1" t="s">
        <v>1518</v>
      </c>
      <c r="C1494" s="1" t="s">
        <v>24</v>
      </c>
      <c r="D1494" s="1" t="str">
        <f t="shared" si="2910"/>
        <v>2021</v>
      </c>
      <c r="E1494" s="1" t="str">
        <f>"24.18"</f>
        <v>24.18</v>
      </c>
      <c r="F1494" s="1" t="str">
        <f t="shared" ref="F1494:I1494" si="2956">"0"</f>
        <v>0</v>
      </c>
      <c r="G1494" s="1" t="str">
        <f t="shared" si="2956"/>
        <v>0</v>
      </c>
      <c r="H1494" s="1" t="str">
        <f t="shared" si="2956"/>
        <v>0</v>
      </c>
      <c r="I1494" s="1" t="str">
        <f t="shared" si="2956"/>
        <v>0</v>
      </c>
      <c r="J1494" s="1" t="str">
        <f t="shared" ref="J1494:J1497" si="2957">"4"</f>
        <v>4</v>
      </c>
      <c r="K1494" s="1" t="str">
        <f t="shared" ref="K1494:P1494" si="2958">"0"</f>
        <v>0</v>
      </c>
      <c r="L1494" s="1" t="str">
        <f t="shared" si="2958"/>
        <v>0</v>
      </c>
      <c r="M1494" s="1" t="str">
        <f t="shared" si="2958"/>
        <v>0</v>
      </c>
      <c r="N1494" s="1" t="str">
        <f t="shared" si="2958"/>
        <v>0</v>
      </c>
      <c r="O1494" s="1" t="str">
        <f t="shared" si="2958"/>
        <v>0</v>
      </c>
      <c r="P1494" s="1" t="str">
        <f t="shared" si="2958"/>
        <v>0</v>
      </c>
      <c r="Q1494" s="1" t="str">
        <f t="shared" si="2913"/>
        <v>0.0070</v>
      </c>
      <c r="R1494" s="1" t="s">
        <v>29</v>
      </c>
      <c r="S1494" s="1">
        <v>-0.0014</v>
      </c>
      <c r="T1494" s="1" t="str">
        <f t="shared" si="2914"/>
        <v>0</v>
      </c>
      <c r="U1494" s="1" t="str">
        <f t="shared" si="2948"/>
        <v>0.0056</v>
      </c>
    </row>
    <row r="1495" s="1" customFormat="1" spans="1:21">
      <c r="A1495" s="1" t="str">
        <f>"4601992018958"</f>
        <v>4601992018958</v>
      </c>
      <c r="B1495" s="1" t="s">
        <v>1519</v>
      </c>
      <c r="C1495" s="1" t="s">
        <v>24</v>
      </c>
      <c r="D1495" s="1" t="str">
        <f t="shared" si="2910"/>
        <v>2021</v>
      </c>
      <c r="E1495" s="1" t="str">
        <f>"48.36"</f>
        <v>48.36</v>
      </c>
      <c r="F1495" s="1" t="str">
        <f t="shared" ref="F1495:I1495" si="2959">"0"</f>
        <v>0</v>
      </c>
      <c r="G1495" s="1" t="str">
        <f t="shared" si="2959"/>
        <v>0</v>
      </c>
      <c r="H1495" s="1" t="str">
        <f t="shared" si="2959"/>
        <v>0</v>
      </c>
      <c r="I1495" s="1" t="str">
        <f t="shared" si="2959"/>
        <v>0</v>
      </c>
      <c r="J1495" s="1" t="str">
        <f>"3"</f>
        <v>3</v>
      </c>
      <c r="K1495" s="1" t="str">
        <f t="shared" ref="K1495:P1495" si="2960">"0"</f>
        <v>0</v>
      </c>
      <c r="L1495" s="1" t="str">
        <f t="shared" si="2960"/>
        <v>0</v>
      </c>
      <c r="M1495" s="1" t="str">
        <f t="shared" si="2960"/>
        <v>0</v>
      </c>
      <c r="N1495" s="1" t="str">
        <f t="shared" si="2960"/>
        <v>0</v>
      </c>
      <c r="O1495" s="1" t="str">
        <f t="shared" si="2960"/>
        <v>0</v>
      </c>
      <c r="P1495" s="1" t="str">
        <f t="shared" si="2960"/>
        <v>0</v>
      </c>
      <c r="Q1495" s="1" t="str">
        <f t="shared" si="2913"/>
        <v>0.0070</v>
      </c>
      <c r="R1495" s="1" t="s">
        <v>29</v>
      </c>
      <c r="S1495" s="1">
        <v>-0.0014</v>
      </c>
      <c r="T1495" s="1" t="str">
        <f t="shared" si="2914"/>
        <v>0</v>
      </c>
      <c r="U1495" s="1" t="str">
        <f t="shared" si="2948"/>
        <v>0.0056</v>
      </c>
    </row>
    <row r="1496" s="1" customFormat="1" spans="1:21">
      <c r="A1496" s="1" t="str">
        <f>"4601992018953"</f>
        <v>4601992018953</v>
      </c>
      <c r="B1496" s="1" t="s">
        <v>1520</v>
      </c>
      <c r="C1496" s="1" t="s">
        <v>24</v>
      </c>
      <c r="D1496" s="1" t="str">
        <f t="shared" si="2910"/>
        <v>2021</v>
      </c>
      <c r="E1496" s="1" t="str">
        <f>"48.68"</f>
        <v>48.68</v>
      </c>
      <c r="F1496" s="1" t="str">
        <f t="shared" ref="F1496:I1496" si="2961">"0"</f>
        <v>0</v>
      </c>
      <c r="G1496" s="1" t="str">
        <f t="shared" si="2961"/>
        <v>0</v>
      </c>
      <c r="H1496" s="1" t="str">
        <f t="shared" si="2961"/>
        <v>0</v>
      </c>
      <c r="I1496" s="1" t="str">
        <f t="shared" si="2961"/>
        <v>0</v>
      </c>
      <c r="J1496" s="1" t="str">
        <f t="shared" si="2957"/>
        <v>4</v>
      </c>
      <c r="K1496" s="1" t="str">
        <f t="shared" ref="K1496:P1496" si="2962">"0"</f>
        <v>0</v>
      </c>
      <c r="L1496" s="1" t="str">
        <f t="shared" si="2962"/>
        <v>0</v>
      </c>
      <c r="M1496" s="1" t="str">
        <f t="shared" si="2962"/>
        <v>0</v>
      </c>
      <c r="N1496" s="1" t="str">
        <f t="shared" si="2962"/>
        <v>0</v>
      </c>
      <c r="O1496" s="1" t="str">
        <f t="shared" si="2962"/>
        <v>0</v>
      </c>
      <c r="P1496" s="1" t="str">
        <f t="shared" si="2962"/>
        <v>0</v>
      </c>
      <c r="Q1496" s="1" t="str">
        <f t="shared" si="2913"/>
        <v>0.0070</v>
      </c>
      <c r="R1496" s="1" t="s">
        <v>29</v>
      </c>
      <c r="S1496" s="1">
        <v>-0.0014</v>
      </c>
      <c r="T1496" s="1" t="str">
        <f t="shared" si="2914"/>
        <v>0</v>
      </c>
      <c r="U1496" s="1" t="str">
        <f t="shared" si="2948"/>
        <v>0.0056</v>
      </c>
    </row>
    <row r="1497" s="1" customFormat="1" spans="1:21">
      <c r="A1497" s="1" t="str">
        <f>"4601992018882"</f>
        <v>4601992018882</v>
      </c>
      <c r="B1497" s="1" t="s">
        <v>1521</v>
      </c>
      <c r="C1497" s="1" t="s">
        <v>24</v>
      </c>
      <c r="D1497" s="1" t="str">
        <f t="shared" si="2910"/>
        <v>2021</v>
      </c>
      <c r="E1497" s="1" t="str">
        <f>"12.09"</f>
        <v>12.09</v>
      </c>
      <c r="F1497" s="1" t="str">
        <f t="shared" ref="F1497:I1497" si="2963">"0"</f>
        <v>0</v>
      </c>
      <c r="G1497" s="1" t="str">
        <f t="shared" si="2963"/>
        <v>0</v>
      </c>
      <c r="H1497" s="1" t="str">
        <f t="shared" si="2963"/>
        <v>0</v>
      </c>
      <c r="I1497" s="1" t="str">
        <f t="shared" si="2963"/>
        <v>0</v>
      </c>
      <c r="J1497" s="1" t="str">
        <f t="shared" si="2957"/>
        <v>4</v>
      </c>
      <c r="K1497" s="1" t="str">
        <f t="shared" ref="K1497:P1497" si="2964">"0"</f>
        <v>0</v>
      </c>
      <c r="L1497" s="1" t="str">
        <f t="shared" si="2964"/>
        <v>0</v>
      </c>
      <c r="M1497" s="1" t="str">
        <f t="shared" si="2964"/>
        <v>0</v>
      </c>
      <c r="N1497" s="1" t="str">
        <f t="shared" si="2964"/>
        <v>0</v>
      </c>
      <c r="O1497" s="1" t="str">
        <f t="shared" si="2964"/>
        <v>0</v>
      </c>
      <c r="P1497" s="1" t="str">
        <f t="shared" si="2964"/>
        <v>0</v>
      </c>
      <c r="Q1497" s="1" t="str">
        <f t="shared" si="2913"/>
        <v>0.0070</v>
      </c>
      <c r="R1497" s="1" t="s">
        <v>29</v>
      </c>
      <c r="S1497" s="1">
        <v>-0.0014</v>
      </c>
      <c r="T1497" s="1" t="str">
        <f t="shared" si="2914"/>
        <v>0</v>
      </c>
      <c r="U1497" s="1" t="str">
        <f t="shared" si="2948"/>
        <v>0.0056</v>
      </c>
    </row>
    <row r="1498" s="1" customFormat="1" spans="1:21">
      <c r="A1498" s="1" t="str">
        <f>"4601992019041"</f>
        <v>4601992019041</v>
      </c>
      <c r="B1498" s="1" t="s">
        <v>1522</v>
      </c>
      <c r="C1498" s="1" t="s">
        <v>24</v>
      </c>
      <c r="D1498" s="1" t="str">
        <f t="shared" si="2910"/>
        <v>2021</v>
      </c>
      <c r="E1498" s="1" t="str">
        <f>"150.78"</f>
        <v>150.78</v>
      </c>
      <c r="F1498" s="1" t="str">
        <f t="shared" ref="F1498:I1498" si="2965">"0"</f>
        <v>0</v>
      </c>
      <c r="G1498" s="1" t="str">
        <f t="shared" si="2965"/>
        <v>0</v>
      </c>
      <c r="H1498" s="1" t="str">
        <f t="shared" si="2965"/>
        <v>0</v>
      </c>
      <c r="I1498" s="1" t="str">
        <f t="shared" si="2965"/>
        <v>0</v>
      </c>
      <c r="J1498" s="1" t="str">
        <f>"18"</f>
        <v>18</v>
      </c>
      <c r="K1498" s="1" t="str">
        <f t="shared" ref="K1498:P1498" si="2966">"0"</f>
        <v>0</v>
      </c>
      <c r="L1498" s="1" t="str">
        <f t="shared" si="2966"/>
        <v>0</v>
      </c>
      <c r="M1498" s="1" t="str">
        <f t="shared" si="2966"/>
        <v>0</v>
      </c>
      <c r="N1498" s="1" t="str">
        <f t="shared" si="2966"/>
        <v>0</v>
      </c>
      <c r="O1498" s="1" t="str">
        <f t="shared" si="2966"/>
        <v>0</v>
      </c>
      <c r="P1498" s="1" t="str">
        <f t="shared" si="2966"/>
        <v>0</v>
      </c>
      <c r="Q1498" s="1" t="str">
        <f t="shared" si="2913"/>
        <v>0.0070</v>
      </c>
      <c r="R1498" s="1" t="s">
        <v>29</v>
      </c>
      <c r="S1498" s="1">
        <v>-0.0014</v>
      </c>
      <c r="T1498" s="1" t="str">
        <f t="shared" si="2914"/>
        <v>0</v>
      </c>
      <c r="U1498" s="1" t="str">
        <f t="shared" si="2948"/>
        <v>0.0056</v>
      </c>
    </row>
    <row r="1499" s="1" customFormat="1" spans="1:21">
      <c r="A1499" s="1" t="str">
        <f>"4601992019045"</f>
        <v>4601992019045</v>
      </c>
      <c r="B1499" s="1" t="s">
        <v>1523</v>
      </c>
      <c r="C1499" s="1" t="s">
        <v>24</v>
      </c>
      <c r="D1499" s="1" t="str">
        <f t="shared" si="2910"/>
        <v>2021</v>
      </c>
      <c r="E1499" s="1" t="str">
        <f>"190.30"</f>
        <v>190.30</v>
      </c>
      <c r="F1499" s="1" t="str">
        <f t="shared" ref="F1499:I1499" si="2967">"0"</f>
        <v>0</v>
      </c>
      <c r="G1499" s="1" t="str">
        <f t="shared" si="2967"/>
        <v>0</v>
      </c>
      <c r="H1499" s="1" t="str">
        <f t="shared" si="2967"/>
        <v>0</v>
      </c>
      <c r="I1499" s="1" t="str">
        <f t="shared" si="2967"/>
        <v>0</v>
      </c>
      <c r="J1499" s="1" t="str">
        <f>"10"</f>
        <v>10</v>
      </c>
      <c r="K1499" s="1" t="str">
        <f t="shared" ref="K1499:P1499" si="2968">"0"</f>
        <v>0</v>
      </c>
      <c r="L1499" s="1" t="str">
        <f t="shared" si="2968"/>
        <v>0</v>
      </c>
      <c r="M1499" s="1" t="str">
        <f t="shared" si="2968"/>
        <v>0</v>
      </c>
      <c r="N1499" s="1" t="str">
        <f t="shared" si="2968"/>
        <v>0</v>
      </c>
      <c r="O1499" s="1" t="str">
        <f t="shared" si="2968"/>
        <v>0</v>
      </c>
      <c r="P1499" s="1" t="str">
        <f t="shared" si="2968"/>
        <v>0</v>
      </c>
      <c r="Q1499" s="1" t="str">
        <f t="shared" si="2913"/>
        <v>0.0070</v>
      </c>
      <c r="R1499" s="1" t="s">
        <v>29</v>
      </c>
      <c r="S1499" s="1">
        <v>-0.0014</v>
      </c>
      <c r="T1499" s="1" t="str">
        <f t="shared" si="2914"/>
        <v>0</v>
      </c>
      <c r="U1499" s="1" t="str">
        <f t="shared" si="2948"/>
        <v>0.0056</v>
      </c>
    </row>
    <row r="1500" s="1" customFormat="1" spans="1:21">
      <c r="A1500" s="1" t="str">
        <f>"4601992019050"</f>
        <v>4601992019050</v>
      </c>
      <c r="B1500" s="1" t="s">
        <v>1524</v>
      </c>
      <c r="C1500" s="1" t="s">
        <v>24</v>
      </c>
      <c r="D1500" s="1" t="str">
        <f t="shared" si="2910"/>
        <v>2021</v>
      </c>
      <c r="E1500" s="1" t="str">
        <f>"140.30"</f>
        <v>140.30</v>
      </c>
      <c r="F1500" s="1" t="str">
        <f t="shared" ref="F1500:I1500" si="2969">"0"</f>
        <v>0</v>
      </c>
      <c r="G1500" s="1" t="str">
        <f t="shared" si="2969"/>
        <v>0</v>
      </c>
      <c r="H1500" s="1" t="str">
        <f t="shared" si="2969"/>
        <v>0</v>
      </c>
      <c r="I1500" s="1" t="str">
        <f t="shared" si="2969"/>
        <v>0</v>
      </c>
      <c r="J1500" s="1" t="str">
        <f>"16"</f>
        <v>16</v>
      </c>
      <c r="K1500" s="1" t="str">
        <f t="shared" ref="K1500:P1500" si="2970">"0"</f>
        <v>0</v>
      </c>
      <c r="L1500" s="1" t="str">
        <f t="shared" si="2970"/>
        <v>0</v>
      </c>
      <c r="M1500" s="1" t="str">
        <f t="shared" si="2970"/>
        <v>0</v>
      </c>
      <c r="N1500" s="1" t="str">
        <f t="shared" si="2970"/>
        <v>0</v>
      </c>
      <c r="O1500" s="1" t="str">
        <f t="shared" si="2970"/>
        <v>0</v>
      </c>
      <c r="P1500" s="1" t="str">
        <f t="shared" si="2970"/>
        <v>0</v>
      </c>
      <c r="Q1500" s="1" t="str">
        <f t="shared" si="2913"/>
        <v>0.0070</v>
      </c>
      <c r="R1500" s="1" t="s">
        <v>29</v>
      </c>
      <c r="S1500" s="1">
        <v>-0.0014</v>
      </c>
      <c r="T1500" s="1" t="str">
        <f t="shared" si="2914"/>
        <v>0</v>
      </c>
      <c r="U1500" s="1" t="str">
        <f t="shared" si="2948"/>
        <v>0.0056</v>
      </c>
    </row>
    <row r="1501" s="1" customFormat="1" spans="1:21">
      <c r="A1501" s="1" t="str">
        <f>"4601992019047"</f>
        <v>4601992019047</v>
      </c>
      <c r="B1501" s="1" t="s">
        <v>1525</v>
      </c>
      <c r="C1501" s="1" t="s">
        <v>24</v>
      </c>
      <c r="D1501" s="1" t="str">
        <f t="shared" si="2910"/>
        <v>2021</v>
      </c>
      <c r="E1501" s="1" t="str">
        <f>"72.54"</f>
        <v>72.54</v>
      </c>
      <c r="F1501" s="1" t="str">
        <f t="shared" ref="F1501:I1501" si="2971">"0"</f>
        <v>0</v>
      </c>
      <c r="G1501" s="1" t="str">
        <f t="shared" si="2971"/>
        <v>0</v>
      </c>
      <c r="H1501" s="1" t="str">
        <f t="shared" si="2971"/>
        <v>0</v>
      </c>
      <c r="I1501" s="1" t="str">
        <f t="shared" si="2971"/>
        <v>0</v>
      </c>
      <c r="J1501" s="1" t="str">
        <f>"5"</f>
        <v>5</v>
      </c>
      <c r="K1501" s="1" t="str">
        <f t="shared" ref="K1501:P1501" si="2972">"0"</f>
        <v>0</v>
      </c>
      <c r="L1501" s="1" t="str">
        <f t="shared" si="2972"/>
        <v>0</v>
      </c>
      <c r="M1501" s="1" t="str">
        <f t="shared" si="2972"/>
        <v>0</v>
      </c>
      <c r="N1501" s="1" t="str">
        <f t="shared" si="2972"/>
        <v>0</v>
      </c>
      <c r="O1501" s="1" t="str">
        <f t="shared" si="2972"/>
        <v>0</v>
      </c>
      <c r="P1501" s="1" t="str">
        <f t="shared" si="2972"/>
        <v>0</v>
      </c>
      <c r="Q1501" s="1" t="str">
        <f t="shared" si="2913"/>
        <v>0.0070</v>
      </c>
      <c r="R1501" s="1" t="s">
        <v>29</v>
      </c>
      <c r="S1501" s="1">
        <v>-0.0014</v>
      </c>
      <c r="T1501" s="1" t="str">
        <f t="shared" si="2914"/>
        <v>0</v>
      </c>
      <c r="U1501" s="1" t="str">
        <f t="shared" si="2948"/>
        <v>0.0056</v>
      </c>
    </row>
    <row r="1502" s="1" customFormat="1" spans="1:21">
      <c r="A1502" s="1" t="str">
        <f>"4601992019090"</f>
        <v>4601992019090</v>
      </c>
      <c r="B1502" s="1" t="s">
        <v>1526</v>
      </c>
      <c r="C1502" s="1" t="s">
        <v>24</v>
      </c>
      <c r="D1502" s="1" t="str">
        <f t="shared" si="2910"/>
        <v>2021</v>
      </c>
      <c r="E1502" s="1" t="str">
        <f>"12.09"</f>
        <v>12.09</v>
      </c>
      <c r="F1502" s="1" t="str">
        <f t="shared" ref="F1502:I1502" si="2973">"0"</f>
        <v>0</v>
      </c>
      <c r="G1502" s="1" t="str">
        <f t="shared" si="2973"/>
        <v>0</v>
      </c>
      <c r="H1502" s="1" t="str">
        <f t="shared" si="2973"/>
        <v>0</v>
      </c>
      <c r="I1502" s="1" t="str">
        <f t="shared" si="2973"/>
        <v>0</v>
      </c>
      <c r="J1502" s="1" t="str">
        <f>"1"</f>
        <v>1</v>
      </c>
      <c r="K1502" s="1" t="str">
        <f t="shared" ref="K1502:P1502" si="2974">"0"</f>
        <v>0</v>
      </c>
      <c r="L1502" s="1" t="str">
        <f t="shared" si="2974"/>
        <v>0</v>
      </c>
      <c r="M1502" s="1" t="str">
        <f t="shared" si="2974"/>
        <v>0</v>
      </c>
      <c r="N1502" s="1" t="str">
        <f t="shared" si="2974"/>
        <v>0</v>
      </c>
      <c r="O1502" s="1" t="str">
        <f t="shared" si="2974"/>
        <v>0</v>
      </c>
      <c r="P1502" s="1" t="str">
        <f t="shared" si="2974"/>
        <v>0</v>
      </c>
      <c r="Q1502" s="1" t="str">
        <f t="shared" si="2913"/>
        <v>0.0070</v>
      </c>
      <c r="R1502" s="1" t="s">
        <v>25</v>
      </c>
      <c r="T1502" s="1" t="str">
        <f t="shared" si="2914"/>
        <v>0</v>
      </c>
      <c r="U1502" s="1" t="str">
        <f>"0.0070"</f>
        <v>0.0070</v>
      </c>
    </row>
    <row r="1503" s="1" customFormat="1" spans="1:21">
      <c r="A1503" s="1" t="str">
        <f>"4601992019117"</f>
        <v>4601992019117</v>
      </c>
      <c r="B1503" s="1" t="s">
        <v>1527</v>
      </c>
      <c r="C1503" s="1" t="s">
        <v>24</v>
      </c>
      <c r="D1503" s="1" t="str">
        <f t="shared" si="2910"/>
        <v>2021</v>
      </c>
      <c r="E1503" s="1" t="str">
        <f>"108.81"</f>
        <v>108.81</v>
      </c>
      <c r="F1503" s="1" t="str">
        <f t="shared" ref="F1503:I1503" si="2975">"0"</f>
        <v>0</v>
      </c>
      <c r="G1503" s="1" t="str">
        <f t="shared" si="2975"/>
        <v>0</v>
      </c>
      <c r="H1503" s="1" t="str">
        <f t="shared" si="2975"/>
        <v>0</v>
      </c>
      <c r="I1503" s="1" t="str">
        <f t="shared" si="2975"/>
        <v>0</v>
      </c>
      <c r="J1503" s="1" t="str">
        <f>"10"</f>
        <v>10</v>
      </c>
      <c r="K1503" s="1" t="str">
        <f t="shared" ref="K1503:P1503" si="2976">"0"</f>
        <v>0</v>
      </c>
      <c r="L1503" s="1" t="str">
        <f t="shared" si="2976"/>
        <v>0</v>
      </c>
      <c r="M1503" s="1" t="str">
        <f t="shared" si="2976"/>
        <v>0</v>
      </c>
      <c r="N1503" s="1" t="str">
        <f t="shared" si="2976"/>
        <v>0</v>
      </c>
      <c r="O1503" s="1" t="str">
        <f t="shared" si="2976"/>
        <v>0</v>
      </c>
      <c r="P1503" s="1" t="str">
        <f t="shared" si="2976"/>
        <v>0</v>
      </c>
      <c r="Q1503" s="1" t="str">
        <f t="shared" si="2913"/>
        <v>0.0070</v>
      </c>
      <c r="R1503" s="1" t="s">
        <v>29</v>
      </c>
      <c r="S1503" s="1">
        <v>-0.0014</v>
      </c>
      <c r="T1503" s="1" t="str">
        <f t="shared" si="2914"/>
        <v>0</v>
      </c>
      <c r="U1503" s="1" t="str">
        <f t="shared" ref="U1503:U1509" si="2977">"0.0056"</f>
        <v>0.0056</v>
      </c>
    </row>
    <row r="1504" s="1" customFormat="1" spans="1:21">
      <c r="A1504" s="1" t="str">
        <f>"4601992019065"</f>
        <v>4601992019065</v>
      </c>
      <c r="B1504" s="1" t="s">
        <v>1528</v>
      </c>
      <c r="C1504" s="1" t="s">
        <v>24</v>
      </c>
      <c r="D1504" s="1" t="str">
        <f t="shared" si="2910"/>
        <v>2021</v>
      </c>
      <c r="E1504" s="1" t="str">
        <f>"48.36"</f>
        <v>48.36</v>
      </c>
      <c r="F1504" s="1" t="str">
        <f t="shared" ref="F1504:I1504" si="2978">"0"</f>
        <v>0</v>
      </c>
      <c r="G1504" s="1" t="str">
        <f t="shared" si="2978"/>
        <v>0</v>
      </c>
      <c r="H1504" s="1" t="str">
        <f t="shared" si="2978"/>
        <v>0</v>
      </c>
      <c r="I1504" s="1" t="str">
        <f t="shared" si="2978"/>
        <v>0</v>
      </c>
      <c r="J1504" s="1" t="str">
        <f>"11"</f>
        <v>11</v>
      </c>
      <c r="K1504" s="1" t="str">
        <f t="shared" ref="K1504:P1504" si="2979">"0"</f>
        <v>0</v>
      </c>
      <c r="L1504" s="1" t="str">
        <f t="shared" si="2979"/>
        <v>0</v>
      </c>
      <c r="M1504" s="1" t="str">
        <f t="shared" si="2979"/>
        <v>0</v>
      </c>
      <c r="N1504" s="1" t="str">
        <f t="shared" si="2979"/>
        <v>0</v>
      </c>
      <c r="O1504" s="1" t="str">
        <f t="shared" si="2979"/>
        <v>0</v>
      </c>
      <c r="P1504" s="1" t="str">
        <f t="shared" si="2979"/>
        <v>0</v>
      </c>
      <c r="Q1504" s="1" t="str">
        <f t="shared" si="2913"/>
        <v>0.0070</v>
      </c>
      <c r="R1504" s="1" t="s">
        <v>29</v>
      </c>
      <c r="S1504" s="1">
        <v>-0.0014</v>
      </c>
      <c r="T1504" s="1" t="str">
        <f t="shared" si="2914"/>
        <v>0</v>
      </c>
      <c r="U1504" s="1" t="str">
        <f t="shared" si="2977"/>
        <v>0.0056</v>
      </c>
    </row>
    <row r="1505" s="1" customFormat="1" spans="1:21">
      <c r="A1505" s="1" t="str">
        <f>"4601992019093"</f>
        <v>4601992019093</v>
      </c>
      <c r="B1505" s="1" t="s">
        <v>1529</v>
      </c>
      <c r="C1505" s="1" t="s">
        <v>24</v>
      </c>
      <c r="D1505" s="1" t="str">
        <f t="shared" si="2910"/>
        <v>2021</v>
      </c>
      <c r="E1505" s="1" t="str">
        <f>"60.12"</f>
        <v>60.12</v>
      </c>
      <c r="F1505" s="1" t="str">
        <f t="shared" ref="F1505:I1505" si="2980">"0"</f>
        <v>0</v>
      </c>
      <c r="G1505" s="1" t="str">
        <f t="shared" si="2980"/>
        <v>0</v>
      </c>
      <c r="H1505" s="1" t="str">
        <f t="shared" si="2980"/>
        <v>0</v>
      </c>
      <c r="I1505" s="1" t="str">
        <f t="shared" si="2980"/>
        <v>0</v>
      </c>
      <c r="J1505" s="1" t="str">
        <f>"3"</f>
        <v>3</v>
      </c>
      <c r="K1505" s="1" t="str">
        <f t="shared" ref="K1505:P1505" si="2981">"0"</f>
        <v>0</v>
      </c>
      <c r="L1505" s="1" t="str">
        <f t="shared" si="2981"/>
        <v>0</v>
      </c>
      <c r="M1505" s="1" t="str">
        <f t="shared" si="2981"/>
        <v>0</v>
      </c>
      <c r="N1505" s="1" t="str">
        <f t="shared" si="2981"/>
        <v>0</v>
      </c>
      <c r="O1505" s="1" t="str">
        <f t="shared" si="2981"/>
        <v>0</v>
      </c>
      <c r="P1505" s="1" t="str">
        <f t="shared" si="2981"/>
        <v>0</v>
      </c>
      <c r="Q1505" s="1" t="str">
        <f t="shared" si="2913"/>
        <v>0.0070</v>
      </c>
      <c r="R1505" s="1" t="s">
        <v>29</v>
      </c>
      <c r="S1505" s="1">
        <v>-0.0014</v>
      </c>
      <c r="T1505" s="1" t="str">
        <f t="shared" si="2914"/>
        <v>0</v>
      </c>
      <c r="U1505" s="1" t="str">
        <f t="shared" si="2977"/>
        <v>0.0056</v>
      </c>
    </row>
    <row r="1506" s="1" customFormat="1" spans="1:21">
      <c r="A1506" s="1" t="str">
        <f>"4601992019124"</f>
        <v>4601992019124</v>
      </c>
      <c r="B1506" s="1" t="s">
        <v>1530</v>
      </c>
      <c r="C1506" s="1" t="s">
        <v>24</v>
      </c>
      <c r="D1506" s="1" t="str">
        <f t="shared" si="2910"/>
        <v>2021</v>
      </c>
      <c r="E1506" s="1" t="str">
        <f>"24.18"</f>
        <v>24.18</v>
      </c>
      <c r="F1506" s="1" t="str">
        <f t="shared" ref="F1506:I1506" si="2982">"0"</f>
        <v>0</v>
      </c>
      <c r="G1506" s="1" t="str">
        <f t="shared" si="2982"/>
        <v>0</v>
      </c>
      <c r="H1506" s="1" t="str">
        <f t="shared" si="2982"/>
        <v>0</v>
      </c>
      <c r="I1506" s="1" t="str">
        <f t="shared" si="2982"/>
        <v>0</v>
      </c>
      <c r="J1506" s="1" t="str">
        <f t="shared" ref="J1506:J1508" si="2983">"2"</f>
        <v>2</v>
      </c>
      <c r="K1506" s="1" t="str">
        <f t="shared" ref="K1506:P1506" si="2984">"0"</f>
        <v>0</v>
      </c>
      <c r="L1506" s="1" t="str">
        <f t="shared" si="2984"/>
        <v>0</v>
      </c>
      <c r="M1506" s="1" t="str">
        <f t="shared" si="2984"/>
        <v>0</v>
      </c>
      <c r="N1506" s="1" t="str">
        <f t="shared" si="2984"/>
        <v>0</v>
      </c>
      <c r="O1506" s="1" t="str">
        <f t="shared" si="2984"/>
        <v>0</v>
      </c>
      <c r="P1506" s="1" t="str">
        <f t="shared" si="2984"/>
        <v>0</v>
      </c>
      <c r="Q1506" s="1" t="str">
        <f t="shared" si="2913"/>
        <v>0.0070</v>
      </c>
      <c r="R1506" s="1" t="s">
        <v>29</v>
      </c>
      <c r="S1506" s="1">
        <v>-0.0014</v>
      </c>
      <c r="T1506" s="1" t="str">
        <f t="shared" si="2914"/>
        <v>0</v>
      </c>
      <c r="U1506" s="1" t="str">
        <f t="shared" si="2977"/>
        <v>0.0056</v>
      </c>
    </row>
    <row r="1507" s="1" customFormat="1" spans="1:21">
      <c r="A1507" s="1" t="str">
        <f>"4601992019142"</f>
        <v>4601992019142</v>
      </c>
      <c r="B1507" s="1" t="s">
        <v>1531</v>
      </c>
      <c r="C1507" s="1" t="s">
        <v>24</v>
      </c>
      <c r="D1507" s="1" t="str">
        <f t="shared" si="2910"/>
        <v>2021</v>
      </c>
      <c r="E1507" s="1" t="str">
        <f>"23.96"</f>
        <v>23.96</v>
      </c>
      <c r="F1507" s="1" t="str">
        <f t="shared" ref="F1507:I1507" si="2985">"0"</f>
        <v>0</v>
      </c>
      <c r="G1507" s="1" t="str">
        <f t="shared" si="2985"/>
        <v>0</v>
      </c>
      <c r="H1507" s="1" t="str">
        <f t="shared" si="2985"/>
        <v>0</v>
      </c>
      <c r="I1507" s="1" t="str">
        <f t="shared" si="2985"/>
        <v>0</v>
      </c>
      <c r="J1507" s="1" t="str">
        <f t="shared" si="2983"/>
        <v>2</v>
      </c>
      <c r="K1507" s="1" t="str">
        <f t="shared" ref="K1507:P1507" si="2986">"0"</f>
        <v>0</v>
      </c>
      <c r="L1507" s="1" t="str">
        <f t="shared" si="2986"/>
        <v>0</v>
      </c>
      <c r="M1507" s="1" t="str">
        <f t="shared" si="2986"/>
        <v>0</v>
      </c>
      <c r="N1507" s="1" t="str">
        <f t="shared" si="2986"/>
        <v>0</v>
      </c>
      <c r="O1507" s="1" t="str">
        <f t="shared" si="2986"/>
        <v>0</v>
      </c>
      <c r="P1507" s="1" t="str">
        <f t="shared" si="2986"/>
        <v>0</v>
      </c>
      <c r="Q1507" s="1" t="str">
        <f t="shared" si="2913"/>
        <v>0.0070</v>
      </c>
      <c r="R1507" s="1" t="s">
        <v>29</v>
      </c>
      <c r="S1507" s="1">
        <v>-0.0014</v>
      </c>
      <c r="T1507" s="1" t="str">
        <f t="shared" si="2914"/>
        <v>0</v>
      </c>
      <c r="U1507" s="1" t="str">
        <f t="shared" si="2977"/>
        <v>0.0056</v>
      </c>
    </row>
    <row r="1508" s="1" customFormat="1" spans="1:21">
      <c r="A1508" s="1" t="str">
        <f>"4601992019143"</f>
        <v>4601992019143</v>
      </c>
      <c r="B1508" s="1" t="s">
        <v>1532</v>
      </c>
      <c r="C1508" s="1" t="s">
        <v>24</v>
      </c>
      <c r="D1508" s="1" t="str">
        <f t="shared" si="2910"/>
        <v>2021</v>
      </c>
      <c r="E1508" s="1" t="str">
        <f>"24.18"</f>
        <v>24.18</v>
      </c>
      <c r="F1508" s="1" t="str">
        <f t="shared" ref="F1508:I1508" si="2987">"0"</f>
        <v>0</v>
      </c>
      <c r="G1508" s="1" t="str">
        <f t="shared" si="2987"/>
        <v>0</v>
      </c>
      <c r="H1508" s="1" t="str">
        <f t="shared" si="2987"/>
        <v>0</v>
      </c>
      <c r="I1508" s="1" t="str">
        <f t="shared" si="2987"/>
        <v>0</v>
      </c>
      <c r="J1508" s="1" t="str">
        <f t="shared" si="2983"/>
        <v>2</v>
      </c>
      <c r="K1508" s="1" t="str">
        <f t="shared" ref="K1508:P1508" si="2988">"0"</f>
        <v>0</v>
      </c>
      <c r="L1508" s="1" t="str">
        <f t="shared" si="2988"/>
        <v>0</v>
      </c>
      <c r="M1508" s="1" t="str">
        <f t="shared" si="2988"/>
        <v>0</v>
      </c>
      <c r="N1508" s="1" t="str">
        <f t="shared" si="2988"/>
        <v>0</v>
      </c>
      <c r="O1508" s="1" t="str">
        <f t="shared" si="2988"/>
        <v>0</v>
      </c>
      <c r="P1508" s="1" t="str">
        <f t="shared" si="2988"/>
        <v>0</v>
      </c>
      <c r="Q1508" s="1" t="str">
        <f t="shared" si="2913"/>
        <v>0.0070</v>
      </c>
      <c r="R1508" s="1" t="s">
        <v>29</v>
      </c>
      <c r="S1508" s="1">
        <v>-0.0014</v>
      </c>
      <c r="T1508" s="1" t="str">
        <f t="shared" si="2914"/>
        <v>0</v>
      </c>
      <c r="U1508" s="1" t="str">
        <f t="shared" si="2977"/>
        <v>0.0056</v>
      </c>
    </row>
    <row r="1509" s="1" customFormat="1" spans="1:21">
      <c r="A1509" s="1" t="str">
        <f>"4601992019161"</f>
        <v>4601992019161</v>
      </c>
      <c r="B1509" s="1" t="s">
        <v>1533</v>
      </c>
      <c r="C1509" s="1" t="s">
        <v>24</v>
      </c>
      <c r="D1509" s="1" t="str">
        <f t="shared" si="2910"/>
        <v>2021</v>
      </c>
      <c r="E1509" s="1" t="str">
        <f>"230.74"</f>
        <v>230.74</v>
      </c>
      <c r="F1509" s="1" t="str">
        <f t="shared" ref="F1509:I1509" si="2989">"0"</f>
        <v>0</v>
      </c>
      <c r="G1509" s="1" t="str">
        <f t="shared" si="2989"/>
        <v>0</v>
      </c>
      <c r="H1509" s="1" t="str">
        <f t="shared" si="2989"/>
        <v>0</v>
      </c>
      <c r="I1509" s="1" t="str">
        <f t="shared" si="2989"/>
        <v>0</v>
      </c>
      <c r="J1509" s="1" t="str">
        <f>"13"</f>
        <v>13</v>
      </c>
      <c r="K1509" s="1" t="str">
        <f t="shared" ref="K1509:P1509" si="2990">"0"</f>
        <v>0</v>
      </c>
      <c r="L1509" s="1" t="str">
        <f t="shared" si="2990"/>
        <v>0</v>
      </c>
      <c r="M1509" s="1" t="str">
        <f t="shared" si="2990"/>
        <v>0</v>
      </c>
      <c r="N1509" s="1" t="str">
        <f t="shared" si="2990"/>
        <v>0</v>
      </c>
      <c r="O1509" s="1" t="str">
        <f t="shared" si="2990"/>
        <v>0</v>
      </c>
      <c r="P1509" s="1" t="str">
        <f t="shared" si="2990"/>
        <v>0</v>
      </c>
      <c r="Q1509" s="1" t="str">
        <f t="shared" si="2913"/>
        <v>0.0070</v>
      </c>
      <c r="R1509" s="1" t="s">
        <v>29</v>
      </c>
      <c r="S1509" s="1">
        <v>-0.0014</v>
      </c>
      <c r="T1509" s="1" t="str">
        <f t="shared" si="2914"/>
        <v>0</v>
      </c>
      <c r="U1509" s="1" t="str">
        <f t="shared" si="2977"/>
        <v>0.0056</v>
      </c>
    </row>
    <row r="1510" s="1" customFormat="1" spans="1:21">
      <c r="A1510" s="1" t="str">
        <f>"4601992019200"</f>
        <v>4601992019200</v>
      </c>
      <c r="B1510" s="1" t="s">
        <v>1534</v>
      </c>
      <c r="C1510" s="1" t="s">
        <v>24</v>
      </c>
      <c r="D1510" s="1" t="str">
        <f t="shared" si="2910"/>
        <v>2021</v>
      </c>
      <c r="E1510" s="1" t="str">
        <f>"71.88"</f>
        <v>71.88</v>
      </c>
      <c r="F1510" s="1" t="str">
        <f t="shared" ref="F1510:I1510" si="2991">"0"</f>
        <v>0</v>
      </c>
      <c r="G1510" s="1" t="str">
        <f t="shared" si="2991"/>
        <v>0</v>
      </c>
      <c r="H1510" s="1" t="str">
        <f t="shared" si="2991"/>
        <v>0</v>
      </c>
      <c r="I1510" s="1" t="str">
        <f t="shared" si="2991"/>
        <v>0</v>
      </c>
      <c r="J1510" s="1" t="str">
        <f>"5"</f>
        <v>5</v>
      </c>
      <c r="K1510" s="1" t="str">
        <f t="shared" ref="K1510:P1510" si="2992">"0"</f>
        <v>0</v>
      </c>
      <c r="L1510" s="1" t="str">
        <f t="shared" si="2992"/>
        <v>0</v>
      </c>
      <c r="M1510" s="1" t="str">
        <f t="shared" si="2992"/>
        <v>0</v>
      </c>
      <c r="N1510" s="1" t="str">
        <f t="shared" si="2992"/>
        <v>0</v>
      </c>
      <c r="O1510" s="1" t="str">
        <f t="shared" si="2992"/>
        <v>0</v>
      </c>
      <c r="P1510" s="1" t="str">
        <f t="shared" si="2992"/>
        <v>0</v>
      </c>
      <c r="Q1510" s="1" t="str">
        <f t="shared" si="2913"/>
        <v>0.0070</v>
      </c>
      <c r="R1510" s="1" t="s">
        <v>25</v>
      </c>
      <c r="T1510" s="1" t="str">
        <f t="shared" si="2914"/>
        <v>0</v>
      </c>
      <c r="U1510" s="1" t="str">
        <f t="shared" ref="U1510:U1515" si="2993">"0.0070"</f>
        <v>0.0070</v>
      </c>
    </row>
    <row r="1511" s="1" customFormat="1" spans="1:21">
      <c r="A1511" s="1" t="str">
        <f>"4601992019182"</f>
        <v>4601992019182</v>
      </c>
      <c r="B1511" s="1" t="s">
        <v>1535</v>
      </c>
      <c r="C1511" s="1" t="s">
        <v>24</v>
      </c>
      <c r="D1511" s="1" t="str">
        <f t="shared" si="2910"/>
        <v>2021</v>
      </c>
      <c r="E1511" s="1" t="str">
        <f>"24.07"</f>
        <v>24.07</v>
      </c>
      <c r="F1511" s="1" t="str">
        <f t="shared" ref="F1511:I1511" si="2994">"0"</f>
        <v>0</v>
      </c>
      <c r="G1511" s="1" t="str">
        <f t="shared" si="2994"/>
        <v>0</v>
      </c>
      <c r="H1511" s="1" t="str">
        <f t="shared" si="2994"/>
        <v>0</v>
      </c>
      <c r="I1511" s="1" t="str">
        <f t="shared" si="2994"/>
        <v>0</v>
      </c>
      <c r="J1511" s="1" t="str">
        <f t="shared" ref="J1511:J1516" si="2995">"2"</f>
        <v>2</v>
      </c>
      <c r="K1511" s="1" t="str">
        <f t="shared" ref="K1511:P1511" si="2996">"0"</f>
        <v>0</v>
      </c>
      <c r="L1511" s="1" t="str">
        <f t="shared" si="2996"/>
        <v>0</v>
      </c>
      <c r="M1511" s="1" t="str">
        <f t="shared" si="2996"/>
        <v>0</v>
      </c>
      <c r="N1511" s="1" t="str">
        <f t="shared" si="2996"/>
        <v>0</v>
      </c>
      <c r="O1511" s="1" t="str">
        <f t="shared" si="2996"/>
        <v>0</v>
      </c>
      <c r="P1511" s="1" t="str">
        <f t="shared" si="2996"/>
        <v>0</v>
      </c>
      <c r="Q1511" s="1" t="str">
        <f t="shared" si="2913"/>
        <v>0.0070</v>
      </c>
      <c r="R1511" s="1" t="s">
        <v>29</v>
      </c>
      <c r="S1511" s="1">
        <v>-0.0014</v>
      </c>
      <c r="T1511" s="1" t="str">
        <f t="shared" si="2914"/>
        <v>0</v>
      </c>
      <c r="U1511" s="1" t="str">
        <f t="shared" ref="U1511:U1513" si="2997">"0.0056"</f>
        <v>0.0056</v>
      </c>
    </row>
    <row r="1512" s="1" customFormat="1" spans="1:21">
      <c r="A1512" s="1" t="str">
        <f>"4601992019267"</f>
        <v>4601992019267</v>
      </c>
      <c r="B1512" s="1" t="s">
        <v>1536</v>
      </c>
      <c r="C1512" s="1" t="s">
        <v>24</v>
      </c>
      <c r="D1512" s="1" t="str">
        <f t="shared" si="2910"/>
        <v>2021</v>
      </c>
      <c r="E1512" s="1" t="str">
        <f>"24.07"</f>
        <v>24.07</v>
      </c>
      <c r="F1512" s="1" t="str">
        <f t="shared" ref="F1512:I1512" si="2998">"0"</f>
        <v>0</v>
      </c>
      <c r="G1512" s="1" t="str">
        <f t="shared" si="2998"/>
        <v>0</v>
      </c>
      <c r="H1512" s="1" t="str">
        <f t="shared" si="2998"/>
        <v>0</v>
      </c>
      <c r="I1512" s="1" t="str">
        <f t="shared" si="2998"/>
        <v>0</v>
      </c>
      <c r="J1512" s="1" t="str">
        <f t="shared" si="2995"/>
        <v>2</v>
      </c>
      <c r="K1512" s="1" t="str">
        <f t="shared" ref="K1512:P1512" si="2999">"0"</f>
        <v>0</v>
      </c>
      <c r="L1512" s="1" t="str">
        <f t="shared" si="2999"/>
        <v>0</v>
      </c>
      <c r="M1512" s="1" t="str">
        <f t="shared" si="2999"/>
        <v>0</v>
      </c>
      <c r="N1512" s="1" t="str">
        <f t="shared" si="2999"/>
        <v>0</v>
      </c>
      <c r="O1512" s="1" t="str">
        <f t="shared" si="2999"/>
        <v>0</v>
      </c>
      <c r="P1512" s="1" t="str">
        <f t="shared" si="2999"/>
        <v>0</v>
      </c>
      <c r="Q1512" s="1" t="str">
        <f t="shared" si="2913"/>
        <v>0.0070</v>
      </c>
      <c r="R1512" s="1" t="s">
        <v>29</v>
      </c>
      <c r="S1512" s="1">
        <v>-0.0014</v>
      </c>
      <c r="T1512" s="1" t="str">
        <f t="shared" si="2914"/>
        <v>0</v>
      </c>
      <c r="U1512" s="1" t="str">
        <f t="shared" si="2997"/>
        <v>0.0056</v>
      </c>
    </row>
    <row r="1513" s="1" customFormat="1" spans="1:21">
      <c r="A1513" s="1" t="str">
        <f>"4601992019270"</f>
        <v>4601992019270</v>
      </c>
      <c r="B1513" s="1" t="s">
        <v>1537</v>
      </c>
      <c r="C1513" s="1" t="s">
        <v>24</v>
      </c>
      <c r="D1513" s="1" t="str">
        <f t="shared" si="2910"/>
        <v>2021</v>
      </c>
      <c r="E1513" s="1" t="str">
        <f>"29.59"</f>
        <v>29.59</v>
      </c>
      <c r="F1513" s="1" t="str">
        <f t="shared" ref="F1513:I1513" si="3000">"0"</f>
        <v>0</v>
      </c>
      <c r="G1513" s="1" t="str">
        <f t="shared" si="3000"/>
        <v>0</v>
      </c>
      <c r="H1513" s="1" t="str">
        <f t="shared" si="3000"/>
        <v>0</v>
      </c>
      <c r="I1513" s="1" t="str">
        <f t="shared" si="3000"/>
        <v>0</v>
      </c>
      <c r="J1513" s="1" t="str">
        <f>"3"</f>
        <v>3</v>
      </c>
      <c r="K1513" s="1" t="str">
        <f t="shared" ref="K1513:P1513" si="3001">"0"</f>
        <v>0</v>
      </c>
      <c r="L1513" s="1" t="str">
        <f t="shared" si="3001"/>
        <v>0</v>
      </c>
      <c r="M1513" s="1" t="str">
        <f t="shared" si="3001"/>
        <v>0</v>
      </c>
      <c r="N1513" s="1" t="str">
        <f t="shared" si="3001"/>
        <v>0</v>
      </c>
      <c r="O1513" s="1" t="str">
        <f t="shared" si="3001"/>
        <v>0</v>
      </c>
      <c r="P1513" s="1" t="str">
        <f t="shared" si="3001"/>
        <v>0</v>
      </c>
      <c r="Q1513" s="1" t="str">
        <f t="shared" si="2913"/>
        <v>0.0070</v>
      </c>
      <c r="R1513" s="1" t="s">
        <v>29</v>
      </c>
      <c r="S1513" s="1">
        <v>-0.0014</v>
      </c>
      <c r="T1513" s="1" t="str">
        <f t="shared" si="2914"/>
        <v>0</v>
      </c>
      <c r="U1513" s="1" t="str">
        <f t="shared" si="2997"/>
        <v>0.0056</v>
      </c>
    </row>
    <row r="1514" s="1" customFormat="1" spans="1:21">
      <c r="A1514" s="1" t="str">
        <f>"4601992019278"</f>
        <v>4601992019278</v>
      </c>
      <c r="B1514" s="1" t="s">
        <v>1538</v>
      </c>
      <c r="C1514" s="1" t="s">
        <v>24</v>
      </c>
      <c r="D1514" s="1" t="str">
        <f t="shared" si="2910"/>
        <v>2021</v>
      </c>
      <c r="E1514" s="1" t="str">
        <f t="shared" ref="E1514:P1514" si="3002">"0"</f>
        <v>0</v>
      </c>
      <c r="F1514" s="1" t="str">
        <f t="shared" si="3002"/>
        <v>0</v>
      </c>
      <c r="G1514" s="1" t="str">
        <f t="shared" si="3002"/>
        <v>0</v>
      </c>
      <c r="H1514" s="1" t="str">
        <f t="shared" si="3002"/>
        <v>0</v>
      </c>
      <c r="I1514" s="1" t="str">
        <f t="shared" si="3002"/>
        <v>0</v>
      </c>
      <c r="J1514" s="1" t="str">
        <f t="shared" si="3002"/>
        <v>0</v>
      </c>
      <c r="K1514" s="1" t="str">
        <f t="shared" si="3002"/>
        <v>0</v>
      </c>
      <c r="L1514" s="1" t="str">
        <f t="shared" si="3002"/>
        <v>0</v>
      </c>
      <c r="M1514" s="1" t="str">
        <f t="shared" si="3002"/>
        <v>0</v>
      </c>
      <c r="N1514" s="1" t="str">
        <f t="shared" si="3002"/>
        <v>0</v>
      </c>
      <c r="O1514" s="1" t="str">
        <f t="shared" si="3002"/>
        <v>0</v>
      </c>
      <c r="P1514" s="1" t="str">
        <f t="shared" si="3002"/>
        <v>0</v>
      </c>
      <c r="Q1514" s="1" t="str">
        <f t="shared" si="2913"/>
        <v>0.0070</v>
      </c>
      <c r="R1514" s="1" t="s">
        <v>25</v>
      </c>
      <c r="T1514" s="1" t="str">
        <f t="shared" si="2914"/>
        <v>0</v>
      </c>
      <c r="U1514" s="1" t="str">
        <f t="shared" si="2993"/>
        <v>0.0070</v>
      </c>
    </row>
    <row r="1515" s="1" customFormat="1" spans="1:21">
      <c r="A1515" s="1" t="str">
        <f>"4601992019359"</f>
        <v>4601992019359</v>
      </c>
      <c r="B1515" s="1" t="s">
        <v>1539</v>
      </c>
      <c r="C1515" s="1" t="s">
        <v>24</v>
      </c>
      <c r="D1515" s="1" t="str">
        <f t="shared" si="2910"/>
        <v>2021</v>
      </c>
      <c r="E1515" s="1" t="str">
        <f t="shared" ref="E1515:P1515" si="3003">"0"</f>
        <v>0</v>
      </c>
      <c r="F1515" s="1" t="str">
        <f t="shared" si="3003"/>
        <v>0</v>
      </c>
      <c r="G1515" s="1" t="str">
        <f t="shared" si="3003"/>
        <v>0</v>
      </c>
      <c r="H1515" s="1" t="str">
        <f t="shared" si="3003"/>
        <v>0</v>
      </c>
      <c r="I1515" s="1" t="str">
        <f t="shared" si="3003"/>
        <v>0</v>
      </c>
      <c r="J1515" s="1" t="str">
        <f t="shared" si="3003"/>
        <v>0</v>
      </c>
      <c r="K1515" s="1" t="str">
        <f t="shared" si="3003"/>
        <v>0</v>
      </c>
      <c r="L1515" s="1" t="str">
        <f t="shared" si="3003"/>
        <v>0</v>
      </c>
      <c r="M1515" s="1" t="str">
        <f t="shared" si="3003"/>
        <v>0</v>
      </c>
      <c r="N1515" s="1" t="str">
        <f t="shared" si="3003"/>
        <v>0</v>
      </c>
      <c r="O1515" s="1" t="str">
        <f t="shared" si="3003"/>
        <v>0</v>
      </c>
      <c r="P1515" s="1" t="str">
        <f t="shared" si="3003"/>
        <v>0</v>
      </c>
      <c r="Q1515" s="1" t="str">
        <f t="shared" si="2913"/>
        <v>0.0070</v>
      </c>
      <c r="R1515" s="1" t="s">
        <v>25</v>
      </c>
      <c r="T1515" s="1" t="str">
        <f t="shared" si="2914"/>
        <v>0</v>
      </c>
      <c r="U1515" s="1" t="str">
        <f t="shared" si="2993"/>
        <v>0.0070</v>
      </c>
    </row>
    <row r="1516" s="1" customFormat="1" spans="1:21">
      <c r="A1516" s="1" t="str">
        <f>"4601992019273"</f>
        <v>4601992019273</v>
      </c>
      <c r="B1516" s="1" t="s">
        <v>1540</v>
      </c>
      <c r="C1516" s="1" t="s">
        <v>24</v>
      </c>
      <c r="D1516" s="1" t="str">
        <f t="shared" si="2910"/>
        <v>2021</v>
      </c>
      <c r="E1516" s="1" t="str">
        <f>"24.34"</f>
        <v>24.34</v>
      </c>
      <c r="F1516" s="1" t="str">
        <f t="shared" ref="F1516:I1516" si="3004">"0"</f>
        <v>0</v>
      </c>
      <c r="G1516" s="1" t="str">
        <f t="shared" si="3004"/>
        <v>0</v>
      </c>
      <c r="H1516" s="1" t="str">
        <f t="shared" si="3004"/>
        <v>0</v>
      </c>
      <c r="I1516" s="1" t="str">
        <f t="shared" si="3004"/>
        <v>0</v>
      </c>
      <c r="J1516" s="1" t="str">
        <f t="shared" si="2995"/>
        <v>2</v>
      </c>
      <c r="K1516" s="1" t="str">
        <f t="shared" ref="K1516:P1516" si="3005">"0"</f>
        <v>0</v>
      </c>
      <c r="L1516" s="1" t="str">
        <f t="shared" si="3005"/>
        <v>0</v>
      </c>
      <c r="M1516" s="1" t="str">
        <f t="shared" si="3005"/>
        <v>0</v>
      </c>
      <c r="N1516" s="1" t="str">
        <f t="shared" si="3005"/>
        <v>0</v>
      </c>
      <c r="O1516" s="1" t="str">
        <f t="shared" si="3005"/>
        <v>0</v>
      </c>
      <c r="P1516" s="1" t="str">
        <f t="shared" si="3005"/>
        <v>0</v>
      </c>
      <c r="Q1516" s="1" t="str">
        <f t="shared" si="2913"/>
        <v>0.0070</v>
      </c>
      <c r="R1516" s="1" t="s">
        <v>29</v>
      </c>
      <c r="S1516" s="1">
        <v>-0.0014</v>
      </c>
      <c r="T1516" s="1" t="str">
        <f t="shared" si="2914"/>
        <v>0</v>
      </c>
      <c r="U1516" s="1" t="str">
        <f t="shared" ref="U1516:U1518" si="3006">"0.0056"</f>
        <v>0.0056</v>
      </c>
    </row>
    <row r="1517" s="1" customFormat="1" spans="1:21">
      <c r="A1517" s="1" t="str">
        <f>"4601992019311"</f>
        <v>4601992019311</v>
      </c>
      <c r="B1517" s="1" t="s">
        <v>1541</v>
      </c>
      <c r="C1517" s="1" t="s">
        <v>24</v>
      </c>
      <c r="D1517" s="1" t="str">
        <f t="shared" si="2910"/>
        <v>2021</v>
      </c>
      <c r="E1517" s="1" t="str">
        <f>"120.35"</f>
        <v>120.35</v>
      </c>
      <c r="F1517" s="1" t="str">
        <f t="shared" ref="F1517:I1517" si="3007">"0"</f>
        <v>0</v>
      </c>
      <c r="G1517" s="1" t="str">
        <f t="shared" si="3007"/>
        <v>0</v>
      </c>
      <c r="H1517" s="1" t="str">
        <f t="shared" si="3007"/>
        <v>0</v>
      </c>
      <c r="I1517" s="1" t="str">
        <f t="shared" si="3007"/>
        <v>0</v>
      </c>
      <c r="J1517" s="1" t="str">
        <f>"10"</f>
        <v>10</v>
      </c>
      <c r="K1517" s="1" t="str">
        <f t="shared" ref="K1517:P1517" si="3008">"0"</f>
        <v>0</v>
      </c>
      <c r="L1517" s="1" t="str">
        <f t="shared" si="3008"/>
        <v>0</v>
      </c>
      <c r="M1517" s="1" t="str">
        <f t="shared" si="3008"/>
        <v>0</v>
      </c>
      <c r="N1517" s="1" t="str">
        <f t="shared" si="3008"/>
        <v>0</v>
      </c>
      <c r="O1517" s="1" t="str">
        <f t="shared" si="3008"/>
        <v>0</v>
      </c>
      <c r="P1517" s="1" t="str">
        <f t="shared" si="3008"/>
        <v>0</v>
      </c>
      <c r="Q1517" s="1" t="str">
        <f t="shared" si="2913"/>
        <v>0.0070</v>
      </c>
      <c r="R1517" s="1" t="s">
        <v>29</v>
      </c>
      <c r="S1517" s="1">
        <v>-0.0014</v>
      </c>
      <c r="T1517" s="1" t="str">
        <f t="shared" si="2914"/>
        <v>0</v>
      </c>
      <c r="U1517" s="1" t="str">
        <f t="shared" si="3006"/>
        <v>0.0056</v>
      </c>
    </row>
    <row r="1518" s="1" customFormat="1" spans="1:21">
      <c r="A1518" s="1" t="str">
        <f>"4601992019319"</f>
        <v>4601992019319</v>
      </c>
      <c r="B1518" s="1" t="s">
        <v>1542</v>
      </c>
      <c r="C1518" s="1" t="s">
        <v>24</v>
      </c>
      <c r="D1518" s="1" t="str">
        <f t="shared" si="2910"/>
        <v>2021</v>
      </c>
      <c r="E1518" s="1" t="str">
        <f>"48.36"</f>
        <v>48.36</v>
      </c>
      <c r="F1518" s="1" t="str">
        <f t="shared" ref="F1518:I1518" si="3009">"0"</f>
        <v>0</v>
      </c>
      <c r="G1518" s="1" t="str">
        <f t="shared" si="3009"/>
        <v>0</v>
      </c>
      <c r="H1518" s="1" t="str">
        <f t="shared" si="3009"/>
        <v>0</v>
      </c>
      <c r="I1518" s="1" t="str">
        <f t="shared" si="3009"/>
        <v>0</v>
      </c>
      <c r="J1518" s="1" t="str">
        <f>"3"</f>
        <v>3</v>
      </c>
      <c r="K1518" s="1" t="str">
        <f t="shared" ref="K1518:P1518" si="3010">"0"</f>
        <v>0</v>
      </c>
      <c r="L1518" s="1" t="str">
        <f t="shared" si="3010"/>
        <v>0</v>
      </c>
      <c r="M1518" s="1" t="str">
        <f t="shared" si="3010"/>
        <v>0</v>
      </c>
      <c r="N1518" s="1" t="str">
        <f t="shared" si="3010"/>
        <v>0</v>
      </c>
      <c r="O1518" s="1" t="str">
        <f t="shared" si="3010"/>
        <v>0</v>
      </c>
      <c r="P1518" s="1" t="str">
        <f t="shared" si="3010"/>
        <v>0</v>
      </c>
      <c r="Q1518" s="1" t="str">
        <f t="shared" si="2913"/>
        <v>0.0070</v>
      </c>
      <c r="R1518" s="1" t="s">
        <v>29</v>
      </c>
      <c r="S1518" s="1">
        <v>-0.0014</v>
      </c>
      <c r="T1518" s="1" t="str">
        <f t="shared" si="2914"/>
        <v>0</v>
      </c>
      <c r="U1518" s="1" t="str">
        <f t="shared" si="3006"/>
        <v>0.0056</v>
      </c>
    </row>
    <row r="1519" s="1" customFormat="1" spans="1:21">
      <c r="A1519" s="1" t="str">
        <f>"4601992019400"</f>
        <v>4601992019400</v>
      </c>
      <c r="B1519" s="1" t="s">
        <v>1543</v>
      </c>
      <c r="C1519" s="1" t="s">
        <v>24</v>
      </c>
      <c r="D1519" s="1" t="str">
        <f t="shared" si="2910"/>
        <v>2021</v>
      </c>
      <c r="E1519" s="1" t="str">
        <f t="shared" ref="E1519:P1519" si="3011">"0"</f>
        <v>0</v>
      </c>
      <c r="F1519" s="1" t="str">
        <f t="shared" si="3011"/>
        <v>0</v>
      </c>
      <c r="G1519" s="1" t="str">
        <f t="shared" si="3011"/>
        <v>0</v>
      </c>
      <c r="H1519" s="1" t="str">
        <f t="shared" si="3011"/>
        <v>0</v>
      </c>
      <c r="I1519" s="1" t="str">
        <f t="shared" si="3011"/>
        <v>0</v>
      </c>
      <c r="J1519" s="1" t="str">
        <f t="shared" si="3011"/>
        <v>0</v>
      </c>
      <c r="K1519" s="1" t="str">
        <f t="shared" si="3011"/>
        <v>0</v>
      </c>
      <c r="L1519" s="1" t="str">
        <f t="shared" si="3011"/>
        <v>0</v>
      </c>
      <c r="M1519" s="1" t="str">
        <f t="shared" si="3011"/>
        <v>0</v>
      </c>
      <c r="N1519" s="1" t="str">
        <f t="shared" si="3011"/>
        <v>0</v>
      </c>
      <c r="O1519" s="1" t="str">
        <f t="shared" si="3011"/>
        <v>0</v>
      </c>
      <c r="P1519" s="1" t="str">
        <f t="shared" si="3011"/>
        <v>0</v>
      </c>
      <c r="Q1519" s="1" t="str">
        <f t="shared" si="2913"/>
        <v>0.0070</v>
      </c>
      <c r="R1519" s="1" t="s">
        <v>25</v>
      </c>
      <c r="T1519" s="1" t="str">
        <f t="shared" si="2914"/>
        <v>0</v>
      </c>
      <c r="U1519" s="1" t="str">
        <f>"0.0070"</f>
        <v>0.0070</v>
      </c>
    </row>
    <row r="1520" s="1" customFormat="1" spans="1:21">
      <c r="A1520" s="1" t="str">
        <f>"4601992019406"</f>
        <v>4601992019406</v>
      </c>
      <c r="B1520" s="1" t="s">
        <v>1544</v>
      </c>
      <c r="C1520" s="1" t="s">
        <v>24</v>
      </c>
      <c r="D1520" s="1" t="str">
        <f t="shared" si="2910"/>
        <v>2021</v>
      </c>
      <c r="E1520" s="1" t="str">
        <f t="shared" ref="E1520:G1520" si="3012">"0"</f>
        <v>0</v>
      </c>
      <c r="F1520" s="1" t="str">
        <f t="shared" si="3012"/>
        <v>0</v>
      </c>
      <c r="G1520" s="1" t="str">
        <f t="shared" si="3012"/>
        <v>0</v>
      </c>
      <c r="H1520" s="1" t="str">
        <f>"36.27"</f>
        <v>36.27</v>
      </c>
      <c r="I1520" s="1" t="str">
        <f t="shared" ref="I1520:P1520" si="3013">"0"</f>
        <v>0</v>
      </c>
      <c r="J1520" s="1" t="str">
        <f t="shared" si="3013"/>
        <v>0</v>
      </c>
      <c r="K1520" s="1" t="str">
        <f t="shared" si="3013"/>
        <v>0</v>
      </c>
      <c r="L1520" s="1" t="str">
        <f t="shared" si="3013"/>
        <v>0</v>
      </c>
      <c r="M1520" s="1" t="str">
        <f t="shared" si="3013"/>
        <v>0</v>
      </c>
      <c r="N1520" s="1" t="str">
        <f t="shared" si="3013"/>
        <v>0</v>
      </c>
      <c r="O1520" s="1" t="str">
        <f t="shared" si="3013"/>
        <v>0</v>
      </c>
      <c r="P1520" s="1" t="str">
        <f t="shared" si="3013"/>
        <v>0</v>
      </c>
      <c r="Q1520" s="1" t="str">
        <f t="shared" si="2913"/>
        <v>0.0070</v>
      </c>
      <c r="R1520" s="1" t="s">
        <v>25</v>
      </c>
      <c r="T1520" s="1" t="str">
        <f t="shared" si="2914"/>
        <v>0</v>
      </c>
      <c r="U1520" s="1" t="str">
        <f>"0.0070"</f>
        <v>0.0070</v>
      </c>
    </row>
    <row r="1521" s="1" customFormat="1" spans="1:21">
      <c r="A1521" s="1" t="str">
        <f>"4601992019423"</f>
        <v>4601992019423</v>
      </c>
      <c r="B1521" s="1" t="s">
        <v>1545</v>
      </c>
      <c r="C1521" s="1" t="s">
        <v>24</v>
      </c>
      <c r="D1521" s="1" t="str">
        <f t="shared" si="2910"/>
        <v>2021</v>
      </c>
      <c r="E1521" s="1" t="str">
        <f>"24.18"</f>
        <v>24.18</v>
      </c>
      <c r="F1521" s="1" t="str">
        <f t="shared" ref="F1521:I1521" si="3014">"0"</f>
        <v>0</v>
      </c>
      <c r="G1521" s="1" t="str">
        <f t="shared" si="3014"/>
        <v>0</v>
      </c>
      <c r="H1521" s="1" t="str">
        <f t="shared" si="3014"/>
        <v>0</v>
      </c>
      <c r="I1521" s="1" t="str">
        <f t="shared" si="3014"/>
        <v>0</v>
      </c>
      <c r="J1521" s="1" t="str">
        <f>"2"</f>
        <v>2</v>
      </c>
      <c r="K1521" s="1" t="str">
        <f t="shared" ref="K1521:P1521" si="3015">"0"</f>
        <v>0</v>
      </c>
      <c r="L1521" s="1" t="str">
        <f t="shared" si="3015"/>
        <v>0</v>
      </c>
      <c r="M1521" s="1" t="str">
        <f t="shared" si="3015"/>
        <v>0</v>
      </c>
      <c r="N1521" s="1" t="str">
        <f t="shared" si="3015"/>
        <v>0</v>
      </c>
      <c r="O1521" s="1" t="str">
        <f t="shared" si="3015"/>
        <v>0</v>
      </c>
      <c r="P1521" s="1" t="str">
        <f t="shared" si="3015"/>
        <v>0</v>
      </c>
      <c r="Q1521" s="1" t="str">
        <f t="shared" si="2913"/>
        <v>0.0070</v>
      </c>
      <c r="R1521" s="1" t="s">
        <v>29</v>
      </c>
      <c r="S1521" s="1">
        <v>-0.0014</v>
      </c>
      <c r="T1521" s="1" t="str">
        <f t="shared" si="2914"/>
        <v>0</v>
      </c>
      <c r="U1521" s="1" t="str">
        <f t="shared" ref="U1521:U1524" si="3016">"0.0056"</f>
        <v>0.0056</v>
      </c>
    </row>
    <row r="1522" s="1" customFormat="1" spans="1:21">
      <c r="A1522" s="1" t="str">
        <f>"4601992019409"</f>
        <v>4601992019409</v>
      </c>
      <c r="B1522" s="1" t="s">
        <v>1546</v>
      </c>
      <c r="C1522" s="1" t="s">
        <v>24</v>
      </c>
      <c r="D1522" s="1" t="str">
        <f t="shared" si="2910"/>
        <v>2021</v>
      </c>
      <c r="E1522" s="1" t="str">
        <f>"42.00"</f>
        <v>42.00</v>
      </c>
      <c r="F1522" s="1" t="str">
        <f t="shared" ref="F1522:I1522" si="3017">"0"</f>
        <v>0</v>
      </c>
      <c r="G1522" s="1" t="str">
        <f t="shared" si="3017"/>
        <v>0</v>
      </c>
      <c r="H1522" s="1" t="str">
        <f t="shared" si="3017"/>
        <v>0</v>
      </c>
      <c r="I1522" s="1" t="str">
        <f t="shared" si="3017"/>
        <v>0</v>
      </c>
      <c r="J1522" s="1" t="str">
        <f>"3"</f>
        <v>3</v>
      </c>
      <c r="K1522" s="1" t="str">
        <f t="shared" ref="K1522:P1522" si="3018">"0"</f>
        <v>0</v>
      </c>
      <c r="L1522" s="1" t="str">
        <f t="shared" si="3018"/>
        <v>0</v>
      </c>
      <c r="M1522" s="1" t="str">
        <f t="shared" si="3018"/>
        <v>0</v>
      </c>
      <c r="N1522" s="1" t="str">
        <f t="shared" si="3018"/>
        <v>0</v>
      </c>
      <c r="O1522" s="1" t="str">
        <f t="shared" si="3018"/>
        <v>0</v>
      </c>
      <c r="P1522" s="1" t="str">
        <f t="shared" si="3018"/>
        <v>0</v>
      </c>
      <c r="Q1522" s="1" t="str">
        <f t="shared" si="2913"/>
        <v>0.0070</v>
      </c>
      <c r="R1522" s="1" t="s">
        <v>29</v>
      </c>
      <c r="S1522" s="1">
        <v>-0.0014</v>
      </c>
      <c r="T1522" s="1" t="str">
        <f t="shared" si="2914"/>
        <v>0</v>
      </c>
      <c r="U1522" s="1" t="str">
        <f t="shared" si="3016"/>
        <v>0.0056</v>
      </c>
    </row>
    <row r="1523" s="1" customFormat="1" spans="1:21">
      <c r="A1523" s="1" t="str">
        <f>"4601992019458"</f>
        <v>4601992019458</v>
      </c>
      <c r="B1523" s="1" t="s">
        <v>1547</v>
      </c>
      <c r="C1523" s="1" t="s">
        <v>24</v>
      </c>
      <c r="D1523" s="1" t="str">
        <f t="shared" si="2910"/>
        <v>2021</v>
      </c>
      <c r="E1523" s="1" t="str">
        <f>"24.18"</f>
        <v>24.18</v>
      </c>
      <c r="F1523" s="1" t="str">
        <f t="shared" ref="F1523:I1523" si="3019">"0"</f>
        <v>0</v>
      </c>
      <c r="G1523" s="1" t="str">
        <f t="shared" si="3019"/>
        <v>0</v>
      </c>
      <c r="H1523" s="1" t="str">
        <f t="shared" si="3019"/>
        <v>0</v>
      </c>
      <c r="I1523" s="1" t="str">
        <f t="shared" si="3019"/>
        <v>0</v>
      </c>
      <c r="J1523" s="1" t="str">
        <f>"2"</f>
        <v>2</v>
      </c>
      <c r="K1523" s="1" t="str">
        <f t="shared" ref="K1523:P1523" si="3020">"0"</f>
        <v>0</v>
      </c>
      <c r="L1523" s="1" t="str">
        <f t="shared" si="3020"/>
        <v>0</v>
      </c>
      <c r="M1523" s="1" t="str">
        <f t="shared" si="3020"/>
        <v>0</v>
      </c>
      <c r="N1523" s="1" t="str">
        <f t="shared" si="3020"/>
        <v>0</v>
      </c>
      <c r="O1523" s="1" t="str">
        <f t="shared" si="3020"/>
        <v>0</v>
      </c>
      <c r="P1523" s="1" t="str">
        <f t="shared" si="3020"/>
        <v>0</v>
      </c>
      <c r="Q1523" s="1" t="str">
        <f t="shared" si="2913"/>
        <v>0.0070</v>
      </c>
      <c r="R1523" s="1" t="s">
        <v>29</v>
      </c>
      <c r="S1523" s="1">
        <v>-0.0014</v>
      </c>
      <c r="T1523" s="1" t="str">
        <f t="shared" si="2914"/>
        <v>0</v>
      </c>
      <c r="U1523" s="1" t="str">
        <f t="shared" si="3016"/>
        <v>0.0056</v>
      </c>
    </row>
    <row r="1524" s="1" customFormat="1" spans="1:21">
      <c r="A1524" s="1" t="str">
        <f>"4601992019440"</f>
        <v>4601992019440</v>
      </c>
      <c r="B1524" s="1" t="s">
        <v>1548</v>
      </c>
      <c r="C1524" s="1" t="s">
        <v>24</v>
      </c>
      <c r="D1524" s="1" t="str">
        <f t="shared" si="2910"/>
        <v>2021</v>
      </c>
      <c r="E1524" s="1" t="str">
        <f>"11.98"</f>
        <v>11.98</v>
      </c>
      <c r="F1524" s="1" t="str">
        <f t="shared" ref="F1524:I1524" si="3021">"0"</f>
        <v>0</v>
      </c>
      <c r="G1524" s="1" t="str">
        <f t="shared" si="3021"/>
        <v>0</v>
      </c>
      <c r="H1524" s="1" t="str">
        <f t="shared" si="3021"/>
        <v>0</v>
      </c>
      <c r="I1524" s="1" t="str">
        <f t="shared" si="3021"/>
        <v>0</v>
      </c>
      <c r="J1524" s="1" t="str">
        <f>"3"</f>
        <v>3</v>
      </c>
      <c r="K1524" s="1" t="str">
        <f t="shared" ref="K1524:P1524" si="3022">"0"</f>
        <v>0</v>
      </c>
      <c r="L1524" s="1" t="str">
        <f t="shared" si="3022"/>
        <v>0</v>
      </c>
      <c r="M1524" s="1" t="str">
        <f t="shared" si="3022"/>
        <v>0</v>
      </c>
      <c r="N1524" s="1" t="str">
        <f t="shared" si="3022"/>
        <v>0</v>
      </c>
      <c r="O1524" s="1" t="str">
        <f t="shared" si="3022"/>
        <v>0</v>
      </c>
      <c r="P1524" s="1" t="str">
        <f t="shared" si="3022"/>
        <v>0</v>
      </c>
      <c r="Q1524" s="1" t="str">
        <f t="shared" si="2913"/>
        <v>0.0070</v>
      </c>
      <c r="R1524" s="1" t="s">
        <v>29</v>
      </c>
      <c r="S1524" s="1">
        <v>-0.0014</v>
      </c>
      <c r="T1524" s="1" t="str">
        <f t="shared" si="2914"/>
        <v>0</v>
      </c>
      <c r="U1524" s="1" t="str">
        <f t="shared" si="3016"/>
        <v>0.0056</v>
      </c>
    </row>
    <row r="1525" s="1" customFormat="1" spans="1:21">
      <c r="A1525" s="1" t="str">
        <f>"4601992019491"</f>
        <v>4601992019491</v>
      </c>
      <c r="B1525" s="1" t="s">
        <v>1549</v>
      </c>
      <c r="C1525" s="1" t="s">
        <v>24</v>
      </c>
      <c r="D1525" s="1" t="str">
        <f t="shared" si="2910"/>
        <v>2021</v>
      </c>
      <c r="E1525" s="1" t="str">
        <f t="shared" ref="E1525:P1525" si="3023">"0"</f>
        <v>0</v>
      </c>
      <c r="F1525" s="1" t="str">
        <f t="shared" si="3023"/>
        <v>0</v>
      </c>
      <c r="G1525" s="1" t="str">
        <f t="shared" si="3023"/>
        <v>0</v>
      </c>
      <c r="H1525" s="1" t="str">
        <f t="shared" si="3023"/>
        <v>0</v>
      </c>
      <c r="I1525" s="1" t="str">
        <f t="shared" si="3023"/>
        <v>0</v>
      </c>
      <c r="J1525" s="1" t="str">
        <f t="shared" si="3023"/>
        <v>0</v>
      </c>
      <c r="K1525" s="1" t="str">
        <f t="shared" si="3023"/>
        <v>0</v>
      </c>
      <c r="L1525" s="1" t="str">
        <f t="shared" si="3023"/>
        <v>0</v>
      </c>
      <c r="M1525" s="1" t="str">
        <f t="shared" si="3023"/>
        <v>0</v>
      </c>
      <c r="N1525" s="1" t="str">
        <f t="shared" si="3023"/>
        <v>0</v>
      </c>
      <c r="O1525" s="1" t="str">
        <f t="shared" si="3023"/>
        <v>0</v>
      </c>
      <c r="P1525" s="1" t="str">
        <f t="shared" si="3023"/>
        <v>0</v>
      </c>
      <c r="Q1525" s="1" t="str">
        <f t="shared" si="2913"/>
        <v>0.0070</v>
      </c>
      <c r="R1525" s="1" t="s">
        <v>25</v>
      </c>
      <c r="T1525" s="1" t="str">
        <f t="shared" si="2914"/>
        <v>0</v>
      </c>
      <c r="U1525" s="1" t="str">
        <f t="shared" ref="U1525:U1530" si="3024">"0.0070"</f>
        <v>0.0070</v>
      </c>
    </row>
    <row r="1526" s="1" customFormat="1" spans="1:21">
      <c r="A1526" s="1" t="str">
        <f>"4601992019575"</f>
        <v>4601992019575</v>
      </c>
      <c r="B1526" s="1" t="s">
        <v>1550</v>
      </c>
      <c r="C1526" s="1" t="s">
        <v>24</v>
      </c>
      <c r="D1526" s="1" t="str">
        <f t="shared" si="2910"/>
        <v>2021</v>
      </c>
      <c r="E1526" s="1" t="str">
        <f t="shared" ref="E1526:P1526" si="3025">"0"</f>
        <v>0</v>
      </c>
      <c r="F1526" s="1" t="str">
        <f t="shared" si="3025"/>
        <v>0</v>
      </c>
      <c r="G1526" s="1" t="str">
        <f t="shared" si="3025"/>
        <v>0</v>
      </c>
      <c r="H1526" s="1" t="str">
        <f t="shared" si="3025"/>
        <v>0</v>
      </c>
      <c r="I1526" s="1" t="str">
        <f t="shared" si="3025"/>
        <v>0</v>
      </c>
      <c r="J1526" s="1" t="str">
        <f t="shared" si="3025"/>
        <v>0</v>
      </c>
      <c r="K1526" s="1" t="str">
        <f t="shared" si="3025"/>
        <v>0</v>
      </c>
      <c r="L1526" s="1" t="str">
        <f t="shared" si="3025"/>
        <v>0</v>
      </c>
      <c r="M1526" s="1" t="str">
        <f t="shared" si="3025"/>
        <v>0</v>
      </c>
      <c r="N1526" s="1" t="str">
        <f t="shared" si="3025"/>
        <v>0</v>
      </c>
      <c r="O1526" s="1" t="str">
        <f t="shared" si="3025"/>
        <v>0</v>
      </c>
      <c r="P1526" s="1" t="str">
        <f t="shared" si="3025"/>
        <v>0</v>
      </c>
      <c r="Q1526" s="1" t="str">
        <f t="shared" si="2913"/>
        <v>0.0070</v>
      </c>
      <c r="R1526" s="1" t="s">
        <v>25</v>
      </c>
      <c r="T1526" s="1" t="str">
        <f t="shared" si="2914"/>
        <v>0</v>
      </c>
      <c r="U1526" s="1" t="str">
        <f t="shared" si="3024"/>
        <v>0.0070</v>
      </c>
    </row>
    <row r="1527" s="1" customFormat="1" spans="1:21">
      <c r="A1527" s="1" t="str">
        <f>"4601992019530"</f>
        <v>4601992019530</v>
      </c>
      <c r="B1527" s="1" t="s">
        <v>1551</v>
      </c>
      <c r="C1527" s="1" t="s">
        <v>24</v>
      </c>
      <c r="D1527" s="1" t="str">
        <f t="shared" si="2910"/>
        <v>2021</v>
      </c>
      <c r="E1527" s="1" t="str">
        <f>"60.45"</f>
        <v>60.45</v>
      </c>
      <c r="F1527" s="1" t="str">
        <f t="shared" ref="F1527:I1527" si="3026">"0"</f>
        <v>0</v>
      </c>
      <c r="G1527" s="1" t="str">
        <f t="shared" si="3026"/>
        <v>0</v>
      </c>
      <c r="H1527" s="1" t="str">
        <f t="shared" si="3026"/>
        <v>0</v>
      </c>
      <c r="I1527" s="1" t="str">
        <f t="shared" si="3026"/>
        <v>0</v>
      </c>
      <c r="J1527" s="1" t="str">
        <f>"5"</f>
        <v>5</v>
      </c>
      <c r="K1527" s="1" t="str">
        <f t="shared" ref="K1527:P1527" si="3027">"0"</f>
        <v>0</v>
      </c>
      <c r="L1527" s="1" t="str">
        <f t="shared" si="3027"/>
        <v>0</v>
      </c>
      <c r="M1527" s="1" t="str">
        <f t="shared" si="3027"/>
        <v>0</v>
      </c>
      <c r="N1527" s="1" t="str">
        <f t="shared" si="3027"/>
        <v>0</v>
      </c>
      <c r="O1527" s="1" t="str">
        <f t="shared" si="3027"/>
        <v>0</v>
      </c>
      <c r="P1527" s="1" t="str">
        <f t="shared" si="3027"/>
        <v>0</v>
      </c>
      <c r="Q1527" s="1" t="str">
        <f t="shared" si="2913"/>
        <v>0.0070</v>
      </c>
      <c r="R1527" s="1" t="s">
        <v>29</v>
      </c>
      <c r="S1527" s="1">
        <v>-0.0014</v>
      </c>
      <c r="T1527" s="1" t="str">
        <f t="shared" si="2914"/>
        <v>0</v>
      </c>
      <c r="U1527" s="1" t="str">
        <f t="shared" ref="U1527:U1529" si="3028">"0.0056"</f>
        <v>0.0056</v>
      </c>
    </row>
    <row r="1528" s="1" customFormat="1" spans="1:21">
      <c r="A1528" s="1" t="str">
        <f>"4601992019548"</f>
        <v>4601992019548</v>
      </c>
      <c r="B1528" s="1" t="s">
        <v>1552</v>
      </c>
      <c r="C1528" s="1" t="s">
        <v>24</v>
      </c>
      <c r="D1528" s="1" t="str">
        <f t="shared" si="2910"/>
        <v>2021</v>
      </c>
      <c r="E1528" s="1" t="str">
        <f>"24.18"</f>
        <v>24.18</v>
      </c>
      <c r="F1528" s="1" t="str">
        <f t="shared" ref="F1528:I1528" si="3029">"0"</f>
        <v>0</v>
      </c>
      <c r="G1528" s="1" t="str">
        <f t="shared" si="3029"/>
        <v>0</v>
      </c>
      <c r="H1528" s="1" t="str">
        <f t="shared" si="3029"/>
        <v>0</v>
      </c>
      <c r="I1528" s="1" t="str">
        <f t="shared" si="3029"/>
        <v>0</v>
      </c>
      <c r="J1528" s="1" t="str">
        <f>"2"</f>
        <v>2</v>
      </c>
      <c r="K1528" s="1" t="str">
        <f t="shared" ref="K1528:P1528" si="3030">"0"</f>
        <v>0</v>
      </c>
      <c r="L1528" s="1" t="str">
        <f t="shared" si="3030"/>
        <v>0</v>
      </c>
      <c r="M1528" s="1" t="str">
        <f t="shared" si="3030"/>
        <v>0</v>
      </c>
      <c r="N1528" s="1" t="str">
        <f t="shared" si="3030"/>
        <v>0</v>
      </c>
      <c r="O1528" s="1" t="str">
        <f t="shared" si="3030"/>
        <v>0</v>
      </c>
      <c r="P1528" s="1" t="str">
        <f t="shared" si="3030"/>
        <v>0</v>
      </c>
      <c r="Q1528" s="1" t="str">
        <f t="shared" si="2913"/>
        <v>0.0070</v>
      </c>
      <c r="R1528" s="1" t="s">
        <v>29</v>
      </c>
      <c r="S1528" s="1">
        <v>-0.0014</v>
      </c>
      <c r="T1528" s="1" t="str">
        <f t="shared" si="2914"/>
        <v>0</v>
      </c>
      <c r="U1528" s="1" t="str">
        <f t="shared" si="3028"/>
        <v>0.0056</v>
      </c>
    </row>
    <row r="1529" s="1" customFormat="1" spans="1:21">
      <c r="A1529" s="1" t="str">
        <f>"4601992019579"</f>
        <v>4601992019579</v>
      </c>
      <c r="B1529" s="1" t="s">
        <v>1553</v>
      </c>
      <c r="C1529" s="1" t="s">
        <v>24</v>
      </c>
      <c r="D1529" s="1" t="str">
        <f t="shared" si="2910"/>
        <v>2021</v>
      </c>
      <c r="E1529" s="1" t="str">
        <f>"24.18"</f>
        <v>24.18</v>
      </c>
      <c r="F1529" s="1" t="str">
        <f t="shared" ref="F1529:I1529" si="3031">"0"</f>
        <v>0</v>
      </c>
      <c r="G1529" s="1" t="str">
        <f t="shared" si="3031"/>
        <v>0</v>
      </c>
      <c r="H1529" s="1" t="str">
        <f t="shared" si="3031"/>
        <v>0</v>
      </c>
      <c r="I1529" s="1" t="str">
        <f t="shared" si="3031"/>
        <v>0</v>
      </c>
      <c r="J1529" s="1" t="str">
        <f>"2"</f>
        <v>2</v>
      </c>
      <c r="K1529" s="1" t="str">
        <f t="shared" ref="K1529:P1529" si="3032">"0"</f>
        <v>0</v>
      </c>
      <c r="L1529" s="1" t="str">
        <f t="shared" si="3032"/>
        <v>0</v>
      </c>
      <c r="M1529" s="1" t="str">
        <f t="shared" si="3032"/>
        <v>0</v>
      </c>
      <c r="N1529" s="1" t="str">
        <f t="shared" si="3032"/>
        <v>0</v>
      </c>
      <c r="O1529" s="1" t="str">
        <f t="shared" si="3032"/>
        <v>0</v>
      </c>
      <c r="P1529" s="1" t="str">
        <f t="shared" si="3032"/>
        <v>0</v>
      </c>
      <c r="Q1529" s="1" t="str">
        <f t="shared" si="2913"/>
        <v>0.0070</v>
      </c>
      <c r="R1529" s="1" t="s">
        <v>29</v>
      </c>
      <c r="S1529" s="1">
        <v>-0.0014</v>
      </c>
      <c r="T1529" s="1" t="str">
        <f t="shared" si="2914"/>
        <v>0</v>
      </c>
      <c r="U1529" s="1" t="str">
        <f t="shared" si="3028"/>
        <v>0.0056</v>
      </c>
    </row>
    <row r="1530" s="1" customFormat="1" spans="1:21">
      <c r="A1530" s="1" t="str">
        <f>"4601992019480"</f>
        <v>4601992019480</v>
      </c>
      <c r="B1530" s="1" t="s">
        <v>1554</v>
      </c>
      <c r="C1530" s="1" t="s">
        <v>24</v>
      </c>
      <c r="D1530" s="1" t="str">
        <f t="shared" si="2910"/>
        <v>2021</v>
      </c>
      <c r="E1530" s="1" t="str">
        <f t="shared" ref="E1530:P1530" si="3033">"0"</f>
        <v>0</v>
      </c>
      <c r="F1530" s="1" t="str">
        <f t="shared" si="3033"/>
        <v>0</v>
      </c>
      <c r="G1530" s="1" t="str">
        <f t="shared" si="3033"/>
        <v>0</v>
      </c>
      <c r="H1530" s="1" t="str">
        <f t="shared" si="3033"/>
        <v>0</v>
      </c>
      <c r="I1530" s="1" t="str">
        <f t="shared" si="3033"/>
        <v>0</v>
      </c>
      <c r="J1530" s="1" t="str">
        <f t="shared" si="3033"/>
        <v>0</v>
      </c>
      <c r="K1530" s="1" t="str">
        <f t="shared" si="3033"/>
        <v>0</v>
      </c>
      <c r="L1530" s="1" t="str">
        <f t="shared" si="3033"/>
        <v>0</v>
      </c>
      <c r="M1530" s="1" t="str">
        <f t="shared" si="3033"/>
        <v>0</v>
      </c>
      <c r="N1530" s="1" t="str">
        <f t="shared" si="3033"/>
        <v>0</v>
      </c>
      <c r="O1530" s="1" t="str">
        <f t="shared" si="3033"/>
        <v>0</v>
      </c>
      <c r="P1530" s="1" t="str">
        <f t="shared" si="3033"/>
        <v>0</v>
      </c>
      <c r="Q1530" s="1" t="str">
        <f t="shared" si="2913"/>
        <v>0.0070</v>
      </c>
      <c r="R1530" s="1" t="s">
        <v>25</v>
      </c>
      <c r="T1530" s="1" t="str">
        <f t="shared" si="2914"/>
        <v>0</v>
      </c>
      <c r="U1530" s="1" t="str">
        <f t="shared" si="3024"/>
        <v>0.0070</v>
      </c>
    </row>
    <row r="1531" s="1" customFormat="1" spans="1:21">
      <c r="A1531" s="1" t="str">
        <f>"4601992019611"</f>
        <v>4601992019611</v>
      </c>
      <c r="B1531" s="1" t="s">
        <v>1555</v>
      </c>
      <c r="C1531" s="1" t="s">
        <v>24</v>
      </c>
      <c r="D1531" s="1" t="str">
        <f t="shared" si="2910"/>
        <v>2021</v>
      </c>
      <c r="E1531" s="1" t="str">
        <f>"1895.99"</f>
        <v>1895.99</v>
      </c>
      <c r="F1531" s="1" t="str">
        <f t="shared" ref="F1531:I1531" si="3034">"0"</f>
        <v>0</v>
      </c>
      <c r="G1531" s="1" t="str">
        <f t="shared" si="3034"/>
        <v>0</v>
      </c>
      <c r="H1531" s="1" t="str">
        <f t="shared" si="3034"/>
        <v>0</v>
      </c>
      <c r="I1531" s="1" t="str">
        <f t="shared" si="3034"/>
        <v>0</v>
      </c>
      <c r="J1531" s="1" t="str">
        <f>"53"</f>
        <v>53</v>
      </c>
      <c r="K1531" s="1" t="str">
        <f t="shared" ref="K1531:P1531" si="3035">"0"</f>
        <v>0</v>
      </c>
      <c r="L1531" s="1" t="str">
        <f t="shared" si="3035"/>
        <v>0</v>
      </c>
      <c r="M1531" s="1" t="str">
        <f t="shared" si="3035"/>
        <v>0</v>
      </c>
      <c r="N1531" s="1" t="str">
        <f t="shared" si="3035"/>
        <v>0</v>
      </c>
      <c r="O1531" s="1" t="str">
        <f t="shared" si="3035"/>
        <v>0</v>
      </c>
      <c r="P1531" s="1" t="str">
        <f t="shared" si="3035"/>
        <v>0</v>
      </c>
      <c r="Q1531" s="1" t="str">
        <f t="shared" si="2913"/>
        <v>0.0070</v>
      </c>
      <c r="R1531" s="1" t="s">
        <v>29</v>
      </c>
      <c r="S1531" s="1">
        <v>-0.0014</v>
      </c>
      <c r="T1531" s="1" t="str">
        <f t="shared" si="2914"/>
        <v>0</v>
      </c>
      <c r="U1531" s="1" t="str">
        <f t="shared" ref="U1531:U1535" si="3036">"0.0056"</f>
        <v>0.0056</v>
      </c>
    </row>
    <row r="1532" s="1" customFormat="1" spans="1:21">
      <c r="A1532" s="1" t="str">
        <f>"4601991400336"</f>
        <v>4601991400336</v>
      </c>
      <c r="B1532" s="1" t="s">
        <v>1556</v>
      </c>
      <c r="C1532" s="1" t="s">
        <v>24</v>
      </c>
      <c r="D1532" s="1" t="str">
        <f t="shared" si="2910"/>
        <v>2021</v>
      </c>
      <c r="E1532" s="1" t="str">
        <f t="shared" ref="E1532:P1532" si="3037">"0"</f>
        <v>0</v>
      </c>
      <c r="F1532" s="1" t="str">
        <f t="shared" si="3037"/>
        <v>0</v>
      </c>
      <c r="G1532" s="1" t="str">
        <f t="shared" si="3037"/>
        <v>0</v>
      </c>
      <c r="H1532" s="1" t="str">
        <f t="shared" si="3037"/>
        <v>0</v>
      </c>
      <c r="I1532" s="1" t="str">
        <f t="shared" si="3037"/>
        <v>0</v>
      </c>
      <c r="J1532" s="1" t="str">
        <f t="shared" si="3037"/>
        <v>0</v>
      </c>
      <c r="K1532" s="1" t="str">
        <f t="shared" si="3037"/>
        <v>0</v>
      </c>
      <c r="L1532" s="1" t="str">
        <f t="shared" si="3037"/>
        <v>0</v>
      </c>
      <c r="M1532" s="1" t="str">
        <f t="shared" si="3037"/>
        <v>0</v>
      </c>
      <c r="N1532" s="1" t="str">
        <f t="shared" si="3037"/>
        <v>0</v>
      </c>
      <c r="O1532" s="1" t="str">
        <f t="shared" si="3037"/>
        <v>0</v>
      </c>
      <c r="P1532" s="1" t="str">
        <f t="shared" si="3037"/>
        <v>0</v>
      </c>
      <c r="Q1532" s="1" t="str">
        <f t="shared" si="2913"/>
        <v>0.0070</v>
      </c>
      <c r="R1532" s="1" t="s">
        <v>25</v>
      </c>
      <c r="T1532" s="1" t="str">
        <f t="shared" si="2914"/>
        <v>0</v>
      </c>
      <c r="U1532" s="1" t="str">
        <f>"0.0070"</f>
        <v>0.0070</v>
      </c>
    </row>
    <row r="1533" s="1" customFormat="1" spans="1:21">
      <c r="A1533" s="1" t="str">
        <f>"4601992019882"</f>
        <v>4601992019882</v>
      </c>
      <c r="B1533" s="1" t="s">
        <v>1557</v>
      </c>
      <c r="C1533" s="1" t="s">
        <v>24</v>
      </c>
      <c r="D1533" s="1" t="str">
        <f t="shared" si="2910"/>
        <v>2021</v>
      </c>
      <c r="E1533" s="1" t="str">
        <f>"1078.25"</f>
        <v>1078.25</v>
      </c>
      <c r="F1533" s="1" t="str">
        <f t="shared" ref="F1533:I1533" si="3038">"0"</f>
        <v>0</v>
      </c>
      <c r="G1533" s="1" t="str">
        <f t="shared" si="3038"/>
        <v>0</v>
      </c>
      <c r="H1533" s="1" t="str">
        <f t="shared" si="3038"/>
        <v>0</v>
      </c>
      <c r="I1533" s="1" t="str">
        <f t="shared" si="3038"/>
        <v>0</v>
      </c>
      <c r="J1533" s="1" t="str">
        <f>"81"</f>
        <v>81</v>
      </c>
      <c r="K1533" s="1" t="str">
        <f t="shared" ref="K1533:P1533" si="3039">"0"</f>
        <v>0</v>
      </c>
      <c r="L1533" s="1" t="str">
        <f t="shared" si="3039"/>
        <v>0</v>
      </c>
      <c r="M1533" s="1" t="str">
        <f t="shared" si="3039"/>
        <v>0</v>
      </c>
      <c r="N1533" s="1" t="str">
        <f t="shared" si="3039"/>
        <v>0</v>
      </c>
      <c r="O1533" s="1" t="str">
        <f t="shared" si="3039"/>
        <v>0</v>
      </c>
      <c r="P1533" s="1" t="str">
        <f t="shared" si="3039"/>
        <v>0</v>
      </c>
      <c r="Q1533" s="1" t="str">
        <f t="shared" si="2913"/>
        <v>0.0070</v>
      </c>
      <c r="R1533" s="1" t="s">
        <v>29</v>
      </c>
      <c r="S1533" s="1">
        <v>-0.0014</v>
      </c>
      <c r="T1533" s="1" t="str">
        <f t="shared" si="2914"/>
        <v>0</v>
      </c>
      <c r="U1533" s="1" t="str">
        <f t="shared" si="3036"/>
        <v>0.0056</v>
      </c>
    </row>
    <row r="1534" s="1" customFormat="1" spans="1:21">
      <c r="A1534" s="1" t="str">
        <f>"4601991410165"</f>
        <v>4601991410165</v>
      </c>
      <c r="B1534" s="1" t="s">
        <v>1558</v>
      </c>
      <c r="C1534" s="1" t="s">
        <v>24</v>
      </c>
      <c r="D1534" s="1" t="str">
        <f t="shared" si="2910"/>
        <v>2021</v>
      </c>
      <c r="E1534" s="1" t="str">
        <f>"95.80"</f>
        <v>95.80</v>
      </c>
      <c r="F1534" s="1" t="str">
        <f t="shared" ref="F1534:I1534" si="3040">"0"</f>
        <v>0</v>
      </c>
      <c r="G1534" s="1" t="str">
        <f t="shared" si="3040"/>
        <v>0</v>
      </c>
      <c r="H1534" s="1" t="str">
        <f t="shared" si="3040"/>
        <v>0</v>
      </c>
      <c r="I1534" s="1" t="str">
        <f t="shared" si="3040"/>
        <v>0</v>
      </c>
      <c r="J1534" s="1" t="str">
        <f>"12"</f>
        <v>12</v>
      </c>
      <c r="K1534" s="1" t="str">
        <f t="shared" ref="K1534:P1534" si="3041">"0"</f>
        <v>0</v>
      </c>
      <c r="L1534" s="1" t="str">
        <f t="shared" si="3041"/>
        <v>0</v>
      </c>
      <c r="M1534" s="1" t="str">
        <f t="shared" si="3041"/>
        <v>0</v>
      </c>
      <c r="N1534" s="1" t="str">
        <f t="shared" si="3041"/>
        <v>0</v>
      </c>
      <c r="O1534" s="1" t="str">
        <f t="shared" si="3041"/>
        <v>0</v>
      </c>
      <c r="P1534" s="1" t="str">
        <f t="shared" si="3041"/>
        <v>0</v>
      </c>
      <c r="Q1534" s="1" t="str">
        <f t="shared" si="2913"/>
        <v>0.0070</v>
      </c>
      <c r="R1534" s="1" t="s">
        <v>29</v>
      </c>
      <c r="S1534" s="1">
        <v>-0.0014</v>
      </c>
      <c r="T1534" s="1" t="str">
        <f t="shared" si="2914"/>
        <v>0</v>
      </c>
      <c r="U1534" s="1" t="str">
        <f t="shared" si="3036"/>
        <v>0.0056</v>
      </c>
    </row>
    <row r="1535" s="1" customFormat="1" spans="1:21">
      <c r="A1535" s="1" t="str">
        <f>"4601992019726"</f>
        <v>4601992019726</v>
      </c>
      <c r="B1535" s="1" t="s">
        <v>1559</v>
      </c>
      <c r="C1535" s="1" t="s">
        <v>24</v>
      </c>
      <c r="D1535" s="1" t="str">
        <f t="shared" si="2910"/>
        <v>2021</v>
      </c>
      <c r="E1535" s="1" t="str">
        <f>"1832.97"</f>
        <v>1832.97</v>
      </c>
      <c r="F1535" s="1" t="str">
        <f t="shared" ref="F1535:I1535" si="3042">"0"</f>
        <v>0</v>
      </c>
      <c r="G1535" s="1" t="str">
        <f t="shared" si="3042"/>
        <v>0</v>
      </c>
      <c r="H1535" s="1" t="str">
        <f t="shared" si="3042"/>
        <v>0</v>
      </c>
      <c r="I1535" s="1" t="str">
        <f t="shared" si="3042"/>
        <v>0</v>
      </c>
      <c r="J1535" s="1" t="str">
        <f>"429"</f>
        <v>429</v>
      </c>
      <c r="K1535" s="1" t="str">
        <f t="shared" ref="K1535:P1535" si="3043">"0"</f>
        <v>0</v>
      </c>
      <c r="L1535" s="1" t="str">
        <f t="shared" si="3043"/>
        <v>0</v>
      </c>
      <c r="M1535" s="1" t="str">
        <f t="shared" si="3043"/>
        <v>0</v>
      </c>
      <c r="N1535" s="1" t="str">
        <f t="shared" si="3043"/>
        <v>0</v>
      </c>
      <c r="O1535" s="1" t="str">
        <f t="shared" si="3043"/>
        <v>0</v>
      </c>
      <c r="P1535" s="1" t="str">
        <f t="shared" si="3043"/>
        <v>0</v>
      </c>
      <c r="Q1535" s="1" t="str">
        <f t="shared" si="2913"/>
        <v>0.0070</v>
      </c>
      <c r="R1535" s="1" t="s">
        <v>29</v>
      </c>
      <c r="S1535" s="1">
        <v>-0.0014</v>
      </c>
      <c r="T1535" s="1" t="str">
        <f t="shared" si="2914"/>
        <v>0</v>
      </c>
      <c r="U1535" s="1" t="str">
        <f t="shared" si="3036"/>
        <v>0.0056</v>
      </c>
    </row>
    <row r="1536" s="1" customFormat="1" spans="1:21">
      <c r="A1536" s="1" t="str">
        <f>"4601992019892"</f>
        <v>4601992019892</v>
      </c>
      <c r="B1536" s="1" t="s">
        <v>1560</v>
      </c>
      <c r="C1536" s="1" t="s">
        <v>24</v>
      </c>
      <c r="D1536" s="1" t="str">
        <f t="shared" si="2910"/>
        <v>2021</v>
      </c>
      <c r="E1536" s="1" t="str">
        <f t="shared" ref="E1536:P1536" si="3044">"0"</f>
        <v>0</v>
      </c>
      <c r="F1536" s="1" t="str">
        <f t="shared" si="3044"/>
        <v>0</v>
      </c>
      <c r="G1536" s="1" t="str">
        <f t="shared" si="3044"/>
        <v>0</v>
      </c>
      <c r="H1536" s="1" t="str">
        <f t="shared" si="3044"/>
        <v>0</v>
      </c>
      <c r="I1536" s="1" t="str">
        <f t="shared" si="3044"/>
        <v>0</v>
      </c>
      <c r="J1536" s="1" t="str">
        <f t="shared" si="3044"/>
        <v>0</v>
      </c>
      <c r="K1536" s="1" t="str">
        <f t="shared" si="3044"/>
        <v>0</v>
      </c>
      <c r="L1536" s="1" t="str">
        <f t="shared" si="3044"/>
        <v>0</v>
      </c>
      <c r="M1536" s="1" t="str">
        <f t="shared" si="3044"/>
        <v>0</v>
      </c>
      <c r="N1536" s="1" t="str">
        <f t="shared" si="3044"/>
        <v>0</v>
      </c>
      <c r="O1536" s="1" t="str">
        <f t="shared" si="3044"/>
        <v>0</v>
      </c>
      <c r="P1536" s="1" t="str">
        <f t="shared" si="3044"/>
        <v>0</v>
      </c>
      <c r="Q1536" s="1" t="str">
        <f t="shared" si="2913"/>
        <v>0.0070</v>
      </c>
      <c r="R1536" s="1" t="s">
        <v>25</v>
      </c>
      <c r="T1536" s="1" t="str">
        <f t="shared" si="2914"/>
        <v>0</v>
      </c>
      <c r="U1536" s="1" t="str">
        <f t="shared" ref="U1536:U1539" si="3045">"0.0070"</f>
        <v>0.0070</v>
      </c>
    </row>
    <row r="1537" s="1" customFormat="1" spans="1:21">
      <c r="A1537" s="1" t="str">
        <f>"4601992019891"</f>
        <v>4601992019891</v>
      </c>
      <c r="B1537" s="1" t="s">
        <v>1561</v>
      </c>
      <c r="C1537" s="1" t="s">
        <v>24</v>
      </c>
      <c r="D1537" s="1" t="str">
        <f t="shared" si="2910"/>
        <v>2021</v>
      </c>
      <c r="E1537" s="1" t="str">
        <f>"24.18"</f>
        <v>24.18</v>
      </c>
      <c r="F1537" s="1" t="str">
        <f t="shared" ref="F1537:I1537" si="3046">"0"</f>
        <v>0</v>
      </c>
      <c r="G1537" s="1" t="str">
        <f t="shared" si="3046"/>
        <v>0</v>
      </c>
      <c r="H1537" s="1" t="str">
        <f t="shared" si="3046"/>
        <v>0</v>
      </c>
      <c r="I1537" s="1" t="str">
        <f t="shared" si="3046"/>
        <v>0</v>
      </c>
      <c r="J1537" s="1" t="str">
        <f>"2"</f>
        <v>2</v>
      </c>
      <c r="K1537" s="1" t="str">
        <f t="shared" ref="K1537:P1537" si="3047">"0"</f>
        <v>0</v>
      </c>
      <c r="L1537" s="1" t="str">
        <f t="shared" si="3047"/>
        <v>0</v>
      </c>
      <c r="M1537" s="1" t="str">
        <f t="shared" si="3047"/>
        <v>0</v>
      </c>
      <c r="N1537" s="1" t="str">
        <f t="shared" si="3047"/>
        <v>0</v>
      </c>
      <c r="O1537" s="1" t="str">
        <f t="shared" si="3047"/>
        <v>0</v>
      </c>
      <c r="P1537" s="1" t="str">
        <f t="shared" si="3047"/>
        <v>0</v>
      </c>
      <c r="Q1537" s="1" t="str">
        <f t="shared" si="2913"/>
        <v>0.0070</v>
      </c>
      <c r="R1537" s="1" t="s">
        <v>29</v>
      </c>
      <c r="S1537" s="1">
        <v>-0.0014</v>
      </c>
      <c r="T1537" s="1" t="str">
        <f t="shared" si="2914"/>
        <v>0</v>
      </c>
      <c r="U1537" s="1" t="str">
        <f t="shared" ref="U1537:U1541" si="3048">"0.0056"</f>
        <v>0.0056</v>
      </c>
    </row>
    <row r="1538" s="1" customFormat="1" spans="1:21">
      <c r="A1538" s="1" t="str">
        <f>"4601992019920"</f>
        <v>4601992019920</v>
      </c>
      <c r="B1538" s="1" t="s">
        <v>1562</v>
      </c>
      <c r="C1538" s="1" t="s">
        <v>24</v>
      </c>
      <c r="D1538" s="1" t="str">
        <f t="shared" si="2910"/>
        <v>2021</v>
      </c>
      <c r="E1538" s="1" t="str">
        <f t="shared" ref="E1538:P1538" si="3049">"0"</f>
        <v>0</v>
      </c>
      <c r="F1538" s="1" t="str">
        <f t="shared" si="3049"/>
        <v>0</v>
      </c>
      <c r="G1538" s="1" t="str">
        <f t="shared" si="3049"/>
        <v>0</v>
      </c>
      <c r="H1538" s="1" t="str">
        <f t="shared" si="3049"/>
        <v>0</v>
      </c>
      <c r="I1538" s="1" t="str">
        <f t="shared" si="3049"/>
        <v>0</v>
      </c>
      <c r="J1538" s="1" t="str">
        <f t="shared" si="3049"/>
        <v>0</v>
      </c>
      <c r="K1538" s="1" t="str">
        <f t="shared" si="3049"/>
        <v>0</v>
      </c>
      <c r="L1538" s="1" t="str">
        <f t="shared" si="3049"/>
        <v>0</v>
      </c>
      <c r="M1538" s="1" t="str">
        <f t="shared" si="3049"/>
        <v>0</v>
      </c>
      <c r="N1538" s="1" t="str">
        <f t="shared" si="3049"/>
        <v>0</v>
      </c>
      <c r="O1538" s="1" t="str">
        <f t="shared" si="3049"/>
        <v>0</v>
      </c>
      <c r="P1538" s="1" t="str">
        <f t="shared" si="3049"/>
        <v>0</v>
      </c>
      <c r="Q1538" s="1" t="str">
        <f t="shared" si="2913"/>
        <v>0.0070</v>
      </c>
      <c r="R1538" s="1" t="s">
        <v>25</v>
      </c>
      <c r="T1538" s="1" t="str">
        <f t="shared" si="2914"/>
        <v>0</v>
      </c>
      <c r="U1538" s="1" t="str">
        <f t="shared" si="3045"/>
        <v>0.0070</v>
      </c>
    </row>
    <row r="1539" s="1" customFormat="1" spans="1:21">
      <c r="A1539" s="1" t="str">
        <f>"4601992019910"</f>
        <v>4601992019910</v>
      </c>
      <c r="B1539" s="1" t="s">
        <v>1563</v>
      </c>
      <c r="C1539" s="1" t="s">
        <v>24</v>
      </c>
      <c r="D1539" s="1" t="str">
        <f t="shared" ref="D1539:D1602" si="3050">"2021"</f>
        <v>2021</v>
      </c>
      <c r="E1539" s="1" t="str">
        <f>"24.18"</f>
        <v>24.18</v>
      </c>
      <c r="F1539" s="1" t="str">
        <f t="shared" ref="F1539:I1539" si="3051">"0"</f>
        <v>0</v>
      </c>
      <c r="G1539" s="1" t="str">
        <f t="shared" si="3051"/>
        <v>0</v>
      </c>
      <c r="H1539" s="1" t="str">
        <f t="shared" si="3051"/>
        <v>0</v>
      </c>
      <c r="I1539" s="1" t="str">
        <f t="shared" si="3051"/>
        <v>0</v>
      </c>
      <c r="J1539" s="1" t="str">
        <f>"2"</f>
        <v>2</v>
      </c>
      <c r="K1539" s="1" t="str">
        <f t="shared" ref="K1539:P1539" si="3052">"0"</f>
        <v>0</v>
      </c>
      <c r="L1539" s="1" t="str">
        <f t="shared" si="3052"/>
        <v>0</v>
      </c>
      <c r="M1539" s="1" t="str">
        <f t="shared" si="3052"/>
        <v>0</v>
      </c>
      <c r="N1539" s="1" t="str">
        <f t="shared" si="3052"/>
        <v>0</v>
      </c>
      <c r="O1539" s="1" t="str">
        <f t="shared" si="3052"/>
        <v>0</v>
      </c>
      <c r="P1539" s="1" t="str">
        <f t="shared" si="3052"/>
        <v>0</v>
      </c>
      <c r="Q1539" s="1" t="str">
        <f t="shared" ref="Q1539:Q1602" si="3053">"0.0070"</f>
        <v>0.0070</v>
      </c>
      <c r="R1539" s="1" t="s">
        <v>25</v>
      </c>
      <c r="T1539" s="1" t="str">
        <f t="shared" ref="T1539:T1602" si="3054">"0"</f>
        <v>0</v>
      </c>
      <c r="U1539" s="1" t="str">
        <f t="shared" si="3045"/>
        <v>0.0070</v>
      </c>
    </row>
    <row r="1540" s="1" customFormat="1" spans="1:21">
      <c r="A1540" s="1" t="str">
        <f>"4601992019897"</f>
        <v>4601992019897</v>
      </c>
      <c r="B1540" s="1" t="s">
        <v>1564</v>
      </c>
      <c r="C1540" s="1" t="s">
        <v>24</v>
      </c>
      <c r="D1540" s="1" t="str">
        <f t="shared" si="3050"/>
        <v>2021</v>
      </c>
      <c r="E1540" s="1" t="str">
        <f>"84.63"</f>
        <v>84.63</v>
      </c>
      <c r="F1540" s="1" t="str">
        <f t="shared" ref="F1540:I1540" si="3055">"0"</f>
        <v>0</v>
      </c>
      <c r="G1540" s="1" t="str">
        <f t="shared" si="3055"/>
        <v>0</v>
      </c>
      <c r="H1540" s="1" t="str">
        <f t="shared" si="3055"/>
        <v>0</v>
      </c>
      <c r="I1540" s="1" t="str">
        <f t="shared" si="3055"/>
        <v>0</v>
      </c>
      <c r="J1540" s="1" t="str">
        <f>"6"</f>
        <v>6</v>
      </c>
      <c r="K1540" s="1" t="str">
        <f t="shared" ref="K1540:P1540" si="3056">"0"</f>
        <v>0</v>
      </c>
      <c r="L1540" s="1" t="str">
        <f t="shared" si="3056"/>
        <v>0</v>
      </c>
      <c r="M1540" s="1" t="str">
        <f t="shared" si="3056"/>
        <v>0</v>
      </c>
      <c r="N1540" s="1" t="str">
        <f t="shared" si="3056"/>
        <v>0</v>
      </c>
      <c r="O1540" s="1" t="str">
        <f t="shared" si="3056"/>
        <v>0</v>
      </c>
      <c r="P1540" s="1" t="str">
        <f t="shared" si="3056"/>
        <v>0</v>
      </c>
      <c r="Q1540" s="1" t="str">
        <f t="shared" si="3053"/>
        <v>0.0070</v>
      </c>
      <c r="R1540" s="1" t="s">
        <v>29</v>
      </c>
      <c r="S1540" s="1">
        <v>-0.0014</v>
      </c>
      <c r="T1540" s="1" t="str">
        <f t="shared" si="3054"/>
        <v>0</v>
      </c>
      <c r="U1540" s="1" t="str">
        <f t="shared" si="3048"/>
        <v>0.0056</v>
      </c>
    </row>
    <row r="1541" s="1" customFormat="1" spans="1:21">
      <c r="A1541" s="1" t="str">
        <f>"4601992019980"</f>
        <v>4601992019980</v>
      </c>
      <c r="B1541" s="1" t="s">
        <v>1565</v>
      </c>
      <c r="C1541" s="1" t="s">
        <v>24</v>
      </c>
      <c r="D1541" s="1" t="str">
        <f t="shared" si="3050"/>
        <v>2021</v>
      </c>
      <c r="E1541" s="1" t="str">
        <f>"261.10"</f>
        <v>261.10</v>
      </c>
      <c r="F1541" s="1" t="str">
        <f t="shared" ref="F1541:I1541" si="3057">"0"</f>
        <v>0</v>
      </c>
      <c r="G1541" s="1" t="str">
        <f t="shared" si="3057"/>
        <v>0</v>
      </c>
      <c r="H1541" s="1" t="str">
        <f t="shared" si="3057"/>
        <v>0</v>
      </c>
      <c r="I1541" s="1" t="str">
        <f t="shared" si="3057"/>
        <v>0</v>
      </c>
      <c r="J1541" s="1" t="str">
        <f>"19"</f>
        <v>19</v>
      </c>
      <c r="K1541" s="1" t="str">
        <f t="shared" ref="K1541:P1541" si="3058">"0"</f>
        <v>0</v>
      </c>
      <c r="L1541" s="1" t="str">
        <f t="shared" si="3058"/>
        <v>0</v>
      </c>
      <c r="M1541" s="1" t="str">
        <f t="shared" si="3058"/>
        <v>0</v>
      </c>
      <c r="N1541" s="1" t="str">
        <f t="shared" si="3058"/>
        <v>0</v>
      </c>
      <c r="O1541" s="1" t="str">
        <f t="shared" si="3058"/>
        <v>0</v>
      </c>
      <c r="P1541" s="1" t="str">
        <f t="shared" si="3058"/>
        <v>0</v>
      </c>
      <c r="Q1541" s="1" t="str">
        <f t="shared" si="3053"/>
        <v>0.0070</v>
      </c>
      <c r="R1541" s="1" t="s">
        <v>29</v>
      </c>
      <c r="S1541" s="1">
        <v>-0.0014</v>
      </c>
      <c r="T1541" s="1" t="str">
        <f t="shared" si="3054"/>
        <v>0</v>
      </c>
      <c r="U1541" s="1" t="str">
        <f t="shared" si="3048"/>
        <v>0.0056</v>
      </c>
    </row>
    <row r="1542" s="1" customFormat="1" spans="1:21">
      <c r="A1542" s="1" t="str">
        <f>"4601992019991"</f>
        <v>4601992019991</v>
      </c>
      <c r="B1542" s="1" t="s">
        <v>1566</v>
      </c>
      <c r="C1542" s="1" t="s">
        <v>24</v>
      </c>
      <c r="D1542" s="1" t="str">
        <f t="shared" si="3050"/>
        <v>2021</v>
      </c>
      <c r="E1542" s="1" t="str">
        <f t="shared" ref="E1542:P1542" si="3059">"0"</f>
        <v>0</v>
      </c>
      <c r="F1542" s="1" t="str">
        <f t="shared" si="3059"/>
        <v>0</v>
      </c>
      <c r="G1542" s="1" t="str">
        <f t="shared" si="3059"/>
        <v>0</v>
      </c>
      <c r="H1542" s="1" t="str">
        <f t="shared" si="3059"/>
        <v>0</v>
      </c>
      <c r="I1542" s="1" t="str">
        <f t="shared" si="3059"/>
        <v>0</v>
      </c>
      <c r="J1542" s="1" t="str">
        <f t="shared" si="3059"/>
        <v>0</v>
      </c>
      <c r="K1542" s="1" t="str">
        <f t="shared" si="3059"/>
        <v>0</v>
      </c>
      <c r="L1542" s="1" t="str">
        <f t="shared" si="3059"/>
        <v>0</v>
      </c>
      <c r="M1542" s="1" t="str">
        <f t="shared" si="3059"/>
        <v>0</v>
      </c>
      <c r="N1542" s="1" t="str">
        <f t="shared" si="3059"/>
        <v>0</v>
      </c>
      <c r="O1542" s="1" t="str">
        <f t="shared" si="3059"/>
        <v>0</v>
      </c>
      <c r="P1542" s="1" t="str">
        <f t="shared" si="3059"/>
        <v>0</v>
      </c>
      <c r="Q1542" s="1" t="str">
        <f t="shared" si="3053"/>
        <v>0.0070</v>
      </c>
      <c r="R1542" s="1" t="s">
        <v>25</v>
      </c>
      <c r="T1542" s="1" t="str">
        <f t="shared" si="3054"/>
        <v>0</v>
      </c>
      <c r="U1542" s="1" t="str">
        <f t="shared" ref="U1542:U1547" si="3060">"0.0070"</f>
        <v>0.0070</v>
      </c>
    </row>
    <row r="1543" s="1" customFormat="1" spans="1:21">
      <c r="A1543" s="1" t="str">
        <f>"4601992019937"</f>
        <v>4601992019937</v>
      </c>
      <c r="B1543" s="1" t="s">
        <v>1567</v>
      </c>
      <c r="C1543" s="1" t="s">
        <v>24</v>
      </c>
      <c r="D1543" s="1" t="str">
        <f t="shared" si="3050"/>
        <v>2021</v>
      </c>
      <c r="E1543" s="1" t="str">
        <f>"48.52"</f>
        <v>48.52</v>
      </c>
      <c r="F1543" s="1" t="str">
        <f t="shared" ref="F1543:I1543" si="3061">"0"</f>
        <v>0</v>
      </c>
      <c r="G1543" s="1" t="str">
        <f t="shared" si="3061"/>
        <v>0</v>
      </c>
      <c r="H1543" s="1" t="str">
        <f t="shared" si="3061"/>
        <v>0</v>
      </c>
      <c r="I1543" s="1" t="str">
        <f t="shared" si="3061"/>
        <v>0</v>
      </c>
      <c r="J1543" s="1" t="str">
        <f>"4"</f>
        <v>4</v>
      </c>
      <c r="K1543" s="1" t="str">
        <f t="shared" ref="K1543:P1543" si="3062">"0"</f>
        <v>0</v>
      </c>
      <c r="L1543" s="1" t="str">
        <f t="shared" si="3062"/>
        <v>0</v>
      </c>
      <c r="M1543" s="1" t="str">
        <f t="shared" si="3062"/>
        <v>0</v>
      </c>
      <c r="N1543" s="1" t="str">
        <f t="shared" si="3062"/>
        <v>0</v>
      </c>
      <c r="O1543" s="1" t="str">
        <f t="shared" si="3062"/>
        <v>0</v>
      </c>
      <c r="P1543" s="1" t="str">
        <f t="shared" si="3062"/>
        <v>0</v>
      </c>
      <c r="Q1543" s="1" t="str">
        <f t="shared" si="3053"/>
        <v>0.0070</v>
      </c>
      <c r="R1543" s="1" t="s">
        <v>29</v>
      </c>
      <c r="S1543" s="1">
        <v>-0.0014</v>
      </c>
      <c r="T1543" s="1" t="str">
        <f t="shared" si="3054"/>
        <v>0</v>
      </c>
      <c r="U1543" s="1" t="str">
        <f t="shared" ref="U1543:U1546" si="3063">"0.0056"</f>
        <v>0.0056</v>
      </c>
    </row>
    <row r="1544" s="1" customFormat="1" spans="1:21">
      <c r="A1544" s="1" t="str">
        <f>"4601992019986"</f>
        <v>4601992019986</v>
      </c>
      <c r="B1544" s="1" t="s">
        <v>1568</v>
      </c>
      <c r="C1544" s="1" t="s">
        <v>24</v>
      </c>
      <c r="D1544" s="1" t="str">
        <f t="shared" si="3050"/>
        <v>2021</v>
      </c>
      <c r="E1544" s="1" t="str">
        <f>"36.27"</f>
        <v>36.27</v>
      </c>
      <c r="F1544" s="1" t="str">
        <f t="shared" ref="F1544:I1544" si="3064">"0"</f>
        <v>0</v>
      </c>
      <c r="G1544" s="1" t="str">
        <f t="shared" si="3064"/>
        <v>0</v>
      </c>
      <c r="H1544" s="1" t="str">
        <f t="shared" si="3064"/>
        <v>0</v>
      </c>
      <c r="I1544" s="1" t="str">
        <f t="shared" si="3064"/>
        <v>0</v>
      </c>
      <c r="J1544" s="1" t="str">
        <f>"4"</f>
        <v>4</v>
      </c>
      <c r="K1544" s="1" t="str">
        <f t="shared" ref="K1544:P1544" si="3065">"0"</f>
        <v>0</v>
      </c>
      <c r="L1544" s="1" t="str">
        <f t="shared" si="3065"/>
        <v>0</v>
      </c>
      <c r="M1544" s="1" t="str">
        <f t="shared" si="3065"/>
        <v>0</v>
      </c>
      <c r="N1544" s="1" t="str">
        <f t="shared" si="3065"/>
        <v>0</v>
      </c>
      <c r="O1544" s="1" t="str">
        <f t="shared" si="3065"/>
        <v>0</v>
      </c>
      <c r="P1544" s="1" t="str">
        <f t="shared" si="3065"/>
        <v>0</v>
      </c>
      <c r="Q1544" s="1" t="str">
        <f t="shared" si="3053"/>
        <v>0.0070</v>
      </c>
      <c r="R1544" s="1" t="s">
        <v>29</v>
      </c>
      <c r="S1544" s="1">
        <v>-0.0014</v>
      </c>
      <c r="T1544" s="1" t="str">
        <f t="shared" si="3054"/>
        <v>0</v>
      </c>
      <c r="U1544" s="1" t="str">
        <f t="shared" si="3063"/>
        <v>0.0056</v>
      </c>
    </row>
    <row r="1545" s="1" customFormat="1" spans="1:21">
      <c r="A1545" s="1" t="str">
        <f>"4601992019994"</f>
        <v>4601992019994</v>
      </c>
      <c r="B1545" s="1" t="s">
        <v>1569</v>
      </c>
      <c r="C1545" s="1" t="s">
        <v>24</v>
      </c>
      <c r="D1545" s="1" t="str">
        <f t="shared" si="3050"/>
        <v>2021</v>
      </c>
      <c r="E1545" s="1" t="str">
        <f>"12.09"</f>
        <v>12.09</v>
      </c>
      <c r="F1545" s="1" t="str">
        <f t="shared" ref="F1545:I1545" si="3066">"0"</f>
        <v>0</v>
      </c>
      <c r="G1545" s="1" t="str">
        <f t="shared" si="3066"/>
        <v>0</v>
      </c>
      <c r="H1545" s="1" t="str">
        <f t="shared" si="3066"/>
        <v>0</v>
      </c>
      <c r="I1545" s="1" t="str">
        <f t="shared" si="3066"/>
        <v>0</v>
      </c>
      <c r="J1545" s="1" t="str">
        <f>"1"</f>
        <v>1</v>
      </c>
      <c r="K1545" s="1" t="str">
        <f t="shared" ref="K1545:P1545" si="3067">"0"</f>
        <v>0</v>
      </c>
      <c r="L1545" s="1" t="str">
        <f t="shared" si="3067"/>
        <v>0</v>
      </c>
      <c r="M1545" s="1" t="str">
        <f t="shared" si="3067"/>
        <v>0</v>
      </c>
      <c r="N1545" s="1" t="str">
        <f t="shared" si="3067"/>
        <v>0</v>
      </c>
      <c r="O1545" s="1" t="str">
        <f t="shared" si="3067"/>
        <v>0</v>
      </c>
      <c r="P1545" s="1" t="str">
        <f t="shared" si="3067"/>
        <v>0</v>
      </c>
      <c r="Q1545" s="1" t="str">
        <f t="shared" si="3053"/>
        <v>0.0070</v>
      </c>
      <c r="R1545" s="1" t="s">
        <v>25</v>
      </c>
      <c r="T1545" s="1" t="str">
        <f t="shared" si="3054"/>
        <v>0</v>
      </c>
      <c r="U1545" s="1" t="str">
        <f t="shared" si="3060"/>
        <v>0.0070</v>
      </c>
    </row>
    <row r="1546" s="1" customFormat="1" spans="1:21">
      <c r="A1546" s="1" t="str">
        <f>"4601992020002"</f>
        <v>4601992020002</v>
      </c>
      <c r="B1546" s="1" t="s">
        <v>1570</v>
      </c>
      <c r="C1546" s="1" t="s">
        <v>24</v>
      </c>
      <c r="D1546" s="1" t="str">
        <f t="shared" si="3050"/>
        <v>2021</v>
      </c>
      <c r="E1546" s="1" t="str">
        <f>"84.63"</f>
        <v>84.63</v>
      </c>
      <c r="F1546" s="1" t="str">
        <f t="shared" ref="F1546:I1546" si="3068">"0"</f>
        <v>0</v>
      </c>
      <c r="G1546" s="1" t="str">
        <f t="shared" si="3068"/>
        <v>0</v>
      </c>
      <c r="H1546" s="1" t="str">
        <f t="shared" si="3068"/>
        <v>0</v>
      </c>
      <c r="I1546" s="1" t="str">
        <f t="shared" si="3068"/>
        <v>0</v>
      </c>
      <c r="J1546" s="1" t="str">
        <f>"5"</f>
        <v>5</v>
      </c>
      <c r="K1546" s="1" t="str">
        <f t="shared" ref="K1546:P1546" si="3069">"0"</f>
        <v>0</v>
      </c>
      <c r="L1546" s="1" t="str">
        <f t="shared" si="3069"/>
        <v>0</v>
      </c>
      <c r="M1546" s="1" t="str">
        <f t="shared" si="3069"/>
        <v>0</v>
      </c>
      <c r="N1546" s="1" t="str">
        <f t="shared" si="3069"/>
        <v>0</v>
      </c>
      <c r="O1546" s="1" t="str">
        <f t="shared" si="3069"/>
        <v>0</v>
      </c>
      <c r="P1546" s="1" t="str">
        <f t="shared" si="3069"/>
        <v>0</v>
      </c>
      <c r="Q1546" s="1" t="str">
        <f t="shared" si="3053"/>
        <v>0.0070</v>
      </c>
      <c r="R1546" s="1" t="s">
        <v>29</v>
      </c>
      <c r="S1546" s="1">
        <v>-0.0014</v>
      </c>
      <c r="T1546" s="1" t="str">
        <f t="shared" si="3054"/>
        <v>0</v>
      </c>
      <c r="U1546" s="1" t="str">
        <f t="shared" si="3063"/>
        <v>0.0056</v>
      </c>
    </row>
    <row r="1547" s="1" customFormat="1" spans="1:21">
      <c r="A1547" s="1" t="str">
        <f>"4601992020043"</f>
        <v>4601992020043</v>
      </c>
      <c r="B1547" s="1" t="s">
        <v>1571</v>
      </c>
      <c r="C1547" s="1" t="s">
        <v>24</v>
      </c>
      <c r="D1547" s="1" t="str">
        <f t="shared" si="3050"/>
        <v>2021</v>
      </c>
      <c r="E1547" s="1" t="str">
        <f t="shared" ref="E1547:P1547" si="3070">"0"</f>
        <v>0</v>
      </c>
      <c r="F1547" s="1" t="str">
        <f t="shared" si="3070"/>
        <v>0</v>
      </c>
      <c r="G1547" s="1" t="str">
        <f t="shared" si="3070"/>
        <v>0</v>
      </c>
      <c r="H1547" s="1" t="str">
        <f t="shared" si="3070"/>
        <v>0</v>
      </c>
      <c r="I1547" s="1" t="str">
        <f t="shared" si="3070"/>
        <v>0</v>
      </c>
      <c r="J1547" s="1" t="str">
        <f t="shared" si="3070"/>
        <v>0</v>
      </c>
      <c r="K1547" s="1" t="str">
        <f t="shared" si="3070"/>
        <v>0</v>
      </c>
      <c r="L1547" s="1" t="str">
        <f t="shared" si="3070"/>
        <v>0</v>
      </c>
      <c r="M1547" s="1" t="str">
        <f t="shared" si="3070"/>
        <v>0</v>
      </c>
      <c r="N1547" s="1" t="str">
        <f t="shared" si="3070"/>
        <v>0</v>
      </c>
      <c r="O1547" s="1" t="str">
        <f t="shared" si="3070"/>
        <v>0</v>
      </c>
      <c r="P1547" s="1" t="str">
        <f t="shared" si="3070"/>
        <v>0</v>
      </c>
      <c r="Q1547" s="1" t="str">
        <f t="shared" si="3053"/>
        <v>0.0070</v>
      </c>
      <c r="R1547" s="1" t="s">
        <v>25</v>
      </c>
      <c r="T1547" s="1" t="str">
        <f t="shared" si="3054"/>
        <v>0</v>
      </c>
      <c r="U1547" s="1" t="str">
        <f t="shared" si="3060"/>
        <v>0.0070</v>
      </c>
    </row>
    <row r="1548" s="1" customFormat="1" spans="1:21">
      <c r="A1548" s="1" t="str">
        <f>"4601992020051"</f>
        <v>4601992020051</v>
      </c>
      <c r="B1548" s="1" t="s">
        <v>1572</v>
      </c>
      <c r="C1548" s="1" t="s">
        <v>24</v>
      </c>
      <c r="D1548" s="1" t="str">
        <f t="shared" si="3050"/>
        <v>2021</v>
      </c>
      <c r="E1548" s="1" t="str">
        <f>"24.07"</f>
        <v>24.07</v>
      </c>
      <c r="F1548" s="1" t="str">
        <f t="shared" ref="F1548:I1548" si="3071">"0"</f>
        <v>0</v>
      </c>
      <c r="G1548" s="1" t="str">
        <f t="shared" si="3071"/>
        <v>0</v>
      </c>
      <c r="H1548" s="1" t="str">
        <f t="shared" si="3071"/>
        <v>0</v>
      </c>
      <c r="I1548" s="1" t="str">
        <f t="shared" si="3071"/>
        <v>0</v>
      </c>
      <c r="J1548" s="1" t="str">
        <f>"2"</f>
        <v>2</v>
      </c>
      <c r="K1548" s="1" t="str">
        <f t="shared" ref="K1548:P1548" si="3072">"0"</f>
        <v>0</v>
      </c>
      <c r="L1548" s="1" t="str">
        <f t="shared" si="3072"/>
        <v>0</v>
      </c>
      <c r="M1548" s="1" t="str">
        <f t="shared" si="3072"/>
        <v>0</v>
      </c>
      <c r="N1548" s="1" t="str">
        <f t="shared" si="3072"/>
        <v>0</v>
      </c>
      <c r="O1548" s="1" t="str">
        <f t="shared" si="3072"/>
        <v>0</v>
      </c>
      <c r="P1548" s="1" t="str">
        <f t="shared" si="3072"/>
        <v>0</v>
      </c>
      <c r="Q1548" s="1" t="str">
        <f t="shared" si="3053"/>
        <v>0.0070</v>
      </c>
      <c r="R1548" s="1" t="s">
        <v>29</v>
      </c>
      <c r="S1548" s="1">
        <v>-0.0014</v>
      </c>
      <c r="T1548" s="1" t="str">
        <f t="shared" si="3054"/>
        <v>0</v>
      </c>
      <c r="U1548" s="1" t="str">
        <f t="shared" ref="U1548:U1554" si="3073">"0.0056"</f>
        <v>0.0056</v>
      </c>
    </row>
    <row r="1549" s="1" customFormat="1" spans="1:21">
      <c r="A1549" s="1" t="str">
        <f>"4601992020036"</f>
        <v>4601992020036</v>
      </c>
      <c r="B1549" s="1" t="s">
        <v>1573</v>
      </c>
      <c r="C1549" s="1" t="s">
        <v>24</v>
      </c>
      <c r="D1549" s="1" t="str">
        <f t="shared" si="3050"/>
        <v>2021</v>
      </c>
      <c r="E1549" s="1" t="str">
        <f>"120.68"</f>
        <v>120.68</v>
      </c>
      <c r="F1549" s="1" t="str">
        <f t="shared" ref="F1549:I1549" si="3074">"0"</f>
        <v>0</v>
      </c>
      <c r="G1549" s="1" t="str">
        <f t="shared" si="3074"/>
        <v>0</v>
      </c>
      <c r="H1549" s="1" t="str">
        <f t="shared" si="3074"/>
        <v>0</v>
      </c>
      <c r="I1549" s="1" t="str">
        <f t="shared" si="3074"/>
        <v>0</v>
      </c>
      <c r="J1549" s="1" t="str">
        <f>"10"</f>
        <v>10</v>
      </c>
      <c r="K1549" s="1" t="str">
        <f t="shared" ref="K1549:P1549" si="3075">"0"</f>
        <v>0</v>
      </c>
      <c r="L1549" s="1" t="str">
        <f t="shared" si="3075"/>
        <v>0</v>
      </c>
      <c r="M1549" s="1" t="str">
        <f t="shared" si="3075"/>
        <v>0</v>
      </c>
      <c r="N1549" s="1" t="str">
        <f t="shared" si="3075"/>
        <v>0</v>
      </c>
      <c r="O1549" s="1" t="str">
        <f t="shared" si="3075"/>
        <v>0</v>
      </c>
      <c r="P1549" s="1" t="str">
        <f t="shared" si="3075"/>
        <v>0</v>
      </c>
      <c r="Q1549" s="1" t="str">
        <f t="shared" si="3053"/>
        <v>0.0070</v>
      </c>
      <c r="R1549" s="1" t="s">
        <v>29</v>
      </c>
      <c r="S1549" s="1">
        <v>-0.0014</v>
      </c>
      <c r="T1549" s="1" t="str">
        <f t="shared" si="3054"/>
        <v>0</v>
      </c>
      <c r="U1549" s="1" t="str">
        <f t="shared" si="3073"/>
        <v>0.0056</v>
      </c>
    </row>
    <row r="1550" s="1" customFormat="1" spans="1:21">
      <c r="A1550" s="1" t="str">
        <f>"4601992020062"</f>
        <v>4601992020062</v>
      </c>
      <c r="B1550" s="1" t="s">
        <v>1574</v>
      </c>
      <c r="C1550" s="1" t="s">
        <v>24</v>
      </c>
      <c r="D1550" s="1" t="str">
        <f t="shared" si="3050"/>
        <v>2021</v>
      </c>
      <c r="E1550" s="1" t="str">
        <f>"24.18"</f>
        <v>24.18</v>
      </c>
      <c r="F1550" s="1" t="str">
        <f t="shared" ref="F1550:I1550" si="3076">"0"</f>
        <v>0</v>
      </c>
      <c r="G1550" s="1" t="str">
        <f t="shared" si="3076"/>
        <v>0</v>
      </c>
      <c r="H1550" s="1" t="str">
        <f t="shared" si="3076"/>
        <v>0</v>
      </c>
      <c r="I1550" s="1" t="str">
        <f t="shared" si="3076"/>
        <v>0</v>
      </c>
      <c r="J1550" s="1" t="str">
        <f>"2"</f>
        <v>2</v>
      </c>
      <c r="K1550" s="1" t="str">
        <f t="shared" ref="K1550:P1550" si="3077">"0"</f>
        <v>0</v>
      </c>
      <c r="L1550" s="1" t="str">
        <f t="shared" si="3077"/>
        <v>0</v>
      </c>
      <c r="M1550" s="1" t="str">
        <f t="shared" si="3077"/>
        <v>0</v>
      </c>
      <c r="N1550" s="1" t="str">
        <f t="shared" si="3077"/>
        <v>0</v>
      </c>
      <c r="O1550" s="1" t="str">
        <f t="shared" si="3077"/>
        <v>0</v>
      </c>
      <c r="P1550" s="1" t="str">
        <f t="shared" si="3077"/>
        <v>0</v>
      </c>
      <c r="Q1550" s="1" t="str">
        <f t="shared" si="3053"/>
        <v>0.0070</v>
      </c>
      <c r="R1550" s="1" t="s">
        <v>29</v>
      </c>
      <c r="S1550" s="1">
        <v>-0.0014</v>
      </c>
      <c r="T1550" s="1" t="str">
        <f t="shared" si="3054"/>
        <v>0</v>
      </c>
      <c r="U1550" s="1" t="str">
        <f t="shared" si="3073"/>
        <v>0.0056</v>
      </c>
    </row>
    <row r="1551" s="1" customFormat="1" spans="1:21">
      <c r="A1551" s="1" t="str">
        <f>"4601992020082"</f>
        <v>4601992020082</v>
      </c>
      <c r="B1551" s="1" t="s">
        <v>1575</v>
      </c>
      <c r="C1551" s="1" t="s">
        <v>24</v>
      </c>
      <c r="D1551" s="1" t="str">
        <f t="shared" si="3050"/>
        <v>2021</v>
      </c>
      <c r="E1551" s="1" t="str">
        <f>"1099.69"</f>
        <v>1099.69</v>
      </c>
      <c r="F1551" s="1" t="str">
        <f t="shared" ref="F1551:I1551" si="3078">"0"</f>
        <v>0</v>
      </c>
      <c r="G1551" s="1" t="str">
        <f t="shared" si="3078"/>
        <v>0</v>
      </c>
      <c r="H1551" s="1" t="str">
        <f t="shared" si="3078"/>
        <v>0</v>
      </c>
      <c r="I1551" s="1" t="str">
        <f t="shared" si="3078"/>
        <v>0</v>
      </c>
      <c r="J1551" s="1" t="str">
        <f>"4"</f>
        <v>4</v>
      </c>
      <c r="K1551" s="1" t="str">
        <f t="shared" ref="K1551:P1551" si="3079">"0"</f>
        <v>0</v>
      </c>
      <c r="L1551" s="1" t="str">
        <f t="shared" si="3079"/>
        <v>0</v>
      </c>
      <c r="M1551" s="1" t="str">
        <f t="shared" si="3079"/>
        <v>0</v>
      </c>
      <c r="N1551" s="1" t="str">
        <f t="shared" si="3079"/>
        <v>0</v>
      </c>
      <c r="O1551" s="1" t="str">
        <f t="shared" si="3079"/>
        <v>0</v>
      </c>
      <c r="P1551" s="1" t="str">
        <f t="shared" si="3079"/>
        <v>0</v>
      </c>
      <c r="Q1551" s="1" t="str">
        <f t="shared" si="3053"/>
        <v>0.0070</v>
      </c>
      <c r="R1551" s="1" t="s">
        <v>29</v>
      </c>
      <c r="S1551" s="1">
        <v>-0.0014</v>
      </c>
      <c r="T1551" s="1" t="str">
        <f t="shared" si="3054"/>
        <v>0</v>
      </c>
      <c r="U1551" s="1" t="str">
        <f t="shared" si="3073"/>
        <v>0.0056</v>
      </c>
    </row>
    <row r="1552" s="1" customFormat="1" spans="1:21">
      <c r="A1552" s="1" t="str">
        <f>"4601992020127"</f>
        <v>4601992020127</v>
      </c>
      <c r="B1552" s="1" t="s">
        <v>1576</v>
      </c>
      <c r="C1552" s="1" t="s">
        <v>24</v>
      </c>
      <c r="D1552" s="1" t="str">
        <f t="shared" si="3050"/>
        <v>2021</v>
      </c>
      <c r="E1552" s="1" t="str">
        <f>"12.09"</f>
        <v>12.09</v>
      </c>
      <c r="F1552" s="1" t="str">
        <f t="shared" ref="F1552:I1552" si="3080">"0"</f>
        <v>0</v>
      </c>
      <c r="G1552" s="1" t="str">
        <f t="shared" si="3080"/>
        <v>0</v>
      </c>
      <c r="H1552" s="1" t="str">
        <f t="shared" si="3080"/>
        <v>0</v>
      </c>
      <c r="I1552" s="1" t="str">
        <f t="shared" si="3080"/>
        <v>0</v>
      </c>
      <c r="J1552" s="1" t="str">
        <f>"4"</f>
        <v>4</v>
      </c>
      <c r="K1552" s="1" t="str">
        <f t="shared" ref="K1552:P1552" si="3081">"0"</f>
        <v>0</v>
      </c>
      <c r="L1552" s="1" t="str">
        <f t="shared" si="3081"/>
        <v>0</v>
      </c>
      <c r="M1552" s="1" t="str">
        <f t="shared" si="3081"/>
        <v>0</v>
      </c>
      <c r="N1552" s="1" t="str">
        <f t="shared" si="3081"/>
        <v>0</v>
      </c>
      <c r="O1552" s="1" t="str">
        <f t="shared" si="3081"/>
        <v>0</v>
      </c>
      <c r="P1552" s="1" t="str">
        <f t="shared" si="3081"/>
        <v>0</v>
      </c>
      <c r="Q1552" s="1" t="str">
        <f t="shared" si="3053"/>
        <v>0.0070</v>
      </c>
      <c r="R1552" s="1" t="s">
        <v>29</v>
      </c>
      <c r="S1552" s="1">
        <v>-0.0014</v>
      </c>
      <c r="T1552" s="1" t="str">
        <f t="shared" si="3054"/>
        <v>0</v>
      </c>
      <c r="U1552" s="1" t="str">
        <f t="shared" si="3073"/>
        <v>0.0056</v>
      </c>
    </row>
    <row r="1553" s="1" customFormat="1" spans="1:21">
      <c r="A1553" s="1" t="str">
        <f>"4601992020147"</f>
        <v>4601992020147</v>
      </c>
      <c r="B1553" s="1" t="s">
        <v>1577</v>
      </c>
      <c r="C1553" s="1" t="s">
        <v>24</v>
      </c>
      <c r="D1553" s="1" t="str">
        <f t="shared" si="3050"/>
        <v>2021</v>
      </c>
      <c r="E1553" s="1" t="str">
        <f>"36.16"</f>
        <v>36.16</v>
      </c>
      <c r="F1553" s="1" t="str">
        <f t="shared" ref="F1553:I1553" si="3082">"0"</f>
        <v>0</v>
      </c>
      <c r="G1553" s="1" t="str">
        <f t="shared" si="3082"/>
        <v>0</v>
      </c>
      <c r="H1553" s="1" t="str">
        <f t="shared" si="3082"/>
        <v>0</v>
      </c>
      <c r="I1553" s="1" t="str">
        <f t="shared" si="3082"/>
        <v>0</v>
      </c>
      <c r="J1553" s="1" t="str">
        <f t="shared" ref="J1553:J1557" si="3083">"3"</f>
        <v>3</v>
      </c>
      <c r="K1553" s="1" t="str">
        <f t="shared" ref="K1553:P1553" si="3084">"0"</f>
        <v>0</v>
      </c>
      <c r="L1553" s="1" t="str">
        <f t="shared" si="3084"/>
        <v>0</v>
      </c>
      <c r="M1553" s="1" t="str">
        <f t="shared" si="3084"/>
        <v>0</v>
      </c>
      <c r="N1553" s="1" t="str">
        <f t="shared" si="3084"/>
        <v>0</v>
      </c>
      <c r="O1553" s="1" t="str">
        <f t="shared" si="3084"/>
        <v>0</v>
      </c>
      <c r="P1553" s="1" t="str">
        <f t="shared" si="3084"/>
        <v>0</v>
      </c>
      <c r="Q1553" s="1" t="str">
        <f t="shared" si="3053"/>
        <v>0.0070</v>
      </c>
      <c r="R1553" s="1" t="s">
        <v>29</v>
      </c>
      <c r="S1553" s="1">
        <v>-0.0014</v>
      </c>
      <c r="T1553" s="1" t="str">
        <f t="shared" si="3054"/>
        <v>0</v>
      </c>
      <c r="U1553" s="1" t="str">
        <f t="shared" si="3073"/>
        <v>0.0056</v>
      </c>
    </row>
    <row r="1554" s="1" customFormat="1" spans="1:21">
      <c r="A1554" s="1" t="str">
        <f>"4601992020148"</f>
        <v>4601992020148</v>
      </c>
      <c r="B1554" s="1" t="s">
        <v>1578</v>
      </c>
      <c r="C1554" s="1" t="s">
        <v>24</v>
      </c>
      <c r="D1554" s="1" t="str">
        <f t="shared" si="3050"/>
        <v>2021</v>
      </c>
      <c r="E1554" s="1" t="str">
        <f>"108.97"</f>
        <v>108.97</v>
      </c>
      <c r="F1554" s="1" t="str">
        <f t="shared" ref="F1554:I1554" si="3085">"0"</f>
        <v>0</v>
      </c>
      <c r="G1554" s="1" t="str">
        <f t="shared" si="3085"/>
        <v>0</v>
      </c>
      <c r="H1554" s="1" t="str">
        <f t="shared" si="3085"/>
        <v>0</v>
      </c>
      <c r="I1554" s="1" t="str">
        <f t="shared" si="3085"/>
        <v>0</v>
      </c>
      <c r="J1554" s="1" t="str">
        <f>"9"</f>
        <v>9</v>
      </c>
      <c r="K1554" s="1" t="str">
        <f t="shared" ref="K1554:P1554" si="3086">"0"</f>
        <v>0</v>
      </c>
      <c r="L1554" s="1" t="str">
        <f t="shared" si="3086"/>
        <v>0</v>
      </c>
      <c r="M1554" s="1" t="str">
        <f t="shared" si="3086"/>
        <v>0</v>
      </c>
      <c r="N1554" s="1" t="str">
        <f t="shared" si="3086"/>
        <v>0</v>
      </c>
      <c r="O1554" s="1" t="str">
        <f t="shared" si="3086"/>
        <v>0</v>
      </c>
      <c r="P1554" s="1" t="str">
        <f t="shared" si="3086"/>
        <v>0</v>
      </c>
      <c r="Q1554" s="1" t="str">
        <f t="shared" si="3053"/>
        <v>0.0070</v>
      </c>
      <c r="R1554" s="1" t="s">
        <v>29</v>
      </c>
      <c r="S1554" s="1">
        <v>-0.0014</v>
      </c>
      <c r="T1554" s="1" t="str">
        <f t="shared" si="3054"/>
        <v>0</v>
      </c>
      <c r="U1554" s="1" t="str">
        <f t="shared" si="3073"/>
        <v>0.0056</v>
      </c>
    </row>
    <row r="1555" s="1" customFormat="1" spans="1:21">
      <c r="A1555" s="1" t="str">
        <f>"4601992020183"</f>
        <v>4601992020183</v>
      </c>
      <c r="B1555" s="1" t="s">
        <v>1579</v>
      </c>
      <c r="C1555" s="1" t="s">
        <v>24</v>
      </c>
      <c r="D1555" s="1" t="str">
        <f t="shared" si="3050"/>
        <v>2021</v>
      </c>
      <c r="E1555" s="1" t="str">
        <f>"36.27"</f>
        <v>36.27</v>
      </c>
      <c r="F1555" s="1" t="str">
        <f t="shared" ref="F1555:I1555" si="3087">"0"</f>
        <v>0</v>
      </c>
      <c r="G1555" s="1" t="str">
        <f t="shared" si="3087"/>
        <v>0</v>
      </c>
      <c r="H1555" s="1" t="str">
        <f t="shared" si="3087"/>
        <v>0</v>
      </c>
      <c r="I1555" s="1" t="str">
        <f t="shared" si="3087"/>
        <v>0</v>
      </c>
      <c r="J1555" s="1" t="str">
        <f t="shared" si="3083"/>
        <v>3</v>
      </c>
      <c r="K1555" s="1" t="str">
        <f t="shared" ref="K1555:P1555" si="3088">"0"</f>
        <v>0</v>
      </c>
      <c r="L1555" s="1" t="str">
        <f t="shared" si="3088"/>
        <v>0</v>
      </c>
      <c r="M1555" s="1" t="str">
        <f t="shared" si="3088"/>
        <v>0</v>
      </c>
      <c r="N1555" s="1" t="str">
        <f t="shared" si="3088"/>
        <v>0</v>
      </c>
      <c r="O1555" s="1" t="str">
        <f t="shared" si="3088"/>
        <v>0</v>
      </c>
      <c r="P1555" s="1" t="str">
        <f t="shared" si="3088"/>
        <v>0</v>
      </c>
      <c r="Q1555" s="1" t="str">
        <f t="shared" si="3053"/>
        <v>0.0070</v>
      </c>
      <c r="R1555" s="1" t="s">
        <v>25</v>
      </c>
      <c r="T1555" s="1" t="str">
        <f t="shared" si="3054"/>
        <v>0</v>
      </c>
      <c r="U1555" s="1" t="str">
        <f t="shared" ref="U1555:U1558" si="3089">"0.0070"</f>
        <v>0.0070</v>
      </c>
    </row>
    <row r="1556" s="1" customFormat="1" spans="1:21">
      <c r="A1556" s="1" t="str">
        <f>"4601992020189"</f>
        <v>4601992020189</v>
      </c>
      <c r="B1556" s="1" t="s">
        <v>1580</v>
      </c>
      <c r="C1556" s="1" t="s">
        <v>24</v>
      </c>
      <c r="D1556" s="1" t="str">
        <f t="shared" si="3050"/>
        <v>2021</v>
      </c>
      <c r="E1556" s="1" t="str">
        <f t="shared" ref="E1556:E1561" si="3090">"12.09"</f>
        <v>12.09</v>
      </c>
      <c r="F1556" s="1" t="str">
        <f t="shared" ref="F1556:I1556" si="3091">"0"</f>
        <v>0</v>
      </c>
      <c r="G1556" s="1" t="str">
        <f t="shared" si="3091"/>
        <v>0</v>
      </c>
      <c r="H1556" s="1" t="str">
        <f t="shared" si="3091"/>
        <v>0</v>
      </c>
      <c r="I1556" s="1" t="str">
        <f t="shared" si="3091"/>
        <v>0</v>
      </c>
      <c r="J1556" s="1" t="str">
        <f t="shared" ref="J1556:J1562" si="3092">"1"</f>
        <v>1</v>
      </c>
      <c r="K1556" s="1" t="str">
        <f t="shared" ref="K1556:P1556" si="3093">"0"</f>
        <v>0</v>
      </c>
      <c r="L1556" s="1" t="str">
        <f t="shared" si="3093"/>
        <v>0</v>
      </c>
      <c r="M1556" s="1" t="str">
        <f t="shared" si="3093"/>
        <v>0</v>
      </c>
      <c r="N1556" s="1" t="str">
        <f t="shared" si="3093"/>
        <v>0</v>
      </c>
      <c r="O1556" s="1" t="str">
        <f t="shared" si="3093"/>
        <v>0</v>
      </c>
      <c r="P1556" s="1" t="str">
        <f t="shared" si="3093"/>
        <v>0</v>
      </c>
      <c r="Q1556" s="1" t="str">
        <f t="shared" si="3053"/>
        <v>0.0070</v>
      </c>
      <c r="R1556" s="1" t="s">
        <v>25</v>
      </c>
      <c r="T1556" s="1" t="str">
        <f t="shared" si="3054"/>
        <v>0</v>
      </c>
      <c r="U1556" s="1" t="str">
        <f t="shared" si="3089"/>
        <v>0.0070</v>
      </c>
    </row>
    <row r="1557" s="1" customFormat="1" spans="1:21">
      <c r="A1557" s="1" t="str">
        <f>"4601992020275"</f>
        <v>4601992020275</v>
      </c>
      <c r="B1557" s="1" t="s">
        <v>1581</v>
      </c>
      <c r="C1557" s="1" t="s">
        <v>24</v>
      </c>
      <c r="D1557" s="1" t="str">
        <f t="shared" si="3050"/>
        <v>2021</v>
      </c>
      <c r="E1557" s="1" t="str">
        <f t="shared" ref="E1557:I1557" si="3094">"0"</f>
        <v>0</v>
      </c>
      <c r="F1557" s="1" t="str">
        <f t="shared" si="3094"/>
        <v>0</v>
      </c>
      <c r="G1557" s="1" t="str">
        <f t="shared" si="3094"/>
        <v>0</v>
      </c>
      <c r="H1557" s="1" t="str">
        <f t="shared" si="3094"/>
        <v>0</v>
      </c>
      <c r="I1557" s="1" t="str">
        <f t="shared" si="3094"/>
        <v>0</v>
      </c>
      <c r="J1557" s="1" t="str">
        <f t="shared" si="3083"/>
        <v>3</v>
      </c>
      <c r="K1557" s="1" t="str">
        <f t="shared" ref="K1557:P1557" si="3095">"0"</f>
        <v>0</v>
      </c>
      <c r="L1557" s="1" t="str">
        <f t="shared" si="3095"/>
        <v>0</v>
      </c>
      <c r="M1557" s="1" t="str">
        <f t="shared" si="3095"/>
        <v>0</v>
      </c>
      <c r="N1557" s="1" t="str">
        <f t="shared" si="3095"/>
        <v>0</v>
      </c>
      <c r="O1557" s="1" t="str">
        <f t="shared" si="3095"/>
        <v>0</v>
      </c>
      <c r="P1557" s="1" t="str">
        <f t="shared" si="3095"/>
        <v>0</v>
      </c>
      <c r="Q1557" s="1" t="str">
        <f t="shared" si="3053"/>
        <v>0.0070</v>
      </c>
      <c r="R1557" s="1" t="s">
        <v>25</v>
      </c>
      <c r="T1557" s="1" t="str">
        <f t="shared" si="3054"/>
        <v>0</v>
      </c>
      <c r="U1557" s="1" t="str">
        <f t="shared" si="3089"/>
        <v>0.0070</v>
      </c>
    </row>
    <row r="1558" s="1" customFormat="1" spans="1:21">
      <c r="A1558" s="1" t="str">
        <f>"4601992020287"</f>
        <v>4601992020287</v>
      </c>
      <c r="B1558" s="1" t="s">
        <v>1582</v>
      </c>
      <c r="C1558" s="1" t="s">
        <v>24</v>
      </c>
      <c r="D1558" s="1" t="str">
        <f t="shared" si="3050"/>
        <v>2021</v>
      </c>
      <c r="E1558" s="1" t="str">
        <f t="shared" ref="E1558:P1558" si="3096">"0"</f>
        <v>0</v>
      </c>
      <c r="F1558" s="1" t="str">
        <f t="shared" si="3096"/>
        <v>0</v>
      </c>
      <c r="G1558" s="1" t="str">
        <f t="shared" si="3096"/>
        <v>0</v>
      </c>
      <c r="H1558" s="1" t="str">
        <f t="shared" si="3096"/>
        <v>0</v>
      </c>
      <c r="I1558" s="1" t="str">
        <f t="shared" si="3096"/>
        <v>0</v>
      </c>
      <c r="J1558" s="1" t="str">
        <f t="shared" si="3096"/>
        <v>0</v>
      </c>
      <c r="K1558" s="1" t="str">
        <f t="shared" si="3096"/>
        <v>0</v>
      </c>
      <c r="L1558" s="1" t="str">
        <f t="shared" si="3096"/>
        <v>0</v>
      </c>
      <c r="M1558" s="1" t="str">
        <f t="shared" si="3096"/>
        <v>0</v>
      </c>
      <c r="N1558" s="1" t="str">
        <f t="shared" si="3096"/>
        <v>0</v>
      </c>
      <c r="O1558" s="1" t="str">
        <f t="shared" si="3096"/>
        <v>0</v>
      </c>
      <c r="P1558" s="1" t="str">
        <f t="shared" si="3096"/>
        <v>0</v>
      </c>
      <c r="Q1558" s="1" t="str">
        <f t="shared" si="3053"/>
        <v>0.0070</v>
      </c>
      <c r="R1558" s="1" t="s">
        <v>25</v>
      </c>
      <c r="T1558" s="1" t="str">
        <f t="shared" si="3054"/>
        <v>0</v>
      </c>
      <c r="U1558" s="1" t="str">
        <f t="shared" si="3089"/>
        <v>0.0070</v>
      </c>
    </row>
    <row r="1559" s="1" customFormat="1" spans="1:21">
      <c r="A1559" s="1" t="str">
        <f>"4601992020252"</f>
        <v>4601992020252</v>
      </c>
      <c r="B1559" s="1" t="s">
        <v>1583</v>
      </c>
      <c r="C1559" s="1" t="s">
        <v>24</v>
      </c>
      <c r="D1559" s="1" t="str">
        <f t="shared" si="3050"/>
        <v>2021</v>
      </c>
      <c r="E1559" s="1" t="str">
        <f>"144.64"</f>
        <v>144.64</v>
      </c>
      <c r="F1559" s="1" t="str">
        <f t="shared" ref="F1559:I1559" si="3097">"0"</f>
        <v>0</v>
      </c>
      <c r="G1559" s="1" t="str">
        <f t="shared" si="3097"/>
        <v>0</v>
      </c>
      <c r="H1559" s="1" t="str">
        <f t="shared" si="3097"/>
        <v>0</v>
      </c>
      <c r="I1559" s="1" t="str">
        <f t="shared" si="3097"/>
        <v>0</v>
      </c>
      <c r="J1559" s="1" t="str">
        <f>"12"</f>
        <v>12</v>
      </c>
      <c r="K1559" s="1" t="str">
        <f t="shared" ref="K1559:P1559" si="3098">"0"</f>
        <v>0</v>
      </c>
      <c r="L1559" s="1" t="str">
        <f t="shared" si="3098"/>
        <v>0</v>
      </c>
      <c r="M1559" s="1" t="str">
        <f t="shared" si="3098"/>
        <v>0</v>
      </c>
      <c r="N1559" s="1" t="str">
        <f t="shared" si="3098"/>
        <v>0</v>
      </c>
      <c r="O1559" s="1" t="str">
        <f t="shared" si="3098"/>
        <v>0</v>
      </c>
      <c r="P1559" s="1" t="str">
        <f t="shared" si="3098"/>
        <v>0</v>
      </c>
      <c r="Q1559" s="1" t="str">
        <f t="shared" si="3053"/>
        <v>0.0070</v>
      </c>
      <c r="R1559" s="1" t="s">
        <v>29</v>
      </c>
      <c r="S1559" s="1">
        <v>-0.0014</v>
      </c>
      <c r="T1559" s="1" t="str">
        <f t="shared" si="3054"/>
        <v>0</v>
      </c>
      <c r="U1559" s="1" t="str">
        <f t="shared" ref="U1559:U1565" si="3099">"0.0056"</f>
        <v>0.0056</v>
      </c>
    </row>
    <row r="1560" s="1" customFormat="1" spans="1:21">
      <c r="A1560" s="1" t="str">
        <f>"4601992020248"</f>
        <v>4601992020248</v>
      </c>
      <c r="B1560" s="1" t="s">
        <v>1584</v>
      </c>
      <c r="C1560" s="1" t="s">
        <v>24</v>
      </c>
      <c r="D1560" s="1" t="str">
        <f t="shared" si="3050"/>
        <v>2021</v>
      </c>
      <c r="E1560" s="1" t="str">
        <f t="shared" si="3090"/>
        <v>12.09</v>
      </c>
      <c r="F1560" s="1" t="str">
        <f t="shared" ref="F1560:I1560" si="3100">"0"</f>
        <v>0</v>
      </c>
      <c r="G1560" s="1" t="str">
        <f t="shared" si="3100"/>
        <v>0</v>
      </c>
      <c r="H1560" s="1" t="str">
        <f t="shared" si="3100"/>
        <v>0</v>
      </c>
      <c r="I1560" s="1" t="str">
        <f t="shared" si="3100"/>
        <v>0</v>
      </c>
      <c r="J1560" s="1" t="str">
        <f t="shared" si="3092"/>
        <v>1</v>
      </c>
      <c r="K1560" s="1" t="str">
        <f t="shared" ref="K1560:P1560" si="3101">"0"</f>
        <v>0</v>
      </c>
      <c r="L1560" s="1" t="str">
        <f t="shared" si="3101"/>
        <v>0</v>
      </c>
      <c r="M1560" s="1" t="str">
        <f t="shared" si="3101"/>
        <v>0</v>
      </c>
      <c r="N1560" s="1" t="str">
        <f t="shared" si="3101"/>
        <v>0</v>
      </c>
      <c r="O1560" s="1" t="str">
        <f t="shared" si="3101"/>
        <v>0</v>
      </c>
      <c r="P1560" s="1" t="str">
        <f t="shared" si="3101"/>
        <v>0</v>
      </c>
      <c r="Q1560" s="1" t="str">
        <f t="shared" si="3053"/>
        <v>0.0070</v>
      </c>
      <c r="R1560" s="1" t="s">
        <v>29</v>
      </c>
      <c r="S1560" s="1">
        <v>-0.0014</v>
      </c>
      <c r="T1560" s="1" t="str">
        <f t="shared" si="3054"/>
        <v>0</v>
      </c>
      <c r="U1560" s="1" t="str">
        <f t="shared" si="3099"/>
        <v>0.0056</v>
      </c>
    </row>
    <row r="1561" s="1" customFormat="1" spans="1:21">
      <c r="A1561" s="1" t="str">
        <f>"4601992020299"</f>
        <v>4601992020299</v>
      </c>
      <c r="B1561" s="1" t="s">
        <v>1585</v>
      </c>
      <c r="C1561" s="1" t="s">
        <v>24</v>
      </c>
      <c r="D1561" s="1" t="str">
        <f t="shared" si="3050"/>
        <v>2021</v>
      </c>
      <c r="E1561" s="1" t="str">
        <f t="shared" si="3090"/>
        <v>12.09</v>
      </c>
      <c r="F1561" s="1" t="str">
        <f t="shared" ref="F1561:I1561" si="3102">"0"</f>
        <v>0</v>
      </c>
      <c r="G1561" s="1" t="str">
        <f t="shared" si="3102"/>
        <v>0</v>
      </c>
      <c r="H1561" s="1" t="str">
        <f t="shared" si="3102"/>
        <v>0</v>
      </c>
      <c r="I1561" s="1" t="str">
        <f t="shared" si="3102"/>
        <v>0</v>
      </c>
      <c r="J1561" s="1" t="str">
        <f t="shared" si="3092"/>
        <v>1</v>
      </c>
      <c r="K1561" s="1" t="str">
        <f t="shared" ref="K1561:P1561" si="3103">"0"</f>
        <v>0</v>
      </c>
      <c r="L1561" s="1" t="str">
        <f t="shared" si="3103"/>
        <v>0</v>
      </c>
      <c r="M1561" s="1" t="str">
        <f t="shared" si="3103"/>
        <v>0</v>
      </c>
      <c r="N1561" s="1" t="str">
        <f t="shared" si="3103"/>
        <v>0</v>
      </c>
      <c r="O1561" s="1" t="str">
        <f t="shared" si="3103"/>
        <v>0</v>
      </c>
      <c r="P1561" s="1" t="str">
        <f t="shared" si="3103"/>
        <v>0</v>
      </c>
      <c r="Q1561" s="1" t="str">
        <f t="shared" si="3053"/>
        <v>0.0070</v>
      </c>
      <c r="R1561" s="1" t="s">
        <v>25</v>
      </c>
      <c r="T1561" s="1" t="str">
        <f t="shared" si="3054"/>
        <v>0</v>
      </c>
      <c r="U1561" s="1" t="str">
        <f>"0.0070"</f>
        <v>0.0070</v>
      </c>
    </row>
    <row r="1562" s="1" customFormat="1" spans="1:21">
      <c r="A1562" s="1" t="str">
        <f>"4601992020317"</f>
        <v>4601992020317</v>
      </c>
      <c r="B1562" s="1" t="s">
        <v>1586</v>
      </c>
      <c r="C1562" s="1" t="s">
        <v>24</v>
      </c>
      <c r="D1562" s="1" t="str">
        <f t="shared" si="3050"/>
        <v>2021</v>
      </c>
      <c r="E1562" s="1" t="str">
        <f>"11.98"</f>
        <v>11.98</v>
      </c>
      <c r="F1562" s="1" t="str">
        <f t="shared" ref="F1562:I1562" si="3104">"0"</f>
        <v>0</v>
      </c>
      <c r="G1562" s="1" t="str">
        <f t="shared" si="3104"/>
        <v>0</v>
      </c>
      <c r="H1562" s="1" t="str">
        <f t="shared" si="3104"/>
        <v>0</v>
      </c>
      <c r="I1562" s="1" t="str">
        <f t="shared" si="3104"/>
        <v>0</v>
      </c>
      <c r="J1562" s="1" t="str">
        <f t="shared" si="3092"/>
        <v>1</v>
      </c>
      <c r="K1562" s="1" t="str">
        <f t="shared" ref="K1562:P1562" si="3105">"0"</f>
        <v>0</v>
      </c>
      <c r="L1562" s="1" t="str">
        <f t="shared" si="3105"/>
        <v>0</v>
      </c>
      <c r="M1562" s="1" t="str">
        <f t="shared" si="3105"/>
        <v>0</v>
      </c>
      <c r="N1562" s="1" t="str">
        <f t="shared" si="3105"/>
        <v>0</v>
      </c>
      <c r="O1562" s="1" t="str">
        <f t="shared" si="3105"/>
        <v>0</v>
      </c>
      <c r="P1562" s="1" t="str">
        <f t="shared" si="3105"/>
        <v>0</v>
      </c>
      <c r="Q1562" s="1" t="str">
        <f t="shared" si="3053"/>
        <v>0.0070</v>
      </c>
      <c r="R1562" s="1" t="s">
        <v>29</v>
      </c>
      <c r="S1562" s="1">
        <v>-0.0014</v>
      </c>
      <c r="T1562" s="1" t="str">
        <f t="shared" si="3054"/>
        <v>0</v>
      </c>
      <c r="U1562" s="1" t="str">
        <f t="shared" si="3099"/>
        <v>0.0056</v>
      </c>
    </row>
    <row r="1563" s="1" customFormat="1" spans="1:21">
      <c r="A1563" s="1" t="str">
        <f>"4601992020326"</f>
        <v>4601992020326</v>
      </c>
      <c r="B1563" s="1" t="s">
        <v>1587</v>
      </c>
      <c r="C1563" s="1" t="s">
        <v>24</v>
      </c>
      <c r="D1563" s="1" t="str">
        <f t="shared" si="3050"/>
        <v>2021</v>
      </c>
      <c r="E1563" s="1" t="str">
        <f t="shared" ref="E1563:E1568" si="3106">"36.27"</f>
        <v>36.27</v>
      </c>
      <c r="F1563" s="1" t="str">
        <f t="shared" ref="F1563:I1563" si="3107">"0"</f>
        <v>0</v>
      </c>
      <c r="G1563" s="1" t="str">
        <f t="shared" si="3107"/>
        <v>0</v>
      </c>
      <c r="H1563" s="1" t="str">
        <f t="shared" si="3107"/>
        <v>0</v>
      </c>
      <c r="I1563" s="1" t="str">
        <f t="shared" si="3107"/>
        <v>0</v>
      </c>
      <c r="J1563" s="1" t="str">
        <f>"3"</f>
        <v>3</v>
      </c>
      <c r="K1563" s="1" t="str">
        <f t="shared" ref="K1563:P1563" si="3108">"0"</f>
        <v>0</v>
      </c>
      <c r="L1563" s="1" t="str">
        <f t="shared" si="3108"/>
        <v>0</v>
      </c>
      <c r="M1563" s="1" t="str">
        <f t="shared" si="3108"/>
        <v>0</v>
      </c>
      <c r="N1563" s="1" t="str">
        <f t="shared" si="3108"/>
        <v>0</v>
      </c>
      <c r="O1563" s="1" t="str">
        <f t="shared" si="3108"/>
        <v>0</v>
      </c>
      <c r="P1563" s="1" t="str">
        <f t="shared" si="3108"/>
        <v>0</v>
      </c>
      <c r="Q1563" s="1" t="str">
        <f t="shared" si="3053"/>
        <v>0.0070</v>
      </c>
      <c r="R1563" s="1" t="s">
        <v>29</v>
      </c>
      <c r="S1563" s="1">
        <v>-0.0014</v>
      </c>
      <c r="T1563" s="1" t="str">
        <f t="shared" si="3054"/>
        <v>0</v>
      </c>
      <c r="U1563" s="1" t="str">
        <f t="shared" si="3099"/>
        <v>0.0056</v>
      </c>
    </row>
    <row r="1564" s="1" customFormat="1" spans="1:21">
      <c r="A1564" s="1" t="str">
        <f>"4601992020381"</f>
        <v>4601992020381</v>
      </c>
      <c r="B1564" s="1" t="s">
        <v>1588</v>
      </c>
      <c r="C1564" s="1" t="s">
        <v>24</v>
      </c>
      <c r="D1564" s="1" t="str">
        <f t="shared" si="3050"/>
        <v>2021</v>
      </c>
      <c r="E1564" s="1" t="str">
        <f>"131.78"</f>
        <v>131.78</v>
      </c>
      <c r="F1564" s="1" t="str">
        <f t="shared" ref="F1564:I1564" si="3109">"0"</f>
        <v>0</v>
      </c>
      <c r="G1564" s="1" t="str">
        <f t="shared" si="3109"/>
        <v>0</v>
      </c>
      <c r="H1564" s="1" t="str">
        <f t="shared" si="3109"/>
        <v>0</v>
      </c>
      <c r="I1564" s="1" t="str">
        <f t="shared" si="3109"/>
        <v>0</v>
      </c>
      <c r="J1564" s="1" t="str">
        <f>"10"</f>
        <v>10</v>
      </c>
      <c r="K1564" s="1" t="str">
        <f t="shared" ref="K1564:P1564" si="3110">"0"</f>
        <v>0</v>
      </c>
      <c r="L1564" s="1" t="str">
        <f t="shared" si="3110"/>
        <v>0</v>
      </c>
      <c r="M1564" s="1" t="str">
        <f t="shared" si="3110"/>
        <v>0</v>
      </c>
      <c r="N1564" s="1" t="str">
        <f t="shared" si="3110"/>
        <v>0</v>
      </c>
      <c r="O1564" s="1" t="str">
        <f t="shared" si="3110"/>
        <v>0</v>
      </c>
      <c r="P1564" s="1" t="str">
        <f t="shared" si="3110"/>
        <v>0</v>
      </c>
      <c r="Q1564" s="1" t="str">
        <f t="shared" si="3053"/>
        <v>0.0070</v>
      </c>
      <c r="R1564" s="1" t="s">
        <v>29</v>
      </c>
      <c r="S1564" s="1">
        <v>-0.0014</v>
      </c>
      <c r="T1564" s="1" t="str">
        <f t="shared" si="3054"/>
        <v>0</v>
      </c>
      <c r="U1564" s="1" t="str">
        <f t="shared" si="3099"/>
        <v>0.0056</v>
      </c>
    </row>
    <row r="1565" s="1" customFormat="1" spans="1:21">
      <c r="A1565" s="1" t="str">
        <f>"4601992020404"</f>
        <v>4601992020404</v>
      </c>
      <c r="B1565" s="1" t="s">
        <v>1589</v>
      </c>
      <c r="C1565" s="1" t="s">
        <v>24</v>
      </c>
      <c r="D1565" s="1" t="str">
        <f t="shared" si="3050"/>
        <v>2021</v>
      </c>
      <c r="E1565" s="1" t="str">
        <f>"24.18"</f>
        <v>24.18</v>
      </c>
      <c r="F1565" s="1" t="str">
        <f t="shared" ref="F1565:I1565" si="3111">"0"</f>
        <v>0</v>
      </c>
      <c r="G1565" s="1" t="str">
        <f t="shared" si="3111"/>
        <v>0</v>
      </c>
      <c r="H1565" s="1" t="str">
        <f t="shared" si="3111"/>
        <v>0</v>
      </c>
      <c r="I1565" s="1" t="str">
        <f t="shared" si="3111"/>
        <v>0</v>
      </c>
      <c r="J1565" s="1" t="str">
        <f>"2"</f>
        <v>2</v>
      </c>
      <c r="K1565" s="1" t="str">
        <f t="shared" ref="K1565:P1565" si="3112">"0"</f>
        <v>0</v>
      </c>
      <c r="L1565" s="1" t="str">
        <f t="shared" si="3112"/>
        <v>0</v>
      </c>
      <c r="M1565" s="1" t="str">
        <f t="shared" si="3112"/>
        <v>0</v>
      </c>
      <c r="N1565" s="1" t="str">
        <f t="shared" si="3112"/>
        <v>0</v>
      </c>
      <c r="O1565" s="1" t="str">
        <f t="shared" si="3112"/>
        <v>0</v>
      </c>
      <c r="P1565" s="1" t="str">
        <f t="shared" si="3112"/>
        <v>0</v>
      </c>
      <c r="Q1565" s="1" t="str">
        <f t="shared" si="3053"/>
        <v>0.0070</v>
      </c>
      <c r="R1565" s="1" t="s">
        <v>29</v>
      </c>
      <c r="S1565" s="1">
        <v>-0.0014</v>
      </c>
      <c r="T1565" s="1" t="str">
        <f t="shared" si="3054"/>
        <v>0</v>
      </c>
      <c r="U1565" s="1" t="str">
        <f t="shared" si="3099"/>
        <v>0.0056</v>
      </c>
    </row>
    <row r="1566" s="1" customFormat="1" spans="1:21">
      <c r="A1566" s="1" t="str">
        <f>"4601992020414"</f>
        <v>4601992020414</v>
      </c>
      <c r="B1566" s="1" t="s">
        <v>1590</v>
      </c>
      <c r="C1566" s="1" t="s">
        <v>24</v>
      </c>
      <c r="D1566" s="1" t="str">
        <f t="shared" si="3050"/>
        <v>2021</v>
      </c>
      <c r="E1566" s="1" t="str">
        <f t="shared" ref="E1566:P1566" si="3113">"0"</f>
        <v>0</v>
      </c>
      <c r="F1566" s="1" t="str">
        <f t="shared" si="3113"/>
        <v>0</v>
      </c>
      <c r="G1566" s="1" t="str">
        <f t="shared" si="3113"/>
        <v>0</v>
      </c>
      <c r="H1566" s="1" t="str">
        <f t="shared" si="3113"/>
        <v>0</v>
      </c>
      <c r="I1566" s="1" t="str">
        <f t="shared" si="3113"/>
        <v>0</v>
      </c>
      <c r="J1566" s="1" t="str">
        <f t="shared" si="3113"/>
        <v>0</v>
      </c>
      <c r="K1566" s="1" t="str">
        <f t="shared" si="3113"/>
        <v>0</v>
      </c>
      <c r="L1566" s="1" t="str">
        <f t="shared" si="3113"/>
        <v>0</v>
      </c>
      <c r="M1566" s="1" t="str">
        <f t="shared" si="3113"/>
        <v>0</v>
      </c>
      <c r="N1566" s="1" t="str">
        <f t="shared" si="3113"/>
        <v>0</v>
      </c>
      <c r="O1566" s="1" t="str">
        <f t="shared" si="3113"/>
        <v>0</v>
      </c>
      <c r="P1566" s="1" t="str">
        <f t="shared" si="3113"/>
        <v>0</v>
      </c>
      <c r="Q1566" s="1" t="str">
        <f t="shared" si="3053"/>
        <v>0.0070</v>
      </c>
      <c r="R1566" s="1" t="s">
        <v>25</v>
      </c>
      <c r="T1566" s="1" t="str">
        <f t="shared" si="3054"/>
        <v>0</v>
      </c>
      <c r="U1566" s="1" t="str">
        <f t="shared" ref="U1566:U1571" si="3114">"0.0070"</f>
        <v>0.0070</v>
      </c>
    </row>
    <row r="1567" s="1" customFormat="1" spans="1:21">
      <c r="A1567" s="1" t="str">
        <f>"4601992020385"</f>
        <v>4601992020385</v>
      </c>
      <c r="B1567" s="1" t="s">
        <v>1591</v>
      </c>
      <c r="C1567" s="1" t="s">
        <v>24</v>
      </c>
      <c r="D1567" s="1" t="str">
        <f t="shared" si="3050"/>
        <v>2021</v>
      </c>
      <c r="E1567" s="1" t="str">
        <f t="shared" si="3106"/>
        <v>36.27</v>
      </c>
      <c r="F1567" s="1" t="str">
        <f t="shared" ref="F1567:I1567" si="3115">"0"</f>
        <v>0</v>
      </c>
      <c r="G1567" s="1" t="str">
        <f t="shared" si="3115"/>
        <v>0</v>
      </c>
      <c r="H1567" s="1" t="str">
        <f t="shared" si="3115"/>
        <v>0</v>
      </c>
      <c r="I1567" s="1" t="str">
        <f t="shared" si="3115"/>
        <v>0</v>
      </c>
      <c r="J1567" s="1" t="str">
        <f>"4"</f>
        <v>4</v>
      </c>
      <c r="K1567" s="1" t="str">
        <f t="shared" ref="K1567:P1567" si="3116">"0"</f>
        <v>0</v>
      </c>
      <c r="L1567" s="1" t="str">
        <f t="shared" si="3116"/>
        <v>0</v>
      </c>
      <c r="M1567" s="1" t="str">
        <f t="shared" si="3116"/>
        <v>0</v>
      </c>
      <c r="N1567" s="1" t="str">
        <f t="shared" si="3116"/>
        <v>0</v>
      </c>
      <c r="O1567" s="1" t="str">
        <f t="shared" si="3116"/>
        <v>0</v>
      </c>
      <c r="P1567" s="1" t="str">
        <f t="shared" si="3116"/>
        <v>0</v>
      </c>
      <c r="Q1567" s="1" t="str">
        <f t="shared" si="3053"/>
        <v>0.0070</v>
      </c>
      <c r="R1567" s="1" t="s">
        <v>29</v>
      </c>
      <c r="S1567" s="1">
        <v>-0.0014</v>
      </c>
      <c r="T1567" s="1" t="str">
        <f t="shared" si="3054"/>
        <v>0</v>
      </c>
      <c r="U1567" s="1" t="str">
        <f t="shared" ref="U1567:U1570" si="3117">"0.0056"</f>
        <v>0.0056</v>
      </c>
    </row>
    <row r="1568" s="1" customFormat="1" spans="1:21">
      <c r="A1568" s="1" t="str">
        <f>"4601992020423"</f>
        <v>4601992020423</v>
      </c>
      <c r="B1568" s="1" t="s">
        <v>1592</v>
      </c>
      <c r="C1568" s="1" t="s">
        <v>24</v>
      </c>
      <c r="D1568" s="1" t="str">
        <f t="shared" si="3050"/>
        <v>2021</v>
      </c>
      <c r="E1568" s="1" t="str">
        <f t="shared" si="3106"/>
        <v>36.27</v>
      </c>
      <c r="F1568" s="1" t="str">
        <f t="shared" ref="F1568:I1568" si="3118">"0"</f>
        <v>0</v>
      </c>
      <c r="G1568" s="1" t="str">
        <f t="shared" si="3118"/>
        <v>0</v>
      </c>
      <c r="H1568" s="1" t="str">
        <f t="shared" si="3118"/>
        <v>0</v>
      </c>
      <c r="I1568" s="1" t="str">
        <f t="shared" si="3118"/>
        <v>0</v>
      </c>
      <c r="J1568" s="1" t="str">
        <f>"4"</f>
        <v>4</v>
      </c>
      <c r="K1568" s="1" t="str">
        <f t="shared" ref="K1568:P1568" si="3119">"0"</f>
        <v>0</v>
      </c>
      <c r="L1568" s="1" t="str">
        <f t="shared" si="3119"/>
        <v>0</v>
      </c>
      <c r="M1568" s="1" t="str">
        <f t="shared" si="3119"/>
        <v>0</v>
      </c>
      <c r="N1568" s="1" t="str">
        <f t="shared" si="3119"/>
        <v>0</v>
      </c>
      <c r="O1568" s="1" t="str">
        <f t="shared" si="3119"/>
        <v>0</v>
      </c>
      <c r="P1568" s="1" t="str">
        <f t="shared" si="3119"/>
        <v>0</v>
      </c>
      <c r="Q1568" s="1" t="str">
        <f t="shared" si="3053"/>
        <v>0.0070</v>
      </c>
      <c r="R1568" s="1" t="s">
        <v>25</v>
      </c>
      <c r="T1568" s="1" t="str">
        <f t="shared" si="3054"/>
        <v>0</v>
      </c>
      <c r="U1568" s="1" t="str">
        <f t="shared" si="3114"/>
        <v>0.0070</v>
      </c>
    </row>
    <row r="1569" s="1" customFormat="1" spans="1:21">
      <c r="A1569" s="1" t="str">
        <f>"4601992020489"</f>
        <v>4601992020489</v>
      </c>
      <c r="B1569" s="1" t="s">
        <v>1593</v>
      </c>
      <c r="C1569" s="1" t="s">
        <v>24</v>
      </c>
      <c r="D1569" s="1" t="str">
        <f t="shared" si="3050"/>
        <v>2021</v>
      </c>
      <c r="E1569" s="1" t="str">
        <f>"145.08"</f>
        <v>145.08</v>
      </c>
      <c r="F1569" s="1" t="str">
        <f t="shared" ref="F1569:I1569" si="3120">"0"</f>
        <v>0</v>
      </c>
      <c r="G1569" s="1" t="str">
        <f t="shared" si="3120"/>
        <v>0</v>
      </c>
      <c r="H1569" s="1" t="str">
        <f t="shared" si="3120"/>
        <v>0</v>
      </c>
      <c r="I1569" s="1" t="str">
        <f t="shared" si="3120"/>
        <v>0</v>
      </c>
      <c r="J1569" s="1" t="str">
        <f>"11"</f>
        <v>11</v>
      </c>
      <c r="K1569" s="1" t="str">
        <f t="shared" ref="K1569:P1569" si="3121">"0"</f>
        <v>0</v>
      </c>
      <c r="L1569" s="1" t="str">
        <f t="shared" si="3121"/>
        <v>0</v>
      </c>
      <c r="M1569" s="1" t="str">
        <f t="shared" si="3121"/>
        <v>0</v>
      </c>
      <c r="N1569" s="1" t="str">
        <f t="shared" si="3121"/>
        <v>0</v>
      </c>
      <c r="O1569" s="1" t="str">
        <f t="shared" si="3121"/>
        <v>0</v>
      </c>
      <c r="P1569" s="1" t="str">
        <f t="shared" si="3121"/>
        <v>0</v>
      </c>
      <c r="Q1569" s="1" t="str">
        <f t="shared" si="3053"/>
        <v>0.0070</v>
      </c>
      <c r="R1569" s="1" t="s">
        <v>29</v>
      </c>
      <c r="S1569" s="1">
        <v>-0.0014</v>
      </c>
      <c r="T1569" s="1" t="str">
        <f t="shared" si="3054"/>
        <v>0</v>
      </c>
      <c r="U1569" s="1" t="str">
        <f t="shared" si="3117"/>
        <v>0.0056</v>
      </c>
    </row>
    <row r="1570" s="1" customFormat="1" spans="1:21">
      <c r="A1570" s="1" t="str">
        <f>"4601992020500"</f>
        <v>4601992020500</v>
      </c>
      <c r="B1570" s="1" t="s">
        <v>1594</v>
      </c>
      <c r="C1570" s="1" t="s">
        <v>24</v>
      </c>
      <c r="D1570" s="1" t="str">
        <f t="shared" si="3050"/>
        <v>2021</v>
      </c>
      <c r="E1570" s="1" t="str">
        <f>"85.06"</f>
        <v>85.06</v>
      </c>
      <c r="F1570" s="1" t="str">
        <f t="shared" ref="F1570:I1570" si="3122">"0"</f>
        <v>0</v>
      </c>
      <c r="G1570" s="1" t="str">
        <f t="shared" si="3122"/>
        <v>0</v>
      </c>
      <c r="H1570" s="1" t="str">
        <f t="shared" si="3122"/>
        <v>0</v>
      </c>
      <c r="I1570" s="1" t="str">
        <f t="shared" si="3122"/>
        <v>0</v>
      </c>
      <c r="J1570" s="1" t="str">
        <f>"3"</f>
        <v>3</v>
      </c>
      <c r="K1570" s="1" t="str">
        <f t="shared" ref="K1570:P1570" si="3123">"0"</f>
        <v>0</v>
      </c>
      <c r="L1570" s="1" t="str">
        <f t="shared" si="3123"/>
        <v>0</v>
      </c>
      <c r="M1570" s="1" t="str">
        <f t="shared" si="3123"/>
        <v>0</v>
      </c>
      <c r="N1570" s="1" t="str">
        <f t="shared" si="3123"/>
        <v>0</v>
      </c>
      <c r="O1570" s="1" t="str">
        <f t="shared" si="3123"/>
        <v>0</v>
      </c>
      <c r="P1570" s="1" t="str">
        <f t="shared" si="3123"/>
        <v>0</v>
      </c>
      <c r="Q1570" s="1" t="str">
        <f t="shared" si="3053"/>
        <v>0.0070</v>
      </c>
      <c r="R1570" s="1" t="s">
        <v>29</v>
      </c>
      <c r="S1570" s="1">
        <v>-0.0014</v>
      </c>
      <c r="T1570" s="1" t="str">
        <f t="shared" si="3054"/>
        <v>0</v>
      </c>
      <c r="U1570" s="1" t="str">
        <f t="shared" si="3117"/>
        <v>0.0056</v>
      </c>
    </row>
    <row r="1571" s="1" customFormat="1" spans="1:21">
      <c r="A1571" s="1" t="str">
        <f>"4601992020535"</f>
        <v>4601992020535</v>
      </c>
      <c r="B1571" s="1" t="s">
        <v>1595</v>
      </c>
      <c r="C1571" s="1" t="s">
        <v>24</v>
      </c>
      <c r="D1571" s="1" t="str">
        <f t="shared" si="3050"/>
        <v>2021</v>
      </c>
      <c r="E1571" s="1" t="str">
        <f t="shared" ref="E1571:P1571" si="3124">"0"</f>
        <v>0</v>
      </c>
      <c r="F1571" s="1" t="str">
        <f t="shared" si="3124"/>
        <v>0</v>
      </c>
      <c r="G1571" s="1" t="str">
        <f t="shared" si="3124"/>
        <v>0</v>
      </c>
      <c r="H1571" s="1" t="str">
        <f t="shared" si="3124"/>
        <v>0</v>
      </c>
      <c r="I1571" s="1" t="str">
        <f t="shared" si="3124"/>
        <v>0</v>
      </c>
      <c r="J1571" s="1" t="str">
        <f t="shared" si="3124"/>
        <v>0</v>
      </c>
      <c r="K1571" s="1" t="str">
        <f t="shared" si="3124"/>
        <v>0</v>
      </c>
      <c r="L1571" s="1" t="str">
        <f t="shared" si="3124"/>
        <v>0</v>
      </c>
      <c r="M1571" s="1" t="str">
        <f t="shared" si="3124"/>
        <v>0</v>
      </c>
      <c r="N1571" s="1" t="str">
        <f t="shared" si="3124"/>
        <v>0</v>
      </c>
      <c r="O1571" s="1" t="str">
        <f t="shared" si="3124"/>
        <v>0</v>
      </c>
      <c r="P1571" s="1" t="str">
        <f t="shared" si="3124"/>
        <v>0</v>
      </c>
      <c r="Q1571" s="1" t="str">
        <f t="shared" si="3053"/>
        <v>0.0070</v>
      </c>
      <c r="R1571" s="1" t="s">
        <v>25</v>
      </c>
      <c r="T1571" s="1" t="str">
        <f t="shared" si="3054"/>
        <v>0</v>
      </c>
      <c r="U1571" s="1" t="str">
        <f t="shared" si="3114"/>
        <v>0.0070</v>
      </c>
    </row>
    <row r="1572" s="1" customFormat="1" spans="1:21">
      <c r="A1572" s="1" t="str">
        <f>"4601992020502"</f>
        <v>4601992020502</v>
      </c>
      <c r="B1572" s="1" t="s">
        <v>1596</v>
      </c>
      <c r="C1572" s="1" t="s">
        <v>24</v>
      </c>
      <c r="D1572" s="1" t="str">
        <f t="shared" si="3050"/>
        <v>2021</v>
      </c>
      <c r="E1572" s="1" t="str">
        <f>"59.90"</f>
        <v>59.90</v>
      </c>
      <c r="F1572" s="1" t="str">
        <f t="shared" ref="F1572:I1572" si="3125">"0"</f>
        <v>0</v>
      </c>
      <c r="G1572" s="1" t="str">
        <f t="shared" si="3125"/>
        <v>0</v>
      </c>
      <c r="H1572" s="1" t="str">
        <f t="shared" si="3125"/>
        <v>0</v>
      </c>
      <c r="I1572" s="1" t="str">
        <f t="shared" si="3125"/>
        <v>0</v>
      </c>
      <c r="J1572" s="1" t="str">
        <f>"5"</f>
        <v>5</v>
      </c>
      <c r="K1572" s="1" t="str">
        <f t="shared" ref="K1572:P1572" si="3126">"0"</f>
        <v>0</v>
      </c>
      <c r="L1572" s="1" t="str">
        <f t="shared" si="3126"/>
        <v>0</v>
      </c>
      <c r="M1572" s="1" t="str">
        <f t="shared" si="3126"/>
        <v>0</v>
      </c>
      <c r="N1572" s="1" t="str">
        <f t="shared" si="3126"/>
        <v>0</v>
      </c>
      <c r="O1572" s="1" t="str">
        <f t="shared" si="3126"/>
        <v>0</v>
      </c>
      <c r="P1572" s="1" t="str">
        <f t="shared" si="3126"/>
        <v>0</v>
      </c>
      <c r="Q1572" s="1" t="str">
        <f t="shared" si="3053"/>
        <v>0.0070</v>
      </c>
      <c r="R1572" s="1" t="s">
        <v>29</v>
      </c>
      <c r="S1572" s="1">
        <v>-0.0014</v>
      </c>
      <c r="T1572" s="1" t="str">
        <f t="shared" si="3054"/>
        <v>0</v>
      </c>
      <c r="U1572" s="1" t="str">
        <f t="shared" ref="U1572:U1576" si="3127">"0.0056"</f>
        <v>0.0056</v>
      </c>
    </row>
    <row r="1573" s="1" customFormat="1" spans="1:21">
      <c r="A1573" s="1" t="str">
        <f>"4601992020681"</f>
        <v>4601992020681</v>
      </c>
      <c r="B1573" s="1" t="s">
        <v>1597</v>
      </c>
      <c r="C1573" s="1" t="s">
        <v>24</v>
      </c>
      <c r="D1573" s="1" t="str">
        <f t="shared" si="3050"/>
        <v>2021</v>
      </c>
      <c r="E1573" s="1" t="str">
        <f t="shared" ref="E1573:G1573" si="3128">"0"</f>
        <v>0</v>
      </c>
      <c r="F1573" s="1" t="str">
        <f t="shared" si="3128"/>
        <v>0</v>
      </c>
      <c r="G1573" s="1" t="str">
        <f t="shared" si="3128"/>
        <v>0</v>
      </c>
      <c r="H1573" s="1" t="str">
        <f>"12.09"</f>
        <v>12.09</v>
      </c>
      <c r="I1573" s="1" t="str">
        <f t="shared" ref="I1573:P1573" si="3129">"0"</f>
        <v>0</v>
      </c>
      <c r="J1573" s="1" t="str">
        <f t="shared" si="3129"/>
        <v>0</v>
      </c>
      <c r="K1573" s="1" t="str">
        <f t="shared" si="3129"/>
        <v>0</v>
      </c>
      <c r="L1573" s="1" t="str">
        <f t="shared" si="3129"/>
        <v>0</v>
      </c>
      <c r="M1573" s="1" t="str">
        <f t="shared" si="3129"/>
        <v>0</v>
      </c>
      <c r="N1573" s="1" t="str">
        <f t="shared" si="3129"/>
        <v>0</v>
      </c>
      <c r="O1573" s="1" t="str">
        <f t="shared" si="3129"/>
        <v>0</v>
      </c>
      <c r="P1573" s="1" t="str">
        <f t="shared" si="3129"/>
        <v>0</v>
      </c>
      <c r="Q1573" s="1" t="str">
        <f t="shared" si="3053"/>
        <v>0.0070</v>
      </c>
      <c r="R1573" s="1" t="s">
        <v>25</v>
      </c>
      <c r="T1573" s="1" t="str">
        <f t="shared" si="3054"/>
        <v>0</v>
      </c>
      <c r="U1573" s="1" t="str">
        <f>"0.0070"</f>
        <v>0.0070</v>
      </c>
    </row>
    <row r="1574" s="1" customFormat="1" spans="1:21">
      <c r="A1574" s="1" t="str">
        <f>"4601992020524"</f>
        <v>4601992020524</v>
      </c>
      <c r="B1574" s="1" t="s">
        <v>1598</v>
      </c>
      <c r="C1574" s="1" t="s">
        <v>24</v>
      </c>
      <c r="D1574" s="1" t="str">
        <f t="shared" si="3050"/>
        <v>2021</v>
      </c>
      <c r="E1574" s="1" t="str">
        <f>"671.44"</f>
        <v>671.44</v>
      </c>
      <c r="F1574" s="1" t="str">
        <f t="shared" ref="F1574:I1574" si="3130">"0"</f>
        <v>0</v>
      </c>
      <c r="G1574" s="1" t="str">
        <f t="shared" si="3130"/>
        <v>0</v>
      </c>
      <c r="H1574" s="1" t="str">
        <f t="shared" si="3130"/>
        <v>0</v>
      </c>
      <c r="I1574" s="1" t="str">
        <f t="shared" si="3130"/>
        <v>0</v>
      </c>
      <c r="J1574" s="1" t="str">
        <f>"54"</f>
        <v>54</v>
      </c>
      <c r="K1574" s="1" t="str">
        <f t="shared" ref="K1574:P1574" si="3131">"0"</f>
        <v>0</v>
      </c>
      <c r="L1574" s="1" t="str">
        <f t="shared" si="3131"/>
        <v>0</v>
      </c>
      <c r="M1574" s="1" t="str">
        <f t="shared" si="3131"/>
        <v>0</v>
      </c>
      <c r="N1574" s="1" t="str">
        <f t="shared" si="3131"/>
        <v>0</v>
      </c>
      <c r="O1574" s="1" t="str">
        <f t="shared" si="3131"/>
        <v>0</v>
      </c>
      <c r="P1574" s="1" t="str">
        <f t="shared" si="3131"/>
        <v>0</v>
      </c>
      <c r="Q1574" s="1" t="str">
        <f t="shared" si="3053"/>
        <v>0.0070</v>
      </c>
      <c r="R1574" s="1" t="s">
        <v>29</v>
      </c>
      <c r="S1574" s="1">
        <v>-0.0014</v>
      </c>
      <c r="T1574" s="1" t="str">
        <f t="shared" si="3054"/>
        <v>0</v>
      </c>
      <c r="U1574" s="1" t="str">
        <f t="shared" si="3127"/>
        <v>0.0056</v>
      </c>
    </row>
    <row r="1575" s="1" customFormat="1" spans="1:21">
      <c r="A1575" s="1" t="str">
        <f>"4601992020623"</f>
        <v>4601992020623</v>
      </c>
      <c r="B1575" s="1" t="s">
        <v>1599</v>
      </c>
      <c r="C1575" s="1" t="s">
        <v>24</v>
      </c>
      <c r="D1575" s="1" t="str">
        <f t="shared" si="3050"/>
        <v>2021</v>
      </c>
      <c r="E1575" s="1" t="str">
        <f>"60.34"</f>
        <v>60.34</v>
      </c>
      <c r="F1575" s="1" t="str">
        <f t="shared" ref="F1575:I1575" si="3132">"0"</f>
        <v>0</v>
      </c>
      <c r="G1575" s="1" t="str">
        <f t="shared" si="3132"/>
        <v>0</v>
      </c>
      <c r="H1575" s="1" t="str">
        <f t="shared" si="3132"/>
        <v>0</v>
      </c>
      <c r="I1575" s="1" t="str">
        <f t="shared" si="3132"/>
        <v>0</v>
      </c>
      <c r="J1575" s="1" t="str">
        <f>"5"</f>
        <v>5</v>
      </c>
      <c r="K1575" s="1" t="str">
        <f t="shared" ref="K1575:P1575" si="3133">"0"</f>
        <v>0</v>
      </c>
      <c r="L1575" s="1" t="str">
        <f t="shared" si="3133"/>
        <v>0</v>
      </c>
      <c r="M1575" s="1" t="str">
        <f t="shared" si="3133"/>
        <v>0</v>
      </c>
      <c r="N1575" s="1" t="str">
        <f t="shared" si="3133"/>
        <v>0</v>
      </c>
      <c r="O1575" s="1" t="str">
        <f t="shared" si="3133"/>
        <v>0</v>
      </c>
      <c r="P1575" s="1" t="str">
        <f t="shared" si="3133"/>
        <v>0</v>
      </c>
      <c r="Q1575" s="1" t="str">
        <f t="shared" si="3053"/>
        <v>0.0070</v>
      </c>
      <c r="R1575" s="1" t="s">
        <v>29</v>
      </c>
      <c r="S1575" s="1">
        <v>-0.0014</v>
      </c>
      <c r="T1575" s="1" t="str">
        <f t="shared" si="3054"/>
        <v>0</v>
      </c>
      <c r="U1575" s="1" t="str">
        <f t="shared" si="3127"/>
        <v>0.0056</v>
      </c>
    </row>
    <row r="1576" s="1" customFormat="1" spans="1:21">
      <c r="A1576" s="1" t="str">
        <f>"4601992020594"</f>
        <v>4601992020594</v>
      </c>
      <c r="B1576" s="1" t="s">
        <v>1600</v>
      </c>
      <c r="C1576" s="1" t="s">
        <v>24</v>
      </c>
      <c r="D1576" s="1" t="str">
        <f t="shared" si="3050"/>
        <v>2021</v>
      </c>
      <c r="E1576" s="1" t="str">
        <f>"59.90"</f>
        <v>59.90</v>
      </c>
      <c r="F1576" s="1" t="str">
        <f t="shared" ref="F1576:I1576" si="3134">"0"</f>
        <v>0</v>
      </c>
      <c r="G1576" s="1" t="str">
        <f t="shared" si="3134"/>
        <v>0</v>
      </c>
      <c r="H1576" s="1" t="str">
        <f t="shared" si="3134"/>
        <v>0</v>
      </c>
      <c r="I1576" s="1" t="str">
        <f t="shared" si="3134"/>
        <v>0</v>
      </c>
      <c r="J1576" s="1" t="str">
        <f>"4"</f>
        <v>4</v>
      </c>
      <c r="K1576" s="1" t="str">
        <f t="shared" ref="K1576:P1576" si="3135">"0"</f>
        <v>0</v>
      </c>
      <c r="L1576" s="1" t="str">
        <f t="shared" si="3135"/>
        <v>0</v>
      </c>
      <c r="M1576" s="1" t="str">
        <f t="shared" si="3135"/>
        <v>0</v>
      </c>
      <c r="N1576" s="1" t="str">
        <f t="shared" si="3135"/>
        <v>0</v>
      </c>
      <c r="O1576" s="1" t="str">
        <f t="shared" si="3135"/>
        <v>0</v>
      </c>
      <c r="P1576" s="1" t="str">
        <f t="shared" si="3135"/>
        <v>0</v>
      </c>
      <c r="Q1576" s="1" t="str">
        <f t="shared" si="3053"/>
        <v>0.0070</v>
      </c>
      <c r="R1576" s="1" t="s">
        <v>29</v>
      </c>
      <c r="S1576" s="1">
        <v>-0.0014</v>
      </c>
      <c r="T1576" s="1" t="str">
        <f t="shared" si="3054"/>
        <v>0</v>
      </c>
      <c r="U1576" s="1" t="str">
        <f t="shared" si="3127"/>
        <v>0.0056</v>
      </c>
    </row>
    <row r="1577" s="1" customFormat="1" spans="1:21">
      <c r="A1577" s="1" t="str">
        <f>"4601992020789"</f>
        <v>4601992020789</v>
      </c>
      <c r="B1577" s="1" t="s">
        <v>1601</v>
      </c>
      <c r="C1577" s="1" t="s">
        <v>24</v>
      </c>
      <c r="D1577" s="1" t="str">
        <f t="shared" si="3050"/>
        <v>2021</v>
      </c>
      <c r="E1577" s="1" t="str">
        <f>"12.09"</f>
        <v>12.09</v>
      </c>
      <c r="F1577" s="1" t="str">
        <f t="shared" ref="F1577:I1577" si="3136">"0"</f>
        <v>0</v>
      </c>
      <c r="G1577" s="1" t="str">
        <f t="shared" si="3136"/>
        <v>0</v>
      </c>
      <c r="H1577" s="1" t="str">
        <f t="shared" si="3136"/>
        <v>0</v>
      </c>
      <c r="I1577" s="1" t="str">
        <f t="shared" si="3136"/>
        <v>0</v>
      </c>
      <c r="J1577" s="1" t="str">
        <f>"1"</f>
        <v>1</v>
      </c>
      <c r="K1577" s="1" t="str">
        <f t="shared" ref="K1577:P1577" si="3137">"0"</f>
        <v>0</v>
      </c>
      <c r="L1577" s="1" t="str">
        <f t="shared" si="3137"/>
        <v>0</v>
      </c>
      <c r="M1577" s="1" t="str">
        <f t="shared" si="3137"/>
        <v>0</v>
      </c>
      <c r="N1577" s="1" t="str">
        <f t="shared" si="3137"/>
        <v>0</v>
      </c>
      <c r="O1577" s="1" t="str">
        <f t="shared" si="3137"/>
        <v>0</v>
      </c>
      <c r="P1577" s="1" t="str">
        <f t="shared" si="3137"/>
        <v>0</v>
      </c>
      <c r="Q1577" s="1" t="str">
        <f t="shared" si="3053"/>
        <v>0.0070</v>
      </c>
      <c r="R1577" s="1" t="s">
        <v>25</v>
      </c>
      <c r="T1577" s="1" t="str">
        <f t="shared" si="3054"/>
        <v>0</v>
      </c>
      <c r="U1577" s="1" t="str">
        <f>"0.0070"</f>
        <v>0.0070</v>
      </c>
    </row>
    <row r="1578" s="1" customFormat="1" spans="1:21">
      <c r="A1578" s="1" t="str">
        <f>"4601992020709"</f>
        <v>4601992020709</v>
      </c>
      <c r="B1578" s="1" t="s">
        <v>1602</v>
      </c>
      <c r="C1578" s="1" t="s">
        <v>24</v>
      </c>
      <c r="D1578" s="1" t="str">
        <f t="shared" si="3050"/>
        <v>2021</v>
      </c>
      <c r="E1578" s="1" t="str">
        <f>"120.90"</f>
        <v>120.90</v>
      </c>
      <c r="F1578" s="1" t="str">
        <f t="shared" ref="F1578:I1578" si="3138">"0"</f>
        <v>0</v>
      </c>
      <c r="G1578" s="1" t="str">
        <f t="shared" si="3138"/>
        <v>0</v>
      </c>
      <c r="H1578" s="1" t="str">
        <f t="shared" si="3138"/>
        <v>0</v>
      </c>
      <c r="I1578" s="1" t="str">
        <f t="shared" si="3138"/>
        <v>0</v>
      </c>
      <c r="J1578" s="1" t="str">
        <f>"11"</f>
        <v>11</v>
      </c>
      <c r="K1578" s="1" t="str">
        <f t="shared" ref="K1578:P1578" si="3139">"0"</f>
        <v>0</v>
      </c>
      <c r="L1578" s="1" t="str">
        <f t="shared" si="3139"/>
        <v>0</v>
      </c>
      <c r="M1578" s="1" t="str">
        <f t="shared" si="3139"/>
        <v>0</v>
      </c>
      <c r="N1578" s="1" t="str">
        <f t="shared" si="3139"/>
        <v>0</v>
      </c>
      <c r="O1578" s="1" t="str">
        <f t="shared" si="3139"/>
        <v>0</v>
      </c>
      <c r="P1578" s="1" t="str">
        <f t="shared" si="3139"/>
        <v>0</v>
      </c>
      <c r="Q1578" s="1" t="str">
        <f t="shared" si="3053"/>
        <v>0.0070</v>
      </c>
      <c r="R1578" s="1" t="s">
        <v>29</v>
      </c>
      <c r="S1578" s="1">
        <v>-0.0014</v>
      </c>
      <c r="T1578" s="1" t="str">
        <f t="shared" si="3054"/>
        <v>0</v>
      </c>
      <c r="U1578" s="1" t="str">
        <f t="shared" ref="U1578:U1583" si="3140">"0.0056"</f>
        <v>0.0056</v>
      </c>
    </row>
    <row r="1579" s="1" customFormat="1" spans="1:21">
      <c r="A1579" s="1" t="str">
        <f>"4601992020790"</f>
        <v>4601992020790</v>
      </c>
      <c r="B1579" s="1" t="s">
        <v>1603</v>
      </c>
      <c r="C1579" s="1" t="s">
        <v>24</v>
      </c>
      <c r="D1579" s="1" t="str">
        <f t="shared" si="3050"/>
        <v>2021</v>
      </c>
      <c r="E1579" s="1" t="str">
        <f>"24.18"</f>
        <v>24.18</v>
      </c>
      <c r="F1579" s="1" t="str">
        <f t="shared" ref="F1579:I1579" si="3141">"0"</f>
        <v>0</v>
      </c>
      <c r="G1579" s="1" t="str">
        <f t="shared" si="3141"/>
        <v>0</v>
      </c>
      <c r="H1579" s="1" t="str">
        <f t="shared" si="3141"/>
        <v>0</v>
      </c>
      <c r="I1579" s="1" t="str">
        <f t="shared" si="3141"/>
        <v>0</v>
      </c>
      <c r="J1579" s="1" t="str">
        <f>"2"</f>
        <v>2</v>
      </c>
      <c r="K1579" s="1" t="str">
        <f t="shared" ref="K1579:P1579" si="3142">"0"</f>
        <v>0</v>
      </c>
      <c r="L1579" s="1" t="str">
        <f t="shared" si="3142"/>
        <v>0</v>
      </c>
      <c r="M1579" s="1" t="str">
        <f t="shared" si="3142"/>
        <v>0</v>
      </c>
      <c r="N1579" s="1" t="str">
        <f t="shared" si="3142"/>
        <v>0</v>
      </c>
      <c r="O1579" s="1" t="str">
        <f t="shared" si="3142"/>
        <v>0</v>
      </c>
      <c r="P1579" s="1" t="str">
        <f t="shared" si="3142"/>
        <v>0</v>
      </c>
      <c r="Q1579" s="1" t="str">
        <f t="shared" si="3053"/>
        <v>0.0070</v>
      </c>
      <c r="R1579" s="1" t="s">
        <v>29</v>
      </c>
      <c r="S1579" s="1">
        <v>-0.0014</v>
      </c>
      <c r="T1579" s="1" t="str">
        <f t="shared" si="3054"/>
        <v>0</v>
      </c>
      <c r="U1579" s="1" t="str">
        <f t="shared" si="3140"/>
        <v>0.0056</v>
      </c>
    </row>
    <row r="1580" s="1" customFormat="1" spans="1:21">
      <c r="A1580" s="1" t="str">
        <f>"4601992020808"</f>
        <v>4601992020808</v>
      </c>
      <c r="B1580" s="1" t="s">
        <v>1604</v>
      </c>
      <c r="C1580" s="1" t="s">
        <v>24</v>
      </c>
      <c r="D1580" s="1" t="str">
        <f t="shared" si="3050"/>
        <v>2021</v>
      </c>
      <c r="E1580" s="1" t="str">
        <f>"36.27"</f>
        <v>36.27</v>
      </c>
      <c r="F1580" s="1" t="str">
        <f t="shared" ref="F1580:I1580" si="3143">"0"</f>
        <v>0</v>
      </c>
      <c r="G1580" s="1" t="str">
        <f t="shared" si="3143"/>
        <v>0</v>
      </c>
      <c r="H1580" s="1" t="str">
        <f t="shared" si="3143"/>
        <v>0</v>
      </c>
      <c r="I1580" s="1" t="str">
        <f t="shared" si="3143"/>
        <v>0</v>
      </c>
      <c r="J1580" s="1" t="str">
        <f>"3"</f>
        <v>3</v>
      </c>
      <c r="K1580" s="1" t="str">
        <f t="shared" ref="K1580:P1580" si="3144">"0"</f>
        <v>0</v>
      </c>
      <c r="L1580" s="1" t="str">
        <f t="shared" si="3144"/>
        <v>0</v>
      </c>
      <c r="M1580" s="1" t="str">
        <f t="shared" si="3144"/>
        <v>0</v>
      </c>
      <c r="N1580" s="1" t="str">
        <f t="shared" si="3144"/>
        <v>0</v>
      </c>
      <c r="O1580" s="1" t="str">
        <f t="shared" si="3144"/>
        <v>0</v>
      </c>
      <c r="P1580" s="1" t="str">
        <f t="shared" si="3144"/>
        <v>0</v>
      </c>
      <c r="Q1580" s="1" t="str">
        <f t="shared" si="3053"/>
        <v>0.0070</v>
      </c>
      <c r="R1580" s="1" t="s">
        <v>29</v>
      </c>
      <c r="S1580" s="1">
        <v>-0.0014</v>
      </c>
      <c r="T1580" s="1" t="str">
        <f t="shared" si="3054"/>
        <v>0</v>
      </c>
      <c r="U1580" s="1" t="str">
        <f t="shared" si="3140"/>
        <v>0.0056</v>
      </c>
    </row>
    <row r="1581" s="1" customFormat="1" spans="1:21">
      <c r="A1581" s="1" t="str">
        <f>"4601992020829"</f>
        <v>4601992020829</v>
      </c>
      <c r="B1581" s="1" t="s">
        <v>1605</v>
      </c>
      <c r="C1581" s="1" t="s">
        <v>24</v>
      </c>
      <c r="D1581" s="1" t="str">
        <f t="shared" si="3050"/>
        <v>2021</v>
      </c>
      <c r="E1581" s="1" t="str">
        <f>"24.18"</f>
        <v>24.18</v>
      </c>
      <c r="F1581" s="1" t="str">
        <f t="shared" ref="F1581:I1581" si="3145">"0"</f>
        <v>0</v>
      </c>
      <c r="G1581" s="1" t="str">
        <f t="shared" si="3145"/>
        <v>0</v>
      </c>
      <c r="H1581" s="1" t="str">
        <f t="shared" si="3145"/>
        <v>0</v>
      </c>
      <c r="I1581" s="1" t="str">
        <f t="shared" si="3145"/>
        <v>0</v>
      </c>
      <c r="J1581" s="1" t="str">
        <f>"5"</f>
        <v>5</v>
      </c>
      <c r="K1581" s="1" t="str">
        <f t="shared" ref="K1581:P1581" si="3146">"0"</f>
        <v>0</v>
      </c>
      <c r="L1581" s="1" t="str">
        <f t="shared" si="3146"/>
        <v>0</v>
      </c>
      <c r="M1581" s="1" t="str">
        <f t="shared" si="3146"/>
        <v>0</v>
      </c>
      <c r="N1581" s="1" t="str">
        <f t="shared" si="3146"/>
        <v>0</v>
      </c>
      <c r="O1581" s="1" t="str">
        <f t="shared" si="3146"/>
        <v>0</v>
      </c>
      <c r="P1581" s="1" t="str">
        <f t="shared" si="3146"/>
        <v>0</v>
      </c>
      <c r="Q1581" s="1" t="str">
        <f t="shared" si="3053"/>
        <v>0.0070</v>
      </c>
      <c r="R1581" s="1" t="s">
        <v>29</v>
      </c>
      <c r="S1581" s="1">
        <v>-0.0014</v>
      </c>
      <c r="T1581" s="1" t="str">
        <f t="shared" si="3054"/>
        <v>0</v>
      </c>
      <c r="U1581" s="1" t="str">
        <f t="shared" si="3140"/>
        <v>0.0056</v>
      </c>
    </row>
    <row r="1582" s="1" customFormat="1" spans="1:21">
      <c r="A1582" s="1" t="str">
        <f>"4601992020855"</f>
        <v>4601992020855</v>
      </c>
      <c r="B1582" s="1" t="s">
        <v>1606</v>
      </c>
      <c r="C1582" s="1" t="s">
        <v>24</v>
      </c>
      <c r="D1582" s="1" t="str">
        <f t="shared" si="3050"/>
        <v>2021</v>
      </c>
      <c r="E1582" s="1" t="str">
        <f>"95.84"</f>
        <v>95.84</v>
      </c>
      <c r="F1582" s="1" t="str">
        <f t="shared" ref="F1582:I1582" si="3147">"0"</f>
        <v>0</v>
      </c>
      <c r="G1582" s="1" t="str">
        <f t="shared" si="3147"/>
        <v>0</v>
      </c>
      <c r="H1582" s="1" t="str">
        <f t="shared" si="3147"/>
        <v>0</v>
      </c>
      <c r="I1582" s="1" t="str">
        <f t="shared" si="3147"/>
        <v>0</v>
      </c>
      <c r="J1582" s="1" t="str">
        <f>"11"</f>
        <v>11</v>
      </c>
      <c r="K1582" s="1" t="str">
        <f t="shared" ref="K1582:P1582" si="3148">"0"</f>
        <v>0</v>
      </c>
      <c r="L1582" s="1" t="str">
        <f t="shared" si="3148"/>
        <v>0</v>
      </c>
      <c r="M1582" s="1" t="str">
        <f t="shared" si="3148"/>
        <v>0</v>
      </c>
      <c r="N1582" s="1" t="str">
        <f t="shared" si="3148"/>
        <v>0</v>
      </c>
      <c r="O1582" s="1" t="str">
        <f t="shared" si="3148"/>
        <v>0</v>
      </c>
      <c r="P1582" s="1" t="str">
        <f t="shared" si="3148"/>
        <v>0</v>
      </c>
      <c r="Q1582" s="1" t="str">
        <f t="shared" si="3053"/>
        <v>0.0070</v>
      </c>
      <c r="R1582" s="1" t="s">
        <v>29</v>
      </c>
      <c r="S1582" s="1">
        <v>-0.0014</v>
      </c>
      <c r="T1582" s="1" t="str">
        <f t="shared" si="3054"/>
        <v>0</v>
      </c>
      <c r="U1582" s="1" t="str">
        <f t="shared" si="3140"/>
        <v>0.0056</v>
      </c>
    </row>
    <row r="1583" s="1" customFormat="1" spans="1:21">
      <c r="A1583" s="1" t="str">
        <f>"4601992020913"</f>
        <v>4601992020913</v>
      </c>
      <c r="B1583" s="1" t="s">
        <v>1607</v>
      </c>
      <c r="C1583" s="1" t="s">
        <v>24</v>
      </c>
      <c r="D1583" s="1" t="str">
        <f t="shared" si="3050"/>
        <v>2021</v>
      </c>
      <c r="E1583" s="1" t="str">
        <f>"14.00"</f>
        <v>14.00</v>
      </c>
      <c r="F1583" s="1" t="str">
        <f t="shared" ref="F1583:I1583" si="3149">"0"</f>
        <v>0</v>
      </c>
      <c r="G1583" s="1" t="str">
        <f t="shared" si="3149"/>
        <v>0</v>
      </c>
      <c r="H1583" s="1" t="str">
        <f t="shared" si="3149"/>
        <v>0</v>
      </c>
      <c r="I1583" s="1" t="str">
        <f t="shared" si="3149"/>
        <v>0</v>
      </c>
      <c r="J1583" s="1" t="str">
        <f>"1"</f>
        <v>1</v>
      </c>
      <c r="K1583" s="1" t="str">
        <f t="shared" ref="K1583:P1583" si="3150">"0"</f>
        <v>0</v>
      </c>
      <c r="L1583" s="1" t="str">
        <f t="shared" si="3150"/>
        <v>0</v>
      </c>
      <c r="M1583" s="1" t="str">
        <f t="shared" si="3150"/>
        <v>0</v>
      </c>
      <c r="N1583" s="1" t="str">
        <f t="shared" si="3150"/>
        <v>0</v>
      </c>
      <c r="O1583" s="1" t="str">
        <f t="shared" si="3150"/>
        <v>0</v>
      </c>
      <c r="P1583" s="1" t="str">
        <f t="shared" si="3150"/>
        <v>0</v>
      </c>
      <c r="Q1583" s="1" t="str">
        <f t="shared" si="3053"/>
        <v>0.0070</v>
      </c>
      <c r="R1583" s="1" t="s">
        <v>29</v>
      </c>
      <c r="S1583" s="1">
        <v>-0.0014</v>
      </c>
      <c r="T1583" s="1" t="str">
        <f t="shared" si="3054"/>
        <v>0</v>
      </c>
      <c r="U1583" s="1" t="str">
        <f t="shared" si="3140"/>
        <v>0.0056</v>
      </c>
    </row>
    <row r="1584" s="1" customFormat="1" spans="1:21">
      <c r="A1584" s="1" t="str">
        <f>"4601992020942"</f>
        <v>4601992020942</v>
      </c>
      <c r="B1584" s="1" t="s">
        <v>1608</v>
      </c>
      <c r="C1584" s="1" t="s">
        <v>24</v>
      </c>
      <c r="D1584" s="1" t="str">
        <f t="shared" si="3050"/>
        <v>2021</v>
      </c>
      <c r="E1584" s="1" t="str">
        <f t="shared" ref="E1584:G1584" si="3151">"0"</f>
        <v>0</v>
      </c>
      <c r="F1584" s="1" t="str">
        <f t="shared" si="3151"/>
        <v>0</v>
      </c>
      <c r="G1584" s="1" t="str">
        <f t="shared" si="3151"/>
        <v>0</v>
      </c>
      <c r="H1584" s="1" t="str">
        <f>"48.36"</f>
        <v>48.36</v>
      </c>
      <c r="I1584" s="1" t="str">
        <f t="shared" ref="I1584:P1584" si="3152">"0"</f>
        <v>0</v>
      </c>
      <c r="J1584" s="1" t="str">
        <f t="shared" si="3152"/>
        <v>0</v>
      </c>
      <c r="K1584" s="1" t="str">
        <f t="shared" si="3152"/>
        <v>0</v>
      </c>
      <c r="L1584" s="1" t="str">
        <f t="shared" si="3152"/>
        <v>0</v>
      </c>
      <c r="M1584" s="1" t="str">
        <f t="shared" si="3152"/>
        <v>0</v>
      </c>
      <c r="N1584" s="1" t="str">
        <f t="shared" si="3152"/>
        <v>0</v>
      </c>
      <c r="O1584" s="1" t="str">
        <f t="shared" si="3152"/>
        <v>0</v>
      </c>
      <c r="P1584" s="1" t="str">
        <f t="shared" si="3152"/>
        <v>0</v>
      </c>
      <c r="Q1584" s="1" t="str">
        <f t="shared" si="3053"/>
        <v>0.0070</v>
      </c>
      <c r="R1584" s="1" t="s">
        <v>25</v>
      </c>
      <c r="T1584" s="1" t="str">
        <f t="shared" si="3054"/>
        <v>0</v>
      </c>
      <c r="U1584" s="1" t="str">
        <f t="shared" ref="U1584:U1589" si="3153">"0.0070"</f>
        <v>0.0070</v>
      </c>
    </row>
    <row r="1585" s="1" customFormat="1" spans="1:21">
      <c r="A1585" s="1" t="str">
        <f>"4601992020876"</f>
        <v>4601992020876</v>
      </c>
      <c r="B1585" s="1" t="s">
        <v>1609</v>
      </c>
      <c r="C1585" s="1" t="s">
        <v>24</v>
      </c>
      <c r="D1585" s="1" t="str">
        <f t="shared" si="3050"/>
        <v>2021</v>
      </c>
      <c r="E1585" s="1" t="str">
        <f>"48.36"</f>
        <v>48.36</v>
      </c>
      <c r="F1585" s="1" t="str">
        <f t="shared" ref="F1585:I1585" si="3154">"0"</f>
        <v>0</v>
      </c>
      <c r="G1585" s="1" t="str">
        <f t="shared" si="3154"/>
        <v>0</v>
      </c>
      <c r="H1585" s="1" t="str">
        <f t="shared" si="3154"/>
        <v>0</v>
      </c>
      <c r="I1585" s="1" t="str">
        <f t="shared" si="3154"/>
        <v>0</v>
      </c>
      <c r="J1585" s="1" t="str">
        <f>"4"</f>
        <v>4</v>
      </c>
      <c r="K1585" s="1" t="str">
        <f t="shared" ref="K1585:P1585" si="3155">"0"</f>
        <v>0</v>
      </c>
      <c r="L1585" s="1" t="str">
        <f t="shared" si="3155"/>
        <v>0</v>
      </c>
      <c r="M1585" s="1" t="str">
        <f t="shared" si="3155"/>
        <v>0</v>
      </c>
      <c r="N1585" s="1" t="str">
        <f t="shared" si="3155"/>
        <v>0</v>
      </c>
      <c r="O1585" s="1" t="str">
        <f t="shared" si="3155"/>
        <v>0</v>
      </c>
      <c r="P1585" s="1" t="str">
        <f t="shared" si="3155"/>
        <v>0</v>
      </c>
      <c r="Q1585" s="1" t="str">
        <f t="shared" si="3053"/>
        <v>0.0070</v>
      </c>
      <c r="R1585" s="1" t="s">
        <v>29</v>
      </c>
      <c r="S1585" s="1">
        <v>-0.0014</v>
      </c>
      <c r="T1585" s="1" t="str">
        <f t="shared" si="3054"/>
        <v>0</v>
      </c>
      <c r="U1585" s="1" t="str">
        <f t="shared" ref="U1585:U1593" si="3156">"0.0056"</f>
        <v>0.0056</v>
      </c>
    </row>
    <row r="1586" s="1" customFormat="1" spans="1:21">
      <c r="A1586" s="1" t="str">
        <f>"4601992020962"</f>
        <v>4601992020962</v>
      </c>
      <c r="B1586" s="1" t="s">
        <v>1610</v>
      </c>
      <c r="C1586" s="1" t="s">
        <v>24</v>
      </c>
      <c r="D1586" s="1" t="str">
        <f t="shared" si="3050"/>
        <v>2021</v>
      </c>
      <c r="E1586" s="1" t="str">
        <f t="shared" ref="E1586:P1586" si="3157">"0"</f>
        <v>0</v>
      </c>
      <c r="F1586" s="1" t="str">
        <f t="shared" si="3157"/>
        <v>0</v>
      </c>
      <c r="G1586" s="1" t="str">
        <f t="shared" si="3157"/>
        <v>0</v>
      </c>
      <c r="H1586" s="1" t="str">
        <f t="shared" si="3157"/>
        <v>0</v>
      </c>
      <c r="I1586" s="1" t="str">
        <f t="shared" si="3157"/>
        <v>0</v>
      </c>
      <c r="J1586" s="1" t="str">
        <f t="shared" si="3157"/>
        <v>0</v>
      </c>
      <c r="K1586" s="1" t="str">
        <f t="shared" si="3157"/>
        <v>0</v>
      </c>
      <c r="L1586" s="1" t="str">
        <f t="shared" si="3157"/>
        <v>0</v>
      </c>
      <c r="M1586" s="1" t="str">
        <f t="shared" si="3157"/>
        <v>0</v>
      </c>
      <c r="N1586" s="1" t="str">
        <f t="shared" si="3157"/>
        <v>0</v>
      </c>
      <c r="O1586" s="1" t="str">
        <f t="shared" si="3157"/>
        <v>0</v>
      </c>
      <c r="P1586" s="1" t="str">
        <f t="shared" si="3157"/>
        <v>0</v>
      </c>
      <c r="Q1586" s="1" t="str">
        <f t="shared" si="3053"/>
        <v>0.0070</v>
      </c>
      <c r="R1586" s="1" t="s">
        <v>25</v>
      </c>
      <c r="T1586" s="1" t="str">
        <f t="shared" si="3054"/>
        <v>0</v>
      </c>
      <c r="U1586" s="1" t="str">
        <f t="shared" si="3153"/>
        <v>0.0070</v>
      </c>
    </row>
    <row r="1587" s="1" customFormat="1" spans="1:21">
      <c r="A1587" s="1" t="str">
        <f>"4601992020927"</f>
        <v>4601992020927</v>
      </c>
      <c r="B1587" s="1" t="s">
        <v>1611</v>
      </c>
      <c r="C1587" s="1" t="s">
        <v>24</v>
      </c>
      <c r="D1587" s="1" t="str">
        <f t="shared" si="3050"/>
        <v>2021</v>
      </c>
      <c r="E1587" s="1" t="str">
        <f>"62.52"</f>
        <v>62.52</v>
      </c>
      <c r="F1587" s="1" t="str">
        <f t="shared" ref="F1587:I1587" si="3158">"0"</f>
        <v>0</v>
      </c>
      <c r="G1587" s="1" t="str">
        <f t="shared" si="3158"/>
        <v>0</v>
      </c>
      <c r="H1587" s="1" t="str">
        <f t="shared" si="3158"/>
        <v>0</v>
      </c>
      <c r="I1587" s="1" t="str">
        <f t="shared" si="3158"/>
        <v>0</v>
      </c>
      <c r="J1587" s="1" t="str">
        <f>"3"</f>
        <v>3</v>
      </c>
      <c r="K1587" s="1" t="str">
        <f t="shared" ref="K1587:P1587" si="3159">"0"</f>
        <v>0</v>
      </c>
      <c r="L1587" s="1" t="str">
        <f t="shared" si="3159"/>
        <v>0</v>
      </c>
      <c r="M1587" s="1" t="str">
        <f t="shared" si="3159"/>
        <v>0</v>
      </c>
      <c r="N1587" s="1" t="str">
        <f t="shared" si="3159"/>
        <v>0</v>
      </c>
      <c r="O1587" s="1" t="str">
        <f t="shared" si="3159"/>
        <v>0</v>
      </c>
      <c r="P1587" s="1" t="str">
        <f t="shared" si="3159"/>
        <v>0</v>
      </c>
      <c r="Q1587" s="1" t="str">
        <f t="shared" si="3053"/>
        <v>0.0070</v>
      </c>
      <c r="R1587" s="1" t="s">
        <v>29</v>
      </c>
      <c r="S1587" s="1">
        <v>-0.0014</v>
      </c>
      <c r="T1587" s="1" t="str">
        <f t="shared" si="3054"/>
        <v>0</v>
      </c>
      <c r="U1587" s="1" t="str">
        <f t="shared" si="3156"/>
        <v>0.0056</v>
      </c>
    </row>
    <row r="1588" s="1" customFormat="1" spans="1:21">
      <c r="A1588" s="1" t="str">
        <f>"4601992020975"</f>
        <v>4601992020975</v>
      </c>
      <c r="B1588" s="1" t="s">
        <v>1612</v>
      </c>
      <c r="C1588" s="1" t="s">
        <v>24</v>
      </c>
      <c r="D1588" s="1" t="str">
        <f t="shared" si="3050"/>
        <v>2021</v>
      </c>
      <c r="E1588" s="1" t="str">
        <f t="shared" ref="E1588:P1588" si="3160">"0"</f>
        <v>0</v>
      </c>
      <c r="F1588" s="1" t="str">
        <f t="shared" si="3160"/>
        <v>0</v>
      </c>
      <c r="G1588" s="1" t="str">
        <f t="shared" si="3160"/>
        <v>0</v>
      </c>
      <c r="H1588" s="1" t="str">
        <f t="shared" si="3160"/>
        <v>0</v>
      </c>
      <c r="I1588" s="1" t="str">
        <f t="shared" si="3160"/>
        <v>0</v>
      </c>
      <c r="J1588" s="1" t="str">
        <f t="shared" si="3160"/>
        <v>0</v>
      </c>
      <c r="K1588" s="1" t="str">
        <f t="shared" si="3160"/>
        <v>0</v>
      </c>
      <c r="L1588" s="1" t="str">
        <f t="shared" si="3160"/>
        <v>0</v>
      </c>
      <c r="M1588" s="1" t="str">
        <f t="shared" si="3160"/>
        <v>0</v>
      </c>
      <c r="N1588" s="1" t="str">
        <f t="shared" si="3160"/>
        <v>0</v>
      </c>
      <c r="O1588" s="1" t="str">
        <f t="shared" si="3160"/>
        <v>0</v>
      </c>
      <c r="P1588" s="1" t="str">
        <f t="shared" si="3160"/>
        <v>0</v>
      </c>
      <c r="Q1588" s="1" t="str">
        <f t="shared" si="3053"/>
        <v>0.0070</v>
      </c>
      <c r="R1588" s="1" t="s">
        <v>25</v>
      </c>
      <c r="T1588" s="1" t="str">
        <f t="shared" si="3054"/>
        <v>0</v>
      </c>
      <c r="U1588" s="1" t="str">
        <f t="shared" si="3153"/>
        <v>0.0070</v>
      </c>
    </row>
    <row r="1589" s="1" customFormat="1" spans="1:21">
      <c r="A1589" s="1" t="str">
        <f>"4601992021037"</f>
        <v>4601992021037</v>
      </c>
      <c r="B1589" s="1" t="s">
        <v>1613</v>
      </c>
      <c r="C1589" s="1" t="s">
        <v>24</v>
      </c>
      <c r="D1589" s="1" t="str">
        <f t="shared" si="3050"/>
        <v>2021</v>
      </c>
      <c r="E1589" s="1" t="str">
        <f t="shared" ref="E1589:P1589" si="3161">"0"</f>
        <v>0</v>
      </c>
      <c r="F1589" s="1" t="str">
        <f t="shared" si="3161"/>
        <v>0</v>
      </c>
      <c r="G1589" s="1" t="str">
        <f t="shared" si="3161"/>
        <v>0</v>
      </c>
      <c r="H1589" s="1" t="str">
        <f t="shared" si="3161"/>
        <v>0</v>
      </c>
      <c r="I1589" s="1" t="str">
        <f t="shared" si="3161"/>
        <v>0</v>
      </c>
      <c r="J1589" s="1" t="str">
        <f t="shared" si="3161"/>
        <v>0</v>
      </c>
      <c r="K1589" s="1" t="str">
        <f t="shared" si="3161"/>
        <v>0</v>
      </c>
      <c r="L1589" s="1" t="str">
        <f t="shared" si="3161"/>
        <v>0</v>
      </c>
      <c r="M1589" s="1" t="str">
        <f t="shared" si="3161"/>
        <v>0</v>
      </c>
      <c r="N1589" s="1" t="str">
        <f t="shared" si="3161"/>
        <v>0</v>
      </c>
      <c r="O1589" s="1" t="str">
        <f t="shared" si="3161"/>
        <v>0</v>
      </c>
      <c r="P1589" s="1" t="str">
        <f t="shared" si="3161"/>
        <v>0</v>
      </c>
      <c r="Q1589" s="1" t="str">
        <f t="shared" si="3053"/>
        <v>0.0070</v>
      </c>
      <c r="R1589" s="1" t="s">
        <v>25</v>
      </c>
      <c r="T1589" s="1" t="str">
        <f t="shared" si="3054"/>
        <v>0</v>
      </c>
      <c r="U1589" s="1" t="str">
        <f t="shared" si="3153"/>
        <v>0.0070</v>
      </c>
    </row>
    <row r="1590" s="1" customFormat="1" spans="1:21">
      <c r="A1590" s="1" t="str">
        <f>"4601992021218"</f>
        <v>4601992021218</v>
      </c>
      <c r="B1590" s="1" t="s">
        <v>1614</v>
      </c>
      <c r="C1590" s="1" t="s">
        <v>24</v>
      </c>
      <c r="D1590" s="1" t="str">
        <f t="shared" si="3050"/>
        <v>2021</v>
      </c>
      <c r="E1590" s="1" t="str">
        <f>"13.30"</f>
        <v>13.30</v>
      </c>
      <c r="F1590" s="1" t="str">
        <f t="shared" ref="F1590:I1590" si="3162">"0"</f>
        <v>0</v>
      </c>
      <c r="G1590" s="1" t="str">
        <f t="shared" si="3162"/>
        <v>0</v>
      </c>
      <c r="H1590" s="1" t="str">
        <f t="shared" si="3162"/>
        <v>0</v>
      </c>
      <c r="I1590" s="1" t="str">
        <f t="shared" si="3162"/>
        <v>0</v>
      </c>
      <c r="J1590" s="1" t="str">
        <f>"1"</f>
        <v>1</v>
      </c>
      <c r="K1590" s="1" t="str">
        <f t="shared" ref="K1590:P1590" si="3163">"0"</f>
        <v>0</v>
      </c>
      <c r="L1590" s="1" t="str">
        <f t="shared" si="3163"/>
        <v>0</v>
      </c>
      <c r="M1590" s="1" t="str">
        <f t="shared" si="3163"/>
        <v>0</v>
      </c>
      <c r="N1590" s="1" t="str">
        <f t="shared" si="3163"/>
        <v>0</v>
      </c>
      <c r="O1590" s="1" t="str">
        <f t="shared" si="3163"/>
        <v>0</v>
      </c>
      <c r="P1590" s="1" t="str">
        <f t="shared" si="3163"/>
        <v>0</v>
      </c>
      <c r="Q1590" s="1" t="str">
        <f t="shared" si="3053"/>
        <v>0.0070</v>
      </c>
      <c r="R1590" s="1" t="s">
        <v>29</v>
      </c>
      <c r="S1590" s="1">
        <v>-0.0014</v>
      </c>
      <c r="T1590" s="1" t="str">
        <f t="shared" si="3054"/>
        <v>0</v>
      </c>
      <c r="U1590" s="1" t="str">
        <f t="shared" si="3156"/>
        <v>0.0056</v>
      </c>
    </row>
    <row r="1591" s="1" customFormat="1" spans="1:21">
      <c r="A1591" s="1" t="str">
        <f>"4601992021035"</f>
        <v>4601992021035</v>
      </c>
      <c r="B1591" s="1" t="s">
        <v>1615</v>
      </c>
      <c r="C1591" s="1" t="s">
        <v>24</v>
      </c>
      <c r="D1591" s="1" t="str">
        <f t="shared" si="3050"/>
        <v>2021</v>
      </c>
      <c r="E1591" s="1" t="str">
        <f>"48.25"</f>
        <v>48.25</v>
      </c>
      <c r="F1591" s="1" t="str">
        <f t="shared" ref="F1591:I1591" si="3164">"0"</f>
        <v>0</v>
      </c>
      <c r="G1591" s="1" t="str">
        <f t="shared" si="3164"/>
        <v>0</v>
      </c>
      <c r="H1591" s="1" t="str">
        <f t="shared" si="3164"/>
        <v>0</v>
      </c>
      <c r="I1591" s="1" t="str">
        <f t="shared" si="3164"/>
        <v>0</v>
      </c>
      <c r="J1591" s="1" t="str">
        <f>"5"</f>
        <v>5</v>
      </c>
      <c r="K1591" s="1" t="str">
        <f t="shared" ref="K1591:P1591" si="3165">"0"</f>
        <v>0</v>
      </c>
      <c r="L1591" s="1" t="str">
        <f t="shared" si="3165"/>
        <v>0</v>
      </c>
      <c r="M1591" s="1" t="str">
        <f t="shared" si="3165"/>
        <v>0</v>
      </c>
      <c r="N1591" s="1" t="str">
        <f t="shared" si="3165"/>
        <v>0</v>
      </c>
      <c r="O1591" s="1" t="str">
        <f t="shared" si="3165"/>
        <v>0</v>
      </c>
      <c r="P1591" s="1" t="str">
        <f t="shared" si="3165"/>
        <v>0</v>
      </c>
      <c r="Q1591" s="1" t="str">
        <f t="shared" si="3053"/>
        <v>0.0070</v>
      </c>
      <c r="R1591" s="1" t="s">
        <v>29</v>
      </c>
      <c r="S1591" s="1">
        <v>-0.0014</v>
      </c>
      <c r="T1591" s="1" t="str">
        <f t="shared" si="3054"/>
        <v>0</v>
      </c>
      <c r="U1591" s="1" t="str">
        <f t="shared" si="3156"/>
        <v>0.0056</v>
      </c>
    </row>
    <row r="1592" s="1" customFormat="1" spans="1:21">
      <c r="A1592" s="1" t="str">
        <f>"4601992021171"</f>
        <v>4601992021171</v>
      </c>
      <c r="B1592" s="1" t="s">
        <v>1616</v>
      </c>
      <c r="C1592" s="1" t="s">
        <v>24</v>
      </c>
      <c r="D1592" s="1" t="str">
        <f t="shared" si="3050"/>
        <v>2021</v>
      </c>
      <c r="E1592" s="1" t="str">
        <f>"84.52"</f>
        <v>84.52</v>
      </c>
      <c r="F1592" s="1" t="str">
        <f t="shared" ref="F1592:I1592" si="3166">"0"</f>
        <v>0</v>
      </c>
      <c r="G1592" s="1" t="str">
        <f t="shared" si="3166"/>
        <v>0</v>
      </c>
      <c r="H1592" s="1" t="str">
        <f t="shared" si="3166"/>
        <v>0</v>
      </c>
      <c r="I1592" s="1" t="str">
        <f t="shared" si="3166"/>
        <v>0</v>
      </c>
      <c r="J1592" s="1" t="str">
        <f>"7"</f>
        <v>7</v>
      </c>
      <c r="K1592" s="1" t="str">
        <f t="shared" ref="K1592:P1592" si="3167">"0"</f>
        <v>0</v>
      </c>
      <c r="L1592" s="1" t="str">
        <f t="shared" si="3167"/>
        <v>0</v>
      </c>
      <c r="M1592" s="1" t="str">
        <f t="shared" si="3167"/>
        <v>0</v>
      </c>
      <c r="N1592" s="1" t="str">
        <f t="shared" si="3167"/>
        <v>0</v>
      </c>
      <c r="O1592" s="1" t="str">
        <f t="shared" si="3167"/>
        <v>0</v>
      </c>
      <c r="P1592" s="1" t="str">
        <f t="shared" si="3167"/>
        <v>0</v>
      </c>
      <c r="Q1592" s="1" t="str">
        <f t="shared" si="3053"/>
        <v>0.0070</v>
      </c>
      <c r="R1592" s="1" t="s">
        <v>29</v>
      </c>
      <c r="S1592" s="1">
        <v>-0.0014</v>
      </c>
      <c r="T1592" s="1" t="str">
        <f t="shared" si="3054"/>
        <v>0</v>
      </c>
      <c r="U1592" s="1" t="str">
        <f t="shared" si="3156"/>
        <v>0.0056</v>
      </c>
    </row>
    <row r="1593" s="1" customFormat="1" spans="1:21">
      <c r="A1593" s="1" t="str">
        <f>"4601992021039"</f>
        <v>4601992021039</v>
      </c>
      <c r="B1593" s="1" t="s">
        <v>1617</v>
      </c>
      <c r="C1593" s="1" t="s">
        <v>24</v>
      </c>
      <c r="D1593" s="1" t="str">
        <f t="shared" si="3050"/>
        <v>2021</v>
      </c>
      <c r="E1593" s="1" t="str">
        <f>"48.84"</f>
        <v>48.84</v>
      </c>
      <c r="F1593" s="1" t="str">
        <f t="shared" ref="F1593:I1593" si="3168">"0"</f>
        <v>0</v>
      </c>
      <c r="G1593" s="1" t="str">
        <f t="shared" si="3168"/>
        <v>0</v>
      </c>
      <c r="H1593" s="1" t="str">
        <f t="shared" si="3168"/>
        <v>0</v>
      </c>
      <c r="I1593" s="1" t="str">
        <f t="shared" si="3168"/>
        <v>0</v>
      </c>
      <c r="J1593" s="1" t="str">
        <f>"6"</f>
        <v>6</v>
      </c>
      <c r="K1593" s="1" t="str">
        <f t="shared" ref="K1593:P1593" si="3169">"0"</f>
        <v>0</v>
      </c>
      <c r="L1593" s="1" t="str">
        <f t="shared" si="3169"/>
        <v>0</v>
      </c>
      <c r="M1593" s="1" t="str">
        <f t="shared" si="3169"/>
        <v>0</v>
      </c>
      <c r="N1593" s="1" t="str">
        <f t="shared" si="3169"/>
        <v>0</v>
      </c>
      <c r="O1593" s="1" t="str">
        <f t="shared" si="3169"/>
        <v>0</v>
      </c>
      <c r="P1593" s="1" t="str">
        <f t="shared" si="3169"/>
        <v>0</v>
      </c>
      <c r="Q1593" s="1" t="str">
        <f t="shared" si="3053"/>
        <v>0.0070</v>
      </c>
      <c r="R1593" s="1" t="s">
        <v>29</v>
      </c>
      <c r="S1593" s="1">
        <v>-0.0014</v>
      </c>
      <c r="T1593" s="1" t="str">
        <f t="shared" si="3054"/>
        <v>0</v>
      </c>
      <c r="U1593" s="1" t="str">
        <f t="shared" si="3156"/>
        <v>0.0056</v>
      </c>
    </row>
    <row r="1594" s="1" customFormat="1" spans="1:21">
      <c r="A1594" s="1" t="str">
        <f>"4601992021240"</f>
        <v>4601992021240</v>
      </c>
      <c r="B1594" s="1" t="s">
        <v>1618</v>
      </c>
      <c r="C1594" s="1" t="s">
        <v>24</v>
      </c>
      <c r="D1594" s="1" t="str">
        <f t="shared" si="3050"/>
        <v>2021</v>
      </c>
      <c r="E1594" s="1" t="str">
        <f t="shared" ref="E1594:P1594" si="3170">"0"</f>
        <v>0</v>
      </c>
      <c r="F1594" s="1" t="str">
        <f t="shared" si="3170"/>
        <v>0</v>
      </c>
      <c r="G1594" s="1" t="str">
        <f t="shared" si="3170"/>
        <v>0</v>
      </c>
      <c r="H1594" s="1" t="str">
        <f t="shared" si="3170"/>
        <v>0</v>
      </c>
      <c r="I1594" s="1" t="str">
        <f t="shared" si="3170"/>
        <v>0</v>
      </c>
      <c r="J1594" s="1" t="str">
        <f t="shared" si="3170"/>
        <v>0</v>
      </c>
      <c r="K1594" s="1" t="str">
        <f t="shared" si="3170"/>
        <v>0</v>
      </c>
      <c r="L1594" s="1" t="str">
        <f t="shared" si="3170"/>
        <v>0</v>
      </c>
      <c r="M1594" s="1" t="str">
        <f t="shared" si="3170"/>
        <v>0</v>
      </c>
      <c r="N1594" s="1" t="str">
        <f t="shared" si="3170"/>
        <v>0</v>
      </c>
      <c r="O1594" s="1" t="str">
        <f t="shared" si="3170"/>
        <v>0</v>
      </c>
      <c r="P1594" s="1" t="str">
        <f t="shared" si="3170"/>
        <v>0</v>
      </c>
      <c r="Q1594" s="1" t="str">
        <f t="shared" si="3053"/>
        <v>0.0070</v>
      </c>
      <c r="R1594" s="1" t="s">
        <v>25</v>
      </c>
      <c r="T1594" s="1" t="str">
        <f t="shared" si="3054"/>
        <v>0</v>
      </c>
      <c r="U1594" s="1" t="str">
        <f>"0.0070"</f>
        <v>0.0070</v>
      </c>
    </row>
    <row r="1595" s="1" customFormat="1" spans="1:21">
      <c r="A1595" s="1" t="str">
        <f>"4601992021242"</f>
        <v>4601992021242</v>
      </c>
      <c r="B1595" s="1" t="s">
        <v>1619</v>
      </c>
      <c r="C1595" s="1" t="s">
        <v>24</v>
      </c>
      <c r="D1595" s="1" t="str">
        <f t="shared" si="3050"/>
        <v>2021</v>
      </c>
      <c r="E1595" s="1" t="str">
        <f>"24.18"</f>
        <v>24.18</v>
      </c>
      <c r="F1595" s="1" t="str">
        <f t="shared" ref="F1595:I1595" si="3171">"0"</f>
        <v>0</v>
      </c>
      <c r="G1595" s="1" t="str">
        <f t="shared" si="3171"/>
        <v>0</v>
      </c>
      <c r="H1595" s="1" t="str">
        <f t="shared" si="3171"/>
        <v>0</v>
      </c>
      <c r="I1595" s="1" t="str">
        <f t="shared" si="3171"/>
        <v>0</v>
      </c>
      <c r="J1595" s="1" t="str">
        <f>"2"</f>
        <v>2</v>
      </c>
      <c r="K1595" s="1" t="str">
        <f t="shared" ref="K1595:P1595" si="3172">"0"</f>
        <v>0</v>
      </c>
      <c r="L1595" s="1" t="str">
        <f t="shared" si="3172"/>
        <v>0</v>
      </c>
      <c r="M1595" s="1" t="str">
        <f t="shared" si="3172"/>
        <v>0</v>
      </c>
      <c r="N1595" s="1" t="str">
        <f t="shared" si="3172"/>
        <v>0</v>
      </c>
      <c r="O1595" s="1" t="str">
        <f t="shared" si="3172"/>
        <v>0</v>
      </c>
      <c r="P1595" s="1" t="str">
        <f t="shared" si="3172"/>
        <v>0</v>
      </c>
      <c r="Q1595" s="1" t="str">
        <f t="shared" si="3053"/>
        <v>0.0070</v>
      </c>
      <c r="R1595" s="1" t="s">
        <v>29</v>
      </c>
      <c r="S1595" s="1">
        <v>-0.0014</v>
      </c>
      <c r="T1595" s="1" t="str">
        <f t="shared" si="3054"/>
        <v>0</v>
      </c>
      <c r="U1595" s="1" t="str">
        <f t="shared" ref="U1595:U1598" si="3173">"0.0056"</f>
        <v>0.0056</v>
      </c>
    </row>
    <row r="1596" s="1" customFormat="1" spans="1:21">
      <c r="A1596" s="1" t="str">
        <f>"4601992008955"</f>
        <v>4601992008955</v>
      </c>
      <c r="B1596" s="1" t="s">
        <v>1620</v>
      </c>
      <c r="C1596" s="1" t="s">
        <v>24</v>
      </c>
      <c r="D1596" s="1" t="str">
        <f t="shared" si="3050"/>
        <v>2021</v>
      </c>
      <c r="E1596" s="1" t="str">
        <f>"84.63"</f>
        <v>84.63</v>
      </c>
      <c r="F1596" s="1" t="str">
        <f t="shared" ref="F1596:I1596" si="3174">"0"</f>
        <v>0</v>
      </c>
      <c r="G1596" s="1" t="str">
        <f t="shared" si="3174"/>
        <v>0</v>
      </c>
      <c r="H1596" s="1" t="str">
        <f t="shared" si="3174"/>
        <v>0</v>
      </c>
      <c r="I1596" s="1" t="str">
        <f t="shared" si="3174"/>
        <v>0</v>
      </c>
      <c r="J1596" s="1" t="str">
        <f>"8"</f>
        <v>8</v>
      </c>
      <c r="K1596" s="1" t="str">
        <f t="shared" ref="K1596:P1596" si="3175">"0"</f>
        <v>0</v>
      </c>
      <c r="L1596" s="1" t="str">
        <f t="shared" si="3175"/>
        <v>0</v>
      </c>
      <c r="M1596" s="1" t="str">
        <f t="shared" si="3175"/>
        <v>0</v>
      </c>
      <c r="N1596" s="1" t="str">
        <f t="shared" si="3175"/>
        <v>0</v>
      </c>
      <c r="O1596" s="1" t="str">
        <f t="shared" si="3175"/>
        <v>0</v>
      </c>
      <c r="P1596" s="1" t="str">
        <f t="shared" si="3175"/>
        <v>0</v>
      </c>
      <c r="Q1596" s="1" t="str">
        <f t="shared" si="3053"/>
        <v>0.0070</v>
      </c>
      <c r="R1596" s="1" t="s">
        <v>29</v>
      </c>
      <c r="S1596" s="1">
        <v>-0.0014</v>
      </c>
      <c r="T1596" s="1" t="str">
        <f t="shared" si="3054"/>
        <v>0</v>
      </c>
      <c r="U1596" s="1" t="str">
        <f t="shared" si="3173"/>
        <v>0.0056</v>
      </c>
    </row>
    <row r="1597" s="1" customFormat="1" spans="1:21">
      <c r="A1597" s="1" t="str">
        <f>"4601991423595"</f>
        <v>4601991423595</v>
      </c>
      <c r="B1597" s="1" t="s">
        <v>1621</v>
      </c>
      <c r="C1597" s="1" t="s">
        <v>24</v>
      </c>
      <c r="D1597" s="1" t="str">
        <f t="shared" si="3050"/>
        <v>2021</v>
      </c>
      <c r="E1597" s="1" t="str">
        <f>"167.72"</f>
        <v>167.72</v>
      </c>
      <c r="F1597" s="1" t="str">
        <f t="shared" ref="F1597:I1597" si="3176">"0"</f>
        <v>0</v>
      </c>
      <c r="G1597" s="1" t="str">
        <f t="shared" si="3176"/>
        <v>0</v>
      </c>
      <c r="H1597" s="1" t="str">
        <f t="shared" si="3176"/>
        <v>0</v>
      </c>
      <c r="I1597" s="1" t="str">
        <f t="shared" si="3176"/>
        <v>0</v>
      </c>
      <c r="J1597" s="1" t="str">
        <f>"12"</f>
        <v>12</v>
      </c>
      <c r="K1597" s="1" t="str">
        <f t="shared" ref="K1597:P1597" si="3177">"0"</f>
        <v>0</v>
      </c>
      <c r="L1597" s="1" t="str">
        <f t="shared" si="3177"/>
        <v>0</v>
      </c>
      <c r="M1597" s="1" t="str">
        <f t="shared" si="3177"/>
        <v>0</v>
      </c>
      <c r="N1597" s="1" t="str">
        <f t="shared" si="3177"/>
        <v>0</v>
      </c>
      <c r="O1597" s="1" t="str">
        <f t="shared" si="3177"/>
        <v>0</v>
      </c>
      <c r="P1597" s="1" t="str">
        <f t="shared" si="3177"/>
        <v>0</v>
      </c>
      <c r="Q1597" s="1" t="str">
        <f t="shared" si="3053"/>
        <v>0.0070</v>
      </c>
      <c r="R1597" s="1" t="s">
        <v>29</v>
      </c>
      <c r="S1597" s="1">
        <v>-0.0014</v>
      </c>
      <c r="T1597" s="1" t="str">
        <f t="shared" si="3054"/>
        <v>0</v>
      </c>
      <c r="U1597" s="1" t="str">
        <f t="shared" si="3173"/>
        <v>0.0056</v>
      </c>
    </row>
    <row r="1598" s="1" customFormat="1" spans="1:21">
      <c r="A1598" s="1" t="str">
        <f>"4601991409554"</f>
        <v>4601991409554</v>
      </c>
      <c r="B1598" s="1" t="s">
        <v>1622</v>
      </c>
      <c r="C1598" s="1" t="s">
        <v>24</v>
      </c>
      <c r="D1598" s="1" t="str">
        <f t="shared" si="3050"/>
        <v>2021</v>
      </c>
      <c r="E1598" s="1" t="str">
        <f>"71.91"</f>
        <v>71.91</v>
      </c>
      <c r="F1598" s="1" t="str">
        <f t="shared" ref="F1598:I1598" si="3178">"0"</f>
        <v>0</v>
      </c>
      <c r="G1598" s="1" t="str">
        <f t="shared" si="3178"/>
        <v>0</v>
      </c>
      <c r="H1598" s="1" t="str">
        <f t="shared" si="3178"/>
        <v>0</v>
      </c>
      <c r="I1598" s="1" t="str">
        <f t="shared" si="3178"/>
        <v>0</v>
      </c>
      <c r="J1598" s="1" t="str">
        <f>"7"</f>
        <v>7</v>
      </c>
      <c r="K1598" s="1" t="str">
        <f t="shared" ref="K1598:P1598" si="3179">"0"</f>
        <v>0</v>
      </c>
      <c r="L1598" s="1" t="str">
        <f t="shared" si="3179"/>
        <v>0</v>
      </c>
      <c r="M1598" s="1" t="str">
        <f t="shared" si="3179"/>
        <v>0</v>
      </c>
      <c r="N1598" s="1" t="str">
        <f t="shared" si="3179"/>
        <v>0</v>
      </c>
      <c r="O1598" s="1" t="str">
        <f t="shared" si="3179"/>
        <v>0</v>
      </c>
      <c r="P1598" s="1" t="str">
        <f t="shared" si="3179"/>
        <v>0</v>
      </c>
      <c r="Q1598" s="1" t="str">
        <f t="shared" si="3053"/>
        <v>0.0070</v>
      </c>
      <c r="R1598" s="1" t="s">
        <v>29</v>
      </c>
      <c r="S1598" s="1">
        <v>-0.0014</v>
      </c>
      <c r="T1598" s="1" t="str">
        <f t="shared" si="3054"/>
        <v>0</v>
      </c>
      <c r="U1598" s="1" t="str">
        <f t="shared" si="3173"/>
        <v>0.0056</v>
      </c>
    </row>
    <row r="1599" s="1" customFormat="1" spans="1:21">
      <c r="A1599" s="1" t="str">
        <f>"4601992021850"</f>
        <v>4601992021850</v>
      </c>
      <c r="B1599" s="1" t="s">
        <v>1623</v>
      </c>
      <c r="C1599" s="1" t="s">
        <v>24</v>
      </c>
      <c r="D1599" s="1" t="str">
        <f t="shared" si="3050"/>
        <v>2021</v>
      </c>
      <c r="E1599" s="1" t="str">
        <f t="shared" ref="E1599:P1599" si="3180">"0"</f>
        <v>0</v>
      </c>
      <c r="F1599" s="1" t="str">
        <f t="shared" si="3180"/>
        <v>0</v>
      </c>
      <c r="G1599" s="1" t="str">
        <f t="shared" si="3180"/>
        <v>0</v>
      </c>
      <c r="H1599" s="1" t="str">
        <f t="shared" si="3180"/>
        <v>0</v>
      </c>
      <c r="I1599" s="1" t="str">
        <f t="shared" si="3180"/>
        <v>0</v>
      </c>
      <c r="J1599" s="1" t="str">
        <f t="shared" si="3180"/>
        <v>0</v>
      </c>
      <c r="K1599" s="1" t="str">
        <f t="shared" si="3180"/>
        <v>0</v>
      </c>
      <c r="L1599" s="1" t="str">
        <f t="shared" si="3180"/>
        <v>0</v>
      </c>
      <c r="M1599" s="1" t="str">
        <f t="shared" si="3180"/>
        <v>0</v>
      </c>
      <c r="N1599" s="1" t="str">
        <f t="shared" si="3180"/>
        <v>0</v>
      </c>
      <c r="O1599" s="1" t="str">
        <f t="shared" si="3180"/>
        <v>0</v>
      </c>
      <c r="P1599" s="1" t="str">
        <f t="shared" si="3180"/>
        <v>0</v>
      </c>
      <c r="Q1599" s="1" t="str">
        <f t="shared" si="3053"/>
        <v>0.0070</v>
      </c>
      <c r="R1599" s="1" t="s">
        <v>25</v>
      </c>
      <c r="T1599" s="1" t="str">
        <f t="shared" si="3054"/>
        <v>0</v>
      </c>
      <c r="U1599" s="1" t="str">
        <f>"0.0070"</f>
        <v>0.0070</v>
      </c>
    </row>
    <row r="1600" s="1" customFormat="1" spans="1:21">
      <c r="A1600" s="1" t="str">
        <f>"4601992021838"</f>
        <v>4601992021838</v>
      </c>
      <c r="B1600" s="1" t="s">
        <v>1624</v>
      </c>
      <c r="C1600" s="1" t="s">
        <v>24</v>
      </c>
      <c r="D1600" s="1" t="str">
        <f t="shared" si="3050"/>
        <v>2021</v>
      </c>
      <c r="E1600" s="1" t="str">
        <f>"12.09"</f>
        <v>12.09</v>
      </c>
      <c r="F1600" s="1" t="str">
        <f t="shared" ref="F1600:I1600" si="3181">"0"</f>
        <v>0</v>
      </c>
      <c r="G1600" s="1" t="str">
        <f t="shared" si="3181"/>
        <v>0</v>
      </c>
      <c r="H1600" s="1" t="str">
        <f t="shared" si="3181"/>
        <v>0</v>
      </c>
      <c r="I1600" s="1" t="str">
        <f t="shared" si="3181"/>
        <v>0</v>
      </c>
      <c r="J1600" s="1" t="str">
        <f>"1"</f>
        <v>1</v>
      </c>
      <c r="K1600" s="1" t="str">
        <f t="shared" ref="K1600:P1600" si="3182">"0"</f>
        <v>0</v>
      </c>
      <c r="L1600" s="1" t="str">
        <f t="shared" si="3182"/>
        <v>0</v>
      </c>
      <c r="M1600" s="1" t="str">
        <f t="shared" si="3182"/>
        <v>0</v>
      </c>
      <c r="N1600" s="1" t="str">
        <f t="shared" si="3182"/>
        <v>0</v>
      </c>
      <c r="O1600" s="1" t="str">
        <f t="shared" si="3182"/>
        <v>0</v>
      </c>
      <c r="P1600" s="1" t="str">
        <f t="shared" si="3182"/>
        <v>0</v>
      </c>
      <c r="Q1600" s="1" t="str">
        <f t="shared" si="3053"/>
        <v>0.0070</v>
      </c>
      <c r="R1600" s="1" t="s">
        <v>29</v>
      </c>
      <c r="S1600" s="1">
        <v>-0.0014</v>
      </c>
      <c r="T1600" s="1" t="str">
        <f t="shared" si="3054"/>
        <v>0</v>
      </c>
      <c r="U1600" s="1" t="str">
        <f t="shared" ref="U1600:U1604" si="3183">"0.0056"</f>
        <v>0.0056</v>
      </c>
    </row>
    <row r="1601" s="1" customFormat="1" spans="1:21">
      <c r="A1601" s="1" t="str">
        <f>"4601991402200"</f>
        <v>4601991402200</v>
      </c>
      <c r="B1601" s="1" t="s">
        <v>1625</v>
      </c>
      <c r="C1601" s="1" t="s">
        <v>24</v>
      </c>
      <c r="D1601" s="1" t="str">
        <f t="shared" si="3050"/>
        <v>2021</v>
      </c>
      <c r="E1601" s="1" t="str">
        <f>"6576.54"</f>
        <v>6576.54</v>
      </c>
      <c r="F1601" s="1" t="str">
        <f t="shared" ref="F1601:I1601" si="3184">"0"</f>
        <v>0</v>
      </c>
      <c r="G1601" s="1" t="str">
        <f t="shared" si="3184"/>
        <v>0</v>
      </c>
      <c r="H1601" s="1" t="str">
        <f t="shared" si="3184"/>
        <v>0</v>
      </c>
      <c r="I1601" s="1" t="str">
        <f t="shared" si="3184"/>
        <v>0</v>
      </c>
      <c r="J1601" s="1" t="str">
        <f>"33"</f>
        <v>33</v>
      </c>
      <c r="K1601" s="1" t="str">
        <f t="shared" ref="K1601:P1601" si="3185">"0"</f>
        <v>0</v>
      </c>
      <c r="L1601" s="1" t="str">
        <f t="shared" si="3185"/>
        <v>0</v>
      </c>
      <c r="M1601" s="1" t="str">
        <f t="shared" si="3185"/>
        <v>0</v>
      </c>
      <c r="N1601" s="1" t="str">
        <f t="shared" si="3185"/>
        <v>0</v>
      </c>
      <c r="O1601" s="1" t="str">
        <f t="shared" si="3185"/>
        <v>0</v>
      </c>
      <c r="P1601" s="1" t="str">
        <f t="shared" si="3185"/>
        <v>0</v>
      </c>
      <c r="Q1601" s="1" t="str">
        <f t="shared" si="3053"/>
        <v>0.0070</v>
      </c>
      <c r="R1601" s="1" t="s">
        <v>29</v>
      </c>
      <c r="S1601" s="1">
        <v>-0.0014</v>
      </c>
      <c r="T1601" s="1" t="str">
        <f t="shared" si="3054"/>
        <v>0</v>
      </c>
      <c r="U1601" s="1" t="str">
        <f t="shared" si="3183"/>
        <v>0.0056</v>
      </c>
    </row>
    <row r="1602" s="1" customFormat="1" spans="1:21">
      <c r="A1602" s="1" t="str">
        <f>"4601991419664"</f>
        <v>4601991419664</v>
      </c>
      <c r="B1602" s="1" t="s">
        <v>1626</v>
      </c>
      <c r="C1602" s="1" t="s">
        <v>24</v>
      </c>
      <c r="D1602" s="1" t="str">
        <f t="shared" si="3050"/>
        <v>2021</v>
      </c>
      <c r="E1602" s="1" t="str">
        <f>"108.81"</f>
        <v>108.81</v>
      </c>
      <c r="F1602" s="1" t="str">
        <f t="shared" ref="F1602:I1602" si="3186">"0"</f>
        <v>0</v>
      </c>
      <c r="G1602" s="1" t="str">
        <f t="shared" si="3186"/>
        <v>0</v>
      </c>
      <c r="H1602" s="1" t="str">
        <f t="shared" si="3186"/>
        <v>0</v>
      </c>
      <c r="I1602" s="1" t="str">
        <f t="shared" si="3186"/>
        <v>0</v>
      </c>
      <c r="J1602" s="1" t="str">
        <f>"12"</f>
        <v>12</v>
      </c>
      <c r="K1602" s="1" t="str">
        <f t="shared" ref="K1602:P1602" si="3187">"0"</f>
        <v>0</v>
      </c>
      <c r="L1602" s="1" t="str">
        <f t="shared" si="3187"/>
        <v>0</v>
      </c>
      <c r="M1602" s="1" t="str">
        <f t="shared" si="3187"/>
        <v>0</v>
      </c>
      <c r="N1602" s="1" t="str">
        <f t="shared" si="3187"/>
        <v>0</v>
      </c>
      <c r="O1602" s="1" t="str">
        <f t="shared" si="3187"/>
        <v>0</v>
      </c>
      <c r="P1602" s="1" t="str">
        <f t="shared" si="3187"/>
        <v>0</v>
      </c>
      <c r="Q1602" s="1" t="str">
        <f t="shared" si="3053"/>
        <v>0.0070</v>
      </c>
      <c r="R1602" s="1" t="s">
        <v>29</v>
      </c>
      <c r="S1602" s="1">
        <v>-0.0014</v>
      </c>
      <c r="T1602" s="1" t="str">
        <f t="shared" si="3054"/>
        <v>0</v>
      </c>
      <c r="U1602" s="1" t="str">
        <f t="shared" si="3183"/>
        <v>0.0056</v>
      </c>
    </row>
    <row r="1603" s="1" customFormat="1" spans="1:21">
      <c r="A1603" s="1" t="str">
        <f>"4601992021868"</f>
        <v>4601992021868</v>
      </c>
      <c r="B1603" s="1" t="s">
        <v>1627</v>
      </c>
      <c r="C1603" s="1" t="s">
        <v>24</v>
      </c>
      <c r="D1603" s="1" t="str">
        <f t="shared" ref="D1603:D1666" si="3188">"2021"</f>
        <v>2021</v>
      </c>
      <c r="E1603" s="1" t="str">
        <f>"72.54"</f>
        <v>72.54</v>
      </c>
      <c r="F1603" s="1" t="str">
        <f t="shared" ref="F1603:I1603" si="3189">"0"</f>
        <v>0</v>
      </c>
      <c r="G1603" s="1" t="str">
        <f t="shared" si="3189"/>
        <v>0</v>
      </c>
      <c r="H1603" s="1" t="str">
        <f t="shared" si="3189"/>
        <v>0</v>
      </c>
      <c r="I1603" s="1" t="str">
        <f t="shared" si="3189"/>
        <v>0</v>
      </c>
      <c r="J1603" s="1" t="str">
        <f>"5"</f>
        <v>5</v>
      </c>
      <c r="K1603" s="1" t="str">
        <f t="shared" ref="K1603:P1603" si="3190">"0"</f>
        <v>0</v>
      </c>
      <c r="L1603" s="1" t="str">
        <f t="shared" si="3190"/>
        <v>0</v>
      </c>
      <c r="M1603" s="1" t="str">
        <f t="shared" si="3190"/>
        <v>0</v>
      </c>
      <c r="N1603" s="1" t="str">
        <f t="shared" si="3190"/>
        <v>0</v>
      </c>
      <c r="O1603" s="1" t="str">
        <f t="shared" si="3190"/>
        <v>0</v>
      </c>
      <c r="P1603" s="1" t="str">
        <f t="shared" si="3190"/>
        <v>0</v>
      </c>
      <c r="Q1603" s="1" t="str">
        <f t="shared" ref="Q1603:Q1666" si="3191">"0.0070"</f>
        <v>0.0070</v>
      </c>
      <c r="R1603" s="1" t="s">
        <v>29</v>
      </c>
      <c r="S1603" s="1">
        <v>-0.0014</v>
      </c>
      <c r="T1603" s="1" t="str">
        <f t="shared" ref="T1603:T1666" si="3192">"0"</f>
        <v>0</v>
      </c>
      <c r="U1603" s="1" t="str">
        <f t="shared" si="3183"/>
        <v>0.0056</v>
      </c>
    </row>
    <row r="1604" s="1" customFormat="1" spans="1:21">
      <c r="A1604" s="1" t="str">
        <f>"4601992021864"</f>
        <v>4601992021864</v>
      </c>
      <c r="B1604" s="1" t="s">
        <v>1628</v>
      </c>
      <c r="C1604" s="1" t="s">
        <v>24</v>
      </c>
      <c r="D1604" s="1" t="str">
        <f t="shared" si="3188"/>
        <v>2021</v>
      </c>
      <c r="E1604" s="1" t="str">
        <f>"12.09"</f>
        <v>12.09</v>
      </c>
      <c r="F1604" s="1" t="str">
        <f t="shared" ref="F1604:I1604" si="3193">"0"</f>
        <v>0</v>
      </c>
      <c r="G1604" s="1" t="str">
        <f t="shared" si="3193"/>
        <v>0</v>
      </c>
      <c r="H1604" s="1" t="str">
        <f t="shared" si="3193"/>
        <v>0</v>
      </c>
      <c r="I1604" s="1" t="str">
        <f t="shared" si="3193"/>
        <v>0</v>
      </c>
      <c r="J1604" s="1" t="str">
        <f>"2"</f>
        <v>2</v>
      </c>
      <c r="K1604" s="1" t="str">
        <f t="shared" ref="K1604:P1604" si="3194">"0"</f>
        <v>0</v>
      </c>
      <c r="L1604" s="1" t="str">
        <f t="shared" si="3194"/>
        <v>0</v>
      </c>
      <c r="M1604" s="1" t="str">
        <f t="shared" si="3194"/>
        <v>0</v>
      </c>
      <c r="N1604" s="1" t="str">
        <f t="shared" si="3194"/>
        <v>0</v>
      </c>
      <c r="O1604" s="1" t="str">
        <f t="shared" si="3194"/>
        <v>0</v>
      </c>
      <c r="P1604" s="1" t="str">
        <f t="shared" si="3194"/>
        <v>0</v>
      </c>
      <c r="Q1604" s="1" t="str">
        <f t="shared" si="3191"/>
        <v>0.0070</v>
      </c>
      <c r="R1604" s="1" t="s">
        <v>29</v>
      </c>
      <c r="S1604" s="1">
        <v>-0.0014</v>
      </c>
      <c r="T1604" s="1" t="str">
        <f t="shared" si="3192"/>
        <v>0</v>
      </c>
      <c r="U1604" s="1" t="str">
        <f t="shared" si="3183"/>
        <v>0.0056</v>
      </c>
    </row>
    <row r="1605" s="1" customFormat="1" spans="1:21">
      <c r="A1605" s="1" t="str">
        <f>"4601992021914"</f>
        <v>4601992021914</v>
      </c>
      <c r="B1605" s="1" t="s">
        <v>1629</v>
      </c>
      <c r="C1605" s="1" t="s">
        <v>24</v>
      </c>
      <c r="D1605" s="1" t="str">
        <f t="shared" si="3188"/>
        <v>2021</v>
      </c>
      <c r="E1605" s="1" t="str">
        <f t="shared" ref="E1605:P1605" si="3195">"0"</f>
        <v>0</v>
      </c>
      <c r="F1605" s="1" t="str">
        <f t="shared" si="3195"/>
        <v>0</v>
      </c>
      <c r="G1605" s="1" t="str">
        <f t="shared" si="3195"/>
        <v>0</v>
      </c>
      <c r="H1605" s="1" t="str">
        <f t="shared" si="3195"/>
        <v>0</v>
      </c>
      <c r="I1605" s="1" t="str">
        <f t="shared" si="3195"/>
        <v>0</v>
      </c>
      <c r="J1605" s="1" t="str">
        <f t="shared" si="3195"/>
        <v>0</v>
      </c>
      <c r="K1605" s="1" t="str">
        <f t="shared" si="3195"/>
        <v>0</v>
      </c>
      <c r="L1605" s="1" t="str">
        <f t="shared" si="3195"/>
        <v>0</v>
      </c>
      <c r="M1605" s="1" t="str">
        <f t="shared" si="3195"/>
        <v>0</v>
      </c>
      <c r="N1605" s="1" t="str">
        <f t="shared" si="3195"/>
        <v>0</v>
      </c>
      <c r="O1605" s="1" t="str">
        <f t="shared" si="3195"/>
        <v>0</v>
      </c>
      <c r="P1605" s="1" t="str">
        <f t="shared" si="3195"/>
        <v>0</v>
      </c>
      <c r="Q1605" s="1" t="str">
        <f t="shared" si="3191"/>
        <v>0.0070</v>
      </c>
      <c r="R1605" s="1" t="s">
        <v>25</v>
      </c>
      <c r="T1605" s="1" t="str">
        <f t="shared" si="3192"/>
        <v>0</v>
      </c>
      <c r="U1605" s="1" t="str">
        <f t="shared" ref="U1605:U1608" si="3196">"0.0070"</f>
        <v>0.0070</v>
      </c>
    </row>
    <row r="1606" s="1" customFormat="1" spans="1:21">
      <c r="A1606" s="1" t="str">
        <f>"4601992021930"</f>
        <v>4601992021930</v>
      </c>
      <c r="B1606" s="1" t="s">
        <v>1630</v>
      </c>
      <c r="C1606" s="1" t="s">
        <v>24</v>
      </c>
      <c r="D1606" s="1" t="str">
        <f t="shared" si="3188"/>
        <v>2021</v>
      </c>
      <c r="E1606" s="1" t="str">
        <f>"36.27"</f>
        <v>36.27</v>
      </c>
      <c r="F1606" s="1" t="str">
        <f t="shared" ref="F1606:I1606" si="3197">"0"</f>
        <v>0</v>
      </c>
      <c r="G1606" s="1" t="str">
        <f t="shared" si="3197"/>
        <v>0</v>
      </c>
      <c r="H1606" s="1" t="str">
        <f t="shared" si="3197"/>
        <v>0</v>
      </c>
      <c r="I1606" s="1" t="str">
        <f t="shared" si="3197"/>
        <v>0</v>
      </c>
      <c r="J1606" s="1" t="str">
        <f>"4"</f>
        <v>4</v>
      </c>
      <c r="K1606" s="1" t="str">
        <f t="shared" ref="K1606:P1606" si="3198">"0"</f>
        <v>0</v>
      </c>
      <c r="L1606" s="1" t="str">
        <f t="shared" si="3198"/>
        <v>0</v>
      </c>
      <c r="M1606" s="1" t="str">
        <f t="shared" si="3198"/>
        <v>0</v>
      </c>
      <c r="N1606" s="1" t="str">
        <f t="shared" si="3198"/>
        <v>0</v>
      </c>
      <c r="O1606" s="1" t="str">
        <f t="shared" si="3198"/>
        <v>0</v>
      </c>
      <c r="P1606" s="1" t="str">
        <f t="shared" si="3198"/>
        <v>0</v>
      </c>
      <c r="Q1606" s="1" t="str">
        <f t="shared" si="3191"/>
        <v>0.0070</v>
      </c>
      <c r="R1606" s="1" t="s">
        <v>29</v>
      </c>
      <c r="S1606" s="1">
        <v>-0.0014</v>
      </c>
      <c r="T1606" s="1" t="str">
        <f t="shared" si="3192"/>
        <v>0</v>
      </c>
      <c r="U1606" s="1" t="str">
        <f t="shared" ref="U1606:U1611" si="3199">"0.0056"</f>
        <v>0.0056</v>
      </c>
    </row>
    <row r="1607" s="1" customFormat="1" spans="1:21">
      <c r="A1607" s="1" t="str">
        <f>"4601992021945"</f>
        <v>4601992021945</v>
      </c>
      <c r="B1607" s="1" t="s">
        <v>1631</v>
      </c>
      <c r="C1607" s="1" t="s">
        <v>24</v>
      </c>
      <c r="D1607" s="1" t="str">
        <f t="shared" si="3188"/>
        <v>2021</v>
      </c>
      <c r="E1607" s="1" t="str">
        <f t="shared" ref="E1607:P1607" si="3200">"0"</f>
        <v>0</v>
      </c>
      <c r="F1607" s="1" t="str">
        <f t="shared" si="3200"/>
        <v>0</v>
      </c>
      <c r="G1607" s="1" t="str">
        <f t="shared" si="3200"/>
        <v>0</v>
      </c>
      <c r="H1607" s="1" t="str">
        <f t="shared" si="3200"/>
        <v>0</v>
      </c>
      <c r="I1607" s="1" t="str">
        <f t="shared" si="3200"/>
        <v>0</v>
      </c>
      <c r="J1607" s="1" t="str">
        <f t="shared" si="3200"/>
        <v>0</v>
      </c>
      <c r="K1607" s="1" t="str">
        <f t="shared" si="3200"/>
        <v>0</v>
      </c>
      <c r="L1607" s="1" t="str">
        <f t="shared" si="3200"/>
        <v>0</v>
      </c>
      <c r="M1607" s="1" t="str">
        <f t="shared" si="3200"/>
        <v>0</v>
      </c>
      <c r="N1607" s="1" t="str">
        <f t="shared" si="3200"/>
        <v>0</v>
      </c>
      <c r="O1607" s="1" t="str">
        <f t="shared" si="3200"/>
        <v>0</v>
      </c>
      <c r="P1607" s="1" t="str">
        <f t="shared" si="3200"/>
        <v>0</v>
      </c>
      <c r="Q1607" s="1" t="str">
        <f t="shared" si="3191"/>
        <v>0.0070</v>
      </c>
      <c r="R1607" s="1" t="s">
        <v>25</v>
      </c>
      <c r="T1607" s="1" t="str">
        <f t="shared" si="3192"/>
        <v>0</v>
      </c>
      <c r="U1607" s="1" t="str">
        <f t="shared" si="3196"/>
        <v>0.0070</v>
      </c>
    </row>
    <row r="1608" s="1" customFormat="1" spans="1:21">
      <c r="A1608" s="1" t="str">
        <f>"4601992021942"</f>
        <v>4601992021942</v>
      </c>
      <c r="B1608" s="1" t="s">
        <v>1632</v>
      </c>
      <c r="C1608" s="1" t="s">
        <v>24</v>
      </c>
      <c r="D1608" s="1" t="str">
        <f t="shared" si="3188"/>
        <v>2021</v>
      </c>
      <c r="E1608" s="1" t="str">
        <f>"12.09"</f>
        <v>12.09</v>
      </c>
      <c r="F1608" s="1" t="str">
        <f t="shared" ref="F1608:I1608" si="3201">"0"</f>
        <v>0</v>
      </c>
      <c r="G1608" s="1" t="str">
        <f t="shared" si="3201"/>
        <v>0</v>
      </c>
      <c r="H1608" s="1" t="str">
        <f t="shared" si="3201"/>
        <v>0</v>
      </c>
      <c r="I1608" s="1" t="str">
        <f t="shared" si="3201"/>
        <v>0</v>
      </c>
      <c r="J1608" s="1" t="str">
        <f>"1"</f>
        <v>1</v>
      </c>
      <c r="K1608" s="1" t="str">
        <f t="shared" ref="K1608:P1608" si="3202">"0"</f>
        <v>0</v>
      </c>
      <c r="L1608" s="1" t="str">
        <f t="shared" si="3202"/>
        <v>0</v>
      </c>
      <c r="M1608" s="1" t="str">
        <f t="shared" si="3202"/>
        <v>0</v>
      </c>
      <c r="N1608" s="1" t="str">
        <f t="shared" si="3202"/>
        <v>0</v>
      </c>
      <c r="O1608" s="1" t="str">
        <f t="shared" si="3202"/>
        <v>0</v>
      </c>
      <c r="P1608" s="1" t="str">
        <f t="shared" si="3202"/>
        <v>0</v>
      </c>
      <c r="Q1608" s="1" t="str">
        <f t="shared" si="3191"/>
        <v>0.0070</v>
      </c>
      <c r="R1608" s="1" t="s">
        <v>25</v>
      </c>
      <c r="T1608" s="1" t="str">
        <f t="shared" si="3192"/>
        <v>0</v>
      </c>
      <c r="U1608" s="1" t="str">
        <f t="shared" si="3196"/>
        <v>0.0070</v>
      </c>
    </row>
    <row r="1609" s="1" customFormat="1" spans="1:21">
      <c r="A1609" s="1" t="str">
        <f>"4601992021881"</f>
        <v>4601992021881</v>
      </c>
      <c r="B1609" s="1" t="s">
        <v>1633</v>
      </c>
      <c r="C1609" s="1" t="s">
        <v>24</v>
      </c>
      <c r="D1609" s="1" t="str">
        <f t="shared" si="3188"/>
        <v>2021</v>
      </c>
      <c r="E1609" s="1" t="str">
        <f t="shared" ref="E1609:E1613" si="3203">"24.18"</f>
        <v>24.18</v>
      </c>
      <c r="F1609" s="1" t="str">
        <f t="shared" ref="F1609:I1609" si="3204">"0"</f>
        <v>0</v>
      </c>
      <c r="G1609" s="1" t="str">
        <f t="shared" si="3204"/>
        <v>0</v>
      </c>
      <c r="H1609" s="1" t="str">
        <f t="shared" si="3204"/>
        <v>0</v>
      </c>
      <c r="I1609" s="1" t="str">
        <f t="shared" si="3204"/>
        <v>0</v>
      </c>
      <c r="J1609" s="1" t="str">
        <f t="shared" ref="J1609:J1613" si="3205">"2"</f>
        <v>2</v>
      </c>
      <c r="K1609" s="1" t="str">
        <f t="shared" ref="K1609:P1609" si="3206">"0"</f>
        <v>0</v>
      </c>
      <c r="L1609" s="1" t="str">
        <f t="shared" si="3206"/>
        <v>0</v>
      </c>
      <c r="M1609" s="1" t="str">
        <f t="shared" si="3206"/>
        <v>0</v>
      </c>
      <c r="N1609" s="1" t="str">
        <f t="shared" si="3206"/>
        <v>0</v>
      </c>
      <c r="O1609" s="1" t="str">
        <f t="shared" si="3206"/>
        <v>0</v>
      </c>
      <c r="P1609" s="1" t="str">
        <f t="shared" si="3206"/>
        <v>0</v>
      </c>
      <c r="Q1609" s="1" t="str">
        <f t="shared" si="3191"/>
        <v>0.0070</v>
      </c>
      <c r="R1609" s="1" t="s">
        <v>29</v>
      </c>
      <c r="S1609" s="1">
        <v>-0.0014</v>
      </c>
      <c r="T1609" s="1" t="str">
        <f t="shared" si="3192"/>
        <v>0</v>
      </c>
      <c r="U1609" s="1" t="str">
        <f t="shared" si="3199"/>
        <v>0.0056</v>
      </c>
    </row>
    <row r="1610" s="1" customFormat="1" spans="1:21">
      <c r="A1610" s="1" t="str">
        <f>"4601992022027"</f>
        <v>4601992022027</v>
      </c>
      <c r="B1610" s="1" t="s">
        <v>1634</v>
      </c>
      <c r="C1610" s="1" t="s">
        <v>24</v>
      </c>
      <c r="D1610" s="1" t="str">
        <f t="shared" si="3188"/>
        <v>2021</v>
      </c>
      <c r="E1610" s="1" t="str">
        <f t="shared" ref="E1610:P1610" si="3207">"0"</f>
        <v>0</v>
      </c>
      <c r="F1610" s="1" t="str">
        <f t="shared" si="3207"/>
        <v>0</v>
      </c>
      <c r="G1610" s="1" t="str">
        <f t="shared" si="3207"/>
        <v>0</v>
      </c>
      <c r="H1610" s="1" t="str">
        <f t="shared" si="3207"/>
        <v>0</v>
      </c>
      <c r="I1610" s="1" t="str">
        <f t="shared" si="3207"/>
        <v>0</v>
      </c>
      <c r="J1610" s="1" t="str">
        <f t="shared" si="3207"/>
        <v>0</v>
      </c>
      <c r="K1610" s="1" t="str">
        <f t="shared" si="3207"/>
        <v>0</v>
      </c>
      <c r="L1610" s="1" t="str">
        <f t="shared" si="3207"/>
        <v>0</v>
      </c>
      <c r="M1610" s="1" t="str">
        <f t="shared" si="3207"/>
        <v>0</v>
      </c>
      <c r="N1610" s="1" t="str">
        <f t="shared" si="3207"/>
        <v>0</v>
      </c>
      <c r="O1610" s="1" t="str">
        <f t="shared" si="3207"/>
        <v>0</v>
      </c>
      <c r="P1610" s="1" t="str">
        <f t="shared" si="3207"/>
        <v>0</v>
      </c>
      <c r="Q1610" s="1" t="str">
        <f t="shared" si="3191"/>
        <v>0.0070</v>
      </c>
      <c r="R1610" s="1" t="s">
        <v>25</v>
      </c>
      <c r="T1610" s="1" t="str">
        <f t="shared" si="3192"/>
        <v>0</v>
      </c>
      <c r="U1610" s="1" t="str">
        <f>"0.0070"</f>
        <v>0.0070</v>
      </c>
    </row>
    <row r="1611" s="1" customFormat="1" spans="1:21">
      <c r="A1611" s="1" t="str">
        <f>"4601992021986"</f>
        <v>4601992021986</v>
      </c>
      <c r="B1611" s="1" t="s">
        <v>1635</v>
      </c>
      <c r="C1611" s="1" t="s">
        <v>24</v>
      </c>
      <c r="D1611" s="1" t="str">
        <f t="shared" si="3188"/>
        <v>2021</v>
      </c>
      <c r="E1611" s="1" t="str">
        <f t="shared" si="3203"/>
        <v>24.18</v>
      </c>
      <c r="F1611" s="1" t="str">
        <f t="shared" ref="F1611:I1611" si="3208">"0"</f>
        <v>0</v>
      </c>
      <c r="G1611" s="1" t="str">
        <f t="shared" si="3208"/>
        <v>0</v>
      </c>
      <c r="H1611" s="1" t="str">
        <f t="shared" si="3208"/>
        <v>0</v>
      </c>
      <c r="I1611" s="1" t="str">
        <f t="shared" si="3208"/>
        <v>0</v>
      </c>
      <c r="J1611" s="1" t="str">
        <f t="shared" si="3205"/>
        <v>2</v>
      </c>
      <c r="K1611" s="1" t="str">
        <f t="shared" ref="K1611:P1611" si="3209">"0"</f>
        <v>0</v>
      </c>
      <c r="L1611" s="1" t="str">
        <f t="shared" si="3209"/>
        <v>0</v>
      </c>
      <c r="M1611" s="1" t="str">
        <f t="shared" si="3209"/>
        <v>0</v>
      </c>
      <c r="N1611" s="1" t="str">
        <f t="shared" si="3209"/>
        <v>0</v>
      </c>
      <c r="O1611" s="1" t="str">
        <f t="shared" si="3209"/>
        <v>0</v>
      </c>
      <c r="P1611" s="1" t="str">
        <f t="shared" si="3209"/>
        <v>0</v>
      </c>
      <c r="Q1611" s="1" t="str">
        <f t="shared" si="3191"/>
        <v>0.0070</v>
      </c>
      <c r="R1611" s="1" t="s">
        <v>29</v>
      </c>
      <c r="S1611" s="1">
        <v>-0.0014</v>
      </c>
      <c r="T1611" s="1" t="str">
        <f t="shared" si="3192"/>
        <v>0</v>
      </c>
      <c r="U1611" s="1" t="str">
        <f t="shared" si="3199"/>
        <v>0.0056</v>
      </c>
    </row>
    <row r="1612" s="1" customFormat="1" spans="1:21">
      <c r="A1612" s="1" t="str">
        <f>"4601992021964"</f>
        <v>4601992021964</v>
      </c>
      <c r="B1612" s="1" t="s">
        <v>1636</v>
      </c>
      <c r="C1612" s="1" t="s">
        <v>24</v>
      </c>
      <c r="D1612" s="1" t="str">
        <f t="shared" si="3188"/>
        <v>2021</v>
      </c>
      <c r="E1612" s="1" t="str">
        <f>"96.50"</f>
        <v>96.50</v>
      </c>
      <c r="F1612" s="1" t="str">
        <f t="shared" ref="F1612:I1612" si="3210">"0"</f>
        <v>0</v>
      </c>
      <c r="G1612" s="1" t="str">
        <f t="shared" si="3210"/>
        <v>0</v>
      </c>
      <c r="H1612" s="1" t="str">
        <f t="shared" si="3210"/>
        <v>0</v>
      </c>
      <c r="I1612" s="1" t="str">
        <f t="shared" si="3210"/>
        <v>0</v>
      </c>
      <c r="J1612" s="1" t="str">
        <f>"6"</f>
        <v>6</v>
      </c>
      <c r="K1612" s="1" t="str">
        <f t="shared" ref="K1612:P1612" si="3211">"0"</f>
        <v>0</v>
      </c>
      <c r="L1612" s="1" t="str">
        <f t="shared" si="3211"/>
        <v>0</v>
      </c>
      <c r="M1612" s="1" t="str">
        <f t="shared" si="3211"/>
        <v>0</v>
      </c>
      <c r="N1612" s="1" t="str">
        <f t="shared" si="3211"/>
        <v>0</v>
      </c>
      <c r="O1612" s="1" t="str">
        <f t="shared" si="3211"/>
        <v>0</v>
      </c>
      <c r="P1612" s="1" t="str">
        <f t="shared" si="3211"/>
        <v>0</v>
      </c>
      <c r="Q1612" s="1" t="str">
        <f t="shared" si="3191"/>
        <v>0.0070</v>
      </c>
      <c r="R1612" s="1" t="s">
        <v>25</v>
      </c>
      <c r="T1612" s="1" t="str">
        <f t="shared" si="3192"/>
        <v>0</v>
      </c>
      <c r="U1612" s="1" t="str">
        <f>"0.0070"</f>
        <v>0.0070</v>
      </c>
    </row>
    <row r="1613" s="1" customFormat="1" spans="1:21">
      <c r="A1613" s="1" t="str">
        <f>"4601992022045"</f>
        <v>4601992022045</v>
      </c>
      <c r="B1613" s="1" t="s">
        <v>1637</v>
      </c>
      <c r="C1613" s="1" t="s">
        <v>24</v>
      </c>
      <c r="D1613" s="1" t="str">
        <f t="shared" si="3188"/>
        <v>2021</v>
      </c>
      <c r="E1613" s="1" t="str">
        <f t="shared" si="3203"/>
        <v>24.18</v>
      </c>
      <c r="F1613" s="1" t="str">
        <f t="shared" ref="F1613:I1613" si="3212">"0"</f>
        <v>0</v>
      </c>
      <c r="G1613" s="1" t="str">
        <f t="shared" si="3212"/>
        <v>0</v>
      </c>
      <c r="H1613" s="1" t="str">
        <f t="shared" si="3212"/>
        <v>0</v>
      </c>
      <c r="I1613" s="1" t="str">
        <f t="shared" si="3212"/>
        <v>0</v>
      </c>
      <c r="J1613" s="1" t="str">
        <f t="shared" si="3205"/>
        <v>2</v>
      </c>
      <c r="K1613" s="1" t="str">
        <f t="shared" ref="K1613:P1613" si="3213">"0"</f>
        <v>0</v>
      </c>
      <c r="L1613" s="1" t="str">
        <f t="shared" si="3213"/>
        <v>0</v>
      </c>
      <c r="M1613" s="1" t="str">
        <f t="shared" si="3213"/>
        <v>0</v>
      </c>
      <c r="N1613" s="1" t="str">
        <f t="shared" si="3213"/>
        <v>0</v>
      </c>
      <c r="O1613" s="1" t="str">
        <f t="shared" si="3213"/>
        <v>0</v>
      </c>
      <c r="P1613" s="1" t="str">
        <f t="shared" si="3213"/>
        <v>0</v>
      </c>
      <c r="Q1613" s="1" t="str">
        <f t="shared" si="3191"/>
        <v>0.0070</v>
      </c>
      <c r="R1613" s="1" t="s">
        <v>29</v>
      </c>
      <c r="S1613" s="1">
        <v>-0.0014</v>
      </c>
      <c r="T1613" s="1" t="str">
        <f t="shared" si="3192"/>
        <v>0</v>
      </c>
      <c r="U1613" s="1" t="str">
        <f t="shared" ref="U1613:U1620" si="3214">"0.0056"</f>
        <v>0.0056</v>
      </c>
    </row>
    <row r="1614" s="1" customFormat="1" spans="1:21">
      <c r="A1614" s="1" t="str">
        <f>"4601992022030"</f>
        <v>4601992022030</v>
      </c>
      <c r="B1614" s="1" t="s">
        <v>1638</v>
      </c>
      <c r="C1614" s="1" t="s">
        <v>24</v>
      </c>
      <c r="D1614" s="1" t="str">
        <f t="shared" si="3188"/>
        <v>2021</v>
      </c>
      <c r="E1614" s="1" t="str">
        <f>"84.80"</f>
        <v>84.80</v>
      </c>
      <c r="F1614" s="1" t="str">
        <f t="shared" ref="F1614:I1614" si="3215">"0"</f>
        <v>0</v>
      </c>
      <c r="G1614" s="1" t="str">
        <f t="shared" si="3215"/>
        <v>0</v>
      </c>
      <c r="H1614" s="1" t="str">
        <f t="shared" si="3215"/>
        <v>0</v>
      </c>
      <c r="I1614" s="1" t="str">
        <f t="shared" si="3215"/>
        <v>0</v>
      </c>
      <c r="J1614" s="1" t="str">
        <f>"9"</f>
        <v>9</v>
      </c>
      <c r="K1614" s="1" t="str">
        <f t="shared" ref="K1614:P1614" si="3216">"0"</f>
        <v>0</v>
      </c>
      <c r="L1614" s="1" t="str">
        <f t="shared" si="3216"/>
        <v>0</v>
      </c>
      <c r="M1614" s="1" t="str">
        <f t="shared" si="3216"/>
        <v>0</v>
      </c>
      <c r="N1614" s="1" t="str">
        <f t="shared" si="3216"/>
        <v>0</v>
      </c>
      <c r="O1614" s="1" t="str">
        <f t="shared" si="3216"/>
        <v>0</v>
      </c>
      <c r="P1614" s="1" t="str">
        <f t="shared" si="3216"/>
        <v>0</v>
      </c>
      <c r="Q1614" s="1" t="str">
        <f t="shared" si="3191"/>
        <v>0.0070</v>
      </c>
      <c r="R1614" s="1" t="s">
        <v>29</v>
      </c>
      <c r="S1614" s="1">
        <v>-0.0014</v>
      </c>
      <c r="T1614" s="1" t="str">
        <f t="shared" si="3192"/>
        <v>0</v>
      </c>
      <c r="U1614" s="1" t="str">
        <f t="shared" si="3214"/>
        <v>0.0056</v>
      </c>
    </row>
    <row r="1615" s="1" customFormat="1" spans="1:21">
      <c r="A1615" s="1" t="str">
        <f>"4601992022086"</f>
        <v>4601992022086</v>
      </c>
      <c r="B1615" s="1" t="s">
        <v>1639</v>
      </c>
      <c r="C1615" s="1" t="s">
        <v>24</v>
      </c>
      <c r="D1615" s="1" t="str">
        <f t="shared" si="3188"/>
        <v>2021</v>
      </c>
      <c r="E1615" s="1" t="str">
        <f>"40.25"</f>
        <v>40.25</v>
      </c>
      <c r="F1615" s="1" t="str">
        <f t="shared" ref="F1615:I1615" si="3217">"0"</f>
        <v>0</v>
      </c>
      <c r="G1615" s="1" t="str">
        <f t="shared" si="3217"/>
        <v>0</v>
      </c>
      <c r="H1615" s="1" t="str">
        <f t="shared" si="3217"/>
        <v>0</v>
      </c>
      <c r="I1615" s="1" t="str">
        <f t="shared" si="3217"/>
        <v>0</v>
      </c>
      <c r="J1615" s="1" t="str">
        <f>"2"</f>
        <v>2</v>
      </c>
      <c r="K1615" s="1" t="str">
        <f t="shared" ref="K1615:P1615" si="3218">"0"</f>
        <v>0</v>
      </c>
      <c r="L1615" s="1" t="str">
        <f t="shared" si="3218"/>
        <v>0</v>
      </c>
      <c r="M1615" s="1" t="str">
        <f t="shared" si="3218"/>
        <v>0</v>
      </c>
      <c r="N1615" s="1" t="str">
        <f t="shared" si="3218"/>
        <v>0</v>
      </c>
      <c r="O1615" s="1" t="str">
        <f t="shared" si="3218"/>
        <v>0</v>
      </c>
      <c r="P1615" s="1" t="str">
        <f t="shared" si="3218"/>
        <v>0</v>
      </c>
      <c r="Q1615" s="1" t="str">
        <f t="shared" si="3191"/>
        <v>0.0070</v>
      </c>
      <c r="R1615" s="1" t="s">
        <v>29</v>
      </c>
      <c r="S1615" s="1">
        <v>-0.0014</v>
      </c>
      <c r="T1615" s="1" t="str">
        <f t="shared" si="3192"/>
        <v>0</v>
      </c>
      <c r="U1615" s="1" t="str">
        <f t="shared" si="3214"/>
        <v>0.0056</v>
      </c>
    </row>
    <row r="1616" s="1" customFormat="1" spans="1:21">
      <c r="A1616" s="1" t="str">
        <f>"4601992022105"</f>
        <v>4601992022105</v>
      </c>
      <c r="B1616" s="1" t="s">
        <v>1640</v>
      </c>
      <c r="C1616" s="1" t="s">
        <v>24</v>
      </c>
      <c r="D1616" s="1" t="str">
        <f t="shared" si="3188"/>
        <v>2021</v>
      </c>
      <c r="E1616" s="1" t="str">
        <f>"96.72"</f>
        <v>96.72</v>
      </c>
      <c r="F1616" s="1" t="str">
        <f t="shared" ref="F1616:I1616" si="3219">"0"</f>
        <v>0</v>
      </c>
      <c r="G1616" s="1" t="str">
        <f t="shared" si="3219"/>
        <v>0</v>
      </c>
      <c r="H1616" s="1" t="str">
        <f t="shared" si="3219"/>
        <v>0</v>
      </c>
      <c r="I1616" s="1" t="str">
        <f t="shared" si="3219"/>
        <v>0</v>
      </c>
      <c r="J1616" s="1" t="str">
        <f>"17"</f>
        <v>17</v>
      </c>
      <c r="K1616" s="1" t="str">
        <f t="shared" ref="K1616:P1616" si="3220">"0"</f>
        <v>0</v>
      </c>
      <c r="L1616" s="1" t="str">
        <f t="shared" si="3220"/>
        <v>0</v>
      </c>
      <c r="M1616" s="1" t="str">
        <f t="shared" si="3220"/>
        <v>0</v>
      </c>
      <c r="N1616" s="1" t="str">
        <f t="shared" si="3220"/>
        <v>0</v>
      </c>
      <c r="O1616" s="1" t="str">
        <f t="shared" si="3220"/>
        <v>0</v>
      </c>
      <c r="P1616" s="1" t="str">
        <f t="shared" si="3220"/>
        <v>0</v>
      </c>
      <c r="Q1616" s="1" t="str">
        <f t="shared" si="3191"/>
        <v>0.0070</v>
      </c>
      <c r="R1616" s="1" t="s">
        <v>29</v>
      </c>
      <c r="S1616" s="1">
        <v>-0.0014</v>
      </c>
      <c r="T1616" s="1" t="str">
        <f t="shared" si="3192"/>
        <v>0</v>
      </c>
      <c r="U1616" s="1" t="str">
        <f t="shared" si="3214"/>
        <v>0.0056</v>
      </c>
    </row>
    <row r="1617" s="1" customFormat="1" spans="1:21">
      <c r="A1617" s="1" t="str">
        <f>"4601992022122"</f>
        <v>4601992022122</v>
      </c>
      <c r="B1617" s="1" t="s">
        <v>1641</v>
      </c>
      <c r="C1617" s="1" t="s">
        <v>24</v>
      </c>
      <c r="D1617" s="1" t="str">
        <f t="shared" si="3188"/>
        <v>2021</v>
      </c>
      <c r="E1617" s="1" t="str">
        <f>"24.18"</f>
        <v>24.18</v>
      </c>
      <c r="F1617" s="1" t="str">
        <f t="shared" ref="F1617:I1617" si="3221">"0"</f>
        <v>0</v>
      </c>
      <c r="G1617" s="1" t="str">
        <f t="shared" si="3221"/>
        <v>0</v>
      </c>
      <c r="H1617" s="1" t="str">
        <f t="shared" si="3221"/>
        <v>0</v>
      </c>
      <c r="I1617" s="1" t="str">
        <f t="shared" si="3221"/>
        <v>0</v>
      </c>
      <c r="J1617" s="1" t="str">
        <f>"3"</f>
        <v>3</v>
      </c>
      <c r="K1617" s="1" t="str">
        <f t="shared" ref="K1617:P1617" si="3222">"0"</f>
        <v>0</v>
      </c>
      <c r="L1617" s="1" t="str">
        <f t="shared" si="3222"/>
        <v>0</v>
      </c>
      <c r="M1617" s="1" t="str">
        <f t="shared" si="3222"/>
        <v>0</v>
      </c>
      <c r="N1617" s="1" t="str">
        <f t="shared" si="3222"/>
        <v>0</v>
      </c>
      <c r="O1617" s="1" t="str">
        <f t="shared" si="3222"/>
        <v>0</v>
      </c>
      <c r="P1617" s="1" t="str">
        <f t="shared" si="3222"/>
        <v>0</v>
      </c>
      <c r="Q1617" s="1" t="str">
        <f t="shared" si="3191"/>
        <v>0.0070</v>
      </c>
      <c r="R1617" s="1" t="s">
        <v>29</v>
      </c>
      <c r="S1617" s="1">
        <v>-0.0014</v>
      </c>
      <c r="T1617" s="1" t="str">
        <f t="shared" si="3192"/>
        <v>0</v>
      </c>
      <c r="U1617" s="1" t="str">
        <f t="shared" si="3214"/>
        <v>0.0056</v>
      </c>
    </row>
    <row r="1618" s="1" customFormat="1" spans="1:21">
      <c r="A1618" s="1" t="str">
        <f>"4601992022130"</f>
        <v>4601992022130</v>
      </c>
      <c r="B1618" s="1" t="s">
        <v>1642</v>
      </c>
      <c r="C1618" s="1" t="s">
        <v>24</v>
      </c>
      <c r="D1618" s="1" t="str">
        <f t="shared" si="3188"/>
        <v>2021</v>
      </c>
      <c r="E1618" s="1" t="str">
        <f>"42.94"</f>
        <v>42.94</v>
      </c>
      <c r="F1618" s="1" t="str">
        <f t="shared" ref="F1618:I1618" si="3223">"0"</f>
        <v>0</v>
      </c>
      <c r="G1618" s="1" t="str">
        <f t="shared" si="3223"/>
        <v>0</v>
      </c>
      <c r="H1618" s="1" t="str">
        <f t="shared" si="3223"/>
        <v>0</v>
      </c>
      <c r="I1618" s="1" t="str">
        <f t="shared" si="3223"/>
        <v>0</v>
      </c>
      <c r="J1618" s="1" t="str">
        <f>"2"</f>
        <v>2</v>
      </c>
      <c r="K1618" s="1" t="str">
        <f t="shared" ref="K1618:P1618" si="3224">"0"</f>
        <v>0</v>
      </c>
      <c r="L1618" s="1" t="str">
        <f t="shared" si="3224"/>
        <v>0</v>
      </c>
      <c r="M1618" s="1" t="str">
        <f t="shared" si="3224"/>
        <v>0</v>
      </c>
      <c r="N1618" s="1" t="str">
        <f t="shared" si="3224"/>
        <v>0</v>
      </c>
      <c r="O1618" s="1" t="str">
        <f t="shared" si="3224"/>
        <v>0</v>
      </c>
      <c r="P1618" s="1" t="str">
        <f t="shared" si="3224"/>
        <v>0</v>
      </c>
      <c r="Q1618" s="1" t="str">
        <f t="shared" si="3191"/>
        <v>0.0070</v>
      </c>
      <c r="R1618" s="1" t="s">
        <v>29</v>
      </c>
      <c r="S1618" s="1">
        <v>-0.0014</v>
      </c>
      <c r="T1618" s="1" t="str">
        <f t="shared" si="3192"/>
        <v>0</v>
      </c>
      <c r="U1618" s="1" t="str">
        <f t="shared" si="3214"/>
        <v>0.0056</v>
      </c>
    </row>
    <row r="1619" s="1" customFormat="1" spans="1:21">
      <c r="A1619" s="1" t="str">
        <f>"4601992022129"</f>
        <v>4601992022129</v>
      </c>
      <c r="B1619" s="1" t="s">
        <v>1643</v>
      </c>
      <c r="C1619" s="1" t="s">
        <v>24</v>
      </c>
      <c r="D1619" s="1" t="str">
        <f t="shared" si="3188"/>
        <v>2021</v>
      </c>
      <c r="E1619" s="1" t="str">
        <f>"36.27"</f>
        <v>36.27</v>
      </c>
      <c r="F1619" s="1" t="str">
        <f t="shared" ref="F1619:I1619" si="3225">"0"</f>
        <v>0</v>
      </c>
      <c r="G1619" s="1" t="str">
        <f t="shared" si="3225"/>
        <v>0</v>
      </c>
      <c r="H1619" s="1" t="str">
        <f t="shared" si="3225"/>
        <v>0</v>
      </c>
      <c r="I1619" s="1" t="str">
        <f t="shared" si="3225"/>
        <v>0</v>
      </c>
      <c r="J1619" s="1" t="str">
        <f>"3"</f>
        <v>3</v>
      </c>
      <c r="K1619" s="1" t="str">
        <f t="shared" ref="K1619:P1619" si="3226">"0"</f>
        <v>0</v>
      </c>
      <c r="L1619" s="1" t="str">
        <f t="shared" si="3226"/>
        <v>0</v>
      </c>
      <c r="M1619" s="1" t="str">
        <f t="shared" si="3226"/>
        <v>0</v>
      </c>
      <c r="N1619" s="1" t="str">
        <f t="shared" si="3226"/>
        <v>0</v>
      </c>
      <c r="O1619" s="1" t="str">
        <f t="shared" si="3226"/>
        <v>0</v>
      </c>
      <c r="P1619" s="1" t="str">
        <f t="shared" si="3226"/>
        <v>0</v>
      </c>
      <c r="Q1619" s="1" t="str">
        <f t="shared" si="3191"/>
        <v>0.0070</v>
      </c>
      <c r="R1619" s="1" t="s">
        <v>29</v>
      </c>
      <c r="S1619" s="1">
        <v>-0.0014</v>
      </c>
      <c r="T1619" s="1" t="str">
        <f t="shared" si="3192"/>
        <v>0</v>
      </c>
      <c r="U1619" s="1" t="str">
        <f t="shared" si="3214"/>
        <v>0.0056</v>
      </c>
    </row>
    <row r="1620" s="1" customFormat="1" spans="1:21">
      <c r="A1620" s="1" t="str">
        <f>"4601992022146"</f>
        <v>4601992022146</v>
      </c>
      <c r="B1620" s="1" t="s">
        <v>1644</v>
      </c>
      <c r="C1620" s="1" t="s">
        <v>24</v>
      </c>
      <c r="D1620" s="1" t="str">
        <f t="shared" si="3188"/>
        <v>2021</v>
      </c>
      <c r="E1620" s="1" t="str">
        <f>"49.00"</f>
        <v>49.00</v>
      </c>
      <c r="F1620" s="1" t="str">
        <f t="shared" ref="F1620:I1620" si="3227">"0"</f>
        <v>0</v>
      </c>
      <c r="G1620" s="1" t="str">
        <f t="shared" si="3227"/>
        <v>0</v>
      </c>
      <c r="H1620" s="1" t="str">
        <f t="shared" si="3227"/>
        <v>0</v>
      </c>
      <c r="I1620" s="1" t="str">
        <f t="shared" si="3227"/>
        <v>0</v>
      </c>
      <c r="J1620" s="1" t="str">
        <f>"5"</f>
        <v>5</v>
      </c>
      <c r="K1620" s="1" t="str">
        <f t="shared" ref="K1620:P1620" si="3228">"0"</f>
        <v>0</v>
      </c>
      <c r="L1620" s="1" t="str">
        <f t="shared" si="3228"/>
        <v>0</v>
      </c>
      <c r="M1620" s="1" t="str">
        <f t="shared" si="3228"/>
        <v>0</v>
      </c>
      <c r="N1620" s="1" t="str">
        <f t="shared" si="3228"/>
        <v>0</v>
      </c>
      <c r="O1620" s="1" t="str">
        <f t="shared" si="3228"/>
        <v>0</v>
      </c>
      <c r="P1620" s="1" t="str">
        <f t="shared" si="3228"/>
        <v>0</v>
      </c>
      <c r="Q1620" s="1" t="str">
        <f t="shared" si="3191"/>
        <v>0.0070</v>
      </c>
      <c r="R1620" s="1" t="s">
        <v>29</v>
      </c>
      <c r="S1620" s="1">
        <v>-0.0014</v>
      </c>
      <c r="T1620" s="1" t="str">
        <f t="shared" si="3192"/>
        <v>0</v>
      </c>
      <c r="U1620" s="1" t="str">
        <f t="shared" si="3214"/>
        <v>0.0056</v>
      </c>
    </row>
    <row r="1621" s="1" customFormat="1" spans="1:21">
      <c r="A1621" s="1" t="str">
        <f>"4601992022243"</f>
        <v>4601992022243</v>
      </c>
      <c r="B1621" s="1" t="s">
        <v>1645</v>
      </c>
      <c r="C1621" s="1" t="s">
        <v>24</v>
      </c>
      <c r="D1621" s="1" t="str">
        <f t="shared" si="3188"/>
        <v>2021</v>
      </c>
      <c r="E1621" s="1" t="str">
        <f t="shared" ref="E1621:P1621" si="3229">"0"</f>
        <v>0</v>
      </c>
      <c r="F1621" s="1" t="str">
        <f t="shared" si="3229"/>
        <v>0</v>
      </c>
      <c r="G1621" s="1" t="str">
        <f t="shared" si="3229"/>
        <v>0</v>
      </c>
      <c r="H1621" s="1" t="str">
        <f t="shared" si="3229"/>
        <v>0</v>
      </c>
      <c r="I1621" s="1" t="str">
        <f t="shared" si="3229"/>
        <v>0</v>
      </c>
      <c r="J1621" s="1" t="str">
        <f t="shared" si="3229"/>
        <v>0</v>
      </c>
      <c r="K1621" s="1" t="str">
        <f t="shared" si="3229"/>
        <v>0</v>
      </c>
      <c r="L1621" s="1" t="str">
        <f t="shared" si="3229"/>
        <v>0</v>
      </c>
      <c r="M1621" s="1" t="str">
        <f t="shared" si="3229"/>
        <v>0</v>
      </c>
      <c r="N1621" s="1" t="str">
        <f t="shared" si="3229"/>
        <v>0</v>
      </c>
      <c r="O1621" s="1" t="str">
        <f t="shared" si="3229"/>
        <v>0</v>
      </c>
      <c r="P1621" s="1" t="str">
        <f t="shared" si="3229"/>
        <v>0</v>
      </c>
      <c r="Q1621" s="1" t="str">
        <f t="shared" si="3191"/>
        <v>0.0070</v>
      </c>
      <c r="R1621" s="1" t="s">
        <v>25</v>
      </c>
      <c r="T1621" s="1" t="str">
        <f t="shared" si="3192"/>
        <v>0</v>
      </c>
      <c r="U1621" s="1" t="str">
        <f>"0.0070"</f>
        <v>0.0070</v>
      </c>
    </row>
    <row r="1622" s="1" customFormat="1" spans="1:21">
      <c r="A1622" s="1" t="str">
        <f>"4601992022219"</f>
        <v>4601992022219</v>
      </c>
      <c r="B1622" s="1" t="s">
        <v>1646</v>
      </c>
      <c r="C1622" s="1" t="s">
        <v>24</v>
      </c>
      <c r="D1622" s="1" t="str">
        <f t="shared" si="3188"/>
        <v>2021</v>
      </c>
      <c r="E1622" s="1" t="str">
        <f>"12.09"</f>
        <v>12.09</v>
      </c>
      <c r="F1622" s="1" t="str">
        <f t="shared" ref="F1622:I1622" si="3230">"0"</f>
        <v>0</v>
      </c>
      <c r="G1622" s="1" t="str">
        <f t="shared" si="3230"/>
        <v>0</v>
      </c>
      <c r="H1622" s="1" t="str">
        <f t="shared" si="3230"/>
        <v>0</v>
      </c>
      <c r="I1622" s="1" t="str">
        <f t="shared" si="3230"/>
        <v>0</v>
      </c>
      <c r="J1622" s="1" t="str">
        <f>"1"</f>
        <v>1</v>
      </c>
      <c r="K1622" s="1" t="str">
        <f t="shared" ref="K1622:P1622" si="3231">"0"</f>
        <v>0</v>
      </c>
      <c r="L1622" s="1" t="str">
        <f t="shared" si="3231"/>
        <v>0</v>
      </c>
      <c r="M1622" s="1" t="str">
        <f t="shared" si="3231"/>
        <v>0</v>
      </c>
      <c r="N1622" s="1" t="str">
        <f t="shared" si="3231"/>
        <v>0</v>
      </c>
      <c r="O1622" s="1" t="str">
        <f t="shared" si="3231"/>
        <v>0</v>
      </c>
      <c r="P1622" s="1" t="str">
        <f t="shared" si="3231"/>
        <v>0</v>
      </c>
      <c r="Q1622" s="1" t="str">
        <f t="shared" si="3191"/>
        <v>0.0070</v>
      </c>
      <c r="R1622" s="1" t="s">
        <v>29</v>
      </c>
      <c r="S1622" s="1">
        <v>-0.0014</v>
      </c>
      <c r="T1622" s="1" t="str">
        <f t="shared" si="3192"/>
        <v>0</v>
      </c>
      <c r="U1622" s="1" t="str">
        <f t="shared" ref="U1622:U1627" si="3232">"0.0056"</f>
        <v>0.0056</v>
      </c>
    </row>
    <row r="1623" s="1" customFormat="1" spans="1:21">
      <c r="A1623" s="1" t="str">
        <f>"4601992022240"</f>
        <v>4601992022240</v>
      </c>
      <c r="B1623" s="1" t="s">
        <v>1647</v>
      </c>
      <c r="C1623" s="1" t="s">
        <v>24</v>
      </c>
      <c r="D1623" s="1" t="str">
        <f t="shared" si="3188"/>
        <v>2021</v>
      </c>
      <c r="E1623" s="1" t="str">
        <f>"301.48"</f>
        <v>301.48</v>
      </c>
      <c r="F1623" s="1" t="str">
        <f t="shared" ref="F1623:I1623" si="3233">"0"</f>
        <v>0</v>
      </c>
      <c r="G1623" s="1" t="str">
        <f t="shared" si="3233"/>
        <v>0</v>
      </c>
      <c r="H1623" s="1" t="str">
        <f t="shared" si="3233"/>
        <v>0</v>
      </c>
      <c r="I1623" s="1" t="str">
        <f t="shared" si="3233"/>
        <v>0</v>
      </c>
      <c r="J1623" s="1" t="str">
        <f>"21"</f>
        <v>21</v>
      </c>
      <c r="K1623" s="1" t="str">
        <f t="shared" ref="K1623:P1623" si="3234">"0"</f>
        <v>0</v>
      </c>
      <c r="L1623" s="1" t="str">
        <f t="shared" si="3234"/>
        <v>0</v>
      </c>
      <c r="M1623" s="1" t="str">
        <f t="shared" si="3234"/>
        <v>0</v>
      </c>
      <c r="N1623" s="1" t="str">
        <f t="shared" si="3234"/>
        <v>0</v>
      </c>
      <c r="O1623" s="1" t="str">
        <f t="shared" si="3234"/>
        <v>0</v>
      </c>
      <c r="P1623" s="1" t="str">
        <f t="shared" si="3234"/>
        <v>0</v>
      </c>
      <c r="Q1623" s="1" t="str">
        <f t="shared" si="3191"/>
        <v>0.0070</v>
      </c>
      <c r="R1623" s="1" t="s">
        <v>29</v>
      </c>
      <c r="S1623" s="1">
        <v>-0.0014</v>
      </c>
      <c r="T1623" s="1" t="str">
        <f t="shared" si="3192"/>
        <v>0</v>
      </c>
      <c r="U1623" s="1" t="str">
        <f t="shared" si="3232"/>
        <v>0.0056</v>
      </c>
    </row>
    <row r="1624" s="1" customFormat="1" spans="1:21">
      <c r="A1624" s="1" t="str">
        <f>"4601992022249"</f>
        <v>4601992022249</v>
      </c>
      <c r="B1624" s="1" t="s">
        <v>1648</v>
      </c>
      <c r="C1624" s="1" t="s">
        <v>24</v>
      </c>
      <c r="D1624" s="1" t="str">
        <f t="shared" si="3188"/>
        <v>2021</v>
      </c>
      <c r="E1624" s="1" t="str">
        <f>"120.90"</f>
        <v>120.90</v>
      </c>
      <c r="F1624" s="1" t="str">
        <f t="shared" ref="F1624:I1624" si="3235">"0"</f>
        <v>0</v>
      </c>
      <c r="G1624" s="1" t="str">
        <f t="shared" si="3235"/>
        <v>0</v>
      </c>
      <c r="H1624" s="1" t="str">
        <f t="shared" si="3235"/>
        <v>0</v>
      </c>
      <c r="I1624" s="1" t="str">
        <f t="shared" si="3235"/>
        <v>0</v>
      </c>
      <c r="J1624" s="1" t="str">
        <f>"11"</f>
        <v>11</v>
      </c>
      <c r="K1624" s="1" t="str">
        <f t="shared" ref="K1624:P1624" si="3236">"0"</f>
        <v>0</v>
      </c>
      <c r="L1624" s="1" t="str">
        <f t="shared" si="3236"/>
        <v>0</v>
      </c>
      <c r="M1624" s="1" t="str">
        <f t="shared" si="3236"/>
        <v>0</v>
      </c>
      <c r="N1624" s="1" t="str">
        <f t="shared" si="3236"/>
        <v>0</v>
      </c>
      <c r="O1624" s="1" t="str">
        <f t="shared" si="3236"/>
        <v>0</v>
      </c>
      <c r="P1624" s="1" t="str">
        <f t="shared" si="3236"/>
        <v>0</v>
      </c>
      <c r="Q1624" s="1" t="str">
        <f t="shared" si="3191"/>
        <v>0.0070</v>
      </c>
      <c r="R1624" s="1" t="s">
        <v>29</v>
      </c>
      <c r="S1624" s="1">
        <v>-0.0014</v>
      </c>
      <c r="T1624" s="1" t="str">
        <f t="shared" si="3192"/>
        <v>0</v>
      </c>
      <c r="U1624" s="1" t="str">
        <f t="shared" si="3232"/>
        <v>0.0056</v>
      </c>
    </row>
    <row r="1625" s="1" customFormat="1" spans="1:21">
      <c r="A1625" s="1" t="str">
        <f>"4601992022248"</f>
        <v>4601992022248</v>
      </c>
      <c r="B1625" s="1" t="s">
        <v>1649</v>
      </c>
      <c r="C1625" s="1" t="s">
        <v>24</v>
      </c>
      <c r="D1625" s="1" t="str">
        <f t="shared" si="3188"/>
        <v>2021</v>
      </c>
      <c r="E1625" s="1" t="str">
        <f>"443.26"</f>
        <v>443.26</v>
      </c>
      <c r="F1625" s="1" t="str">
        <f t="shared" ref="F1625:I1625" si="3237">"0"</f>
        <v>0</v>
      </c>
      <c r="G1625" s="1" t="str">
        <f t="shared" si="3237"/>
        <v>0</v>
      </c>
      <c r="H1625" s="1" t="str">
        <f t="shared" si="3237"/>
        <v>0</v>
      </c>
      <c r="I1625" s="1" t="str">
        <f t="shared" si="3237"/>
        <v>0</v>
      </c>
      <c r="J1625" s="1" t="str">
        <f>"38"</f>
        <v>38</v>
      </c>
      <c r="K1625" s="1" t="str">
        <f t="shared" ref="K1625:P1625" si="3238">"0"</f>
        <v>0</v>
      </c>
      <c r="L1625" s="1" t="str">
        <f t="shared" si="3238"/>
        <v>0</v>
      </c>
      <c r="M1625" s="1" t="str">
        <f t="shared" si="3238"/>
        <v>0</v>
      </c>
      <c r="N1625" s="1" t="str">
        <f t="shared" si="3238"/>
        <v>0</v>
      </c>
      <c r="O1625" s="1" t="str">
        <f t="shared" si="3238"/>
        <v>0</v>
      </c>
      <c r="P1625" s="1" t="str">
        <f t="shared" si="3238"/>
        <v>0</v>
      </c>
      <c r="Q1625" s="1" t="str">
        <f t="shared" si="3191"/>
        <v>0.0070</v>
      </c>
      <c r="R1625" s="1" t="s">
        <v>29</v>
      </c>
      <c r="S1625" s="1">
        <v>-0.0014</v>
      </c>
      <c r="T1625" s="1" t="str">
        <f t="shared" si="3192"/>
        <v>0</v>
      </c>
      <c r="U1625" s="1" t="str">
        <f t="shared" si="3232"/>
        <v>0.0056</v>
      </c>
    </row>
    <row r="1626" s="1" customFormat="1" spans="1:21">
      <c r="A1626" s="1" t="str">
        <f>"4601992022265"</f>
        <v>4601992022265</v>
      </c>
      <c r="B1626" s="1" t="s">
        <v>1650</v>
      </c>
      <c r="C1626" s="1" t="s">
        <v>24</v>
      </c>
      <c r="D1626" s="1" t="str">
        <f t="shared" si="3188"/>
        <v>2021</v>
      </c>
      <c r="E1626" s="1" t="str">
        <f>"72.59"</f>
        <v>72.59</v>
      </c>
      <c r="F1626" s="1" t="str">
        <f t="shared" ref="F1626:I1626" si="3239">"0"</f>
        <v>0</v>
      </c>
      <c r="G1626" s="1" t="str">
        <f t="shared" si="3239"/>
        <v>0</v>
      </c>
      <c r="H1626" s="1" t="str">
        <f t="shared" si="3239"/>
        <v>0</v>
      </c>
      <c r="I1626" s="1" t="str">
        <f t="shared" si="3239"/>
        <v>0</v>
      </c>
      <c r="J1626" s="1" t="str">
        <f>"8"</f>
        <v>8</v>
      </c>
      <c r="K1626" s="1" t="str">
        <f t="shared" ref="K1626:P1626" si="3240">"0"</f>
        <v>0</v>
      </c>
      <c r="L1626" s="1" t="str">
        <f t="shared" si="3240"/>
        <v>0</v>
      </c>
      <c r="M1626" s="1" t="str">
        <f t="shared" si="3240"/>
        <v>0</v>
      </c>
      <c r="N1626" s="1" t="str">
        <f t="shared" si="3240"/>
        <v>0</v>
      </c>
      <c r="O1626" s="1" t="str">
        <f t="shared" si="3240"/>
        <v>0</v>
      </c>
      <c r="P1626" s="1" t="str">
        <f t="shared" si="3240"/>
        <v>0</v>
      </c>
      <c r="Q1626" s="1" t="str">
        <f t="shared" si="3191"/>
        <v>0.0070</v>
      </c>
      <c r="R1626" s="1" t="s">
        <v>29</v>
      </c>
      <c r="S1626" s="1">
        <v>-0.0014</v>
      </c>
      <c r="T1626" s="1" t="str">
        <f t="shared" si="3192"/>
        <v>0</v>
      </c>
      <c r="U1626" s="1" t="str">
        <f t="shared" si="3232"/>
        <v>0.0056</v>
      </c>
    </row>
    <row r="1627" s="1" customFormat="1" spans="1:21">
      <c r="A1627" s="1" t="str">
        <f>"4601992022278"</f>
        <v>4601992022278</v>
      </c>
      <c r="B1627" s="1" t="s">
        <v>1651</v>
      </c>
      <c r="C1627" s="1" t="s">
        <v>24</v>
      </c>
      <c r="D1627" s="1" t="str">
        <f t="shared" si="3188"/>
        <v>2021</v>
      </c>
      <c r="E1627" s="1" t="str">
        <f>"12.25"</f>
        <v>12.25</v>
      </c>
      <c r="F1627" s="1" t="str">
        <f t="shared" ref="F1627:I1627" si="3241">"0"</f>
        <v>0</v>
      </c>
      <c r="G1627" s="1" t="str">
        <f t="shared" si="3241"/>
        <v>0</v>
      </c>
      <c r="H1627" s="1" t="str">
        <f t="shared" si="3241"/>
        <v>0</v>
      </c>
      <c r="I1627" s="1" t="str">
        <f t="shared" si="3241"/>
        <v>0</v>
      </c>
      <c r="J1627" s="1" t="str">
        <f t="shared" ref="J1627:J1632" si="3242">"2"</f>
        <v>2</v>
      </c>
      <c r="K1627" s="1" t="str">
        <f t="shared" ref="K1627:P1627" si="3243">"0"</f>
        <v>0</v>
      </c>
      <c r="L1627" s="1" t="str">
        <f t="shared" si="3243"/>
        <v>0</v>
      </c>
      <c r="M1627" s="1" t="str">
        <f t="shared" si="3243"/>
        <v>0</v>
      </c>
      <c r="N1627" s="1" t="str">
        <f t="shared" si="3243"/>
        <v>0</v>
      </c>
      <c r="O1627" s="1" t="str">
        <f t="shared" si="3243"/>
        <v>0</v>
      </c>
      <c r="P1627" s="1" t="str">
        <f t="shared" si="3243"/>
        <v>0</v>
      </c>
      <c r="Q1627" s="1" t="str">
        <f t="shared" si="3191"/>
        <v>0.0070</v>
      </c>
      <c r="R1627" s="1" t="s">
        <v>29</v>
      </c>
      <c r="S1627" s="1">
        <v>-0.0014</v>
      </c>
      <c r="T1627" s="1" t="str">
        <f t="shared" si="3192"/>
        <v>0</v>
      </c>
      <c r="U1627" s="1" t="str">
        <f t="shared" si="3232"/>
        <v>0.0056</v>
      </c>
    </row>
    <row r="1628" s="1" customFormat="1" spans="1:21">
      <c r="A1628" s="1" t="str">
        <f>"4601992022325"</f>
        <v>4601992022325</v>
      </c>
      <c r="B1628" s="1" t="s">
        <v>1652</v>
      </c>
      <c r="C1628" s="1" t="s">
        <v>24</v>
      </c>
      <c r="D1628" s="1" t="str">
        <f t="shared" si="3188"/>
        <v>2021</v>
      </c>
      <c r="E1628" s="1" t="str">
        <f t="shared" ref="E1628:P1628" si="3244">"0"</f>
        <v>0</v>
      </c>
      <c r="F1628" s="1" t="str">
        <f t="shared" si="3244"/>
        <v>0</v>
      </c>
      <c r="G1628" s="1" t="str">
        <f t="shared" si="3244"/>
        <v>0</v>
      </c>
      <c r="H1628" s="1" t="str">
        <f t="shared" si="3244"/>
        <v>0</v>
      </c>
      <c r="I1628" s="1" t="str">
        <f t="shared" si="3244"/>
        <v>0</v>
      </c>
      <c r="J1628" s="1" t="str">
        <f t="shared" si="3244"/>
        <v>0</v>
      </c>
      <c r="K1628" s="1" t="str">
        <f t="shared" si="3244"/>
        <v>0</v>
      </c>
      <c r="L1628" s="1" t="str">
        <f t="shared" si="3244"/>
        <v>0</v>
      </c>
      <c r="M1628" s="1" t="str">
        <f t="shared" si="3244"/>
        <v>0</v>
      </c>
      <c r="N1628" s="1" t="str">
        <f t="shared" si="3244"/>
        <v>0</v>
      </c>
      <c r="O1628" s="1" t="str">
        <f t="shared" si="3244"/>
        <v>0</v>
      </c>
      <c r="P1628" s="1" t="str">
        <f t="shared" si="3244"/>
        <v>0</v>
      </c>
      <c r="Q1628" s="1" t="str">
        <f t="shared" si="3191"/>
        <v>0.0070</v>
      </c>
      <c r="R1628" s="1" t="s">
        <v>25</v>
      </c>
      <c r="T1628" s="1" t="str">
        <f t="shared" si="3192"/>
        <v>0</v>
      </c>
      <c r="U1628" s="1" t="str">
        <f>"0.0070"</f>
        <v>0.0070</v>
      </c>
    </row>
    <row r="1629" s="1" customFormat="1" spans="1:21">
      <c r="A1629" s="1" t="str">
        <f>"4601992022298"</f>
        <v>4601992022298</v>
      </c>
      <c r="B1629" s="1" t="s">
        <v>1653</v>
      </c>
      <c r="C1629" s="1" t="s">
        <v>24</v>
      </c>
      <c r="D1629" s="1" t="str">
        <f t="shared" si="3188"/>
        <v>2021</v>
      </c>
      <c r="E1629" s="1" t="str">
        <f>"24.18"</f>
        <v>24.18</v>
      </c>
      <c r="F1629" s="1" t="str">
        <f t="shared" ref="F1629:I1629" si="3245">"0"</f>
        <v>0</v>
      </c>
      <c r="G1629" s="1" t="str">
        <f t="shared" si="3245"/>
        <v>0</v>
      </c>
      <c r="H1629" s="1" t="str">
        <f t="shared" si="3245"/>
        <v>0</v>
      </c>
      <c r="I1629" s="1" t="str">
        <f t="shared" si="3245"/>
        <v>0</v>
      </c>
      <c r="J1629" s="1" t="str">
        <f t="shared" si="3242"/>
        <v>2</v>
      </c>
      <c r="K1629" s="1" t="str">
        <f t="shared" ref="K1629:P1629" si="3246">"0"</f>
        <v>0</v>
      </c>
      <c r="L1629" s="1" t="str">
        <f t="shared" si="3246"/>
        <v>0</v>
      </c>
      <c r="M1629" s="1" t="str">
        <f t="shared" si="3246"/>
        <v>0</v>
      </c>
      <c r="N1629" s="1" t="str">
        <f t="shared" si="3246"/>
        <v>0</v>
      </c>
      <c r="O1629" s="1" t="str">
        <f t="shared" si="3246"/>
        <v>0</v>
      </c>
      <c r="P1629" s="1" t="str">
        <f t="shared" si="3246"/>
        <v>0</v>
      </c>
      <c r="Q1629" s="1" t="str">
        <f t="shared" si="3191"/>
        <v>0.0070</v>
      </c>
      <c r="R1629" s="1" t="s">
        <v>29</v>
      </c>
      <c r="S1629" s="1">
        <v>-0.0014</v>
      </c>
      <c r="T1629" s="1" t="str">
        <f t="shared" si="3192"/>
        <v>0</v>
      </c>
      <c r="U1629" s="1" t="str">
        <f t="shared" ref="U1629:U1642" si="3247">"0.0056"</f>
        <v>0.0056</v>
      </c>
    </row>
    <row r="1630" s="1" customFormat="1" spans="1:21">
      <c r="A1630" s="1" t="str">
        <f>"4601992022349"</f>
        <v>4601992022349</v>
      </c>
      <c r="B1630" s="1" t="s">
        <v>1654</v>
      </c>
      <c r="C1630" s="1" t="s">
        <v>24</v>
      </c>
      <c r="D1630" s="1" t="str">
        <f t="shared" si="3188"/>
        <v>2021</v>
      </c>
      <c r="E1630" s="1" t="str">
        <f>"36.27"</f>
        <v>36.27</v>
      </c>
      <c r="F1630" s="1" t="str">
        <f t="shared" ref="F1630:I1630" si="3248">"0"</f>
        <v>0</v>
      </c>
      <c r="G1630" s="1" t="str">
        <f t="shared" si="3248"/>
        <v>0</v>
      </c>
      <c r="H1630" s="1" t="str">
        <f t="shared" si="3248"/>
        <v>0</v>
      </c>
      <c r="I1630" s="1" t="str">
        <f t="shared" si="3248"/>
        <v>0</v>
      </c>
      <c r="J1630" s="1" t="str">
        <f>"3"</f>
        <v>3</v>
      </c>
      <c r="K1630" s="1" t="str">
        <f t="shared" ref="K1630:P1630" si="3249">"0"</f>
        <v>0</v>
      </c>
      <c r="L1630" s="1" t="str">
        <f t="shared" si="3249"/>
        <v>0</v>
      </c>
      <c r="M1630" s="1" t="str">
        <f t="shared" si="3249"/>
        <v>0</v>
      </c>
      <c r="N1630" s="1" t="str">
        <f t="shared" si="3249"/>
        <v>0</v>
      </c>
      <c r="O1630" s="1" t="str">
        <f t="shared" si="3249"/>
        <v>0</v>
      </c>
      <c r="P1630" s="1" t="str">
        <f t="shared" si="3249"/>
        <v>0</v>
      </c>
      <c r="Q1630" s="1" t="str">
        <f t="shared" si="3191"/>
        <v>0.0070</v>
      </c>
      <c r="R1630" s="1" t="s">
        <v>29</v>
      </c>
      <c r="S1630" s="1">
        <v>-0.0014</v>
      </c>
      <c r="T1630" s="1" t="str">
        <f t="shared" si="3192"/>
        <v>0</v>
      </c>
      <c r="U1630" s="1" t="str">
        <f t="shared" si="3247"/>
        <v>0.0056</v>
      </c>
    </row>
    <row r="1631" s="1" customFormat="1" spans="1:21">
      <c r="A1631" s="1" t="str">
        <f>"4601992022446"</f>
        <v>4601992022446</v>
      </c>
      <c r="B1631" s="1" t="s">
        <v>1655</v>
      </c>
      <c r="C1631" s="1" t="s">
        <v>24</v>
      </c>
      <c r="D1631" s="1" t="str">
        <f t="shared" si="3188"/>
        <v>2021</v>
      </c>
      <c r="E1631" s="1" t="str">
        <f>"60.12"</f>
        <v>60.12</v>
      </c>
      <c r="F1631" s="1" t="str">
        <f t="shared" ref="F1631:I1631" si="3250">"0"</f>
        <v>0</v>
      </c>
      <c r="G1631" s="1" t="str">
        <f t="shared" si="3250"/>
        <v>0</v>
      </c>
      <c r="H1631" s="1" t="str">
        <f t="shared" si="3250"/>
        <v>0</v>
      </c>
      <c r="I1631" s="1" t="str">
        <f t="shared" si="3250"/>
        <v>0</v>
      </c>
      <c r="J1631" s="1" t="str">
        <f>"7"</f>
        <v>7</v>
      </c>
      <c r="K1631" s="1" t="str">
        <f t="shared" ref="K1631:P1631" si="3251">"0"</f>
        <v>0</v>
      </c>
      <c r="L1631" s="1" t="str">
        <f t="shared" si="3251"/>
        <v>0</v>
      </c>
      <c r="M1631" s="1" t="str">
        <f t="shared" si="3251"/>
        <v>0</v>
      </c>
      <c r="N1631" s="1" t="str">
        <f t="shared" si="3251"/>
        <v>0</v>
      </c>
      <c r="O1631" s="1" t="str">
        <f t="shared" si="3251"/>
        <v>0</v>
      </c>
      <c r="P1631" s="1" t="str">
        <f t="shared" si="3251"/>
        <v>0</v>
      </c>
      <c r="Q1631" s="1" t="str">
        <f t="shared" si="3191"/>
        <v>0.0070</v>
      </c>
      <c r="R1631" s="1" t="s">
        <v>29</v>
      </c>
      <c r="S1631" s="1">
        <v>-0.0014</v>
      </c>
      <c r="T1631" s="1" t="str">
        <f t="shared" si="3192"/>
        <v>0</v>
      </c>
      <c r="U1631" s="1" t="str">
        <f t="shared" si="3247"/>
        <v>0.0056</v>
      </c>
    </row>
    <row r="1632" s="1" customFormat="1" spans="1:21">
      <c r="A1632" s="1" t="str">
        <f>"4601992022474"</f>
        <v>4601992022474</v>
      </c>
      <c r="B1632" s="1" t="s">
        <v>1656</v>
      </c>
      <c r="C1632" s="1" t="s">
        <v>24</v>
      </c>
      <c r="D1632" s="1" t="str">
        <f t="shared" si="3188"/>
        <v>2021</v>
      </c>
      <c r="E1632" s="1" t="str">
        <f>"24.18"</f>
        <v>24.18</v>
      </c>
      <c r="F1632" s="1" t="str">
        <f t="shared" ref="F1632:I1632" si="3252">"0"</f>
        <v>0</v>
      </c>
      <c r="G1632" s="1" t="str">
        <f t="shared" si="3252"/>
        <v>0</v>
      </c>
      <c r="H1632" s="1" t="str">
        <f t="shared" si="3252"/>
        <v>0</v>
      </c>
      <c r="I1632" s="1" t="str">
        <f t="shared" si="3252"/>
        <v>0</v>
      </c>
      <c r="J1632" s="1" t="str">
        <f t="shared" si="3242"/>
        <v>2</v>
      </c>
      <c r="K1632" s="1" t="str">
        <f t="shared" ref="K1632:P1632" si="3253">"0"</f>
        <v>0</v>
      </c>
      <c r="L1632" s="1" t="str">
        <f t="shared" si="3253"/>
        <v>0</v>
      </c>
      <c r="M1632" s="1" t="str">
        <f t="shared" si="3253"/>
        <v>0</v>
      </c>
      <c r="N1632" s="1" t="str">
        <f t="shared" si="3253"/>
        <v>0</v>
      </c>
      <c r="O1632" s="1" t="str">
        <f t="shared" si="3253"/>
        <v>0</v>
      </c>
      <c r="P1632" s="1" t="str">
        <f t="shared" si="3253"/>
        <v>0</v>
      </c>
      <c r="Q1632" s="1" t="str">
        <f t="shared" si="3191"/>
        <v>0.0070</v>
      </c>
      <c r="R1632" s="1" t="s">
        <v>29</v>
      </c>
      <c r="S1632" s="1">
        <v>-0.0014</v>
      </c>
      <c r="T1632" s="1" t="str">
        <f t="shared" si="3192"/>
        <v>0</v>
      </c>
      <c r="U1632" s="1" t="str">
        <f t="shared" si="3247"/>
        <v>0.0056</v>
      </c>
    </row>
    <row r="1633" s="1" customFormat="1" spans="1:21">
      <c r="A1633" s="1" t="str">
        <f>"4601992022501"</f>
        <v>4601992022501</v>
      </c>
      <c r="B1633" s="1" t="s">
        <v>1657</v>
      </c>
      <c r="C1633" s="1" t="s">
        <v>24</v>
      </c>
      <c r="D1633" s="1" t="str">
        <f t="shared" si="3188"/>
        <v>2021</v>
      </c>
      <c r="E1633" s="1" t="str">
        <f>"29.59"</f>
        <v>29.59</v>
      </c>
      <c r="F1633" s="1" t="str">
        <f t="shared" ref="F1633:I1633" si="3254">"0"</f>
        <v>0</v>
      </c>
      <c r="G1633" s="1" t="str">
        <f t="shared" si="3254"/>
        <v>0</v>
      </c>
      <c r="H1633" s="1" t="str">
        <f t="shared" si="3254"/>
        <v>0</v>
      </c>
      <c r="I1633" s="1" t="str">
        <f t="shared" si="3254"/>
        <v>0</v>
      </c>
      <c r="J1633" s="1" t="str">
        <f>"4"</f>
        <v>4</v>
      </c>
      <c r="K1633" s="1" t="str">
        <f t="shared" ref="K1633:P1633" si="3255">"0"</f>
        <v>0</v>
      </c>
      <c r="L1633" s="1" t="str">
        <f t="shared" si="3255"/>
        <v>0</v>
      </c>
      <c r="M1633" s="1" t="str">
        <f t="shared" si="3255"/>
        <v>0</v>
      </c>
      <c r="N1633" s="1" t="str">
        <f t="shared" si="3255"/>
        <v>0</v>
      </c>
      <c r="O1633" s="1" t="str">
        <f t="shared" si="3255"/>
        <v>0</v>
      </c>
      <c r="P1633" s="1" t="str">
        <f t="shared" si="3255"/>
        <v>0</v>
      </c>
      <c r="Q1633" s="1" t="str">
        <f t="shared" si="3191"/>
        <v>0.0070</v>
      </c>
      <c r="R1633" s="1" t="s">
        <v>29</v>
      </c>
      <c r="S1633" s="1">
        <v>-0.0014</v>
      </c>
      <c r="T1633" s="1" t="str">
        <f t="shared" si="3192"/>
        <v>0</v>
      </c>
      <c r="U1633" s="1" t="str">
        <f t="shared" si="3247"/>
        <v>0.0056</v>
      </c>
    </row>
    <row r="1634" s="1" customFormat="1" spans="1:21">
      <c r="A1634" s="1" t="str">
        <f>"4601992022505"</f>
        <v>4601992022505</v>
      </c>
      <c r="B1634" s="1" t="s">
        <v>1658</v>
      </c>
      <c r="C1634" s="1" t="s">
        <v>24</v>
      </c>
      <c r="D1634" s="1" t="str">
        <f t="shared" si="3188"/>
        <v>2021</v>
      </c>
      <c r="E1634" s="1" t="str">
        <f>"46.98"</f>
        <v>46.98</v>
      </c>
      <c r="F1634" s="1" t="str">
        <f t="shared" ref="F1634:I1634" si="3256">"0"</f>
        <v>0</v>
      </c>
      <c r="G1634" s="1" t="str">
        <f t="shared" si="3256"/>
        <v>0</v>
      </c>
      <c r="H1634" s="1" t="str">
        <f t="shared" si="3256"/>
        <v>0</v>
      </c>
      <c r="I1634" s="1" t="str">
        <f t="shared" si="3256"/>
        <v>0</v>
      </c>
      <c r="J1634" s="1" t="str">
        <f t="shared" ref="J1634:J1638" si="3257">"2"</f>
        <v>2</v>
      </c>
      <c r="K1634" s="1" t="str">
        <f t="shared" ref="K1634:P1634" si="3258">"0"</f>
        <v>0</v>
      </c>
      <c r="L1634" s="1" t="str">
        <f t="shared" si="3258"/>
        <v>0</v>
      </c>
      <c r="M1634" s="1" t="str">
        <f t="shared" si="3258"/>
        <v>0</v>
      </c>
      <c r="N1634" s="1" t="str">
        <f t="shared" si="3258"/>
        <v>0</v>
      </c>
      <c r="O1634" s="1" t="str">
        <f t="shared" si="3258"/>
        <v>0</v>
      </c>
      <c r="P1634" s="1" t="str">
        <f t="shared" si="3258"/>
        <v>0</v>
      </c>
      <c r="Q1634" s="1" t="str">
        <f t="shared" si="3191"/>
        <v>0.0070</v>
      </c>
      <c r="R1634" s="1" t="s">
        <v>29</v>
      </c>
      <c r="S1634" s="1">
        <v>-0.0014</v>
      </c>
      <c r="T1634" s="1" t="str">
        <f t="shared" si="3192"/>
        <v>0</v>
      </c>
      <c r="U1634" s="1" t="str">
        <f t="shared" si="3247"/>
        <v>0.0056</v>
      </c>
    </row>
    <row r="1635" s="1" customFormat="1" spans="1:21">
      <c r="A1635" s="1" t="str">
        <f>"4601992022518"</f>
        <v>4601992022518</v>
      </c>
      <c r="B1635" s="1" t="s">
        <v>1659</v>
      </c>
      <c r="C1635" s="1" t="s">
        <v>24</v>
      </c>
      <c r="D1635" s="1" t="str">
        <f t="shared" si="3188"/>
        <v>2021</v>
      </c>
      <c r="E1635" s="1" t="str">
        <f>"24.18"</f>
        <v>24.18</v>
      </c>
      <c r="F1635" s="1" t="str">
        <f t="shared" ref="F1635:I1635" si="3259">"0"</f>
        <v>0</v>
      </c>
      <c r="G1635" s="1" t="str">
        <f t="shared" si="3259"/>
        <v>0</v>
      </c>
      <c r="H1635" s="1" t="str">
        <f t="shared" si="3259"/>
        <v>0</v>
      </c>
      <c r="I1635" s="1" t="str">
        <f t="shared" si="3259"/>
        <v>0</v>
      </c>
      <c r="J1635" s="1" t="str">
        <f>"3"</f>
        <v>3</v>
      </c>
      <c r="K1635" s="1" t="str">
        <f t="shared" ref="K1635:P1635" si="3260">"0"</f>
        <v>0</v>
      </c>
      <c r="L1635" s="1" t="str">
        <f t="shared" si="3260"/>
        <v>0</v>
      </c>
      <c r="M1635" s="1" t="str">
        <f t="shared" si="3260"/>
        <v>0</v>
      </c>
      <c r="N1635" s="1" t="str">
        <f t="shared" si="3260"/>
        <v>0</v>
      </c>
      <c r="O1635" s="1" t="str">
        <f t="shared" si="3260"/>
        <v>0</v>
      </c>
      <c r="P1635" s="1" t="str">
        <f t="shared" si="3260"/>
        <v>0</v>
      </c>
      <c r="Q1635" s="1" t="str">
        <f t="shared" si="3191"/>
        <v>0.0070</v>
      </c>
      <c r="R1635" s="1" t="s">
        <v>29</v>
      </c>
      <c r="S1635" s="1">
        <v>-0.0014</v>
      </c>
      <c r="T1635" s="1" t="str">
        <f t="shared" si="3192"/>
        <v>0</v>
      </c>
      <c r="U1635" s="1" t="str">
        <f t="shared" si="3247"/>
        <v>0.0056</v>
      </c>
    </row>
    <row r="1636" s="1" customFormat="1" spans="1:21">
      <c r="A1636" s="1" t="str">
        <f>"4601992022532"</f>
        <v>4601992022532</v>
      </c>
      <c r="B1636" s="1" t="s">
        <v>1660</v>
      </c>
      <c r="C1636" s="1" t="s">
        <v>24</v>
      </c>
      <c r="D1636" s="1" t="str">
        <f t="shared" si="3188"/>
        <v>2021</v>
      </c>
      <c r="E1636" s="1" t="str">
        <f>"36.27"</f>
        <v>36.27</v>
      </c>
      <c r="F1636" s="1" t="str">
        <f t="shared" ref="F1636:I1636" si="3261">"0"</f>
        <v>0</v>
      </c>
      <c r="G1636" s="1" t="str">
        <f t="shared" si="3261"/>
        <v>0</v>
      </c>
      <c r="H1636" s="1" t="str">
        <f t="shared" si="3261"/>
        <v>0</v>
      </c>
      <c r="I1636" s="1" t="str">
        <f t="shared" si="3261"/>
        <v>0</v>
      </c>
      <c r="J1636" s="1" t="str">
        <f t="shared" si="3257"/>
        <v>2</v>
      </c>
      <c r="K1636" s="1" t="str">
        <f t="shared" ref="K1636:P1636" si="3262">"0"</f>
        <v>0</v>
      </c>
      <c r="L1636" s="1" t="str">
        <f t="shared" si="3262"/>
        <v>0</v>
      </c>
      <c r="M1636" s="1" t="str">
        <f t="shared" si="3262"/>
        <v>0</v>
      </c>
      <c r="N1636" s="1" t="str">
        <f t="shared" si="3262"/>
        <v>0</v>
      </c>
      <c r="O1636" s="1" t="str">
        <f t="shared" si="3262"/>
        <v>0</v>
      </c>
      <c r="P1636" s="1" t="str">
        <f t="shared" si="3262"/>
        <v>0</v>
      </c>
      <c r="Q1636" s="1" t="str">
        <f t="shared" si="3191"/>
        <v>0.0070</v>
      </c>
      <c r="R1636" s="1" t="s">
        <v>29</v>
      </c>
      <c r="S1636" s="1">
        <v>-0.0014</v>
      </c>
      <c r="T1636" s="1" t="str">
        <f t="shared" si="3192"/>
        <v>0</v>
      </c>
      <c r="U1636" s="1" t="str">
        <f t="shared" si="3247"/>
        <v>0.0056</v>
      </c>
    </row>
    <row r="1637" s="1" customFormat="1" spans="1:21">
      <c r="A1637" s="1" t="str">
        <f>"4601992022547"</f>
        <v>4601992022547</v>
      </c>
      <c r="B1637" s="1" t="s">
        <v>1661</v>
      </c>
      <c r="C1637" s="1" t="s">
        <v>24</v>
      </c>
      <c r="D1637" s="1" t="str">
        <f t="shared" si="3188"/>
        <v>2021</v>
      </c>
      <c r="E1637" s="1" t="str">
        <f>"132.99"</f>
        <v>132.99</v>
      </c>
      <c r="F1637" s="1" t="str">
        <f t="shared" ref="F1637:I1637" si="3263">"0"</f>
        <v>0</v>
      </c>
      <c r="G1637" s="1" t="str">
        <f t="shared" si="3263"/>
        <v>0</v>
      </c>
      <c r="H1637" s="1" t="str">
        <f t="shared" si="3263"/>
        <v>0</v>
      </c>
      <c r="I1637" s="1" t="str">
        <f t="shared" si="3263"/>
        <v>0</v>
      </c>
      <c r="J1637" s="1" t="str">
        <f>"12"</f>
        <v>12</v>
      </c>
      <c r="K1637" s="1" t="str">
        <f t="shared" ref="K1637:P1637" si="3264">"0"</f>
        <v>0</v>
      </c>
      <c r="L1637" s="1" t="str">
        <f t="shared" si="3264"/>
        <v>0</v>
      </c>
      <c r="M1637" s="1" t="str">
        <f t="shared" si="3264"/>
        <v>0</v>
      </c>
      <c r="N1637" s="1" t="str">
        <f t="shared" si="3264"/>
        <v>0</v>
      </c>
      <c r="O1637" s="1" t="str">
        <f t="shared" si="3264"/>
        <v>0</v>
      </c>
      <c r="P1637" s="1" t="str">
        <f t="shared" si="3264"/>
        <v>0</v>
      </c>
      <c r="Q1637" s="1" t="str">
        <f t="shared" si="3191"/>
        <v>0.0070</v>
      </c>
      <c r="R1637" s="1" t="s">
        <v>29</v>
      </c>
      <c r="S1637" s="1">
        <v>-0.0014</v>
      </c>
      <c r="T1637" s="1" t="str">
        <f t="shared" si="3192"/>
        <v>0</v>
      </c>
      <c r="U1637" s="1" t="str">
        <f t="shared" si="3247"/>
        <v>0.0056</v>
      </c>
    </row>
    <row r="1638" s="1" customFormat="1" spans="1:21">
      <c r="A1638" s="1" t="str">
        <f>"4601992022628"</f>
        <v>4601992022628</v>
      </c>
      <c r="B1638" s="1" t="s">
        <v>1662</v>
      </c>
      <c r="C1638" s="1" t="s">
        <v>24</v>
      </c>
      <c r="D1638" s="1" t="str">
        <f t="shared" si="3188"/>
        <v>2021</v>
      </c>
      <c r="E1638" s="1" t="str">
        <f t="shared" ref="E1638:E1642" si="3265">"12.09"</f>
        <v>12.09</v>
      </c>
      <c r="F1638" s="1" t="str">
        <f t="shared" ref="F1638:I1638" si="3266">"0"</f>
        <v>0</v>
      </c>
      <c r="G1638" s="1" t="str">
        <f t="shared" si="3266"/>
        <v>0</v>
      </c>
      <c r="H1638" s="1" t="str">
        <f t="shared" si="3266"/>
        <v>0</v>
      </c>
      <c r="I1638" s="1" t="str">
        <f t="shared" si="3266"/>
        <v>0</v>
      </c>
      <c r="J1638" s="1" t="str">
        <f t="shared" si="3257"/>
        <v>2</v>
      </c>
      <c r="K1638" s="1" t="str">
        <f t="shared" ref="K1638:P1638" si="3267">"0"</f>
        <v>0</v>
      </c>
      <c r="L1638" s="1" t="str">
        <f t="shared" si="3267"/>
        <v>0</v>
      </c>
      <c r="M1638" s="1" t="str">
        <f t="shared" si="3267"/>
        <v>0</v>
      </c>
      <c r="N1638" s="1" t="str">
        <f t="shared" si="3267"/>
        <v>0</v>
      </c>
      <c r="O1638" s="1" t="str">
        <f t="shared" si="3267"/>
        <v>0</v>
      </c>
      <c r="P1638" s="1" t="str">
        <f t="shared" si="3267"/>
        <v>0</v>
      </c>
      <c r="Q1638" s="1" t="str">
        <f t="shared" si="3191"/>
        <v>0.0070</v>
      </c>
      <c r="R1638" s="1" t="s">
        <v>29</v>
      </c>
      <c r="S1638" s="1">
        <v>-0.0014</v>
      </c>
      <c r="T1638" s="1" t="str">
        <f t="shared" si="3192"/>
        <v>0</v>
      </c>
      <c r="U1638" s="1" t="str">
        <f t="shared" si="3247"/>
        <v>0.0056</v>
      </c>
    </row>
    <row r="1639" s="1" customFormat="1" spans="1:21">
      <c r="A1639" s="1" t="str">
        <f>"4601992022593"</f>
        <v>4601992022593</v>
      </c>
      <c r="B1639" s="1" t="s">
        <v>1663</v>
      </c>
      <c r="C1639" s="1" t="s">
        <v>24</v>
      </c>
      <c r="D1639" s="1" t="str">
        <f t="shared" si="3188"/>
        <v>2021</v>
      </c>
      <c r="E1639" s="1" t="str">
        <f t="shared" si="3265"/>
        <v>12.09</v>
      </c>
      <c r="F1639" s="1" t="str">
        <f t="shared" ref="F1639:I1639" si="3268">"0"</f>
        <v>0</v>
      </c>
      <c r="G1639" s="1" t="str">
        <f t="shared" si="3268"/>
        <v>0</v>
      </c>
      <c r="H1639" s="1" t="str">
        <f t="shared" si="3268"/>
        <v>0</v>
      </c>
      <c r="I1639" s="1" t="str">
        <f t="shared" si="3268"/>
        <v>0</v>
      </c>
      <c r="J1639" s="1" t="str">
        <f t="shared" ref="J1639:J1642" si="3269">"1"</f>
        <v>1</v>
      </c>
      <c r="K1639" s="1" t="str">
        <f t="shared" ref="K1639:P1639" si="3270">"0"</f>
        <v>0</v>
      </c>
      <c r="L1639" s="1" t="str">
        <f t="shared" si="3270"/>
        <v>0</v>
      </c>
      <c r="M1639" s="1" t="str">
        <f t="shared" si="3270"/>
        <v>0</v>
      </c>
      <c r="N1639" s="1" t="str">
        <f t="shared" si="3270"/>
        <v>0</v>
      </c>
      <c r="O1639" s="1" t="str">
        <f t="shared" si="3270"/>
        <v>0</v>
      </c>
      <c r="P1639" s="1" t="str">
        <f t="shared" si="3270"/>
        <v>0</v>
      </c>
      <c r="Q1639" s="1" t="str">
        <f t="shared" si="3191"/>
        <v>0.0070</v>
      </c>
      <c r="R1639" s="1" t="s">
        <v>29</v>
      </c>
      <c r="S1639" s="1">
        <v>-0.0014</v>
      </c>
      <c r="T1639" s="1" t="str">
        <f t="shared" si="3192"/>
        <v>0</v>
      </c>
      <c r="U1639" s="1" t="str">
        <f t="shared" si="3247"/>
        <v>0.0056</v>
      </c>
    </row>
    <row r="1640" s="1" customFormat="1" spans="1:21">
      <c r="A1640" s="1" t="str">
        <f>"4601992022753"</f>
        <v>4601992022753</v>
      </c>
      <c r="B1640" s="1" t="s">
        <v>1664</v>
      </c>
      <c r="C1640" s="1" t="s">
        <v>24</v>
      </c>
      <c r="D1640" s="1" t="str">
        <f t="shared" si="3188"/>
        <v>2021</v>
      </c>
      <c r="E1640" s="1" t="str">
        <f>"84.63"</f>
        <v>84.63</v>
      </c>
      <c r="F1640" s="1" t="str">
        <f t="shared" ref="F1640:I1640" si="3271">"0"</f>
        <v>0</v>
      </c>
      <c r="G1640" s="1" t="str">
        <f t="shared" si="3271"/>
        <v>0</v>
      </c>
      <c r="H1640" s="1" t="str">
        <f t="shared" si="3271"/>
        <v>0</v>
      </c>
      <c r="I1640" s="1" t="str">
        <f t="shared" si="3271"/>
        <v>0</v>
      </c>
      <c r="J1640" s="1" t="str">
        <f>"7"</f>
        <v>7</v>
      </c>
      <c r="K1640" s="1" t="str">
        <f t="shared" ref="K1640:P1640" si="3272">"0"</f>
        <v>0</v>
      </c>
      <c r="L1640" s="1" t="str">
        <f t="shared" si="3272"/>
        <v>0</v>
      </c>
      <c r="M1640" s="1" t="str">
        <f t="shared" si="3272"/>
        <v>0</v>
      </c>
      <c r="N1640" s="1" t="str">
        <f t="shared" si="3272"/>
        <v>0</v>
      </c>
      <c r="O1640" s="1" t="str">
        <f t="shared" si="3272"/>
        <v>0</v>
      </c>
      <c r="P1640" s="1" t="str">
        <f t="shared" si="3272"/>
        <v>0</v>
      </c>
      <c r="Q1640" s="1" t="str">
        <f t="shared" si="3191"/>
        <v>0.0070</v>
      </c>
      <c r="R1640" s="1" t="s">
        <v>29</v>
      </c>
      <c r="S1640" s="1">
        <v>-0.0014</v>
      </c>
      <c r="T1640" s="1" t="str">
        <f t="shared" si="3192"/>
        <v>0</v>
      </c>
      <c r="U1640" s="1" t="str">
        <f t="shared" si="3247"/>
        <v>0.0056</v>
      </c>
    </row>
    <row r="1641" s="1" customFormat="1" spans="1:21">
      <c r="A1641" s="1" t="str">
        <f>"4601992022766"</f>
        <v>4601992022766</v>
      </c>
      <c r="B1641" s="1" t="s">
        <v>1665</v>
      </c>
      <c r="C1641" s="1" t="s">
        <v>24</v>
      </c>
      <c r="D1641" s="1" t="str">
        <f t="shared" si="3188"/>
        <v>2021</v>
      </c>
      <c r="E1641" s="1" t="str">
        <f t="shared" si="3265"/>
        <v>12.09</v>
      </c>
      <c r="F1641" s="1" t="str">
        <f t="shared" ref="F1641:I1641" si="3273">"0"</f>
        <v>0</v>
      </c>
      <c r="G1641" s="1" t="str">
        <f t="shared" si="3273"/>
        <v>0</v>
      </c>
      <c r="H1641" s="1" t="str">
        <f t="shared" si="3273"/>
        <v>0</v>
      </c>
      <c r="I1641" s="1" t="str">
        <f t="shared" si="3273"/>
        <v>0</v>
      </c>
      <c r="J1641" s="1" t="str">
        <f t="shared" si="3269"/>
        <v>1</v>
      </c>
      <c r="K1641" s="1" t="str">
        <f t="shared" ref="K1641:P1641" si="3274">"0"</f>
        <v>0</v>
      </c>
      <c r="L1641" s="1" t="str">
        <f t="shared" si="3274"/>
        <v>0</v>
      </c>
      <c r="M1641" s="1" t="str">
        <f t="shared" si="3274"/>
        <v>0</v>
      </c>
      <c r="N1641" s="1" t="str">
        <f t="shared" si="3274"/>
        <v>0</v>
      </c>
      <c r="O1641" s="1" t="str">
        <f t="shared" si="3274"/>
        <v>0</v>
      </c>
      <c r="P1641" s="1" t="str">
        <f t="shared" si="3274"/>
        <v>0</v>
      </c>
      <c r="Q1641" s="1" t="str">
        <f t="shared" si="3191"/>
        <v>0.0070</v>
      </c>
      <c r="R1641" s="1" t="s">
        <v>29</v>
      </c>
      <c r="S1641" s="1">
        <v>-0.0014</v>
      </c>
      <c r="T1641" s="1" t="str">
        <f t="shared" si="3192"/>
        <v>0</v>
      </c>
      <c r="U1641" s="1" t="str">
        <f t="shared" si="3247"/>
        <v>0.0056</v>
      </c>
    </row>
    <row r="1642" s="1" customFormat="1" spans="1:21">
      <c r="A1642" s="1" t="str">
        <f>"4601992022783"</f>
        <v>4601992022783</v>
      </c>
      <c r="B1642" s="1" t="s">
        <v>1666</v>
      </c>
      <c r="C1642" s="1" t="s">
        <v>24</v>
      </c>
      <c r="D1642" s="1" t="str">
        <f t="shared" si="3188"/>
        <v>2021</v>
      </c>
      <c r="E1642" s="1" t="str">
        <f t="shared" si="3265"/>
        <v>12.09</v>
      </c>
      <c r="F1642" s="1" t="str">
        <f t="shared" ref="F1642:I1642" si="3275">"0"</f>
        <v>0</v>
      </c>
      <c r="G1642" s="1" t="str">
        <f t="shared" si="3275"/>
        <v>0</v>
      </c>
      <c r="H1642" s="1" t="str">
        <f t="shared" si="3275"/>
        <v>0</v>
      </c>
      <c r="I1642" s="1" t="str">
        <f t="shared" si="3275"/>
        <v>0</v>
      </c>
      <c r="J1642" s="1" t="str">
        <f t="shared" si="3269"/>
        <v>1</v>
      </c>
      <c r="K1642" s="1" t="str">
        <f t="shared" ref="K1642:P1642" si="3276">"0"</f>
        <v>0</v>
      </c>
      <c r="L1642" s="1" t="str">
        <f t="shared" si="3276"/>
        <v>0</v>
      </c>
      <c r="M1642" s="1" t="str">
        <f t="shared" si="3276"/>
        <v>0</v>
      </c>
      <c r="N1642" s="1" t="str">
        <f t="shared" si="3276"/>
        <v>0</v>
      </c>
      <c r="O1642" s="1" t="str">
        <f t="shared" si="3276"/>
        <v>0</v>
      </c>
      <c r="P1642" s="1" t="str">
        <f t="shared" si="3276"/>
        <v>0</v>
      </c>
      <c r="Q1642" s="1" t="str">
        <f t="shared" si="3191"/>
        <v>0.0070</v>
      </c>
      <c r="R1642" s="1" t="s">
        <v>29</v>
      </c>
      <c r="S1642" s="1">
        <v>-0.0014</v>
      </c>
      <c r="T1642" s="1" t="str">
        <f t="shared" si="3192"/>
        <v>0</v>
      </c>
      <c r="U1642" s="1" t="str">
        <f t="shared" si="3247"/>
        <v>0.0056</v>
      </c>
    </row>
    <row r="1643" s="1" customFormat="1" spans="1:21">
      <c r="A1643" s="1" t="str">
        <f>"4601992022807"</f>
        <v>4601992022807</v>
      </c>
      <c r="B1643" s="1" t="s">
        <v>1667</v>
      </c>
      <c r="C1643" s="1" t="s">
        <v>24</v>
      </c>
      <c r="D1643" s="1" t="str">
        <f t="shared" si="3188"/>
        <v>2021</v>
      </c>
      <c r="E1643" s="1" t="str">
        <f t="shared" ref="E1643:E1647" si="3277">"36.27"</f>
        <v>36.27</v>
      </c>
      <c r="F1643" s="1" t="str">
        <f t="shared" ref="F1643:I1643" si="3278">"0"</f>
        <v>0</v>
      </c>
      <c r="G1643" s="1" t="str">
        <f t="shared" si="3278"/>
        <v>0</v>
      </c>
      <c r="H1643" s="1" t="str">
        <f t="shared" si="3278"/>
        <v>0</v>
      </c>
      <c r="I1643" s="1" t="str">
        <f t="shared" si="3278"/>
        <v>0</v>
      </c>
      <c r="J1643" s="1" t="str">
        <f t="shared" ref="J1643:J1647" si="3279">"3"</f>
        <v>3</v>
      </c>
      <c r="K1643" s="1" t="str">
        <f t="shared" ref="K1643:P1643" si="3280">"0"</f>
        <v>0</v>
      </c>
      <c r="L1643" s="1" t="str">
        <f t="shared" si="3280"/>
        <v>0</v>
      </c>
      <c r="M1643" s="1" t="str">
        <f t="shared" si="3280"/>
        <v>0</v>
      </c>
      <c r="N1643" s="1" t="str">
        <f t="shared" si="3280"/>
        <v>0</v>
      </c>
      <c r="O1643" s="1" t="str">
        <f t="shared" si="3280"/>
        <v>0</v>
      </c>
      <c r="P1643" s="1" t="str">
        <f t="shared" si="3280"/>
        <v>0</v>
      </c>
      <c r="Q1643" s="1" t="str">
        <f t="shared" si="3191"/>
        <v>0.0070</v>
      </c>
      <c r="R1643" s="1" t="s">
        <v>25</v>
      </c>
      <c r="T1643" s="1" t="str">
        <f t="shared" si="3192"/>
        <v>0</v>
      </c>
      <c r="U1643" s="1" t="str">
        <f>"0.0070"</f>
        <v>0.0070</v>
      </c>
    </row>
    <row r="1644" s="1" customFormat="1" spans="1:21">
      <c r="A1644" s="1" t="str">
        <f>"4601992022839"</f>
        <v>4601992022839</v>
      </c>
      <c r="B1644" s="1" t="s">
        <v>1668</v>
      </c>
      <c r="C1644" s="1" t="s">
        <v>24</v>
      </c>
      <c r="D1644" s="1" t="str">
        <f t="shared" si="3188"/>
        <v>2021</v>
      </c>
      <c r="E1644" s="1" t="str">
        <f>"59.90"</f>
        <v>59.90</v>
      </c>
      <c r="F1644" s="1" t="str">
        <f t="shared" ref="F1644:I1644" si="3281">"0"</f>
        <v>0</v>
      </c>
      <c r="G1644" s="1" t="str">
        <f t="shared" si="3281"/>
        <v>0</v>
      </c>
      <c r="H1644" s="1" t="str">
        <f t="shared" si="3281"/>
        <v>0</v>
      </c>
      <c r="I1644" s="1" t="str">
        <f t="shared" si="3281"/>
        <v>0</v>
      </c>
      <c r="J1644" s="1" t="str">
        <f>"6"</f>
        <v>6</v>
      </c>
      <c r="K1644" s="1" t="str">
        <f t="shared" ref="K1644:P1644" si="3282">"0"</f>
        <v>0</v>
      </c>
      <c r="L1644" s="1" t="str">
        <f t="shared" si="3282"/>
        <v>0</v>
      </c>
      <c r="M1644" s="1" t="str">
        <f t="shared" si="3282"/>
        <v>0</v>
      </c>
      <c r="N1644" s="1" t="str">
        <f t="shared" si="3282"/>
        <v>0</v>
      </c>
      <c r="O1644" s="1" t="str">
        <f t="shared" si="3282"/>
        <v>0</v>
      </c>
      <c r="P1644" s="1" t="str">
        <f t="shared" si="3282"/>
        <v>0</v>
      </c>
      <c r="Q1644" s="1" t="str">
        <f t="shared" si="3191"/>
        <v>0.0070</v>
      </c>
      <c r="R1644" s="1" t="s">
        <v>29</v>
      </c>
      <c r="S1644" s="1">
        <v>-0.0014</v>
      </c>
      <c r="T1644" s="1" t="str">
        <f t="shared" si="3192"/>
        <v>0</v>
      </c>
      <c r="U1644" s="1" t="str">
        <f t="shared" ref="U1644:U1653" si="3283">"0.0056"</f>
        <v>0.0056</v>
      </c>
    </row>
    <row r="1645" s="1" customFormat="1" spans="1:21">
      <c r="A1645" s="1" t="str">
        <f>"4601992022850"</f>
        <v>4601992022850</v>
      </c>
      <c r="B1645" s="1" t="s">
        <v>1669</v>
      </c>
      <c r="C1645" s="1" t="s">
        <v>24</v>
      </c>
      <c r="D1645" s="1" t="str">
        <f t="shared" si="3188"/>
        <v>2021</v>
      </c>
      <c r="E1645" s="1" t="str">
        <f t="shared" ref="E1645:G1645" si="3284">"0"</f>
        <v>0</v>
      </c>
      <c r="F1645" s="1" t="str">
        <f t="shared" si="3284"/>
        <v>0</v>
      </c>
      <c r="G1645" s="1" t="str">
        <f t="shared" si="3284"/>
        <v>0</v>
      </c>
      <c r="H1645" s="1" t="str">
        <f>"75.25"</f>
        <v>75.25</v>
      </c>
      <c r="I1645" s="1" t="str">
        <f t="shared" ref="I1645:P1645" si="3285">"0"</f>
        <v>0</v>
      </c>
      <c r="J1645" s="1" t="str">
        <f t="shared" si="3285"/>
        <v>0</v>
      </c>
      <c r="K1645" s="1" t="str">
        <f t="shared" si="3285"/>
        <v>0</v>
      </c>
      <c r="L1645" s="1" t="str">
        <f t="shared" si="3285"/>
        <v>0</v>
      </c>
      <c r="M1645" s="1" t="str">
        <f t="shared" si="3285"/>
        <v>0</v>
      </c>
      <c r="N1645" s="1" t="str">
        <f t="shared" si="3285"/>
        <v>0</v>
      </c>
      <c r="O1645" s="1" t="str">
        <f t="shared" si="3285"/>
        <v>0</v>
      </c>
      <c r="P1645" s="1" t="str">
        <f t="shared" si="3285"/>
        <v>0</v>
      </c>
      <c r="Q1645" s="1" t="str">
        <f t="shared" si="3191"/>
        <v>0.0070</v>
      </c>
      <c r="R1645" s="1" t="s">
        <v>25</v>
      </c>
      <c r="T1645" s="1" t="str">
        <f t="shared" si="3192"/>
        <v>0</v>
      </c>
      <c r="U1645" s="1" t="str">
        <f>"0.0070"</f>
        <v>0.0070</v>
      </c>
    </row>
    <row r="1646" s="1" customFormat="1" spans="1:21">
      <c r="A1646" s="1" t="str">
        <f>"4601992022835"</f>
        <v>4601992022835</v>
      </c>
      <c r="B1646" s="1" t="s">
        <v>1670</v>
      </c>
      <c r="C1646" s="1" t="s">
        <v>24</v>
      </c>
      <c r="D1646" s="1" t="str">
        <f t="shared" si="3188"/>
        <v>2021</v>
      </c>
      <c r="E1646" s="1" t="str">
        <f t="shared" si="3277"/>
        <v>36.27</v>
      </c>
      <c r="F1646" s="1" t="str">
        <f t="shared" ref="F1646:I1646" si="3286">"0"</f>
        <v>0</v>
      </c>
      <c r="G1646" s="1" t="str">
        <f t="shared" si="3286"/>
        <v>0</v>
      </c>
      <c r="H1646" s="1" t="str">
        <f t="shared" si="3286"/>
        <v>0</v>
      </c>
      <c r="I1646" s="1" t="str">
        <f t="shared" si="3286"/>
        <v>0</v>
      </c>
      <c r="J1646" s="1" t="str">
        <f t="shared" si="3279"/>
        <v>3</v>
      </c>
      <c r="K1646" s="1" t="str">
        <f t="shared" ref="K1646:P1646" si="3287">"0"</f>
        <v>0</v>
      </c>
      <c r="L1646" s="1" t="str">
        <f t="shared" si="3287"/>
        <v>0</v>
      </c>
      <c r="M1646" s="1" t="str">
        <f t="shared" si="3287"/>
        <v>0</v>
      </c>
      <c r="N1646" s="1" t="str">
        <f t="shared" si="3287"/>
        <v>0</v>
      </c>
      <c r="O1646" s="1" t="str">
        <f t="shared" si="3287"/>
        <v>0</v>
      </c>
      <c r="P1646" s="1" t="str">
        <f t="shared" si="3287"/>
        <v>0</v>
      </c>
      <c r="Q1646" s="1" t="str">
        <f t="shared" si="3191"/>
        <v>0.0070</v>
      </c>
      <c r="R1646" s="1" t="s">
        <v>29</v>
      </c>
      <c r="S1646" s="1">
        <v>-0.0014</v>
      </c>
      <c r="T1646" s="1" t="str">
        <f t="shared" si="3192"/>
        <v>0</v>
      </c>
      <c r="U1646" s="1" t="str">
        <f t="shared" si="3283"/>
        <v>0.0056</v>
      </c>
    </row>
    <row r="1647" s="1" customFormat="1" spans="1:21">
      <c r="A1647" s="1" t="str">
        <f>"4601992022849"</f>
        <v>4601992022849</v>
      </c>
      <c r="B1647" s="1" t="s">
        <v>1671</v>
      </c>
      <c r="C1647" s="1" t="s">
        <v>24</v>
      </c>
      <c r="D1647" s="1" t="str">
        <f t="shared" si="3188"/>
        <v>2021</v>
      </c>
      <c r="E1647" s="1" t="str">
        <f t="shared" si="3277"/>
        <v>36.27</v>
      </c>
      <c r="F1647" s="1" t="str">
        <f t="shared" ref="F1647:I1647" si="3288">"0"</f>
        <v>0</v>
      </c>
      <c r="G1647" s="1" t="str">
        <f t="shared" si="3288"/>
        <v>0</v>
      </c>
      <c r="H1647" s="1" t="str">
        <f t="shared" si="3288"/>
        <v>0</v>
      </c>
      <c r="I1647" s="1" t="str">
        <f t="shared" si="3288"/>
        <v>0</v>
      </c>
      <c r="J1647" s="1" t="str">
        <f t="shared" si="3279"/>
        <v>3</v>
      </c>
      <c r="K1647" s="1" t="str">
        <f t="shared" ref="K1647:P1647" si="3289">"0"</f>
        <v>0</v>
      </c>
      <c r="L1647" s="1" t="str">
        <f t="shared" si="3289"/>
        <v>0</v>
      </c>
      <c r="M1647" s="1" t="str">
        <f t="shared" si="3289"/>
        <v>0</v>
      </c>
      <c r="N1647" s="1" t="str">
        <f t="shared" si="3289"/>
        <v>0</v>
      </c>
      <c r="O1647" s="1" t="str">
        <f t="shared" si="3289"/>
        <v>0</v>
      </c>
      <c r="P1647" s="1" t="str">
        <f t="shared" si="3289"/>
        <v>0</v>
      </c>
      <c r="Q1647" s="1" t="str">
        <f t="shared" si="3191"/>
        <v>0.0070</v>
      </c>
      <c r="R1647" s="1" t="s">
        <v>29</v>
      </c>
      <c r="S1647" s="1">
        <v>-0.0014</v>
      </c>
      <c r="T1647" s="1" t="str">
        <f t="shared" si="3192"/>
        <v>0</v>
      </c>
      <c r="U1647" s="1" t="str">
        <f t="shared" si="3283"/>
        <v>0.0056</v>
      </c>
    </row>
    <row r="1648" s="1" customFormat="1" spans="1:21">
      <c r="A1648" s="1" t="str">
        <f>"4601992022864"</f>
        <v>4601992022864</v>
      </c>
      <c r="B1648" s="1" t="s">
        <v>1672</v>
      </c>
      <c r="C1648" s="1" t="s">
        <v>24</v>
      </c>
      <c r="D1648" s="1" t="str">
        <f t="shared" si="3188"/>
        <v>2021</v>
      </c>
      <c r="E1648" s="1" t="str">
        <f>"117.98"</f>
        <v>117.98</v>
      </c>
      <c r="F1648" s="1" t="str">
        <f t="shared" ref="F1648:I1648" si="3290">"0"</f>
        <v>0</v>
      </c>
      <c r="G1648" s="1" t="str">
        <f t="shared" si="3290"/>
        <v>0</v>
      </c>
      <c r="H1648" s="1" t="str">
        <f t="shared" si="3290"/>
        <v>0</v>
      </c>
      <c r="I1648" s="1" t="str">
        <f t="shared" si="3290"/>
        <v>0</v>
      </c>
      <c r="J1648" s="1" t="str">
        <f>"7"</f>
        <v>7</v>
      </c>
      <c r="K1648" s="1" t="str">
        <f t="shared" ref="K1648:P1648" si="3291">"0"</f>
        <v>0</v>
      </c>
      <c r="L1648" s="1" t="str">
        <f t="shared" si="3291"/>
        <v>0</v>
      </c>
      <c r="M1648" s="1" t="str">
        <f t="shared" si="3291"/>
        <v>0</v>
      </c>
      <c r="N1648" s="1" t="str">
        <f t="shared" si="3291"/>
        <v>0</v>
      </c>
      <c r="O1648" s="1" t="str">
        <f t="shared" si="3291"/>
        <v>0</v>
      </c>
      <c r="P1648" s="1" t="str">
        <f t="shared" si="3291"/>
        <v>0</v>
      </c>
      <c r="Q1648" s="1" t="str">
        <f t="shared" si="3191"/>
        <v>0.0070</v>
      </c>
      <c r="R1648" s="1" t="s">
        <v>29</v>
      </c>
      <c r="S1648" s="1">
        <v>-0.0014</v>
      </c>
      <c r="T1648" s="1" t="str">
        <f t="shared" si="3192"/>
        <v>0</v>
      </c>
      <c r="U1648" s="1" t="str">
        <f t="shared" si="3283"/>
        <v>0.0056</v>
      </c>
    </row>
    <row r="1649" s="1" customFormat="1" spans="1:21">
      <c r="A1649" s="1" t="str">
        <f>"4601992022873"</f>
        <v>4601992022873</v>
      </c>
      <c r="B1649" s="1" t="s">
        <v>1673</v>
      </c>
      <c r="C1649" s="1" t="s">
        <v>24</v>
      </c>
      <c r="D1649" s="1" t="str">
        <f t="shared" si="3188"/>
        <v>2021</v>
      </c>
      <c r="E1649" s="1" t="str">
        <f>"12.09"</f>
        <v>12.09</v>
      </c>
      <c r="F1649" s="1" t="str">
        <f t="shared" ref="F1649:I1649" si="3292">"0"</f>
        <v>0</v>
      </c>
      <c r="G1649" s="1" t="str">
        <f t="shared" si="3292"/>
        <v>0</v>
      </c>
      <c r="H1649" s="1" t="str">
        <f t="shared" si="3292"/>
        <v>0</v>
      </c>
      <c r="I1649" s="1" t="str">
        <f t="shared" si="3292"/>
        <v>0</v>
      </c>
      <c r="J1649" s="1" t="str">
        <f>"1"</f>
        <v>1</v>
      </c>
      <c r="K1649" s="1" t="str">
        <f t="shared" ref="K1649:P1649" si="3293">"0"</f>
        <v>0</v>
      </c>
      <c r="L1649" s="1" t="str">
        <f t="shared" si="3293"/>
        <v>0</v>
      </c>
      <c r="M1649" s="1" t="str">
        <f t="shared" si="3293"/>
        <v>0</v>
      </c>
      <c r="N1649" s="1" t="str">
        <f t="shared" si="3293"/>
        <v>0</v>
      </c>
      <c r="O1649" s="1" t="str">
        <f t="shared" si="3293"/>
        <v>0</v>
      </c>
      <c r="P1649" s="1" t="str">
        <f t="shared" si="3293"/>
        <v>0</v>
      </c>
      <c r="Q1649" s="1" t="str">
        <f t="shared" si="3191"/>
        <v>0.0070</v>
      </c>
      <c r="R1649" s="1" t="s">
        <v>29</v>
      </c>
      <c r="S1649" s="1">
        <v>-0.0014</v>
      </c>
      <c r="T1649" s="1" t="str">
        <f t="shared" si="3192"/>
        <v>0</v>
      </c>
      <c r="U1649" s="1" t="str">
        <f t="shared" si="3283"/>
        <v>0.0056</v>
      </c>
    </row>
    <row r="1650" s="1" customFormat="1" spans="1:21">
      <c r="A1650" s="1" t="str">
        <f>"4601992022915"</f>
        <v>4601992022915</v>
      </c>
      <c r="B1650" s="1" t="s">
        <v>1674</v>
      </c>
      <c r="C1650" s="1" t="s">
        <v>24</v>
      </c>
      <c r="D1650" s="1" t="str">
        <f t="shared" si="3188"/>
        <v>2021</v>
      </c>
      <c r="E1650" s="1" t="str">
        <f>"36.59"</f>
        <v>36.59</v>
      </c>
      <c r="F1650" s="1" t="str">
        <f t="shared" ref="F1650:I1650" si="3294">"0"</f>
        <v>0</v>
      </c>
      <c r="G1650" s="1" t="str">
        <f t="shared" si="3294"/>
        <v>0</v>
      </c>
      <c r="H1650" s="1" t="str">
        <f t="shared" si="3294"/>
        <v>0</v>
      </c>
      <c r="I1650" s="1" t="str">
        <f t="shared" si="3294"/>
        <v>0</v>
      </c>
      <c r="J1650" s="1" t="str">
        <f t="shared" ref="J1650:J1652" si="3295">"3"</f>
        <v>3</v>
      </c>
      <c r="K1650" s="1" t="str">
        <f t="shared" ref="K1650:P1650" si="3296">"0"</f>
        <v>0</v>
      </c>
      <c r="L1650" s="1" t="str">
        <f t="shared" si="3296"/>
        <v>0</v>
      </c>
      <c r="M1650" s="1" t="str">
        <f t="shared" si="3296"/>
        <v>0</v>
      </c>
      <c r="N1650" s="1" t="str">
        <f t="shared" si="3296"/>
        <v>0</v>
      </c>
      <c r="O1650" s="1" t="str">
        <f t="shared" si="3296"/>
        <v>0</v>
      </c>
      <c r="P1650" s="1" t="str">
        <f t="shared" si="3296"/>
        <v>0</v>
      </c>
      <c r="Q1650" s="1" t="str">
        <f t="shared" si="3191"/>
        <v>0.0070</v>
      </c>
      <c r="R1650" s="1" t="s">
        <v>29</v>
      </c>
      <c r="S1650" s="1">
        <v>-0.0014</v>
      </c>
      <c r="T1650" s="1" t="str">
        <f t="shared" si="3192"/>
        <v>0</v>
      </c>
      <c r="U1650" s="1" t="str">
        <f t="shared" si="3283"/>
        <v>0.0056</v>
      </c>
    </row>
    <row r="1651" s="1" customFormat="1" spans="1:21">
      <c r="A1651" s="1" t="str">
        <f>"4601992022910"</f>
        <v>4601992022910</v>
      </c>
      <c r="B1651" s="1" t="s">
        <v>1675</v>
      </c>
      <c r="C1651" s="1" t="s">
        <v>24</v>
      </c>
      <c r="D1651" s="1" t="str">
        <f t="shared" si="3188"/>
        <v>2021</v>
      </c>
      <c r="E1651" s="1" t="str">
        <f>"48.36"</f>
        <v>48.36</v>
      </c>
      <c r="F1651" s="1" t="str">
        <f t="shared" ref="F1651:I1651" si="3297">"0"</f>
        <v>0</v>
      </c>
      <c r="G1651" s="1" t="str">
        <f t="shared" si="3297"/>
        <v>0</v>
      </c>
      <c r="H1651" s="1" t="str">
        <f t="shared" si="3297"/>
        <v>0</v>
      </c>
      <c r="I1651" s="1" t="str">
        <f t="shared" si="3297"/>
        <v>0</v>
      </c>
      <c r="J1651" s="1" t="str">
        <f t="shared" si="3295"/>
        <v>3</v>
      </c>
      <c r="K1651" s="1" t="str">
        <f t="shared" ref="K1651:P1651" si="3298">"0"</f>
        <v>0</v>
      </c>
      <c r="L1651" s="1" t="str">
        <f t="shared" si="3298"/>
        <v>0</v>
      </c>
      <c r="M1651" s="1" t="str">
        <f t="shared" si="3298"/>
        <v>0</v>
      </c>
      <c r="N1651" s="1" t="str">
        <f t="shared" si="3298"/>
        <v>0</v>
      </c>
      <c r="O1651" s="1" t="str">
        <f t="shared" si="3298"/>
        <v>0</v>
      </c>
      <c r="P1651" s="1" t="str">
        <f t="shared" si="3298"/>
        <v>0</v>
      </c>
      <c r="Q1651" s="1" t="str">
        <f t="shared" si="3191"/>
        <v>0.0070</v>
      </c>
      <c r="R1651" s="1" t="s">
        <v>29</v>
      </c>
      <c r="S1651" s="1">
        <v>-0.0014</v>
      </c>
      <c r="T1651" s="1" t="str">
        <f t="shared" si="3192"/>
        <v>0</v>
      </c>
      <c r="U1651" s="1" t="str">
        <f t="shared" si="3283"/>
        <v>0.0056</v>
      </c>
    </row>
    <row r="1652" s="1" customFormat="1" spans="1:21">
      <c r="A1652" s="1" t="str">
        <f>"4601992022890"</f>
        <v>4601992022890</v>
      </c>
      <c r="B1652" s="1" t="s">
        <v>1676</v>
      </c>
      <c r="C1652" s="1" t="s">
        <v>24</v>
      </c>
      <c r="D1652" s="1" t="str">
        <f t="shared" si="3188"/>
        <v>2021</v>
      </c>
      <c r="E1652" s="1" t="str">
        <f>"12.09"</f>
        <v>12.09</v>
      </c>
      <c r="F1652" s="1" t="str">
        <f t="shared" ref="F1652:I1652" si="3299">"0"</f>
        <v>0</v>
      </c>
      <c r="G1652" s="1" t="str">
        <f t="shared" si="3299"/>
        <v>0</v>
      </c>
      <c r="H1652" s="1" t="str">
        <f t="shared" si="3299"/>
        <v>0</v>
      </c>
      <c r="I1652" s="1" t="str">
        <f t="shared" si="3299"/>
        <v>0</v>
      </c>
      <c r="J1652" s="1" t="str">
        <f t="shared" si="3295"/>
        <v>3</v>
      </c>
      <c r="K1652" s="1" t="str">
        <f t="shared" ref="K1652:P1652" si="3300">"0"</f>
        <v>0</v>
      </c>
      <c r="L1652" s="1" t="str">
        <f t="shared" si="3300"/>
        <v>0</v>
      </c>
      <c r="M1652" s="1" t="str">
        <f t="shared" si="3300"/>
        <v>0</v>
      </c>
      <c r="N1652" s="1" t="str">
        <f t="shared" si="3300"/>
        <v>0</v>
      </c>
      <c r="O1652" s="1" t="str">
        <f t="shared" si="3300"/>
        <v>0</v>
      </c>
      <c r="P1652" s="1" t="str">
        <f t="shared" si="3300"/>
        <v>0</v>
      </c>
      <c r="Q1652" s="1" t="str">
        <f t="shared" si="3191"/>
        <v>0.0070</v>
      </c>
      <c r="R1652" s="1" t="s">
        <v>29</v>
      </c>
      <c r="S1652" s="1">
        <v>-0.0014</v>
      </c>
      <c r="T1652" s="1" t="str">
        <f t="shared" si="3192"/>
        <v>0</v>
      </c>
      <c r="U1652" s="1" t="str">
        <f t="shared" si="3283"/>
        <v>0.0056</v>
      </c>
    </row>
    <row r="1653" s="1" customFormat="1" spans="1:21">
      <c r="A1653" s="1" t="str">
        <f>"4601992022887"</f>
        <v>4601992022887</v>
      </c>
      <c r="B1653" s="1" t="s">
        <v>1677</v>
      </c>
      <c r="C1653" s="1" t="s">
        <v>24</v>
      </c>
      <c r="D1653" s="1" t="str">
        <f t="shared" si="3188"/>
        <v>2021</v>
      </c>
      <c r="E1653" s="1" t="str">
        <f>"72.54"</f>
        <v>72.54</v>
      </c>
      <c r="F1653" s="1" t="str">
        <f t="shared" ref="F1653:I1653" si="3301">"0"</f>
        <v>0</v>
      </c>
      <c r="G1653" s="1" t="str">
        <f t="shared" si="3301"/>
        <v>0</v>
      </c>
      <c r="H1653" s="1" t="str">
        <f t="shared" si="3301"/>
        <v>0</v>
      </c>
      <c r="I1653" s="1" t="str">
        <f t="shared" si="3301"/>
        <v>0</v>
      </c>
      <c r="J1653" s="1" t="str">
        <f>"6"</f>
        <v>6</v>
      </c>
      <c r="K1653" s="1" t="str">
        <f t="shared" ref="K1653:P1653" si="3302">"0"</f>
        <v>0</v>
      </c>
      <c r="L1653" s="1" t="str">
        <f t="shared" si="3302"/>
        <v>0</v>
      </c>
      <c r="M1653" s="1" t="str">
        <f t="shared" si="3302"/>
        <v>0</v>
      </c>
      <c r="N1653" s="1" t="str">
        <f t="shared" si="3302"/>
        <v>0</v>
      </c>
      <c r="O1653" s="1" t="str">
        <f t="shared" si="3302"/>
        <v>0</v>
      </c>
      <c r="P1653" s="1" t="str">
        <f t="shared" si="3302"/>
        <v>0</v>
      </c>
      <c r="Q1653" s="1" t="str">
        <f t="shared" si="3191"/>
        <v>0.0070</v>
      </c>
      <c r="R1653" s="1" t="s">
        <v>29</v>
      </c>
      <c r="S1653" s="1">
        <v>-0.0014</v>
      </c>
      <c r="T1653" s="1" t="str">
        <f t="shared" si="3192"/>
        <v>0</v>
      </c>
      <c r="U1653" s="1" t="str">
        <f t="shared" si="3283"/>
        <v>0.0056</v>
      </c>
    </row>
    <row r="1654" s="1" customFormat="1" spans="1:21">
      <c r="A1654" s="1" t="str">
        <f>"4601992011322"</f>
        <v>4601992011322</v>
      </c>
      <c r="B1654" s="1" t="s">
        <v>1678</v>
      </c>
      <c r="C1654" s="1" t="s">
        <v>24</v>
      </c>
      <c r="D1654" s="1" t="str">
        <f t="shared" si="3188"/>
        <v>2021</v>
      </c>
      <c r="E1654" s="1" t="str">
        <f t="shared" ref="E1654:P1654" si="3303">"0"</f>
        <v>0</v>
      </c>
      <c r="F1654" s="1" t="str">
        <f t="shared" si="3303"/>
        <v>0</v>
      </c>
      <c r="G1654" s="1" t="str">
        <f t="shared" si="3303"/>
        <v>0</v>
      </c>
      <c r="H1654" s="1" t="str">
        <f t="shared" si="3303"/>
        <v>0</v>
      </c>
      <c r="I1654" s="1" t="str">
        <f t="shared" si="3303"/>
        <v>0</v>
      </c>
      <c r="J1654" s="1" t="str">
        <f t="shared" si="3303"/>
        <v>0</v>
      </c>
      <c r="K1654" s="1" t="str">
        <f t="shared" si="3303"/>
        <v>0</v>
      </c>
      <c r="L1654" s="1" t="str">
        <f t="shared" si="3303"/>
        <v>0</v>
      </c>
      <c r="M1654" s="1" t="str">
        <f t="shared" si="3303"/>
        <v>0</v>
      </c>
      <c r="N1654" s="1" t="str">
        <f t="shared" si="3303"/>
        <v>0</v>
      </c>
      <c r="O1654" s="1" t="str">
        <f t="shared" si="3303"/>
        <v>0</v>
      </c>
      <c r="P1654" s="1" t="str">
        <f t="shared" si="3303"/>
        <v>0</v>
      </c>
      <c r="Q1654" s="1" t="str">
        <f t="shared" si="3191"/>
        <v>0.0070</v>
      </c>
      <c r="R1654" s="1" t="s">
        <v>25</v>
      </c>
      <c r="T1654" s="1" t="str">
        <f t="shared" si="3192"/>
        <v>0</v>
      </c>
      <c r="U1654" s="1" t="str">
        <f t="shared" ref="U1654:U1658" si="3304">"0.0070"</f>
        <v>0.0070</v>
      </c>
    </row>
    <row r="1655" s="1" customFormat="1" spans="1:21">
      <c r="A1655" s="1" t="str">
        <f>"4601992022950"</f>
        <v>4601992022950</v>
      </c>
      <c r="B1655" s="1" t="s">
        <v>1679</v>
      </c>
      <c r="C1655" s="1" t="s">
        <v>24</v>
      </c>
      <c r="D1655" s="1" t="str">
        <f t="shared" si="3188"/>
        <v>2021</v>
      </c>
      <c r="E1655" s="1" t="str">
        <f>"12.25"</f>
        <v>12.25</v>
      </c>
      <c r="F1655" s="1" t="str">
        <f t="shared" ref="F1655:I1655" si="3305">"0"</f>
        <v>0</v>
      </c>
      <c r="G1655" s="1" t="str">
        <f t="shared" si="3305"/>
        <v>0</v>
      </c>
      <c r="H1655" s="1" t="str">
        <f t="shared" si="3305"/>
        <v>0</v>
      </c>
      <c r="I1655" s="1" t="str">
        <f t="shared" si="3305"/>
        <v>0</v>
      </c>
      <c r="J1655" s="1" t="str">
        <f t="shared" ref="J1655:J1661" si="3306">"2"</f>
        <v>2</v>
      </c>
      <c r="K1655" s="1" t="str">
        <f t="shared" ref="K1655:P1655" si="3307">"0"</f>
        <v>0</v>
      </c>
      <c r="L1655" s="1" t="str">
        <f t="shared" si="3307"/>
        <v>0</v>
      </c>
      <c r="M1655" s="1" t="str">
        <f t="shared" si="3307"/>
        <v>0</v>
      </c>
      <c r="N1655" s="1" t="str">
        <f t="shared" si="3307"/>
        <v>0</v>
      </c>
      <c r="O1655" s="1" t="str">
        <f t="shared" si="3307"/>
        <v>0</v>
      </c>
      <c r="P1655" s="1" t="str">
        <f t="shared" si="3307"/>
        <v>0</v>
      </c>
      <c r="Q1655" s="1" t="str">
        <f t="shared" si="3191"/>
        <v>0.0070</v>
      </c>
      <c r="R1655" s="1" t="s">
        <v>29</v>
      </c>
      <c r="S1655" s="1">
        <v>-0.0014</v>
      </c>
      <c r="T1655" s="1" t="str">
        <f t="shared" si="3192"/>
        <v>0</v>
      </c>
      <c r="U1655" s="1" t="str">
        <f t="shared" ref="U1655:U1660" si="3308">"0.0056"</f>
        <v>0.0056</v>
      </c>
    </row>
    <row r="1656" s="1" customFormat="1" spans="1:21">
      <c r="A1656" s="1" t="str">
        <f>"4601992022989"</f>
        <v>4601992022989</v>
      </c>
      <c r="B1656" s="1" t="s">
        <v>1680</v>
      </c>
      <c r="C1656" s="1" t="s">
        <v>24</v>
      </c>
      <c r="D1656" s="1" t="str">
        <f t="shared" si="3188"/>
        <v>2021</v>
      </c>
      <c r="E1656" s="1" t="str">
        <f t="shared" ref="E1656:P1656" si="3309">"0"</f>
        <v>0</v>
      </c>
      <c r="F1656" s="1" t="str">
        <f t="shared" si="3309"/>
        <v>0</v>
      </c>
      <c r="G1656" s="1" t="str">
        <f t="shared" si="3309"/>
        <v>0</v>
      </c>
      <c r="H1656" s="1" t="str">
        <f t="shared" si="3309"/>
        <v>0</v>
      </c>
      <c r="I1656" s="1" t="str">
        <f t="shared" si="3309"/>
        <v>0</v>
      </c>
      <c r="J1656" s="1" t="str">
        <f t="shared" si="3309"/>
        <v>0</v>
      </c>
      <c r="K1656" s="1" t="str">
        <f t="shared" si="3309"/>
        <v>0</v>
      </c>
      <c r="L1656" s="1" t="str">
        <f t="shared" si="3309"/>
        <v>0</v>
      </c>
      <c r="M1656" s="1" t="str">
        <f t="shared" si="3309"/>
        <v>0</v>
      </c>
      <c r="N1656" s="1" t="str">
        <f t="shared" si="3309"/>
        <v>0</v>
      </c>
      <c r="O1656" s="1" t="str">
        <f t="shared" si="3309"/>
        <v>0</v>
      </c>
      <c r="P1656" s="1" t="str">
        <f t="shared" si="3309"/>
        <v>0</v>
      </c>
      <c r="Q1656" s="1" t="str">
        <f t="shared" si="3191"/>
        <v>0.0070</v>
      </c>
      <c r="R1656" s="1" t="s">
        <v>25</v>
      </c>
      <c r="T1656" s="1" t="str">
        <f t="shared" si="3192"/>
        <v>0</v>
      </c>
      <c r="U1656" s="1" t="str">
        <f t="shared" si="3304"/>
        <v>0.0070</v>
      </c>
    </row>
    <row r="1657" s="1" customFormat="1" spans="1:21">
      <c r="A1657" s="1" t="str">
        <f>"4601992022933"</f>
        <v>4601992022933</v>
      </c>
      <c r="B1657" s="1" t="s">
        <v>1681</v>
      </c>
      <c r="C1657" s="1" t="s">
        <v>24</v>
      </c>
      <c r="D1657" s="1" t="str">
        <f t="shared" si="3188"/>
        <v>2021</v>
      </c>
      <c r="E1657" s="1" t="str">
        <f>"24.34"</f>
        <v>24.34</v>
      </c>
      <c r="F1657" s="1" t="str">
        <f t="shared" ref="F1657:I1657" si="3310">"0"</f>
        <v>0</v>
      </c>
      <c r="G1657" s="1" t="str">
        <f t="shared" si="3310"/>
        <v>0</v>
      </c>
      <c r="H1657" s="1" t="str">
        <f t="shared" si="3310"/>
        <v>0</v>
      </c>
      <c r="I1657" s="1" t="str">
        <f t="shared" si="3310"/>
        <v>0</v>
      </c>
      <c r="J1657" s="1" t="str">
        <f t="shared" si="3306"/>
        <v>2</v>
      </c>
      <c r="K1657" s="1" t="str">
        <f t="shared" ref="K1657:P1657" si="3311">"0"</f>
        <v>0</v>
      </c>
      <c r="L1657" s="1" t="str">
        <f t="shared" si="3311"/>
        <v>0</v>
      </c>
      <c r="M1657" s="1" t="str">
        <f t="shared" si="3311"/>
        <v>0</v>
      </c>
      <c r="N1657" s="1" t="str">
        <f t="shared" si="3311"/>
        <v>0</v>
      </c>
      <c r="O1657" s="1" t="str">
        <f t="shared" si="3311"/>
        <v>0</v>
      </c>
      <c r="P1657" s="1" t="str">
        <f t="shared" si="3311"/>
        <v>0</v>
      </c>
      <c r="Q1657" s="1" t="str">
        <f t="shared" si="3191"/>
        <v>0.0070</v>
      </c>
      <c r="R1657" s="1" t="s">
        <v>29</v>
      </c>
      <c r="S1657" s="1">
        <v>-0.0014</v>
      </c>
      <c r="T1657" s="1" t="str">
        <f t="shared" si="3192"/>
        <v>0</v>
      </c>
      <c r="U1657" s="1" t="str">
        <f t="shared" si="3308"/>
        <v>0.0056</v>
      </c>
    </row>
    <row r="1658" s="1" customFormat="1" spans="1:21">
      <c r="A1658" s="1" t="str">
        <f>"4601992022921"</f>
        <v>4601992022921</v>
      </c>
      <c r="B1658" s="1" t="s">
        <v>1682</v>
      </c>
      <c r="C1658" s="1" t="s">
        <v>24</v>
      </c>
      <c r="D1658" s="1" t="str">
        <f t="shared" si="3188"/>
        <v>2021</v>
      </c>
      <c r="E1658" s="1" t="str">
        <f t="shared" ref="E1658:I1658" si="3312">"0"</f>
        <v>0</v>
      </c>
      <c r="F1658" s="1" t="str">
        <f t="shared" si="3312"/>
        <v>0</v>
      </c>
      <c r="G1658" s="1" t="str">
        <f t="shared" si="3312"/>
        <v>0</v>
      </c>
      <c r="H1658" s="1" t="str">
        <f t="shared" si="3312"/>
        <v>0</v>
      </c>
      <c r="I1658" s="1" t="str">
        <f t="shared" si="3312"/>
        <v>0</v>
      </c>
      <c r="J1658" s="1" t="str">
        <f>"1"</f>
        <v>1</v>
      </c>
      <c r="K1658" s="1" t="str">
        <f t="shared" ref="K1658:P1658" si="3313">"0"</f>
        <v>0</v>
      </c>
      <c r="L1658" s="1" t="str">
        <f t="shared" si="3313"/>
        <v>0</v>
      </c>
      <c r="M1658" s="1" t="str">
        <f t="shared" si="3313"/>
        <v>0</v>
      </c>
      <c r="N1658" s="1" t="str">
        <f t="shared" si="3313"/>
        <v>0</v>
      </c>
      <c r="O1658" s="1" t="str">
        <f t="shared" si="3313"/>
        <v>0</v>
      </c>
      <c r="P1658" s="1" t="str">
        <f t="shared" si="3313"/>
        <v>0</v>
      </c>
      <c r="Q1658" s="1" t="str">
        <f t="shared" si="3191"/>
        <v>0.0070</v>
      </c>
      <c r="R1658" s="1" t="s">
        <v>25</v>
      </c>
      <c r="T1658" s="1" t="str">
        <f t="shared" si="3192"/>
        <v>0</v>
      </c>
      <c r="U1658" s="1" t="str">
        <f t="shared" si="3304"/>
        <v>0.0070</v>
      </c>
    </row>
    <row r="1659" s="1" customFormat="1" spans="1:21">
      <c r="A1659" s="1" t="str">
        <f>"4601992022971"</f>
        <v>4601992022971</v>
      </c>
      <c r="B1659" s="1" t="s">
        <v>1683</v>
      </c>
      <c r="C1659" s="1" t="s">
        <v>24</v>
      </c>
      <c r="D1659" s="1" t="str">
        <f t="shared" si="3188"/>
        <v>2021</v>
      </c>
      <c r="E1659" s="1" t="str">
        <f>"12.09"</f>
        <v>12.09</v>
      </c>
      <c r="F1659" s="1" t="str">
        <f t="shared" ref="F1659:I1659" si="3314">"0"</f>
        <v>0</v>
      </c>
      <c r="G1659" s="1" t="str">
        <f t="shared" si="3314"/>
        <v>0</v>
      </c>
      <c r="H1659" s="1" t="str">
        <f t="shared" si="3314"/>
        <v>0</v>
      </c>
      <c r="I1659" s="1" t="str">
        <f t="shared" si="3314"/>
        <v>0</v>
      </c>
      <c r="J1659" s="1" t="str">
        <f>"1"</f>
        <v>1</v>
      </c>
      <c r="K1659" s="1" t="str">
        <f t="shared" ref="K1659:P1659" si="3315">"0"</f>
        <v>0</v>
      </c>
      <c r="L1659" s="1" t="str">
        <f t="shared" si="3315"/>
        <v>0</v>
      </c>
      <c r="M1659" s="1" t="str">
        <f t="shared" si="3315"/>
        <v>0</v>
      </c>
      <c r="N1659" s="1" t="str">
        <f t="shared" si="3315"/>
        <v>0</v>
      </c>
      <c r="O1659" s="1" t="str">
        <f t="shared" si="3315"/>
        <v>0</v>
      </c>
      <c r="P1659" s="1" t="str">
        <f t="shared" si="3315"/>
        <v>0</v>
      </c>
      <c r="Q1659" s="1" t="str">
        <f t="shared" si="3191"/>
        <v>0.0070</v>
      </c>
      <c r="R1659" s="1" t="s">
        <v>29</v>
      </c>
      <c r="S1659" s="1">
        <v>-0.0014</v>
      </c>
      <c r="T1659" s="1" t="str">
        <f t="shared" si="3192"/>
        <v>0</v>
      </c>
      <c r="U1659" s="1" t="str">
        <f t="shared" si="3308"/>
        <v>0.0056</v>
      </c>
    </row>
    <row r="1660" s="1" customFormat="1" spans="1:21">
      <c r="A1660" s="1" t="str">
        <f>"4601992023017"</f>
        <v>4601992023017</v>
      </c>
      <c r="B1660" s="1" t="s">
        <v>1684</v>
      </c>
      <c r="C1660" s="1" t="s">
        <v>24</v>
      </c>
      <c r="D1660" s="1" t="str">
        <f t="shared" si="3188"/>
        <v>2021</v>
      </c>
      <c r="E1660" s="1" t="str">
        <f t="shared" ref="E1660:E1663" si="3316">"24.18"</f>
        <v>24.18</v>
      </c>
      <c r="F1660" s="1" t="str">
        <f t="shared" ref="F1660:I1660" si="3317">"0"</f>
        <v>0</v>
      </c>
      <c r="G1660" s="1" t="str">
        <f t="shared" si="3317"/>
        <v>0</v>
      </c>
      <c r="H1660" s="1" t="str">
        <f t="shared" si="3317"/>
        <v>0</v>
      </c>
      <c r="I1660" s="1" t="str">
        <f t="shared" si="3317"/>
        <v>0</v>
      </c>
      <c r="J1660" s="1" t="str">
        <f t="shared" si="3306"/>
        <v>2</v>
      </c>
      <c r="K1660" s="1" t="str">
        <f t="shared" ref="K1660:P1660" si="3318">"0"</f>
        <v>0</v>
      </c>
      <c r="L1660" s="1" t="str">
        <f t="shared" si="3318"/>
        <v>0</v>
      </c>
      <c r="M1660" s="1" t="str">
        <f t="shared" si="3318"/>
        <v>0</v>
      </c>
      <c r="N1660" s="1" t="str">
        <f t="shared" si="3318"/>
        <v>0</v>
      </c>
      <c r="O1660" s="1" t="str">
        <f t="shared" si="3318"/>
        <v>0</v>
      </c>
      <c r="P1660" s="1" t="str">
        <f t="shared" si="3318"/>
        <v>0</v>
      </c>
      <c r="Q1660" s="1" t="str">
        <f t="shared" si="3191"/>
        <v>0.0070</v>
      </c>
      <c r="R1660" s="1" t="s">
        <v>29</v>
      </c>
      <c r="S1660" s="1">
        <v>-0.0014</v>
      </c>
      <c r="T1660" s="1" t="str">
        <f t="shared" si="3192"/>
        <v>0</v>
      </c>
      <c r="U1660" s="1" t="str">
        <f t="shared" si="3308"/>
        <v>0.0056</v>
      </c>
    </row>
    <row r="1661" s="1" customFormat="1" spans="1:21">
      <c r="A1661" s="1" t="str">
        <f>"4601992023003"</f>
        <v>4601992023003</v>
      </c>
      <c r="B1661" s="1" t="s">
        <v>1685</v>
      </c>
      <c r="C1661" s="1" t="s">
        <v>24</v>
      </c>
      <c r="D1661" s="1" t="str">
        <f t="shared" si="3188"/>
        <v>2021</v>
      </c>
      <c r="E1661" s="1" t="str">
        <f t="shared" si="3316"/>
        <v>24.18</v>
      </c>
      <c r="F1661" s="1" t="str">
        <f t="shared" ref="F1661:I1661" si="3319">"0"</f>
        <v>0</v>
      </c>
      <c r="G1661" s="1" t="str">
        <f t="shared" si="3319"/>
        <v>0</v>
      </c>
      <c r="H1661" s="1" t="str">
        <f t="shared" si="3319"/>
        <v>0</v>
      </c>
      <c r="I1661" s="1" t="str">
        <f t="shared" si="3319"/>
        <v>0</v>
      </c>
      <c r="J1661" s="1" t="str">
        <f t="shared" si="3306"/>
        <v>2</v>
      </c>
      <c r="K1661" s="1" t="str">
        <f t="shared" ref="K1661:P1661" si="3320">"0"</f>
        <v>0</v>
      </c>
      <c r="L1661" s="1" t="str">
        <f t="shared" si="3320"/>
        <v>0</v>
      </c>
      <c r="M1661" s="1" t="str">
        <f t="shared" si="3320"/>
        <v>0</v>
      </c>
      <c r="N1661" s="1" t="str">
        <f t="shared" si="3320"/>
        <v>0</v>
      </c>
      <c r="O1661" s="1" t="str">
        <f t="shared" si="3320"/>
        <v>0</v>
      </c>
      <c r="P1661" s="1" t="str">
        <f t="shared" si="3320"/>
        <v>0</v>
      </c>
      <c r="Q1661" s="1" t="str">
        <f t="shared" si="3191"/>
        <v>0.0070</v>
      </c>
      <c r="R1661" s="1" t="s">
        <v>25</v>
      </c>
      <c r="T1661" s="1" t="str">
        <f t="shared" si="3192"/>
        <v>0</v>
      </c>
      <c r="U1661" s="1" t="str">
        <f t="shared" ref="U1661:U1665" si="3321">"0.0070"</f>
        <v>0.0070</v>
      </c>
    </row>
    <row r="1662" s="1" customFormat="1" spans="1:21">
      <c r="A1662" s="1" t="str">
        <f>"4601992023001"</f>
        <v>4601992023001</v>
      </c>
      <c r="B1662" s="1" t="s">
        <v>1686</v>
      </c>
      <c r="C1662" s="1" t="s">
        <v>24</v>
      </c>
      <c r="D1662" s="1" t="str">
        <f t="shared" si="3188"/>
        <v>2021</v>
      </c>
      <c r="E1662" s="1" t="str">
        <f t="shared" si="3316"/>
        <v>24.18</v>
      </c>
      <c r="F1662" s="1" t="str">
        <f t="shared" ref="F1662:I1662" si="3322">"0"</f>
        <v>0</v>
      </c>
      <c r="G1662" s="1" t="str">
        <f t="shared" si="3322"/>
        <v>0</v>
      </c>
      <c r="H1662" s="1" t="str">
        <f t="shared" si="3322"/>
        <v>0</v>
      </c>
      <c r="I1662" s="1" t="str">
        <f t="shared" si="3322"/>
        <v>0</v>
      </c>
      <c r="J1662" s="1" t="str">
        <f>"3"</f>
        <v>3</v>
      </c>
      <c r="K1662" s="1" t="str">
        <f t="shared" ref="K1662:P1662" si="3323">"0"</f>
        <v>0</v>
      </c>
      <c r="L1662" s="1" t="str">
        <f t="shared" si="3323"/>
        <v>0</v>
      </c>
      <c r="M1662" s="1" t="str">
        <f t="shared" si="3323"/>
        <v>0</v>
      </c>
      <c r="N1662" s="1" t="str">
        <f t="shared" si="3323"/>
        <v>0</v>
      </c>
      <c r="O1662" s="1" t="str">
        <f t="shared" si="3323"/>
        <v>0</v>
      </c>
      <c r="P1662" s="1" t="str">
        <f t="shared" si="3323"/>
        <v>0</v>
      </c>
      <c r="Q1662" s="1" t="str">
        <f t="shared" si="3191"/>
        <v>0.0070</v>
      </c>
      <c r="R1662" s="1" t="s">
        <v>29</v>
      </c>
      <c r="S1662" s="1">
        <v>-0.0014</v>
      </c>
      <c r="T1662" s="1" t="str">
        <f t="shared" si="3192"/>
        <v>0</v>
      </c>
      <c r="U1662" s="1" t="str">
        <f t="shared" ref="U1662:U1667" si="3324">"0.0056"</f>
        <v>0.0056</v>
      </c>
    </row>
    <row r="1663" s="1" customFormat="1" spans="1:21">
      <c r="A1663" s="1" t="str">
        <f>"4601992023012"</f>
        <v>4601992023012</v>
      </c>
      <c r="B1663" s="1" t="s">
        <v>1687</v>
      </c>
      <c r="C1663" s="1" t="s">
        <v>24</v>
      </c>
      <c r="D1663" s="1" t="str">
        <f t="shared" si="3188"/>
        <v>2021</v>
      </c>
      <c r="E1663" s="1" t="str">
        <f t="shared" si="3316"/>
        <v>24.18</v>
      </c>
      <c r="F1663" s="1" t="str">
        <f t="shared" ref="F1663:I1663" si="3325">"0"</f>
        <v>0</v>
      </c>
      <c r="G1663" s="1" t="str">
        <f t="shared" si="3325"/>
        <v>0</v>
      </c>
      <c r="H1663" s="1" t="str">
        <f t="shared" si="3325"/>
        <v>0</v>
      </c>
      <c r="I1663" s="1" t="str">
        <f t="shared" si="3325"/>
        <v>0</v>
      </c>
      <c r="J1663" s="1" t="str">
        <f>"2"</f>
        <v>2</v>
      </c>
      <c r="K1663" s="1" t="str">
        <f t="shared" ref="K1663:P1663" si="3326">"0"</f>
        <v>0</v>
      </c>
      <c r="L1663" s="1" t="str">
        <f t="shared" si="3326"/>
        <v>0</v>
      </c>
      <c r="M1663" s="1" t="str">
        <f t="shared" si="3326"/>
        <v>0</v>
      </c>
      <c r="N1663" s="1" t="str">
        <f t="shared" si="3326"/>
        <v>0</v>
      </c>
      <c r="O1663" s="1" t="str">
        <f t="shared" si="3326"/>
        <v>0</v>
      </c>
      <c r="P1663" s="1" t="str">
        <f t="shared" si="3326"/>
        <v>0</v>
      </c>
      <c r="Q1663" s="1" t="str">
        <f t="shared" si="3191"/>
        <v>0.0070</v>
      </c>
      <c r="R1663" s="1" t="s">
        <v>25</v>
      </c>
      <c r="T1663" s="1" t="str">
        <f t="shared" si="3192"/>
        <v>0</v>
      </c>
      <c r="U1663" s="1" t="str">
        <f t="shared" si="3321"/>
        <v>0.0070</v>
      </c>
    </row>
    <row r="1664" s="1" customFormat="1" spans="1:21">
      <c r="A1664" s="1" t="str">
        <f>"4601992023031"</f>
        <v>4601992023031</v>
      </c>
      <c r="B1664" s="1" t="s">
        <v>1688</v>
      </c>
      <c r="C1664" s="1" t="s">
        <v>24</v>
      </c>
      <c r="D1664" s="1" t="str">
        <f t="shared" si="3188"/>
        <v>2021</v>
      </c>
      <c r="E1664" s="1" t="str">
        <f t="shared" ref="E1664:P1664" si="3327">"0"</f>
        <v>0</v>
      </c>
      <c r="F1664" s="1" t="str">
        <f t="shared" si="3327"/>
        <v>0</v>
      </c>
      <c r="G1664" s="1" t="str">
        <f t="shared" si="3327"/>
        <v>0</v>
      </c>
      <c r="H1664" s="1" t="str">
        <f t="shared" si="3327"/>
        <v>0</v>
      </c>
      <c r="I1664" s="1" t="str">
        <f t="shared" si="3327"/>
        <v>0</v>
      </c>
      <c r="J1664" s="1" t="str">
        <f t="shared" si="3327"/>
        <v>0</v>
      </c>
      <c r="K1664" s="1" t="str">
        <f t="shared" si="3327"/>
        <v>0</v>
      </c>
      <c r="L1664" s="1" t="str">
        <f t="shared" si="3327"/>
        <v>0</v>
      </c>
      <c r="M1664" s="1" t="str">
        <f t="shared" si="3327"/>
        <v>0</v>
      </c>
      <c r="N1664" s="1" t="str">
        <f t="shared" si="3327"/>
        <v>0</v>
      </c>
      <c r="O1664" s="1" t="str">
        <f t="shared" si="3327"/>
        <v>0</v>
      </c>
      <c r="P1664" s="1" t="str">
        <f t="shared" si="3327"/>
        <v>0</v>
      </c>
      <c r="Q1664" s="1" t="str">
        <f t="shared" si="3191"/>
        <v>0.0070</v>
      </c>
      <c r="R1664" s="1" t="s">
        <v>25</v>
      </c>
      <c r="T1664" s="1" t="str">
        <f t="shared" si="3192"/>
        <v>0</v>
      </c>
      <c r="U1664" s="1" t="str">
        <f t="shared" si="3321"/>
        <v>0.0070</v>
      </c>
    </row>
    <row r="1665" s="1" customFormat="1" spans="1:21">
      <c r="A1665" s="1" t="str">
        <f>"4601992023034"</f>
        <v>4601992023034</v>
      </c>
      <c r="B1665" s="1" t="s">
        <v>1689</v>
      </c>
      <c r="C1665" s="1" t="s">
        <v>24</v>
      </c>
      <c r="D1665" s="1" t="str">
        <f t="shared" si="3188"/>
        <v>2021</v>
      </c>
      <c r="E1665" s="1" t="str">
        <f t="shared" ref="E1665:P1665" si="3328">"0"</f>
        <v>0</v>
      </c>
      <c r="F1665" s="1" t="str">
        <f t="shared" si="3328"/>
        <v>0</v>
      </c>
      <c r="G1665" s="1" t="str">
        <f t="shared" si="3328"/>
        <v>0</v>
      </c>
      <c r="H1665" s="1" t="str">
        <f t="shared" si="3328"/>
        <v>0</v>
      </c>
      <c r="I1665" s="1" t="str">
        <f t="shared" si="3328"/>
        <v>0</v>
      </c>
      <c r="J1665" s="1" t="str">
        <f t="shared" si="3328"/>
        <v>0</v>
      </c>
      <c r="K1665" s="1" t="str">
        <f t="shared" si="3328"/>
        <v>0</v>
      </c>
      <c r="L1665" s="1" t="str">
        <f t="shared" si="3328"/>
        <v>0</v>
      </c>
      <c r="M1665" s="1" t="str">
        <f t="shared" si="3328"/>
        <v>0</v>
      </c>
      <c r="N1665" s="1" t="str">
        <f t="shared" si="3328"/>
        <v>0</v>
      </c>
      <c r="O1665" s="1" t="str">
        <f t="shared" si="3328"/>
        <v>0</v>
      </c>
      <c r="P1665" s="1" t="str">
        <f t="shared" si="3328"/>
        <v>0</v>
      </c>
      <c r="Q1665" s="1" t="str">
        <f t="shared" si="3191"/>
        <v>0.0070</v>
      </c>
      <c r="R1665" s="1" t="s">
        <v>25</v>
      </c>
      <c r="T1665" s="1" t="str">
        <f t="shared" si="3192"/>
        <v>0</v>
      </c>
      <c r="U1665" s="1" t="str">
        <f t="shared" si="3321"/>
        <v>0.0070</v>
      </c>
    </row>
    <row r="1666" s="1" customFormat="1" spans="1:21">
      <c r="A1666" s="1" t="str">
        <f>"4601992023044"</f>
        <v>4601992023044</v>
      </c>
      <c r="B1666" s="1" t="s">
        <v>1690</v>
      </c>
      <c r="C1666" s="1" t="s">
        <v>24</v>
      </c>
      <c r="D1666" s="1" t="str">
        <f t="shared" si="3188"/>
        <v>2021</v>
      </c>
      <c r="E1666" s="1" t="str">
        <f>"36.27"</f>
        <v>36.27</v>
      </c>
      <c r="F1666" s="1" t="str">
        <f t="shared" ref="F1666:I1666" si="3329">"0"</f>
        <v>0</v>
      </c>
      <c r="G1666" s="1" t="str">
        <f t="shared" si="3329"/>
        <v>0</v>
      </c>
      <c r="H1666" s="1" t="str">
        <f t="shared" si="3329"/>
        <v>0</v>
      </c>
      <c r="I1666" s="1" t="str">
        <f t="shared" si="3329"/>
        <v>0</v>
      </c>
      <c r="J1666" s="1" t="str">
        <f>"3"</f>
        <v>3</v>
      </c>
      <c r="K1666" s="1" t="str">
        <f t="shared" ref="K1666:P1666" si="3330">"0"</f>
        <v>0</v>
      </c>
      <c r="L1666" s="1" t="str">
        <f t="shared" si="3330"/>
        <v>0</v>
      </c>
      <c r="M1666" s="1" t="str">
        <f t="shared" si="3330"/>
        <v>0</v>
      </c>
      <c r="N1666" s="1" t="str">
        <f t="shared" si="3330"/>
        <v>0</v>
      </c>
      <c r="O1666" s="1" t="str">
        <f t="shared" si="3330"/>
        <v>0</v>
      </c>
      <c r="P1666" s="1" t="str">
        <f t="shared" si="3330"/>
        <v>0</v>
      </c>
      <c r="Q1666" s="1" t="str">
        <f t="shared" si="3191"/>
        <v>0.0070</v>
      </c>
      <c r="R1666" s="1" t="s">
        <v>29</v>
      </c>
      <c r="S1666" s="1">
        <v>-0.0014</v>
      </c>
      <c r="T1666" s="1" t="str">
        <f t="shared" si="3192"/>
        <v>0</v>
      </c>
      <c r="U1666" s="1" t="str">
        <f t="shared" si="3324"/>
        <v>0.0056</v>
      </c>
    </row>
    <row r="1667" s="1" customFormat="1" spans="1:21">
      <c r="A1667" s="1" t="str">
        <f>"4601992023055"</f>
        <v>4601992023055</v>
      </c>
      <c r="B1667" s="1" t="s">
        <v>1691</v>
      </c>
      <c r="C1667" s="1" t="s">
        <v>24</v>
      </c>
      <c r="D1667" s="1" t="str">
        <f t="shared" ref="D1667:D1730" si="3331">"2021"</f>
        <v>2021</v>
      </c>
      <c r="E1667" s="1" t="str">
        <f>"84.63"</f>
        <v>84.63</v>
      </c>
      <c r="F1667" s="1" t="str">
        <f t="shared" ref="F1667:I1667" si="3332">"0"</f>
        <v>0</v>
      </c>
      <c r="G1667" s="1" t="str">
        <f t="shared" si="3332"/>
        <v>0</v>
      </c>
      <c r="H1667" s="1" t="str">
        <f t="shared" si="3332"/>
        <v>0</v>
      </c>
      <c r="I1667" s="1" t="str">
        <f t="shared" si="3332"/>
        <v>0</v>
      </c>
      <c r="J1667" s="1" t="str">
        <f>"9"</f>
        <v>9</v>
      </c>
      <c r="K1667" s="1" t="str">
        <f t="shared" ref="K1667:P1667" si="3333">"0"</f>
        <v>0</v>
      </c>
      <c r="L1667" s="1" t="str">
        <f t="shared" si="3333"/>
        <v>0</v>
      </c>
      <c r="M1667" s="1" t="str">
        <f t="shared" si="3333"/>
        <v>0</v>
      </c>
      <c r="N1667" s="1" t="str">
        <f t="shared" si="3333"/>
        <v>0</v>
      </c>
      <c r="O1667" s="1" t="str">
        <f t="shared" si="3333"/>
        <v>0</v>
      </c>
      <c r="P1667" s="1" t="str">
        <f t="shared" si="3333"/>
        <v>0</v>
      </c>
      <c r="Q1667" s="1" t="str">
        <f t="shared" ref="Q1667:Q1730" si="3334">"0.0070"</f>
        <v>0.0070</v>
      </c>
      <c r="R1667" s="1" t="s">
        <v>29</v>
      </c>
      <c r="S1667" s="1">
        <v>-0.0014</v>
      </c>
      <c r="T1667" s="1" t="str">
        <f t="shared" ref="T1667:T1730" si="3335">"0"</f>
        <v>0</v>
      </c>
      <c r="U1667" s="1" t="str">
        <f t="shared" si="3324"/>
        <v>0.0056</v>
      </c>
    </row>
    <row r="1668" s="1" customFormat="1" spans="1:21">
      <c r="A1668" s="1" t="str">
        <f>"4601992023093"</f>
        <v>4601992023093</v>
      </c>
      <c r="B1668" s="1" t="s">
        <v>1692</v>
      </c>
      <c r="C1668" s="1" t="s">
        <v>24</v>
      </c>
      <c r="D1668" s="1" t="str">
        <f t="shared" si="3331"/>
        <v>2021</v>
      </c>
      <c r="E1668" s="1" t="str">
        <f t="shared" ref="E1668:P1668" si="3336">"0"</f>
        <v>0</v>
      </c>
      <c r="F1668" s="1" t="str">
        <f t="shared" si="3336"/>
        <v>0</v>
      </c>
      <c r="G1668" s="1" t="str">
        <f t="shared" si="3336"/>
        <v>0</v>
      </c>
      <c r="H1668" s="1" t="str">
        <f t="shared" si="3336"/>
        <v>0</v>
      </c>
      <c r="I1668" s="1" t="str">
        <f t="shared" si="3336"/>
        <v>0</v>
      </c>
      <c r="J1668" s="1" t="str">
        <f t="shared" si="3336"/>
        <v>0</v>
      </c>
      <c r="K1668" s="1" t="str">
        <f t="shared" si="3336"/>
        <v>0</v>
      </c>
      <c r="L1668" s="1" t="str">
        <f t="shared" si="3336"/>
        <v>0</v>
      </c>
      <c r="M1668" s="1" t="str">
        <f t="shared" si="3336"/>
        <v>0</v>
      </c>
      <c r="N1668" s="1" t="str">
        <f t="shared" si="3336"/>
        <v>0</v>
      </c>
      <c r="O1668" s="1" t="str">
        <f t="shared" si="3336"/>
        <v>0</v>
      </c>
      <c r="P1668" s="1" t="str">
        <f t="shared" si="3336"/>
        <v>0</v>
      </c>
      <c r="Q1668" s="1" t="str">
        <f t="shared" si="3334"/>
        <v>0.0070</v>
      </c>
      <c r="R1668" s="1" t="s">
        <v>25</v>
      </c>
      <c r="T1668" s="1" t="str">
        <f t="shared" si="3335"/>
        <v>0</v>
      </c>
      <c r="U1668" s="1" t="str">
        <f t="shared" ref="U1668:U1675" si="3337">"0.0070"</f>
        <v>0.0070</v>
      </c>
    </row>
    <row r="1669" s="1" customFormat="1" spans="1:21">
      <c r="A1669" s="1" t="str">
        <f>"4601992023088"</f>
        <v>4601992023088</v>
      </c>
      <c r="B1669" s="1" t="s">
        <v>1693</v>
      </c>
      <c r="C1669" s="1" t="s">
        <v>24</v>
      </c>
      <c r="D1669" s="1" t="str">
        <f t="shared" si="3331"/>
        <v>2021</v>
      </c>
      <c r="E1669" s="1" t="str">
        <f>"24.18"</f>
        <v>24.18</v>
      </c>
      <c r="F1669" s="1" t="str">
        <f t="shared" ref="F1669:I1669" si="3338">"0"</f>
        <v>0</v>
      </c>
      <c r="G1669" s="1" t="str">
        <f t="shared" si="3338"/>
        <v>0</v>
      </c>
      <c r="H1669" s="1" t="str">
        <f t="shared" si="3338"/>
        <v>0</v>
      </c>
      <c r="I1669" s="1" t="str">
        <f t="shared" si="3338"/>
        <v>0</v>
      </c>
      <c r="J1669" s="1" t="str">
        <f>"4"</f>
        <v>4</v>
      </c>
      <c r="K1669" s="1" t="str">
        <f t="shared" ref="K1669:P1669" si="3339">"0"</f>
        <v>0</v>
      </c>
      <c r="L1669" s="1" t="str">
        <f t="shared" si="3339"/>
        <v>0</v>
      </c>
      <c r="M1669" s="1" t="str">
        <f t="shared" si="3339"/>
        <v>0</v>
      </c>
      <c r="N1669" s="1" t="str">
        <f t="shared" si="3339"/>
        <v>0</v>
      </c>
      <c r="O1669" s="1" t="str">
        <f t="shared" si="3339"/>
        <v>0</v>
      </c>
      <c r="P1669" s="1" t="str">
        <f t="shared" si="3339"/>
        <v>0</v>
      </c>
      <c r="Q1669" s="1" t="str">
        <f t="shared" si="3334"/>
        <v>0.0070</v>
      </c>
      <c r="R1669" s="1" t="s">
        <v>29</v>
      </c>
      <c r="S1669" s="1">
        <v>-0.0014</v>
      </c>
      <c r="T1669" s="1" t="str">
        <f t="shared" si="3335"/>
        <v>0</v>
      </c>
      <c r="U1669" s="1" t="str">
        <f>"0.0056"</f>
        <v>0.0056</v>
      </c>
    </row>
    <row r="1670" s="1" customFormat="1" spans="1:21">
      <c r="A1670" s="1" t="str">
        <f>"4601992023101"</f>
        <v>4601992023101</v>
      </c>
      <c r="B1670" s="1" t="s">
        <v>1694</v>
      </c>
      <c r="C1670" s="1" t="s">
        <v>24</v>
      </c>
      <c r="D1670" s="1" t="str">
        <f t="shared" si="3331"/>
        <v>2021</v>
      </c>
      <c r="E1670" s="1" t="str">
        <f t="shared" ref="E1670:P1670" si="3340">"0"</f>
        <v>0</v>
      </c>
      <c r="F1670" s="1" t="str">
        <f t="shared" si="3340"/>
        <v>0</v>
      </c>
      <c r="G1670" s="1" t="str">
        <f t="shared" si="3340"/>
        <v>0</v>
      </c>
      <c r="H1670" s="1" t="str">
        <f t="shared" si="3340"/>
        <v>0</v>
      </c>
      <c r="I1670" s="1" t="str">
        <f t="shared" si="3340"/>
        <v>0</v>
      </c>
      <c r="J1670" s="1" t="str">
        <f t="shared" si="3340"/>
        <v>0</v>
      </c>
      <c r="K1670" s="1" t="str">
        <f t="shared" si="3340"/>
        <v>0</v>
      </c>
      <c r="L1670" s="1" t="str">
        <f t="shared" si="3340"/>
        <v>0</v>
      </c>
      <c r="M1670" s="1" t="str">
        <f t="shared" si="3340"/>
        <v>0</v>
      </c>
      <c r="N1670" s="1" t="str">
        <f t="shared" si="3340"/>
        <v>0</v>
      </c>
      <c r="O1670" s="1" t="str">
        <f t="shared" si="3340"/>
        <v>0</v>
      </c>
      <c r="P1670" s="1" t="str">
        <f t="shared" si="3340"/>
        <v>0</v>
      </c>
      <c r="Q1670" s="1" t="str">
        <f t="shared" si="3334"/>
        <v>0.0070</v>
      </c>
      <c r="R1670" s="1" t="s">
        <v>25</v>
      </c>
      <c r="T1670" s="1" t="str">
        <f t="shared" si="3335"/>
        <v>0</v>
      </c>
      <c r="U1670" s="1" t="str">
        <f t="shared" si="3337"/>
        <v>0.0070</v>
      </c>
    </row>
    <row r="1671" s="1" customFormat="1" spans="1:21">
      <c r="A1671" s="1" t="str">
        <f>"4601992023114"</f>
        <v>4601992023114</v>
      </c>
      <c r="B1671" s="1" t="s">
        <v>1695</v>
      </c>
      <c r="C1671" s="1" t="s">
        <v>24</v>
      </c>
      <c r="D1671" s="1" t="str">
        <f t="shared" si="3331"/>
        <v>2021</v>
      </c>
      <c r="E1671" s="1" t="str">
        <f t="shared" ref="E1671:P1671" si="3341">"0"</f>
        <v>0</v>
      </c>
      <c r="F1671" s="1" t="str">
        <f t="shared" si="3341"/>
        <v>0</v>
      </c>
      <c r="G1671" s="1" t="str">
        <f t="shared" si="3341"/>
        <v>0</v>
      </c>
      <c r="H1671" s="1" t="str">
        <f t="shared" si="3341"/>
        <v>0</v>
      </c>
      <c r="I1671" s="1" t="str">
        <f t="shared" si="3341"/>
        <v>0</v>
      </c>
      <c r="J1671" s="1" t="str">
        <f t="shared" si="3341"/>
        <v>0</v>
      </c>
      <c r="K1671" s="1" t="str">
        <f t="shared" si="3341"/>
        <v>0</v>
      </c>
      <c r="L1671" s="1" t="str">
        <f t="shared" si="3341"/>
        <v>0</v>
      </c>
      <c r="M1671" s="1" t="str">
        <f t="shared" si="3341"/>
        <v>0</v>
      </c>
      <c r="N1671" s="1" t="str">
        <f t="shared" si="3341"/>
        <v>0</v>
      </c>
      <c r="O1671" s="1" t="str">
        <f t="shared" si="3341"/>
        <v>0</v>
      </c>
      <c r="P1671" s="1" t="str">
        <f t="shared" si="3341"/>
        <v>0</v>
      </c>
      <c r="Q1671" s="1" t="str">
        <f t="shared" si="3334"/>
        <v>0.0070</v>
      </c>
      <c r="R1671" s="1" t="s">
        <v>25</v>
      </c>
      <c r="T1671" s="1" t="str">
        <f t="shared" si="3335"/>
        <v>0</v>
      </c>
      <c r="U1671" s="1" t="str">
        <f t="shared" si="3337"/>
        <v>0.0070</v>
      </c>
    </row>
    <row r="1672" s="1" customFormat="1" spans="1:21">
      <c r="A1672" s="1" t="str">
        <f>"4601992023136"</f>
        <v>4601992023136</v>
      </c>
      <c r="B1672" s="1" t="s">
        <v>1696</v>
      </c>
      <c r="C1672" s="1" t="s">
        <v>24</v>
      </c>
      <c r="D1672" s="1" t="str">
        <f t="shared" si="3331"/>
        <v>2021</v>
      </c>
      <c r="E1672" s="1" t="str">
        <f t="shared" ref="E1672:P1672" si="3342">"0"</f>
        <v>0</v>
      </c>
      <c r="F1672" s="1" t="str">
        <f t="shared" si="3342"/>
        <v>0</v>
      </c>
      <c r="G1672" s="1" t="str">
        <f t="shared" si="3342"/>
        <v>0</v>
      </c>
      <c r="H1672" s="1" t="str">
        <f t="shared" si="3342"/>
        <v>0</v>
      </c>
      <c r="I1672" s="1" t="str">
        <f t="shared" si="3342"/>
        <v>0</v>
      </c>
      <c r="J1672" s="1" t="str">
        <f t="shared" si="3342"/>
        <v>0</v>
      </c>
      <c r="K1672" s="1" t="str">
        <f t="shared" si="3342"/>
        <v>0</v>
      </c>
      <c r="L1672" s="1" t="str">
        <f t="shared" si="3342"/>
        <v>0</v>
      </c>
      <c r="M1672" s="1" t="str">
        <f t="shared" si="3342"/>
        <v>0</v>
      </c>
      <c r="N1672" s="1" t="str">
        <f t="shared" si="3342"/>
        <v>0</v>
      </c>
      <c r="O1672" s="1" t="str">
        <f t="shared" si="3342"/>
        <v>0</v>
      </c>
      <c r="P1672" s="1" t="str">
        <f t="shared" si="3342"/>
        <v>0</v>
      </c>
      <c r="Q1672" s="1" t="str">
        <f t="shared" si="3334"/>
        <v>0.0070</v>
      </c>
      <c r="R1672" s="1" t="s">
        <v>25</v>
      </c>
      <c r="T1672" s="1" t="str">
        <f t="shared" si="3335"/>
        <v>0</v>
      </c>
      <c r="U1672" s="1" t="str">
        <f t="shared" si="3337"/>
        <v>0.0070</v>
      </c>
    </row>
    <row r="1673" s="1" customFormat="1" spans="1:21">
      <c r="A1673" s="1" t="str">
        <f>"4601992023230"</f>
        <v>4601992023230</v>
      </c>
      <c r="B1673" s="1" t="s">
        <v>1697</v>
      </c>
      <c r="C1673" s="1" t="s">
        <v>24</v>
      </c>
      <c r="D1673" s="1" t="str">
        <f t="shared" si="3331"/>
        <v>2021</v>
      </c>
      <c r="E1673" s="1" t="str">
        <f t="shared" ref="E1673:P1673" si="3343">"0"</f>
        <v>0</v>
      </c>
      <c r="F1673" s="1" t="str">
        <f t="shared" si="3343"/>
        <v>0</v>
      </c>
      <c r="G1673" s="1" t="str">
        <f t="shared" si="3343"/>
        <v>0</v>
      </c>
      <c r="H1673" s="1" t="str">
        <f t="shared" si="3343"/>
        <v>0</v>
      </c>
      <c r="I1673" s="1" t="str">
        <f t="shared" si="3343"/>
        <v>0</v>
      </c>
      <c r="J1673" s="1" t="str">
        <f t="shared" si="3343"/>
        <v>0</v>
      </c>
      <c r="K1673" s="1" t="str">
        <f t="shared" si="3343"/>
        <v>0</v>
      </c>
      <c r="L1673" s="1" t="str">
        <f t="shared" si="3343"/>
        <v>0</v>
      </c>
      <c r="M1673" s="1" t="str">
        <f t="shared" si="3343"/>
        <v>0</v>
      </c>
      <c r="N1673" s="1" t="str">
        <f t="shared" si="3343"/>
        <v>0</v>
      </c>
      <c r="O1673" s="1" t="str">
        <f t="shared" si="3343"/>
        <v>0</v>
      </c>
      <c r="P1673" s="1" t="str">
        <f t="shared" si="3343"/>
        <v>0</v>
      </c>
      <c r="Q1673" s="1" t="str">
        <f t="shared" si="3334"/>
        <v>0.0070</v>
      </c>
      <c r="R1673" s="1" t="s">
        <v>25</v>
      </c>
      <c r="T1673" s="1" t="str">
        <f t="shared" si="3335"/>
        <v>0</v>
      </c>
      <c r="U1673" s="1" t="str">
        <f t="shared" si="3337"/>
        <v>0.0070</v>
      </c>
    </row>
    <row r="1674" s="1" customFormat="1" spans="1:21">
      <c r="A1674" s="1" t="str">
        <f>"4601992023149"</f>
        <v>4601992023149</v>
      </c>
      <c r="B1674" s="1" t="s">
        <v>1698</v>
      </c>
      <c r="C1674" s="1" t="s">
        <v>24</v>
      </c>
      <c r="D1674" s="1" t="str">
        <f t="shared" si="3331"/>
        <v>2021</v>
      </c>
      <c r="E1674" s="1" t="str">
        <f t="shared" ref="E1674:P1674" si="3344">"0"</f>
        <v>0</v>
      </c>
      <c r="F1674" s="1" t="str">
        <f t="shared" si="3344"/>
        <v>0</v>
      </c>
      <c r="G1674" s="1" t="str">
        <f t="shared" si="3344"/>
        <v>0</v>
      </c>
      <c r="H1674" s="1" t="str">
        <f t="shared" si="3344"/>
        <v>0</v>
      </c>
      <c r="I1674" s="1" t="str">
        <f t="shared" si="3344"/>
        <v>0</v>
      </c>
      <c r="J1674" s="1" t="str">
        <f t="shared" si="3344"/>
        <v>0</v>
      </c>
      <c r="K1674" s="1" t="str">
        <f t="shared" si="3344"/>
        <v>0</v>
      </c>
      <c r="L1674" s="1" t="str">
        <f t="shared" si="3344"/>
        <v>0</v>
      </c>
      <c r="M1674" s="1" t="str">
        <f t="shared" si="3344"/>
        <v>0</v>
      </c>
      <c r="N1674" s="1" t="str">
        <f t="shared" si="3344"/>
        <v>0</v>
      </c>
      <c r="O1674" s="1" t="str">
        <f t="shared" si="3344"/>
        <v>0</v>
      </c>
      <c r="P1674" s="1" t="str">
        <f t="shared" si="3344"/>
        <v>0</v>
      </c>
      <c r="Q1674" s="1" t="str">
        <f t="shared" si="3334"/>
        <v>0.0070</v>
      </c>
      <c r="R1674" s="1" t="s">
        <v>25</v>
      </c>
      <c r="T1674" s="1" t="str">
        <f t="shared" si="3335"/>
        <v>0</v>
      </c>
      <c r="U1674" s="1" t="str">
        <f t="shared" si="3337"/>
        <v>0.0070</v>
      </c>
    </row>
    <row r="1675" s="1" customFormat="1" spans="1:21">
      <c r="A1675" s="1" t="str">
        <f>"4601992023257"</f>
        <v>4601992023257</v>
      </c>
      <c r="B1675" s="1" t="s">
        <v>1699</v>
      </c>
      <c r="C1675" s="1" t="s">
        <v>24</v>
      </c>
      <c r="D1675" s="1" t="str">
        <f t="shared" si="3331"/>
        <v>2021</v>
      </c>
      <c r="E1675" s="1" t="str">
        <f t="shared" ref="E1675:P1675" si="3345">"0"</f>
        <v>0</v>
      </c>
      <c r="F1675" s="1" t="str">
        <f t="shared" si="3345"/>
        <v>0</v>
      </c>
      <c r="G1675" s="1" t="str">
        <f t="shared" si="3345"/>
        <v>0</v>
      </c>
      <c r="H1675" s="1" t="str">
        <f t="shared" si="3345"/>
        <v>0</v>
      </c>
      <c r="I1675" s="1" t="str">
        <f t="shared" si="3345"/>
        <v>0</v>
      </c>
      <c r="J1675" s="1" t="str">
        <f t="shared" si="3345"/>
        <v>0</v>
      </c>
      <c r="K1675" s="1" t="str">
        <f t="shared" si="3345"/>
        <v>0</v>
      </c>
      <c r="L1675" s="1" t="str">
        <f t="shared" si="3345"/>
        <v>0</v>
      </c>
      <c r="M1675" s="1" t="str">
        <f t="shared" si="3345"/>
        <v>0</v>
      </c>
      <c r="N1675" s="1" t="str">
        <f t="shared" si="3345"/>
        <v>0</v>
      </c>
      <c r="O1675" s="1" t="str">
        <f t="shared" si="3345"/>
        <v>0</v>
      </c>
      <c r="P1675" s="1" t="str">
        <f t="shared" si="3345"/>
        <v>0</v>
      </c>
      <c r="Q1675" s="1" t="str">
        <f t="shared" si="3334"/>
        <v>0.0070</v>
      </c>
      <c r="R1675" s="1" t="s">
        <v>25</v>
      </c>
      <c r="T1675" s="1" t="str">
        <f t="shared" si="3335"/>
        <v>0</v>
      </c>
      <c r="U1675" s="1" t="str">
        <f t="shared" si="3337"/>
        <v>0.0070</v>
      </c>
    </row>
    <row r="1676" s="1" customFormat="1" spans="1:21">
      <c r="A1676" s="1" t="str">
        <f>"4601992023252"</f>
        <v>4601992023252</v>
      </c>
      <c r="B1676" s="1" t="s">
        <v>1700</v>
      </c>
      <c r="C1676" s="1" t="s">
        <v>24</v>
      </c>
      <c r="D1676" s="1" t="str">
        <f t="shared" si="3331"/>
        <v>2021</v>
      </c>
      <c r="E1676" s="1" t="str">
        <f t="shared" ref="E1676:E1680" si="3346">"12.09"</f>
        <v>12.09</v>
      </c>
      <c r="F1676" s="1" t="str">
        <f t="shared" ref="F1676:I1676" si="3347">"0"</f>
        <v>0</v>
      </c>
      <c r="G1676" s="1" t="str">
        <f t="shared" si="3347"/>
        <v>0</v>
      </c>
      <c r="H1676" s="1" t="str">
        <f t="shared" si="3347"/>
        <v>0</v>
      </c>
      <c r="I1676" s="1" t="str">
        <f t="shared" si="3347"/>
        <v>0</v>
      </c>
      <c r="J1676" s="1" t="str">
        <f t="shared" ref="J1676:J1680" si="3348">"1"</f>
        <v>1</v>
      </c>
      <c r="K1676" s="1" t="str">
        <f t="shared" ref="K1676:P1676" si="3349">"0"</f>
        <v>0</v>
      </c>
      <c r="L1676" s="1" t="str">
        <f t="shared" si="3349"/>
        <v>0</v>
      </c>
      <c r="M1676" s="1" t="str">
        <f t="shared" si="3349"/>
        <v>0</v>
      </c>
      <c r="N1676" s="1" t="str">
        <f t="shared" si="3349"/>
        <v>0</v>
      </c>
      <c r="O1676" s="1" t="str">
        <f t="shared" si="3349"/>
        <v>0</v>
      </c>
      <c r="P1676" s="1" t="str">
        <f t="shared" si="3349"/>
        <v>0</v>
      </c>
      <c r="Q1676" s="1" t="str">
        <f t="shared" si="3334"/>
        <v>0.0070</v>
      </c>
      <c r="R1676" s="1" t="s">
        <v>29</v>
      </c>
      <c r="S1676" s="1">
        <v>-0.0014</v>
      </c>
      <c r="T1676" s="1" t="str">
        <f t="shared" si="3335"/>
        <v>0</v>
      </c>
      <c r="U1676" s="1" t="str">
        <f>"0.0056"</f>
        <v>0.0056</v>
      </c>
    </row>
    <row r="1677" s="1" customFormat="1" spans="1:21">
      <c r="A1677" s="1" t="str">
        <f>"4601992023119"</f>
        <v>4601992023119</v>
      </c>
      <c r="B1677" s="1" t="s">
        <v>1701</v>
      </c>
      <c r="C1677" s="1" t="s">
        <v>24</v>
      </c>
      <c r="D1677" s="1" t="str">
        <f t="shared" si="3331"/>
        <v>2021</v>
      </c>
      <c r="E1677" s="1" t="str">
        <f t="shared" ref="E1677:I1677" si="3350">"0"</f>
        <v>0</v>
      </c>
      <c r="F1677" s="1" t="str">
        <f t="shared" si="3350"/>
        <v>0</v>
      </c>
      <c r="G1677" s="1" t="str">
        <f t="shared" si="3350"/>
        <v>0</v>
      </c>
      <c r="H1677" s="1" t="str">
        <f t="shared" si="3350"/>
        <v>0</v>
      </c>
      <c r="I1677" s="1" t="str">
        <f t="shared" si="3350"/>
        <v>0</v>
      </c>
      <c r="J1677" s="1" t="str">
        <f>"3"</f>
        <v>3</v>
      </c>
      <c r="K1677" s="1" t="str">
        <f t="shared" ref="K1677:P1677" si="3351">"0"</f>
        <v>0</v>
      </c>
      <c r="L1677" s="1" t="str">
        <f t="shared" si="3351"/>
        <v>0</v>
      </c>
      <c r="M1677" s="1" t="str">
        <f t="shared" si="3351"/>
        <v>0</v>
      </c>
      <c r="N1677" s="1" t="str">
        <f t="shared" si="3351"/>
        <v>0</v>
      </c>
      <c r="O1677" s="1" t="str">
        <f t="shared" si="3351"/>
        <v>0</v>
      </c>
      <c r="P1677" s="1" t="str">
        <f t="shared" si="3351"/>
        <v>0</v>
      </c>
      <c r="Q1677" s="1" t="str">
        <f t="shared" si="3334"/>
        <v>0.0070</v>
      </c>
      <c r="R1677" s="1" t="s">
        <v>25</v>
      </c>
      <c r="T1677" s="1" t="str">
        <f t="shared" si="3335"/>
        <v>0</v>
      </c>
      <c r="U1677" s="1" t="str">
        <f t="shared" ref="U1677:U1685" si="3352">"0.0070"</f>
        <v>0.0070</v>
      </c>
    </row>
    <row r="1678" s="1" customFormat="1" spans="1:21">
      <c r="A1678" s="1" t="str">
        <f>"4601992023298"</f>
        <v>4601992023298</v>
      </c>
      <c r="B1678" s="1" t="s">
        <v>1702</v>
      </c>
      <c r="C1678" s="1" t="s">
        <v>24</v>
      </c>
      <c r="D1678" s="1" t="str">
        <f t="shared" si="3331"/>
        <v>2021</v>
      </c>
      <c r="E1678" s="1" t="str">
        <f t="shared" ref="E1678:P1678" si="3353">"0"</f>
        <v>0</v>
      </c>
      <c r="F1678" s="1" t="str">
        <f t="shared" si="3353"/>
        <v>0</v>
      </c>
      <c r="G1678" s="1" t="str">
        <f t="shared" si="3353"/>
        <v>0</v>
      </c>
      <c r="H1678" s="1" t="str">
        <f t="shared" si="3353"/>
        <v>0</v>
      </c>
      <c r="I1678" s="1" t="str">
        <f t="shared" si="3353"/>
        <v>0</v>
      </c>
      <c r="J1678" s="1" t="str">
        <f t="shared" si="3353"/>
        <v>0</v>
      </c>
      <c r="K1678" s="1" t="str">
        <f t="shared" si="3353"/>
        <v>0</v>
      </c>
      <c r="L1678" s="1" t="str">
        <f t="shared" si="3353"/>
        <v>0</v>
      </c>
      <c r="M1678" s="1" t="str">
        <f t="shared" si="3353"/>
        <v>0</v>
      </c>
      <c r="N1678" s="1" t="str">
        <f t="shared" si="3353"/>
        <v>0</v>
      </c>
      <c r="O1678" s="1" t="str">
        <f t="shared" si="3353"/>
        <v>0</v>
      </c>
      <c r="P1678" s="1" t="str">
        <f t="shared" si="3353"/>
        <v>0</v>
      </c>
      <c r="Q1678" s="1" t="str">
        <f t="shared" si="3334"/>
        <v>0.0070</v>
      </c>
      <c r="R1678" s="1" t="s">
        <v>25</v>
      </c>
      <c r="T1678" s="1" t="str">
        <f t="shared" si="3335"/>
        <v>0</v>
      </c>
      <c r="U1678" s="1" t="str">
        <f t="shared" si="3352"/>
        <v>0.0070</v>
      </c>
    </row>
    <row r="1679" s="1" customFormat="1" spans="1:21">
      <c r="A1679" s="1" t="str">
        <f>"4601992023267"</f>
        <v>4601992023267</v>
      </c>
      <c r="B1679" s="1" t="s">
        <v>1703</v>
      </c>
      <c r="C1679" s="1" t="s">
        <v>24</v>
      </c>
      <c r="D1679" s="1" t="str">
        <f t="shared" si="3331"/>
        <v>2021</v>
      </c>
      <c r="E1679" s="1" t="str">
        <f t="shared" si="3346"/>
        <v>12.09</v>
      </c>
      <c r="F1679" s="1" t="str">
        <f t="shared" ref="F1679:I1679" si="3354">"0"</f>
        <v>0</v>
      </c>
      <c r="G1679" s="1" t="str">
        <f t="shared" si="3354"/>
        <v>0</v>
      </c>
      <c r="H1679" s="1" t="str">
        <f t="shared" si="3354"/>
        <v>0</v>
      </c>
      <c r="I1679" s="1" t="str">
        <f t="shared" si="3354"/>
        <v>0</v>
      </c>
      <c r="J1679" s="1" t="str">
        <f t="shared" si="3348"/>
        <v>1</v>
      </c>
      <c r="K1679" s="1" t="str">
        <f t="shared" ref="K1679:P1679" si="3355">"0"</f>
        <v>0</v>
      </c>
      <c r="L1679" s="1" t="str">
        <f t="shared" si="3355"/>
        <v>0</v>
      </c>
      <c r="M1679" s="1" t="str">
        <f t="shared" si="3355"/>
        <v>0</v>
      </c>
      <c r="N1679" s="1" t="str">
        <f t="shared" si="3355"/>
        <v>0</v>
      </c>
      <c r="O1679" s="1" t="str">
        <f t="shared" si="3355"/>
        <v>0</v>
      </c>
      <c r="P1679" s="1" t="str">
        <f t="shared" si="3355"/>
        <v>0</v>
      </c>
      <c r="Q1679" s="1" t="str">
        <f t="shared" si="3334"/>
        <v>0.0070</v>
      </c>
      <c r="R1679" s="1" t="s">
        <v>29</v>
      </c>
      <c r="S1679" s="1">
        <v>-0.0014</v>
      </c>
      <c r="T1679" s="1" t="str">
        <f t="shared" si="3335"/>
        <v>0</v>
      </c>
      <c r="U1679" s="1" t="str">
        <f>"0.0056"</f>
        <v>0.0056</v>
      </c>
    </row>
    <row r="1680" s="1" customFormat="1" spans="1:21">
      <c r="A1680" s="1" t="str">
        <f>"4601992023299"</f>
        <v>4601992023299</v>
      </c>
      <c r="B1680" s="1" t="s">
        <v>1704</v>
      </c>
      <c r="C1680" s="1" t="s">
        <v>24</v>
      </c>
      <c r="D1680" s="1" t="str">
        <f t="shared" si="3331"/>
        <v>2021</v>
      </c>
      <c r="E1680" s="1" t="str">
        <f t="shared" si="3346"/>
        <v>12.09</v>
      </c>
      <c r="F1680" s="1" t="str">
        <f t="shared" ref="F1680:I1680" si="3356">"0"</f>
        <v>0</v>
      </c>
      <c r="G1680" s="1" t="str">
        <f t="shared" si="3356"/>
        <v>0</v>
      </c>
      <c r="H1680" s="1" t="str">
        <f t="shared" si="3356"/>
        <v>0</v>
      </c>
      <c r="I1680" s="1" t="str">
        <f t="shared" si="3356"/>
        <v>0</v>
      </c>
      <c r="J1680" s="1" t="str">
        <f t="shared" si="3348"/>
        <v>1</v>
      </c>
      <c r="K1680" s="1" t="str">
        <f t="shared" ref="K1680:P1680" si="3357">"0"</f>
        <v>0</v>
      </c>
      <c r="L1680" s="1" t="str">
        <f t="shared" si="3357"/>
        <v>0</v>
      </c>
      <c r="M1680" s="1" t="str">
        <f t="shared" si="3357"/>
        <v>0</v>
      </c>
      <c r="N1680" s="1" t="str">
        <f t="shared" si="3357"/>
        <v>0</v>
      </c>
      <c r="O1680" s="1" t="str">
        <f t="shared" si="3357"/>
        <v>0</v>
      </c>
      <c r="P1680" s="1" t="str">
        <f t="shared" si="3357"/>
        <v>0</v>
      </c>
      <c r="Q1680" s="1" t="str">
        <f t="shared" si="3334"/>
        <v>0.0070</v>
      </c>
      <c r="R1680" s="1" t="s">
        <v>25</v>
      </c>
      <c r="T1680" s="1" t="str">
        <f t="shared" si="3335"/>
        <v>0</v>
      </c>
      <c r="U1680" s="1" t="str">
        <f t="shared" si="3352"/>
        <v>0.0070</v>
      </c>
    </row>
    <row r="1681" s="1" customFormat="1" spans="1:21">
      <c r="A1681" s="1" t="str">
        <f>"4601992023290"</f>
        <v>4601992023290</v>
      </c>
      <c r="B1681" s="1" t="s">
        <v>1705</v>
      </c>
      <c r="C1681" s="1" t="s">
        <v>24</v>
      </c>
      <c r="D1681" s="1" t="str">
        <f t="shared" si="3331"/>
        <v>2021</v>
      </c>
      <c r="E1681" s="1" t="str">
        <f t="shared" ref="E1681:G1681" si="3358">"0"</f>
        <v>0</v>
      </c>
      <c r="F1681" s="1" t="str">
        <f t="shared" si="3358"/>
        <v>0</v>
      </c>
      <c r="G1681" s="1" t="str">
        <f t="shared" si="3358"/>
        <v>0</v>
      </c>
      <c r="H1681" s="1" t="str">
        <f>"24.18"</f>
        <v>24.18</v>
      </c>
      <c r="I1681" s="1" t="str">
        <f t="shared" ref="I1681:P1681" si="3359">"0"</f>
        <v>0</v>
      </c>
      <c r="J1681" s="1" t="str">
        <f>"3"</f>
        <v>3</v>
      </c>
      <c r="K1681" s="1" t="str">
        <f t="shared" si="3359"/>
        <v>0</v>
      </c>
      <c r="L1681" s="1" t="str">
        <f t="shared" si="3359"/>
        <v>0</v>
      </c>
      <c r="M1681" s="1" t="str">
        <f t="shared" si="3359"/>
        <v>0</v>
      </c>
      <c r="N1681" s="1" t="str">
        <f t="shared" si="3359"/>
        <v>0</v>
      </c>
      <c r="O1681" s="1" t="str">
        <f t="shared" si="3359"/>
        <v>0</v>
      </c>
      <c r="P1681" s="1" t="str">
        <f t="shared" si="3359"/>
        <v>0</v>
      </c>
      <c r="Q1681" s="1" t="str">
        <f t="shared" si="3334"/>
        <v>0.0070</v>
      </c>
      <c r="R1681" s="1" t="s">
        <v>25</v>
      </c>
      <c r="T1681" s="1" t="str">
        <f t="shared" si="3335"/>
        <v>0</v>
      </c>
      <c r="U1681" s="1" t="str">
        <f t="shared" si="3352"/>
        <v>0.0070</v>
      </c>
    </row>
    <row r="1682" s="1" customFormat="1" spans="1:21">
      <c r="A1682" s="1" t="str">
        <f>"4601992023306"</f>
        <v>4601992023306</v>
      </c>
      <c r="B1682" s="1" t="s">
        <v>1706</v>
      </c>
      <c r="C1682" s="1" t="s">
        <v>24</v>
      </c>
      <c r="D1682" s="1" t="str">
        <f t="shared" si="3331"/>
        <v>2021</v>
      </c>
      <c r="E1682" s="1" t="str">
        <f t="shared" ref="E1682:P1682" si="3360">"0"</f>
        <v>0</v>
      </c>
      <c r="F1682" s="1" t="str">
        <f t="shared" si="3360"/>
        <v>0</v>
      </c>
      <c r="G1682" s="1" t="str">
        <f t="shared" si="3360"/>
        <v>0</v>
      </c>
      <c r="H1682" s="1" t="str">
        <f t="shared" si="3360"/>
        <v>0</v>
      </c>
      <c r="I1682" s="1" t="str">
        <f t="shared" si="3360"/>
        <v>0</v>
      </c>
      <c r="J1682" s="1" t="str">
        <f t="shared" si="3360"/>
        <v>0</v>
      </c>
      <c r="K1682" s="1" t="str">
        <f t="shared" si="3360"/>
        <v>0</v>
      </c>
      <c r="L1682" s="1" t="str">
        <f t="shared" si="3360"/>
        <v>0</v>
      </c>
      <c r="M1682" s="1" t="str">
        <f t="shared" si="3360"/>
        <v>0</v>
      </c>
      <c r="N1682" s="1" t="str">
        <f t="shared" si="3360"/>
        <v>0</v>
      </c>
      <c r="O1682" s="1" t="str">
        <f t="shared" si="3360"/>
        <v>0</v>
      </c>
      <c r="P1682" s="1" t="str">
        <f t="shared" si="3360"/>
        <v>0</v>
      </c>
      <c r="Q1682" s="1" t="str">
        <f t="shared" si="3334"/>
        <v>0.0070</v>
      </c>
      <c r="R1682" s="1" t="s">
        <v>25</v>
      </c>
      <c r="T1682" s="1" t="str">
        <f t="shared" si="3335"/>
        <v>0</v>
      </c>
      <c r="U1682" s="1" t="str">
        <f t="shared" si="3352"/>
        <v>0.0070</v>
      </c>
    </row>
    <row r="1683" s="1" customFormat="1" spans="1:21">
      <c r="A1683" s="1" t="str">
        <f>"4601992023382"</f>
        <v>4601992023382</v>
      </c>
      <c r="B1683" s="1" t="s">
        <v>1707</v>
      </c>
      <c r="C1683" s="1" t="s">
        <v>24</v>
      </c>
      <c r="D1683" s="1" t="str">
        <f t="shared" si="3331"/>
        <v>2021</v>
      </c>
      <c r="E1683" s="1" t="str">
        <f t="shared" ref="E1683:P1683" si="3361">"0"</f>
        <v>0</v>
      </c>
      <c r="F1683" s="1" t="str">
        <f t="shared" si="3361"/>
        <v>0</v>
      </c>
      <c r="G1683" s="1" t="str">
        <f t="shared" si="3361"/>
        <v>0</v>
      </c>
      <c r="H1683" s="1" t="str">
        <f t="shared" si="3361"/>
        <v>0</v>
      </c>
      <c r="I1683" s="1" t="str">
        <f t="shared" si="3361"/>
        <v>0</v>
      </c>
      <c r="J1683" s="1" t="str">
        <f t="shared" si="3361"/>
        <v>0</v>
      </c>
      <c r="K1683" s="1" t="str">
        <f t="shared" si="3361"/>
        <v>0</v>
      </c>
      <c r="L1683" s="1" t="str">
        <f t="shared" si="3361"/>
        <v>0</v>
      </c>
      <c r="M1683" s="1" t="str">
        <f t="shared" si="3361"/>
        <v>0</v>
      </c>
      <c r="N1683" s="1" t="str">
        <f t="shared" si="3361"/>
        <v>0</v>
      </c>
      <c r="O1683" s="1" t="str">
        <f t="shared" si="3361"/>
        <v>0</v>
      </c>
      <c r="P1683" s="1" t="str">
        <f t="shared" si="3361"/>
        <v>0</v>
      </c>
      <c r="Q1683" s="1" t="str">
        <f t="shared" si="3334"/>
        <v>0.0070</v>
      </c>
      <c r="R1683" s="1" t="s">
        <v>25</v>
      </c>
      <c r="T1683" s="1" t="str">
        <f t="shared" si="3335"/>
        <v>0</v>
      </c>
      <c r="U1683" s="1" t="str">
        <f t="shared" si="3352"/>
        <v>0.0070</v>
      </c>
    </row>
    <row r="1684" s="1" customFormat="1" spans="1:21">
      <c r="A1684" s="1" t="str">
        <f>"4601992023334"</f>
        <v>4601992023334</v>
      </c>
      <c r="B1684" s="1" t="s">
        <v>1708</v>
      </c>
      <c r="C1684" s="1" t="s">
        <v>24</v>
      </c>
      <c r="D1684" s="1" t="str">
        <f t="shared" si="3331"/>
        <v>2021</v>
      </c>
      <c r="E1684" s="1" t="str">
        <f t="shared" ref="E1684:I1684" si="3362">"0"</f>
        <v>0</v>
      </c>
      <c r="F1684" s="1" t="str">
        <f t="shared" si="3362"/>
        <v>0</v>
      </c>
      <c r="G1684" s="1" t="str">
        <f t="shared" si="3362"/>
        <v>0</v>
      </c>
      <c r="H1684" s="1" t="str">
        <f t="shared" si="3362"/>
        <v>0</v>
      </c>
      <c r="I1684" s="1" t="str">
        <f t="shared" si="3362"/>
        <v>0</v>
      </c>
      <c r="J1684" s="1" t="str">
        <f>"2"</f>
        <v>2</v>
      </c>
      <c r="K1684" s="1" t="str">
        <f t="shared" ref="K1684:P1684" si="3363">"0"</f>
        <v>0</v>
      </c>
      <c r="L1684" s="1" t="str">
        <f t="shared" si="3363"/>
        <v>0</v>
      </c>
      <c r="M1684" s="1" t="str">
        <f t="shared" si="3363"/>
        <v>0</v>
      </c>
      <c r="N1684" s="1" t="str">
        <f t="shared" si="3363"/>
        <v>0</v>
      </c>
      <c r="O1684" s="1" t="str">
        <f t="shared" si="3363"/>
        <v>0</v>
      </c>
      <c r="P1684" s="1" t="str">
        <f t="shared" si="3363"/>
        <v>0</v>
      </c>
      <c r="Q1684" s="1" t="str">
        <f t="shared" si="3334"/>
        <v>0.0070</v>
      </c>
      <c r="R1684" s="1" t="s">
        <v>25</v>
      </c>
      <c r="T1684" s="1" t="str">
        <f t="shared" si="3335"/>
        <v>0</v>
      </c>
      <c r="U1684" s="1" t="str">
        <f t="shared" si="3352"/>
        <v>0.0070</v>
      </c>
    </row>
    <row r="1685" s="1" customFormat="1" spans="1:21">
      <c r="A1685" s="1" t="str">
        <f>"4601992023402"</f>
        <v>4601992023402</v>
      </c>
      <c r="B1685" s="1" t="s">
        <v>1709</v>
      </c>
      <c r="C1685" s="1" t="s">
        <v>24</v>
      </c>
      <c r="D1685" s="1" t="str">
        <f t="shared" si="3331"/>
        <v>2021</v>
      </c>
      <c r="E1685" s="1" t="str">
        <f t="shared" ref="E1685:P1685" si="3364">"0"</f>
        <v>0</v>
      </c>
      <c r="F1685" s="1" t="str">
        <f t="shared" si="3364"/>
        <v>0</v>
      </c>
      <c r="G1685" s="1" t="str">
        <f t="shared" si="3364"/>
        <v>0</v>
      </c>
      <c r="H1685" s="1" t="str">
        <f t="shared" si="3364"/>
        <v>0</v>
      </c>
      <c r="I1685" s="1" t="str">
        <f t="shared" si="3364"/>
        <v>0</v>
      </c>
      <c r="J1685" s="1" t="str">
        <f t="shared" si="3364"/>
        <v>0</v>
      </c>
      <c r="K1685" s="1" t="str">
        <f t="shared" si="3364"/>
        <v>0</v>
      </c>
      <c r="L1685" s="1" t="str">
        <f t="shared" si="3364"/>
        <v>0</v>
      </c>
      <c r="M1685" s="1" t="str">
        <f t="shared" si="3364"/>
        <v>0</v>
      </c>
      <c r="N1685" s="1" t="str">
        <f t="shared" si="3364"/>
        <v>0</v>
      </c>
      <c r="O1685" s="1" t="str">
        <f t="shared" si="3364"/>
        <v>0</v>
      </c>
      <c r="P1685" s="1" t="str">
        <f t="shared" si="3364"/>
        <v>0</v>
      </c>
      <c r="Q1685" s="1" t="str">
        <f t="shared" si="3334"/>
        <v>0.0070</v>
      </c>
      <c r="R1685" s="1" t="s">
        <v>25</v>
      </c>
      <c r="T1685" s="1" t="str">
        <f t="shared" si="3335"/>
        <v>0</v>
      </c>
      <c r="U1685" s="1" t="str">
        <f t="shared" si="3352"/>
        <v>0.0070</v>
      </c>
    </row>
    <row r="1686" s="1" customFormat="1" spans="1:21">
      <c r="A1686" s="1" t="str">
        <f>"4601992023396"</f>
        <v>4601992023396</v>
      </c>
      <c r="B1686" s="1" t="s">
        <v>1710</v>
      </c>
      <c r="C1686" s="1" t="s">
        <v>24</v>
      </c>
      <c r="D1686" s="1" t="str">
        <f t="shared" si="3331"/>
        <v>2021</v>
      </c>
      <c r="E1686" s="1" t="str">
        <f>"157.48"</f>
        <v>157.48</v>
      </c>
      <c r="F1686" s="1" t="str">
        <f t="shared" ref="F1686:I1686" si="3365">"0"</f>
        <v>0</v>
      </c>
      <c r="G1686" s="1" t="str">
        <f t="shared" si="3365"/>
        <v>0</v>
      </c>
      <c r="H1686" s="1" t="str">
        <f t="shared" si="3365"/>
        <v>0</v>
      </c>
      <c r="I1686" s="1" t="str">
        <f t="shared" si="3365"/>
        <v>0</v>
      </c>
      <c r="J1686" s="1" t="str">
        <f>"20"</f>
        <v>20</v>
      </c>
      <c r="K1686" s="1" t="str">
        <f t="shared" ref="K1686:P1686" si="3366">"0"</f>
        <v>0</v>
      </c>
      <c r="L1686" s="1" t="str">
        <f t="shared" si="3366"/>
        <v>0</v>
      </c>
      <c r="M1686" s="1" t="str">
        <f t="shared" si="3366"/>
        <v>0</v>
      </c>
      <c r="N1686" s="1" t="str">
        <f t="shared" si="3366"/>
        <v>0</v>
      </c>
      <c r="O1686" s="1" t="str">
        <f t="shared" si="3366"/>
        <v>0</v>
      </c>
      <c r="P1686" s="1" t="str">
        <f t="shared" si="3366"/>
        <v>0</v>
      </c>
      <c r="Q1686" s="1" t="str">
        <f t="shared" si="3334"/>
        <v>0.0070</v>
      </c>
      <c r="R1686" s="1" t="s">
        <v>29</v>
      </c>
      <c r="S1686" s="1">
        <v>-0.0014</v>
      </c>
      <c r="T1686" s="1" t="str">
        <f t="shared" si="3335"/>
        <v>0</v>
      </c>
      <c r="U1686" s="1" t="str">
        <f t="shared" ref="U1686:U1688" si="3367">"0.0056"</f>
        <v>0.0056</v>
      </c>
    </row>
    <row r="1687" s="1" customFormat="1" spans="1:21">
      <c r="A1687" s="1" t="str">
        <f>"4601992023451"</f>
        <v>4601992023451</v>
      </c>
      <c r="B1687" s="1" t="s">
        <v>1711</v>
      </c>
      <c r="C1687" s="1" t="s">
        <v>24</v>
      </c>
      <c r="D1687" s="1" t="str">
        <f t="shared" si="3331"/>
        <v>2021</v>
      </c>
      <c r="E1687" s="1" t="str">
        <f>"48.36"</f>
        <v>48.36</v>
      </c>
      <c r="F1687" s="1" t="str">
        <f t="shared" ref="F1687:I1687" si="3368">"0"</f>
        <v>0</v>
      </c>
      <c r="G1687" s="1" t="str">
        <f t="shared" si="3368"/>
        <v>0</v>
      </c>
      <c r="H1687" s="1" t="str">
        <f t="shared" si="3368"/>
        <v>0</v>
      </c>
      <c r="I1687" s="1" t="str">
        <f t="shared" si="3368"/>
        <v>0</v>
      </c>
      <c r="J1687" s="1" t="str">
        <f>"4"</f>
        <v>4</v>
      </c>
      <c r="K1687" s="1" t="str">
        <f t="shared" ref="K1687:P1687" si="3369">"0"</f>
        <v>0</v>
      </c>
      <c r="L1687" s="1" t="str">
        <f t="shared" si="3369"/>
        <v>0</v>
      </c>
      <c r="M1687" s="1" t="str">
        <f t="shared" si="3369"/>
        <v>0</v>
      </c>
      <c r="N1687" s="1" t="str">
        <f t="shared" si="3369"/>
        <v>0</v>
      </c>
      <c r="O1687" s="1" t="str">
        <f t="shared" si="3369"/>
        <v>0</v>
      </c>
      <c r="P1687" s="1" t="str">
        <f t="shared" si="3369"/>
        <v>0</v>
      </c>
      <c r="Q1687" s="1" t="str">
        <f t="shared" si="3334"/>
        <v>0.0070</v>
      </c>
      <c r="R1687" s="1" t="s">
        <v>29</v>
      </c>
      <c r="S1687" s="1">
        <v>-0.0014</v>
      </c>
      <c r="T1687" s="1" t="str">
        <f t="shared" si="3335"/>
        <v>0</v>
      </c>
      <c r="U1687" s="1" t="str">
        <f t="shared" si="3367"/>
        <v>0.0056</v>
      </c>
    </row>
    <row r="1688" s="1" customFormat="1" spans="1:21">
      <c r="A1688" s="1" t="str">
        <f>"4601992023468"</f>
        <v>4601992023468</v>
      </c>
      <c r="B1688" s="1" t="s">
        <v>1712</v>
      </c>
      <c r="C1688" s="1" t="s">
        <v>24</v>
      </c>
      <c r="D1688" s="1" t="str">
        <f t="shared" si="3331"/>
        <v>2021</v>
      </c>
      <c r="E1688" s="1" t="str">
        <f>"24.18"</f>
        <v>24.18</v>
      </c>
      <c r="F1688" s="1" t="str">
        <f t="shared" ref="F1688:I1688" si="3370">"0"</f>
        <v>0</v>
      </c>
      <c r="G1688" s="1" t="str">
        <f t="shared" si="3370"/>
        <v>0</v>
      </c>
      <c r="H1688" s="1" t="str">
        <f t="shared" si="3370"/>
        <v>0</v>
      </c>
      <c r="I1688" s="1" t="str">
        <f t="shared" si="3370"/>
        <v>0</v>
      </c>
      <c r="J1688" s="1" t="str">
        <f>"2"</f>
        <v>2</v>
      </c>
      <c r="K1688" s="1" t="str">
        <f t="shared" ref="K1688:P1688" si="3371">"0"</f>
        <v>0</v>
      </c>
      <c r="L1688" s="1" t="str">
        <f t="shared" si="3371"/>
        <v>0</v>
      </c>
      <c r="M1688" s="1" t="str">
        <f t="shared" si="3371"/>
        <v>0</v>
      </c>
      <c r="N1688" s="1" t="str">
        <f t="shared" si="3371"/>
        <v>0</v>
      </c>
      <c r="O1688" s="1" t="str">
        <f t="shared" si="3371"/>
        <v>0</v>
      </c>
      <c r="P1688" s="1" t="str">
        <f t="shared" si="3371"/>
        <v>0</v>
      </c>
      <c r="Q1688" s="1" t="str">
        <f t="shared" si="3334"/>
        <v>0.0070</v>
      </c>
      <c r="R1688" s="1" t="s">
        <v>29</v>
      </c>
      <c r="S1688" s="1">
        <v>-0.0014</v>
      </c>
      <c r="T1688" s="1" t="str">
        <f t="shared" si="3335"/>
        <v>0</v>
      </c>
      <c r="U1688" s="1" t="str">
        <f t="shared" si="3367"/>
        <v>0.0056</v>
      </c>
    </row>
    <row r="1689" s="1" customFormat="1" spans="1:21">
      <c r="A1689" s="1" t="str">
        <f>"4601992023481"</f>
        <v>4601992023481</v>
      </c>
      <c r="B1689" s="1" t="s">
        <v>1713</v>
      </c>
      <c r="C1689" s="1" t="s">
        <v>24</v>
      </c>
      <c r="D1689" s="1" t="str">
        <f t="shared" si="3331"/>
        <v>2021</v>
      </c>
      <c r="E1689" s="1" t="str">
        <f t="shared" ref="E1689:P1689" si="3372">"0"</f>
        <v>0</v>
      </c>
      <c r="F1689" s="1" t="str">
        <f t="shared" si="3372"/>
        <v>0</v>
      </c>
      <c r="G1689" s="1" t="str">
        <f t="shared" si="3372"/>
        <v>0</v>
      </c>
      <c r="H1689" s="1" t="str">
        <f t="shared" si="3372"/>
        <v>0</v>
      </c>
      <c r="I1689" s="1" t="str">
        <f t="shared" si="3372"/>
        <v>0</v>
      </c>
      <c r="J1689" s="1" t="str">
        <f t="shared" si="3372"/>
        <v>0</v>
      </c>
      <c r="K1689" s="1" t="str">
        <f t="shared" si="3372"/>
        <v>0</v>
      </c>
      <c r="L1689" s="1" t="str">
        <f t="shared" si="3372"/>
        <v>0</v>
      </c>
      <c r="M1689" s="1" t="str">
        <f t="shared" si="3372"/>
        <v>0</v>
      </c>
      <c r="N1689" s="1" t="str">
        <f t="shared" si="3372"/>
        <v>0</v>
      </c>
      <c r="O1689" s="1" t="str">
        <f t="shared" si="3372"/>
        <v>0</v>
      </c>
      <c r="P1689" s="1" t="str">
        <f t="shared" si="3372"/>
        <v>0</v>
      </c>
      <c r="Q1689" s="1" t="str">
        <f t="shared" si="3334"/>
        <v>0.0070</v>
      </c>
      <c r="R1689" s="1" t="s">
        <v>25</v>
      </c>
      <c r="T1689" s="1" t="str">
        <f t="shared" si="3335"/>
        <v>0</v>
      </c>
      <c r="U1689" s="1" t="str">
        <f t="shared" ref="U1689:U1691" si="3373">"0.0070"</f>
        <v>0.0070</v>
      </c>
    </row>
    <row r="1690" s="1" customFormat="1" spans="1:21">
      <c r="A1690" s="1" t="str">
        <f>"4601992023493"</f>
        <v>4601992023493</v>
      </c>
      <c r="B1690" s="1" t="s">
        <v>1714</v>
      </c>
      <c r="C1690" s="1" t="s">
        <v>24</v>
      </c>
      <c r="D1690" s="1" t="str">
        <f t="shared" si="3331"/>
        <v>2021</v>
      </c>
      <c r="E1690" s="1" t="str">
        <f t="shared" ref="E1690:P1690" si="3374">"0"</f>
        <v>0</v>
      </c>
      <c r="F1690" s="1" t="str">
        <f t="shared" si="3374"/>
        <v>0</v>
      </c>
      <c r="G1690" s="1" t="str">
        <f t="shared" si="3374"/>
        <v>0</v>
      </c>
      <c r="H1690" s="1" t="str">
        <f t="shared" si="3374"/>
        <v>0</v>
      </c>
      <c r="I1690" s="1" t="str">
        <f t="shared" si="3374"/>
        <v>0</v>
      </c>
      <c r="J1690" s="1" t="str">
        <f t="shared" si="3374"/>
        <v>0</v>
      </c>
      <c r="K1690" s="1" t="str">
        <f t="shared" si="3374"/>
        <v>0</v>
      </c>
      <c r="L1690" s="1" t="str">
        <f t="shared" si="3374"/>
        <v>0</v>
      </c>
      <c r="M1690" s="1" t="str">
        <f t="shared" si="3374"/>
        <v>0</v>
      </c>
      <c r="N1690" s="1" t="str">
        <f t="shared" si="3374"/>
        <v>0</v>
      </c>
      <c r="O1690" s="1" t="str">
        <f t="shared" si="3374"/>
        <v>0</v>
      </c>
      <c r="P1690" s="1" t="str">
        <f t="shared" si="3374"/>
        <v>0</v>
      </c>
      <c r="Q1690" s="1" t="str">
        <f t="shared" si="3334"/>
        <v>0.0070</v>
      </c>
      <c r="R1690" s="1" t="s">
        <v>25</v>
      </c>
      <c r="T1690" s="1" t="str">
        <f t="shared" si="3335"/>
        <v>0</v>
      </c>
      <c r="U1690" s="1" t="str">
        <f t="shared" si="3373"/>
        <v>0.0070</v>
      </c>
    </row>
    <row r="1691" s="1" customFormat="1" spans="1:21">
      <c r="A1691" s="1" t="str">
        <f>"4601992023486"</f>
        <v>4601992023486</v>
      </c>
      <c r="B1691" s="1" t="s">
        <v>1715</v>
      </c>
      <c r="C1691" s="1" t="s">
        <v>24</v>
      </c>
      <c r="D1691" s="1" t="str">
        <f t="shared" si="3331"/>
        <v>2021</v>
      </c>
      <c r="E1691" s="1" t="str">
        <f>"11.98"</f>
        <v>11.98</v>
      </c>
      <c r="F1691" s="1" t="str">
        <f t="shared" ref="F1691:I1691" si="3375">"0"</f>
        <v>0</v>
      </c>
      <c r="G1691" s="1" t="str">
        <f t="shared" si="3375"/>
        <v>0</v>
      </c>
      <c r="H1691" s="1" t="str">
        <f t="shared" si="3375"/>
        <v>0</v>
      </c>
      <c r="I1691" s="1" t="str">
        <f t="shared" si="3375"/>
        <v>0</v>
      </c>
      <c r="J1691" s="1" t="str">
        <f>"1"</f>
        <v>1</v>
      </c>
      <c r="K1691" s="1" t="str">
        <f t="shared" ref="K1691:P1691" si="3376">"0"</f>
        <v>0</v>
      </c>
      <c r="L1691" s="1" t="str">
        <f t="shared" si="3376"/>
        <v>0</v>
      </c>
      <c r="M1691" s="1" t="str">
        <f t="shared" si="3376"/>
        <v>0</v>
      </c>
      <c r="N1691" s="1" t="str">
        <f t="shared" si="3376"/>
        <v>0</v>
      </c>
      <c r="O1691" s="1" t="str">
        <f t="shared" si="3376"/>
        <v>0</v>
      </c>
      <c r="P1691" s="1" t="str">
        <f t="shared" si="3376"/>
        <v>0</v>
      </c>
      <c r="Q1691" s="1" t="str">
        <f t="shared" si="3334"/>
        <v>0.0070</v>
      </c>
      <c r="R1691" s="1" t="s">
        <v>25</v>
      </c>
      <c r="T1691" s="1" t="str">
        <f t="shared" si="3335"/>
        <v>0</v>
      </c>
      <c r="U1691" s="1" t="str">
        <f t="shared" si="3373"/>
        <v>0.0070</v>
      </c>
    </row>
    <row r="1692" s="1" customFormat="1" spans="1:21">
      <c r="A1692" s="1" t="str">
        <f>"4601992023501"</f>
        <v>4601992023501</v>
      </c>
      <c r="B1692" s="1" t="s">
        <v>1716</v>
      </c>
      <c r="C1692" s="1" t="s">
        <v>24</v>
      </c>
      <c r="D1692" s="1" t="str">
        <f t="shared" si="3331"/>
        <v>2021</v>
      </c>
      <c r="E1692" s="1" t="str">
        <f>"24.18"</f>
        <v>24.18</v>
      </c>
      <c r="F1692" s="1" t="str">
        <f t="shared" ref="F1692:I1692" si="3377">"0"</f>
        <v>0</v>
      </c>
      <c r="G1692" s="1" t="str">
        <f t="shared" si="3377"/>
        <v>0</v>
      </c>
      <c r="H1692" s="1" t="str">
        <f t="shared" si="3377"/>
        <v>0</v>
      </c>
      <c r="I1692" s="1" t="str">
        <f t="shared" si="3377"/>
        <v>0</v>
      </c>
      <c r="J1692" s="1" t="str">
        <f>"2"</f>
        <v>2</v>
      </c>
      <c r="K1692" s="1" t="str">
        <f t="shared" ref="K1692:P1692" si="3378">"0"</f>
        <v>0</v>
      </c>
      <c r="L1692" s="1" t="str">
        <f t="shared" si="3378"/>
        <v>0</v>
      </c>
      <c r="M1692" s="1" t="str">
        <f t="shared" si="3378"/>
        <v>0</v>
      </c>
      <c r="N1692" s="1" t="str">
        <f t="shared" si="3378"/>
        <v>0</v>
      </c>
      <c r="O1692" s="1" t="str">
        <f t="shared" si="3378"/>
        <v>0</v>
      </c>
      <c r="P1692" s="1" t="str">
        <f t="shared" si="3378"/>
        <v>0</v>
      </c>
      <c r="Q1692" s="1" t="str">
        <f t="shared" si="3334"/>
        <v>0.0070</v>
      </c>
      <c r="R1692" s="1" t="s">
        <v>29</v>
      </c>
      <c r="S1692" s="1">
        <v>-0.0014</v>
      </c>
      <c r="T1692" s="1" t="str">
        <f t="shared" si="3335"/>
        <v>0</v>
      </c>
      <c r="U1692" s="1" t="str">
        <f t="shared" ref="U1692:U1698" si="3379">"0.0056"</f>
        <v>0.0056</v>
      </c>
    </row>
    <row r="1693" s="1" customFormat="1" spans="1:21">
      <c r="A1693" s="1" t="str">
        <f>"4601992023504"</f>
        <v>4601992023504</v>
      </c>
      <c r="B1693" s="1" t="s">
        <v>1717</v>
      </c>
      <c r="C1693" s="1" t="s">
        <v>24</v>
      </c>
      <c r="D1693" s="1" t="str">
        <f t="shared" si="3331"/>
        <v>2021</v>
      </c>
      <c r="E1693" s="1" t="str">
        <f>"60.45"</f>
        <v>60.45</v>
      </c>
      <c r="F1693" s="1" t="str">
        <f t="shared" ref="F1693:I1693" si="3380">"0"</f>
        <v>0</v>
      </c>
      <c r="G1693" s="1" t="str">
        <f t="shared" si="3380"/>
        <v>0</v>
      </c>
      <c r="H1693" s="1" t="str">
        <f t="shared" si="3380"/>
        <v>0</v>
      </c>
      <c r="I1693" s="1" t="str">
        <f t="shared" si="3380"/>
        <v>0</v>
      </c>
      <c r="J1693" s="1" t="str">
        <f>"5"</f>
        <v>5</v>
      </c>
      <c r="K1693" s="1" t="str">
        <f t="shared" ref="K1693:P1693" si="3381">"0"</f>
        <v>0</v>
      </c>
      <c r="L1693" s="1" t="str">
        <f t="shared" si="3381"/>
        <v>0</v>
      </c>
      <c r="M1693" s="1" t="str">
        <f t="shared" si="3381"/>
        <v>0</v>
      </c>
      <c r="N1693" s="1" t="str">
        <f t="shared" si="3381"/>
        <v>0</v>
      </c>
      <c r="O1693" s="1" t="str">
        <f t="shared" si="3381"/>
        <v>0</v>
      </c>
      <c r="P1693" s="1" t="str">
        <f t="shared" si="3381"/>
        <v>0</v>
      </c>
      <c r="Q1693" s="1" t="str">
        <f t="shared" si="3334"/>
        <v>0.0070</v>
      </c>
      <c r="R1693" s="1" t="s">
        <v>29</v>
      </c>
      <c r="S1693" s="1">
        <v>-0.0014</v>
      </c>
      <c r="T1693" s="1" t="str">
        <f t="shared" si="3335"/>
        <v>0</v>
      </c>
      <c r="U1693" s="1" t="str">
        <f t="shared" si="3379"/>
        <v>0.0056</v>
      </c>
    </row>
    <row r="1694" s="1" customFormat="1" spans="1:21">
      <c r="A1694" s="1" t="str">
        <f>"4601992023564"</f>
        <v>4601992023564</v>
      </c>
      <c r="B1694" s="1" t="s">
        <v>1718</v>
      </c>
      <c r="C1694" s="1" t="s">
        <v>24</v>
      </c>
      <c r="D1694" s="1" t="str">
        <f t="shared" si="3331"/>
        <v>2021</v>
      </c>
      <c r="E1694" s="1" t="str">
        <f t="shared" ref="E1694:P1694" si="3382">"0"</f>
        <v>0</v>
      </c>
      <c r="F1694" s="1" t="str">
        <f t="shared" si="3382"/>
        <v>0</v>
      </c>
      <c r="G1694" s="1" t="str">
        <f t="shared" si="3382"/>
        <v>0</v>
      </c>
      <c r="H1694" s="1" t="str">
        <f t="shared" si="3382"/>
        <v>0</v>
      </c>
      <c r="I1694" s="1" t="str">
        <f t="shared" si="3382"/>
        <v>0</v>
      </c>
      <c r="J1694" s="1" t="str">
        <f t="shared" si="3382"/>
        <v>0</v>
      </c>
      <c r="K1694" s="1" t="str">
        <f t="shared" si="3382"/>
        <v>0</v>
      </c>
      <c r="L1694" s="1" t="str">
        <f t="shared" si="3382"/>
        <v>0</v>
      </c>
      <c r="M1694" s="1" t="str">
        <f t="shared" si="3382"/>
        <v>0</v>
      </c>
      <c r="N1694" s="1" t="str">
        <f t="shared" si="3382"/>
        <v>0</v>
      </c>
      <c r="O1694" s="1" t="str">
        <f t="shared" si="3382"/>
        <v>0</v>
      </c>
      <c r="P1694" s="1" t="str">
        <f t="shared" si="3382"/>
        <v>0</v>
      </c>
      <c r="Q1694" s="1" t="str">
        <f t="shared" si="3334"/>
        <v>0.0070</v>
      </c>
      <c r="R1694" s="1" t="s">
        <v>25</v>
      </c>
      <c r="T1694" s="1" t="str">
        <f t="shared" si="3335"/>
        <v>0</v>
      </c>
      <c r="U1694" s="1" t="str">
        <f>"0.0070"</f>
        <v>0.0070</v>
      </c>
    </row>
    <row r="1695" s="1" customFormat="1" spans="1:21">
      <c r="A1695" s="1" t="str">
        <f>"4601992023520"</f>
        <v>4601992023520</v>
      </c>
      <c r="B1695" s="1" t="s">
        <v>1719</v>
      </c>
      <c r="C1695" s="1" t="s">
        <v>24</v>
      </c>
      <c r="D1695" s="1" t="str">
        <f t="shared" si="3331"/>
        <v>2021</v>
      </c>
      <c r="E1695" s="1" t="str">
        <f>"229.71"</f>
        <v>229.71</v>
      </c>
      <c r="F1695" s="1" t="str">
        <f t="shared" ref="F1695:I1695" si="3383">"0"</f>
        <v>0</v>
      </c>
      <c r="G1695" s="1" t="str">
        <f t="shared" si="3383"/>
        <v>0</v>
      </c>
      <c r="H1695" s="1" t="str">
        <f t="shared" si="3383"/>
        <v>0</v>
      </c>
      <c r="I1695" s="1" t="str">
        <f t="shared" si="3383"/>
        <v>0</v>
      </c>
      <c r="J1695" s="1" t="str">
        <f>"19"</f>
        <v>19</v>
      </c>
      <c r="K1695" s="1" t="str">
        <f t="shared" ref="K1695:P1695" si="3384">"0"</f>
        <v>0</v>
      </c>
      <c r="L1695" s="1" t="str">
        <f t="shared" si="3384"/>
        <v>0</v>
      </c>
      <c r="M1695" s="1" t="str">
        <f t="shared" si="3384"/>
        <v>0</v>
      </c>
      <c r="N1695" s="1" t="str">
        <f t="shared" si="3384"/>
        <v>0</v>
      </c>
      <c r="O1695" s="1" t="str">
        <f t="shared" si="3384"/>
        <v>0</v>
      </c>
      <c r="P1695" s="1" t="str">
        <f t="shared" si="3384"/>
        <v>0</v>
      </c>
      <c r="Q1695" s="1" t="str">
        <f t="shared" si="3334"/>
        <v>0.0070</v>
      </c>
      <c r="R1695" s="1" t="s">
        <v>29</v>
      </c>
      <c r="S1695" s="1">
        <v>-0.0014</v>
      </c>
      <c r="T1695" s="1" t="str">
        <f t="shared" si="3335"/>
        <v>0</v>
      </c>
      <c r="U1695" s="1" t="str">
        <f t="shared" si="3379"/>
        <v>0.0056</v>
      </c>
    </row>
    <row r="1696" s="1" customFormat="1" spans="1:21">
      <c r="A1696" s="1" t="str">
        <f>"4601992023618"</f>
        <v>4601992023618</v>
      </c>
      <c r="B1696" s="1" t="s">
        <v>1720</v>
      </c>
      <c r="C1696" s="1" t="s">
        <v>24</v>
      </c>
      <c r="D1696" s="1" t="str">
        <f t="shared" si="3331"/>
        <v>2021</v>
      </c>
      <c r="E1696" s="1" t="str">
        <f>"61.09"</f>
        <v>61.09</v>
      </c>
      <c r="F1696" s="1" t="str">
        <f t="shared" ref="F1696:I1696" si="3385">"0"</f>
        <v>0</v>
      </c>
      <c r="G1696" s="1" t="str">
        <f t="shared" si="3385"/>
        <v>0</v>
      </c>
      <c r="H1696" s="1" t="str">
        <f t="shared" si="3385"/>
        <v>0</v>
      </c>
      <c r="I1696" s="1" t="str">
        <f t="shared" si="3385"/>
        <v>0</v>
      </c>
      <c r="J1696" s="1" t="str">
        <f>"4"</f>
        <v>4</v>
      </c>
      <c r="K1696" s="1" t="str">
        <f t="shared" ref="K1696:P1696" si="3386">"0"</f>
        <v>0</v>
      </c>
      <c r="L1696" s="1" t="str">
        <f t="shared" si="3386"/>
        <v>0</v>
      </c>
      <c r="M1696" s="1" t="str">
        <f t="shared" si="3386"/>
        <v>0</v>
      </c>
      <c r="N1696" s="1" t="str">
        <f t="shared" si="3386"/>
        <v>0</v>
      </c>
      <c r="O1696" s="1" t="str">
        <f t="shared" si="3386"/>
        <v>0</v>
      </c>
      <c r="P1696" s="1" t="str">
        <f t="shared" si="3386"/>
        <v>0</v>
      </c>
      <c r="Q1696" s="1" t="str">
        <f t="shared" si="3334"/>
        <v>0.0070</v>
      </c>
      <c r="R1696" s="1" t="s">
        <v>29</v>
      </c>
      <c r="S1696" s="1">
        <v>-0.0014</v>
      </c>
      <c r="T1696" s="1" t="str">
        <f t="shared" si="3335"/>
        <v>0</v>
      </c>
      <c r="U1696" s="1" t="str">
        <f t="shared" si="3379"/>
        <v>0.0056</v>
      </c>
    </row>
    <row r="1697" s="1" customFormat="1" spans="1:21">
      <c r="A1697" s="1" t="str">
        <f>"4601992023730"</f>
        <v>4601992023730</v>
      </c>
      <c r="B1697" s="1" t="s">
        <v>1721</v>
      </c>
      <c r="C1697" s="1" t="s">
        <v>24</v>
      </c>
      <c r="D1697" s="1" t="str">
        <f t="shared" si="3331"/>
        <v>2021</v>
      </c>
      <c r="E1697" s="1" t="str">
        <f>"24.50"</f>
        <v>24.50</v>
      </c>
      <c r="F1697" s="1" t="str">
        <f t="shared" ref="F1697:I1697" si="3387">"0"</f>
        <v>0</v>
      </c>
      <c r="G1697" s="1" t="str">
        <f t="shared" si="3387"/>
        <v>0</v>
      </c>
      <c r="H1697" s="1" t="str">
        <f t="shared" si="3387"/>
        <v>0</v>
      </c>
      <c r="I1697" s="1" t="str">
        <f t="shared" si="3387"/>
        <v>0</v>
      </c>
      <c r="J1697" s="1" t="str">
        <f t="shared" ref="J1697:J1702" si="3388">"2"</f>
        <v>2</v>
      </c>
      <c r="K1697" s="1" t="str">
        <f t="shared" ref="K1697:P1697" si="3389">"0"</f>
        <v>0</v>
      </c>
      <c r="L1697" s="1" t="str">
        <f t="shared" si="3389"/>
        <v>0</v>
      </c>
      <c r="M1697" s="1" t="str">
        <f t="shared" si="3389"/>
        <v>0</v>
      </c>
      <c r="N1697" s="1" t="str">
        <f t="shared" si="3389"/>
        <v>0</v>
      </c>
      <c r="O1697" s="1" t="str">
        <f t="shared" si="3389"/>
        <v>0</v>
      </c>
      <c r="P1697" s="1" t="str">
        <f t="shared" si="3389"/>
        <v>0</v>
      </c>
      <c r="Q1697" s="1" t="str">
        <f t="shared" si="3334"/>
        <v>0.0070</v>
      </c>
      <c r="R1697" s="1" t="s">
        <v>29</v>
      </c>
      <c r="S1697" s="1">
        <v>-0.0014</v>
      </c>
      <c r="T1697" s="1" t="str">
        <f t="shared" si="3335"/>
        <v>0</v>
      </c>
      <c r="U1697" s="1" t="str">
        <f t="shared" si="3379"/>
        <v>0.0056</v>
      </c>
    </row>
    <row r="1698" s="1" customFormat="1" spans="1:21">
      <c r="A1698" s="1" t="str">
        <f>"4601992023752"</f>
        <v>4601992023752</v>
      </c>
      <c r="B1698" s="1" t="s">
        <v>1722</v>
      </c>
      <c r="C1698" s="1" t="s">
        <v>24</v>
      </c>
      <c r="D1698" s="1" t="str">
        <f t="shared" si="3331"/>
        <v>2021</v>
      </c>
      <c r="E1698" s="1" t="str">
        <f>"36.53"</f>
        <v>36.53</v>
      </c>
      <c r="F1698" s="1" t="str">
        <f t="shared" ref="F1698:I1698" si="3390">"0"</f>
        <v>0</v>
      </c>
      <c r="G1698" s="1" t="str">
        <f t="shared" si="3390"/>
        <v>0</v>
      </c>
      <c r="H1698" s="1" t="str">
        <f t="shared" si="3390"/>
        <v>0</v>
      </c>
      <c r="I1698" s="1" t="str">
        <f t="shared" si="3390"/>
        <v>0</v>
      </c>
      <c r="J1698" s="1" t="str">
        <f>"6"</f>
        <v>6</v>
      </c>
      <c r="K1698" s="1" t="str">
        <f t="shared" ref="K1698:P1698" si="3391">"0"</f>
        <v>0</v>
      </c>
      <c r="L1698" s="1" t="str">
        <f t="shared" si="3391"/>
        <v>0</v>
      </c>
      <c r="M1698" s="1" t="str">
        <f t="shared" si="3391"/>
        <v>0</v>
      </c>
      <c r="N1698" s="1" t="str">
        <f t="shared" si="3391"/>
        <v>0</v>
      </c>
      <c r="O1698" s="1" t="str">
        <f t="shared" si="3391"/>
        <v>0</v>
      </c>
      <c r="P1698" s="1" t="str">
        <f t="shared" si="3391"/>
        <v>0</v>
      </c>
      <c r="Q1698" s="1" t="str">
        <f t="shared" si="3334"/>
        <v>0.0070</v>
      </c>
      <c r="R1698" s="1" t="s">
        <v>29</v>
      </c>
      <c r="S1698" s="1">
        <v>-0.0014</v>
      </c>
      <c r="T1698" s="1" t="str">
        <f t="shared" si="3335"/>
        <v>0</v>
      </c>
      <c r="U1698" s="1" t="str">
        <f t="shared" si="3379"/>
        <v>0.0056</v>
      </c>
    </row>
    <row r="1699" s="1" customFormat="1" spans="1:21">
      <c r="A1699" s="1" t="str">
        <f>"4601992023734"</f>
        <v>4601992023734</v>
      </c>
      <c r="B1699" s="1" t="s">
        <v>1723</v>
      </c>
      <c r="C1699" s="1" t="s">
        <v>24</v>
      </c>
      <c r="D1699" s="1" t="str">
        <f t="shared" si="3331"/>
        <v>2021</v>
      </c>
      <c r="E1699" s="1" t="str">
        <f>"12.09"</f>
        <v>12.09</v>
      </c>
      <c r="F1699" s="1" t="str">
        <f t="shared" ref="F1699:I1699" si="3392">"0"</f>
        <v>0</v>
      </c>
      <c r="G1699" s="1" t="str">
        <f t="shared" si="3392"/>
        <v>0</v>
      </c>
      <c r="H1699" s="1" t="str">
        <f t="shared" si="3392"/>
        <v>0</v>
      </c>
      <c r="I1699" s="1" t="str">
        <f t="shared" si="3392"/>
        <v>0</v>
      </c>
      <c r="J1699" s="1" t="str">
        <f>"1"</f>
        <v>1</v>
      </c>
      <c r="K1699" s="1" t="str">
        <f t="shared" ref="K1699:P1699" si="3393">"0"</f>
        <v>0</v>
      </c>
      <c r="L1699" s="1" t="str">
        <f t="shared" si="3393"/>
        <v>0</v>
      </c>
      <c r="M1699" s="1" t="str">
        <f t="shared" si="3393"/>
        <v>0</v>
      </c>
      <c r="N1699" s="1" t="str">
        <f t="shared" si="3393"/>
        <v>0</v>
      </c>
      <c r="O1699" s="1" t="str">
        <f t="shared" si="3393"/>
        <v>0</v>
      </c>
      <c r="P1699" s="1" t="str">
        <f t="shared" si="3393"/>
        <v>0</v>
      </c>
      <c r="Q1699" s="1" t="str">
        <f t="shared" si="3334"/>
        <v>0.0070</v>
      </c>
      <c r="R1699" s="1" t="s">
        <v>25</v>
      </c>
      <c r="T1699" s="1" t="str">
        <f t="shared" si="3335"/>
        <v>0</v>
      </c>
      <c r="U1699" s="1" t="str">
        <f>"0.0070"</f>
        <v>0.0070</v>
      </c>
    </row>
    <row r="1700" s="1" customFormat="1" spans="1:21">
      <c r="A1700" s="1" t="str">
        <f>"4601992023800"</f>
        <v>4601992023800</v>
      </c>
      <c r="B1700" s="1" t="s">
        <v>1724</v>
      </c>
      <c r="C1700" s="1" t="s">
        <v>24</v>
      </c>
      <c r="D1700" s="1" t="str">
        <f t="shared" si="3331"/>
        <v>2021</v>
      </c>
      <c r="E1700" s="1" t="str">
        <f>"24.07"</f>
        <v>24.07</v>
      </c>
      <c r="F1700" s="1" t="str">
        <f t="shared" ref="F1700:I1700" si="3394">"0"</f>
        <v>0</v>
      </c>
      <c r="G1700" s="1" t="str">
        <f t="shared" si="3394"/>
        <v>0</v>
      </c>
      <c r="H1700" s="1" t="str">
        <f t="shared" si="3394"/>
        <v>0</v>
      </c>
      <c r="I1700" s="1" t="str">
        <f t="shared" si="3394"/>
        <v>0</v>
      </c>
      <c r="J1700" s="1" t="str">
        <f t="shared" si="3388"/>
        <v>2</v>
      </c>
      <c r="K1700" s="1" t="str">
        <f t="shared" ref="K1700:P1700" si="3395">"0"</f>
        <v>0</v>
      </c>
      <c r="L1700" s="1" t="str">
        <f t="shared" si="3395"/>
        <v>0</v>
      </c>
      <c r="M1700" s="1" t="str">
        <f t="shared" si="3395"/>
        <v>0</v>
      </c>
      <c r="N1700" s="1" t="str">
        <f t="shared" si="3395"/>
        <v>0</v>
      </c>
      <c r="O1700" s="1" t="str">
        <f t="shared" si="3395"/>
        <v>0</v>
      </c>
      <c r="P1700" s="1" t="str">
        <f t="shared" si="3395"/>
        <v>0</v>
      </c>
      <c r="Q1700" s="1" t="str">
        <f t="shared" si="3334"/>
        <v>0.0070</v>
      </c>
      <c r="R1700" s="1" t="s">
        <v>29</v>
      </c>
      <c r="S1700" s="1">
        <v>-0.0014</v>
      </c>
      <c r="T1700" s="1" t="str">
        <f t="shared" si="3335"/>
        <v>0</v>
      </c>
      <c r="U1700" s="1" t="str">
        <f t="shared" ref="U1700:U1710" si="3396">"0.0056"</f>
        <v>0.0056</v>
      </c>
    </row>
    <row r="1701" s="1" customFormat="1" spans="1:21">
      <c r="A1701" s="1" t="str">
        <f>"4601992023771"</f>
        <v>4601992023771</v>
      </c>
      <c r="B1701" s="1" t="s">
        <v>1725</v>
      </c>
      <c r="C1701" s="1" t="s">
        <v>24</v>
      </c>
      <c r="D1701" s="1" t="str">
        <f t="shared" si="3331"/>
        <v>2021</v>
      </c>
      <c r="E1701" s="1" t="str">
        <f>"15.54"</f>
        <v>15.54</v>
      </c>
      <c r="F1701" s="1" t="str">
        <f t="shared" ref="F1701:I1701" si="3397">"0"</f>
        <v>0</v>
      </c>
      <c r="G1701" s="1" t="str">
        <f t="shared" si="3397"/>
        <v>0</v>
      </c>
      <c r="H1701" s="1" t="str">
        <f t="shared" si="3397"/>
        <v>0</v>
      </c>
      <c r="I1701" s="1" t="str">
        <f t="shared" si="3397"/>
        <v>0</v>
      </c>
      <c r="J1701" s="1" t="str">
        <f>"1"</f>
        <v>1</v>
      </c>
      <c r="K1701" s="1" t="str">
        <f t="shared" ref="K1701:P1701" si="3398">"0"</f>
        <v>0</v>
      </c>
      <c r="L1701" s="1" t="str">
        <f t="shared" si="3398"/>
        <v>0</v>
      </c>
      <c r="M1701" s="1" t="str">
        <f t="shared" si="3398"/>
        <v>0</v>
      </c>
      <c r="N1701" s="1" t="str">
        <f t="shared" si="3398"/>
        <v>0</v>
      </c>
      <c r="O1701" s="1" t="str">
        <f t="shared" si="3398"/>
        <v>0</v>
      </c>
      <c r="P1701" s="1" t="str">
        <f t="shared" si="3398"/>
        <v>0</v>
      </c>
      <c r="Q1701" s="1" t="str">
        <f t="shared" si="3334"/>
        <v>0.0070</v>
      </c>
      <c r="R1701" s="1" t="s">
        <v>29</v>
      </c>
      <c r="S1701" s="1">
        <v>-0.0014</v>
      </c>
      <c r="T1701" s="1" t="str">
        <f t="shared" si="3335"/>
        <v>0</v>
      </c>
      <c r="U1701" s="1" t="str">
        <f t="shared" si="3396"/>
        <v>0.0056</v>
      </c>
    </row>
    <row r="1702" s="1" customFormat="1" spans="1:21">
      <c r="A1702" s="1" t="str">
        <f>"4601992023824"</f>
        <v>4601992023824</v>
      </c>
      <c r="B1702" s="1" t="s">
        <v>1726</v>
      </c>
      <c r="C1702" s="1" t="s">
        <v>24</v>
      </c>
      <c r="D1702" s="1" t="str">
        <f t="shared" si="3331"/>
        <v>2021</v>
      </c>
      <c r="E1702" s="1" t="str">
        <f>"36.27"</f>
        <v>36.27</v>
      </c>
      <c r="F1702" s="1" t="str">
        <f t="shared" ref="F1702:I1702" si="3399">"0"</f>
        <v>0</v>
      </c>
      <c r="G1702" s="1" t="str">
        <f t="shared" si="3399"/>
        <v>0</v>
      </c>
      <c r="H1702" s="1" t="str">
        <f t="shared" si="3399"/>
        <v>0</v>
      </c>
      <c r="I1702" s="1" t="str">
        <f t="shared" si="3399"/>
        <v>0</v>
      </c>
      <c r="J1702" s="1" t="str">
        <f t="shared" si="3388"/>
        <v>2</v>
      </c>
      <c r="K1702" s="1" t="str">
        <f t="shared" ref="K1702:P1702" si="3400">"0"</f>
        <v>0</v>
      </c>
      <c r="L1702" s="1" t="str">
        <f t="shared" si="3400"/>
        <v>0</v>
      </c>
      <c r="M1702" s="1" t="str">
        <f t="shared" si="3400"/>
        <v>0</v>
      </c>
      <c r="N1702" s="1" t="str">
        <f t="shared" si="3400"/>
        <v>0</v>
      </c>
      <c r="O1702" s="1" t="str">
        <f t="shared" si="3400"/>
        <v>0</v>
      </c>
      <c r="P1702" s="1" t="str">
        <f t="shared" si="3400"/>
        <v>0</v>
      </c>
      <c r="Q1702" s="1" t="str">
        <f t="shared" si="3334"/>
        <v>0.0070</v>
      </c>
      <c r="R1702" s="1" t="s">
        <v>29</v>
      </c>
      <c r="S1702" s="1">
        <v>-0.0014</v>
      </c>
      <c r="T1702" s="1" t="str">
        <f t="shared" si="3335"/>
        <v>0</v>
      </c>
      <c r="U1702" s="1" t="str">
        <f t="shared" si="3396"/>
        <v>0.0056</v>
      </c>
    </row>
    <row r="1703" s="1" customFormat="1" spans="1:21">
      <c r="A1703" s="1" t="str">
        <f>"4601991423135"</f>
        <v>4601991423135</v>
      </c>
      <c r="B1703" s="1" t="s">
        <v>1727</v>
      </c>
      <c r="C1703" s="1" t="s">
        <v>24</v>
      </c>
      <c r="D1703" s="1" t="str">
        <f t="shared" si="3331"/>
        <v>2021</v>
      </c>
      <c r="E1703" s="1" t="str">
        <f>"329.18"</f>
        <v>329.18</v>
      </c>
      <c r="F1703" s="1" t="str">
        <f t="shared" ref="F1703:I1703" si="3401">"0"</f>
        <v>0</v>
      </c>
      <c r="G1703" s="1" t="str">
        <f t="shared" si="3401"/>
        <v>0</v>
      </c>
      <c r="H1703" s="1" t="str">
        <f t="shared" si="3401"/>
        <v>0</v>
      </c>
      <c r="I1703" s="1" t="str">
        <f t="shared" si="3401"/>
        <v>0</v>
      </c>
      <c r="J1703" s="1" t="str">
        <f>"28"</f>
        <v>28</v>
      </c>
      <c r="K1703" s="1" t="str">
        <f t="shared" ref="K1703:P1703" si="3402">"0"</f>
        <v>0</v>
      </c>
      <c r="L1703" s="1" t="str">
        <f t="shared" si="3402"/>
        <v>0</v>
      </c>
      <c r="M1703" s="1" t="str">
        <f t="shared" si="3402"/>
        <v>0</v>
      </c>
      <c r="N1703" s="1" t="str">
        <f t="shared" si="3402"/>
        <v>0</v>
      </c>
      <c r="O1703" s="1" t="str">
        <f t="shared" si="3402"/>
        <v>0</v>
      </c>
      <c r="P1703" s="1" t="str">
        <f t="shared" si="3402"/>
        <v>0</v>
      </c>
      <c r="Q1703" s="1" t="str">
        <f t="shared" si="3334"/>
        <v>0.0070</v>
      </c>
      <c r="R1703" s="1" t="s">
        <v>29</v>
      </c>
      <c r="S1703" s="1">
        <v>-0.0014</v>
      </c>
      <c r="T1703" s="1" t="str">
        <f t="shared" si="3335"/>
        <v>0</v>
      </c>
      <c r="U1703" s="1" t="str">
        <f t="shared" si="3396"/>
        <v>0.0056</v>
      </c>
    </row>
    <row r="1704" s="1" customFormat="1" spans="1:21">
      <c r="A1704" s="1" t="str">
        <f>"4601992022213"</f>
        <v>4601992022213</v>
      </c>
      <c r="B1704" s="1" t="s">
        <v>1728</v>
      </c>
      <c r="C1704" s="1" t="s">
        <v>24</v>
      </c>
      <c r="D1704" s="1" t="str">
        <f t="shared" si="3331"/>
        <v>2021</v>
      </c>
      <c r="E1704" s="1" t="str">
        <f>"24.18"</f>
        <v>24.18</v>
      </c>
      <c r="F1704" s="1" t="str">
        <f t="shared" ref="F1704:I1704" si="3403">"0"</f>
        <v>0</v>
      </c>
      <c r="G1704" s="1" t="str">
        <f t="shared" si="3403"/>
        <v>0</v>
      </c>
      <c r="H1704" s="1" t="str">
        <f t="shared" si="3403"/>
        <v>0</v>
      </c>
      <c r="I1704" s="1" t="str">
        <f t="shared" si="3403"/>
        <v>0</v>
      </c>
      <c r="J1704" s="1" t="str">
        <f>"2"</f>
        <v>2</v>
      </c>
      <c r="K1704" s="1" t="str">
        <f t="shared" ref="K1704:P1704" si="3404">"0"</f>
        <v>0</v>
      </c>
      <c r="L1704" s="1" t="str">
        <f t="shared" si="3404"/>
        <v>0</v>
      </c>
      <c r="M1704" s="1" t="str">
        <f t="shared" si="3404"/>
        <v>0</v>
      </c>
      <c r="N1704" s="1" t="str">
        <f t="shared" si="3404"/>
        <v>0</v>
      </c>
      <c r="O1704" s="1" t="str">
        <f t="shared" si="3404"/>
        <v>0</v>
      </c>
      <c r="P1704" s="1" t="str">
        <f t="shared" si="3404"/>
        <v>0</v>
      </c>
      <c r="Q1704" s="1" t="str">
        <f t="shared" si="3334"/>
        <v>0.0070</v>
      </c>
      <c r="R1704" s="1" t="s">
        <v>29</v>
      </c>
      <c r="S1704" s="1">
        <v>-0.0014</v>
      </c>
      <c r="T1704" s="1" t="str">
        <f t="shared" si="3335"/>
        <v>0</v>
      </c>
      <c r="U1704" s="1" t="str">
        <f t="shared" si="3396"/>
        <v>0.0056</v>
      </c>
    </row>
    <row r="1705" s="1" customFormat="1" spans="1:21">
      <c r="A1705" s="1" t="str">
        <f>"4601992024172"</f>
        <v>4601992024172</v>
      </c>
      <c r="B1705" s="1" t="s">
        <v>1729</v>
      </c>
      <c r="C1705" s="1" t="s">
        <v>24</v>
      </c>
      <c r="D1705" s="1" t="str">
        <f t="shared" si="3331"/>
        <v>2021</v>
      </c>
      <c r="E1705" s="1" t="str">
        <f>"484.96"</f>
        <v>484.96</v>
      </c>
      <c r="F1705" s="1" t="str">
        <f t="shared" ref="F1705:I1705" si="3405">"0"</f>
        <v>0</v>
      </c>
      <c r="G1705" s="1" t="str">
        <f t="shared" si="3405"/>
        <v>0</v>
      </c>
      <c r="H1705" s="1" t="str">
        <f t="shared" si="3405"/>
        <v>0</v>
      </c>
      <c r="I1705" s="1" t="str">
        <f t="shared" si="3405"/>
        <v>0</v>
      </c>
      <c r="J1705" s="1" t="str">
        <f>"31"</f>
        <v>31</v>
      </c>
      <c r="K1705" s="1" t="str">
        <f t="shared" ref="K1705:P1705" si="3406">"0"</f>
        <v>0</v>
      </c>
      <c r="L1705" s="1" t="str">
        <f t="shared" si="3406"/>
        <v>0</v>
      </c>
      <c r="M1705" s="1" t="str">
        <f t="shared" si="3406"/>
        <v>0</v>
      </c>
      <c r="N1705" s="1" t="str">
        <f t="shared" si="3406"/>
        <v>0</v>
      </c>
      <c r="O1705" s="1" t="str">
        <f t="shared" si="3406"/>
        <v>0</v>
      </c>
      <c r="P1705" s="1" t="str">
        <f t="shared" si="3406"/>
        <v>0</v>
      </c>
      <c r="Q1705" s="1" t="str">
        <f t="shared" si="3334"/>
        <v>0.0070</v>
      </c>
      <c r="R1705" s="1" t="s">
        <v>29</v>
      </c>
      <c r="S1705" s="1">
        <v>-0.0014</v>
      </c>
      <c r="T1705" s="1" t="str">
        <f t="shared" si="3335"/>
        <v>0</v>
      </c>
      <c r="U1705" s="1" t="str">
        <f t="shared" si="3396"/>
        <v>0.0056</v>
      </c>
    </row>
    <row r="1706" s="1" customFormat="1" spans="1:21">
      <c r="A1706" s="1" t="str">
        <f>"4601992002119"</f>
        <v>4601992002119</v>
      </c>
      <c r="B1706" s="1" t="s">
        <v>1730</v>
      </c>
      <c r="C1706" s="1" t="s">
        <v>24</v>
      </c>
      <c r="D1706" s="1" t="str">
        <f t="shared" si="3331"/>
        <v>2021</v>
      </c>
      <c r="E1706" s="1" t="str">
        <f>"48.36"</f>
        <v>48.36</v>
      </c>
      <c r="F1706" s="1" t="str">
        <f t="shared" ref="F1706:I1706" si="3407">"0"</f>
        <v>0</v>
      </c>
      <c r="G1706" s="1" t="str">
        <f t="shared" si="3407"/>
        <v>0</v>
      </c>
      <c r="H1706" s="1" t="str">
        <f t="shared" si="3407"/>
        <v>0</v>
      </c>
      <c r="I1706" s="1" t="str">
        <f t="shared" si="3407"/>
        <v>0</v>
      </c>
      <c r="J1706" s="1" t="str">
        <f>"7"</f>
        <v>7</v>
      </c>
      <c r="K1706" s="1" t="str">
        <f t="shared" ref="K1706:P1706" si="3408">"0"</f>
        <v>0</v>
      </c>
      <c r="L1706" s="1" t="str">
        <f t="shared" si="3408"/>
        <v>0</v>
      </c>
      <c r="M1706" s="1" t="str">
        <f t="shared" si="3408"/>
        <v>0</v>
      </c>
      <c r="N1706" s="1" t="str">
        <f t="shared" si="3408"/>
        <v>0</v>
      </c>
      <c r="O1706" s="1" t="str">
        <f t="shared" si="3408"/>
        <v>0</v>
      </c>
      <c r="P1706" s="1" t="str">
        <f t="shared" si="3408"/>
        <v>0</v>
      </c>
      <c r="Q1706" s="1" t="str">
        <f t="shared" si="3334"/>
        <v>0.0070</v>
      </c>
      <c r="R1706" s="1" t="s">
        <v>29</v>
      </c>
      <c r="S1706" s="1">
        <v>-0.0014</v>
      </c>
      <c r="T1706" s="1" t="str">
        <f t="shared" si="3335"/>
        <v>0</v>
      </c>
      <c r="U1706" s="1" t="str">
        <f t="shared" si="3396"/>
        <v>0.0056</v>
      </c>
    </row>
    <row r="1707" s="1" customFormat="1" spans="1:21">
      <c r="A1707" s="1" t="str">
        <f>"4601992024251"</f>
        <v>4601992024251</v>
      </c>
      <c r="B1707" s="1" t="s">
        <v>1731</v>
      </c>
      <c r="C1707" s="1" t="s">
        <v>24</v>
      </c>
      <c r="D1707" s="1" t="str">
        <f t="shared" si="3331"/>
        <v>2021</v>
      </c>
      <c r="E1707" s="1" t="str">
        <f>"134.99"</f>
        <v>134.99</v>
      </c>
      <c r="F1707" s="1" t="str">
        <f t="shared" ref="F1707:I1707" si="3409">"0"</f>
        <v>0</v>
      </c>
      <c r="G1707" s="1" t="str">
        <f t="shared" si="3409"/>
        <v>0</v>
      </c>
      <c r="H1707" s="1" t="str">
        <f t="shared" si="3409"/>
        <v>0</v>
      </c>
      <c r="I1707" s="1" t="str">
        <f t="shared" si="3409"/>
        <v>0</v>
      </c>
      <c r="J1707" s="1" t="str">
        <f>"10"</f>
        <v>10</v>
      </c>
      <c r="K1707" s="1" t="str">
        <f t="shared" ref="K1707:P1707" si="3410">"0"</f>
        <v>0</v>
      </c>
      <c r="L1707" s="1" t="str">
        <f t="shared" si="3410"/>
        <v>0</v>
      </c>
      <c r="M1707" s="1" t="str">
        <f t="shared" si="3410"/>
        <v>0</v>
      </c>
      <c r="N1707" s="1" t="str">
        <f t="shared" si="3410"/>
        <v>0</v>
      </c>
      <c r="O1707" s="1" t="str">
        <f t="shared" si="3410"/>
        <v>0</v>
      </c>
      <c r="P1707" s="1" t="str">
        <f t="shared" si="3410"/>
        <v>0</v>
      </c>
      <c r="Q1707" s="1" t="str">
        <f t="shared" si="3334"/>
        <v>0.0070</v>
      </c>
      <c r="R1707" s="1" t="s">
        <v>29</v>
      </c>
      <c r="S1707" s="1">
        <v>-0.0014</v>
      </c>
      <c r="T1707" s="1" t="str">
        <f t="shared" si="3335"/>
        <v>0</v>
      </c>
      <c r="U1707" s="1" t="str">
        <f t="shared" si="3396"/>
        <v>0.0056</v>
      </c>
    </row>
    <row r="1708" s="1" customFormat="1" spans="1:21">
      <c r="A1708" s="1" t="str">
        <f>"4601992024386"</f>
        <v>4601992024386</v>
      </c>
      <c r="B1708" s="1" t="s">
        <v>1732</v>
      </c>
      <c r="C1708" s="1" t="s">
        <v>24</v>
      </c>
      <c r="D1708" s="1" t="str">
        <f t="shared" si="3331"/>
        <v>2021</v>
      </c>
      <c r="E1708" s="1" t="str">
        <f>"12.25"</f>
        <v>12.25</v>
      </c>
      <c r="F1708" s="1" t="str">
        <f t="shared" ref="F1708:I1708" si="3411">"0"</f>
        <v>0</v>
      </c>
      <c r="G1708" s="1" t="str">
        <f t="shared" si="3411"/>
        <v>0</v>
      </c>
      <c r="H1708" s="1" t="str">
        <f t="shared" si="3411"/>
        <v>0</v>
      </c>
      <c r="I1708" s="1" t="str">
        <f t="shared" si="3411"/>
        <v>0</v>
      </c>
      <c r="J1708" s="1" t="str">
        <f>"1"</f>
        <v>1</v>
      </c>
      <c r="K1708" s="1" t="str">
        <f t="shared" ref="K1708:P1708" si="3412">"0"</f>
        <v>0</v>
      </c>
      <c r="L1708" s="1" t="str">
        <f t="shared" si="3412"/>
        <v>0</v>
      </c>
      <c r="M1708" s="1" t="str">
        <f t="shared" si="3412"/>
        <v>0</v>
      </c>
      <c r="N1708" s="1" t="str">
        <f t="shared" si="3412"/>
        <v>0</v>
      </c>
      <c r="O1708" s="1" t="str">
        <f t="shared" si="3412"/>
        <v>0</v>
      </c>
      <c r="P1708" s="1" t="str">
        <f t="shared" si="3412"/>
        <v>0</v>
      </c>
      <c r="Q1708" s="1" t="str">
        <f t="shared" si="3334"/>
        <v>0.0070</v>
      </c>
      <c r="R1708" s="1" t="s">
        <v>29</v>
      </c>
      <c r="S1708" s="1">
        <v>-0.0014</v>
      </c>
      <c r="T1708" s="1" t="str">
        <f t="shared" si="3335"/>
        <v>0</v>
      </c>
      <c r="U1708" s="1" t="str">
        <f t="shared" si="3396"/>
        <v>0.0056</v>
      </c>
    </row>
    <row r="1709" s="1" customFormat="1" spans="1:21">
      <c r="A1709" s="1" t="str">
        <f>"4601992011133"</f>
        <v>4601992011133</v>
      </c>
      <c r="B1709" s="1" t="s">
        <v>1733</v>
      </c>
      <c r="C1709" s="1" t="s">
        <v>24</v>
      </c>
      <c r="D1709" s="1" t="str">
        <f t="shared" si="3331"/>
        <v>2021</v>
      </c>
      <c r="E1709" s="1" t="str">
        <f>"119.82"</f>
        <v>119.82</v>
      </c>
      <c r="F1709" s="1" t="str">
        <f t="shared" ref="F1709:I1709" si="3413">"0"</f>
        <v>0</v>
      </c>
      <c r="G1709" s="1" t="str">
        <f t="shared" si="3413"/>
        <v>0</v>
      </c>
      <c r="H1709" s="1" t="str">
        <f t="shared" si="3413"/>
        <v>0</v>
      </c>
      <c r="I1709" s="1" t="str">
        <f t="shared" si="3413"/>
        <v>0</v>
      </c>
      <c r="J1709" s="1" t="str">
        <f>"13"</f>
        <v>13</v>
      </c>
      <c r="K1709" s="1" t="str">
        <f t="shared" ref="K1709:P1709" si="3414">"0"</f>
        <v>0</v>
      </c>
      <c r="L1709" s="1" t="str">
        <f t="shared" si="3414"/>
        <v>0</v>
      </c>
      <c r="M1709" s="1" t="str">
        <f t="shared" si="3414"/>
        <v>0</v>
      </c>
      <c r="N1709" s="1" t="str">
        <f t="shared" si="3414"/>
        <v>0</v>
      </c>
      <c r="O1709" s="1" t="str">
        <f t="shared" si="3414"/>
        <v>0</v>
      </c>
      <c r="P1709" s="1" t="str">
        <f t="shared" si="3414"/>
        <v>0</v>
      </c>
      <c r="Q1709" s="1" t="str">
        <f t="shared" si="3334"/>
        <v>0.0070</v>
      </c>
      <c r="R1709" s="1" t="s">
        <v>29</v>
      </c>
      <c r="S1709" s="1">
        <v>-0.0014</v>
      </c>
      <c r="T1709" s="1" t="str">
        <f t="shared" si="3335"/>
        <v>0</v>
      </c>
      <c r="U1709" s="1" t="str">
        <f t="shared" si="3396"/>
        <v>0.0056</v>
      </c>
    </row>
    <row r="1710" s="1" customFormat="1" spans="1:21">
      <c r="A1710" s="1" t="str">
        <f>"4601991421354"</f>
        <v>4601991421354</v>
      </c>
      <c r="B1710" s="1" t="s">
        <v>1734</v>
      </c>
      <c r="C1710" s="1" t="s">
        <v>24</v>
      </c>
      <c r="D1710" s="1" t="str">
        <f t="shared" si="3331"/>
        <v>2021</v>
      </c>
      <c r="E1710" s="1" t="str">
        <f>"67.69"</f>
        <v>67.69</v>
      </c>
      <c r="F1710" s="1" t="str">
        <f t="shared" ref="F1710:I1710" si="3415">"0"</f>
        <v>0</v>
      </c>
      <c r="G1710" s="1" t="str">
        <f t="shared" si="3415"/>
        <v>0</v>
      </c>
      <c r="H1710" s="1" t="str">
        <f t="shared" si="3415"/>
        <v>0</v>
      </c>
      <c r="I1710" s="1" t="str">
        <f t="shared" si="3415"/>
        <v>0</v>
      </c>
      <c r="J1710" s="1" t="str">
        <f>"7"</f>
        <v>7</v>
      </c>
      <c r="K1710" s="1" t="str">
        <f t="shared" ref="K1710:P1710" si="3416">"0"</f>
        <v>0</v>
      </c>
      <c r="L1710" s="1" t="str">
        <f t="shared" si="3416"/>
        <v>0</v>
      </c>
      <c r="M1710" s="1" t="str">
        <f t="shared" si="3416"/>
        <v>0</v>
      </c>
      <c r="N1710" s="1" t="str">
        <f t="shared" si="3416"/>
        <v>0</v>
      </c>
      <c r="O1710" s="1" t="str">
        <f t="shared" si="3416"/>
        <v>0</v>
      </c>
      <c r="P1710" s="1" t="str">
        <f t="shared" si="3416"/>
        <v>0</v>
      </c>
      <c r="Q1710" s="1" t="str">
        <f t="shared" si="3334"/>
        <v>0.0070</v>
      </c>
      <c r="R1710" s="1" t="s">
        <v>29</v>
      </c>
      <c r="S1710" s="1">
        <v>-0.0014</v>
      </c>
      <c r="T1710" s="1" t="str">
        <f t="shared" si="3335"/>
        <v>0</v>
      </c>
      <c r="U1710" s="1" t="str">
        <f t="shared" si="3396"/>
        <v>0.0056</v>
      </c>
    </row>
    <row r="1711" s="1" customFormat="1" spans="1:21">
      <c r="A1711" s="1" t="str">
        <f>"4601992024484"</f>
        <v>4601992024484</v>
      </c>
      <c r="B1711" s="1" t="s">
        <v>1735</v>
      </c>
      <c r="C1711" s="1" t="s">
        <v>24</v>
      </c>
      <c r="D1711" s="1" t="str">
        <f t="shared" si="3331"/>
        <v>2021</v>
      </c>
      <c r="E1711" s="1" t="str">
        <f t="shared" ref="E1711:P1711" si="3417">"0"</f>
        <v>0</v>
      </c>
      <c r="F1711" s="1" t="str">
        <f t="shared" si="3417"/>
        <v>0</v>
      </c>
      <c r="G1711" s="1" t="str">
        <f t="shared" si="3417"/>
        <v>0</v>
      </c>
      <c r="H1711" s="1" t="str">
        <f t="shared" si="3417"/>
        <v>0</v>
      </c>
      <c r="I1711" s="1" t="str">
        <f t="shared" si="3417"/>
        <v>0</v>
      </c>
      <c r="J1711" s="1" t="str">
        <f t="shared" si="3417"/>
        <v>0</v>
      </c>
      <c r="K1711" s="1" t="str">
        <f t="shared" si="3417"/>
        <v>0</v>
      </c>
      <c r="L1711" s="1" t="str">
        <f t="shared" si="3417"/>
        <v>0</v>
      </c>
      <c r="M1711" s="1" t="str">
        <f t="shared" si="3417"/>
        <v>0</v>
      </c>
      <c r="N1711" s="1" t="str">
        <f t="shared" si="3417"/>
        <v>0</v>
      </c>
      <c r="O1711" s="1" t="str">
        <f t="shared" si="3417"/>
        <v>0</v>
      </c>
      <c r="P1711" s="1" t="str">
        <f t="shared" si="3417"/>
        <v>0</v>
      </c>
      <c r="Q1711" s="1" t="str">
        <f t="shared" si="3334"/>
        <v>0.0070</v>
      </c>
      <c r="R1711" s="1" t="s">
        <v>25</v>
      </c>
      <c r="T1711" s="1" t="str">
        <f t="shared" si="3335"/>
        <v>0</v>
      </c>
      <c r="U1711" s="1" t="str">
        <f t="shared" ref="U1711:U1715" si="3418">"0.0070"</f>
        <v>0.0070</v>
      </c>
    </row>
    <row r="1712" s="1" customFormat="1" spans="1:21">
      <c r="A1712" s="1" t="str">
        <f>"4601992024506"</f>
        <v>4601992024506</v>
      </c>
      <c r="B1712" s="1" t="s">
        <v>1736</v>
      </c>
      <c r="C1712" s="1" t="s">
        <v>24</v>
      </c>
      <c r="D1712" s="1" t="str">
        <f t="shared" si="3331"/>
        <v>2021</v>
      </c>
      <c r="E1712" s="1" t="str">
        <f t="shared" ref="E1712:P1712" si="3419">"0"</f>
        <v>0</v>
      </c>
      <c r="F1712" s="1" t="str">
        <f t="shared" si="3419"/>
        <v>0</v>
      </c>
      <c r="G1712" s="1" t="str">
        <f t="shared" si="3419"/>
        <v>0</v>
      </c>
      <c r="H1712" s="1" t="str">
        <f t="shared" si="3419"/>
        <v>0</v>
      </c>
      <c r="I1712" s="1" t="str">
        <f t="shared" si="3419"/>
        <v>0</v>
      </c>
      <c r="J1712" s="1" t="str">
        <f t="shared" si="3419"/>
        <v>0</v>
      </c>
      <c r="K1712" s="1" t="str">
        <f t="shared" si="3419"/>
        <v>0</v>
      </c>
      <c r="L1712" s="1" t="str">
        <f t="shared" si="3419"/>
        <v>0</v>
      </c>
      <c r="M1712" s="1" t="str">
        <f t="shared" si="3419"/>
        <v>0</v>
      </c>
      <c r="N1712" s="1" t="str">
        <f t="shared" si="3419"/>
        <v>0</v>
      </c>
      <c r="O1712" s="1" t="str">
        <f t="shared" si="3419"/>
        <v>0</v>
      </c>
      <c r="P1712" s="1" t="str">
        <f t="shared" si="3419"/>
        <v>0</v>
      </c>
      <c r="Q1712" s="1" t="str">
        <f t="shared" si="3334"/>
        <v>0.0070</v>
      </c>
      <c r="R1712" s="1" t="s">
        <v>25</v>
      </c>
      <c r="T1712" s="1" t="str">
        <f t="shared" si="3335"/>
        <v>0</v>
      </c>
      <c r="U1712" s="1" t="str">
        <f t="shared" si="3418"/>
        <v>0.0070</v>
      </c>
    </row>
    <row r="1713" s="1" customFormat="1" spans="1:21">
      <c r="A1713" s="1" t="str">
        <f>"4601992024478"</f>
        <v>4601992024478</v>
      </c>
      <c r="B1713" s="1" t="s">
        <v>1737</v>
      </c>
      <c r="C1713" s="1" t="s">
        <v>24</v>
      </c>
      <c r="D1713" s="1" t="str">
        <f t="shared" si="3331"/>
        <v>2021</v>
      </c>
      <c r="E1713" s="1" t="str">
        <f>"36.27"</f>
        <v>36.27</v>
      </c>
      <c r="F1713" s="1" t="str">
        <f t="shared" ref="F1713:I1713" si="3420">"0"</f>
        <v>0</v>
      </c>
      <c r="G1713" s="1" t="str">
        <f t="shared" si="3420"/>
        <v>0</v>
      </c>
      <c r="H1713" s="1" t="str">
        <f t="shared" si="3420"/>
        <v>0</v>
      </c>
      <c r="I1713" s="1" t="str">
        <f t="shared" si="3420"/>
        <v>0</v>
      </c>
      <c r="J1713" s="1" t="str">
        <f>"3"</f>
        <v>3</v>
      </c>
      <c r="K1713" s="1" t="str">
        <f t="shared" ref="K1713:P1713" si="3421">"0"</f>
        <v>0</v>
      </c>
      <c r="L1713" s="1" t="str">
        <f t="shared" si="3421"/>
        <v>0</v>
      </c>
      <c r="M1713" s="1" t="str">
        <f t="shared" si="3421"/>
        <v>0</v>
      </c>
      <c r="N1713" s="1" t="str">
        <f t="shared" si="3421"/>
        <v>0</v>
      </c>
      <c r="O1713" s="1" t="str">
        <f t="shared" si="3421"/>
        <v>0</v>
      </c>
      <c r="P1713" s="1" t="str">
        <f t="shared" si="3421"/>
        <v>0</v>
      </c>
      <c r="Q1713" s="1" t="str">
        <f t="shared" si="3334"/>
        <v>0.0070</v>
      </c>
      <c r="R1713" s="1" t="s">
        <v>29</v>
      </c>
      <c r="S1713" s="1">
        <v>-0.0014</v>
      </c>
      <c r="T1713" s="1" t="str">
        <f t="shared" si="3335"/>
        <v>0</v>
      </c>
      <c r="U1713" s="1" t="str">
        <f t="shared" ref="U1713:U1721" si="3422">"0.0056"</f>
        <v>0.0056</v>
      </c>
    </row>
    <row r="1714" s="1" customFormat="1" spans="1:21">
      <c r="A1714" s="1" t="str">
        <f>"4601992024597"</f>
        <v>4601992024597</v>
      </c>
      <c r="B1714" s="1" t="s">
        <v>1738</v>
      </c>
      <c r="C1714" s="1" t="s">
        <v>24</v>
      </c>
      <c r="D1714" s="1" t="str">
        <f t="shared" si="3331"/>
        <v>2021</v>
      </c>
      <c r="E1714" s="1" t="str">
        <f t="shared" ref="E1714:P1714" si="3423">"0"</f>
        <v>0</v>
      </c>
      <c r="F1714" s="1" t="str">
        <f t="shared" si="3423"/>
        <v>0</v>
      </c>
      <c r="G1714" s="1" t="str">
        <f t="shared" si="3423"/>
        <v>0</v>
      </c>
      <c r="H1714" s="1" t="str">
        <f t="shared" si="3423"/>
        <v>0</v>
      </c>
      <c r="I1714" s="1" t="str">
        <f t="shared" si="3423"/>
        <v>0</v>
      </c>
      <c r="J1714" s="1" t="str">
        <f t="shared" si="3423"/>
        <v>0</v>
      </c>
      <c r="K1714" s="1" t="str">
        <f t="shared" si="3423"/>
        <v>0</v>
      </c>
      <c r="L1714" s="1" t="str">
        <f t="shared" si="3423"/>
        <v>0</v>
      </c>
      <c r="M1714" s="1" t="str">
        <f t="shared" si="3423"/>
        <v>0</v>
      </c>
      <c r="N1714" s="1" t="str">
        <f t="shared" si="3423"/>
        <v>0</v>
      </c>
      <c r="O1714" s="1" t="str">
        <f t="shared" si="3423"/>
        <v>0</v>
      </c>
      <c r="P1714" s="1" t="str">
        <f t="shared" si="3423"/>
        <v>0</v>
      </c>
      <c r="Q1714" s="1" t="str">
        <f t="shared" si="3334"/>
        <v>0.0070</v>
      </c>
      <c r="R1714" s="1" t="s">
        <v>25</v>
      </c>
      <c r="T1714" s="1" t="str">
        <f t="shared" si="3335"/>
        <v>0</v>
      </c>
      <c r="U1714" s="1" t="str">
        <f t="shared" si="3418"/>
        <v>0.0070</v>
      </c>
    </row>
    <row r="1715" s="1" customFormat="1" spans="1:21">
      <c r="A1715" s="1" t="str">
        <f>"4601992024564"</f>
        <v>4601992024564</v>
      </c>
      <c r="B1715" s="1" t="s">
        <v>1739</v>
      </c>
      <c r="C1715" s="1" t="s">
        <v>24</v>
      </c>
      <c r="D1715" s="1" t="str">
        <f t="shared" si="3331"/>
        <v>2021</v>
      </c>
      <c r="E1715" s="1" t="str">
        <f t="shared" ref="E1715:P1715" si="3424">"0"</f>
        <v>0</v>
      </c>
      <c r="F1715" s="1" t="str">
        <f t="shared" si="3424"/>
        <v>0</v>
      </c>
      <c r="G1715" s="1" t="str">
        <f t="shared" si="3424"/>
        <v>0</v>
      </c>
      <c r="H1715" s="1" t="str">
        <f t="shared" si="3424"/>
        <v>0</v>
      </c>
      <c r="I1715" s="1" t="str">
        <f t="shared" si="3424"/>
        <v>0</v>
      </c>
      <c r="J1715" s="1" t="str">
        <f t="shared" si="3424"/>
        <v>0</v>
      </c>
      <c r="K1715" s="1" t="str">
        <f t="shared" si="3424"/>
        <v>0</v>
      </c>
      <c r="L1715" s="1" t="str">
        <f t="shared" si="3424"/>
        <v>0</v>
      </c>
      <c r="M1715" s="1" t="str">
        <f t="shared" si="3424"/>
        <v>0</v>
      </c>
      <c r="N1715" s="1" t="str">
        <f t="shared" si="3424"/>
        <v>0</v>
      </c>
      <c r="O1715" s="1" t="str">
        <f t="shared" si="3424"/>
        <v>0</v>
      </c>
      <c r="P1715" s="1" t="str">
        <f t="shared" si="3424"/>
        <v>0</v>
      </c>
      <c r="Q1715" s="1" t="str">
        <f t="shared" si="3334"/>
        <v>0.0070</v>
      </c>
      <c r="R1715" s="1" t="s">
        <v>25</v>
      </c>
      <c r="T1715" s="1" t="str">
        <f t="shared" si="3335"/>
        <v>0</v>
      </c>
      <c r="U1715" s="1" t="str">
        <f t="shared" si="3418"/>
        <v>0.0070</v>
      </c>
    </row>
    <row r="1716" s="1" customFormat="1" spans="1:21">
      <c r="A1716" s="1" t="str">
        <f>"4601992024554"</f>
        <v>4601992024554</v>
      </c>
      <c r="B1716" s="1" t="s">
        <v>1740</v>
      </c>
      <c r="C1716" s="1" t="s">
        <v>24</v>
      </c>
      <c r="D1716" s="1" t="str">
        <f t="shared" si="3331"/>
        <v>2021</v>
      </c>
      <c r="E1716" s="1" t="str">
        <f>"14.00"</f>
        <v>14.00</v>
      </c>
      <c r="F1716" s="1" t="str">
        <f t="shared" ref="F1716:I1716" si="3425">"0"</f>
        <v>0</v>
      </c>
      <c r="G1716" s="1" t="str">
        <f t="shared" si="3425"/>
        <v>0</v>
      </c>
      <c r="H1716" s="1" t="str">
        <f t="shared" si="3425"/>
        <v>0</v>
      </c>
      <c r="I1716" s="1" t="str">
        <f t="shared" si="3425"/>
        <v>0</v>
      </c>
      <c r="J1716" s="1" t="str">
        <f>"1"</f>
        <v>1</v>
      </c>
      <c r="K1716" s="1" t="str">
        <f t="shared" ref="K1716:P1716" si="3426">"0"</f>
        <v>0</v>
      </c>
      <c r="L1716" s="1" t="str">
        <f t="shared" si="3426"/>
        <v>0</v>
      </c>
      <c r="M1716" s="1" t="str">
        <f t="shared" si="3426"/>
        <v>0</v>
      </c>
      <c r="N1716" s="1" t="str">
        <f t="shared" si="3426"/>
        <v>0</v>
      </c>
      <c r="O1716" s="1" t="str">
        <f t="shared" si="3426"/>
        <v>0</v>
      </c>
      <c r="P1716" s="1" t="str">
        <f t="shared" si="3426"/>
        <v>0</v>
      </c>
      <c r="Q1716" s="1" t="str">
        <f t="shared" si="3334"/>
        <v>0.0070</v>
      </c>
      <c r="R1716" s="1" t="s">
        <v>29</v>
      </c>
      <c r="S1716" s="1">
        <v>-0.0014</v>
      </c>
      <c r="T1716" s="1" t="str">
        <f t="shared" si="3335"/>
        <v>0</v>
      </c>
      <c r="U1716" s="1" t="str">
        <f t="shared" si="3422"/>
        <v>0.0056</v>
      </c>
    </row>
    <row r="1717" s="1" customFormat="1" spans="1:21">
      <c r="A1717" s="1" t="str">
        <f>"4601992024582"</f>
        <v>4601992024582</v>
      </c>
      <c r="B1717" s="1" t="s">
        <v>1741</v>
      </c>
      <c r="C1717" s="1" t="s">
        <v>24</v>
      </c>
      <c r="D1717" s="1" t="str">
        <f t="shared" si="3331"/>
        <v>2021</v>
      </c>
      <c r="E1717" s="1" t="str">
        <f>"47.56"</f>
        <v>47.56</v>
      </c>
      <c r="F1717" s="1" t="str">
        <f t="shared" ref="F1717:I1717" si="3427">"0"</f>
        <v>0</v>
      </c>
      <c r="G1717" s="1" t="str">
        <f t="shared" si="3427"/>
        <v>0</v>
      </c>
      <c r="H1717" s="1" t="str">
        <f t="shared" si="3427"/>
        <v>0</v>
      </c>
      <c r="I1717" s="1" t="str">
        <f t="shared" si="3427"/>
        <v>0</v>
      </c>
      <c r="J1717" s="1" t="str">
        <f>"3"</f>
        <v>3</v>
      </c>
      <c r="K1717" s="1" t="str">
        <f t="shared" ref="K1717:P1717" si="3428">"0"</f>
        <v>0</v>
      </c>
      <c r="L1717" s="1" t="str">
        <f t="shared" si="3428"/>
        <v>0</v>
      </c>
      <c r="M1717" s="1" t="str">
        <f t="shared" si="3428"/>
        <v>0</v>
      </c>
      <c r="N1717" s="1" t="str">
        <f t="shared" si="3428"/>
        <v>0</v>
      </c>
      <c r="O1717" s="1" t="str">
        <f t="shared" si="3428"/>
        <v>0</v>
      </c>
      <c r="P1717" s="1" t="str">
        <f t="shared" si="3428"/>
        <v>0</v>
      </c>
      <c r="Q1717" s="1" t="str">
        <f t="shared" si="3334"/>
        <v>0.0070</v>
      </c>
      <c r="R1717" s="1" t="s">
        <v>29</v>
      </c>
      <c r="S1717" s="1">
        <v>-0.0014</v>
      </c>
      <c r="T1717" s="1" t="str">
        <f t="shared" si="3335"/>
        <v>0</v>
      </c>
      <c r="U1717" s="1" t="str">
        <f t="shared" si="3422"/>
        <v>0.0056</v>
      </c>
    </row>
    <row r="1718" s="1" customFormat="1" spans="1:21">
      <c r="A1718" s="1" t="str">
        <f>"4601992024605"</f>
        <v>4601992024605</v>
      </c>
      <c r="B1718" s="1" t="s">
        <v>1742</v>
      </c>
      <c r="C1718" s="1" t="s">
        <v>24</v>
      </c>
      <c r="D1718" s="1" t="str">
        <f t="shared" si="3331"/>
        <v>2021</v>
      </c>
      <c r="E1718" s="1" t="str">
        <f>"12.09"</f>
        <v>12.09</v>
      </c>
      <c r="F1718" s="1" t="str">
        <f t="shared" ref="F1718:I1718" si="3429">"0"</f>
        <v>0</v>
      </c>
      <c r="G1718" s="1" t="str">
        <f t="shared" si="3429"/>
        <v>0</v>
      </c>
      <c r="H1718" s="1" t="str">
        <f t="shared" si="3429"/>
        <v>0</v>
      </c>
      <c r="I1718" s="1" t="str">
        <f t="shared" si="3429"/>
        <v>0</v>
      </c>
      <c r="J1718" s="1" t="str">
        <f>"1"</f>
        <v>1</v>
      </c>
      <c r="K1718" s="1" t="str">
        <f t="shared" ref="K1718:P1718" si="3430">"0"</f>
        <v>0</v>
      </c>
      <c r="L1718" s="1" t="str">
        <f t="shared" si="3430"/>
        <v>0</v>
      </c>
      <c r="M1718" s="1" t="str">
        <f t="shared" si="3430"/>
        <v>0</v>
      </c>
      <c r="N1718" s="1" t="str">
        <f t="shared" si="3430"/>
        <v>0</v>
      </c>
      <c r="O1718" s="1" t="str">
        <f t="shared" si="3430"/>
        <v>0</v>
      </c>
      <c r="P1718" s="1" t="str">
        <f t="shared" si="3430"/>
        <v>0</v>
      </c>
      <c r="Q1718" s="1" t="str">
        <f t="shared" si="3334"/>
        <v>0.0070</v>
      </c>
      <c r="R1718" s="1" t="s">
        <v>29</v>
      </c>
      <c r="S1718" s="1">
        <v>-0.0014</v>
      </c>
      <c r="T1718" s="1" t="str">
        <f t="shared" si="3335"/>
        <v>0</v>
      </c>
      <c r="U1718" s="1" t="str">
        <f t="shared" si="3422"/>
        <v>0.0056</v>
      </c>
    </row>
    <row r="1719" s="1" customFormat="1" spans="1:21">
      <c r="A1719" s="1" t="str">
        <f>"4601992024620"</f>
        <v>4601992024620</v>
      </c>
      <c r="B1719" s="1" t="s">
        <v>1743</v>
      </c>
      <c r="C1719" s="1" t="s">
        <v>24</v>
      </c>
      <c r="D1719" s="1" t="str">
        <f t="shared" si="3331"/>
        <v>2021</v>
      </c>
      <c r="E1719" s="1" t="str">
        <f>"36.27"</f>
        <v>36.27</v>
      </c>
      <c r="F1719" s="1" t="str">
        <f t="shared" ref="F1719:I1719" si="3431">"0"</f>
        <v>0</v>
      </c>
      <c r="G1719" s="1" t="str">
        <f t="shared" si="3431"/>
        <v>0</v>
      </c>
      <c r="H1719" s="1" t="str">
        <f t="shared" si="3431"/>
        <v>0</v>
      </c>
      <c r="I1719" s="1" t="str">
        <f t="shared" si="3431"/>
        <v>0</v>
      </c>
      <c r="J1719" s="1" t="str">
        <f>"4"</f>
        <v>4</v>
      </c>
      <c r="K1719" s="1" t="str">
        <f t="shared" ref="K1719:P1719" si="3432">"0"</f>
        <v>0</v>
      </c>
      <c r="L1719" s="1" t="str">
        <f t="shared" si="3432"/>
        <v>0</v>
      </c>
      <c r="M1719" s="1" t="str">
        <f t="shared" si="3432"/>
        <v>0</v>
      </c>
      <c r="N1719" s="1" t="str">
        <f t="shared" si="3432"/>
        <v>0</v>
      </c>
      <c r="O1719" s="1" t="str">
        <f t="shared" si="3432"/>
        <v>0</v>
      </c>
      <c r="P1719" s="1" t="str">
        <f t="shared" si="3432"/>
        <v>0</v>
      </c>
      <c r="Q1719" s="1" t="str">
        <f t="shared" si="3334"/>
        <v>0.0070</v>
      </c>
      <c r="R1719" s="1" t="s">
        <v>29</v>
      </c>
      <c r="S1719" s="1">
        <v>-0.0014</v>
      </c>
      <c r="T1719" s="1" t="str">
        <f t="shared" si="3335"/>
        <v>0</v>
      </c>
      <c r="U1719" s="1" t="str">
        <f t="shared" si="3422"/>
        <v>0.0056</v>
      </c>
    </row>
    <row r="1720" s="1" customFormat="1" spans="1:21">
      <c r="A1720" s="1" t="str">
        <f>"4601992024598"</f>
        <v>4601992024598</v>
      </c>
      <c r="B1720" s="1" t="s">
        <v>1744</v>
      </c>
      <c r="C1720" s="1" t="s">
        <v>24</v>
      </c>
      <c r="D1720" s="1" t="str">
        <f t="shared" si="3331"/>
        <v>2021</v>
      </c>
      <c r="E1720" s="1" t="str">
        <f>"24.18"</f>
        <v>24.18</v>
      </c>
      <c r="F1720" s="1" t="str">
        <f t="shared" ref="F1720:I1720" si="3433">"0"</f>
        <v>0</v>
      </c>
      <c r="G1720" s="1" t="str">
        <f t="shared" si="3433"/>
        <v>0</v>
      </c>
      <c r="H1720" s="1" t="str">
        <f t="shared" si="3433"/>
        <v>0</v>
      </c>
      <c r="I1720" s="1" t="str">
        <f t="shared" si="3433"/>
        <v>0</v>
      </c>
      <c r="J1720" s="1" t="str">
        <f>"3"</f>
        <v>3</v>
      </c>
      <c r="K1720" s="1" t="str">
        <f t="shared" ref="K1720:P1720" si="3434">"0"</f>
        <v>0</v>
      </c>
      <c r="L1720" s="1" t="str">
        <f t="shared" si="3434"/>
        <v>0</v>
      </c>
      <c r="M1720" s="1" t="str">
        <f t="shared" si="3434"/>
        <v>0</v>
      </c>
      <c r="N1720" s="1" t="str">
        <f t="shared" si="3434"/>
        <v>0</v>
      </c>
      <c r="O1720" s="1" t="str">
        <f t="shared" si="3434"/>
        <v>0</v>
      </c>
      <c r="P1720" s="1" t="str">
        <f t="shared" si="3434"/>
        <v>0</v>
      </c>
      <c r="Q1720" s="1" t="str">
        <f t="shared" si="3334"/>
        <v>0.0070</v>
      </c>
      <c r="R1720" s="1" t="s">
        <v>29</v>
      </c>
      <c r="S1720" s="1">
        <v>-0.0014</v>
      </c>
      <c r="T1720" s="1" t="str">
        <f t="shared" si="3335"/>
        <v>0</v>
      </c>
      <c r="U1720" s="1" t="str">
        <f t="shared" si="3422"/>
        <v>0.0056</v>
      </c>
    </row>
    <row r="1721" s="1" customFormat="1" spans="1:21">
      <c r="A1721" s="1" t="str">
        <f>"4601992024523"</f>
        <v>4601992024523</v>
      </c>
      <c r="B1721" s="1" t="s">
        <v>1745</v>
      </c>
      <c r="C1721" s="1" t="s">
        <v>24</v>
      </c>
      <c r="D1721" s="1" t="str">
        <f t="shared" si="3331"/>
        <v>2021</v>
      </c>
      <c r="E1721" s="1" t="str">
        <f>"23.96"</f>
        <v>23.96</v>
      </c>
      <c r="F1721" s="1" t="str">
        <f t="shared" ref="F1721:I1721" si="3435">"0"</f>
        <v>0</v>
      </c>
      <c r="G1721" s="1" t="str">
        <f t="shared" si="3435"/>
        <v>0</v>
      </c>
      <c r="H1721" s="1" t="str">
        <f t="shared" si="3435"/>
        <v>0</v>
      </c>
      <c r="I1721" s="1" t="str">
        <f t="shared" si="3435"/>
        <v>0</v>
      </c>
      <c r="J1721" s="1" t="str">
        <f>"2"</f>
        <v>2</v>
      </c>
      <c r="K1721" s="1" t="str">
        <f t="shared" ref="K1721:P1721" si="3436">"0"</f>
        <v>0</v>
      </c>
      <c r="L1721" s="1" t="str">
        <f t="shared" si="3436"/>
        <v>0</v>
      </c>
      <c r="M1721" s="1" t="str">
        <f t="shared" si="3436"/>
        <v>0</v>
      </c>
      <c r="N1721" s="1" t="str">
        <f t="shared" si="3436"/>
        <v>0</v>
      </c>
      <c r="O1721" s="1" t="str">
        <f t="shared" si="3436"/>
        <v>0</v>
      </c>
      <c r="P1721" s="1" t="str">
        <f t="shared" si="3436"/>
        <v>0</v>
      </c>
      <c r="Q1721" s="1" t="str">
        <f t="shared" si="3334"/>
        <v>0.0070</v>
      </c>
      <c r="R1721" s="1" t="s">
        <v>29</v>
      </c>
      <c r="S1721" s="1">
        <v>-0.0014</v>
      </c>
      <c r="T1721" s="1" t="str">
        <f t="shared" si="3335"/>
        <v>0</v>
      </c>
      <c r="U1721" s="1" t="str">
        <f t="shared" si="3422"/>
        <v>0.0056</v>
      </c>
    </row>
    <row r="1722" s="1" customFormat="1" spans="1:21">
      <c r="A1722" s="1" t="str">
        <f>"4601992024628"</f>
        <v>4601992024628</v>
      </c>
      <c r="B1722" s="1" t="s">
        <v>1746</v>
      </c>
      <c r="C1722" s="1" t="s">
        <v>24</v>
      </c>
      <c r="D1722" s="1" t="str">
        <f t="shared" si="3331"/>
        <v>2021</v>
      </c>
      <c r="E1722" s="1" t="str">
        <f t="shared" ref="E1722:P1722" si="3437">"0"</f>
        <v>0</v>
      </c>
      <c r="F1722" s="1" t="str">
        <f t="shared" si="3437"/>
        <v>0</v>
      </c>
      <c r="G1722" s="1" t="str">
        <f t="shared" si="3437"/>
        <v>0</v>
      </c>
      <c r="H1722" s="1" t="str">
        <f t="shared" si="3437"/>
        <v>0</v>
      </c>
      <c r="I1722" s="1" t="str">
        <f t="shared" si="3437"/>
        <v>0</v>
      </c>
      <c r="J1722" s="1" t="str">
        <f t="shared" si="3437"/>
        <v>0</v>
      </c>
      <c r="K1722" s="1" t="str">
        <f t="shared" si="3437"/>
        <v>0</v>
      </c>
      <c r="L1722" s="1" t="str">
        <f t="shared" si="3437"/>
        <v>0</v>
      </c>
      <c r="M1722" s="1" t="str">
        <f t="shared" si="3437"/>
        <v>0</v>
      </c>
      <c r="N1722" s="1" t="str">
        <f t="shared" si="3437"/>
        <v>0</v>
      </c>
      <c r="O1722" s="1" t="str">
        <f t="shared" si="3437"/>
        <v>0</v>
      </c>
      <c r="P1722" s="1" t="str">
        <f t="shared" si="3437"/>
        <v>0</v>
      </c>
      <c r="Q1722" s="1" t="str">
        <f t="shared" si="3334"/>
        <v>0.0070</v>
      </c>
      <c r="R1722" s="1" t="s">
        <v>25</v>
      </c>
      <c r="T1722" s="1" t="str">
        <f t="shared" si="3335"/>
        <v>0</v>
      </c>
      <c r="U1722" s="1" t="str">
        <f t="shared" ref="U1722:U1724" si="3438">"0.0070"</f>
        <v>0.0070</v>
      </c>
    </row>
    <row r="1723" s="1" customFormat="1" spans="1:21">
      <c r="A1723" s="1" t="str">
        <f>"4601992024661"</f>
        <v>4601992024661</v>
      </c>
      <c r="B1723" s="1" t="s">
        <v>1747</v>
      </c>
      <c r="C1723" s="1" t="s">
        <v>24</v>
      </c>
      <c r="D1723" s="1" t="str">
        <f t="shared" si="3331"/>
        <v>2021</v>
      </c>
      <c r="E1723" s="1" t="str">
        <f t="shared" ref="E1723:P1723" si="3439">"0"</f>
        <v>0</v>
      </c>
      <c r="F1723" s="1" t="str">
        <f t="shared" si="3439"/>
        <v>0</v>
      </c>
      <c r="G1723" s="1" t="str">
        <f t="shared" si="3439"/>
        <v>0</v>
      </c>
      <c r="H1723" s="1" t="str">
        <f t="shared" si="3439"/>
        <v>0</v>
      </c>
      <c r="I1723" s="1" t="str">
        <f t="shared" si="3439"/>
        <v>0</v>
      </c>
      <c r="J1723" s="1" t="str">
        <f t="shared" si="3439"/>
        <v>0</v>
      </c>
      <c r="K1723" s="1" t="str">
        <f t="shared" si="3439"/>
        <v>0</v>
      </c>
      <c r="L1723" s="1" t="str">
        <f t="shared" si="3439"/>
        <v>0</v>
      </c>
      <c r="M1723" s="1" t="str">
        <f t="shared" si="3439"/>
        <v>0</v>
      </c>
      <c r="N1723" s="1" t="str">
        <f t="shared" si="3439"/>
        <v>0</v>
      </c>
      <c r="O1723" s="1" t="str">
        <f t="shared" si="3439"/>
        <v>0</v>
      </c>
      <c r="P1723" s="1" t="str">
        <f t="shared" si="3439"/>
        <v>0</v>
      </c>
      <c r="Q1723" s="1" t="str">
        <f t="shared" si="3334"/>
        <v>0.0070</v>
      </c>
      <c r="R1723" s="1" t="s">
        <v>25</v>
      </c>
      <c r="T1723" s="1" t="str">
        <f t="shared" si="3335"/>
        <v>0</v>
      </c>
      <c r="U1723" s="1" t="str">
        <f t="shared" si="3438"/>
        <v>0.0070</v>
      </c>
    </row>
    <row r="1724" s="1" customFormat="1" spans="1:21">
      <c r="A1724" s="1" t="str">
        <f>"4601992024710"</f>
        <v>4601992024710</v>
      </c>
      <c r="B1724" s="1" t="s">
        <v>1748</v>
      </c>
      <c r="C1724" s="1" t="s">
        <v>24</v>
      </c>
      <c r="D1724" s="1" t="str">
        <f t="shared" si="3331"/>
        <v>2021</v>
      </c>
      <c r="E1724" s="1" t="str">
        <f t="shared" ref="E1724:G1724" si="3440">"0"</f>
        <v>0</v>
      </c>
      <c r="F1724" s="1" t="str">
        <f t="shared" si="3440"/>
        <v>0</v>
      </c>
      <c r="G1724" s="1" t="str">
        <f t="shared" si="3440"/>
        <v>0</v>
      </c>
      <c r="H1724" s="1" t="str">
        <f>"24.18"</f>
        <v>24.18</v>
      </c>
      <c r="I1724" s="1" t="str">
        <f t="shared" ref="I1724:P1724" si="3441">"0"</f>
        <v>0</v>
      </c>
      <c r="J1724" s="1" t="str">
        <f t="shared" si="3441"/>
        <v>0</v>
      </c>
      <c r="K1724" s="1" t="str">
        <f t="shared" si="3441"/>
        <v>0</v>
      </c>
      <c r="L1724" s="1" t="str">
        <f t="shared" si="3441"/>
        <v>0</v>
      </c>
      <c r="M1724" s="1" t="str">
        <f t="shared" si="3441"/>
        <v>0</v>
      </c>
      <c r="N1724" s="1" t="str">
        <f t="shared" si="3441"/>
        <v>0</v>
      </c>
      <c r="O1724" s="1" t="str">
        <f t="shared" si="3441"/>
        <v>0</v>
      </c>
      <c r="P1724" s="1" t="str">
        <f t="shared" si="3441"/>
        <v>0</v>
      </c>
      <c r="Q1724" s="1" t="str">
        <f t="shared" si="3334"/>
        <v>0.0070</v>
      </c>
      <c r="R1724" s="1" t="s">
        <v>25</v>
      </c>
      <c r="T1724" s="1" t="str">
        <f t="shared" si="3335"/>
        <v>0</v>
      </c>
      <c r="U1724" s="1" t="str">
        <f t="shared" si="3438"/>
        <v>0.0070</v>
      </c>
    </row>
    <row r="1725" s="1" customFormat="1" spans="1:21">
      <c r="A1725" s="1" t="str">
        <f>"4601992024670"</f>
        <v>4601992024670</v>
      </c>
      <c r="B1725" s="1" t="s">
        <v>1749</v>
      </c>
      <c r="C1725" s="1" t="s">
        <v>24</v>
      </c>
      <c r="D1725" s="1" t="str">
        <f t="shared" si="3331"/>
        <v>2021</v>
      </c>
      <c r="E1725" s="1" t="str">
        <f>"12.09"</f>
        <v>12.09</v>
      </c>
      <c r="F1725" s="1" t="str">
        <f t="shared" ref="F1725:I1725" si="3442">"0"</f>
        <v>0</v>
      </c>
      <c r="G1725" s="1" t="str">
        <f t="shared" si="3442"/>
        <v>0</v>
      </c>
      <c r="H1725" s="1" t="str">
        <f t="shared" si="3442"/>
        <v>0</v>
      </c>
      <c r="I1725" s="1" t="str">
        <f t="shared" si="3442"/>
        <v>0</v>
      </c>
      <c r="J1725" s="1" t="str">
        <f>"1"</f>
        <v>1</v>
      </c>
      <c r="K1725" s="1" t="str">
        <f t="shared" ref="K1725:P1725" si="3443">"0"</f>
        <v>0</v>
      </c>
      <c r="L1725" s="1" t="str">
        <f t="shared" si="3443"/>
        <v>0</v>
      </c>
      <c r="M1725" s="1" t="str">
        <f t="shared" si="3443"/>
        <v>0</v>
      </c>
      <c r="N1725" s="1" t="str">
        <f t="shared" si="3443"/>
        <v>0</v>
      </c>
      <c r="O1725" s="1" t="str">
        <f t="shared" si="3443"/>
        <v>0</v>
      </c>
      <c r="P1725" s="1" t="str">
        <f t="shared" si="3443"/>
        <v>0</v>
      </c>
      <c r="Q1725" s="1" t="str">
        <f t="shared" si="3334"/>
        <v>0.0070</v>
      </c>
      <c r="R1725" s="1" t="s">
        <v>29</v>
      </c>
      <c r="S1725" s="1">
        <v>-0.0014</v>
      </c>
      <c r="T1725" s="1" t="str">
        <f t="shared" si="3335"/>
        <v>0</v>
      </c>
      <c r="U1725" s="1" t="str">
        <f t="shared" ref="U1725:U1727" si="3444">"0.0056"</f>
        <v>0.0056</v>
      </c>
    </row>
    <row r="1726" s="1" customFormat="1" spans="1:21">
      <c r="A1726" s="1" t="str">
        <f>"4601992024629"</f>
        <v>4601992024629</v>
      </c>
      <c r="B1726" s="1" t="s">
        <v>1750</v>
      </c>
      <c r="C1726" s="1" t="s">
        <v>24</v>
      </c>
      <c r="D1726" s="1" t="str">
        <f t="shared" si="3331"/>
        <v>2021</v>
      </c>
      <c r="E1726" s="1" t="str">
        <f>"73.50"</f>
        <v>73.50</v>
      </c>
      <c r="F1726" s="1" t="str">
        <f t="shared" ref="F1726:I1726" si="3445">"0"</f>
        <v>0</v>
      </c>
      <c r="G1726" s="1" t="str">
        <f t="shared" si="3445"/>
        <v>0</v>
      </c>
      <c r="H1726" s="1" t="str">
        <f t="shared" si="3445"/>
        <v>0</v>
      </c>
      <c r="I1726" s="1" t="str">
        <f t="shared" si="3445"/>
        <v>0</v>
      </c>
      <c r="J1726" s="1" t="str">
        <f>"7"</f>
        <v>7</v>
      </c>
      <c r="K1726" s="1" t="str">
        <f t="shared" ref="K1726:P1726" si="3446">"0"</f>
        <v>0</v>
      </c>
      <c r="L1726" s="1" t="str">
        <f t="shared" si="3446"/>
        <v>0</v>
      </c>
      <c r="M1726" s="1" t="str">
        <f t="shared" si="3446"/>
        <v>0</v>
      </c>
      <c r="N1726" s="1" t="str">
        <f t="shared" si="3446"/>
        <v>0</v>
      </c>
      <c r="O1726" s="1" t="str">
        <f t="shared" si="3446"/>
        <v>0</v>
      </c>
      <c r="P1726" s="1" t="str">
        <f t="shared" si="3446"/>
        <v>0</v>
      </c>
      <c r="Q1726" s="1" t="str">
        <f t="shared" si="3334"/>
        <v>0.0070</v>
      </c>
      <c r="R1726" s="1" t="s">
        <v>29</v>
      </c>
      <c r="S1726" s="1">
        <v>-0.0014</v>
      </c>
      <c r="T1726" s="1" t="str">
        <f t="shared" si="3335"/>
        <v>0</v>
      </c>
      <c r="U1726" s="1" t="str">
        <f t="shared" si="3444"/>
        <v>0.0056</v>
      </c>
    </row>
    <row r="1727" s="1" customFormat="1" spans="1:21">
      <c r="A1727" s="1" t="str">
        <f>"4601992024697"</f>
        <v>4601992024697</v>
      </c>
      <c r="B1727" s="1" t="s">
        <v>1751</v>
      </c>
      <c r="C1727" s="1" t="s">
        <v>24</v>
      </c>
      <c r="D1727" s="1" t="str">
        <f t="shared" si="3331"/>
        <v>2021</v>
      </c>
      <c r="E1727" s="1" t="str">
        <f>"24.18"</f>
        <v>24.18</v>
      </c>
      <c r="F1727" s="1" t="str">
        <f t="shared" ref="F1727:I1727" si="3447">"0"</f>
        <v>0</v>
      </c>
      <c r="G1727" s="1" t="str">
        <f t="shared" si="3447"/>
        <v>0</v>
      </c>
      <c r="H1727" s="1" t="str">
        <f t="shared" si="3447"/>
        <v>0</v>
      </c>
      <c r="I1727" s="1" t="str">
        <f t="shared" si="3447"/>
        <v>0</v>
      </c>
      <c r="J1727" s="1" t="str">
        <f t="shared" ref="J1727:J1732" si="3448">"2"</f>
        <v>2</v>
      </c>
      <c r="K1727" s="1" t="str">
        <f t="shared" ref="K1727:P1727" si="3449">"0"</f>
        <v>0</v>
      </c>
      <c r="L1727" s="1" t="str">
        <f t="shared" si="3449"/>
        <v>0</v>
      </c>
      <c r="M1727" s="1" t="str">
        <f t="shared" si="3449"/>
        <v>0</v>
      </c>
      <c r="N1727" s="1" t="str">
        <f t="shared" si="3449"/>
        <v>0</v>
      </c>
      <c r="O1727" s="1" t="str">
        <f t="shared" si="3449"/>
        <v>0</v>
      </c>
      <c r="P1727" s="1" t="str">
        <f t="shared" si="3449"/>
        <v>0</v>
      </c>
      <c r="Q1727" s="1" t="str">
        <f t="shared" si="3334"/>
        <v>0.0070</v>
      </c>
      <c r="R1727" s="1" t="s">
        <v>29</v>
      </c>
      <c r="S1727" s="1">
        <v>-0.0014</v>
      </c>
      <c r="T1727" s="1" t="str">
        <f t="shared" si="3335"/>
        <v>0</v>
      </c>
      <c r="U1727" s="1" t="str">
        <f t="shared" si="3444"/>
        <v>0.0056</v>
      </c>
    </row>
    <row r="1728" s="1" customFormat="1" spans="1:21">
      <c r="A1728" s="1" t="str">
        <f>"4601992024731"</f>
        <v>4601992024731</v>
      </c>
      <c r="B1728" s="1" t="s">
        <v>1752</v>
      </c>
      <c r="C1728" s="1" t="s">
        <v>24</v>
      </c>
      <c r="D1728" s="1" t="str">
        <f t="shared" si="3331"/>
        <v>2021</v>
      </c>
      <c r="E1728" s="1" t="str">
        <f>"24.18"</f>
        <v>24.18</v>
      </c>
      <c r="F1728" s="1" t="str">
        <f t="shared" ref="F1728:I1728" si="3450">"0"</f>
        <v>0</v>
      </c>
      <c r="G1728" s="1" t="str">
        <f t="shared" si="3450"/>
        <v>0</v>
      </c>
      <c r="H1728" s="1" t="str">
        <f t="shared" si="3450"/>
        <v>0</v>
      </c>
      <c r="I1728" s="1" t="str">
        <f t="shared" si="3450"/>
        <v>0</v>
      </c>
      <c r="J1728" s="1" t="str">
        <f t="shared" si="3448"/>
        <v>2</v>
      </c>
      <c r="K1728" s="1" t="str">
        <f t="shared" ref="K1728:P1728" si="3451">"0"</f>
        <v>0</v>
      </c>
      <c r="L1728" s="1" t="str">
        <f t="shared" si="3451"/>
        <v>0</v>
      </c>
      <c r="M1728" s="1" t="str">
        <f t="shared" si="3451"/>
        <v>0</v>
      </c>
      <c r="N1728" s="1" t="str">
        <f t="shared" si="3451"/>
        <v>0</v>
      </c>
      <c r="O1728" s="1" t="str">
        <f t="shared" si="3451"/>
        <v>0</v>
      </c>
      <c r="P1728" s="1" t="str">
        <f t="shared" si="3451"/>
        <v>0</v>
      </c>
      <c r="Q1728" s="1" t="str">
        <f t="shared" si="3334"/>
        <v>0.0070</v>
      </c>
      <c r="R1728" s="1" t="s">
        <v>25</v>
      </c>
      <c r="T1728" s="1" t="str">
        <f t="shared" si="3335"/>
        <v>0</v>
      </c>
      <c r="U1728" s="1" t="str">
        <f>"0.0070"</f>
        <v>0.0070</v>
      </c>
    </row>
    <row r="1729" s="1" customFormat="1" spans="1:21">
      <c r="A1729" s="1" t="str">
        <f>"4601992024727"</f>
        <v>4601992024727</v>
      </c>
      <c r="B1729" s="1" t="s">
        <v>1753</v>
      </c>
      <c r="C1729" s="1" t="s">
        <v>24</v>
      </c>
      <c r="D1729" s="1" t="str">
        <f t="shared" si="3331"/>
        <v>2021</v>
      </c>
      <c r="E1729" s="1" t="str">
        <f>"249.42"</f>
        <v>249.42</v>
      </c>
      <c r="F1729" s="1" t="str">
        <f t="shared" ref="F1729:I1729" si="3452">"0"</f>
        <v>0</v>
      </c>
      <c r="G1729" s="1" t="str">
        <f t="shared" si="3452"/>
        <v>0</v>
      </c>
      <c r="H1729" s="1" t="str">
        <f t="shared" si="3452"/>
        <v>0</v>
      </c>
      <c r="I1729" s="1" t="str">
        <f t="shared" si="3452"/>
        <v>0</v>
      </c>
      <c r="J1729" s="1" t="str">
        <f>"16"</f>
        <v>16</v>
      </c>
      <c r="K1729" s="1" t="str">
        <f t="shared" ref="K1729:P1729" si="3453">"0"</f>
        <v>0</v>
      </c>
      <c r="L1729" s="1" t="str">
        <f t="shared" si="3453"/>
        <v>0</v>
      </c>
      <c r="M1729" s="1" t="str">
        <f t="shared" si="3453"/>
        <v>0</v>
      </c>
      <c r="N1729" s="1" t="str">
        <f t="shared" si="3453"/>
        <v>0</v>
      </c>
      <c r="O1729" s="1" t="str">
        <f t="shared" si="3453"/>
        <v>0</v>
      </c>
      <c r="P1729" s="1" t="str">
        <f t="shared" si="3453"/>
        <v>0</v>
      </c>
      <c r="Q1729" s="1" t="str">
        <f t="shared" si="3334"/>
        <v>0.0070</v>
      </c>
      <c r="R1729" s="1" t="s">
        <v>29</v>
      </c>
      <c r="S1729" s="1">
        <v>-0.0014</v>
      </c>
      <c r="T1729" s="1" t="str">
        <f t="shared" si="3335"/>
        <v>0</v>
      </c>
      <c r="U1729" s="1" t="str">
        <f t="shared" ref="U1729:U1732" si="3454">"0.0056"</f>
        <v>0.0056</v>
      </c>
    </row>
    <row r="1730" s="1" customFormat="1" spans="1:21">
      <c r="A1730" s="1" t="str">
        <f>"4601992024797"</f>
        <v>4601992024797</v>
      </c>
      <c r="B1730" s="1" t="s">
        <v>1754</v>
      </c>
      <c r="C1730" s="1" t="s">
        <v>24</v>
      </c>
      <c r="D1730" s="1" t="str">
        <f t="shared" si="3331"/>
        <v>2021</v>
      </c>
      <c r="E1730" s="1" t="str">
        <f>"36.27"</f>
        <v>36.27</v>
      </c>
      <c r="F1730" s="1" t="str">
        <f t="shared" ref="F1730:I1730" si="3455">"0"</f>
        <v>0</v>
      </c>
      <c r="G1730" s="1" t="str">
        <f t="shared" si="3455"/>
        <v>0</v>
      </c>
      <c r="H1730" s="1" t="str">
        <f t="shared" si="3455"/>
        <v>0</v>
      </c>
      <c r="I1730" s="1" t="str">
        <f t="shared" si="3455"/>
        <v>0</v>
      </c>
      <c r="J1730" s="1" t="str">
        <f>"3"</f>
        <v>3</v>
      </c>
      <c r="K1730" s="1" t="str">
        <f t="shared" ref="K1730:P1730" si="3456">"0"</f>
        <v>0</v>
      </c>
      <c r="L1730" s="1" t="str">
        <f t="shared" si="3456"/>
        <v>0</v>
      </c>
      <c r="M1730" s="1" t="str">
        <f t="shared" si="3456"/>
        <v>0</v>
      </c>
      <c r="N1730" s="1" t="str">
        <f t="shared" si="3456"/>
        <v>0</v>
      </c>
      <c r="O1730" s="1" t="str">
        <f t="shared" si="3456"/>
        <v>0</v>
      </c>
      <c r="P1730" s="1" t="str">
        <f t="shared" si="3456"/>
        <v>0</v>
      </c>
      <c r="Q1730" s="1" t="str">
        <f t="shared" si="3334"/>
        <v>0.0070</v>
      </c>
      <c r="R1730" s="1" t="s">
        <v>29</v>
      </c>
      <c r="S1730" s="1">
        <v>-0.0014</v>
      </c>
      <c r="T1730" s="1" t="str">
        <f t="shared" si="3335"/>
        <v>0</v>
      </c>
      <c r="U1730" s="1" t="str">
        <f t="shared" si="3454"/>
        <v>0.0056</v>
      </c>
    </row>
    <row r="1731" s="1" customFormat="1" spans="1:21">
      <c r="A1731" s="1" t="str">
        <f>"4601992024735"</f>
        <v>4601992024735</v>
      </c>
      <c r="B1731" s="1" t="s">
        <v>1755</v>
      </c>
      <c r="C1731" s="1" t="s">
        <v>24</v>
      </c>
      <c r="D1731" s="1" t="str">
        <f t="shared" ref="D1731:D1794" si="3457">"2021"</f>
        <v>2021</v>
      </c>
      <c r="E1731" s="1" t="str">
        <f>"48.36"</f>
        <v>48.36</v>
      </c>
      <c r="F1731" s="1" t="str">
        <f t="shared" ref="F1731:I1731" si="3458">"0"</f>
        <v>0</v>
      </c>
      <c r="G1731" s="1" t="str">
        <f t="shared" si="3458"/>
        <v>0</v>
      </c>
      <c r="H1731" s="1" t="str">
        <f t="shared" si="3458"/>
        <v>0</v>
      </c>
      <c r="I1731" s="1" t="str">
        <f t="shared" si="3458"/>
        <v>0</v>
      </c>
      <c r="J1731" s="1" t="str">
        <f t="shared" si="3448"/>
        <v>2</v>
      </c>
      <c r="K1731" s="1" t="str">
        <f t="shared" ref="K1731:P1731" si="3459">"0"</f>
        <v>0</v>
      </c>
      <c r="L1731" s="1" t="str">
        <f t="shared" si="3459"/>
        <v>0</v>
      </c>
      <c r="M1731" s="1" t="str">
        <f t="shared" si="3459"/>
        <v>0</v>
      </c>
      <c r="N1731" s="1" t="str">
        <f t="shared" si="3459"/>
        <v>0</v>
      </c>
      <c r="O1731" s="1" t="str">
        <f t="shared" si="3459"/>
        <v>0</v>
      </c>
      <c r="P1731" s="1" t="str">
        <f t="shared" si="3459"/>
        <v>0</v>
      </c>
      <c r="Q1731" s="1" t="str">
        <f t="shared" ref="Q1731:Q1794" si="3460">"0.0070"</f>
        <v>0.0070</v>
      </c>
      <c r="R1731" s="1" t="s">
        <v>29</v>
      </c>
      <c r="S1731" s="1">
        <v>-0.0014</v>
      </c>
      <c r="T1731" s="1" t="str">
        <f t="shared" ref="T1731:T1794" si="3461">"0"</f>
        <v>0</v>
      </c>
      <c r="U1731" s="1" t="str">
        <f t="shared" si="3454"/>
        <v>0.0056</v>
      </c>
    </row>
    <row r="1732" s="1" customFormat="1" spans="1:21">
      <c r="A1732" s="1" t="str">
        <f>"4601992024805"</f>
        <v>4601992024805</v>
      </c>
      <c r="B1732" s="1" t="s">
        <v>1756</v>
      </c>
      <c r="C1732" s="1" t="s">
        <v>24</v>
      </c>
      <c r="D1732" s="1" t="str">
        <f t="shared" si="3457"/>
        <v>2021</v>
      </c>
      <c r="E1732" s="1" t="str">
        <f>"12.09"</f>
        <v>12.09</v>
      </c>
      <c r="F1732" s="1" t="str">
        <f t="shared" ref="F1732:I1732" si="3462">"0"</f>
        <v>0</v>
      </c>
      <c r="G1732" s="1" t="str">
        <f t="shared" si="3462"/>
        <v>0</v>
      </c>
      <c r="H1732" s="1" t="str">
        <f t="shared" si="3462"/>
        <v>0</v>
      </c>
      <c r="I1732" s="1" t="str">
        <f t="shared" si="3462"/>
        <v>0</v>
      </c>
      <c r="J1732" s="1" t="str">
        <f t="shared" si="3448"/>
        <v>2</v>
      </c>
      <c r="K1732" s="1" t="str">
        <f t="shared" ref="K1732:P1732" si="3463">"0"</f>
        <v>0</v>
      </c>
      <c r="L1732" s="1" t="str">
        <f t="shared" si="3463"/>
        <v>0</v>
      </c>
      <c r="M1732" s="1" t="str">
        <f t="shared" si="3463"/>
        <v>0</v>
      </c>
      <c r="N1732" s="1" t="str">
        <f t="shared" si="3463"/>
        <v>0</v>
      </c>
      <c r="O1732" s="1" t="str">
        <f t="shared" si="3463"/>
        <v>0</v>
      </c>
      <c r="P1732" s="1" t="str">
        <f t="shared" si="3463"/>
        <v>0</v>
      </c>
      <c r="Q1732" s="1" t="str">
        <f t="shared" si="3460"/>
        <v>0.0070</v>
      </c>
      <c r="R1732" s="1" t="s">
        <v>29</v>
      </c>
      <c r="S1732" s="1">
        <v>-0.0014</v>
      </c>
      <c r="T1732" s="1" t="str">
        <f t="shared" si="3461"/>
        <v>0</v>
      </c>
      <c r="U1732" s="1" t="str">
        <f t="shared" si="3454"/>
        <v>0.0056</v>
      </c>
    </row>
    <row r="1733" s="1" customFormat="1" spans="1:21">
      <c r="A1733" s="1" t="str">
        <f>"4601992024851"</f>
        <v>4601992024851</v>
      </c>
      <c r="B1733" s="1" t="s">
        <v>1757</v>
      </c>
      <c r="C1733" s="1" t="s">
        <v>24</v>
      </c>
      <c r="D1733" s="1" t="str">
        <f t="shared" si="3457"/>
        <v>2021</v>
      </c>
      <c r="E1733" s="1" t="str">
        <f t="shared" ref="E1733:P1733" si="3464">"0"</f>
        <v>0</v>
      </c>
      <c r="F1733" s="1" t="str">
        <f t="shared" si="3464"/>
        <v>0</v>
      </c>
      <c r="G1733" s="1" t="str">
        <f t="shared" si="3464"/>
        <v>0</v>
      </c>
      <c r="H1733" s="1" t="str">
        <f t="shared" si="3464"/>
        <v>0</v>
      </c>
      <c r="I1733" s="1" t="str">
        <f t="shared" si="3464"/>
        <v>0</v>
      </c>
      <c r="J1733" s="1" t="str">
        <f t="shared" si="3464"/>
        <v>0</v>
      </c>
      <c r="K1733" s="1" t="str">
        <f t="shared" si="3464"/>
        <v>0</v>
      </c>
      <c r="L1733" s="1" t="str">
        <f t="shared" si="3464"/>
        <v>0</v>
      </c>
      <c r="M1733" s="1" t="str">
        <f t="shared" si="3464"/>
        <v>0</v>
      </c>
      <c r="N1733" s="1" t="str">
        <f t="shared" si="3464"/>
        <v>0</v>
      </c>
      <c r="O1733" s="1" t="str">
        <f t="shared" si="3464"/>
        <v>0</v>
      </c>
      <c r="P1733" s="1" t="str">
        <f t="shared" si="3464"/>
        <v>0</v>
      </c>
      <c r="Q1733" s="1" t="str">
        <f t="shared" si="3460"/>
        <v>0.0070</v>
      </c>
      <c r="R1733" s="1" t="s">
        <v>25</v>
      </c>
      <c r="T1733" s="1" t="str">
        <f t="shared" si="3461"/>
        <v>0</v>
      </c>
      <c r="U1733" s="1" t="str">
        <f>"0.0070"</f>
        <v>0.0070</v>
      </c>
    </row>
    <row r="1734" s="1" customFormat="1" spans="1:21">
      <c r="A1734" s="1" t="str">
        <f>"4601992024807"</f>
        <v>4601992024807</v>
      </c>
      <c r="B1734" s="1" t="s">
        <v>1758</v>
      </c>
      <c r="C1734" s="1" t="s">
        <v>24</v>
      </c>
      <c r="D1734" s="1" t="str">
        <f t="shared" si="3457"/>
        <v>2021</v>
      </c>
      <c r="E1734" s="1" t="str">
        <f>"86.83"</f>
        <v>86.83</v>
      </c>
      <c r="F1734" s="1" t="str">
        <f t="shared" ref="F1734:I1734" si="3465">"0"</f>
        <v>0</v>
      </c>
      <c r="G1734" s="1" t="str">
        <f t="shared" si="3465"/>
        <v>0</v>
      </c>
      <c r="H1734" s="1" t="str">
        <f t="shared" si="3465"/>
        <v>0</v>
      </c>
      <c r="I1734" s="1" t="str">
        <f t="shared" si="3465"/>
        <v>0</v>
      </c>
      <c r="J1734" s="1" t="str">
        <f>"9"</f>
        <v>9</v>
      </c>
      <c r="K1734" s="1" t="str">
        <f t="shared" ref="K1734:P1734" si="3466">"0"</f>
        <v>0</v>
      </c>
      <c r="L1734" s="1" t="str">
        <f t="shared" si="3466"/>
        <v>0</v>
      </c>
      <c r="M1734" s="1" t="str">
        <f t="shared" si="3466"/>
        <v>0</v>
      </c>
      <c r="N1734" s="1" t="str">
        <f t="shared" si="3466"/>
        <v>0</v>
      </c>
      <c r="O1734" s="1" t="str">
        <f t="shared" si="3466"/>
        <v>0</v>
      </c>
      <c r="P1734" s="1" t="str">
        <f t="shared" si="3466"/>
        <v>0</v>
      </c>
      <c r="Q1734" s="1" t="str">
        <f t="shared" si="3460"/>
        <v>0.0070</v>
      </c>
      <c r="R1734" s="1" t="s">
        <v>29</v>
      </c>
      <c r="S1734" s="1">
        <v>-0.0014</v>
      </c>
      <c r="T1734" s="1" t="str">
        <f t="shared" si="3461"/>
        <v>0</v>
      </c>
      <c r="U1734" s="1" t="str">
        <f t="shared" ref="U1734:U1737" si="3467">"0.0056"</f>
        <v>0.0056</v>
      </c>
    </row>
    <row r="1735" s="1" customFormat="1" spans="1:21">
      <c r="A1735" s="1" t="str">
        <f>"4601992024864"</f>
        <v>4601992024864</v>
      </c>
      <c r="B1735" s="1" t="s">
        <v>1759</v>
      </c>
      <c r="C1735" s="1" t="s">
        <v>24</v>
      </c>
      <c r="D1735" s="1" t="str">
        <f t="shared" si="3457"/>
        <v>2021</v>
      </c>
      <c r="E1735" s="1" t="str">
        <f>"24.18"</f>
        <v>24.18</v>
      </c>
      <c r="F1735" s="1" t="str">
        <f t="shared" ref="F1735:I1735" si="3468">"0"</f>
        <v>0</v>
      </c>
      <c r="G1735" s="1" t="str">
        <f t="shared" si="3468"/>
        <v>0</v>
      </c>
      <c r="H1735" s="1" t="str">
        <f t="shared" si="3468"/>
        <v>0</v>
      </c>
      <c r="I1735" s="1" t="str">
        <f t="shared" si="3468"/>
        <v>0</v>
      </c>
      <c r="J1735" s="1" t="str">
        <f t="shared" ref="J1735:J1740" si="3469">"2"</f>
        <v>2</v>
      </c>
      <c r="K1735" s="1" t="str">
        <f t="shared" ref="K1735:P1735" si="3470">"0"</f>
        <v>0</v>
      </c>
      <c r="L1735" s="1" t="str">
        <f t="shared" si="3470"/>
        <v>0</v>
      </c>
      <c r="M1735" s="1" t="str">
        <f t="shared" si="3470"/>
        <v>0</v>
      </c>
      <c r="N1735" s="1" t="str">
        <f t="shared" si="3470"/>
        <v>0</v>
      </c>
      <c r="O1735" s="1" t="str">
        <f t="shared" si="3470"/>
        <v>0</v>
      </c>
      <c r="P1735" s="1" t="str">
        <f t="shared" si="3470"/>
        <v>0</v>
      </c>
      <c r="Q1735" s="1" t="str">
        <f t="shared" si="3460"/>
        <v>0.0070</v>
      </c>
      <c r="R1735" s="1" t="s">
        <v>29</v>
      </c>
      <c r="S1735" s="1">
        <v>-0.0014</v>
      </c>
      <c r="T1735" s="1" t="str">
        <f t="shared" si="3461"/>
        <v>0</v>
      </c>
      <c r="U1735" s="1" t="str">
        <f t="shared" si="3467"/>
        <v>0.0056</v>
      </c>
    </row>
    <row r="1736" s="1" customFormat="1" spans="1:21">
      <c r="A1736" s="1" t="str">
        <f>"4601992024893"</f>
        <v>4601992024893</v>
      </c>
      <c r="B1736" s="1" t="s">
        <v>1760</v>
      </c>
      <c r="C1736" s="1" t="s">
        <v>24</v>
      </c>
      <c r="D1736" s="1" t="str">
        <f t="shared" si="3457"/>
        <v>2021</v>
      </c>
      <c r="E1736" s="1" t="str">
        <f>"24.07"</f>
        <v>24.07</v>
      </c>
      <c r="F1736" s="1" t="str">
        <f t="shared" ref="F1736:I1736" si="3471">"0"</f>
        <v>0</v>
      </c>
      <c r="G1736" s="1" t="str">
        <f t="shared" si="3471"/>
        <v>0</v>
      </c>
      <c r="H1736" s="1" t="str">
        <f t="shared" si="3471"/>
        <v>0</v>
      </c>
      <c r="I1736" s="1" t="str">
        <f t="shared" si="3471"/>
        <v>0</v>
      </c>
      <c r="J1736" s="1" t="str">
        <f t="shared" si="3469"/>
        <v>2</v>
      </c>
      <c r="K1736" s="1" t="str">
        <f>"1"</f>
        <v>1</v>
      </c>
      <c r="L1736" s="1" t="str">
        <f>"1"</f>
        <v>1</v>
      </c>
      <c r="M1736" s="1" t="str">
        <f t="shared" ref="M1736:P1736" si="3472">"0"</f>
        <v>0</v>
      </c>
      <c r="N1736" s="1" t="str">
        <f t="shared" si="3472"/>
        <v>0</v>
      </c>
      <c r="O1736" s="1" t="str">
        <f t="shared" si="3472"/>
        <v>0</v>
      </c>
      <c r="P1736" s="1" t="str">
        <f t="shared" si="3472"/>
        <v>0</v>
      </c>
      <c r="Q1736" s="1" t="str">
        <f t="shared" si="3460"/>
        <v>0.0070</v>
      </c>
      <c r="R1736" s="1" t="s">
        <v>29</v>
      </c>
      <c r="S1736" s="1">
        <v>-0.0014</v>
      </c>
      <c r="T1736" s="1" t="str">
        <f t="shared" si="3461"/>
        <v>0</v>
      </c>
      <c r="U1736" s="1" t="str">
        <f t="shared" si="3467"/>
        <v>0.0056</v>
      </c>
    </row>
    <row r="1737" s="1" customFormat="1" spans="1:21">
      <c r="A1737" s="1" t="str">
        <f>"4601992024934"</f>
        <v>4601992024934</v>
      </c>
      <c r="B1737" s="1" t="s">
        <v>1761</v>
      </c>
      <c r="C1737" s="1" t="s">
        <v>24</v>
      </c>
      <c r="D1737" s="1" t="str">
        <f t="shared" si="3457"/>
        <v>2021</v>
      </c>
      <c r="E1737" s="1" t="str">
        <f>"12.09"</f>
        <v>12.09</v>
      </c>
      <c r="F1737" s="1" t="str">
        <f t="shared" ref="F1737:I1737" si="3473">"0"</f>
        <v>0</v>
      </c>
      <c r="G1737" s="1" t="str">
        <f t="shared" si="3473"/>
        <v>0</v>
      </c>
      <c r="H1737" s="1" t="str">
        <f t="shared" si="3473"/>
        <v>0</v>
      </c>
      <c r="I1737" s="1" t="str">
        <f t="shared" si="3473"/>
        <v>0</v>
      </c>
      <c r="J1737" s="1" t="str">
        <f>"1"</f>
        <v>1</v>
      </c>
      <c r="K1737" s="1" t="str">
        <f t="shared" ref="K1737:P1737" si="3474">"0"</f>
        <v>0</v>
      </c>
      <c r="L1737" s="1" t="str">
        <f t="shared" si="3474"/>
        <v>0</v>
      </c>
      <c r="M1737" s="1" t="str">
        <f t="shared" si="3474"/>
        <v>0</v>
      </c>
      <c r="N1737" s="1" t="str">
        <f t="shared" si="3474"/>
        <v>0</v>
      </c>
      <c r="O1737" s="1" t="str">
        <f t="shared" si="3474"/>
        <v>0</v>
      </c>
      <c r="P1737" s="1" t="str">
        <f t="shared" si="3474"/>
        <v>0</v>
      </c>
      <c r="Q1737" s="1" t="str">
        <f t="shared" si="3460"/>
        <v>0.0070</v>
      </c>
      <c r="R1737" s="1" t="s">
        <v>29</v>
      </c>
      <c r="S1737" s="1">
        <v>-0.0014</v>
      </c>
      <c r="T1737" s="1" t="str">
        <f t="shared" si="3461"/>
        <v>0</v>
      </c>
      <c r="U1737" s="1" t="str">
        <f t="shared" si="3467"/>
        <v>0.0056</v>
      </c>
    </row>
    <row r="1738" s="1" customFormat="1" spans="1:21">
      <c r="A1738" s="1" t="str">
        <f>"4601992025023"</f>
        <v>4601992025023</v>
      </c>
      <c r="B1738" s="1" t="s">
        <v>1762</v>
      </c>
      <c r="C1738" s="1" t="s">
        <v>24</v>
      </c>
      <c r="D1738" s="1" t="str">
        <f t="shared" si="3457"/>
        <v>2021</v>
      </c>
      <c r="E1738" s="1" t="str">
        <f t="shared" ref="E1738:G1738" si="3475">"0"</f>
        <v>0</v>
      </c>
      <c r="F1738" s="1" t="str">
        <f t="shared" si="3475"/>
        <v>0</v>
      </c>
      <c r="G1738" s="1" t="str">
        <f t="shared" si="3475"/>
        <v>0</v>
      </c>
      <c r="H1738" s="1" t="str">
        <f>"24.18"</f>
        <v>24.18</v>
      </c>
      <c r="I1738" s="1" t="str">
        <f t="shared" ref="I1738:P1738" si="3476">"0"</f>
        <v>0</v>
      </c>
      <c r="J1738" s="1" t="str">
        <f t="shared" si="3476"/>
        <v>0</v>
      </c>
      <c r="K1738" s="1" t="str">
        <f t="shared" si="3476"/>
        <v>0</v>
      </c>
      <c r="L1738" s="1" t="str">
        <f t="shared" si="3476"/>
        <v>0</v>
      </c>
      <c r="M1738" s="1" t="str">
        <f t="shared" si="3476"/>
        <v>0</v>
      </c>
      <c r="N1738" s="1" t="str">
        <f t="shared" si="3476"/>
        <v>0</v>
      </c>
      <c r="O1738" s="1" t="str">
        <f t="shared" si="3476"/>
        <v>0</v>
      </c>
      <c r="P1738" s="1" t="str">
        <f t="shared" si="3476"/>
        <v>0</v>
      </c>
      <c r="Q1738" s="1" t="str">
        <f t="shared" si="3460"/>
        <v>0.0070</v>
      </c>
      <c r="R1738" s="1" t="s">
        <v>25</v>
      </c>
      <c r="T1738" s="1" t="str">
        <f t="shared" si="3461"/>
        <v>0</v>
      </c>
      <c r="U1738" s="1" t="str">
        <f t="shared" ref="U1738:U1742" si="3477">"0.0070"</f>
        <v>0.0070</v>
      </c>
    </row>
    <row r="1739" s="1" customFormat="1" spans="1:21">
      <c r="A1739" s="1" t="str">
        <f>"4601992025019"</f>
        <v>4601992025019</v>
      </c>
      <c r="B1739" s="1" t="s">
        <v>1763</v>
      </c>
      <c r="C1739" s="1" t="s">
        <v>24</v>
      </c>
      <c r="D1739" s="1" t="str">
        <f t="shared" si="3457"/>
        <v>2021</v>
      </c>
      <c r="E1739" s="1" t="str">
        <f>"79.98"</f>
        <v>79.98</v>
      </c>
      <c r="F1739" s="1" t="str">
        <f t="shared" ref="F1739:I1739" si="3478">"0"</f>
        <v>0</v>
      </c>
      <c r="G1739" s="1" t="str">
        <f t="shared" si="3478"/>
        <v>0</v>
      </c>
      <c r="H1739" s="1" t="str">
        <f t="shared" si="3478"/>
        <v>0</v>
      </c>
      <c r="I1739" s="1" t="str">
        <f t="shared" si="3478"/>
        <v>0</v>
      </c>
      <c r="J1739" s="1" t="str">
        <f>"6"</f>
        <v>6</v>
      </c>
      <c r="K1739" s="1" t="str">
        <f t="shared" ref="K1739:P1739" si="3479">"0"</f>
        <v>0</v>
      </c>
      <c r="L1739" s="1" t="str">
        <f t="shared" si="3479"/>
        <v>0</v>
      </c>
      <c r="M1739" s="1" t="str">
        <f t="shared" si="3479"/>
        <v>0</v>
      </c>
      <c r="N1739" s="1" t="str">
        <f t="shared" si="3479"/>
        <v>0</v>
      </c>
      <c r="O1739" s="1" t="str">
        <f t="shared" si="3479"/>
        <v>0</v>
      </c>
      <c r="P1739" s="1" t="str">
        <f t="shared" si="3479"/>
        <v>0</v>
      </c>
      <c r="Q1739" s="1" t="str">
        <f t="shared" si="3460"/>
        <v>0.0070</v>
      </c>
      <c r="R1739" s="1" t="s">
        <v>29</v>
      </c>
      <c r="S1739" s="1">
        <v>-0.0014</v>
      </c>
      <c r="T1739" s="1" t="str">
        <f t="shared" si="3461"/>
        <v>0</v>
      </c>
      <c r="U1739" s="1" t="str">
        <f t="shared" ref="U1739:U1743" si="3480">"0.0056"</f>
        <v>0.0056</v>
      </c>
    </row>
    <row r="1740" s="1" customFormat="1" spans="1:21">
      <c r="A1740" s="1" t="str">
        <f>"4601992024942"</f>
        <v>4601992024942</v>
      </c>
      <c r="B1740" s="1" t="s">
        <v>1764</v>
      </c>
      <c r="C1740" s="1" t="s">
        <v>24</v>
      </c>
      <c r="D1740" s="1" t="str">
        <f t="shared" si="3457"/>
        <v>2021</v>
      </c>
      <c r="E1740" s="1" t="str">
        <f>"24.34"</f>
        <v>24.34</v>
      </c>
      <c r="F1740" s="1" t="str">
        <f t="shared" ref="F1740:I1740" si="3481">"0"</f>
        <v>0</v>
      </c>
      <c r="G1740" s="1" t="str">
        <f t="shared" si="3481"/>
        <v>0</v>
      </c>
      <c r="H1740" s="1" t="str">
        <f t="shared" si="3481"/>
        <v>0</v>
      </c>
      <c r="I1740" s="1" t="str">
        <f t="shared" si="3481"/>
        <v>0</v>
      </c>
      <c r="J1740" s="1" t="str">
        <f t="shared" si="3469"/>
        <v>2</v>
      </c>
      <c r="K1740" s="1" t="str">
        <f t="shared" ref="K1740:P1740" si="3482">"0"</f>
        <v>0</v>
      </c>
      <c r="L1740" s="1" t="str">
        <f t="shared" si="3482"/>
        <v>0</v>
      </c>
      <c r="M1740" s="1" t="str">
        <f t="shared" si="3482"/>
        <v>0</v>
      </c>
      <c r="N1740" s="1" t="str">
        <f t="shared" si="3482"/>
        <v>0</v>
      </c>
      <c r="O1740" s="1" t="str">
        <f t="shared" si="3482"/>
        <v>0</v>
      </c>
      <c r="P1740" s="1" t="str">
        <f t="shared" si="3482"/>
        <v>0</v>
      </c>
      <c r="Q1740" s="1" t="str">
        <f t="shared" si="3460"/>
        <v>0.0070</v>
      </c>
      <c r="R1740" s="1" t="s">
        <v>29</v>
      </c>
      <c r="S1740" s="1">
        <v>-0.0014</v>
      </c>
      <c r="T1740" s="1" t="str">
        <f t="shared" si="3461"/>
        <v>0</v>
      </c>
      <c r="U1740" s="1" t="str">
        <f t="shared" si="3480"/>
        <v>0.0056</v>
      </c>
    </row>
    <row r="1741" s="1" customFormat="1" spans="1:21">
      <c r="A1741" s="1" t="str">
        <f>"4601992025024"</f>
        <v>4601992025024</v>
      </c>
      <c r="B1741" s="1" t="s">
        <v>1765</v>
      </c>
      <c r="C1741" s="1" t="s">
        <v>24</v>
      </c>
      <c r="D1741" s="1" t="str">
        <f t="shared" si="3457"/>
        <v>2021</v>
      </c>
      <c r="E1741" s="1" t="str">
        <f t="shared" ref="E1741:G1741" si="3483">"0"</f>
        <v>0</v>
      </c>
      <c r="F1741" s="1" t="str">
        <f t="shared" si="3483"/>
        <v>0</v>
      </c>
      <c r="G1741" s="1" t="str">
        <f t="shared" si="3483"/>
        <v>0</v>
      </c>
      <c r="H1741" s="1" t="str">
        <f>"12.09"</f>
        <v>12.09</v>
      </c>
      <c r="I1741" s="1" t="str">
        <f t="shared" ref="I1741:P1741" si="3484">"0"</f>
        <v>0</v>
      </c>
      <c r="J1741" s="1" t="str">
        <f>"1"</f>
        <v>1</v>
      </c>
      <c r="K1741" s="1" t="str">
        <f t="shared" si="3484"/>
        <v>0</v>
      </c>
      <c r="L1741" s="1" t="str">
        <f t="shared" si="3484"/>
        <v>0</v>
      </c>
      <c r="M1741" s="1" t="str">
        <f t="shared" si="3484"/>
        <v>0</v>
      </c>
      <c r="N1741" s="1" t="str">
        <f t="shared" si="3484"/>
        <v>0</v>
      </c>
      <c r="O1741" s="1" t="str">
        <f t="shared" si="3484"/>
        <v>0</v>
      </c>
      <c r="P1741" s="1" t="str">
        <f t="shared" si="3484"/>
        <v>0</v>
      </c>
      <c r="Q1741" s="1" t="str">
        <f t="shared" si="3460"/>
        <v>0.0070</v>
      </c>
      <c r="R1741" s="1" t="s">
        <v>25</v>
      </c>
      <c r="T1741" s="1" t="str">
        <f t="shared" si="3461"/>
        <v>0</v>
      </c>
      <c r="U1741" s="1" t="str">
        <f t="shared" si="3477"/>
        <v>0.0070</v>
      </c>
    </row>
    <row r="1742" s="1" customFormat="1" spans="1:21">
      <c r="A1742" s="1" t="str">
        <f>"4601992025053"</f>
        <v>4601992025053</v>
      </c>
      <c r="B1742" s="1" t="s">
        <v>1766</v>
      </c>
      <c r="C1742" s="1" t="s">
        <v>24</v>
      </c>
      <c r="D1742" s="1" t="str">
        <f t="shared" si="3457"/>
        <v>2021</v>
      </c>
      <c r="E1742" s="1" t="str">
        <f t="shared" ref="E1742:P1742" si="3485">"0"</f>
        <v>0</v>
      </c>
      <c r="F1742" s="1" t="str">
        <f t="shared" si="3485"/>
        <v>0</v>
      </c>
      <c r="G1742" s="1" t="str">
        <f t="shared" si="3485"/>
        <v>0</v>
      </c>
      <c r="H1742" s="1" t="str">
        <f t="shared" si="3485"/>
        <v>0</v>
      </c>
      <c r="I1742" s="1" t="str">
        <f t="shared" si="3485"/>
        <v>0</v>
      </c>
      <c r="J1742" s="1" t="str">
        <f t="shared" si="3485"/>
        <v>0</v>
      </c>
      <c r="K1742" s="1" t="str">
        <f t="shared" si="3485"/>
        <v>0</v>
      </c>
      <c r="L1742" s="1" t="str">
        <f t="shared" si="3485"/>
        <v>0</v>
      </c>
      <c r="M1742" s="1" t="str">
        <f t="shared" si="3485"/>
        <v>0</v>
      </c>
      <c r="N1742" s="1" t="str">
        <f t="shared" si="3485"/>
        <v>0</v>
      </c>
      <c r="O1742" s="1" t="str">
        <f t="shared" si="3485"/>
        <v>0</v>
      </c>
      <c r="P1742" s="1" t="str">
        <f t="shared" si="3485"/>
        <v>0</v>
      </c>
      <c r="Q1742" s="1" t="str">
        <f t="shared" si="3460"/>
        <v>0.0070</v>
      </c>
      <c r="R1742" s="1" t="s">
        <v>25</v>
      </c>
      <c r="T1742" s="1" t="str">
        <f t="shared" si="3461"/>
        <v>0</v>
      </c>
      <c r="U1742" s="1" t="str">
        <f t="shared" si="3477"/>
        <v>0.0070</v>
      </c>
    </row>
    <row r="1743" s="1" customFormat="1" spans="1:21">
      <c r="A1743" s="1" t="str">
        <f>"4601992025052"</f>
        <v>4601992025052</v>
      </c>
      <c r="B1743" s="1" t="s">
        <v>1767</v>
      </c>
      <c r="C1743" s="1" t="s">
        <v>24</v>
      </c>
      <c r="D1743" s="1" t="str">
        <f t="shared" si="3457"/>
        <v>2021</v>
      </c>
      <c r="E1743" s="1" t="str">
        <f>"84.63"</f>
        <v>84.63</v>
      </c>
      <c r="F1743" s="1" t="str">
        <f t="shared" ref="F1743:I1743" si="3486">"0"</f>
        <v>0</v>
      </c>
      <c r="G1743" s="1" t="str">
        <f t="shared" si="3486"/>
        <v>0</v>
      </c>
      <c r="H1743" s="1" t="str">
        <f t="shared" si="3486"/>
        <v>0</v>
      </c>
      <c r="I1743" s="1" t="str">
        <f t="shared" si="3486"/>
        <v>0</v>
      </c>
      <c r="J1743" s="1" t="str">
        <f>"6"</f>
        <v>6</v>
      </c>
      <c r="K1743" s="1" t="str">
        <f t="shared" ref="K1743:P1743" si="3487">"0"</f>
        <v>0</v>
      </c>
      <c r="L1743" s="1" t="str">
        <f t="shared" si="3487"/>
        <v>0</v>
      </c>
      <c r="M1743" s="1" t="str">
        <f t="shared" si="3487"/>
        <v>0</v>
      </c>
      <c r="N1743" s="1" t="str">
        <f t="shared" si="3487"/>
        <v>0</v>
      </c>
      <c r="O1743" s="1" t="str">
        <f t="shared" si="3487"/>
        <v>0</v>
      </c>
      <c r="P1743" s="1" t="str">
        <f t="shared" si="3487"/>
        <v>0</v>
      </c>
      <c r="Q1743" s="1" t="str">
        <f t="shared" si="3460"/>
        <v>0.0070</v>
      </c>
      <c r="R1743" s="1" t="s">
        <v>29</v>
      </c>
      <c r="S1743" s="1">
        <v>-0.0014</v>
      </c>
      <c r="T1743" s="1" t="str">
        <f t="shared" si="3461"/>
        <v>0</v>
      </c>
      <c r="U1743" s="1" t="str">
        <f t="shared" si="3480"/>
        <v>0.0056</v>
      </c>
    </row>
    <row r="1744" s="1" customFormat="1" spans="1:21">
      <c r="A1744" s="1" t="str">
        <f>"4601992025076"</f>
        <v>4601992025076</v>
      </c>
      <c r="B1744" s="1" t="s">
        <v>1768</v>
      </c>
      <c r="C1744" s="1" t="s">
        <v>24</v>
      </c>
      <c r="D1744" s="1" t="str">
        <f t="shared" si="3457"/>
        <v>2021</v>
      </c>
      <c r="E1744" s="1" t="str">
        <f>"12.09"</f>
        <v>12.09</v>
      </c>
      <c r="F1744" s="1" t="str">
        <f t="shared" ref="F1744:I1744" si="3488">"0"</f>
        <v>0</v>
      </c>
      <c r="G1744" s="1" t="str">
        <f t="shared" si="3488"/>
        <v>0</v>
      </c>
      <c r="H1744" s="1" t="str">
        <f t="shared" si="3488"/>
        <v>0</v>
      </c>
      <c r="I1744" s="1" t="str">
        <f t="shared" si="3488"/>
        <v>0</v>
      </c>
      <c r="J1744" s="1" t="str">
        <f>"1"</f>
        <v>1</v>
      </c>
      <c r="K1744" s="1" t="str">
        <f t="shared" ref="K1744:P1744" si="3489">"0"</f>
        <v>0</v>
      </c>
      <c r="L1744" s="1" t="str">
        <f t="shared" si="3489"/>
        <v>0</v>
      </c>
      <c r="M1744" s="1" t="str">
        <f t="shared" si="3489"/>
        <v>0</v>
      </c>
      <c r="N1744" s="1" t="str">
        <f t="shared" si="3489"/>
        <v>0</v>
      </c>
      <c r="O1744" s="1" t="str">
        <f t="shared" si="3489"/>
        <v>0</v>
      </c>
      <c r="P1744" s="1" t="str">
        <f t="shared" si="3489"/>
        <v>0</v>
      </c>
      <c r="Q1744" s="1" t="str">
        <f t="shared" si="3460"/>
        <v>0.0070</v>
      </c>
      <c r="R1744" s="1" t="s">
        <v>25</v>
      </c>
      <c r="T1744" s="1" t="str">
        <f t="shared" si="3461"/>
        <v>0</v>
      </c>
      <c r="U1744" s="1" t="str">
        <f t="shared" ref="U1744:U1750" si="3490">"0.0070"</f>
        <v>0.0070</v>
      </c>
    </row>
    <row r="1745" s="1" customFormat="1" spans="1:21">
      <c r="A1745" s="1" t="str">
        <f>"4601992025089"</f>
        <v>4601992025089</v>
      </c>
      <c r="B1745" s="1" t="s">
        <v>1769</v>
      </c>
      <c r="C1745" s="1" t="s">
        <v>24</v>
      </c>
      <c r="D1745" s="1" t="str">
        <f t="shared" si="3457"/>
        <v>2021</v>
      </c>
      <c r="E1745" s="1" t="str">
        <f>"24.34"</f>
        <v>24.34</v>
      </c>
      <c r="F1745" s="1" t="str">
        <f t="shared" ref="F1745:I1745" si="3491">"0"</f>
        <v>0</v>
      </c>
      <c r="G1745" s="1" t="str">
        <f t="shared" si="3491"/>
        <v>0</v>
      </c>
      <c r="H1745" s="1" t="str">
        <f t="shared" si="3491"/>
        <v>0</v>
      </c>
      <c r="I1745" s="1" t="str">
        <f t="shared" si="3491"/>
        <v>0</v>
      </c>
      <c r="J1745" s="1" t="str">
        <f>"2"</f>
        <v>2</v>
      </c>
      <c r="K1745" s="1" t="str">
        <f t="shared" ref="K1745:P1745" si="3492">"0"</f>
        <v>0</v>
      </c>
      <c r="L1745" s="1" t="str">
        <f t="shared" si="3492"/>
        <v>0</v>
      </c>
      <c r="M1745" s="1" t="str">
        <f t="shared" si="3492"/>
        <v>0</v>
      </c>
      <c r="N1745" s="1" t="str">
        <f t="shared" si="3492"/>
        <v>0</v>
      </c>
      <c r="O1745" s="1" t="str">
        <f t="shared" si="3492"/>
        <v>0</v>
      </c>
      <c r="P1745" s="1" t="str">
        <f t="shared" si="3492"/>
        <v>0</v>
      </c>
      <c r="Q1745" s="1" t="str">
        <f t="shared" si="3460"/>
        <v>0.0070</v>
      </c>
      <c r="R1745" s="1" t="s">
        <v>29</v>
      </c>
      <c r="S1745" s="1">
        <v>-0.0014</v>
      </c>
      <c r="T1745" s="1" t="str">
        <f t="shared" si="3461"/>
        <v>0</v>
      </c>
      <c r="U1745" s="1" t="str">
        <f t="shared" ref="U1745:U1748" si="3493">"0.0056"</f>
        <v>0.0056</v>
      </c>
    </row>
    <row r="1746" s="1" customFormat="1" spans="1:21">
      <c r="A1746" s="1" t="str">
        <f>"4601992025025"</f>
        <v>4601992025025</v>
      </c>
      <c r="B1746" s="1" t="s">
        <v>1770</v>
      </c>
      <c r="C1746" s="1" t="s">
        <v>24</v>
      </c>
      <c r="D1746" s="1" t="str">
        <f t="shared" si="3457"/>
        <v>2021</v>
      </c>
      <c r="E1746" s="1" t="str">
        <f>"1283.30"</f>
        <v>1283.30</v>
      </c>
      <c r="F1746" s="1" t="str">
        <f t="shared" ref="F1746:I1746" si="3494">"0"</f>
        <v>0</v>
      </c>
      <c r="G1746" s="1" t="str">
        <f t="shared" si="3494"/>
        <v>0</v>
      </c>
      <c r="H1746" s="1" t="str">
        <f t="shared" si="3494"/>
        <v>0</v>
      </c>
      <c r="I1746" s="1" t="str">
        <f t="shared" si="3494"/>
        <v>0</v>
      </c>
      <c r="J1746" s="1" t="str">
        <f>"89"</f>
        <v>89</v>
      </c>
      <c r="K1746" s="1" t="str">
        <f t="shared" ref="K1746:P1746" si="3495">"0"</f>
        <v>0</v>
      </c>
      <c r="L1746" s="1" t="str">
        <f t="shared" si="3495"/>
        <v>0</v>
      </c>
      <c r="M1746" s="1" t="str">
        <f t="shared" si="3495"/>
        <v>0</v>
      </c>
      <c r="N1746" s="1" t="str">
        <f t="shared" si="3495"/>
        <v>0</v>
      </c>
      <c r="O1746" s="1" t="str">
        <f t="shared" si="3495"/>
        <v>0</v>
      </c>
      <c r="P1746" s="1" t="str">
        <f t="shared" si="3495"/>
        <v>0</v>
      </c>
      <c r="Q1746" s="1" t="str">
        <f t="shared" si="3460"/>
        <v>0.0070</v>
      </c>
      <c r="R1746" s="1" t="s">
        <v>25</v>
      </c>
      <c r="T1746" s="1" t="str">
        <f t="shared" si="3461"/>
        <v>0</v>
      </c>
      <c r="U1746" s="1" t="str">
        <f t="shared" si="3490"/>
        <v>0.0070</v>
      </c>
    </row>
    <row r="1747" s="1" customFormat="1" spans="1:21">
      <c r="A1747" s="1" t="str">
        <f>"4601992025105"</f>
        <v>4601992025105</v>
      </c>
      <c r="B1747" s="1" t="s">
        <v>1771</v>
      </c>
      <c r="C1747" s="1" t="s">
        <v>24</v>
      </c>
      <c r="D1747" s="1" t="str">
        <f t="shared" si="3457"/>
        <v>2021</v>
      </c>
      <c r="E1747" s="1" t="str">
        <f>"24.18"</f>
        <v>24.18</v>
      </c>
      <c r="F1747" s="1" t="str">
        <f t="shared" ref="F1747:I1747" si="3496">"0"</f>
        <v>0</v>
      </c>
      <c r="G1747" s="1" t="str">
        <f t="shared" si="3496"/>
        <v>0</v>
      </c>
      <c r="H1747" s="1" t="str">
        <f t="shared" si="3496"/>
        <v>0</v>
      </c>
      <c r="I1747" s="1" t="str">
        <f t="shared" si="3496"/>
        <v>0</v>
      </c>
      <c r="J1747" s="1" t="str">
        <f>"2"</f>
        <v>2</v>
      </c>
      <c r="K1747" s="1" t="str">
        <f t="shared" ref="K1747:P1747" si="3497">"0"</f>
        <v>0</v>
      </c>
      <c r="L1747" s="1" t="str">
        <f t="shared" si="3497"/>
        <v>0</v>
      </c>
      <c r="M1747" s="1" t="str">
        <f t="shared" si="3497"/>
        <v>0</v>
      </c>
      <c r="N1747" s="1" t="str">
        <f t="shared" si="3497"/>
        <v>0</v>
      </c>
      <c r="O1747" s="1" t="str">
        <f t="shared" si="3497"/>
        <v>0</v>
      </c>
      <c r="P1747" s="1" t="str">
        <f t="shared" si="3497"/>
        <v>0</v>
      </c>
      <c r="Q1747" s="1" t="str">
        <f t="shared" si="3460"/>
        <v>0.0070</v>
      </c>
      <c r="R1747" s="1" t="s">
        <v>29</v>
      </c>
      <c r="S1747" s="1">
        <v>-0.0014</v>
      </c>
      <c r="T1747" s="1" t="str">
        <f t="shared" si="3461"/>
        <v>0</v>
      </c>
      <c r="U1747" s="1" t="str">
        <f t="shared" si="3493"/>
        <v>0.0056</v>
      </c>
    </row>
    <row r="1748" s="1" customFormat="1" spans="1:21">
      <c r="A1748" s="1" t="str">
        <f>"4601992025129"</f>
        <v>4601992025129</v>
      </c>
      <c r="B1748" s="1" t="s">
        <v>1772</v>
      </c>
      <c r="C1748" s="1" t="s">
        <v>24</v>
      </c>
      <c r="D1748" s="1" t="str">
        <f t="shared" si="3457"/>
        <v>2021</v>
      </c>
      <c r="E1748" s="1" t="str">
        <f>"60.45"</f>
        <v>60.45</v>
      </c>
      <c r="F1748" s="1" t="str">
        <f t="shared" ref="F1748:I1748" si="3498">"0"</f>
        <v>0</v>
      </c>
      <c r="G1748" s="1" t="str">
        <f t="shared" si="3498"/>
        <v>0</v>
      </c>
      <c r="H1748" s="1" t="str">
        <f t="shared" si="3498"/>
        <v>0</v>
      </c>
      <c r="I1748" s="1" t="str">
        <f t="shared" si="3498"/>
        <v>0</v>
      </c>
      <c r="J1748" s="1" t="str">
        <f>"5"</f>
        <v>5</v>
      </c>
      <c r="K1748" s="1" t="str">
        <f t="shared" ref="K1748:P1748" si="3499">"0"</f>
        <v>0</v>
      </c>
      <c r="L1748" s="1" t="str">
        <f t="shared" si="3499"/>
        <v>0</v>
      </c>
      <c r="M1748" s="1" t="str">
        <f t="shared" si="3499"/>
        <v>0</v>
      </c>
      <c r="N1748" s="1" t="str">
        <f t="shared" si="3499"/>
        <v>0</v>
      </c>
      <c r="O1748" s="1" t="str">
        <f t="shared" si="3499"/>
        <v>0</v>
      </c>
      <c r="P1748" s="1" t="str">
        <f t="shared" si="3499"/>
        <v>0</v>
      </c>
      <c r="Q1748" s="1" t="str">
        <f t="shared" si="3460"/>
        <v>0.0070</v>
      </c>
      <c r="R1748" s="1" t="s">
        <v>29</v>
      </c>
      <c r="S1748" s="1">
        <v>-0.0014</v>
      </c>
      <c r="T1748" s="1" t="str">
        <f t="shared" si="3461"/>
        <v>0</v>
      </c>
      <c r="U1748" s="1" t="str">
        <f t="shared" si="3493"/>
        <v>0.0056</v>
      </c>
    </row>
    <row r="1749" s="1" customFormat="1" spans="1:21">
      <c r="A1749" s="1" t="str">
        <f>"4601992025149"</f>
        <v>4601992025149</v>
      </c>
      <c r="B1749" s="1" t="s">
        <v>1773</v>
      </c>
      <c r="C1749" s="1" t="s">
        <v>24</v>
      </c>
      <c r="D1749" s="1" t="str">
        <f t="shared" si="3457"/>
        <v>2021</v>
      </c>
      <c r="E1749" s="1" t="str">
        <f t="shared" ref="E1749:P1749" si="3500">"0"</f>
        <v>0</v>
      </c>
      <c r="F1749" s="1" t="str">
        <f t="shared" si="3500"/>
        <v>0</v>
      </c>
      <c r="G1749" s="1" t="str">
        <f t="shared" si="3500"/>
        <v>0</v>
      </c>
      <c r="H1749" s="1" t="str">
        <f t="shared" si="3500"/>
        <v>0</v>
      </c>
      <c r="I1749" s="1" t="str">
        <f t="shared" si="3500"/>
        <v>0</v>
      </c>
      <c r="J1749" s="1" t="str">
        <f t="shared" si="3500"/>
        <v>0</v>
      </c>
      <c r="K1749" s="1" t="str">
        <f t="shared" si="3500"/>
        <v>0</v>
      </c>
      <c r="L1749" s="1" t="str">
        <f t="shared" si="3500"/>
        <v>0</v>
      </c>
      <c r="M1749" s="1" t="str">
        <f t="shared" si="3500"/>
        <v>0</v>
      </c>
      <c r="N1749" s="1" t="str">
        <f t="shared" si="3500"/>
        <v>0</v>
      </c>
      <c r="O1749" s="1" t="str">
        <f t="shared" si="3500"/>
        <v>0</v>
      </c>
      <c r="P1749" s="1" t="str">
        <f t="shared" si="3500"/>
        <v>0</v>
      </c>
      <c r="Q1749" s="1" t="str">
        <f t="shared" si="3460"/>
        <v>0.0070</v>
      </c>
      <c r="R1749" s="1" t="s">
        <v>25</v>
      </c>
      <c r="T1749" s="1" t="str">
        <f t="shared" si="3461"/>
        <v>0</v>
      </c>
      <c r="U1749" s="1" t="str">
        <f t="shared" si="3490"/>
        <v>0.0070</v>
      </c>
    </row>
    <row r="1750" s="1" customFormat="1" spans="1:21">
      <c r="A1750" s="1" t="str">
        <f>"4601992025155"</f>
        <v>4601992025155</v>
      </c>
      <c r="B1750" s="1" t="s">
        <v>1774</v>
      </c>
      <c r="C1750" s="1" t="s">
        <v>24</v>
      </c>
      <c r="D1750" s="1" t="str">
        <f t="shared" si="3457"/>
        <v>2021</v>
      </c>
      <c r="E1750" s="1" t="str">
        <f t="shared" ref="E1750:P1750" si="3501">"0"</f>
        <v>0</v>
      </c>
      <c r="F1750" s="1" t="str">
        <f t="shared" si="3501"/>
        <v>0</v>
      </c>
      <c r="G1750" s="1" t="str">
        <f t="shared" si="3501"/>
        <v>0</v>
      </c>
      <c r="H1750" s="1" t="str">
        <f t="shared" si="3501"/>
        <v>0</v>
      </c>
      <c r="I1750" s="1" t="str">
        <f t="shared" si="3501"/>
        <v>0</v>
      </c>
      <c r="J1750" s="1" t="str">
        <f t="shared" si="3501"/>
        <v>0</v>
      </c>
      <c r="K1750" s="1" t="str">
        <f t="shared" si="3501"/>
        <v>0</v>
      </c>
      <c r="L1750" s="1" t="str">
        <f t="shared" si="3501"/>
        <v>0</v>
      </c>
      <c r="M1750" s="1" t="str">
        <f t="shared" si="3501"/>
        <v>0</v>
      </c>
      <c r="N1750" s="1" t="str">
        <f t="shared" si="3501"/>
        <v>0</v>
      </c>
      <c r="O1750" s="1" t="str">
        <f t="shared" si="3501"/>
        <v>0</v>
      </c>
      <c r="P1750" s="1" t="str">
        <f t="shared" si="3501"/>
        <v>0</v>
      </c>
      <c r="Q1750" s="1" t="str">
        <f t="shared" si="3460"/>
        <v>0.0070</v>
      </c>
      <c r="R1750" s="1" t="s">
        <v>25</v>
      </c>
      <c r="T1750" s="1" t="str">
        <f t="shared" si="3461"/>
        <v>0</v>
      </c>
      <c r="U1750" s="1" t="str">
        <f t="shared" si="3490"/>
        <v>0.0070</v>
      </c>
    </row>
    <row r="1751" s="1" customFormat="1" spans="1:21">
      <c r="A1751" s="1" t="str">
        <f>"4601992025138"</f>
        <v>4601992025138</v>
      </c>
      <c r="B1751" s="1" t="s">
        <v>1775</v>
      </c>
      <c r="C1751" s="1" t="s">
        <v>24</v>
      </c>
      <c r="D1751" s="1" t="str">
        <f t="shared" si="3457"/>
        <v>2021</v>
      </c>
      <c r="E1751" s="1" t="str">
        <f>"222.72"</f>
        <v>222.72</v>
      </c>
      <c r="F1751" s="1" t="str">
        <f t="shared" ref="F1751:I1751" si="3502">"0"</f>
        <v>0</v>
      </c>
      <c r="G1751" s="1" t="str">
        <f t="shared" si="3502"/>
        <v>0</v>
      </c>
      <c r="H1751" s="1" t="str">
        <f t="shared" si="3502"/>
        <v>0</v>
      </c>
      <c r="I1751" s="1" t="str">
        <f t="shared" si="3502"/>
        <v>0</v>
      </c>
      <c r="J1751" s="1" t="str">
        <f>"23"</f>
        <v>23</v>
      </c>
      <c r="K1751" s="1" t="str">
        <f t="shared" ref="K1751:P1751" si="3503">"0"</f>
        <v>0</v>
      </c>
      <c r="L1751" s="1" t="str">
        <f t="shared" si="3503"/>
        <v>0</v>
      </c>
      <c r="M1751" s="1" t="str">
        <f t="shared" si="3503"/>
        <v>0</v>
      </c>
      <c r="N1751" s="1" t="str">
        <f t="shared" si="3503"/>
        <v>0</v>
      </c>
      <c r="O1751" s="1" t="str">
        <f t="shared" si="3503"/>
        <v>0</v>
      </c>
      <c r="P1751" s="1" t="str">
        <f t="shared" si="3503"/>
        <v>0</v>
      </c>
      <c r="Q1751" s="1" t="str">
        <f t="shared" si="3460"/>
        <v>0.0070</v>
      </c>
      <c r="R1751" s="1" t="s">
        <v>29</v>
      </c>
      <c r="S1751" s="1">
        <v>-0.0014</v>
      </c>
      <c r="T1751" s="1" t="str">
        <f t="shared" si="3461"/>
        <v>0</v>
      </c>
      <c r="U1751" s="1" t="str">
        <f t="shared" ref="U1751:U1754" si="3504">"0.0056"</f>
        <v>0.0056</v>
      </c>
    </row>
    <row r="1752" s="1" customFormat="1" spans="1:21">
      <c r="A1752" s="1" t="str">
        <f>"4601992025160"</f>
        <v>4601992025160</v>
      </c>
      <c r="B1752" s="1" t="s">
        <v>1776</v>
      </c>
      <c r="C1752" s="1" t="s">
        <v>24</v>
      </c>
      <c r="D1752" s="1" t="str">
        <f t="shared" si="3457"/>
        <v>2021</v>
      </c>
      <c r="E1752" s="1" t="str">
        <f t="shared" ref="E1752:P1752" si="3505">"0"</f>
        <v>0</v>
      </c>
      <c r="F1752" s="1" t="str">
        <f t="shared" si="3505"/>
        <v>0</v>
      </c>
      <c r="G1752" s="1" t="str">
        <f t="shared" si="3505"/>
        <v>0</v>
      </c>
      <c r="H1752" s="1" t="str">
        <f t="shared" si="3505"/>
        <v>0</v>
      </c>
      <c r="I1752" s="1" t="str">
        <f t="shared" si="3505"/>
        <v>0</v>
      </c>
      <c r="J1752" s="1" t="str">
        <f t="shared" si="3505"/>
        <v>0</v>
      </c>
      <c r="K1752" s="1" t="str">
        <f t="shared" si="3505"/>
        <v>0</v>
      </c>
      <c r="L1752" s="1" t="str">
        <f t="shared" si="3505"/>
        <v>0</v>
      </c>
      <c r="M1752" s="1" t="str">
        <f t="shared" si="3505"/>
        <v>0</v>
      </c>
      <c r="N1752" s="1" t="str">
        <f t="shared" si="3505"/>
        <v>0</v>
      </c>
      <c r="O1752" s="1" t="str">
        <f t="shared" si="3505"/>
        <v>0</v>
      </c>
      <c r="P1752" s="1" t="str">
        <f t="shared" si="3505"/>
        <v>0</v>
      </c>
      <c r="Q1752" s="1" t="str">
        <f t="shared" si="3460"/>
        <v>0.0070</v>
      </c>
      <c r="R1752" s="1" t="s">
        <v>25</v>
      </c>
      <c r="T1752" s="1" t="str">
        <f t="shared" si="3461"/>
        <v>0</v>
      </c>
      <c r="U1752" s="1" t="str">
        <f>"0.0070"</f>
        <v>0.0070</v>
      </c>
    </row>
    <row r="1753" s="1" customFormat="1" spans="1:21">
      <c r="A1753" s="1" t="str">
        <f>"4601992025180"</f>
        <v>4601992025180</v>
      </c>
      <c r="B1753" s="1" t="s">
        <v>1777</v>
      </c>
      <c r="C1753" s="1" t="s">
        <v>24</v>
      </c>
      <c r="D1753" s="1" t="str">
        <f t="shared" si="3457"/>
        <v>2021</v>
      </c>
      <c r="E1753" s="1" t="str">
        <f>"24.18"</f>
        <v>24.18</v>
      </c>
      <c r="F1753" s="1" t="str">
        <f t="shared" ref="F1753:I1753" si="3506">"0"</f>
        <v>0</v>
      </c>
      <c r="G1753" s="1" t="str">
        <f t="shared" si="3506"/>
        <v>0</v>
      </c>
      <c r="H1753" s="1" t="str">
        <f t="shared" si="3506"/>
        <v>0</v>
      </c>
      <c r="I1753" s="1" t="str">
        <f t="shared" si="3506"/>
        <v>0</v>
      </c>
      <c r="J1753" s="1" t="str">
        <f>"2"</f>
        <v>2</v>
      </c>
      <c r="K1753" s="1" t="str">
        <f t="shared" ref="K1753:P1753" si="3507">"0"</f>
        <v>0</v>
      </c>
      <c r="L1753" s="1" t="str">
        <f t="shared" si="3507"/>
        <v>0</v>
      </c>
      <c r="M1753" s="1" t="str">
        <f t="shared" si="3507"/>
        <v>0</v>
      </c>
      <c r="N1753" s="1" t="str">
        <f t="shared" si="3507"/>
        <v>0</v>
      </c>
      <c r="O1753" s="1" t="str">
        <f t="shared" si="3507"/>
        <v>0</v>
      </c>
      <c r="P1753" s="1" t="str">
        <f t="shared" si="3507"/>
        <v>0</v>
      </c>
      <c r="Q1753" s="1" t="str">
        <f t="shared" si="3460"/>
        <v>0.0070</v>
      </c>
      <c r="R1753" s="1" t="s">
        <v>29</v>
      </c>
      <c r="S1753" s="1">
        <v>-0.0014</v>
      </c>
      <c r="T1753" s="1" t="str">
        <f t="shared" si="3461"/>
        <v>0</v>
      </c>
      <c r="U1753" s="1" t="str">
        <f t="shared" si="3504"/>
        <v>0.0056</v>
      </c>
    </row>
    <row r="1754" s="1" customFormat="1" spans="1:21">
      <c r="A1754" s="1" t="str">
        <f>"4601992025231"</f>
        <v>4601992025231</v>
      </c>
      <c r="B1754" s="1" t="s">
        <v>1778</v>
      </c>
      <c r="C1754" s="1" t="s">
        <v>24</v>
      </c>
      <c r="D1754" s="1" t="str">
        <f t="shared" si="3457"/>
        <v>2021</v>
      </c>
      <c r="E1754" s="1" t="str">
        <f>"131.11"</f>
        <v>131.11</v>
      </c>
      <c r="F1754" s="1" t="str">
        <f t="shared" ref="F1754:I1754" si="3508">"0"</f>
        <v>0</v>
      </c>
      <c r="G1754" s="1" t="str">
        <f t="shared" si="3508"/>
        <v>0</v>
      </c>
      <c r="H1754" s="1" t="str">
        <f t="shared" si="3508"/>
        <v>0</v>
      </c>
      <c r="I1754" s="1" t="str">
        <f t="shared" si="3508"/>
        <v>0</v>
      </c>
      <c r="J1754" s="1" t="str">
        <f>"12"</f>
        <v>12</v>
      </c>
      <c r="K1754" s="1" t="str">
        <f t="shared" ref="K1754:P1754" si="3509">"0"</f>
        <v>0</v>
      </c>
      <c r="L1754" s="1" t="str">
        <f t="shared" si="3509"/>
        <v>0</v>
      </c>
      <c r="M1754" s="1" t="str">
        <f t="shared" si="3509"/>
        <v>0</v>
      </c>
      <c r="N1754" s="1" t="str">
        <f t="shared" si="3509"/>
        <v>0</v>
      </c>
      <c r="O1754" s="1" t="str">
        <f t="shared" si="3509"/>
        <v>0</v>
      </c>
      <c r="P1754" s="1" t="str">
        <f t="shared" si="3509"/>
        <v>0</v>
      </c>
      <c r="Q1754" s="1" t="str">
        <f t="shared" si="3460"/>
        <v>0.0070</v>
      </c>
      <c r="R1754" s="1" t="s">
        <v>29</v>
      </c>
      <c r="S1754" s="1">
        <v>-0.0014</v>
      </c>
      <c r="T1754" s="1" t="str">
        <f t="shared" si="3461"/>
        <v>0</v>
      </c>
      <c r="U1754" s="1" t="str">
        <f t="shared" si="3504"/>
        <v>0.0056</v>
      </c>
    </row>
    <row r="1755" s="1" customFormat="1" spans="1:21">
      <c r="A1755" s="1" t="str">
        <f>"4601992025183"</f>
        <v>4601992025183</v>
      </c>
      <c r="B1755" s="1" t="s">
        <v>1779</v>
      </c>
      <c r="C1755" s="1" t="s">
        <v>24</v>
      </c>
      <c r="D1755" s="1" t="str">
        <f t="shared" si="3457"/>
        <v>2021</v>
      </c>
      <c r="E1755" s="1" t="str">
        <f>"438.38"</f>
        <v>438.38</v>
      </c>
      <c r="F1755" s="1" t="str">
        <f>"11245.56"</f>
        <v>11245.56</v>
      </c>
      <c r="G1755" s="1" t="str">
        <f t="shared" ref="G1755:L1755" si="3510">"0"</f>
        <v>0</v>
      </c>
      <c r="H1755" s="1" t="str">
        <f t="shared" si="3510"/>
        <v>0</v>
      </c>
      <c r="I1755" s="1" t="str">
        <f>"25.6525"</f>
        <v>25.6525</v>
      </c>
      <c r="J1755" s="1" t="str">
        <f>"33"</f>
        <v>33</v>
      </c>
      <c r="K1755" s="1" t="str">
        <f>"1"</f>
        <v>1</v>
      </c>
      <c r="L1755" s="1" t="str">
        <f t="shared" si="3510"/>
        <v>0</v>
      </c>
      <c r="M1755" s="1" t="str">
        <f>"0.0303"</f>
        <v>0.0303</v>
      </c>
      <c r="N1755" s="1" t="str">
        <f t="shared" ref="N1755:P1755" si="3511">"0"</f>
        <v>0</v>
      </c>
      <c r="O1755" s="1" t="str">
        <f t="shared" si="3511"/>
        <v>0</v>
      </c>
      <c r="P1755" s="1" t="str">
        <f t="shared" si="3511"/>
        <v>0</v>
      </c>
      <c r="Q1755" s="1" t="str">
        <f t="shared" si="3460"/>
        <v>0.0070</v>
      </c>
      <c r="R1755" s="1" t="s">
        <v>69</v>
      </c>
      <c r="S1755" s="1" t="str">
        <f>"0.0014"</f>
        <v>0.0014</v>
      </c>
      <c r="T1755" s="1" t="str">
        <f t="shared" si="3461"/>
        <v>0</v>
      </c>
      <c r="U1755" s="1" t="str">
        <f>"0.0084"</f>
        <v>0.0084</v>
      </c>
    </row>
    <row r="1756" s="1" customFormat="1" spans="1:21">
      <c r="A1756" s="1" t="str">
        <f>"4601992025218"</f>
        <v>4601992025218</v>
      </c>
      <c r="B1756" s="1" t="s">
        <v>1780</v>
      </c>
      <c r="C1756" s="1" t="s">
        <v>24</v>
      </c>
      <c r="D1756" s="1" t="str">
        <f t="shared" si="3457"/>
        <v>2021</v>
      </c>
      <c r="E1756" s="1" t="str">
        <f>"323.46"</f>
        <v>323.46</v>
      </c>
      <c r="F1756" s="1" t="str">
        <f t="shared" ref="F1756:I1756" si="3512">"0"</f>
        <v>0</v>
      </c>
      <c r="G1756" s="1" t="str">
        <f t="shared" si="3512"/>
        <v>0</v>
      </c>
      <c r="H1756" s="1" t="str">
        <f t="shared" si="3512"/>
        <v>0</v>
      </c>
      <c r="I1756" s="1" t="str">
        <f t="shared" si="3512"/>
        <v>0</v>
      </c>
      <c r="J1756" s="1" t="str">
        <f>"24"</f>
        <v>24</v>
      </c>
      <c r="K1756" s="1" t="str">
        <f t="shared" ref="K1756:P1756" si="3513">"0"</f>
        <v>0</v>
      </c>
      <c r="L1756" s="1" t="str">
        <f t="shared" si="3513"/>
        <v>0</v>
      </c>
      <c r="M1756" s="1" t="str">
        <f t="shared" si="3513"/>
        <v>0</v>
      </c>
      <c r="N1756" s="1" t="str">
        <f t="shared" si="3513"/>
        <v>0</v>
      </c>
      <c r="O1756" s="1" t="str">
        <f t="shared" si="3513"/>
        <v>0</v>
      </c>
      <c r="P1756" s="1" t="str">
        <f t="shared" si="3513"/>
        <v>0</v>
      </c>
      <c r="Q1756" s="1" t="str">
        <f t="shared" si="3460"/>
        <v>0.0070</v>
      </c>
      <c r="R1756" s="1" t="s">
        <v>29</v>
      </c>
      <c r="S1756" s="1">
        <v>-0.0014</v>
      </c>
      <c r="T1756" s="1" t="str">
        <f t="shared" si="3461"/>
        <v>0</v>
      </c>
      <c r="U1756" s="1" t="str">
        <f t="shared" ref="U1756:U1761" si="3514">"0.0056"</f>
        <v>0.0056</v>
      </c>
    </row>
    <row r="1757" s="1" customFormat="1" spans="1:21">
      <c r="A1757" s="1" t="str">
        <f>"4601992025252"</f>
        <v>4601992025252</v>
      </c>
      <c r="B1757" s="1" t="s">
        <v>1781</v>
      </c>
      <c r="C1757" s="1" t="s">
        <v>24</v>
      </c>
      <c r="D1757" s="1" t="str">
        <f t="shared" si="3457"/>
        <v>2021</v>
      </c>
      <c r="E1757" s="1" t="str">
        <f>"12.09"</f>
        <v>12.09</v>
      </c>
      <c r="F1757" s="1" t="str">
        <f t="shared" ref="F1757:I1757" si="3515">"0"</f>
        <v>0</v>
      </c>
      <c r="G1757" s="1" t="str">
        <f t="shared" si="3515"/>
        <v>0</v>
      </c>
      <c r="H1757" s="1" t="str">
        <f t="shared" si="3515"/>
        <v>0</v>
      </c>
      <c r="I1757" s="1" t="str">
        <f t="shared" si="3515"/>
        <v>0</v>
      </c>
      <c r="J1757" s="1" t="str">
        <f>"1"</f>
        <v>1</v>
      </c>
      <c r="K1757" s="1" t="str">
        <f t="shared" ref="K1757:P1757" si="3516">"0"</f>
        <v>0</v>
      </c>
      <c r="L1757" s="1" t="str">
        <f t="shared" si="3516"/>
        <v>0</v>
      </c>
      <c r="M1757" s="1" t="str">
        <f t="shared" si="3516"/>
        <v>0</v>
      </c>
      <c r="N1757" s="1" t="str">
        <f t="shared" si="3516"/>
        <v>0</v>
      </c>
      <c r="O1757" s="1" t="str">
        <f t="shared" si="3516"/>
        <v>0</v>
      </c>
      <c r="P1757" s="1" t="str">
        <f t="shared" si="3516"/>
        <v>0</v>
      </c>
      <c r="Q1757" s="1" t="str">
        <f t="shared" si="3460"/>
        <v>0.0070</v>
      </c>
      <c r="R1757" s="1" t="s">
        <v>29</v>
      </c>
      <c r="S1757" s="1">
        <v>-0.0014</v>
      </c>
      <c r="T1757" s="1" t="str">
        <f t="shared" si="3461"/>
        <v>0</v>
      </c>
      <c r="U1757" s="1" t="str">
        <f t="shared" si="3514"/>
        <v>0.0056</v>
      </c>
    </row>
    <row r="1758" s="1" customFormat="1" spans="1:21">
      <c r="A1758" s="1" t="str">
        <f>"4601992025355"</f>
        <v>4601992025355</v>
      </c>
      <c r="B1758" s="1" t="s">
        <v>1782</v>
      </c>
      <c r="C1758" s="1" t="s">
        <v>24</v>
      </c>
      <c r="D1758" s="1" t="str">
        <f t="shared" si="3457"/>
        <v>2021</v>
      </c>
      <c r="E1758" s="1" t="str">
        <f>"60.45"</f>
        <v>60.45</v>
      </c>
      <c r="F1758" s="1" t="str">
        <f t="shared" ref="F1758:I1758" si="3517">"0"</f>
        <v>0</v>
      </c>
      <c r="G1758" s="1" t="str">
        <f t="shared" si="3517"/>
        <v>0</v>
      </c>
      <c r="H1758" s="1" t="str">
        <f t="shared" si="3517"/>
        <v>0</v>
      </c>
      <c r="I1758" s="1" t="str">
        <f t="shared" si="3517"/>
        <v>0</v>
      </c>
      <c r="J1758" s="1" t="str">
        <f>"4"</f>
        <v>4</v>
      </c>
      <c r="K1758" s="1" t="str">
        <f t="shared" ref="K1758:P1758" si="3518">"0"</f>
        <v>0</v>
      </c>
      <c r="L1758" s="1" t="str">
        <f t="shared" si="3518"/>
        <v>0</v>
      </c>
      <c r="M1758" s="1" t="str">
        <f t="shared" si="3518"/>
        <v>0</v>
      </c>
      <c r="N1758" s="1" t="str">
        <f t="shared" si="3518"/>
        <v>0</v>
      </c>
      <c r="O1758" s="1" t="str">
        <f t="shared" si="3518"/>
        <v>0</v>
      </c>
      <c r="P1758" s="1" t="str">
        <f t="shared" si="3518"/>
        <v>0</v>
      </c>
      <c r="Q1758" s="1" t="str">
        <f t="shared" si="3460"/>
        <v>0.0070</v>
      </c>
      <c r="R1758" s="1" t="s">
        <v>29</v>
      </c>
      <c r="S1758" s="1">
        <v>-0.0014</v>
      </c>
      <c r="T1758" s="1" t="str">
        <f t="shared" si="3461"/>
        <v>0</v>
      </c>
      <c r="U1758" s="1" t="str">
        <f t="shared" si="3514"/>
        <v>0.0056</v>
      </c>
    </row>
    <row r="1759" s="1" customFormat="1" spans="1:21">
      <c r="A1759" s="1" t="str">
        <f>"4601992025258"</f>
        <v>4601992025258</v>
      </c>
      <c r="B1759" s="1" t="s">
        <v>1783</v>
      </c>
      <c r="C1759" s="1" t="s">
        <v>24</v>
      </c>
      <c r="D1759" s="1" t="str">
        <f t="shared" si="3457"/>
        <v>2021</v>
      </c>
      <c r="E1759" s="1" t="str">
        <f>"72.46"</f>
        <v>72.46</v>
      </c>
      <c r="F1759" s="1" t="str">
        <f t="shared" ref="F1759:I1759" si="3519">"0"</f>
        <v>0</v>
      </c>
      <c r="G1759" s="1" t="str">
        <f t="shared" si="3519"/>
        <v>0</v>
      </c>
      <c r="H1759" s="1" t="str">
        <f t="shared" si="3519"/>
        <v>0</v>
      </c>
      <c r="I1759" s="1" t="str">
        <f t="shared" si="3519"/>
        <v>0</v>
      </c>
      <c r="J1759" s="1" t="str">
        <f>"6"</f>
        <v>6</v>
      </c>
      <c r="K1759" s="1" t="str">
        <f t="shared" ref="K1759:P1759" si="3520">"0"</f>
        <v>0</v>
      </c>
      <c r="L1759" s="1" t="str">
        <f t="shared" si="3520"/>
        <v>0</v>
      </c>
      <c r="M1759" s="1" t="str">
        <f t="shared" si="3520"/>
        <v>0</v>
      </c>
      <c r="N1759" s="1" t="str">
        <f t="shared" si="3520"/>
        <v>0</v>
      </c>
      <c r="O1759" s="1" t="str">
        <f t="shared" si="3520"/>
        <v>0</v>
      </c>
      <c r="P1759" s="1" t="str">
        <f t="shared" si="3520"/>
        <v>0</v>
      </c>
      <c r="Q1759" s="1" t="str">
        <f t="shared" si="3460"/>
        <v>0.0070</v>
      </c>
      <c r="R1759" s="1" t="s">
        <v>29</v>
      </c>
      <c r="S1759" s="1">
        <v>-0.0014</v>
      </c>
      <c r="T1759" s="1" t="str">
        <f t="shared" si="3461"/>
        <v>0</v>
      </c>
      <c r="U1759" s="1" t="str">
        <f t="shared" si="3514"/>
        <v>0.0056</v>
      </c>
    </row>
    <row r="1760" s="1" customFormat="1" spans="1:21">
      <c r="A1760" s="1" t="str">
        <f>"4601992025286"</f>
        <v>4601992025286</v>
      </c>
      <c r="B1760" s="1" t="s">
        <v>1784</v>
      </c>
      <c r="C1760" s="1" t="s">
        <v>24</v>
      </c>
      <c r="D1760" s="1" t="str">
        <f t="shared" si="3457"/>
        <v>2021</v>
      </c>
      <c r="E1760" s="1" t="str">
        <f>"36.27"</f>
        <v>36.27</v>
      </c>
      <c r="F1760" s="1" t="str">
        <f t="shared" ref="F1760:I1760" si="3521">"0"</f>
        <v>0</v>
      </c>
      <c r="G1760" s="1" t="str">
        <f t="shared" si="3521"/>
        <v>0</v>
      </c>
      <c r="H1760" s="1" t="str">
        <f t="shared" si="3521"/>
        <v>0</v>
      </c>
      <c r="I1760" s="1" t="str">
        <f t="shared" si="3521"/>
        <v>0</v>
      </c>
      <c r="J1760" s="1" t="str">
        <f>"3"</f>
        <v>3</v>
      </c>
      <c r="K1760" s="1" t="str">
        <f t="shared" ref="K1760:P1760" si="3522">"0"</f>
        <v>0</v>
      </c>
      <c r="L1760" s="1" t="str">
        <f t="shared" si="3522"/>
        <v>0</v>
      </c>
      <c r="M1760" s="1" t="str">
        <f t="shared" si="3522"/>
        <v>0</v>
      </c>
      <c r="N1760" s="1" t="str">
        <f t="shared" si="3522"/>
        <v>0</v>
      </c>
      <c r="O1760" s="1" t="str">
        <f t="shared" si="3522"/>
        <v>0</v>
      </c>
      <c r="P1760" s="1" t="str">
        <f t="shared" si="3522"/>
        <v>0</v>
      </c>
      <c r="Q1760" s="1" t="str">
        <f t="shared" si="3460"/>
        <v>0.0070</v>
      </c>
      <c r="R1760" s="1" t="s">
        <v>29</v>
      </c>
      <c r="S1760" s="1">
        <v>-0.0014</v>
      </c>
      <c r="T1760" s="1" t="str">
        <f t="shared" si="3461"/>
        <v>0</v>
      </c>
      <c r="U1760" s="1" t="str">
        <f t="shared" si="3514"/>
        <v>0.0056</v>
      </c>
    </row>
    <row r="1761" s="1" customFormat="1" spans="1:21">
      <c r="A1761" s="1" t="str">
        <f>"4601992025367"</f>
        <v>4601992025367</v>
      </c>
      <c r="B1761" s="1" t="s">
        <v>1785</v>
      </c>
      <c r="C1761" s="1" t="s">
        <v>24</v>
      </c>
      <c r="D1761" s="1" t="str">
        <f t="shared" si="3457"/>
        <v>2021</v>
      </c>
      <c r="E1761" s="1" t="str">
        <f>"24.18"</f>
        <v>24.18</v>
      </c>
      <c r="F1761" s="1" t="str">
        <f t="shared" ref="F1761:I1761" si="3523">"0"</f>
        <v>0</v>
      </c>
      <c r="G1761" s="1" t="str">
        <f t="shared" si="3523"/>
        <v>0</v>
      </c>
      <c r="H1761" s="1" t="str">
        <f t="shared" si="3523"/>
        <v>0</v>
      </c>
      <c r="I1761" s="1" t="str">
        <f t="shared" si="3523"/>
        <v>0</v>
      </c>
      <c r="J1761" s="1" t="str">
        <f>"2"</f>
        <v>2</v>
      </c>
      <c r="K1761" s="1" t="str">
        <f t="shared" ref="K1761:P1761" si="3524">"0"</f>
        <v>0</v>
      </c>
      <c r="L1761" s="1" t="str">
        <f t="shared" si="3524"/>
        <v>0</v>
      </c>
      <c r="M1761" s="1" t="str">
        <f t="shared" si="3524"/>
        <v>0</v>
      </c>
      <c r="N1761" s="1" t="str">
        <f t="shared" si="3524"/>
        <v>0</v>
      </c>
      <c r="O1761" s="1" t="str">
        <f t="shared" si="3524"/>
        <v>0</v>
      </c>
      <c r="P1761" s="1" t="str">
        <f t="shared" si="3524"/>
        <v>0</v>
      </c>
      <c r="Q1761" s="1" t="str">
        <f t="shared" si="3460"/>
        <v>0.0070</v>
      </c>
      <c r="R1761" s="1" t="s">
        <v>29</v>
      </c>
      <c r="S1761" s="1">
        <v>-0.0014</v>
      </c>
      <c r="T1761" s="1" t="str">
        <f t="shared" si="3461"/>
        <v>0</v>
      </c>
      <c r="U1761" s="1" t="str">
        <f t="shared" si="3514"/>
        <v>0.0056</v>
      </c>
    </row>
    <row r="1762" s="1" customFormat="1" spans="1:21">
      <c r="A1762" s="1" t="str">
        <f>"4601992025393"</f>
        <v>4601992025393</v>
      </c>
      <c r="B1762" s="1" t="s">
        <v>1786</v>
      </c>
      <c r="C1762" s="1" t="s">
        <v>24</v>
      </c>
      <c r="D1762" s="1" t="str">
        <f t="shared" si="3457"/>
        <v>2021</v>
      </c>
      <c r="E1762" s="1" t="str">
        <f t="shared" ref="E1762:P1762" si="3525">"0"</f>
        <v>0</v>
      </c>
      <c r="F1762" s="1" t="str">
        <f t="shared" si="3525"/>
        <v>0</v>
      </c>
      <c r="G1762" s="1" t="str">
        <f t="shared" si="3525"/>
        <v>0</v>
      </c>
      <c r="H1762" s="1" t="str">
        <f t="shared" si="3525"/>
        <v>0</v>
      </c>
      <c r="I1762" s="1" t="str">
        <f t="shared" si="3525"/>
        <v>0</v>
      </c>
      <c r="J1762" s="1" t="str">
        <f t="shared" si="3525"/>
        <v>0</v>
      </c>
      <c r="K1762" s="1" t="str">
        <f t="shared" si="3525"/>
        <v>0</v>
      </c>
      <c r="L1762" s="1" t="str">
        <f t="shared" si="3525"/>
        <v>0</v>
      </c>
      <c r="M1762" s="1" t="str">
        <f t="shared" si="3525"/>
        <v>0</v>
      </c>
      <c r="N1762" s="1" t="str">
        <f t="shared" si="3525"/>
        <v>0</v>
      </c>
      <c r="O1762" s="1" t="str">
        <f t="shared" si="3525"/>
        <v>0</v>
      </c>
      <c r="P1762" s="1" t="str">
        <f t="shared" si="3525"/>
        <v>0</v>
      </c>
      <c r="Q1762" s="1" t="str">
        <f t="shared" si="3460"/>
        <v>0.0070</v>
      </c>
      <c r="R1762" s="1" t="s">
        <v>25</v>
      </c>
      <c r="T1762" s="1" t="str">
        <f t="shared" si="3461"/>
        <v>0</v>
      </c>
      <c r="U1762" s="1" t="str">
        <f t="shared" ref="U1762:U1766" si="3526">"0.0070"</f>
        <v>0.0070</v>
      </c>
    </row>
    <row r="1763" s="1" customFormat="1" spans="1:21">
      <c r="A1763" s="1" t="str">
        <f>"4601992025389"</f>
        <v>4601992025389</v>
      </c>
      <c r="B1763" s="1" t="s">
        <v>1787</v>
      </c>
      <c r="C1763" s="1" t="s">
        <v>24</v>
      </c>
      <c r="D1763" s="1" t="str">
        <f t="shared" si="3457"/>
        <v>2021</v>
      </c>
      <c r="E1763" s="1" t="str">
        <f t="shared" ref="E1763:P1763" si="3527">"0"</f>
        <v>0</v>
      </c>
      <c r="F1763" s="1" t="str">
        <f t="shared" si="3527"/>
        <v>0</v>
      </c>
      <c r="G1763" s="1" t="str">
        <f t="shared" si="3527"/>
        <v>0</v>
      </c>
      <c r="H1763" s="1" t="str">
        <f t="shared" si="3527"/>
        <v>0</v>
      </c>
      <c r="I1763" s="1" t="str">
        <f t="shared" si="3527"/>
        <v>0</v>
      </c>
      <c r="J1763" s="1" t="str">
        <f t="shared" si="3527"/>
        <v>0</v>
      </c>
      <c r="K1763" s="1" t="str">
        <f t="shared" si="3527"/>
        <v>0</v>
      </c>
      <c r="L1763" s="1" t="str">
        <f t="shared" si="3527"/>
        <v>0</v>
      </c>
      <c r="M1763" s="1" t="str">
        <f t="shared" si="3527"/>
        <v>0</v>
      </c>
      <c r="N1763" s="1" t="str">
        <f t="shared" si="3527"/>
        <v>0</v>
      </c>
      <c r="O1763" s="1" t="str">
        <f t="shared" si="3527"/>
        <v>0</v>
      </c>
      <c r="P1763" s="1" t="str">
        <f t="shared" si="3527"/>
        <v>0</v>
      </c>
      <c r="Q1763" s="1" t="str">
        <f t="shared" si="3460"/>
        <v>0.0070</v>
      </c>
      <c r="R1763" s="1" t="s">
        <v>25</v>
      </c>
      <c r="T1763" s="1" t="str">
        <f t="shared" si="3461"/>
        <v>0</v>
      </c>
      <c r="U1763" s="1" t="str">
        <f t="shared" si="3526"/>
        <v>0.0070</v>
      </c>
    </row>
    <row r="1764" s="1" customFormat="1" spans="1:21">
      <c r="A1764" s="1" t="str">
        <f>"4601992025375"</f>
        <v>4601992025375</v>
      </c>
      <c r="B1764" s="1" t="s">
        <v>1788</v>
      </c>
      <c r="C1764" s="1" t="s">
        <v>24</v>
      </c>
      <c r="D1764" s="1" t="str">
        <f t="shared" si="3457"/>
        <v>2021</v>
      </c>
      <c r="E1764" s="1" t="str">
        <f>"60.45"</f>
        <v>60.45</v>
      </c>
      <c r="F1764" s="1" t="str">
        <f t="shared" ref="F1764:I1764" si="3528">"0"</f>
        <v>0</v>
      </c>
      <c r="G1764" s="1" t="str">
        <f t="shared" si="3528"/>
        <v>0</v>
      </c>
      <c r="H1764" s="1" t="str">
        <f t="shared" si="3528"/>
        <v>0</v>
      </c>
      <c r="I1764" s="1" t="str">
        <f t="shared" si="3528"/>
        <v>0</v>
      </c>
      <c r="J1764" s="1" t="str">
        <f>"5"</f>
        <v>5</v>
      </c>
      <c r="K1764" s="1" t="str">
        <f t="shared" ref="K1764:P1764" si="3529">"0"</f>
        <v>0</v>
      </c>
      <c r="L1764" s="1" t="str">
        <f t="shared" si="3529"/>
        <v>0</v>
      </c>
      <c r="M1764" s="1" t="str">
        <f t="shared" si="3529"/>
        <v>0</v>
      </c>
      <c r="N1764" s="1" t="str">
        <f t="shared" si="3529"/>
        <v>0</v>
      </c>
      <c r="O1764" s="1" t="str">
        <f t="shared" si="3529"/>
        <v>0</v>
      </c>
      <c r="P1764" s="1" t="str">
        <f t="shared" si="3529"/>
        <v>0</v>
      </c>
      <c r="Q1764" s="1" t="str">
        <f t="shared" si="3460"/>
        <v>0.0070</v>
      </c>
      <c r="R1764" s="1" t="s">
        <v>29</v>
      </c>
      <c r="S1764" s="1">
        <v>-0.0014</v>
      </c>
      <c r="T1764" s="1" t="str">
        <f t="shared" si="3461"/>
        <v>0</v>
      </c>
      <c r="U1764" s="1" t="str">
        <f t="shared" ref="U1764:U1771" si="3530">"0.0056"</f>
        <v>0.0056</v>
      </c>
    </row>
    <row r="1765" s="1" customFormat="1" spans="1:21">
      <c r="A1765" s="1" t="str">
        <f>"4601992025397"</f>
        <v>4601992025397</v>
      </c>
      <c r="B1765" s="1" t="s">
        <v>1789</v>
      </c>
      <c r="C1765" s="1" t="s">
        <v>24</v>
      </c>
      <c r="D1765" s="1" t="str">
        <f t="shared" si="3457"/>
        <v>2021</v>
      </c>
      <c r="E1765" s="1" t="str">
        <f>"60.45"</f>
        <v>60.45</v>
      </c>
      <c r="F1765" s="1" t="str">
        <f t="shared" ref="F1765:I1765" si="3531">"0"</f>
        <v>0</v>
      </c>
      <c r="G1765" s="1" t="str">
        <f t="shared" si="3531"/>
        <v>0</v>
      </c>
      <c r="H1765" s="1" t="str">
        <f t="shared" si="3531"/>
        <v>0</v>
      </c>
      <c r="I1765" s="1" t="str">
        <f t="shared" si="3531"/>
        <v>0</v>
      </c>
      <c r="J1765" s="1" t="str">
        <f>"3"</f>
        <v>3</v>
      </c>
      <c r="K1765" s="1" t="str">
        <f t="shared" ref="K1765:P1765" si="3532">"0"</f>
        <v>0</v>
      </c>
      <c r="L1765" s="1" t="str">
        <f t="shared" si="3532"/>
        <v>0</v>
      </c>
      <c r="M1765" s="1" t="str">
        <f t="shared" si="3532"/>
        <v>0</v>
      </c>
      <c r="N1765" s="1" t="str">
        <f t="shared" si="3532"/>
        <v>0</v>
      </c>
      <c r="O1765" s="1" t="str">
        <f t="shared" si="3532"/>
        <v>0</v>
      </c>
      <c r="P1765" s="1" t="str">
        <f t="shared" si="3532"/>
        <v>0</v>
      </c>
      <c r="Q1765" s="1" t="str">
        <f t="shared" si="3460"/>
        <v>0.0070</v>
      </c>
      <c r="R1765" s="1" t="s">
        <v>29</v>
      </c>
      <c r="S1765" s="1">
        <v>-0.0014</v>
      </c>
      <c r="T1765" s="1" t="str">
        <f t="shared" si="3461"/>
        <v>0</v>
      </c>
      <c r="U1765" s="1" t="str">
        <f t="shared" si="3530"/>
        <v>0.0056</v>
      </c>
    </row>
    <row r="1766" s="1" customFormat="1" spans="1:21">
      <c r="A1766" s="1" t="str">
        <f>"4601992025457"</f>
        <v>4601992025457</v>
      </c>
      <c r="B1766" s="1" t="s">
        <v>1790</v>
      </c>
      <c r="C1766" s="1" t="s">
        <v>24</v>
      </c>
      <c r="D1766" s="1" t="str">
        <f t="shared" si="3457"/>
        <v>2021</v>
      </c>
      <c r="E1766" s="1" t="str">
        <f t="shared" ref="E1766:I1766" si="3533">"0"</f>
        <v>0</v>
      </c>
      <c r="F1766" s="1" t="str">
        <f t="shared" si="3533"/>
        <v>0</v>
      </c>
      <c r="G1766" s="1" t="str">
        <f t="shared" si="3533"/>
        <v>0</v>
      </c>
      <c r="H1766" s="1" t="str">
        <f t="shared" si="3533"/>
        <v>0</v>
      </c>
      <c r="I1766" s="1" t="str">
        <f t="shared" si="3533"/>
        <v>0</v>
      </c>
      <c r="J1766" s="1" t="str">
        <f>"1"</f>
        <v>1</v>
      </c>
      <c r="K1766" s="1" t="str">
        <f t="shared" ref="K1766:P1766" si="3534">"0"</f>
        <v>0</v>
      </c>
      <c r="L1766" s="1" t="str">
        <f t="shared" si="3534"/>
        <v>0</v>
      </c>
      <c r="M1766" s="1" t="str">
        <f t="shared" si="3534"/>
        <v>0</v>
      </c>
      <c r="N1766" s="1" t="str">
        <f t="shared" si="3534"/>
        <v>0</v>
      </c>
      <c r="O1766" s="1" t="str">
        <f t="shared" si="3534"/>
        <v>0</v>
      </c>
      <c r="P1766" s="1" t="str">
        <f t="shared" si="3534"/>
        <v>0</v>
      </c>
      <c r="Q1766" s="1" t="str">
        <f t="shared" si="3460"/>
        <v>0.0070</v>
      </c>
      <c r="R1766" s="1" t="s">
        <v>25</v>
      </c>
      <c r="T1766" s="1" t="str">
        <f t="shared" si="3461"/>
        <v>0</v>
      </c>
      <c r="U1766" s="1" t="str">
        <f t="shared" si="3526"/>
        <v>0.0070</v>
      </c>
    </row>
    <row r="1767" s="1" customFormat="1" spans="1:21">
      <c r="A1767" s="1" t="str">
        <f>"4601992025411"</f>
        <v>4601992025411</v>
      </c>
      <c r="B1767" s="1" t="s">
        <v>1791</v>
      </c>
      <c r="C1767" s="1" t="s">
        <v>24</v>
      </c>
      <c r="D1767" s="1" t="str">
        <f t="shared" si="3457"/>
        <v>2021</v>
      </c>
      <c r="E1767" s="1" t="str">
        <f>"24.18"</f>
        <v>24.18</v>
      </c>
      <c r="F1767" s="1" t="str">
        <f t="shared" ref="F1767:I1767" si="3535">"0"</f>
        <v>0</v>
      </c>
      <c r="G1767" s="1" t="str">
        <f t="shared" si="3535"/>
        <v>0</v>
      </c>
      <c r="H1767" s="1" t="str">
        <f t="shared" si="3535"/>
        <v>0</v>
      </c>
      <c r="I1767" s="1" t="str">
        <f t="shared" si="3535"/>
        <v>0</v>
      </c>
      <c r="J1767" s="1" t="str">
        <f>"2"</f>
        <v>2</v>
      </c>
      <c r="K1767" s="1" t="str">
        <f t="shared" ref="K1767:P1767" si="3536">"0"</f>
        <v>0</v>
      </c>
      <c r="L1767" s="1" t="str">
        <f t="shared" si="3536"/>
        <v>0</v>
      </c>
      <c r="M1767" s="1" t="str">
        <f t="shared" si="3536"/>
        <v>0</v>
      </c>
      <c r="N1767" s="1" t="str">
        <f t="shared" si="3536"/>
        <v>0</v>
      </c>
      <c r="O1767" s="1" t="str">
        <f t="shared" si="3536"/>
        <v>0</v>
      </c>
      <c r="P1767" s="1" t="str">
        <f t="shared" si="3536"/>
        <v>0</v>
      </c>
      <c r="Q1767" s="1" t="str">
        <f t="shared" si="3460"/>
        <v>0.0070</v>
      </c>
      <c r="R1767" s="1" t="s">
        <v>29</v>
      </c>
      <c r="S1767" s="1">
        <v>-0.0014</v>
      </c>
      <c r="T1767" s="1" t="str">
        <f t="shared" si="3461"/>
        <v>0</v>
      </c>
      <c r="U1767" s="1" t="str">
        <f t="shared" si="3530"/>
        <v>0.0056</v>
      </c>
    </row>
    <row r="1768" s="1" customFormat="1" spans="1:21">
      <c r="A1768" s="1" t="str">
        <f>"4601992025477"</f>
        <v>4601992025477</v>
      </c>
      <c r="B1768" s="1" t="s">
        <v>1792</v>
      </c>
      <c r="C1768" s="1" t="s">
        <v>24</v>
      </c>
      <c r="D1768" s="1" t="str">
        <f t="shared" si="3457"/>
        <v>2021</v>
      </c>
      <c r="E1768" s="1" t="str">
        <f>"36.27"</f>
        <v>36.27</v>
      </c>
      <c r="F1768" s="1" t="str">
        <f t="shared" ref="F1768:I1768" si="3537">"0"</f>
        <v>0</v>
      </c>
      <c r="G1768" s="1" t="str">
        <f t="shared" si="3537"/>
        <v>0</v>
      </c>
      <c r="H1768" s="1" t="str">
        <f t="shared" si="3537"/>
        <v>0</v>
      </c>
      <c r="I1768" s="1" t="str">
        <f t="shared" si="3537"/>
        <v>0</v>
      </c>
      <c r="J1768" s="1" t="str">
        <f>"4"</f>
        <v>4</v>
      </c>
      <c r="K1768" s="1" t="str">
        <f t="shared" ref="K1768:P1768" si="3538">"0"</f>
        <v>0</v>
      </c>
      <c r="L1768" s="1" t="str">
        <f t="shared" si="3538"/>
        <v>0</v>
      </c>
      <c r="M1768" s="1" t="str">
        <f t="shared" si="3538"/>
        <v>0</v>
      </c>
      <c r="N1768" s="1" t="str">
        <f t="shared" si="3538"/>
        <v>0</v>
      </c>
      <c r="O1768" s="1" t="str">
        <f t="shared" si="3538"/>
        <v>0</v>
      </c>
      <c r="P1768" s="1" t="str">
        <f t="shared" si="3538"/>
        <v>0</v>
      </c>
      <c r="Q1768" s="1" t="str">
        <f t="shared" si="3460"/>
        <v>0.0070</v>
      </c>
      <c r="R1768" s="1" t="s">
        <v>29</v>
      </c>
      <c r="S1768" s="1">
        <v>-0.0014</v>
      </c>
      <c r="T1768" s="1" t="str">
        <f t="shared" si="3461"/>
        <v>0</v>
      </c>
      <c r="U1768" s="1" t="str">
        <f t="shared" si="3530"/>
        <v>0.0056</v>
      </c>
    </row>
    <row r="1769" s="1" customFormat="1" spans="1:21">
      <c r="A1769" s="1" t="str">
        <f>"4601992025510"</f>
        <v>4601992025510</v>
      </c>
      <c r="B1769" s="1" t="s">
        <v>1793</v>
      </c>
      <c r="C1769" s="1" t="s">
        <v>24</v>
      </c>
      <c r="D1769" s="1" t="str">
        <f t="shared" si="3457"/>
        <v>2021</v>
      </c>
      <c r="E1769" s="1" t="str">
        <f>"24.07"</f>
        <v>24.07</v>
      </c>
      <c r="F1769" s="1" t="str">
        <f t="shared" ref="F1769:I1769" si="3539">"0"</f>
        <v>0</v>
      </c>
      <c r="G1769" s="1" t="str">
        <f t="shared" si="3539"/>
        <v>0</v>
      </c>
      <c r="H1769" s="1" t="str">
        <f t="shared" si="3539"/>
        <v>0</v>
      </c>
      <c r="I1769" s="1" t="str">
        <f t="shared" si="3539"/>
        <v>0</v>
      </c>
      <c r="J1769" s="1" t="str">
        <f>"1"</f>
        <v>1</v>
      </c>
      <c r="K1769" s="1" t="str">
        <f t="shared" ref="K1769:P1769" si="3540">"0"</f>
        <v>0</v>
      </c>
      <c r="L1769" s="1" t="str">
        <f t="shared" si="3540"/>
        <v>0</v>
      </c>
      <c r="M1769" s="1" t="str">
        <f t="shared" si="3540"/>
        <v>0</v>
      </c>
      <c r="N1769" s="1" t="str">
        <f t="shared" si="3540"/>
        <v>0</v>
      </c>
      <c r="O1769" s="1" t="str">
        <f t="shared" si="3540"/>
        <v>0</v>
      </c>
      <c r="P1769" s="1" t="str">
        <f t="shared" si="3540"/>
        <v>0</v>
      </c>
      <c r="Q1769" s="1" t="str">
        <f t="shared" si="3460"/>
        <v>0.0070</v>
      </c>
      <c r="R1769" s="1" t="s">
        <v>29</v>
      </c>
      <c r="S1769" s="1">
        <v>-0.0014</v>
      </c>
      <c r="T1769" s="1" t="str">
        <f t="shared" si="3461"/>
        <v>0</v>
      </c>
      <c r="U1769" s="1" t="str">
        <f t="shared" si="3530"/>
        <v>0.0056</v>
      </c>
    </row>
    <row r="1770" s="1" customFormat="1" spans="1:21">
      <c r="A1770" s="1" t="str">
        <f>"4601992025546"</f>
        <v>4601992025546</v>
      </c>
      <c r="B1770" s="1" t="s">
        <v>1794</v>
      </c>
      <c r="C1770" s="1" t="s">
        <v>24</v>
      </c>
      <c r="D1770" s="1" t="str">
        <f t="shared" si="3457"/>
        <v>2021</v>
      </c>
      <c r="E1770" s="1" t="str">
        <f>"72.60"</f>
        <v>72.60</v>
      </c>
      <c r="F1770" s="1" t="str">
        <f t="shared" ref="F1770:I1770" si="3541">"0"</f>
        <v>0</v>
      </c>
      <c r="G1770" s="1" t="str">
        <f t="shared" si="3541"/>
        <v>0</v>
      </c>
      <c r="H1770" s="1" t="str">
        <f t="shared" si="3541"/>
        <v>0</v>
      </c>
      <c r="I1770" s="1" t="str">
        <f t="shared" si="3541"/>
        <v>0</v>
      </c>
      <c r="J1770" s="1" t="str">
        <f>"6"</f>
        <v>6</v>
      </c>
      <c r="K1770" s="1" t="str">
        <f t="shared" ref="K1770:P1770" si="3542">"0"</f>
        <v>0</v>
      </c>
      <c r="L1770" s="1" t="str">
        <f t="shared" si="3542"/>
        <v>0</v>
      </c>
      <c r="M1770" s="1" t="str">
        <f t="shared" si="3542"/>
        <v>0</v>
      </c>
      <c r="N1770" s="1" t="str">
        <f t="shared" si="3542"/>
        <v>0</v>
      </c>
      <c r="O1770" s="1" t="str">
        <f t="shared" si="3542"/>
        <v>0</v>
      </c>
      <c r="P1770" s="1" t="str">
        <f t="shared" si="3542"/>
        <v>0</v>
      </c>
      <c r="Q1770" s="1" t="str">
        <f t="shared" si="3460"/>
        <v>0.0070</v>
      </c>
      <c r="R1770" s="1" t="s">
        <v>29</v>
      </c>
      <c r="S1770" s="1">
        <v>-0.0014</v>
      </c>
      <c r="T1770" s="1" t="str">
        <f t="shared" si="3461"/>
        <v>0</v>
      </c>
      <c r="U1770" s="1" t="str">
        <f t="shared" si="3530"/>
        <v>0.0056</v>
      </c>
    </row>
    <row r="1771" s="1" customFormat="1" spans="1:21">
      <c r="A1771" s="1" t="str">
        <f>"4601991421609"</f>
        <v>4601991421609</v>
      </c>
      <c r="B1771" s="1" t="s">
        <v>1795</v>
      </c>
      <c r="C1771" s="1" t="s">
        <v>24</v>
      </c>
      <c r="D1771" s="1" t="str">
        <f t="shared" si="3457"/>
        <v>2021</v>
      </c>
      <c r="E1771" s="1" t="str">
        <f>"9.67"</f>
        <v>9.67</v>
      </c>
      <c r="F1771" s="1" t="str">
        <f t="shared" ref="F1771:I1771" si="3543">"0"</f>
        <v>0</v>
      </c>
      <c r="G1771" s="1" t="str">
        <f t="shared" si="3543"/>
        <v>0</v>
      </c>
      <c r="H1771" s="1" t="str">
        <f t="shared" si="3543"/>
        <v>0</v>
      </c>
      <c r="I1771" s="1" t="str">
        <f t="shared" si="3543"/>
        <v>0</v>
      </c>
      <c r="J1771" s="1" t="str">
        <f>"3"</f>
        <v>3</v>
      </c>
      <c r="K1771" s="1" t="str">
        <f t="shared" ref="K1771:P1771" si="3544">"0"</f>
        <v>0</v>
      </c>
      <c r="L1771" s="1" t="str">
        <f t="shared" si="3544"/>
        <v>0</v>
      </c>
      <c r="M1771" s="1" t="str">
        <f t="shared" si="3544"/>
        <v>0</v>
      </c>
      <c r="N1771" s="1" t="str">
        <f t="shared" si="3544"/>
        <v>0</v>
      </c>
      <c r="O1771" s="1" t="str">
        <f t="shared" si="3544"/>
        <v>0</v>
      </c>
      <c r="P1771" s="1" t="str">
        <f t="shared" si="3544"/>
        <v>0</v>
      </c>
      <c r="Q1771" s="1" t="str">
        <f t="shared" si="3460"/>
        <v>0.0070</v>
      </c>
      <c r="R1771" s="1" t="s">
        <v>29</v>
      </c>
      <c r="S1771" s="1">
        <v>-0.0014</v>
      </c>
      <c r="T1771" s="1" t="str">
        <f t="shared" si="3461"/>
        <v>0</v>
      </c>
      <c r="U1771" s="1" t="str">
        <f t="shared" si="3530"/>
        <v>0.0056</v>
      </c>
    </row>
    <row r="1772" s="1" customFormat="1" spans="1:21">
      <c r="A1772" s="1" t="str">
        <f>"4601992025580"</f>
        <v>4601992025580</v>
      </c>
      <c r="B1772" s="1" t="s">
        <v>1796</v>
      </c>
      <c r="C1772" s="1" t="s">
        <v>24</v>
      </c>
      <c r="D1772" s="1" t="str">
        <f t="shared" si="3457"/>
        <v>2021</v>
      </c>
      <c r="E1772" s="1" t="str">
        <f t="shared" ref="E1772:P1772" si="3545">"0"</f>
        <v>0</v>
      </c>
      <c r="F1772" s="1" t="str">
        <f t="shared" si="3545"/>
        <v>0</v>
      </c>
      <c r="G1772" s="1" t="str">
        <f t="shared" si="3545"/>
        <v>0</v>
      </c>
      <c r="H1772" s="1" t="str">
        <f t="shared" si="3545"/>
        <v>0</v>
      </c>
      <c r="I1772" s="1" t="str">
        <f t="shared" si="3545"/>
        <v>0</v>
      </c>
      <c r="J1772" s="1" t="str">
        <f t="shared" si="3545"/>
        <v>0</v>
      </c>
      <c r="K1772" s="1" t="str">
        <f t="shared" si="3545"/>
        <v>0</v>
      </c>
      <c r="L1772" s="1" t="str">
        <f t="shared" si="3545"/>
        <v>0</v>
      </c>
      <c r="M1772" s="1" t="str">
        <f t="shared" si="3545"/>
        <v>0</v>
      </c>
      <c r="N1772" s="1" t="str">
        <f t="shared" si="3545"/>
        <v>0</v>
      </c>
      <c r="O1772" s="1" t="str">
        <f t="shared" si="3545"/>
        <v>0</v>
      </c>
      <c r="P1772" s="1" t="str">
        <f t="shared" si="3545"/>
        <v>0</v>
      </c>
      <c r="Q1772" s="1" t="str">
        <f t="shared" si="3460"/>
        <v>0.0070</v>
      </c>
      <c r="R1772" s="1" t="s">
        <v>25</v>
      </c>
      <c r="T1772" s="1" t="str">
        <f t="shared" si="3461"/>
        <v>0</v>
      </c>
      <c r="U1772" s="1" t="str">
        <f t="shared" ref="U1772:U1775" si="3546">"0.0070"</f>
        <v>0.0070</v>
      </c>
    </row>
    <row r="1773" s="1" customFormat="1" spans="1:21">
      <c r="A1773" s="1" t="str">
        <f>"4601992025568"</f>
        <v>4601992025568</v>
      </c>
      <c r="B1773" s="1" t="s">
        <v>1797</v>
      </c>
      <c r="C1773" s="1" t="s">
        <v>24</v>
      </c>
      <c r="D1773" s="1" t="str">
        <f t="shared" si="3457"/>
        <v>2021</v>
      </c>
      <c r="E1773" s="1" t="str">
        <f>"12.09"</f>
        <v>12.09</v>
      </c>
      <c r="F1773" s="1" t="str">
        <f t="shared" ref="F1773:I1773" si="3547">"0"</f>
        <v>0</v>
      </c>
      <c r="G1773" s="1" t="str">
        <f t="shared" si="3547"/>
        <v>0</v>
      </c>
      <c r="H1773" s="1" t="str">
        <f t="shared" si="3547"/>
        <v>0</v>
      </c>
      <c r="I1773" s="1" t="str">
        <f t="shared" si="3547"/>
        <v>0</v>
      </c>
      <c r="J1773" s="1" t="str">
        <f>"2"</f>
        <v>2</v>
      </c>
      <c r="K1773" s="1" t="str">
        <f t="shared" ref="K1773:P1773" si="3548">"0"</f>
        <v>0</v>
      </c>
      <c r="L1773" s="1" t="str">
        <f t="shared" si="3548"/>
        <v>0</v>
      </c>
      <c r="M1773" s="1" t="str">
        <f t="shared" si="3548"/>
        <v>0</v>
      </c>
      <c r="N1773" s="1" t="str">
        <f t="shared" si="3548"/>
        <v>0</v>
      </c>
      <c r="O1773" s="1" t="str">
        <f t="shared" si="3548"/>
        <v>0</v>
      </c>
      <c r="P1773" s="1" t="str">
        <f t="shared" si="3548"/>
        <v>0</v>
      </c>
      <c r="Q1773" s="1" t="str">
        <f t="shared" si="3460"/>
        <v>0.0070</v>
      </c>
      <c r="R1773" s="1" t="s">
        <v>29</v>
      </c>
      <c r="S1773" s="1">
        <v>-0.0014</v>
      </c>
      <c r="T1773" s="1" t="str">
        <f t="shared" si="3461"/>
        <v>0</v>
      </c>
      <c r="U1773" s="1" t="str">
        <f t="shared" ref="U1773:U1784" si="3549">"0.0056"</f>
        <v>0.0056</v>
      </c>
    </row>
    <row r="1774" s="1" customFormat="1" spans="1:21">
      <c r="A1774" s="1" t="str">
        <f>"4601992025600"</f>
        <v>4601992025600</v>
      </c>
      <c r="B1774" s="1" t="s">
        <v>1798</v>
      </c>
      <c r="C1774" s="1" t="s">
        <v>24</v>
      </c>
      <c r="D1774" s="1" t="str">
        <f t="shared" si="3457"/>
        <v>2021</v>
      </c>
      <c r="E1774" s="1" t="str">
        <f t="shared" ref="E1774:G1774" si="3550">"0"</f>
        <v>0</v>
      </c>
      <c r="F1774" s="1" t="str">
        <f t="shared" si="3550"/>
        <v>0</v>
      </c>
      <c r="G1774" s="1" t="str">
        <f t="shared" si="3550"/>
        <v>0</v>
      </c>
      <c r="H1774" s="1" t="str">
        <f>"12.09"</f>
        <v>12.09</v>
      </c>
      <c r="I1774" s="1" t="str">
        <f t="shared" ref="I1774:P1774" si="3551">"0"</f>
        <v>0</v>
      </c>
      <c r="J1774" s="1" t="str">
        <f t="shared" si="3551"/>
        <v>0</v>
      </c>
      <c r="K1774" s="1" t="str">
        <f t="shared" si="3551"/>
        <v>0</v>
      </c>
      <c r="L1774" s="1" t="str">
        <f t="shared" si="3551"/>
        <v>0</v>
      </c>
      <c r="M1774" s="1" t="str">
        <f t="shared" si="3551"/>
        <v>0</v>
      </c>
      <c r="N1774" s="1" t="str">
        <f t="shared" si="3551"/>
        <v>0</v>
      </c>
      <c r="O1774" s="1" t="str">
        <f t="shared" si="3551"/>
        <v>0</v>
      </c>
      <c r="P1774" s="1" t="str">
        <f t="shared" si="3551"/>
        <v>0</v>
      </c>
      <c r="Q1774" s="1" t="str">
        <f t="shared" si="3460"/>
        <v>0.0070</v>
      </c>
      <c r="R1774" s="1" t="s">
        <v>25</v>
      </c>
      <c r="T1774" s="1" t="str">
        <f t="shared" si="3461"/>
        <v>0</v>
      </c>
      <c r="U1774" s="1" t="str">
        <f t="shared" si="3546"/>
        <v>0.0070</v>
      </c>
    </row>
    <row r="1775" s="1" customFormat="1" spans="1:21">
      <c r="A1775" s="1" t="str">
        <f>"4601992025560"</f>
        <v>4601992025560</v>
      </c>
      <c r="B1775" s="1" t="s">
        <v>1799</v>
      </c>
      <c r="C1775" s="1" t="s">
        <v>24</v>
      </c>
      <c r="D1775" s="1" t="str">
        <f t="shared" si="3457"/>
        <v>2021</v>
      </c>
      <c r="E1775" s="1" t="str">
        <f>"24.18"</f>
        <v>24.18</v>
      </c>
      <c r="F1775" s="1" t="str">
        <f t="shared" ref="F1775:I1775" si="3552">"0"</f>
        <v>0</v>
      </c>
      <c r="G1775" s="1" t="str">
        <f t="shared" si="3552"/>
        <v>0</v>
      </c>
      <c r="H1775" s="1" t="str">
        <f t="shared" si="3552"/>
        <v>0</v>
      </c>
      <c r="I1775" s="1" t="str">
        <f t="shared" si="3552"/>
        <v>0</v>
      </c>
      <c r="J1775" s="1" t="str">
        <f>"2"</f>
        <v>2</v>
      </c>
      <c r="K1775" s="1" t="str">
        <f t="shared" ref="K1775:P1775" si="3553">"0"</f>
        <v>0</v>
      </c>
      <c r="L1775" s="1" t="str">
        <f t="shared" si="3553"/>
        <v>0</v>
      </c>
      <c r="M1775" s="1" t="str">
        <f t="shared" si="3553"/>
        <v>0</v>
      </c>
      <c r="N1775" s="1" t="str">
        <f t="shared" si="3553"/>
        <v>0</v>
      </c>
      <c r="O1775" s="1" t="str">
        <f t="shared" si="3553"/>
        <v>0</v>
      </c>
      <c r="P1775" s="1" t="str">
        <f t="shared" si="3553"/>
        <v>0</v>
      </c>
      <c r="Q1775" s="1" t="str">
        <f t="shared" si="3460"/>
        <v>0.0070</v>
      </c>
      <c r="R1775" s="1" t="s">
        <v>25</v>
      </c>
      <c r="T1775" s="1" t="str">
        <f t="shared" si="3461"/>
        <v>0</v>
      </c>
      <c r="U1775" s="1" t="str">
        <f t="shared" si="3546"/>
        <v>0.0070</v>
      </c>
    </row>
    <row r="1776" s="1" customFormat="1" spans="1:21">
      <c r="A1776" s="1" t="str">
        <f>"4601992025612"</f>
        <v>4601992025612</v>
      </c>
      <c r="B1776" s="1" t="s">
        <v>1800</v>
      </c>
      <c r="C1776" s="1" t="s">
        <v>24</v>
      </c>
      <c r="D1776" s="1" t="str">
        <f t="shared" si="3457"/>
        <v>2021</v>
      </c>
      <c r="E1776" s="1" t="str">
        <f>"57.43"</f>
        <v>57.43</v>
      </c>
      <c r="F1776" s="1" t="str">
        <f t="shared" ref="F1776:I1776" si="3554">"0"</f>
        <v>0</v>
      </c>
      <c r="G1776" s="1" t="str">
        <f t="shared" si="3554"/>
        <v>0</v>
      </c>
      <c r="H1776" s="1" t="str">
        <f t="shared" si="3554"/>
        <v>0</v>
      </c>
      <c r="I1776" s="1" t="str">
        <f t="shared" si="3554"/>
        <v>0</v>
      </c>
      <c r="J1776" s="1" t="str">
        <f>"5"</f>
        <v>5</v>
      </c>
      <c r="K1776" s="1" t="str">
        <f t="shared" ref="K1776:P1776" si="3555">"0"</f>
        <v>0</v>
      </c>
      <c r="L1776" s="1" t="str">
        <f t="shared" si="3555"/>
        <v>0</v>
      </c>
      <c r="M1776" s="1" t="str">
        <f t="shared" si="3555"/>
        <v>0</v>
      </c>
      <c r="N1776" s="1" t="str">
        <f t="shared" si="3555"/>
        <v>0</v>
      </c>
      <c r="O1776" s="1" t="str">
        <f t="shared" si="3555"/>
        <v>0</v>
      </c>
      <c r="P1776" s="1" t="str">
        <f t="shared" si="3555"/>
        <v>0</v>
      </c>
      <c r="Q1776" s="1" t="str">
        <f t="shared" si="3460"/>
        <v>0.0070</v>
      </c>
      <c r="R1776" s="1" t="s">
        <v>29</v>
      </c>
      <c r="S1776" s="1">
        <v>-0.0014</v>
      </c>
      <c r="T1776" s="1" t="str">
        <f t="shared" si="3461"/>
        <v>0</v>
      </c>
      <c r="U1776" s="1" t="str">
        <f t="shared" si="3549"/>
        <v>0.0056</v>
      </c>
    </row>
    <row r="1777" s="1" customFormat="1" spans="1:21">
      <c r="A1777" s="1" t="str">
        <f>"4601992025629"</f>
        <v>4601992025629</v>
      </c>
      <c r="B1777" s="1" t="s">
        <v>1801</v>
      </c>
      <c r="C1777" s="1" t="s">
        <v>24</v>
      </c>
      <c r="D1777" s="1" t="str">
        <f t="shared" si="3457"/>
        <v>2021</v>
      </c>
      <c r="E1777" s="1" t="str">
        <f>"84.63"</f>
        <v>84.63</v>
      </c>
      <c r="F1777" s="1" t="str">
        <f t="shared" ref="F1777:I1777" si="3556">"0"</f>
        <v>0</v>
      </c>
      <c r="G1777" s="1" t="str">
        <f t="shared" si="3556"/>
        <v>0</v>
      </c>
      <c r="H1777" s="1" t="str">
        <f t="shared" si="3556"/>
        <v>0</v>
      </c>
      <c r="I1777" s="1" t="str">
        <f t="shared" si="3556"/>
        <v>0</v>
      </c>
      <c r="J1777" s="1" t="str">
        <f>"7"</f>
        <v>7</v>
      </c>
      <c r="K1777" s="1" t="str">
        <f t="shared" ref="K1777:P1777" si="3557">"0"</f>
        <v>0</v>
      </c>
      <c r="L1777" s="1" t="str">
        <f t="shared" si="3557"/>
        <v>0</v>
      </c>
      <c r="M1777" s="1" t="str">
        <f t="shared" si="3557"/>
        <v>0</v>
      </c>
      <c r="N1777" s="1" t="str">
        <f t="shared" si="3557"/>
        <v>0</v>
      </c>
      <c r="O1777" s="1" t="str">
        <f t="shared" si="3557"/>
        <v>0</v>
      </c>
      <c r="P1777" s="1" t="str">
        <f t="shared" si="3557"/>
        <v>0</v>
      </c>
      <c r="Q1777" s="1" t="str">
        <f t="shared" si="3460"/>
        <v>0.0070</v>
      </c>
      <c r="R1777" s="1" t="s">
        <v>29</v>
      </c>
      <c r="S1777" s="1">
        <v>-0.0014</v>
      </c>
      <c r="T1777" s="1" t="str">
        <f t="shared" si="3461"/>
        <v>0</v>
      </c>
      <c r="U1777" s="1" t="str">
        <f t="shared" si="3549"/>
        <v>0.0056</v>
      </c>
    </row>
    <row r="1778" s="1" customFormat="1" spans="1:21">
      <c r="A1778" s="1" t="str">
        <f>"4601992025632"</f>
        <v>4601992025632</v>
      </c>
      <c r="B1778" s="1" t="s">
        <v>1802</v>
      </c>
      <c r="C1778" s="1" t="s">
        <v>24</v>
      </c>
      <c r="D1778" s="1" t="str">
        <f t="shared" si="3457"/>
        <v>2021</v>
      </c>
      <c r="E1778" s="1" t="str">
        <f>"57.73"</f>
        <v>57.73</v>
      </c>
      <c r="F1778" s="1" t="str">
        <f t="shared" ref="F1778:I1778" si="3558">"0"</f>
        <v>0</v>
      </c>
      <c r="G1778" s="1" t="str">
        <f t="shared" si="3558"/>
        <v>0</v>
      </c>
      <c r="H1778" s="1" t="str">
        <f t="shared" si="3558"/>
        <v>0</v>
      </c>
      <c r="I1778" s="1" t="str">
        <f t="shared" si="3558"/>
        <v>0</v>
      </c>
      <c r="J1778" s="1" t="str">
        <f>"4"</f>
        <v>4</v>
      </c>
      <c r="K1778" s="1" t="str">
        <f t="shared" ref="K1778:P1778" si="3559">"0"</f>
        <v>0</v>
      </c>
      <c r="L1778" s="1" t="str">
        <f t="shared" si="3559"/>
        <v>0</v>
      </c>
      <c r="M1778" s="1" t="str">
        <f t="shared" si="3559"/>
        <v>0</v>
      </c>
      <c r="N1778" s="1" t="str">
        <f t="shared" si="3559"/>
        <v>0</v>
      </c>
      <c r="O1778" s="1" t="str">
        <f t="shared" si="3559"/>
        <v>0</v>
      </c>
      <c r="P1778" s="1" t="str">
        <f t="shared" si="3559"/>
        <v>0</v>
      </c>
      <c r="Q1778" s="1" t="str">
        <f t="shared" si="3460"/>
        <v>0.0070</v>
      </c>
      <c r="R1778" s="1" t="s">
        <v>29</v>
      </c>
      <c r="S1778" s="1">
        <v>-0.0014</v>
      </c>
      <c r="T1778" s="1" t="str">
        <f t="shared" si="3461"/>
        <v>0</v>
      </c>
      <c r="U1778" s="1" t="str">
        <f t="shared" si="3549"/>
        <v>0.0056</v>
      </c>
    </row>
    <row r="1779" s="1" customFormat="1" spans="1:21">
      <c r="A1779" s="1" t="str">
        <f>"4601992025620"</f>
        <v>4601992025620</v>
      </c>
      <c r="B1779" s="1" t="s">
        <v>1803</v>
      </c>
      <c r="C1779" s="1" t="s">
        <v>24</v>
      </c>
      <c r="D1779" s="1" t="str">
        <f t="shared" si="3457"/>
        <v>2021</v>
      </c>
      <c r="E1779" s="1" t="str">
        <f>"119.80"</f>
        <v>119.80</v>
      </c>
      <c r="F1779" s="1" t="str">
        <f t="shared" ref="F1779:I1779" si="3560">"0"</f>
        <v>0</v>
      </c>
      <c r="G1779" s="1" t="str">
        <f t="shared" si="3560"/>
        <v>0</v>
      </c>
      <c r="H1779" s="1" t="str">
        <f t="shared" si="3560"/>
        <v>0</v>
      </c>
      <c r="I1779" s="1" t="str">
        <f t="shared" si="3560"/>
        <v>0</v>
      </c>
      <c r="J1779" s="1" t="str">
        <f>"10"</f>
        <v>10</v>
      </c>
      <c r="K1779" s="1" t="str">
        <f t="shared" ref="K1779:P1779" si="3561">"0"</f>
        <v>0</v>
      </c>
      <c r="L1779" s="1" t="str">
        <f t="shared" si="3561"/>
        <v>0</v>
      </c>
      <c r="M1779" s="1" t="str">
        <f t="shared" si="3561"/>
        <v>0</v>
      </c>
      <c r="N1779" s="1" t="str">
        <f t="shared" si="3561"/>
        <v>0</v>
      </c>
      <c r="O1779" s="1" t="str">
        <f t="shared" si="3561"/>
        <v>0</v>
      </c>
      <c r="P1779" s="1" t="str">
        <f t="shared" si="3561"/>
        <v>0</v>
      </c>
      <c r="Q1779" s="1" t="str">
        <f t="shared" si="3460"/>
        <v>0.0070</v>
      </c>
      <c r="R1779" s="1" t="s">
        <v>29</v>
      </c>
      <c r="S1779" s="1">
        <v>-0.0014</v>
      </c>
      <c r="T1779" s="1" t="str">
        <f t="shared" si="3461"/>
        <v>0</v>
      </c>
      <c r="U1779" s="1" t="str">
        <f t="shared" si="3549"/>
        <v>0.0056</v>
      </c>
    </row>
    <row r="1780" s="1" customFormat="1" spans="1:21">
      <c r="A1780" s="1" t="str">
        <f>"4601992025614"</f>
        <v>4601992025614</v>
      </c>
      <c r="B1780" s="1" t="s">
        <v>1804</v>
      </c>
      <c r="C1780" s="1" t="s">
        <v>24</v>
      </c>
      <c r="D1780" s="1" t="str">
        <f t="shared" si="3457"/>
        <v>2021</v>
      </c>
      <c r="E1780" s="1" t="str">
        <f>"42.00"</f>
        <v>42.00</v>
      </c>
      <c r="F1780" s="1" t="str">
        <f t="shared" ref="F1780:I1780" si="3562">"0"</f>
        <v>0</v>
      </c>
      <c r="G1780" s="1" t="str">
        <f t="shared" si="3562"/>
        <v>0</v>
      </c>
      <c r="H1780" s="1" t="str">
        <f t="shared" si="3562"/>
        <v>0</v>
      </c>
      <c r="I1780" s="1" t="str">
        <f t="shared" si="3562"/>
        <v>0</v>
      </c>
      <c r="J1780" s="1" t="str">
        <f>"2"</f>
        <v>2</v>
      </c>
      <c r="K1780" s="1" t="str">
        <f t="shared" ref="K1780:P1780" si="3563">"0"</f>
        <v>0</v>
      </c>
      <c r="L1780" s="1" t="str">
        <f t="shared" si="3563"/>
        <v>0</v>
      </c>
      <c r="M1780" s="1" t="str">
        <f t="shared" si="3563"/>
        <v>0</v>
      </c>
      <c r="N1780" s="1" t="str">
        <f t="shared" si="3563"/>
        <v>0</v>
      </c>
      <c r="O1780" s="1" t="str">
        <f t="shared" si="3563"/>
        <v>0</v>
      </c>
      <c r="P1780" s="1" t="str">
        <f t="shared" si="3563"/>
        <v>0</v>
      </c>
      <c r="Q1780" s="1" t="str">
        <f t="shared" si="3460"/>
        <v>0.0070</v>
      </c>
      <c r="R1780" s="1" t="s">
        <v>29</v>
      </c>
      <c r="S1780" s="1">
        <v>-0.0014</v>
      </c>
      <c r="T1780" s="1" t="str">
        <f t="shared" si="3461"/>
        <v>0</v>
      </c>
      <c r="U1780" s="1" t="str">
        <f t="shared" si="3549"/>
        <v>0.0056</v>
      </c>
    </row>
    <row r="1781" s="1" customFormat="1" spans="1:21">
      <c r="A1781" s="1" t="str">
        <f>"4601992025670"</f>
        <v>4601992025670</v>
      </c>
      <c r="B1781" s="1" t="s">
        <v>1805</v>
      </c>
      <c r="C1781" s="1" t="s">
        <v>24</v>
      </c>
      <c r="D1781" s="1" t="str">
        <f t="shared" si="3457"/>
        <v>2021</v>
      </c>
      <c r="E1781" s="1" t="str">
        <f>"36.27"</f>
        <v>36.27</v>
      </c>
      <c r="F1781" s="1" t="str">
        <f t="shared" ref="F1781:I1781" si="3564">"0"</f>
        <v>0</v>
      </c>
      <c r="G1781" s="1" t="str">
        <f t="shared" si="3564"/>
        <v>0</v>
      </c>
      <c r="H1781" s="1" t="str">
        <f t="shared" si="3564"/>
        <v>0</v>
      </c>
      <c r="I1781" s="1" t="str">
        <f t="shared" si="3564"/>
        <v>0</v>
      </c>
      <c r="J1781" s="1" t="str">
        <f>"3"</f>
        <v>3</v>
      </c>
      <c r="K1781" s="1" t="str">
        <f t="shared" ref="K1781:P1781" si="3565">"0"</f>
        <v>0</v>
      </c>
      <c r="L1781" s="1" t="str">
        <f t="shared" si="3565"/>
        <v>0</v>
      </c>
      <c r="M1781" s="1" t="str">
        <f t="shared" si="3565"/>
        <v>0</v>
      </c>
      <c r="N1781" s="1" t="str">
        <f t="shared" si="3565"/>
        <v>0</v>
      </c>
      <c r="O1781" s="1" t="str">
        <f t="shared" si="3565"/>
        <v>0</v>
      </c>
      <c r="P1781" s="1" t="str">
        <f t="shared" si="3565"/>
        <v>0</v>
      </c>
      <c r="Q1781" s="1" t="str">
        <f t="shared" si="3460"/>
        <v>0.0070</v>
      </c>
      <c r="R1781" s="1" t="s">
        <v>29</v>
      </c>
      <c r="S1781" s="1">
        <v>-0.0014</v>
      </c>
      <c r="T1781" s="1" t="str">
        <f t="shared" si="3461"/>
        <v>0</v>
      </c>
      <c r="U1781" s="1" t="str">
        <f t="shared" si="3549"/>
        <v>0.0056</v>
      </c>
    </row>
    <row r="1782" s="1" customFormat="1" spans="1:21">
      <c r="A1782" s="1" t="str">
        <f>"4601992025714"</f>
        <v>4601992025714</v>
      </c>
      <c r="B1782" s="1" t="s">
        <v>1806</v>
      </c>
      <c r="C1782" s="1" t="s">
        <v>24</v>
      </c>
      <c r="D1782" s="1" t="str">
        <f t="shared" si="3457"/>
        <v>2021</v>
      </c>
      <c r="E1782" s="1" t="str">
        <f>"12.09"</f>
        <v>12.09</v>
      </c>
      <c r="F1782" s="1" t="str">
        <f t="shared" ref="F1782:I1782" si="3566">"0"</f>
        <v>0</v>
      </c>
      <c r="G1782" s="1" t="str">
        <f t="shared" si="3566"/>
        <v>0</v>
      </c>
      <c r="H1782" s="1" t="str">
        <f t="shared" si="3566"/>
        <v>0</v>
      </c>
      <c r="I1782" s="1" t="str">
        <f t="shared" si="3566"/>
        <v>0</v>
      </c>
      <c r="J1782" s="1" t="str">
        <f>"5"</f>
        <v>5</v>
      </c>
      <c r="K1782" s="1" t="str">
        <f t="shared" ref="K1782:P1782" si="3567">"0"</f>
        <v>0</v>
      </c>
      <c r="L1782" s="1" t="str">
        <f t="shared" si="3567"/>
        <v>0</v>
      </c>
      <c r="M1782" s="1" t="str">
        <f t="shared" si="3567"/>
        <v>0</v>
      </c>
      <c r="N1782" s="1" t="str">
        <f t="shared" si="3567"/>
        <v>0</v>
      </c>
      <c r="O1782" s="1" t="str">
        <f t="shared" si="3567"/>
        <v>0</v>
      </c>
      <c r="P1782" s="1" t="str">
        <f t="shared" si="3567"/>
        <v>0</v>
      </c>
      <c r="Q1782" s="1" t="str">
        <f t="shared" si="3460"/>
        <v>0.0070</v>
      </c>
      <c r="R1782" s="1" t="s">
        <v>29</v>
      </c>
      <c r="S1782" s="1">
        <v>-0.0014</v>
      </c>
      <c r="T1782" s="1" t="str">
        <f t="shared" si="3461"/>
        <v>0</v>
      </c>
      <c r="U1782" s="1" t="str">
        <f t="shared" si="3549"/>
        <v>0.0056</v>
      </c>
    </row>
    <row r="1783" s="1" customFormat="1" spans="1:21">
      <c r="A1783" s="1" t="str">
        <f>"4601992025653"</f>
        <v>4601992025653</v>
      </c>
      <c r="B1783" s="1" t="s">
        <v>1807</v>
      </c>
      <c r="C1783" s="1" t="s">
        <v>24</v>
      </c>
      <c r="D1783" s="1" t="str">
        <f t="shared" si="3457"/>
        <v>2021</v>
      </c>
      <c r="E1783" s="1" t="str">
        <f>"59.90"</f>
        <v>59.90</v>
      </c>
      <c r="F1783" s="1" t="str">
        <f t="shared" ref="F1783:I1783" si="3568">"0"</f>
        <v>0</v>
      </c>
      <c r="G1783" s="1" t="str">
        <f t="shared" si="3568"/>
        <v>0</v>
      </c>
      <c r="H1783" s="1" t="str">
        <f t="shared" si="3568"/>
        <v>0</v>
      </c>
      <c r="I1783" s="1" t="str">
        <f t="shared" si="3568"/>
        <v>0</v>
      </c>
      <c r="J1783" s="1" t="str">
        <f>"5"</f>
        <v>5</v>
      </c>
      <c r="K1783" s="1" t="str">
        <f t="shared" ref="K1783:P1783" si="3569">"0"</f>
        <v>0</v>
      </c>
      <c r="L1783" s="1" t="str">
        <f t="shared" si="3569"/>
        <v>0</v>
      </c>
      <c r="M1783" s="1" t="str">
        <f t="shared" si="3569"/>
        <v>0</v>
      </c>
      <c r="N1783" s="1" t="str">
        <f t="shared" si="3569"/>
        <v>0</v>
      </c>
      <c r="O1783" s="1" t="str">
        <f t="shared" si="3569"/>
        <v>0</v>
      </c>
      <c r="P1783" s="1" t="str">
        <f t="shared" si="3569"/>
        <v>0</v>
      </c>
      <c r="Q1783" s="1" t="str">
        <f t="shared" si="3460"/>
        <v>0.0070</v>
      </c>
      <c r="R1783" s="1" t="s">
        <v>29</v>
      </c>
      <c r="S1783" s="1">
        <v>-0.0014</v>
      </c>
      <c r="T1783" s="1" t="str">
        <f t="shared" si="3461"/>
        <v>0</v>
      </c>
      <c r="U1783" s="1" t="str">
        <f t="shared" si="3549"/>
        <v>0.0056</v>
      </c>
    </row>
    <row r="1784" s="1" customFormat="1" spans="1:21">
      <c r="A1784" s="1" t="str">
        <f>"4601992025672"</f>
        <v>4601992025672</v>
      </c>
      <c r="B1784" s="1" t="s">
        <v>1808</v>
      </c>
      <c r="C1784" s="1" t="s">
        <v>24</v>
      </c>
      <c r="D1784" s="1" t="str">
        <f t="shared" si="3457"/>
        <v>2021</v>
      </c>
      <c r="E1784" s="1" t="str">
        <f>"11.98"</f>
        <v>11.98</v>
      </c>
      <c r="F1784" s="1" t="str">
        <f t="shared" ref="F1784:I1784" si="3570">"0"</f>
        <v>0</v>
      </c>
      <c r="G1784" s="1" t="str">
        <f t="shared" si="3570"/>
        <v>0</v>
      </c>
      <c r="H1784" s="1" t="str">
        <f t="shared" si="3570"/>
        <v>0</v>
      </c>
      <c r="I1784" s="1" t="str">
        <f t="shared" si="3570"/>
        <v>0</v>
      </c>
      <c r="J1784" s="1" t="str">
        <f>"1"</f>
        <v>1</v>
      </c>
      <c r="K1784" s="1" t="str">
        <f t="shared" ref="K1784:P1784" si="3571">"0"</f>
        <v>0</v>
      </c>
      <c r="L1784" s="1" t="str">
        <f t="shared" si="3571"/>
        <v>0</v>
      </c>
      <c r="M1784" s="1" t="str">
        <f t="shared" si="3571"/>
        <v>0</v>
      </c>
      <c r="N1784" s="1" t="str">
        <f t="shared" si="3571"/>
        <v>0</v>
      </c>
      <c r="O1784" s="1" t="str">
        <f t="shared" si="3571"/>
        <v>0</v>
      </c>
      <c r="P1784" s="1" t="str">
        <f t="shared" si="3571"/>
        <v>0</v>
      </c>
      <c r="Q1784" s="1" t="str">
        <f t="shared" si="3460"/>
        <v>0.0070</v>
      </c>
      <c r="R1784" s="1" t="s">
        <v>29</v>
      </c>
      <c r="S1784" s="1">
        <v>-0.0014</v>
      </c>
      <c r="T1784" s="1" t="str">
        <f t="shared" si="3461"/>
        <v>0</v>
      </c>
      <c r="U1784" s="1" t="str">
        <f t="shared" si="3549"/>
        <v>0.0056</v>
      </c>
    </row>
    <row r="1785" s="1" customFormat="1" spans="1:21">
      <c r="A1785" s="1" t="str">
        <f>"4601992025768"</f>
        <v>4601992025768</v>
      </c>
      <c r="B1785" s="1" t="s">
        <v>1809</v>
      </c>
      <c r="C1785" s="1" t="s">
        <v>24</v>
      </c>
      <c r="D1785" s="1" t="str">
        <f t="shared" si="3457"/>
        <v>2021</v>
      </c>
      <c r="E1785" s="1" t="str">
        <f t="shared" ref="E1785:P1785" si="3572">"0"</f>
        <v>0</v>
      </c>
      <c r="F1785" s="1" t="str">
        <f t="shared" si="3572"/>
        <v>0</v>
      </c>
      <c r="G1785" s="1" t="str">
        <f t="shared" si="3572"/>
        <v>0</v>
      </c>
      <c r="H1785" s="1" t="str">
        <f t="shared" si="3572"/>
        <v>0</v>
      </c>
      <c r="I1785" s="1" t="str">
        <f t="shared" si="3572"/>
        <v>0</v>
      </c>
      <c r="J1785" s="1" t="str">
        <f t="shared" si="3572"/>
        <v>0</v>
      </c>
      <c r="K1785" s="1" t="str">
        <f t="shared" si="3572"/>
        <v>0</v>
      </c>
      <c r="L1785" s="1" t="str">
        <f t="shared" si="3572"/>
        <v>0</v>
      </c>
      <c r="M1785" s="1" t="str">
        <f t="shared" si="3572"/>
        <v>0</v>
      </c>
      <c r="N1785" s="1" t="str">
        <f t="shared" si="3572"/>
        <v>0</v>
      </c>
      <c r="O1785" s="1" t="str">
        <f t="shared" si="3572"/>
        <v>0</v>
      </c>
      <c r="P1785" s="1" t="str">
        <f t="shared" si="3572"/>
        <v>0</v>
      </c>
      <c r="Q1785" s="1" t="str">
        <f t="shared" si="3460"/>
        <v>0.0070</v>
      </c>
      <c r="R1785" s="1" t="s">
        <v>25</v>
      </c>
      <c r="T1785" s="1" t="str">
        <f t="shared" si="3461"/>
        <v>0</v>
      </c>
      <c r="U1785" s="1" t="str">
        <f>"0.0070"</f>
        <v>0.0070</v>
      </c>
    </row>
    <row r="1786" s="1" customFormat="1" spans="1:21">
      <c r="A1786" s="1" t="str">
        <f>"4601992025741"</f>
        <v>4601992025741</v>
      </c>
      <c r="B1786" s="1" t="s">
        <v>1810</v>
      </c>
      <c r="C1786" s="1" t="s">
        <v>24</v>
      </c>
      <c r="D1786" s="1" t="str">
        <f t="shared" si="3457"/>
        <v>2021</v>
      </c>
      <c r="E1786" s="1" t="str">
        <f t="shared" ref="E1786:P1786" si="3573">"0"</f>
        <v>0</v>
      </c>
      <c r="F1786" s="1" t="str">
        <f t="shared" si="3573"/>
        <v>0</v>
      </c>
      <c r="G1786" s="1" t="str">
        <f t="shared" si="3573"/>
        <v>0</v>
      </c>
      <c r="H1786" s="1" t="str">
        <f t="shared" si="3573"/>
        <v>0</v>
      </c>
      <c r="I1786" s="1" t="str">
        <f t="shared" si="3573"/>
        <v>0</v>
      </c>
      <c r="J1786" s="1" t="str">
        <f t="shared" si="3573"/>
        <v>0</v>
      </c>
      <c r="K1786" s="1" t="str">
        <f t="shared" si="3573"/>
        <v>0</v>
      </c>
      <c r="L1786" s="1" t="str">
        <f t="shared" si="3573"/>
        <v>0</v>
      </c>
      <c r="M1786" s="1" t="str">
        <f t="shared" si="3573"/>
        <v>0</v>
      </c>
      <c r="N1786" s="1" t="str">
        <f t="shared" si="3573"/>
        <v>0</v>
      </c>
      <c r="O1786" s="1" t="str">
        <f t="shared" si="3573"/>
        <v>0</v>
      </c>
      <c r="P1786" s="1" t="str">
        <f t="shared" si="3573"/>
        <v>0</v>
      </c>
      <c r="Q1786" s="1" t="str">
        <f t="shared" si="3460"/>
        <v>0.0070</v>
      </c>
      <c r="R1786" s="1" t="s">
        <v>25</v>
      </c>
      <c r="T1786" s="1" t="str">
        <f t="shared" si="3461"/>
        <v>0</v>
      </c>
      <c r="U1786" s="1" t="str">
        <f>"0.0070"</f>
        <v>0.0070</v>
      </c>
    </row>
    <row r="1787" s="1" customFormat="1" spans="1:21">
      <c r="A1787" s="1" t="str">
        <f>"4601992025727"</f>
        <v>4601992025727</v>
      </c>
      <c r="B1787" s="1" t="s">
        <v>1811</v>
      </c>
      <c r="C1787" s="1" t="s">
        <v>24</v>
      </c>
      <c r="D1787" s="1" t="str">
        <f t="shared" si="3457"/>
        <v>2021</v>
      </c>
      <c r="E1787" s="1" t="str">
        <f>"24.18"</f>
        <v>24.18</v>
      </c>
      <c r="F1787" s="1" t="str">
        <f t="shared" ref="F1787:I1787" si="3574">"0"</f>
        <v>0</v>
      </c>
      <c r="G1787" s="1" t="str">
        <f t="shared" si="3574"/>
        <v>0</v>
      </c>
      <c r="H1787" s="1" t="str">
        <f t="shared" si="3574"/>
        <v>0</v>
      </c>
      <c r="I1787" s="1" t="str">
        <f t="shared" si="3574"/>
        <v>0</v>
      </c>
      <c r="J1787" s="1" t="str">
        <f t="shared" ref="J1787:J1789" si="3575">"2"</f>
        <v>2</v>
      </c>
      <c r="K1787" s="1" t="str">
        <f t="shared" ref="K1787:P1787" si="3576">"0"</f>
        <v>0</v>
      </c>
      <c r="L1787" s="1" t="str">
        <f t="shared" si="3576"/>
        <v>0</v>
      </c>
      <c r="M1787" s="1" t="str">
        <f t="shared" si="3576"/>
        <v>0</v>
      </c>
      <c r="N1787" s="1" t="str">
        <f t="shared" si="3576"/>
        <v>0</v>
      </c>
      <c r="O1787" s="1" t="str">
        <f t="shared" si="3576"/>
        <v>0</v>
      </c>
      <c r="P1787" s="1" t="str">
        <f t="shared" si="3576"/>
        <v>0</v>
      </c>
      <c r="Q1787" s="1" t="str">
        <f t="shared" si="3460"/>
        <v>0.0070</v>
      </c>
      <c r="R1787" s="1" t="s">
        <v>29</v>
      </c>
      <c r="S1787" s="1">
        <v>-0.0014</v>
      </c>
      <c r="T1787" s="1" t="str">
        <f t="shared" si="3461"/>
        <v>0</v>
      </c>
      <c r="U1787" s="1" t="str">
        <f t="shared" ref="U1787:U1790" si="3577">"0.0056"</f>
        <v>0.0056</v>
      </c>
    </row>
    <row r="1788" s="1" customFormat="1" spans="1:21">
      <c r="A1788" s="1" t="str">
        <f>"4601992025770"</f>
        <v>4601992025770</v>
      </c>
      <c r="B1788" s="1" t="s">
        <v>1812</v>
      </c>
      <c r="C1788" s="1" t="s">
        <v>24</v>
      </c>
      <c r="D1788" s="1" t="str">
        <f t="shared" si="3457"/>
        <v>2021</v>
      </c>
      <c r="E1788" s="1" t="str">
        <f t="shared" ref="E1788:E1793" si="3578">"12.09"</f>
        <v>12.09</v>
      </c>
      <c r="F1788" s="1" t="str">
        <f t="shared" ref="F1788:I1788" si="3579">"0"</f>
        <v>0</v>
      </c>
      <c r="G1788" s="1" t="str">
        <f t="shared" si="3579"/>
        <v>0</v>
      </c>
      <c r="H1788" s="1" t="str">
        <f t="shared" si="3579"/>
        <v>0</v>
      </c>
      <c r="I1788" s="1" t="str">
        <f t="shared" si="3579"/>
        <v>0</v>
      </c>
      <c r="J1788" s="1" t="str">
        <f t="shared" si="3575"/>
        <v>2</v>
      </c>
      <c r="K1788" s="1" t="str">
        <f t="shared" ref="K1788:P1788" si="3580">"0"</f>
        <v>0</v>
      </c>
      <c r="L1788" s="1" t="str">
        <f t="shared" si="3580"/>
        <v>0</v>
      </c>
      <c r="M1788" s="1" t="str">
        <f t="shared" si="3580"/>
        <v>0</v>
      </c>
      <c r="N1788" s="1" t="str">
        <f t="shared" si="3580"/>
        <v>0</v>
      </c>
      <c r="O1788" s="1" t="str">
        <f t="shared" si="3580"/>
        <v>0</v>
      </c>
      <c r="P1788" s="1" t="str">
        <f t="shared" si="3580"/>
        <v>0</v>
      </c>
      <c r="Q1788" s="1" t="str">
        <f t="shared" si="3460"/>
        <v>0.0070</v>
      </c>
      <c r="R1788" s="1" t="s">
        <v>29</v>
      </c>
      <c r="S1788" s="1">
        <v>-0.0014</v>
      </c>
      <c r="T1788" s="1" t="str">
        <f t="shared" si="3461"/>
        <v>0</v>
      </c>
      <c r="U1788" s="1" t="str">
        <f t="shared" si="3577"/>
        <v>0.0056</v>
      </c>
    </row>
    <row r="1789" s="1" customFormat="1" spans="1:21">
      <c r="A1789" s="1" t="str">
        <f>"4601992025777"</f>
        <v>4601992025777</v>
      </c>
      <c r="B1789" s="1" t="s">
        <v>1813</v>
      </c>
      <c r="C1789" s="1" t="s">
        <v>24</v>
      </c>
      <c r="D1789" s="1" t="str">
        <f t="shared" si="3457"/>
        <v>2021</v>
      </c>
      <c r="E1789" s="1" t="str">
        <f>"27.30"</f>
        <v>27.30</v>
      </c>
      <c r="F1789" s="1" t="str">
        <f t="shared" ref="F1789:I1789" si="3581">"0"</f>
        <v>0</v>
      </c>
      <c r="G1789" s="1" t="str">
        <f t="shared" si="3581"/>
        <v>0</v>
      </c>
      <c r="H1789" s="1" t="str">
        <f t="shared" si="3581"/>
        <v>0</v>
      </c>
      <c r="I1789" s="1" t="str">
        <f t="shared" si="3581"/>
        <v>0</v>
      </c>
      <c r="J1789" s="1" t="str">
        <f t="shared" si="3575"/>
        <v>2</v>
      </c>
      <c r="K1789" s="1" t="str">
        <f t="shared" ref="K1789:P1789" si="3582">"0"</f>
        <v>0</v>
      </c>
      <c r="L1789" s="1" t="str">
        <f t="shared" si="3582"/>
        <v>0</v>
      </c>
      <c r="M1789" s="1" t="str">
        <f t="shared" si="3582"/>
        <v>0</v>
      </c>
      <c r="N1789" s="1" t="str">
        <f t="shared" si="3582"/>
        <v>0</v>
      </c>
      <c r="O1789" s="1" t="str">
        <f t="shared" si="3582"/>
        <v>0</v>
      </c>
      <c r="P1789" s="1" t="str">
        <f t="shared" si="3582"/>
        <v>0</v>
      </c>
      <c r="Q1789" s="1" t="str">
        <f t="shared" si="3460"/>
        <v>0.0070</v>
      </c>
      <c r="R1789" s="1" t="s">
        <v>29</v>
      </c>
      <c r="S1789" s="1">
        <v>-0.0014</v>
      </c>
      <c r="T1789" s="1" t="str">
        <f t="shared" si="3461"/>
        <v>0</v>
      </c>
      <c r="U1789" s="1" t="str">
        <f t="shared" si="3577"/>
        <v>0.0056</v>
      </c>
    </row>
    <row r="1790" s="1" customFormat="1" spans="1:21">
      <c r="A1790" s="1" t="str">
        <f>"4601992025796"</f>
        <v>4601992025796</v>
      </c>
      <c r="B1790" s="1" t="s">
        <v>1814</v>
      </c>
      <c r="C1790" s="1" t="s">
        <v>24</v>
      </c>
      <c r="D1790" s="1" t="str">
        <f t="shared" si="3457"/>
        <v>2021</v>
      </c>
      <c r="E1790" s="1" t="str">
        <f t="shared" si="3578"/>
        <v>12.09</v>
      </c>
      <c r="F1790" s="1" t="str">
        <f t="shared" ref="F1790:I1790" si="3583">"0"</f>
        <v>0</v>
      </c>
      <c r="G1790" s="1" t="str">
        <f t="shared" si="3583"/>
        <v>0</v>
      </c>
      <c r="H1790" s="1" t="str">
        <f t="shared" si="3583"/>
        <v>0</v>
      </c>
      <c r="I1790" s="1" t="str">
        <f t="shared" si="3583"/>
        <v>0</v>
      </c>
      <c r="J1790" s="1" t="str">
        <f>"1"</f>
        <v>1</v>
      </c>
      <c r="K1790" s="1" t="str">
        <f t="shared" ref="K1790:P1790" si="3584">"0"</f>
        <v>0</v>
      </c>
      <c r="L1790" s="1" t="str">
        <f t="shared" si="3584"/>
        <v>0</v>
      </c>
      <c r="M1790" s="1" t="str">
        <f t="shared" si="3584"/>
        <v>0</v>
      </c>
      <c r="N1790" s="1" t="str">
        <f t="shared" si="3584"/>
        <v>0</v>
      </c>
      <c r="O1790" s="1" t="str">
        <f t="shared" si="3584"/>
        <v>0</v>
      </c>
      <c r="P1790" s="1" t="str">
        <f t="shared" si="3584"/>
        <v>0</v>
      </c>
      <c r="Q1790" s="1" t="str">
        <f t="shared" si="3460"/>
        <v>0.0070</v>
      </c>
      <c r="R1790" s="1" t="s">
        <v>29</v>
      </c>
      <c r="S1790" s="1">
        <v>-0.0014</v>
      </c>
      <c r="T1790" s="1" t="str">
        <f t="shared" si="3461"/>
        <v>0</v>
      </c>
      <c r="U1790" s="1" t="str">
        <f t="shared" si="3577"/>
        <v>0.0056</v>
      </c>
    </row>
    <row r="1791" s="1" customFormat="1" spans="1:21">
      <c r="A1791" s="1" t="str">
        <f>"4601992025826"</f>
        <v>4601992025826</v>
      </c>
      <c r="B1791" s="1" t="s">
        <v>1815</v>
      </c>
      <c r="C1791" s="1" t="s">
        <v>24</v>
      </c>
      <c r="D1791" s="1" t="str">
        <f t="shared" si="3457"/>
        <v>2021</v>
      </c>
      <c r="E1791" s="1" t="str">
        <f t="shared" ref="E1791:P1791" si="3585">"0"</f>
        <v>0</v>
      </c>
      <c r="F1791" s="1" t="str">
        <f t="shared" si="3585"/>
        <v>0</v>
      </c>
      <c r="G1791" s="1" t="str">
        <f t="shared" si="3585"/>
        <v>0</v>
      </c>
      <c r="H1791" s="1" t="str">
        <f t="shared" si="3585"/>
        <v>0</v>
      </c>
      <c r="I1791" s="1" t="str">
        <f t="shared" si="3585"/>
        <v>0</v>
      </c>
      <c r="J1791" s="1" t="str">
        <f t="shared" si="3585"/>
        <v>0</v>
      </c>
      <c r="K1791" s="1" t="str">
        <f t="shared" si="3585"/>
        <v>0</v>
      </c>
      <c r="L1791" s="1" t="str">
        <f t="shared" si="3585"/>
        <v>0</v>
      </c>
      <c r="M1791" s="1" t="str">
        <f t="shared" si="3585"/>
        <v>0</v>
      </c>
      <c r="N1791" s="1" t="str">
        <f t="shared" si="3585"/>
        <v>0</v>
      </c>
      <c r="O1791" s="1" t="str">
        <f t="shared" si="3585"/>
        <v>0</v>
      </c>
      <c r="P1791" s="1" t="str">
        <f t="shared" si="3585"/>
        <v>0</v>
      </c>
      <c r="Q1791" s="1" t="str">
        <f t="shared" si="3460"/>
        <v>0.0070</v>
      </c>
      <c r="R1791" s="1" t="s">
        <v>25</v>
      </c>
      <c r="T1791" s="1" t="str">
        <f t="shared" si="3461"/>
        <v>0</v>
      </c>
      <c r="U1791" s="1" t="str">
        <f>"0.0070"</f>
        <v>0.0070</v>
      </c>
    </row>
    <row r="1792" s="1" customFormat="1" spans="1:21">
      <c r="A1792" s="1" t="str">
        <f>"4601992025822"</f>
        <v>4601992025822</v>
      </c>
      <c r="B1792" s="1" t="s">
        <v>1816</v>
      </c>
      <c r="C1792" s="1" t="s">
        <v>24</v>
      </c>
      <c r="D1792" s="1" t="str">
        <f t="shared" si="3457"/>
        <v>2021</v>
      </c>
      <c r="E1792" s="1" t="str">
        <f t="shared" ref="E1792:E1796" si="3586">"24.18"</f>
        <v>24.18</v>
      </c>
      <c r="F1792" s="1" t="str">
        <f t="shared" ref="F1792:I1792" si="3587">"0"</f>
        <v>0</v>
      </c>
      <c r="G1792" s="1" t="str">
        <f t="shared" si="3587"/>
        <v>0</v>
      </c>
      <c r="H1792" s="1" t="str">
        <f t="shared" si="3587"/>
        <v>0</v>
      </c>
      <c r="I1792" s="1" t="str">
        <f t="shared" si="3587"/>
        <v>0</v>
      </c>
      <c r="J1792" s="1" t="str">
        <f>"4"</f>
        <v>4</v>
      </c>
      <c r="K1792" s="1" t="str">
        <f t="shared" ref="K1792:P1792" si="3588">"0"</f>
        <v>0</v>
      </c>
      <c r="L1792" s="1" t="str">
        <f t="shared" si="3588"/>
        <v>0</v>
      </c>
      <c r="M1792" s="1" t="str">
        <f t="shared" si="3588"/>
        <v>0</v>
      </c>
      <c r="N1792" s="1" t="str">
        <f t="shared" si="3588"/>
        <v>0</v>
      </c>
      <c r="O1792" s="1" t="str">
        <f t="shared" si="3588"/>
        <v>0</v>
      </c>
      <c r="P1792" s="1" t="str">
        <f t="shared" si="3588"/>
        <v>0</v>
      </c>
      <c r="Q1792" s="1" t="str">
        <f t="shared" si="3460"/>
        <v>0.0070</v>
      </c>
      <c r="R1792" s="1" t="s">
        <v>29</v>
      </c>
      <c r="S1792" s="1">
        <v>-0.0014</v>
      </c>
      <c r="T1792" s="1" t="str">
        <f t="shared" si="3461"/>
        <v>0</v>
      </c>
      <c r="U1792" s="1" t="str">
        <f t="shared" ref="U1792:U1801" si="3589">"0.0056"</f>
        <v>0.0056</v>
      </c>
    </row>
    <row r="1793" s="1" customFormat="1" spans="1:21">
      <c r="A1793" s="1" t="str">
        <f>"4601992025842"</f>
        <v>4601992025842</v>
      </c>
      <c r="B1793" s="1" t="s">
        <v>1817</v>
      </c>
      <c r="C1793" s="1" t="s">
        <v>24</v>
      </c>
      <c r="D1793" s="1" t="str">
        <f t="shared" si="3457"/>
        <v>2021</v>
      </c>
      <c r="E1793" s="1" t="str">
        <f t="shared" si="3578"/>
        <v>12.09</v>
      </c>
      <c r="F1793" s="1" t="str">
        <f t="shared" ref="F1793:I1793" si="3590">"0"</f>
        <v>0</v>
      </c>
      <c r="G1793" s="1" t="str">
        <f t="shared" si="3590"/>
        <v>0</v>
      </c>
      <c r="H1793" s="1" t="str">
        <f t="shared" si="3590"/>
        <v>0</v>
      </c>
      <c r="I1793" s="1" t="str">
        <f t="shared" si="3590"/>
        <v>0</v>
      </c>
      <c r="J1793" s="1" t="str">
        <f>"1"</f>
        <v>1</v>
      </c>
      <c r="K1793" s="1" t="str">
        <f t="shared" ref="K1793:P1793" si="3591">"0"</f>
        <v>0</v>
      </c>
      <c r="L1793" s="1" t="str">
        <f t="shared" si="3591"/>
        <v>0</v>
      </c>
      <c r="M1793" s="1" t="str">
        <f t="shared" si="3591"/>
        <v>0</v>
      </c>
      <c r="N1793" s="1" t="str">
        <f t="shared" si="3591"/>
        <v>0</v>
      </c>
      <c r="O1793" s="1" t="str">
        <f t="shared" si="3591"/>
        <v>0</v>
      </c>
      <c r="P1793" s="1" t="str">
        <f t="shared" si="3591"/>
        <v>0</v>
      </c>
      <c r="Q1793" s="1" t="str">
        <f t="shared" si="3460"/>
        <v>0.0070</v>
      </c>
      <c r="R1793" s="1" t="s">
        <v>29</v>
      </c>
      <c r="S1793" s="1">
        <v>-0.0014</v>
      </c>
      <c r="T1793" s="1" t="str">
        <f t="shared" si="3461"/>
        <v>0</v>
      </c>
      <c r="U1793" s="1" t="str">
        <f t="shared" si="3589"/>
        <v>0.0056</v>
      </c>
    </row>
    <row r="1794" s="1" customFormat="1" spans="1:21">
      <c r="A1794" s="1" t="str">
        <f>"4601992021251"</f>
        <v>4601992021251</v>
      </c>
      <c r="B1794" s="1" t="s">
        <v>1818</v>
      </c>
      <c r="C1794" s="1" t="s">
        <v>24</v>
      </c>
      <c r="D1794" s="1" t="str">
        <f t="shared" si="3457"/>
        <v>2021</v>
      </c>
      <c r="E1794" s="1" t="str">
        <f>"34.55"</f>
        <v>34.55</v>
      </c>
      <c r="F1794" s="1" t="str">
        <f t="shared" ref="F1794:I1794" si="3592">"0"</f>
        <v>0</v>
      </c>
      <c r="G1794" s="1" t="str">
        <f t="shared" si="3592"/>
        <v>0</v>
      </c>
      <c r="H1794" s="1" t="str">
        <f t="shared" si="3592"/>
        <v>0</v>
      </c>
      <c r="I1794" s="1" t="str">
        <f t="shared" si="3592"/>
        <v>0</v>
      </c>
      <c r="J1794" s="1" t="str">
        <f>"3"</f>
        <v>3</v>
      </c>
      <c r="K1794" s="1" t="str">
        <f t="shared" ref="K1794:P1794" si="3593">"0"</f>
        <v>0</v>
      </c>
      <c r="L1794" s="1" t="str">
        <f t="shared" si="3593"/>
        <v>0</v>
      </c>
      <c r="M1794" s="1" t="str">
        <f t="shared" si="3593"/>
        <v>0</v>
      </c>
      <c r="N1794" s="1" t="str">
        <f t="shared" si="3593"/>
        <v>0</v>
      </c>
      <c r="O1794" s="1" t="str">
        <f t="shared" si="3593"/>
        <v>0</v>
      </c>
      <c r="P1794" s="1" t="str">
        <f t="shared" si="3593"/>
        <v>0</v>
      </c>
      <c r="Q1794" s="1" t="str">
        <f t="shared" si="3460"/>
        <v>0.0070</v>
      </c>
      <c r="R1794" s="1" t="s">
        <v>29</v>
      </c>
      <c r="S1794" s="1">
        <v>-0.0014</v>
      </c>
      <c r="T1794" s="1" t="str">
        <f t="shared" si="3461"/>
        <v>0</v>
      </c>
      <c r="U1794" s="1" t="str">
        <f t="shared" si="3589"/>
        <v>0.0056</v>
      </c>
    </row>
    <row r="1795" s="1" customFormat="1" spans="1:21">
      <c r="A1795" s="1" t="str">
        <f>"4601992025851"</f>
        <v>4601992025851</v>
      </c>
      <c r="B1795" s="1" t="s">
        <v>1819</v>
      </c>
      <c r="C1795" s="1" t="s">
        <v>24</v>
      </c>
      <c r="D1795" s="1" t="str">
        <f t="shared" ref="D1795:D1858" si="3594">"2021"</f>
        <v>2021</v>
      </c>
      <c r="E1795" s="1" t="str">
        <f t="shared" si="3586"/>
        <v>24.18</v>
      </c>
      <c r="F1795" s="1" t="str">
        <f t="shared" ref="F1795:I1795" si="3595">"0"</f>
        <v>0</v>
      </c>
      <c r="G1795" s="1" t="str">
        <f t="shared" si="3595"/>
        <v>0</v>
      </c>
      <c r="H1795" s="1" t="str">
        <f t="shared" si="3595"/>
        <v>0</v>
      </c>
      <c r="I1795" s="1" t="str">
        <f t="shared" si="3595"/>
        <v>0</v>
      </c>
      <c r="J1795" s="1" t="str">
        <f>"2"</f>
        <v>2</v>
      </c>
      <c r="K1795" s="1" t="str">
        <f t="shared" ref="K1795:P1795" si="3596">"0"</f>
        <v>0</v>
      </c>
      <c r="L1795" s="1" t="str">
        <f t="shared" si="3596"/>
        <v>0</v>
      </c>
      <c r="M1795" s="1" t="str">
        <f t="shared" si="3596"/>
        <v>0</v>
      </c>
      <c r="N1795" s="1" t="str">
        <f t="shared" si="3596"/>
        <v>0</v>
      </c>
      <c r="O1795" s="1" t="str">
        <f t="shared" si="3596"/>
        <v>0</v>
      </c>
      <c r="P1795" s="1" t="str">
        <f t="shared" si="3596"/>
        <v>0</v>
      </c>
      <c r="Q1795" s="1" t="str">
        <f t="shared" ref="Q1795:Q1858" si="3597">"0.0070"</f>
        <v>0.0070</v>
      </c>
      <c r="R1795" s="1" t="s">
        <v>29</v>
      </c>
      <c r="S1795" s="1">
        <v>-0.0014</v>
      </c>
      <c r="T1795" s="1" t="str">
        <f t="shared" ref="T1795:T1858" si="3598">"0"</f>
        <v>0</v>
      </c>
      <c r="U1795" s="1" t="str">
        <f t="shared" si="3589"/>
        <v>0.0056</v>
      </c>
    </row>
    <row r="1796" s="1" customFormat="1" spans="1:21">
      <c r="A1796" s="1" t="str">
        <f>"4601992020032"</f>
        <v>4601992020032</v>
      </c>
      <c r="B1796" s="1" t="s">
        <v>1820</v>
      </c>
      <c r="C1796" s="1" t="s">
        <v>24</v>
      </c>
      <c r="D1796" s="1" t="str">
        <f t="shared" si="3594"/>
        <v>2021</v>
      </c>
      <c r="E1796" s="1" t="str">
        <f t="shared" si="3586"/>
        <v>24.18</v>
      </c>
      <c r="F1796" s="1" t="str">
        <f t="shared" ref="F1796:I1796" si="3599">"0"</f>
        <v>0</v>
      </c>
      <c r="G1796" s="1" t="str">
        <f t="shared" si="3599"/>
        <v>0</v>
      </c>
      <c r="H1796" s="1" t="str">
        <f t="shared" si="3599"/>
        <v>0</v>
      </c>
      <c r="I1796" s="1" t="str">
        <f t="shared" si="3599"/>
        <v>0</v>
      </c>
      <c r="J1796" s="1" t="str">
        <f>"2"</f>
        <v>2</v>
      </c>
      <c r="K1796" s="1" t="str">
        <f t="shared" ref="K1796:P1796" si="3600">"0"</f>
        <v>0</v>
      </c>
      <c r="L1796" s="1" t="str">
        <f t="shared" si="3600"/>
        <v>0</v>
      </c>
      <c r="M1796" s="1" t="str">
        <f t="shared" si="3600"/>
        <v>0</v>
      </c>
      <c r="N1796" s="1" t="str">
        <f t="shared" si="3600"/>
        <v>0</v>
      </c>
      <c r="O1796" s="1" t="str">
        <f t="shared" si="3600"/>
        <v>0</v>
      </c>
      <c r="P1796" s="1" t="str">
        <f t="shared" si="3600"/>
        <v>0</v>
      </c>
      <c r="Q1796" s="1" t="str">
        <f t="shared" si="3597"/>
        <v>0.0070</v>
      </c>
      <c r="R1796" s="1" t="s">
        <v>29</v>
      </c>
      <c r="S1796" s="1">
        <v>-0.0014</v>
      </c>
      <c r="T1796" s="1" t="str">
        <f t="shared" si="3598"/>
        <v>0</v>
      </c>
      <c r="U1796" s="1" t="str">
        <f t="shared" si="3589"/>
        <v>0.0056</v>
      </c>
    </row>
    <row r="1797" s="1" customFormat="1" spans="1:21">
      <c r="A1797" s="1" t="str">
        <f>"4601992011169"</f>
        <v>4601992011169</v>
      </c>
      <c r="B1797" s="1" t="s">
        <v>1821</v>
      </c>
      <c r="C1797" s="1" t="s">
        <v>24</v>
      </c>
      <c r="D1797" s="1" t="str">
        <f t="shared" si="3594"/>
        <v>2021</v>
      </c>
      <c r="E1797" s="1" t="str">
        <f>"3072.60"</f>
        <v>3072.60</v>
      </c>
      <c r="F1797" s="1" t="str">
        <f t="shared" ref="F1797:I1797" si="3601">"0"</f>
        <v>0</v>
      </c>
      <c r="G1797" s="1" t="str">
        <f t="shared" si="3601"/>
        <v>0</v>
      </c>
      <c r="H1797" s="1" t="str">
        <f t="shared" si="3601"/>
        <v>0</v>
      </c>
      <c r="I1797" s="1" t="str">
        <f t="shared" si="3601"/>
        <v>0</v>
      </c>
      <c r="J1797" s="1" t="str">
        <f>"14"</f>
        <v>14</v>
      </c>
      <c r="K1797" s="1" t="str">
        <f t="shared" ref="K1797:P1797" si="3602">"0"</f>
        <v>0</v>
      </c>
      <c r="L1797" s="1" t="str">
        <f t="shared" si="3602"/>
        <v>0</v>
      </c>
      <c r="M1797" s="1" t="str">
        <f t="shared" si="3602"/>
        <v>0</v>
      </c>
      <c r="N1797" s="1" t="str">
        <f t="shared" si="3602"/>
        <v>0</v>
      </c>
      <c r="O1797" s="1" t="str">
        <f t="shared" si="3602"/>
        <v>0</v>
      </c>
      <c r="P1797" s="1" t="str">
        <f t="shared" si="3602"/>
        <v>0</v>
      </c>
      <c r="Q1797" s="1" t="str">
        <f t="shared" si="3597"/>
        <v>0.0070</v>
      </c>
      <c r="R1797" s="1" t="s">
        <v>29</v>
      </c>
      <c r="S1797" s="1">
        <v>-0.0014</v>
      </c>
      <c r="T1797" s="1" t="str">
        <f t="shared" si="3598"/>
        <v>0</v>
      </c>
      <c r="U1797" s="1" t="str">
        <f t="shared" si="3589"/>
        <v>0.0056</v>
      </c>
    </row>
    <row r="1798" s="1" customFormat="1" spans="1:21">
      <c r="A1798" s="1" t="str">
        <f>"4601992026406"</f>
        <v>4601992026406</v>
      </c>
      <c r="B1798" s="1" t="s">
        <v>1822</v>
      </c>
      <c r="C1798" s="1" t="s">
        <v>24</v>
      </c>
      <c r="D1798" s="1" t="str">
        <f t="shared" si="3594"/>
        <v>2021</v>
      </c>
      <c r="E1798" s="1" t="str">
        <f t="shared" ref="E1798:E1801" si="3603">"12.09"</f>
        <v>12.09</v>
      </c>
      <c r="F1798" s="1" t="str">
        <f t="shared" ref="F1798:I1798" si="3604">"0"</f>
        <v>0</v>
      </c>
      <c r="G1798" s="1" t="str">
        <f t="shared" si="3604"/>
        <v>0</v>
      </c>
      <c r="H1798" s="1" t="str">
        <f t="shared" si="3604"/>
        <v>0</v>
      </c>
      <c r="I1798" s="1" t="str">
        <f t="shared" si="3604"/>
        <v>0</v>
      </c>
      <c r="J1798" s="1" t="str">
        <f t="shared" ref="J1798:J1801" si="3605">"1"</f>
        <v>1</v>
      </c>
      <c r="K1798" s="1" t="str">
        <f t="shared" ref="K1798:P1798" si="3606">"0"</f>
        <v>0</v>
      </c>
      <c r="L1798" s="1" t="str">
        <f t="shared" si="3606"/>
        <v>0</v>
      </c>
      <c r="M1798" s="1" t="str">
        <f t="shared" si="3606"/>
        <v>0</v>
      </c>
      <c r="N1798" s="1" t="str">
        <f t="shared" si="3606"/>
        <v>0</v>
      </c>
      <c r="O1798" s="1" t="str">
        <f t="shared" si="3606"/>
        <v>0</v>
      </c>
      <c r="P1798" s="1" t="str">
        <f t="shared" si="3606"/>
        <v>0</v>
      </c>
      <c r="Q1798" s="1" t="str">
        <f t="shared" si="3597"/>
        <v>0.0070</v>
      </c>
      <c r="R1798" s="1" t="s">
        <v>29</v>
      </c>
      <c r="S1798" s="1">
        <v>-0.0014</v>
      </c>
      <c r="T1798" s="1" t="str">
        <f t="shared" si="3598"/>
        <v>0</v>
      </c>
      <c r="U1798" s="1" t="str">
        <f t="shared" si="3589"/>
        <v>0.0056</v>
      </c>
    </row>
    <row r="1799" s="1" customFormat="1" spans="1:21">
      <c r="A1799" s="1" t="str">
        <f>"4601992026437"</f>
        <v>4601992026437</v>
      </c>
      <c r="B1799" s="1" t="s">
        <v>1823</v>
      </c>
      <c r="C1799" s="1" t="s">
        <v>24</v>
      </c>
      <c r="D1799" s="1" t="str">
        <f t="shared" si="3594"/>
        <v>2021</v>
      </c>
      <c r="E1799" s="1" t="str">
        <f t="shared" si="3603"/>
        <v>12.09</v>
      </c>
      <c r="F1799" s="1" t="str">
        <f t="shared" ref="F1799:I1799" si="3607">"0"</f>
        <v>0</v>
      </c>
      <c r="G1799" s="1" t="str">
        <f t="shared" si="3607"/>
        <v>0</v>
      </c>
      <c r="H1799" s="1" t="str">
        <f t="shared" si="3607"/>
        <v>0</v>
      </c>
      <c r="I1799" s="1" t="str">
        <f t="shared" si="3607"/>
        <v>0</v>
      </c>
      <c r="J1799" s="1" t="str">
        <f t="shared" si="3605"/>
        <v>1</v>
      </c>
      <c r="K1799" s="1" t="str">
        <f t="shared" ref="K1799:P1799" si="3608">"0"</f>
        <v>0</v>
      </c>
      <c r="L1799" s="1" t="str">
        <f t="shared" si="3608"/>
        <v>0</v>
      </c>
      <c r="M1799" s="1" t="str">
        <f t="shared" si="3608"/>
        <v>0</v>
      </c>
      <c r="N1799" s="1" t="str">
        <f t="shared" si="3608"/>
        <v>0</v>
      </c>
      <c r="O1799" s="1" t="str">
        <f t="shared" si="3608"/>
        <v>0</v>
      </c>
      <c r="P1799" s="1" t="str">
        <f t="shared" si="3608"/>
        <v>0</v>
      </c>
      <c r="Q1799" s="1" t="str">
        <f t="shared" si="3597"/>
        <v>0.0070</v>
      </c>
      <c r="R1799" s="1" t="s">
        <v>29</v>
      </c>
      <c r="S1799" s="1">
        <v>-0.0014</v>
      </c>
      <c r="T1799" s="1" t="str">
        <f t="shared" si="3598"/>
        <v>0</v>
      </c>
      <c r="U1799" s="1" t="str">
        <f t="shared" si="3589"/>
        <v>0.0056</v>
      </c>
    </row>
    <row r="1800" s="1" customFormat="1" spans="1:21">
      <c r="A1800" s="1" t="str">
        <f>"4601992026433"</f>
        <v>4601992026433</v>
      </c>
      <c r="B1800" s="1" t="s">
        <v>1824</v>
      </c>
      <c r="C1800" s="1" t="s">
        <v>24</v>
      </c>
      <c r="D1800" s="1" t="str">
        <f t="shared" si="3594"/>
        <v>2021</v>
      </c>
      <c r="E1800" s="1" t="str">
        <f t="shared" si="3603"/>
        <v>12.09</v>
      </c>
      <c r="F1800" s="1" t="str">
        <f t="shared" ref="F1800:I1800" si="3609">"0"</f>
        <v>0</v>
      </c>
      <c r="G1800" s="1" t="str">
        <f t="shared" si="3609"/>
        <v>0</v>
      </c>
      <c r="H1800" s="1" t="str">
        <f t="shared" si="3609"/>
        <v>0</v>
      </c>
      <c r="I1800" s="1" t="str">
        <f t="shared" si="3609"/>
        <v>0</v>
      </c>
      <c r="J1800" s="1" t="str">
        <f t="shared" si="3605"/>
        <v>1</v>
      </c>
      <c r="K1800" s="1" t="str">
        <f t="shared" ref="K1800:P1800" si="3610">"0"</f>
        <v>0</v>
      </c>
      <c r="L1800" s="1" t="str">
        <f t="shared" si="3610"/>
        <v>0</v>
      </c>
      <c r="M1800" s="1" t="str">
        <f t="shared" si="3610"/>
        <v>0</v>
      </c>
      <c r="N1800" s="1" t="str">
        <f t="shared" si="3610"/>
        <v>0</v>
      </c>
      <c r="O1800" s="1" t="str">
        <f t="shared" si="3610"/>
        <v>0</v>
      </c>
      <c r="P1800" s="1" t="str">
        <f t="shared" si="3610"/>
        <v>0</v>
      </c>
      <c r="Q1800" s="1" t="str">
        <f t="shared" si="3597"/>
        <v>0.0070</v>
      </c>
      <c r="R1800" s="1" t="s">
        <v>29</v>
      </c>
      <c r="S1800" s="1">
        <v>-0.0014</v>
      </c>
      <c r="T1800" s="1" t="str">
        <f t="shared" si="3598"/>
        <v>0</v>
      </c>
      <c r="U1800" s="1" t="str">
        <f t="shared" si="3589"/>
        <v>0.0056</v>
      </c>
    </row>
    <row r="1801" s="1" customFormat="1" spans="1:21">
      <c r="A1801" s="1" t="str">
        <f>"4601992026438"</f>
        <v>4601992026438</v>
      </c>
      <c r="B1801" s="1" t="s">
        <v>1825</v>
      </c>
      <c r="C1801" s="1" t="s">
        <v>24</v>
      </c>
      <c r="D1801" s="1" t="str">
        <f t="shared" si="3594"/>
        <v>2021</v>
      </c>
      <c r="E1801" s="1" t="str">
        <f t="shared" si="3603"/>
        <v>12.09</v>
      </c>
      <c r="F1801" s="1" t="str">
        <f t="shared" ref="F1801:I1801" si="3611">"0"</f>
        <v>0</v>
      </c>
      <c r="G1801" s="1" t="str">
        <f t="shared" si="3611"/>
        <v>0</v>
      </c>
      <c r="H1801" s="1" t="str">
        <f t="shared" si="3611"/>
        <v>0</v>
      </c>
      <c r="I1801" s="1" t="str">
        <f t="shared" si="3611"/>
        <v>0</v>
      </c>
      <c r="J1801" s="1" t="str">
        <f t="shared" si="3605"/>
        <v>1</v>
      </c>
      <c r="K1801" s="1" t="str">
        <f t="shared" ref="K1801:P1801" si="3612">"0"</f>
        <v>0</v>
      </c>
      <c r="L1801" s="1" t="str">
        <f t="shared" si="3612"/>
        <v>0</v>
      </c>
      <c r="M1801" s="1" t="str">
        <f t="shared" si="3612"/>
        <v>0</v>
      </c>
      <c r="N1801" s="1" t="str">
        <f t="shared" si="3612"/>
        <v>0</v>
      </c>
      <c r="O1801" s="1" t="str">
        <f t="shared" si="3612"/>
        <v>0</v>
      </c>
      <c r="P1801" s="1" t="str">
        <f t="shared" si="3612"/>
        <v>0</v>
      </c>
      <c r="Q1801" s="1" t="str">
        <f t="shared" si="3597"/>
        <v>0.0070</v>
      </c>
      <c r="R1801" s="1" t="s">
        <v>29</v>
      </c>
      <c r="S1801" s="1">
        <v>-0.0014</v>
      </c>
      <c r="T1801" s="1" t="str">
        <f t="shared" si="3598"/>
        <v>0</v>
      </c>
      <c r="U1801" s="1" t="str">
        <f t="shared" si="3589"/>
        <v>0.0056</v>
      </c>
    </row>
    <row r="1802" s="1" customFormat="1" spans="1:21">
      <c r="A1802" s="1" t="str">
        <f>"4601992026481"</f>
        <v>4601992026481</v>
      </c>
      <c r="B1802" s="1" t="s">
        <v>1826</v>
      </c>
      <c r="C1802" s="1" t="s">
        <v>24</v>
      </c>
      <c r="D1802" s="1" t="str">
        <f t="shared" si="3594"/>
        <v>2021</v>
      </c>
      <c r="E1802" s="1" t="str">
        <f t="shared" ref="E1802:P1802" si="3613">"0"</f>
        <v>0</v>
      </c>
      <c r="F1802" s="1" t="str">
        <f t="shared" si="3613"/>
        <v>0</v>
      </c>
      <c r="G1802" s="1" t="str">
        <f t="shared" si="3613"/>
        <v>0</v>
      </c>
      <c r="H1802" s="1" t="str">
        <f t="shared" si="3613"/>
        <v>0</v>
      </c>
      <c r="I1802" s="1" t="str">
        <f t="shared" si="3613"/>
        <v>0</v>
      </c>
      <c r="J1802" s="1" t="str">
        <f t="shared" si="3613"/>
        <v>0</v>
      </c>
      <c r="K1802" s="1" t="str">
        <f t="shared" si="3613"/>
        <v>0</v>
      </c>
      <c r="L1802" s="1" t="str">
        <f t="shared" si="3613"/>
        <v>0</v>
      </c>
      <c r="M1802" s="1" t="str">
        <f t="shared" si="3613"/>
        <v>0</v>
      </c>
      <c r="N1802" s="1" t="str">
        <f t="shared" si="3613"/>
        <v>0</v>
      </c>
      <c r="O1802" s="1" t="str">
        <f t="shared" si="3613"/>
        <v>0</v>
      </c>
      <c r="P1802" s="1" t="str">
        <f t="shared" si="3613"/>
        <v>0</v>
      </c>
      <c r="Q1802" s="1" t="str">
        <f t="shared" si="3597"/>
        <v>0.0070</v>
      </c>
      <c r="R1802" s="1" t="s">
        <v>25</v>
      </c>
      <c r="T1802" s="1" t="str">
        <f t="shared" si="3598"/>
        <v>0</v>
      </c>
      <c r="U1802" s="1" t="str">
        <f t="shared" ref="U1802:U1807" si="3614">"0.0070"</f>
        <v>0.0070</v>
      </c>
    </row>
    <row r="1803" s="1" customFormat="1" spans="1:21">
      <c r="A1803" s="1" t="str">
        <f>"4601992026442"</f>
        <v>4601992026442</v>
      </c>
      <c r="B1803" s="1" t="s">
        <v>1827</v>
      </c>
      <c r="C1803" s="1" t="s">
        <v>24</v>
      </c>
      <c r="D1803" s="1" t="str">
        <f t="shared" si="3594"/>
        <v>2021</v>
      </c>
      <c r="E1803" s="1" t="str">
        <f>"12.09"</f>
        <v>12.09</v>
      </c>
      <c r="F1803" s="1" t="str">
        <f t="shared" ref="F1803:I1803" si="3615">"0"</f>
        <v>0</v>
      </c>
      <c r="G1803" s="1" t="str">
        <f t="shared" si="3615"/>
        <v>0</v>
      </c>
      <c r="H1803" s="1" t="str">
        <f t="shared" si="3615"/>
        <v>0</v>
      </c>
      <c r="I1803" s="1" t="str">
        <f t="shared" si="3615"/>
        <v>0</v>
      </c>
      <c r="J1803" s="1" t="str">
        <f>"1"</f>
        <v>1</v>
      </c>
      <c r="K1803" s="1" t="str">
        <f t="shared" ref="K1803:P1803" si="3616">"0"</f>
        <v>0</v>
      </c>
      <c r="L1803" s="1" t="str">
        <f t="shared" si="3616"/>
        <v>0</v>
      </c>
      <c r="M1803" s="1" t="str">
        <f t="shared" si="3616"/>
        <v>0</v>
      </c>
      <c r="N1803" s="1" t="str">
        <f t="shared" si="3616"/>
        <v>0</v>
      </c>
      <c r="O1803" s="1" t="str">
        <f t="shared" si="3616"/>
        <v>0</v>
      </c>
      <c r="P1803" s="1" t="str">
        <f t="shared" si="3616"/>
        <v>0</v>
      </c>
      <c r="Q1803" s="1" t="str">
        <f t="shared" si="3597"/>
        <v>0.0070</v>
      </c>
      <c r="R1803" s="1" t="s">
        <v>25</v>
      </c>
      <c r="T1803" s="1" t="str">
        <f t="shared" si="3598"/>
        <v>0</v>
      </c>
      <c r="U1803" s="1" t="str">
        <f t="shared" si="3614"/>
        <v>0.0070</v>
      </c>
    </row>
    <row r="1804" s="1" customFormat="1" spans="1:21">
      <c r="A1804" s="1" t="str">
        <f>"4601992026466"</f>
        <v>4601992026466</v>
      </c>
      <c r="B1804" s="1" t="s">
        <v>1828</v>
      </c>
      <c r="C1804" s="1" t="s">
        <v>24</v>
      </c>
      <c r="D1804" s="1" t="str">
        <f t="shared" si="3594"/>
        <v>2021</v>
      </c>
      <c r="E1804" s="1" t="str">
        <f>"31.50"</f>
        <v>31.50</v>
      </c>
      <c r="F1804" s="1" t="str">
        <f t="shared" ref="F1804:I1804" si="3617">"0"</f>
        <v>0</v>
      </c>
      <c r="G1804" s="1" t="str">
        <f t="shared" si="3617"/>
        <v>0</v>
      </c>
      <c r="H1804" s="1" t="str">
        <f t="shared" si="3617"/>
        <v>0</v>
      </c>
      <c r="I1804" s="1" t="str">
        <f t="shared" si="3617"/>
        <v>0</v>
      </c>
      <c r="J1804" s="1" t="str">
        <f>"3"</f>
        <v>3</v>
      </c>
      <c r="K1804" s="1" t="str">
        <f t="shared" ref="K1804:P1804" si="3618">"0"</f>
        <v>0</v>
      </c>
      <c r="L1804" s="1" t="str">
        <f t="shared" si="3618"/>
        <v>0</v>
      </c>
      <c r="M1804" s="1" t="str">
        <f t="shared" si="3618"/>
        <v>0</v>
      </c>
      <c r="N1804" s="1" t="str">
        <f t="shared" si="3618"/>
        <v>0</v>
      </c>
      <c r="O1804" s="1" t="str">
        <f t="shared" si="3618"/>
        <v>0</v>
      </c>
      <c r="P1804" s="1" t="str">
        <f t="shared" si="3618"/>
        <v>0</v>
      </c>
      <c r="Q1804" s="1" t="str">
        <f t="shared" si="3597"/>
        <v>0.0070</v>
      </c>
      <c r="R1804" s="1" t="s">
        <v>29</v>
      </c>
      <c r="S1804" s="1">
        <v>-0.0014</v>
      </c>
      <c r="T1804" s="1" t="str">
        <f t="shared" si="3598"/>
        <v>0</v>
      </c>
      <c r="U1804" s="1" t="str">
        <f t="shared" ref="U1804:U1808" si="3619">"0.0056"</f>
        <v>0.0056</v>
      </c>
    </row>
    <row r="1805" s="1" customFormat="1" spans="1:21">
      <c r="A1805" s="1" t="str">
        <f>"4601992026493"</f>
        <v>4601992026493</v>
      </c>
      <c r="B1805" s="1" t="s">
        <v>1829</v>
      </c>
      <c r="C1805" s="1" t="s">
        <v>24</v>
      </c>
      <c r="D1805" s="1" t="str">
        <f t="shared" si="3594"/>
        <v>2021</v>
      </c>
      <c r="E1805" s="1" t="str">
        <f>"48.03"</f>
        <v>48.03</v>
      </c>
      <c r="F1805" s="1" t="str">
        <f t="shared" ref="F1805:I1805" si="3620">"0"</f>
        <v>0</v>
      </c>
      <c r="G1805" s="1" t="str">
        <f t="shared" si="3620"/>
        <v>0</v>
      </c>
      <c r="H1805" s="1" t="str">
        <f t="shared" si="3620"/>
        <v>0</v>
      </c>
      <c r="I1805" s="1" t="str">
        <f t="shared" si="3620"/>
        <v>0</v>
      </c>
      <c r="J1805" s="1" t="str">
        <f>"5"</f>
        <v>5</v>
      </c>
      <c r="K1805" s="1" t="str">
        <f t="shared" ref="K1805:P1805" si="3621">"0"</f>
        <v>0</v>
      </c>
      <c r="L1805" s="1" t="str">
        <f t="shared" si="3621"/>
        <v>0</v>
      </c>
      <c r="M1805" s="1" t="str">
        <f t="shared" si="3621"/>
        <v>0</v>
      </c>
      <c r="N1805" s="1" t="str">
        <f t="shared" si="3621"/>
        <v>0</v>
      </c>
      <c r="O1805" s="1" t="str">
        <f t="shared" si="3621"/>
        <v>0</v>
      </c>
      <c r="P1805" s="1" t="str">
        <f t="shared" si="3621"/>
        <v>0</v>
      </c>
      <c r="Q1805" s="1" t="str">
        <f t="shared" si="3597"/>
        <v>0.0070</v>
      </c>
      <c r="R1805" s="1" t="s">
        <v>29</v>
      </c>
      <c r="S1805" s="1">
        <v>-0.0014</v>
      </c>
      <c r="T1805" s="1" t="str">
        <f t="shared" si="3598"/>
        <v>0</v>
      </c>
      <c r="U1805" s="1" t="str">
        <f t="shared" si="3619"/>
        <v>0.0056</v>
      </c>
    </row>
    <row r="1806" s="1" customFormat="1" spans="1:21">
      <c r="A1806" s="1" t="str">
        <f>"4601992026550"</f>
        <v>4601992026550</v>
      </c>
      <c r="B1806" s="1" t="s">
        <v>1830</v>
      </c>
      <c r="C1806" s="1" t="s">
        <v>24</v>
      </c>
      <c r="D1806" s="1" t="str">
        <f t="shared" si="3594"/>
        <v>2021</v>
      </c>
      <c r="E1806" s="1" t="str">
        <f t="shared" ref="E1806:I1806" si="3622">"0"</f>
        <v>0</v>
      </c>
      <c r="F1806" s="1" t="str">
        <f t="shared" si="3622"/>
        <v>0</v>
      </c>
      <c r="G1806" s="1" t="str">
        <f t="shared" si="3622"/>
        <v>0</v>
      </c>
      <c r="H1806" s="1" t="str">
        <f t="shared" si="3622"/>
        <v>0</v>
      </c>
      <c r="I1806" s="1" t="str">
        <f t="shared" si="3622"/>
        <v>0</v>
      </c>
      <c r="J1806" s="1" t="str">
        <f>"1"</f>
        <v>1</v>
      </c>
      <c r="K1806" s="1" t="str">
        <f t="shared" ref="K1806:P1806" si="3623">"0"</f>
        <v>0</v>
      </c>
      <c r="L1806" s="1" t="str">
        <f t="shared" si="3623"/>
        <v>0</v>
      </c>
      <c r="M1806" s="1" t="str">
        <f t="shared" si="3623"/>
        <v>0</v>
      </c>
      <c r="N1806" s="1" t="str">
        <f t="shared" si="3623"/>
        <v>0</v>
      </c>
      <c r="O1806" s="1" t="str">
        <f t="shared" si="3623"/>
        <v>0</v>
      </c>
      <c r="P1806" s="1" t="str">
        <f t="shared" si="3623"/>
        <v>0</v>
      </c>
      <c r="Q1806" s="1" t="str">
        <f t="shared" si="3597"/>
        <v>0.0070</v>
      </c>
      <c r="R1806" s="1" t="s">
        <v>25</v>
      </c>
      <c r="T1806" s="1" t="str">
        <f t="shared" si="3598"/>
        <v>0</v>
      </c>
      <c r="U1806" s="1" t="str">
        <f t="shared" si="3614"/>
        <v>0.0070</v>
      </c>
    </row>
    <row r="1807" s="1" customFormat="1" spans="1:21">
      <c r="A1807" s="1" t="str">
        <f>"4601992026571"</f>
        <v>4601992026571</v>
      </c>
      <c r="B1807" s="1" t="s">
        <v>1831</v>
      </c>
      <c r="C1807" s="1" t="s">
        <v>24</v>
      </c>
      <c r="D1807" s="1" t="str">
        <f t="shared" si="3594"/>
        <v>2021</v>
      </c>
      <c r="E1807" s="1" t="str">
        <f t="shared" ref="E1807:P1807" si="3624">"0"</f>
        <v>0</v>
      </c>
      <c r="F1807" s="1" t="str">
        <f t="shared" si="3624"/>
        <v>0</v>
      </c>
      <c r="G1807" s="1" t="str">
        <f t="shared" si="3624"/>
        <v>0</v>
      </c>
      <c r="H1807" s="1" t="str">
        <f t="shared" si="3624"/>
        <v>0</v>
      </c>
      <c r="I1807" s="1" t="str">
        <f t="shared" si="3624"/>
        <v>0</v>
      </c>
      <c r="J1807" s="1" t="str">
        <f t="shared" si="3624"/>
        <v>0</v>
      </c>
      <c r="K1807" s="1" t="str">
        <f t="shared" si="3624"/>
        <v>0</v>
      </c>
      <c r="L1807" s="1" t="str">
        <f t="shared" si="3624"/>
        <v>0</v>
      </c>
      <c r="M1807" s="1" t="str">
        <f t="shared" si="3624"/>
        <v>0</v>
      </c>
      <c r="N1807" s="1" t="str">
        <f t="shared" si="3624"/>
        <v>0</v>
      </c>
      <c r="O1807" s="1" t="str">
        <f t="shared" si="3624"/>
        <v>0</v>
      </c>
      <c r="P1807" s="1" t="str">
        <f t="shared" si="3624"/>
        <v>0</v>
      </c>
      <c r="Q1807" s="1" t="str">
        <f t="shared" si="3597"/>
        <v>0.0070</v>
      </c>
      <c r="R1807" s="1" t="s">
        <v>25</v>
      </c>
      <c r="T1807" s="1" t="str">
        <f t="shared" si="3598"/>
        <v>0</v>
      </c>
      <c r="U1807" s="1" t="str">
        <f t="shared" si="3614"/>
        <v>0.0070</v>
      </c>
    </row>
    <row r="1808" s="1" customFormat="1" spans="1:21">
      <c r="A1808" s="1" t="str">
        <f>"4601992026546"</f>
        <v>4601992026546</v>
      </c>
      <c r="B1808" s="1" t="s">
        <v>1832</v>
      </c>
      <c r="C1808" s="1" t="s">
        <v>24</v>
      </c>
      <c r="D1808" s="1" t="str">
        <f t="shared" si="3594"/>
        <v>2021</v>
      </c>
      <c r="E1808" s="1" t="str">
        <f>"36.27"</f>
        <v>36.27</v>
      </c>
      <c r="F1808" s="1" t="str">
        <f t="shared" ref="F1808:I1808" si="3625">"0"</f>
        <v>0</v>
      </c>
      <c r="G1808" s="1" t="str">
        <f t="shared" si="3625"/>
        <v>0</v>
      </c>
      <c r="H1808" s="1" t="str">
        <f t="shared" si="3625"/>
        <v>0</v>
      </c>
      <c r="I1808" s="1" t="str">
        <f t="shared" si="3625"/>
        <v>0</v>
      </c>
      <c r="J1808" s="1" t="str">
        <f>"2"</f>
        <v>2</v>
      </c>
      <c r="K1808" s="1" t="str">
        <f t="shared" ref="K1808:P1808" si="3626">"0"</f>
        <v>0</v>
      </c>
      <c r="L1808" s="1" t="str">
        <f t="shared" si="3626"/>
        <v>0</v>
      </c>
      <c r="M1808" s="1" t="str">
        <f t="shared" si="3626"/>
        <v>0</v>
      </c>
      <c r="N1808" s="1" t="str">
        <f t="shared" si="3626"/>
        <v>0</v>
      </c>
      <c r="O1808" s="1" t="str">
        <f t="shared" si="3626"/>
        <v>0</v>
      </c>
      <c r="P1808" s="1" t="str">
        <f t="shared" si="3626"/>
        <v>0</v>
      </c>
      <c r="Q1808" s="1" t="str">
        <f t="shared" si="3597"/>
        <v>0.0070</v>
      </c>
      <c r="R1808" s="1" t="s">
        <v>29</v>
      </c>
      <c r="S1808" s="1">
        <v>-0.0014</v>
      </c>
      <c r="T1808" s="1" t="str">
        <f t="shared" si="3598"/>
        <v>0</v>
      </c>
      <c r="U1808" s="1" t="str">
        <f t="shared" si="3619"/>
        <v>0.0056</v>
      </c>
    </row>
    <row r="1809" s="1" customFormat="1" spans="1:21">
      <c r="A1809" s="1" t="str">
        <f>"4601992026567"</f>
        <v>4601992026567</v>
      </c>
      <c r="B1809" s="1" t="s">
        <v>1833</v>
      </c>
      <c r="C1809" s="1" t="s">
        <v>24</v>
      </c>
      <c r="D1809" s="1" t="str">
        <f t="shared" si="3594"/>
        <v>2021</v>
      </c>
      <c r="E1809" s="1" t="str">
        <f t="shared" ref="E1809:P1809" si="3627">"0"</f>
        <v>0</v>
      </c>
      <c r="F1809" s="1" t="str">
        <f t="shared" si="3627"/>
        <v>0</v>
      </c>
      <c r="G1809" s="1" t="str">
        <f t="shared" si="3627"/>
        <v>0</v>
      </c>
      <c r="H1809" s="1" t="str">
        <f t="shared" si="3627"/>
        <v>0</v>
      </c>
      <c r="I1809" s="1" t="str">
        <f t="shared" si="3627"/>
        <v>0</v>
      </c>
      <c r="J1809" s="1" t="str">
        <f t="shared" si="3627"/>
        <v>0</v>
      </c>
      <c r="K1809" s="1" t="str">
        <f t="shared" si="3627"/>
        <v>0</v>
      </c>
      <c r="L1809" s="1" t="str">
        <f t="shared" si="3627"/>
        <v>0</v>
      </c>
      <c r="M1809" s="1" t="str">
        <f t="shared" si="3627"/>
        <v>0</v>
      </c>
      <c r="N1809" s="1" t="str">
        <f t="shared" si="3627"/>
        <v>0</v>
      </c>
      <c r="O1809" s="1" t="str">
        <f t="shared" si="3627"/>
        <v>0</v>
      </c>
      <c r="P1809" s="1" t="str">
        <f t="shared" si="3627"/>
        <v>0</v>
      </c>
      <c r="Q1809" s="1" t="str">
        <f t="shared" si="3597"/>
        <v>0.0070</v>
      </c>
      <c r="R1809" s="1" t="s">
        <v>25</v>
      </c>
      <c r="T1809" s="1" t="str">
        <f t="shared" si="3598"/>
        <v>0</v>
      </c>
      <c r="U1809" s="1" t="str">
        <f t="shared" ref="U1809:U1811" si="3628">"0.0070"</f>
        <v>0.0070</v>
      </c>
    </row>
    <row r="1810" s="1" customFormat="1" spans="1:21">
      <c r="A1810" s="1" t="str">
        <f>"4601992026604"</f>
        <v>4601992026604</v>
      </c>
      <c r="B1810" s="1" t="s">
        <v>1834</v>
      </c>
      <c r="C1810" s="1" t="s">
        <v>24</v>
      </c>
      <c r="D1810" s="1" t="str">
        <f t="shared" si="3594"/>
        <v>2021</v>
      </c>
      <c r="E1810" s="1" t="str">
        <f t="shared" ref="E1810:P1810" si="3629">"0"</f>
        <v>0</v>
      </c>
      <c r="F1810" s="1" t="str">
        <f t="shared" si="3629"/>
        <v>0</v>
      </c>
      <c r="G1810" s="1" t="str">
        <f t="shared" si="3629"/>
        <v>0</v>
      </c>
      <c r="H1810" s="1" t="str">
        <f t="shared" si="3629"/>
        <v>0</v>
      </c>
      <c r="I1810" s="1" t="str">
        <f t="shared" si="3629"/>
        <v>0</v>
      </c>
      <c r="J1810" s="1" t="str">
        <f t="shared" si="3629"/>
        <v>0</v>
      </c>
      <c r="K1810" s="1" t="str">
        <f t="shared" si="3629"/>
        <v>0</v>
      </c>
      <c r="L1810" s="1" t="str">
        <f t="shared" si="3629"/>
        <v>0</v>
      </c>
      <c r="M1810" s="1" t="str">
        <f t="shared" si="3629"/>
        <v>0</v>
      </c>
      <c r="N1810" s="1" t="str">
        <f t="shared" si="3629"/>
        <v>0</v>
      </c>
      <c r="O1810" s="1" t="str">
        <f t="shared" si="3629"/>
        <v>0</v>
      </c>
      <c r="P1810" s="1" t="str">
        <f t="shared" si="3629"/>
        <v>0</v>
      </c>
      <c r="Q1810" s="1" t="str">
        <f t="shared" si="3597"/>
        <v>0.0070</v>
      </c>
      <c r="R1810" s="1" t="s">
        <v>25</v>
      </c>
      <c r="T1810" s="1" t="str">
        <f t="shared" si="3598"/>
        <v>0</v>
      </c>
      <c r="U1810" s="1" t="str">
        <f t="shared" si="3628"/>
        <v>0.0070</v>
      </c>
    </row>
    <row r="1811" s="1" customFormat="1" spans="1:21">
      <c r="A1811" s="1" t="str">
        <f>"4601992026632"</f>
        <v>4601992026632</v>
      </c>
      <c r="B1811" s="1" t="s">
        <v>1835</v>
      </c>
      <c r="C1811" s="1" t="s">
        <v>24</v>
      </c>
      <c r="D1811" s="1" t="str">
        <f t="shared" si="3594"/>
        <v>2021</v>
      </c>
      <c r="E1811" s="1" t="str">
        <f t="shared" ref="E1811:P1811" si="3630">"0"</f>
        <v>0</v>
      </c>
      <c r="F1811" s="1" t="str">
        <f t="shared" si="3630"/>
        <v>0</v>
      </c>
      <c r="G1811" s="1" t="str">
        <f t="shared" si="3630"/>
        <v>0</v>
      </c>
      <c r="H1811" s="1" t="str">
        <f t="shared" si="3630"/>
        <v>0</v>
      </c>
      <c r="I1811" s="1" t="str">
        <f t="shared" si="3630"/>
        <v>0</v>
      </c>
      <c r="J1811" s="1" t="str">
        <f t="shared" si="3630"/>
        <v>0</v>
      </c>
      <c r="K1811" s="1" t="str">
        <f t="shared" si="3630"/>
        <v>0</v>
      </c>
      <c r="L1811" s="1" t="str">
        <f t="shared" si="3630"/>
        <v>0</v>
      </c>
      <c r="M1811" s="1" t="str">
        <f t="shared" si="3630"/>
        <v>0</v>
      </c>
      <c r="N1811" s="1" t="str">
        <f t="shared" si="3630"/>
        <v>0</v>
      </c>
      <c r="O1811" s="1" t="str">
        <f t="shared" si="3630"/>
        <v>0</v>
      </c>
      <c r="P1811" s="1" t="str">
        <f t="shared" si="3630"/>
        <v>0</v>
      </c>
      <c r="Q1811" s="1" t="str">
        <f t="shared" si="3597"/>
        <v>0.0070</v>
      </c>
      <c r="R1811" s="1" t="s">
        <v>25</v>
      </c>
      <c r="T1811" s="1" t="str">
        <f t="shared" si="3598"/>
        <v>0</v>
      </c>
      <c r="U1811" s="1" t="str">
        <f t="shared" si="3628"/>
        <v>0.0070</v>
      </c>
    </row>
    <row r="1812" s="1" customFormat="1" spans="1:21">
      <c r="A1812" s="1" t="str">
        <f>"4601992026625"</f>
        <v>4601992026625</v>
      </c>
      <c r="B1812" s="1" t="s">
        <v>1836</v>
      </c>
      <c r="C1812" s="1" t="s">
        <v>24</v>
      </c>
      <c r="D1812" s="1" t="str">
        <f t="shared" si="3594"/>
        <v>2021</v>
      </c>
      <c r="E1812" s="1" t="str">
        <f>"24.18"</f>
        <v>24.18</v>
      </c>
      <c r="F1812" s="1" t="str">
        <f t="shared" ref="F1812:I1812" si="3631">"0"</f>
        <v>0</v>
      </c>
      <c r="G1812" s="1" t="str">
        <f t="shared" si="3631"/>
        <v>0</v>
      </c>
      <c r="H1812" s="1" t="str">
        <f t="shared" si="3631"/>
        <v>0</v>
      </c>
      <c r="I1812" s="1" t="str">
        <f t="shared" si="3631"/>
        <v>0</v>
      </c>
      <c r="J1812" s="1" t="str">
        <f>"2"</f>
        <v>2</v>
      </c>
      <c r="K1812" s="1" t="str">
        <f t="shared" ref="K1812:P1812" si="3632">"0"</f>
        <v>0</v>
      </c>
      <c r="L1812" s="1" t="str">
        <f t="shared" si="3632"/>
        <v>0</v>
      </c>
      <c r="M1812" s="1" t="str">
        <f t="shared" si="3632"/>
        <v>0</v>
      </c>
      <c r="N1812" s="1" t="str">
        <f t="shared" si="3632"/>
        <v>0</v>
      </c>
      <c r="O1812" s="1" t="str">
        <f t="shared" si="3632"/>
        <v>0</v>
      </c>
      <c r="P1812" s="1" t="str">
        <f t="shared" si="3632"/>
        <v>0</v>
      </c>
      <c r="Q1812" s="1" t="str">
        <f t="shared" si="3597"/>
        <v>0.0070</v>
      </c>
      <c r="R1812" s="1" t="s">
        <v>29</v>
      </c>
      <c r="S1812" s="1">
        <v>-0.0014</v>
      </c>
      <c r="T1812" s="1" t="str">
        <f t="shared" si="3598"/>
        <v>0</v>
      </c>
      <c r="U1812" s="1" t="str">
        <f t="shared" ref="U1812:U1818" si="3633">"0.0056"</f>
        <v>0.0056</v>
      </c>
    </row>
    <row r="1813" s="1" customFormat="1" spans="1:21">
      <c r="A1813" s="1" t="str">
        <f>"4601992026593"</f>
        <v>4601992026593</v>
      </c>
      <c r="B1813" s="1" t="s">
        <v>1837</v>
      </c>
      <c r="C1813" s="1" t="s">
        <v>24</v>
      </c>
      <c r="D1813" s="1" t="str">
        <f t="shared" si="3594"/>
        <v>2021</v>
      </c>
      <c r="E1813" s="1" t="str">
        <f>"120.90"</f>
        <v>120.90</v>
      </c>
      <c r="F1813" s="1" t="str">
        <f t="shared" ref="F1813:I1813" si="3634">"0"</f>
        <v>0</v>
      </c>
      <c r="G1813" s="1" t="str">
        <f t="shared" si="3634"/>
        <v>0</v>
      </c>
      <c r="H1813" s="1" t="str">
        <f t="shared" si="3634"/>
        <v>0</v>
      </c>
      <c r="I1813" s="1" t="str">
        <f t="shared" si="3634"/>
        <v>0</v>
      </c>
      <c r="J1813" s="1" t="str">
        <f>"9"</f>
        <v>9</v>
      </c>
      <c r="K1813" s="1" t="str">
        <f t="shared" ref="K1813:P1813" si="3635">"0"</f>
        <v>0</v>
      </c>
      <c r="L1813" s="1" t="str">
        <f t="shared" si="3635"/>
        <v>0</v>
      </c>
      <c r="M1813" s="1" t="str">
        <f t="shared" si="3635"/>
        <v>0</v>
      </c>
      <c r="N1813" s="1" t="str">
        <f t="shared" si="3635"/>
        <v>0</v>
      </c>
      <c r="O1813" s="1" t="str">
        <f t="shared" si="3635"/>
        <v>0</v>
      </c>
      <c r="P1813" s="1" t="str">
        <f t="shared" si="3635"/>
        <v>0</v>
      </c>
      <c r="Q1813" s="1" t="str">
        <f t="shared" si="3597"/>
        <v>0.0070</v>
      </c>
      <c r="R1813" s="1" t="s">
        <v>29</v>
      </c>
      <c r="S1813" s="1">
        <v>-0.0014</v>
      </c>
      <c r="T1813" s="1" t="str">
        <f t="shared" si="3598"/>
        <v>0</v>
      </c>
      <c r="U1813" s="1" t="str">
        <f t="shared" si="3633"/>
        <v>0.0056</v>
      </c>
    </row>
    <row r="1814" s="1" customFormat="1" spans="1:21">
      <c r="A1814" s="1" t="str">
        <f>"4601992026607"</f>
        <v>4601992026607</v>
      </c>
      <c r="B1814" s="1" t="s">
        <v>1838</v>
      </c>
      <c r="C1814" s="1" t="s">
        <v>24</v>
      </c>
      <c r="D1814" s="1" t="str">
        <f t="shared" si="3594"/>
        <v>2021</v>
      </c>
      <c r="E1814" s="1" t="str">
        <f>"120.90"</f>
        <v>120.90</v>
      </c>
      <c r="F1814" s="1" t="str">
        <f t="shared" ref="F1814:I1814" si="3636">"0"</f>
        <v>0</v>
      </c>
      <c r="G1814" s="1" t="str">
        <f t="shared" si="3636"/>
        <v>0</v>
      </c>
      <c r="H1814" s="1" t="str">
        <f t="shared" si="3636"/>
        <v>0</v>
      </c>
      <c r="I1814" s="1" t="str">
        <f t="shared" si="3636"/>
        <v>0</v>
      </c>
      <c r="J1814" s="1" t="str">
        <f>"7"</f>
        <v>7</v>
      </c>
      <c r="K1814" s="1" t="str">
        <f t="shared" ref="K1814:P1814" si="3637">"0"</f>
        <v>0</v>
      </c>
      <c r="L1814" s="1" t="str">
        <f t="shared" si="3637"/>
        <v>0</v>
      </c>
      <c r="M1814" s="1" t="str">
        <f t="shared" si="3637"/>
        <v>0</v>
      </c>
      <c r="N1814" s="1" t="str">
        <f t="shared" si="3637"/>
        <v>0</v>
      </c>
      <c r="O1814" s="1" t="str">
        <f t="shared" si="3637"/>
        <v>0</v>
      </c>
      <c r="P1814" s="1" t="str">
        <f t="shared" si="3637"/>
        <v>0</v>
      </c>
      <c r="Q1814" s="1" t="str">
        <f t="shared" si="3597"/>
        <v>0.0070</v>
      </c>
      <c r="R1814" s="1" t="s">
        <v>29</v>
      </c>
      <c r="S1814" s="1">
        <v>-0.0014</v>
      </c>
      <c r="T1814" s="1" t="str">
        <f t="shared" si="3598"/>
        <v>0</v>
      </c>
      <c r="U1814" s="1" t="str">
        <f t="shared" si="3633"/>
        <v>0.0056</v>
      </c>
    </row>
    <row r="1815" s="1" customFormat="1" spans="1:21">
      <c r="A1815" s="1" t="str">
        <f>"4601992026643"</f>
        <v>4601992026643</v>
      </c>
      <c r="B1815" s="1" t="s">
        <v>1839</v>
      </c>
      <c r="C1815" s="1" t="s">
        <v>24</v>
      </c>
      <c r="D1815" s="1" t="str">
        <f t="shared" si="3594"/>
        <v>2021</v>
      </c>
      <c r="E1815" s="1" t="str">
        <f>"191.68"</f>
        <v>191.68</v>
      </c>
      <c r="F1815" s="1" t="str">
        <f t="shared" ref="F1815:I1815" si="3638">"0"</f>
        <v>0</v>
      </c>
      <c r="G1815" s="1" t="str">
        <f t="shared" si="3638"/>
        <v>0</v>
      </c>
      <c r="H1815" s="1" t="str">
        <f t="shared" si="3638"/>
        <v>0</v>
      </c>
      <c r="I1815" s="1" t="str">
        <f t="shared" si="3638"/>
        <v>0</v>
      </c>
      <c r="J1815" s="1" t="str">
        <f>"24"</f>
        <v>24</v>
      </c>
      <c r="K1815" s="1" t="str">
        <f t="shared" ref="K1815:P1815" si="3639">"0"</f>
        <v>0</v>
      </c>
      <c r="L1815" s="1" t="str">
        <f t="shared" si="3639"/>
        <v>0</v>
      </c>
      <c r="M1815" s="1" t="str">
        <f t="shared" si="3639"/>
        <v>0</v>
      </c>
      <c r="N1815" s="1" t="str">
        <f t="shared" si="3639"/>
        <v>0</v>
      </c>
      <c r="O1815" s="1" t="str">
        <f t="shared" si="3639"/>
        <v>0</v>
      </c>
      <c r="P1815" s="1" t="str">
        <f t="shared" si="3639"/>
        <v>0</v>
      </c>
      <c r="Q1815" s="1" t="str">
        <f t="shared" si="3597"/>
        <v>0.0070</v>
      </c>
      <c r="R1815" s="1" t="s">
        <v>29</v>
      </c>
      <c r="S1815" s="1">
        <v>-0.0014</v>
      </c>
      <c r="T1815" s="1" t="str">
        <f t="shared" si="3598"/>
        <v>0</v>
      </c>
      <c r="U1815" s="1" t="str">
        <f t="shared" si="3633"/>
        <v>0.0056</v>
      </c>
    </row>
    <row r="1816" s="1" customFormat="1" spans="1:21">
      <c r="A1816" s="1" t="str">
        <f>"4601992026654"</f>
        <v>4601992026654</v>
      </c>
      <c r="B1816" s="1" t="s">
        <v>1840</v>
      </c>
      <c r="C1816" s="1" t="s">
        <v>24</v>
      </c>
      <c r="D1816" s="1" t="str">
        <f t="shared" si="3594"/>
        <v>2021</v>
      </c>
      <c r="E1816" s="1" t="str">
        <f>"36.27"</f>
        <v>36.27</v>
      </c>
      <c r="F1816" s="1" t="str">
        <f t="shared" ref="F1816:I1816" si="3640">"0"</f>
        <v>0</v>
      </c>
      <c r="G1816" s="1" t="str">
        <f t="shared" si="3640"/>
        <v>0</v>
      </c>
      <c r="H1816" s="1" t="str">
        <f t="shared" si="3640"/>
        <v>0</v>
      </c>
      <c r="I1816" s="1" t="str">
        <f t="shared" si="3640"/>
        <v>0</v>
      </c>
      <c r="J1816" s="1" t="str">
        <f>"3"</f>
        <v>3</v>
      </c>
      <c r="K1816" s="1" t="str">
        <f t="shared" ref="K1816:P1816" si="3641">"0"</f>
        <v>0</v>
      </c>
      <c r="L1816" s="1" t="str">
        <f t="shared" si="3641"/>
        <v>0</v>
      </c>
      <c r="M1816" s="1" t="str">
        <f t="shared" si="3641"/>
        <v>0</v>
      </c>
      <c r="N1816" s="1" t="str">
        <f t="shared" si="3641"/>
        <v>0</v>
      </c>
      <c r="O1816" s="1" t="str">
        <f t="shared" si="3641"/>
        <v>0</v>
      </c>
      <c r="P1816" s="1" t="str">
        <f t="shared" si="3641"/>
        <v>0</v>
      </c>
      <c r="Q1816" s="1" t="str">
        <f t="shared" si="3597"/>
        <v>0.0070</v>
      </c>
      <c r="R1816" s="1" t="s">
        <v>29</v>
      </c>
      <c r="S1816" s="1">
        <v>-0.0014</v>
      </c>
      <c r="T1816" s="1" t="str">
        <f t="shared" si="3598"/>
        <v>0</v>
      </c>
      <c r="U1816" s="1" t="str">
        <f t="shared" si="3633"/>
        <v>0.0056</v>
      </c>
    </row>
    <row r="1817" s="1" customFormat="1" spans="1:21">
      <c r="A1817" s="1" t="str">
        <f>"4601992026655"</f>
        <v>4601992026655</v>
      </c>
      <c r="B1817" s="1" t="s">
        <v>1841</v>
      </c>
      <c r="C1817" s="1" t="s">
        <v>24</v>
      </c>
      <c r="D1817" s="1" t="str">
        <f t="shared" si="3594"/>
        <v>2021</v>
      </c>
      <c r="E1817" s="1" t="str">
        <f>"24.18"</f>
        <v>24.18</v>
      </c>
      <c r="F1817" s="1" t="str">
        <f t="shared" ref="F1817:I1817" si="3642">"0"</f>
        <v>0</v>
      </c>
      <c r="G1817" s="1" t="str">
        <f t="shared" si="3642"/>
        <v>0</v>
      </c>
      <c r="H1817" s="1" t="str">
        <f t="shared" si="3642"/>
        <v>0</v>
      </c>
      <c r="I1817" s="1" t="str">
        <f t="shared" si="3642"/>
        <v>0</v>
      </c>
      <c r="J1817" s="1" t="str">
        <f>"2"</f>
        <v>2</v>
      </c>
      <c r="K1817" s="1" t="str">
        <f t="shared" ref="K1817:P1817" si="3643">"0"</f>
        <v>0</v>
      </c>
      <c r="L1817" s="1" t="str">
        <f t="shared" si="3643"/>
        <v>0</v>
      </c>
      <c r="M1817" s="1" t="str">
        <f t="shared" si="3643"/>
        <v>0</v>
      </c>
      <c r="N1817" s="1" t="str">
        <f t="shared" si="3643"/>
        <v>0</v>
      </c>
      <c r="O1817" s="1" t="str">
        <f t="shared" si="3643"/>
        <v>0</v>
      </c>
      <c r="P1817" s="1" t="str">
        <f t="shared" si="3643"/>
        <v>0</v>
      </c>
      <c r="Q1817" s="1" t="str">
        <f t="shared" si="3597"/>
        <v>0.0070</v>
      </c>
      <c r="R1817" s="1" t="s">
        <v>29</v>
      </c>
      <c r="S1817" s="1">
        <v>-0.0014</v>
      </c>
      <c r="T1817" s="1" t="str">
        <f t="shared" si="3598"/>
        <v>0</v>
      </c>
      <c r="U1817" s="1" t="str">
        <f t="shared" si="3633"/>
        <v>0.0056</v>
      </c>
    </row>
    <row r="1818" s="1" customFormat="1" spans="1:21">
      <c r="A1818" s="1" t="str">
        <f>"4601992026667"</f>
        <v>4601992026667</v>
      </c>
      <c r="B1818" s="1" t="s">
        <v>1842</v>
      </c>
      <c r="C1818" s="1" t="s">
        <v>24</v>
      </c>
      <c r="D1818" s="1" t="str">
        <f t="shared" si="3594"/>
        <v>2021</v>
      </c>
      <c r="E1818" s="1" t="str">
        <f>"36.27"</f>
        <v>36.27</v>
      </c>
      <c r="F1818" s="1" t="str">
        <f t="shared" ref="F1818:I1818" si="3644">"0"</f>
        <v>0</v>
      </c>
      <c r="G1818" s="1" t="str">
        <f t="shared" si="3644"/>
        <v>0</v>
      </c>
      <c r="H1818" s="1" t="str">
        <f t="shared" si="3644"/>
        <v>0</v>
      </c>
      <c r="I1818" s="1" t="str">
        <f t="shared" si="3644"/>
        <v>0</v>
      </c>
      <c r="J1818" s="1" t="str">
        <f>"3"</f>
        <v>3</v>
      </c>
      <c r="K1818" s="1" t="str">
        <f t="shared" ref="K1818:P1818" si="3645">"0"</f>
        <v>0</v>
      </c>
      <c r="L1818" s="1" t="str">
        <f t="shared" si="3645"/>
        <v>0</v>
      </c>
      <c r="M1818" s="1" t="str">
        <f t="shared" si="3645"/>
        <v>0</v>
      </c>
      <c r="N1818" s="1" t="str">
        <f t="shared" si="3645"/>
        <v>0</v>
      </c>
      <c r="O1818" s="1" t="str">
        <f t="shared" si="3645"/>
        <v>0</v>
      </c>
      <c r="P1818" s="1" t="str">
        <f t="shared" si="3645"/>
        <v>0</v>
      </c>
      <c r="Q1818" s="1" t="str">
        <f t="shared" si="3597"/>
        <v>0.0070</v>
      </c>
      <c r="R1818" s="1" t="s">
        <v>29</v>
      </c>
      <c r="S1818" s="1">
        <v>-0.0014</v>
      </c>
      <c r="T1818" s="1" t="str">
        <f t="shared" si="3598"/>
        <v>0</v>
      </c>
      <c r="U1818" s="1" t="str">
        <f t="shared" si="3633"/>
        <v>0.0056</v>
      </c>
    </row>
    <row r="1819" s="1" customFormat="1" spans="1:21">
      <c r="A1819" s="1" t="str">
        <f>"4601992026665"</f>
        <v>4601992026665</v>
      </c>
      <c r="B1819" s="1" t="s">
        <v>1843</v>
      </c>
      <c r="C1819" s="1" t="s">
        <v>24</v>
      </c>
      <c r="D1819" s="1" t="str">
        <f t="shared" si="3594"/>
        <v>2021</v>
      </c>
      <c r="E1819" s="1" t="str">
        <f t="shared" ref="E1819:P1819" si="3646">"0"</f>
        <v>0</v>
      </c>
      <c r="F1819" s="1" t="str">
        <f t="shared" si="3646"/>
        <v>0</v>
      </c>
      <c r="G1819" s="1" t="str">
        <f t="shared" si="3646"/>
        <v>0</v>
      </c>
      <c r="H1819" s="1" t="str">
        <f t="shared" si="3646"/>
        <v>0</v>
      </c>
      <c r="I1819" s="1" t="str">
        <f t="shared" si="3646"/>
        <v>0</v>
      </c>
      <c r="J1819" s="1" t="str">
        <f t="shared" si="3646"/>
        <v>0</v>
      </c>
      <c r="K1819" s="1" t="str">
        <f t="shared" si="3646"/>
        <v>0</v>
      </c>
      <c r="L1819" s="1" t="str">
        <f t="shared" si="3646"/>
        <v>0</v>
      </c>
      <c r="M1819" s="1" t="str">
        <f t="shared" si="3646"/>
        <v>0</v>
      </c>
      <c r="N1819" s="1" t="str">
        <f t="shared" si="3646"/>
        <v>0</v>
      </c>
      <c r="O1819" s="1" t="str">
        <f t="shared" si="3646"/>
        <v>0</v>
      </c>
      <c r="P1819" s="1" t="str">
        <f t="shared" si="3646"/>
        <v>0</v>
      </c>
      <c r="Q1819" s="1" t="str">
        <f t="shared" si="3597"/>
        <v>0.0070</v>
      </c>
      <c r="R1819" s="1" t="s">
        <v>25</v>
      </c>
      <c r="T1819" s="1" t="str">
        <f t="shared" si="3598"/>
        <v>0</v>
      </c>
      <c r="U1819" s="1" t="str">
        <f t="shared" ref="U1819:U1822" si="3647">"0.0070"</f>
        <v>0.0070</v>
      </c>
    </row>
    <row r="1820" s="1" customFormat="1" spans="1:21">
      <c r="A1820" s="1" t="str">
        <f>"4601992026683"</f>
        <v>4601992026683</v>
      </c>
      <c r="B1820" s="1" t="s">
        <v>1844</v>
      </c>
      <c r="C1820" s="1" t="s">
        <v>24</v>
      </c>
      <c r="D1820" s="1" t="str">
        <f t="shared" si="3594"/>
        <v>2021</v>
      </c>
      <c r="E1820" s="1" t="str">
        <f t="shared" ref="E1820:P1820" si="3648">"0"</f>
        <v>0</v>
      </c>
      <c r="F1820" s="1" t="str">
        <f t="shared" si="3648"/>
        <v>0</v>
      </c>
      <c r="G1820" s="1" t="str">
        <f t="shared" si="3648"/>
        <v>0</v>
      </c>
      <c r="H1820" s="1" t="str">
        <f t="shared" si="3648"/>
        <v>0</v>
      </c>
      <c r="I1820" s="1" t="str">
        <f t="shared" si="3648"/>
        <v>0</v>
      </c>
      <c r="J1820" s="1" t="str">
        <f t="shared" si="3648"/>
        <v>0</v>
      </c>
      <c r="K1820" s="1" t="str">
        <f t="shared" si="3648"/>
        <v>0</v>
      </c>
      <c r="L1820" s="1" t="str">
        <f t="shared" si="3648"/>
        <v>0</v>
      </c>
      <c r="M1820" s="1" t="str">
        <f t="shared" si="3648"/>
        <v>0</v>
      </c>
      <c r="N1820" s="1" t="str">
        <f t="shared" si="3648"/>
        <v>0</v>
      </c>
      <c r="O1820" s="1" t="str">
        <f t="shared" si="3648"/>
        <v>0</v>
      </c>
      <c r="P1820" s="1" t="str">
        <f t="shared" si="3648"/>
        <v>0</v>
      </c>
      <c r="Q1820" s="1" t="str">
        <f t="shared" si="3597"/>
        <v>0.0070</v>
      </c>
      <c r="R1820" s="1" t="s">
        <v>25</v>
      </c>
      <c r="T1820" s="1" t="str">
        <f t="shared" si="3598"/>
        <v>0</v>
      </c>
      <c r="U1820" s="1" t="str">
        <f t="shared" si="3647"/>
        <v>0.0070</v>
      </c>
    </row>
    <row r="1821" s="1" customFormat="1" spans="1:21">
      <c r="A1821" s="1" t="str">
        <f>"4601992026670"</f>
        <v>4601992026670</v>
      </c>
      <c r="B1821" s="1" t="s">
        <v>1845</v>
      </c>
      <c r="C1821" s="1" t="s">
        <v>24</v>
      </c>
      <c r="D1821" s="1" t="str">
        <f t="shared" si="3594"/>
        <v>2021</v>
      </c>
      <c r="E1821" s="1" t="str">
        <f>"12.09"</f>
        <v>12.09</v>
      </c>
      <c r="F1821" s="1" t="str">
        <f t="shared" ref="F1821:I1821" si="3649">"0"</f>
        <v>0</v>
      </c>
      <c r="G1821" s="1" t="str">
        <f t="shared" si="3649"/>
        <v>0</v>
      </c>
      <c r="H1821" s="1" t="str">
        <f t="shared" si="3649"/>
        <v>0</v>
      </c>
      <c r="I1821" s="1" t="str">
        <f t="shared" si="3649"/>
        <v>0</v>
      </c>
      <c r="J1821" s="1" t="str">
        <f>"1"</f>
        <v>1</v>
      </c>
      <c r="K1821" s="1" t="str">
        <f t="shared" ref="K1821:P1821" si="3650">"0"</f>
        <v>0</v>
      </c>
      <c r="L1821" s="1" t="str">
        <f t="shared" si="3650"/>
        <v>0</v>
      </c>
      <c r="M1821" s="1" t="str">
        <f t="shared" si="3650"/>
        <v>0</v>
      </c>
      <c r="N1821" s="1" t="str">
        <f t="shared" si="3650"/>
        <v>0</v>
      </c>
      <c r="O1821" s="1" t="str">
        <f t="shared" si="3650"/>
        <v>0</v>
      </c>
      <c r="P1821" s="1" t="str">
        <f t="shared" si="3650"/>
        <v>0</v>
      </c>
      <c r="Q1821" s="1" t="str">
        <f t="shared" si="3597"/>
        <v>0.0070</v>
      </c>
      <c r="R1821" s="1" t="s">
        <v>29</v>
      </c>
      <c r="S1821" s="1">
        <v>-0.0014</v>
      </c>
      <c r="T1821" s="1" t="str">
        <f t="shared" si="3598"/>
        <v>0</v>
      </c>
      <c r="U1821" s="1" t="str">
        <f t="shared" ref="U1821:U1825" si="3651">"0.0056"</f>
        <v>0.0056</v>
      </c>
    </row>
    <row r="1822" s="1" customFormat="1" spans="1:21">
      <c r="A1822" s="1" t="str">
        <f>"4601992026696"</f>
        <v>4601992026696</v>
      </c>
      <c r="B1822" s="1" t="s">
        <v>1846</v>
      </c>
      <c r="C1822" s="1" t="s">
        <v>24</v>
      </c>
      <c r="D1822" s="1" t="str">
        <f t="shared" si="3594"/>
        <v>2021</v>
      </c>
      <c r="E1822" s="1" t="str">
        <f t="shared" ref="E1822:P1822" si="3652">"0"</f>
        <v>0</v>
      </c>
      <c r="F1822" s="1" t="str">
        <f t="shared" si="3652"/>
        <v>0</v>
      </c>
      <c r="G1822" s="1" t="str">
        <f t="shared" si="3652"/>
        <v>0</v>
      </c>
      <c r="H1822" s="1" t="str">
        <f t="shared" si="3652"/>
        <v>0</v>
      </c>
      <c r="I1822" s="1" t="str">
        <f t="shared" si="3652"/>
        <v>0</v>
      </c>
      <c r="J1822" s="1" t="str">
        <f t="shared" si="3652"/>
        <v>0</v>
      </c>
      <c r="K1822" s="1" t="str">
        <f t="shared" si="3652"/>
        <v>0</v>
      </c>
      <c r="L1822" s="1" t="str">
        <f t="shared" si="3652"/>
        <v>0</v>
      </c>
      <c r="M1822" s="1" t="str">
        <f t="shared" si="3652"/>
        <v>0</v>
      </c>
      <c r="N1822" s="1" t="str">
        <f t="shared" si="3652"/>
        <v>0</v>
      </c>
      <c r="O1822" s="1" t="str">
        <f t="shared" si="3652"/>
        <v>0</v>
      </c>
      <c r="P1822" s="1" t="str">
        <f t="shared" si="3652"/>
        <v>0</v>
      </c>
      <c r="Q1822" s="1" t="str">
        <f t="shared" si="3597"/>
        <v>0.0070</v>
      </c>
      <c r="R1822" s="1" t="s">
        <v>25</v>
      </c>
      <c r="T1822" s="1" t="str">
        <f t="shared" si="3598"/>
        <v>0</v>
      </c>
      <c r="U1822" s="1" t="str">
        <f t="shared" si="3647"/>
        <v>0.0070</v>
      </c>
    </row>
    <row r="1823" s="1" customFormat="1" spans="1:21">
      <c r="A1823" s="1" t="str">
        <f>"4601992026688"</f>
        <v>4601992026688</v>
      </c>
      <c r="B1823" s="1" t="s">
        <v>1847</v>
      </c>
      <c r="C1823" s="1" t="s">
        <v>24</v>
      </c>
      <c r="D1823" s="1" t="str">
        <f t="shared" si="3594"/>
        <v>2021</v>
      </c>
      <c r="E1823" s="1" t="str">
        <f>"59.90"</f>
        <v>59.90</v>
      </c>
      <c r="F1823" s="1" t="str">
        <f t="shared" ref="F1823:I1823" si="3653">"0"</f>
        <v>0</v>
      </c>
      <c r="G1823" s="1" t="str">
        <f t="shared" si="3653"/>
        <v>0</v>
      </c>
      <c r="H1823" s="1" t="str">
        <f t="shared" si="3653"/>
        <v>0</v>
      </c>
      <c r="I1823" s="1" t="str">
        <f t="shared" si="3653"/>
        <v>0</v>
      </c>
      <c r="J1823" s="1" t="str">
        <f>"4"</f>
        <v>4</v>
      </c>
      <c r="K1823" s="1" t="str">
        <f t="shared" ref="K1823:P1823" si="3654">"0"</f>
        <v>0</v>
      </c>
      <c r="L1823" s="1" t="str">
        <f t="shared" si="3654"/>
        <v>0</v>
      </c>
      <c r="M1823" s="1" t="str">
        <f t="shared" si="3654"/>
        <v>0</v>
      </c>
      <c r="N1823" s="1" t="str">
        <f t="shared" si="3654"/>
        <v>0</v>
      </c>
      <c r="O1823" s="1" t="str">
        <f t="shared" si="3654"/>
        <v>0</v>
      </c>
      <c r="P1823" s="1" t="str">
        <f t="shared" si="3654"/>
        <v>0</v>
      </c>
      <c r="Q1823" s="1" t="str">
        <f t="shared" si="3597"/>
        <v>0.0070</v>
      </c>
      <c r="R1823" s="1" t="s">
        <v>29</v>
      </c>
      <c r="S1823" s="1">
        <v>-0.0014</v>
      </c>
      <c r="T1823" s="1" t="str">
        <f t="shared" si="3598"/>
        <v>0</v>
      </c>
      <c r="U1823" s="1" t="str">
        <f t="shared" si="3651"/>
        <v>0.0056</v>
      </c>
    </row>
    <row r="1824" s="1" customFormat="1" spans="1:21">
      <c r="A1824" s="1" t="str">
        <f>"4601992026720"</f>
        <v>4601992026720</v>
      </c>
      <c r="B1824" s="1" t="s">
        <v>1848</v>
      </c>
      <c r="C1824" s="1" t="s">
        <v>24</v>
      </c>
      <c r="D1824" s="1" t="str">
        <f t="shared" si="3594"/>
        <v>2021</v>
      </c>
      <c r="E1824" s="1" t="str">
        <f>"36.27"</f>
        <v>36.27</v>
      </c>
      <c r="F1824" s="1" t="str">
        <f t="shared" ref="F1824:I1824" si="3655">"0"</f>
        <v>0</v>
      </c>
      <c r="G1824" s="1" t="str">
        <f t="shared" si="3655"/>
        <v>0</v>
      </c>
      <c r="H1824" s="1" t="str">
        <f t="shared" si="3655"/>
        <v>0</v>
      </c>
      <c r="I1824" s="1" t="str">
        <f t="shared" si="3655"/>
        <v>0</v>
      </c>
      <c r="J1824" s="1" t="str">
        <f>"3"</f>
        <v>3</v>
      </c>
      <c r="K1824" s="1" t="str">
        <f t="shared" ref="K1824:P1824" si="3656">"0"</f>
        <v>0</v>
      </c>
      <c r="L1824" s="1" t="str">
        <f t="shared" si="3656"/>
        <v>0</v>
      </c>
      <c r="M1824" s="1" t="str">
        <f t="shared" si="3656"/>
        <v>0</v>
      </c>
      <c r="N1824" s="1" t="str">
        <f t="shared" si="3656"/>
        <v>0</v>
      </c>
      <c r="O1824" s="1" t="str">
        <f t="shared" si="3656"/>
        <v>0</v>
      </c>
      <c r="P1824" s="1" t="str">
        <f t="shared" si="3656"/>
        <v>0</v>
      </c>
      <c r="Q1824" s="1" t="str">
        <f t="shared" si="3597"/>
        <v>0.0070</v>
      </c>
      <c r="R1824" s="1" t="s">
        <v>29</v>
      </c>
      <c r="S1824" s="1">
        <v>-0.0014</v>
      </c>
      <c r="T1824" s="1" t="str">
        <f t="shared" si="3598"/>
        <v>0</v>
      </c>
      <c r="U1824" s="1" t="str">
        <f t="shared" si="3651"/>
        <v>0.0056</v>
      </c>
    </row>
    <row r="1825" s="1" customFormat="1" spans="1:21">
      <c r="A1825" s="1" t="str">
        <f>"4601992026728"</f>
        <v>4601992026728</v>
      </c>
      <c r="B1825" s="1" t="s">
        <v>1849</v>
      </c>
      <c r="C1825" s="1" t="s">
        <v>24</v>
      </c>
      <c r="D1825" s="1" t="str">
        <f t="shared" si="3594"/>
        <v>2021</v>
      </c>
      <c r="E1825" s="1" t="str">
        <f>"24.18"</f>
        <v>24.18</v>
      </c>
      <c r="F1825" s="1" t="str">
        <f t="shared" ref="F1825:I1825" si="3657">"0"</f>
        <v>0</v>
      </c>
      <c r="G1825" s="1" t="str">
        <f t="shared" si="3657"/>
        <v>0</v>
      </c>
      <c r="H1825" s="1" t="str">
        <f t="shared" si="3657"/>
        <v>0</v>
      </c>
      <c r="I1825" s="1" t="str">
        <f t="shared" si="3657"/>
        <v>0</v>
      </c>
      <c r="J1825" s="1" t="str">
        <f>"2"</f>
        <v>2</v>
      </c>
      <c r="K1825" s="1" t="str">
        <f t="shared" ref="K1825:P1825" si="3658">"0"</f>
        <v>0</v>
      </c>
      <c r="L1825" s="1" t="str">
        <f t="shared" si="3658"/>
        <v>0</v>
      </c>
      <c r="M1825" s="1" t="str">
        <f t="shared" si="3658"/>
        <v>0</v>
      </c>
      <c r="N1825" s="1" t="str">
        <f t="shared" si="3658"/>
        <v>0</v>
      </c>
      <c r="O1825" s="1" t="str">
        <f t="shared" si="3658"/>
        <v>0</v>
      </c>
      <c r="P1825" s="1" t="str">
        <f t="shared" si="3658"/>
        <v>0</v>
      </c>
      <c r="Q1825" s="1" t="str">
        <f t="shared" si="3597"/>
        <v>0.0070</v>
      </c>
      <c r="R1825" s="1" t="s">
        <v>29</v>
      </c>
      <c r="S1825" s="1">
        <v>-0.0014</v>
      </c>
      <c r="T1825" s="1" t="str">
        <f t="shared" si="3598"/>
        <v>0</v>
      </c>
      <c r="U1825" s="1" t="str">
        <f t="shared" si="3651"/>
        <v>0.0056</v>
      </c>
    </row>
    <row r="1826" s="1" customFormat="1" spans="1:21">
      <c r="A1826" s="1" t="str">
        <f>"4601992026780"</f>
        <v>4601992026780</v>
      </c>
      <c r="B1826" s="1" t="s">
        <v>1850</v>
      </c>
      <c r="C1826" s="1" t="s">
        <v>24</v>
      </c>
      <c r="D1826" s="1" t="str">
        <f t="shared" si="3594"/>
        <v>2021</v>
      </c>
      <c r="E1826" s="1" t="str">
        <f>"24.07"</f>
        <v>24.07</v>
      </c>
      <c r="F1826" s="1" t="str">
        <f t="shared" ref="F1826:I1826" si="3659">"0"</f>
        <v>0</v>
      </c>
      <c r="G1826" s="1" t="str">
        <f t="shared" si="3659"/>
        <v>0</v>
      </c>
      <c r="H1826" s="1" t="str">
        <f t="shared" si="3659"/>
        <v>0</v>
      </c>
      <c r="I1826" s="1" t="str">
        <f t="shared" si="3659"/>
        <v>0</v>
      </c>
      <c r="J1826" s="1" t="str">
        <f>"1"</f>
        <v>1</v>
      </c>
      <c r="K1826" s="1" t="str">
        <f t="shared" ref="K1826:P1826" si="3660">"0"</f>
        <v>0</v>
      </c>
      <c r="L1826" s="1" t="str">
        <f t="shared" si="3660"/>
        <v>0</v>
      </c>
      <c r="M1826" s="1" t="str">
        <f t="shared" si="3660"/>
        <v>0</v>
      </c>
      <c r="N1826" s="1" t="str">
        <f t="shared" si="3660"/>
        <v>0</v>
      </c>
      <c r="O1826" s="1" t="str">
        <f t="shared" si="3660"/>
        <v>0</v>
      </c>
      <c r="P1826" s="1" t="str">
        <f t="shared" si="3660"/>
        <v>0</v>
      </c>
      <c r="Q1826" s="1" t="str">
        <f t="shared" si="3597"/>
        <v>0.0070</v>
      </c>
      <c r="R1826" s="1" t="s">
        <v>25</v>
      </c>
      <c r="T1826" s="1" t="str">
        <f t="shared" si="3598"/>
        <v>0</v>
      </c>
      <c r="U1826" s="1" t="str">
        <f>"0.0070"</f>
        <v>0.0070</v>
      </c>
    </row>
    <row r="1827" s="1" customFormat="1" spans="1:21">
      <c r="A1827" s="1" t="str">
        <f>"4601992026793"</f>
        <v>4601992026793</v>
      </c>
      <c r="B1827" s="1" t="s">
        <v>1851</v>
      </c>
      <c r="C1827" s="1" t="s">
        <v>24</v>
      </c>
      <c r="D1827" s="1" t="str">
        <f t="shared" si="3594"/>
        <v>2021</v>
      </c>
      <c r="E1827" s="1" t="str">
        <f>"60.45"</f>
        <v>60.45</v>
      </c>
      <c r="F1827" s="1" t="str">
        <f t="shared" ref="F1827:I1827" si="3661">"0"</f>
        <v>0</v>
      </c>
      <c r="G1827" s="1" t="str">
        <f t="shared" si="3661"/>
        <v>0</v>
      </c>
      <c r="H1827" s="1" t="str">
        <f t="shared" si="3661"/>
        <v>0</v>
      </c>
      <c r="I1827" s="1" t="str">
        <f t="shared" si="3661"/>
        <v>0</v>
      </c>
      <c r="J1827" s="1" t="str">
        <f>"6"</f>
        <v>6</v>
      </c>
      <c r="K1827" s="1" t="str">
        <f t="shared" ref="K1827:P1827" si="3662">"0"</f>
        <v>0</v>
      </c>
      <c r="L1827" s="1" t="str">
        <f t="shared" si="3662"/>
        <v>0</v>
      </c>
      <c r="M1827" s="1" t="str">
        <f t="shared" si="3662"/>
        <v>0</v>
      </c>
      <c r="N1827" s="1" t="str">
        <f t="shared" si="3662"/>
        <v>0</v>
      </c>
      <c r="O1827" s="1" t="str">
        <f t="shared" si="3662"/>
        <v>0</v>
      </c>
      <c r="P1827" s="1" t="str">
        <f t="shared" si="3662"/>
        <v>0</v>
      </c>
      <c r="Q1827" s="1" t="str">
        <f t="shared" si="3597"/>
        <v>0.0070</v>
      </c>
      <c r="R1827" s="1" t="s">
        <v>29</v>
      </c>
      <c r="S1827" s="1">
        <v>-0.0014</v>
      </c>
      <c r="T1827" s="1" t="str">
        <f t="shared" si="3598"/>
        <v>0</v>
      </c>
      <c r="U1827" s="1" t="str">
        <f t="shared" ref="U1827:U1829" si="3663">"0.0056"</f>
        <v>0.0056</v>
      </c>
    </row>
    <row r="1828" s="1" customFormat="1" spans="1:21">
      <c r="A1828" s="1" t="str">
        <f>"4601992026787"</f>
        <v>4601992026787</v>
      </c>
      <c r="B1828" s="1" t="s">
        <v>1852</v>
      </c>
      <c r="C1828" s="1" t="s">
        <v>24</v>
      </c>
      <c r="D1828" s="1" t="str">
        <f t="shared" si="3594"/>
        <v>2021</v>
      </c>
      <c r="E1828" s="1" t="str">
        <f>"161.00"</f>
        <v>161.00</v>
      </c>
      <c r="F1828" s="1" t="str">
        <f t="shared" ref="F1828:I1828" si="3664">"0"</f>
        <v>0</v>
      </c>
      <c r="G1828" s="1" t="str">
        <f t="shared" si="3664"/>
        <v>0</v>
      </c>
      <c r="H1828" s="1" t="str">
        <f t="shared" si="3664"/>
        <v>0</v>
      </c>
      <c r="I1828" s="1" t="str">
        <f t="shared" si="3664"/>
        <v>0</v>
      </c>
      <c r="J1828" s="1" t="str">
        <f>"10"</f>
        <v>10</v>
      </c>
      <c r="K1828" s="1" t="str">
        <f t="shared" ref="K1828:P1828" si="3665">"0"</f>
        <v>0</v>
      </c>
      <c r="L1828" s="1" t="str">
        <f t="shared" si="3665"/>
        <v>0</v>
      </c>
      <c r="M1828" s="1" t="str">
        <f t="shared" si="3665"/>
        <v>0</v>
      </c>
      <c r="N1828" s="1" t="str">
        <f t="shared" si="3665"/>
        <v>0</v>
      </c>
      <c r="O1828" s="1" t="str">
        <f t="shared" si="3665"/>
        <v>0</v>
      </c>
      <c r="P1828" s="1" t="str">
        <f t="shared" si="3665"/>
        <v>0</v>
      </c>
      <c r="Q1828" s="1" t="str">
        <f t="shared" si="3597"/>
        <v>0.0070</v>
      </c>
      <c r="R1828" s="1" t="s">
        <v>29</v>
      </c>
      <c r="S1828" s="1">
        <v>-0.0014</v>
      </c>
      <c r="T1828" s="1" t="str">
        <f t="shared" si="3598"/>
        <v>0</v>
      </c>
      <c r="U1828" s="1" t="str">
        <f t="shared" si="3663"/>
        <v>0.0056</v>
      </c>
    </row>
    <row r="1829" s="1" customFormat="1" spans="1:21">
      <c r="A1829" s="1" t="str">
        <f>"4601992026808"</f>
        <v>4601992026808</v>
      </c>
      <c r="B1829" s="1" t="s">
        <v>1853</v>
      </c>
      <c r="C1829" s="1" t="s">
        <v>24</v>
      </c>
      <c r="D1829" s="1" t="str">
        <f t="shared" si="3594"/>
        <v>2021</v>
      </c>
      <c r="E1829" s="1" t="str">
        <f>"23.96"</f>
        <v>23.96</v>
      </c>
      <c r="F1829" s="1" t="str">
        <f t="shared" ref="F1829:I1829" si="3666">"0"</f>
        <v>0</v>
      </c>
      <c r="G1829" s="1" t="str">
        <f t="shared" si="3666"/>
        <v>0</v>
      </c>
      <c r="H1829" s="1" t="str">
        <f t="shared" si="3666"/>
        <v>0</v>
      </c>
      <c r="I1829" s="1" t="str">
        <f t="shared" si="3666"/>
        <v>0</v>
      </c>
      <c r="J1829" s="1" t="str">
        <f>"2"</f>
        <v>2</v>
      </c>
      <c r="K1829" s="1" t="str">
        <f t="shared" ref="K1829:P1829" si="3667">"0"</f>
        <v>0</v>
      </c>
      <c r="L1829" s="1" t="str">
        <f t="shared" si="3667"/>
        <v>0</v>
      </c>
      <c r="M1829" s="1" t="str">
        <f t="shared" si="3667"/>
        <v>0</v>
      </c>
      <c r="N1829" s="1" t="str">
        <f t="shared" si="3667"/>
        <v>0</v>
      </c>
      <c r="O1829" s="1" t="str">
        <f t="shared" si="3667"/>
        <v>0</v>
      </c>
      <c r="P1829" s="1" t="str">
        <f t="shared" si="3667"/>
        <v>0</v>
      </c>
      <c r="Q1829" s="1" t="str">
        <f t="shared" si="3597"/>
        <v>0.0070</v>
      </c>
      <c r="R1829" s="1" t="s">
        <v>29</v>
      </c>
      <c r="S1829" s="1">
        <v>-0.0014</v>
      </c>
      <c r="T1829" s="1" t="str">
        <f t="shared" si="3598"/>
        <v>0</v>
      </c>
      <c r="U1829" s="1" t="str">
        <f t="shared" si="3663"/>
        <v>0.0056</v>
      </c>
    </row>
    <row r="1830" s="1" customFormat="1" spans="1:21">
      <c r="A1830" s="1" t="str">
        <f>"4601992026821"</f>
        <v>4601992026821</v>
      </c>
      <c r="B1830" s="1" t="s">
        <v>1854</v>
      </c>
      <c r="C1830" s="1" t="s">
        <v>24</v>
      </c>
      <c r="D1830" s="1" t="str">
        <f t="shared" si="3594"/>
        <v>2021</v>
      </c>
      <c r="E1830" s="1" t="str">
        <f>"48.36"</f>
        <v>48.36</v>
      </c>
      <c r="F1830" s="1" t="str">
        <f t="shared" ref="F1830:I1830" si="3668">"0"</f>
        <v>0</v>
      </c>
      <c r="G1830" s="1" t="str">
        <f t="shared" si="3668"/>
        <v>0</v>
      </c>
      <c r="H1830" s="1" t="str">
        <f t="shared" si="3668"/>
        <v>0</v>
      </c>
      <c r="I1830" s="1" t="str">
        <f t="shared" si="3668"/>
        <v>0</v>
      </c>
      <c r="J1830" s="1" t="str">
        <f>"10"</f>
        <v>10</v>
      </c>
      <c r="K1830" s="1" t="str">
        <f t="shared" ref="K1830:P1830" si="3669">"0"</f>
        <v>0</v>
      </c>
      <c r="L1830" s="1" t="str">
        <f t="shared" si="3669"/>
        <v>0</v>
      </c>
      <c r="M1830" s="1" t="str">
        <f t="shared" si="3669"/>
        <v>0</v>
      </c>
      <c r="N1830" s="1" t="str">
        <f t="shared" si="3669"/>
        <v>0</v>
      </c>
      <c r="O1830" s="1" t="str">
        <f t="shared" si="3669"/>
        <v>0</v>
      </c>
      <c r="P1830" s="1" t="str">
        <f t="shared" si="3669"/>
        <v>0</v>
      </c>
      <c r="Q1830" s="1" t="str">
        <f t="shared" si="3597"/>
        <v>0.0070</v>
      </c>
      <c r="R1830" s="1" t="s">
        <v>25</v>
      </c>
      <c r="T1830" s="1" t="str">
        <f t="shared" si="3598"/>
        <v>0</v>
      </c>
      <c r="U1830" s="1" t="str">
        <f>"0.0070"</f>
        <v>0.0070</v>
      </c>
    </row>
    <row r="1831" s="1" customFormat="1" spans="1:21">
      <c r="A1831" s="1" t="str">
        <f>"4601992026812"</f>
        <v>4601992026812</v>
      </c>
      <c r="B1831" s="1" t="s">
        <v>1855</v>
      </c>
      <c r="C1831" s="1" t="s">
        <v>24</v>
      </c>
      <c r="D1831" s="1" t="str">
        <f t="shared" si="3594"/>
        <v>2021</v>
      </c>
      <c r="E1831" s="1" t="str">
        <f>"36.16"</f>
        <v>36.16</v>
      </c>
      <c r="F1831" s="1" t="str">
        <f t="shared" ref="F1831:I1831" si="3670">"0"</f>
        <v>0</v>
      </c>
      <c r="G1831" s="1" t="str">
        <f t="shared" si="3670"/>
        <v>0</v>
      </c>
      <c r="H1831" s="1" t="str">
        <f t="shared" si="3670"/>
        <v>0</v>
      </c>
      <c r="I1831" s="1" t="str">
        <f t="shared" si="3670"/>
        <v>0</v>
      </c>
      <c r="J1831" s="1" t="str">
        <f>"1"</f>
        <v>1</v>
      </c>
      <c r="K1831" s="1" t="str">
        <f t="shared" ref="K1831:P1831" si="3671">"0"</f>
        <v>0</v>
      </c>
      <c r="L1831" s="1" t="str">
        <f t="shared" si="3671"/>
        <v>0</v>
      </c>
      <c r="M1831" s="1" t="str">
        <f t="shared" si="3671"/>
        <v>0</v>
      </c>
      <c r="N1831" s="1" t="str">
        <f t="shared" si="3671"/>
        <v>0</v>
      </c>
      <c r="O1831" s="1" t="str">
        <f t="shared" si="3671"/>
        <v>0</v>
      </c>
      <c r="P1831" s="1" t="str">
        <f t="shared" si="3671"/>
        <v>0</v>
      </c>
      <c r="Q1831" s="1" t="str">
        <f t="shared" si="3597"/>
        <v>0.0070</v>
      </c>
      <c r="R1831" s="1" t="s">
        <v>29</v>
      </c>
      <c r="S1831" s="1">
        <v>-0.0014</v>
      </c>
      <c r="T1831" s="1" t="str">
        <f t="shared" si="3598"/>
        <v>0</v>
      </c>
      <c r="U1831" s="1" t="str">
        <f t="shared" ref="U1831:U1835" si="3672">"0.0056"</f>
        <v>0.0056</v>
      </c>
    </row>
    <row r="1832" s="1" customFormat="1" spans="1:21">
      <c r="A1832" s="1" t="str">
        <f>"4601992026795"</f>
        <v>4601992026795</v>
      </c>
      <c r="B1832" s="1" t="s">
        <v>1856</v>
      </c>
      <c r="C1832" s="1" t="s">
        <v>24</v>
      </c>
      <c r="D1832" s="1" t="str">
        <f t="shared" si="3594"/>
        <v>2021</v>
      </c>
      <c r="E1832" s="1" t="str">
        <f>"36.27"</f>
        <v>36.27</v>
      </c>
      <c r="F1832" s="1" t="str">
        <f t="shared" ref="F1832:I1832" si="3673">"0"</f>
        <v>0</v>
      </c>
      <c r="G1832" s="1" t="str">
        <f t="shared" si="3673"/>
        <v>0</v>
      </c>
      <c r="H1832" s="1" t="str">
        <f t="shared" si="3673"/>
        <v>0</v>
      </c>
      <c r="I1832" s="1" t="str">
        <f t="shared" si="3673"/>
        <v>0</v>
      </c>
      <c r="J1832" s="1" t="str">
        <f>"3"</f>
        <v>3</v>
      </c>
      <c r="K1832" s="1" t="str">
        <f t="shared" ref="K1832:P1832" si="3674">"0"</f>
        <v>0</v>
      </c>
      <c r="L1832" s="1" t="str">
        <f t="shared" si="3674"/>
        <v>0</v>
      </c>
      <c r="M1832" s="1" t="str">
        <f t="shared" si="3674"/>
        <v>0</v>
      </c>
      <c r="N1832" s="1" t="str">
        <f t="shared" si="3674"/>
        <v>0</v>
      </c>
      <c r="O1832" s="1" t="str">
        <f t="shared" si="3674"/>
        <v>0</v>
      </c>
      <c r="P1832" s="1" t="str">
        <f t="shared" si="3674"/>
        <v>0</v>
      </c>
      <c r="Q1832" s="1" t="str">
        <f t="shared" si="3597"/>
        <v>0.0070</v>
      </c>
      <c r="R1832" s="1" t="s">
        <v>29</v>
      </c>
      <c r="S1832" s="1">
        <v>-0.0014</v>
      </c>
      <c r="T1832" s="1" t="str">
        <f t="shared" si="3598"/>
        <v>0</v>
      </c>
      <c r="U1832" s="1" t="str">
        <f t="shared" si="3672"/>
        <v>0.0056</v>
      </c>
    </row>
    <row r="1833" s="1" customFormat="1" spans="1:21">
      <c r="A1833" s="1" t="str">
        <f>"4601992026832"</f>
        <v>4601992026832</v>
      </c>
      <c r="B1833" s="1" t="s">
        <v>1857</v>
      </c>
      <c r="C1833" s="1" t="s">
        <v>24</v>
      </c>
      <c r="D1833" s="1" t="str">
        <f t="shared" si="3594"/>
        <v>2021</v>
      </c>
      <c r="E1833" s="1" t="str">
        <f>"28.00"</f>
        <v>28.00</v>
      </c>
      <c r="F1833" s="1" t="str">
        <f t="shared" ref="F1833:I1833" si="3675">"0"</f>
        <v>0</v>
      </c>
      <c r="G1833" s="1" t="str">
        <f t="shared" si="3675"/>
        <v>0</v>
      </c>
      <c r="H1833" s="1" t="str">
        <f t="shared" si="3675"/>
        <v>0</v>
      </c>
      <c r="I1833" s="1" t="str">
        <f t="shared" si="3675"/>
        <v>0</v>
      </c>
      <c r="J1833" s="1" t="str">
        <f>"2"</f>
        <v>2</v>
      </c>
      <c r="K1833" s="1" t="str">
        <f t="shared" ref="K1833:P1833" si="3676">"0"</f>
        <v>0</v>
      </c>
      <c r="L1833" s="1" t="str">
        <f t="shared" si="3676"/>
        <v>0</v>
      </c>
      <c r="M1833" s="1" t="str">
        <f t="shared" si="3676"/>
        <v>0</v>
      </c>
      <c r="N1833" s="1" t="str">
        <f t="shared" si="3676"/>
        <v>0</v>
      </c>
      <c r="O1833" s="1" t="str">
        <f t="shared" si="3676"/>
        <v>0</v>
      </c>
      <c r="P1833" s="1" t="str">
        <f t="shared" si="3676"/>
        <v>0</v>
      </c>
      <c r="Q1833" s="1" t="str">
        <f t="shared" si="3597"/>
        <v>0.0070</v>
      </c>
      <c r="R1833" s="1" t="s">
        <v>29</v>
      </c>
      <c r="S1833" s="1">
        <v>-0.0014</v>
      </c>
      <c r="T1833" s="1" t="str">
        <f t="shared" si="3598"/>
        <v>0</v>
      </c>
      <c r="U1833" s="1" t="str">
        <f t="shared" si="3672"/>
        <v>0.0056</v>
      </c>
    </row>
    <row r="1834" s="1" customFormat="1" spans="1:21">
      <c r="A1834" s="1" t="str">
        <f>"4601992026901"</f>
        <v>4601992026901</v>
      </c>
      <c r="B1834" s="1" t="s">
        <v>1858</v>
      </c>
      <c r="C1834" s="1" t="s">
        <v>24</v>
      </c>
      <c r="D1834" s="1" t="str">
        <f t="shared" si="3594"/>
        <v>2021</v>
      </c>
      <c r="E1834" s="1" t="str">
        <f>"36.27"</f>
        <v>36.27</v>
      </c>
      <c r="F1834" s="1" t="str">
        <f t="shared" ref="F1834:I1834" si="3677">"0"</f>
        <v>0</v>
      </c>
      <c r="G1834" s="1" t="str">
        <f t="shared" si="3677"/>
        <v>0</v>
      </c>
      <c r="H1834" s="1" t="str">
        <f t="shared" si="3677"/>
        <v>0</v>
      </c>
      <c r="I1834" s="1" t="str">
        <f t="shared" si="3677"/>
        <v>0</v>
      </c>
      <c r="J1834" s="1" t="str">
        <f>"3"</f>
        <v>3</v>
      </c>
      <c r="K1834" s="1" t="str">
        <f t="shared" ref="K1834:P1834" si="3678">"0"</f>
        <v>0</v>
      </c>
      <c r="L1834" s="1" t="str">
        <f t="shared" si="3678"/>
        <v>0</v>
      </c>
      <c r="M1834" s="1" t="str">
        <f t="shared" si="3678"/>
        <v>0</v>
      </c>
      <c r="N1834" s="1" t="str">
        <f t="shared" si="3678"/>
        <v>0</v>
      </c>
      <c r="O1834" s="1" t="str">
        <f t="shared" si="3678"/>
        <v>0</v>
      </c>
      <c r="P1834" s="1" t="str">
        <f t="shared" si="3678"/>
        <v>0</v>
      </c>
      <c r="Q1834" s="1" t="str">
        <f t="shared" si="3597"/>
        <v>0.0070</v>
      </c>
      <c r="R1834" s="1" t="s">
        <v>29</v>
      </c>
      <c r="S1834" s="1">
        <v>-0.0014</v>
      </c>
      <c r="T1834" s="1" t="str">
        <f t="shared" si="3598"/>
        <v>0</v>
      </c>
      <c r="U1834" s="1" t="str">
        <f t="shared" si="3672"/>
        <v>0.0056</v>
      </c>
    </row>
    <row r="1835" s="1" customFormat="1" spans="1:21">
      <c r="A1835" s="1" t="str">
        <f>"4601992026907"</f>
        <v>4601992026907</v>
      </c>
      <c r="B1835" s="1" t="s">
        <v>1859</v>
      </c>
      <c r="C1835" s="1" t="s">
        <v>24</v>
      </c>
      <c r="D1835" s="1" t="str">
        <f t="shared" si="3594"/>
        <v>2021</v>
      </c>
      <c r="E1835" s="1" t="str">
        <f>"12.09"</f>
        <v>12.09</v>
      </c>
      <c r="F1835" s="1" t="str">
        <f t="shared" ref="F1835:I1835" si="3679">"0"</f>
        <v>0</v>
      </c>
      <c r="G1835" s="1" t="str">
        <f t="shared" si="3679"/>
        <v>0</v>
      </c>
      <c r="H1835" s="1" t="str">
        <f t="shared" si="3679"/>
        <v>0</v>
      </c>
      <c r="I1835" s="1" t="str">
        <f t="shared" si="3679"/>
        <v>0</v>
      </c>
      <c r="J1835" s="1" t="str">
        <f>"1"</f>
        <v>1</v>
      </c>
      <c r="K1835" s="1" t="str">
        <f t="shared" ref="K1835:P1835" si="3680">"0"</f>
        <v>0</v>
      </c>
      <c r="L1835" s="1" t="str">
        <f t="shared" si="3680"/>
        <v>0</v>
      </c>
      <c r="M1835" s="1" t="str">
        <f t="shared" si="3680"/>
        <v>0</v>
      </c>
      <c r="N1835" s="1" t="str">
        <f t="shared" si="3680"/>
        <v>0</v>
      </c>
      <c r="O1835" s="1" t="str">
        <f t="shared" si="3680"/>
        <v>0</v>
      </c>
      <c r="P1835" s="1" t="str">
        <f t="shared" si="3680"/>
        <v>0</v>
      </c>
      <c r="Q1835" s="1" t="str">
        <f t="shared" si="3597"/>
        <v>0.0070</v>
      </c>
      <c r="R1835" s="1" t="s">
        <v>29</v>
      </c>
      <c r="S1835" s="1">
        <v>-0.0014</v>
      </c>
      <c r="T1835" s="1" t="str">
        <f t="shared" si="3598"/>
        <v>0</v>
      </c>
      <c r="U1835" s="1" t="str">
        <f t="shared" si="3672"/>
        <v>0.0056</v>
      </c>
    </row>
    <row r="1836" s="1" customFormat="1" spans="1:21">
      <c r="A1836" s="1" t="str">
        <f>"4601992026911"</f>
        <v>4601992026911</v>
      </c>
      <c r="B1836" s="1" t="s">
        <v>1860</v>
      </c>
      <c r="C1836" s="1" t="s">
        <v>24</v>
      </c>
      <c r="D1836" s="1" t="str">
        <f t="shared" si="3594"/>
        <v>2021</v>
      </c>
      <c r="E1836" s="1" t="str">
        <f t="shared" ref="E1836:P1836" si="3681">"0"</f>
        <v>0</v>
      </c>
      <c r="F1836" s="1" t="str">
        <f t="shared" si="3681"/>
        <v>0</v>
      </c>
      <c r="G1836" s="1" t="str">
        <f t="shared" si="3681"/>
        <v>0</v>
      </c>
      <c r="H1836" s="1" t="str">
        <f t="shared" si="3681"/>
        <v>0</v>
      </c>
      <c r="I1836" s="1" t="str">
        <f t="shared" si="3681"/>
        <v>0</v>
      </c>
      <c r="J1836" s="1" t="str">
        <f t="shared" si="3681"/>
        <v>0</v>
      </c>
      <c r="K1836" s="1" t="str">
        <f t="shared" si="3681"/>
        <v>0</v>
      </c>
      <c r="L1836" s="1" t="str">
        <f t="shared" si="3681"/>
        <v>0</v>
      </c>
      <c r="M1836" s="1" t="str">
        <f t="shared" si="3681"/>
        <v>0</v>
      </c>
      <c r="N1836" s="1" t="str">
        <f t="shared" si="3681"/>
        <v>0</v>
      </c>
      <c r="O1836" s="1" t="str">
        <f t="shared" si="3681"/>
        <v>0</v>
      </c>
      <c r="P1836" s="1" t="str">
        <f t="shared" si="3681"/>
        <v>0</v>
      </c>
      <c r="Q1836" s="1" t="str">
        <f t="shared" si="3597"/>
        <v>0.0070</v>
      </c>
      <c r="R1836" s="1" t="s">
        <v>25</v>
      </c>
      <c r="T1836" s="1" t="str">
        <f t="shared" si="3598"/>
        <v>0</v>
      </c>
      <c r="U1836" s="1" t="str">
        <f>"0.0070"</f>
        <v>0.0070</v>
      </c>
    </row>
    <row r="1837" s="1" customFormat="1" spans="1:21">
      <c r="A1837" s="1" t="str">
        <f>"4601992026875"</f>
        <v>4601992026875</v>
      </c>
      <c r="B1837" s="1" t="s">
        <v>1861</v>
      </c>
      <c r="C1837" s="1" t="s">
        <v>24</v>
      </c>
      <c r="D1837" s="1" t="str">
        <f t="shared" si="3594"/>
        <v>2021</v>
      </c>
      <c r="E1837" s="1" t="str">
        <f>"203.74"</f>
        <v>203.74</v>
      </c>
      <c r="F1837" s="1" t="str">
        <f t="shared" ref="F1837:I1837" si="3682">"0"</f>
        <v>0</v>
      </c>
      <c r="G1837" s="1" t="str">
        <f t="shared" si="3682"/>
        <v>0</v>
      </c>
      <c r="H1837" s="1" t="str">
        <f t="shared" si="3682"/>
        <v>0</v>
      </c>
      <c r="I1837" s="1" t="str">
        <f t="shared" si="3682"/>
        <v>0</v>
      </c>
      <c r="J1837" s="1" t="str">
        <f>"24"</f>
        <v>24</v>
      </c>
      <c r="K1837" s="1" t="str">
        <f t="shared" ref="K1837:P1837" si="3683">"0"</f>
        <v>0</v>
      </c>
      <c r="L1837" s="1" t="str">
        <f t="shared" si="3683"/>
        <v>0</v>
      </c>
      <c r="M1837" s="1" t="str">
        <f t="shared" si="3683"/>
        <v>0</v>
      </c>
      <c r="N1837" s="1" t="str">
        <f t="shared" si="3683"/>
        <v>0</v>
      </c>
      <c r="O1837" s="1" t="str">
        <f t="shared" si="3683"/>
        <v>0</v>
      </c>
      <c r="P1837" s="1" t="str">
        <f t="shared" si="3683"/>
        <v>0</v>
      </c>
      <c r="Q1837" s="1" t="str">
        <f t="shared" si="3597"/>
        <v>0.0070</v>
      </c>
      <c r="R1837" s="1" t="s">
        <v>29</v>
      </c>
      <c r="S1837" s="1">
        <v>-0.0014</v>
      </c>
      <c r="T1837" s="1" t="str">
        <f t="shared" si="3598"/>
        <v>0</v>
      </c>
      <c r="U1837" s="1" t="str">
        <f t="shared" ref="U1837:U1843" si="3684">"0.0056"</f>
        <v>0.0056</v>
      </c>
    </row>
    <row r="1838" s="1" customFormat="1" spans="1:21">
      <c r="A1838" s="1" t="str">
        <f>"4601992026837"</f>
        <v>4601992026837</v>
      </c>
      <c r="B1838" s="1" t="s">
        <v>1862</v>
      </c>
      <c r="C1838" s="1" t="s">
        <v>24</v>
      </c>
      <c r="D1838" s="1" t="str">
        <f t="shared" si="3594"/>
        <v>2021</v>
      </c>
      <c r="E1838" s="1" t="str">
        <f>"48.36"</f>
        <v>48.36</v>
      </c>
      <c r="F1838" s="1" t="str">
        <f t="shared" ref="F1838:I1838" si="3685">"0"</f>
        <v>0</v>
      </c>
      <c r="G1838" s="1" t="str">
        <f t="shared" si="3685"/>
        <v>0</v>
      </c>
      <c r="H1838" s="1" t="str">
        <f t="shared" si="3685"/>
        <v>0</v>
      </c>
      <c r="I1838" s="1" t="str">
        <f t="shared" si="3685"/>
        <v>0</v>
      </c>
      <c r="J1838" s="1" t="str">
        <f>"4"</f>
        <v>4</v>
      </c>
      <c r="K1838" s="1" t="str">
        <f t="shared" ref="K1838:P1838" si="3686">"0"</f>
        <v>0</v>
      </c>
      <c r="L1838" s="1" t="str">
        <f t="shared" si="3686"/>
        <v>0</v>
      </c>
      <c r="M1838" s="1" t="str">
        <f t="shared" si="3686"/>
        <v>0</v>
      </c>
      <c r="N1838" s="1" t="str">
        <f t="shared" si="3686"/>
        <v>0</v>
      </c>
      <c r="O1838" s="1" t="str">
        <f t="shared" si="3686"/>
        <v>0</v>
      </c>
      <c r="P1838" s="1" t="str">
        <f t="shared" si="3686"/>
        <v>0</v>
      </c>
      <c r="Q1838" s="1" t="str">
        <f t="shared" si="3597"/>
        <v>0.0070</v>
      </c>
      <c r="R1838" s="1" t="s">
        <v>29</v>
      </c>
      <c r="S1838" s="1">
        <v>-0.0014</v>
      </c>
      <c r="T1838" s="1" t="str">
        <f t="shared" si="3598"/>
        <v>0</v>
      </c>
      <c r="U1838" s="1" t="str">
        <f t="shared" si="3684"/>
        <v>0.0056</v>
      </c>
    </row>
    <row r="1839" s="1" customFormat="1" spans="1:21">
      <c r="A1839" s="1" t="str">
        <f>"4601992026913"</f>
        <v>4601992026913</v>
      </c>
      <c r="B1839" s="1" t="s">
        <v>1863</v>
      </c>
      <c r="C1839" s="1" t="s">
        <v>24</v>
      </c>
      <c r="D1839" s="1" t="str">
        <f t="shared" si="3594"/>
        <v>2021</v>
      </c>
      <c r="E1839" s="1" t="str">
        <f>"24.34"</f>
        <v>24.34</v>
      </c>
      <c r="F1839" s="1" t="str">
        <f t="shared" ref="F1839:I1839" si="3687">"0"</f>
        <v>0</v>
      </c>
      <c r="G1839" s="1" t="str">
        <f t="shared" si="3687"/>
        <v>0</v>
      </c>
      <c r="H1839" s="1" t="str">
        <f t="shared" si="3687"/>
        <v>0</v>
      </c>
      <c r="I1839" s="1" t="str">
        <f t="shared" si="3687"/>
        <v>0</v>
      </c>
      <c r="J1839" s="1" t="str">
        <f t="shared" ref="J1839:J1841" si="3688">"2"</f>
        <v>2</v>
      </c>
      <c r="K1839" s="1" t="str">
        <f t="shared" ref="K1839:P1839" si="3689">"0"</f>
        <v>0</v>
      </c>
      <c r="L1839" s="1" t="str">
        <f t="shared" si="3689"/>
        <v>0</v>
      </c>
      <c r="M1839" s="1" t="str">
        <f t="shared" si="3689"/>
        <v>0</v>
      </c>
      <c r="N1839" s="1" t="str">
        <f t="shared" si="3689"/>
        <v>0</v>
      </c>
      <c r="O1839" s="1" t="str">
        <f t="shared" si="3689"/>
        <v>0</v>
      </c>
      <c r="P1839" s="1" t="str">
        <f t="shared" si="3689"/>
        <v>0</v>
      </c>
      <c r="Q1839" s="1" t="str">
        <f t="shared" si="3597"/>
        <v>0.0070</v>
      </c>
      <c r="R1839" s="1" t="s">
        <v>29</v>
      </c>
      <c r="S1839" s="1">
        <v>-0.0014</v>
      </c>
      <c r="T1839" s="1" t="str">
        <f t="shared" si="3598"/>
        <v>0</v>
      </c>
      <c r="U1839" s="1" t="str">
        <f t="shared" si="3684"/>
        <v>0.0056</v>
      </c>
    </row>
    <row r="1840" s="1" customFormat="1" spans="1:21">
      <c r="A1840" s="1" t="str">
        <f>"4601992026914"</f>
        <v>4601992026914</v>
      </c>
      <c r="B1840" s="1" t="s">
        <v>1864</v>
      </c>
      <c r="C1840" s="1" t="s">
        <v>24</v>
      </c>
      <c r="D1840" s="1" t="str">
        <f t="shared" si="3594"/>
        <v>2021</v>
      </c>
      <c r="E1840" s="1" t="str">
        <f>"24.18"</f>
        <v>24.18</v>
      </c>
      <c r="F1840" s="1" t="str">
        <f t="shared" ref="F1840:I1840" si="3690">"0"</f>
        <v>0</v>
      </c>
      <c r="G1840" s="1" t="str">
        <f t="shared" si="3690"/>
        <v>0</v>
      </c>
      <c r="H1840" s="1" t="str">
        <f t="shared" si="3690"/>
        <v>0</v>
      </c>
      <c r="I1840" s="1" t="str">
        <f t="shared" si="3690"/>
        <v>0</v>
      </c>
      <c r="J1840" s="1" t="str">
        <f t="shared" si="3688"/>
        <v>2</v>
      </c>
      <c r="K1840" s="1" t="str">
        <f t="shared" ref="K1840:P1840" si="3691">"0"</f>
        <v>0</v>
      </c>
      <c r="L1840" s="1" t="str">
        <f t="shared" si="3691"/>
        <v>0</v>
      </c>
      <c r="M1840" s="1" t="str">
        <f t="shared" si="3691"/>
        <v>0</v>
      </c>
      <c r="N1840" s="1" t="str">
        <f t="shared" si="3691"/>
        <v>0</v>
      </c>
      <c r="O1840" s="1" t="str">
        <f t="shared" si="3691"/>
        <v>0</v>
      </c>
      <c r="P1840" s="1" t="str">
        <f t="shared" si="3691"/>
        <v>0</v>
      </c>
      <c r="Q1840" s="1" t="str">
        <f t="shared" si="3597"/>
        <v>0.0070</v>
      </c>
      <c r="R1840" s="1" t="s">
        <v>29</v>
      </c>
      <c r="S1840" s="1">
        <v>-0.0014</v>
      </c>
      <c r="T1840" s="1" t="str">
        <f t="shared" si="3598"/>
        <v>0</v>
      </c>
      <c r="U1840" s="1" t="str">
        <f t="shared" si="3684"/>
        <v>0.0056</v>
      </c>
    </row>
    <row r="1841" s="1" customFormat="1" spans="1:21">
      <c r="A1841" s="1" t="str">
        <f>"4601992026924"</f>
        <v>4601992026924</v>
      </c>
      <c r="B1841" s="1" t="s">
        <v>1865</v>
      </c>
      <c r="C1841" s="1" t="s">
        <v>24</v>
      </c>
      <c r="D1841" s="1" t="str">
        <f t="shared" si="3594"/>
        <v>2021</v>
      </c>
      <c r="E1841" s="1" t="str">
        <f>"24.34"</f>
        <v>24.34</v>
      </c>
      <c r="F1841" s="1" t="str">
        <f t="shared" ref="F1841:I1841" si="3692">"0"</f>
        <v>0</v>
      </c>
      <c r="G1841" s="1" t="str">
        <f t="shared" si="3692"/>
        <v>0</v>
      </c>
      <c r="H1841" s="1" t="str">
        <f t="shared" si="3692"/>
        <v>0</v>
      </c>
      <c r="I1841" s="1" t="str">
        <f t="shared" si="3692"/>
        <v>0</v>
      </c>
      <c r="J1841" s="1" t="str">
        <f t="shared" si="3688"/>
        <v>2</v>
      </c>
      <c r="K1841" s="1" t="str">
        <f t="shared" ref="K1841:P1841" si="3693">"0"</f>
        <v>0</v>
      </c>
      <c r="L1841" s="1" t="str">
        <f t="shared" si="3693"/>
        <v>0</v>
      </c>
      <c r="M1841" s="1" t="str">
        <f t="shared" si="3693"/>
        <v>0</v>
      </c>
      <c r="N1841" s="1" t="str">
        <f t="shared" si="3693"/>
        <v>0</v>
      </c>
      <c r="O1841" s="1" t="str">
        <f t="shared" si="3693"/>
        <v>0</v>
      </c>
      <c r="P1841" s="1" t="str">
        <f t="shared" si="3693"/>
        <v>0</v>
      </c>
      <c r="Q1841" s="1" t="str">
        <f t="shared" si="3597"/>
        <v>0.0070</v>
      </c>
      <c r="R1841" s="1" t="s">
        <v>29</v>
      </c>
      <c r="S1841" s="1">
        <v>-0.0014</v>
      </c>
      <c r="T1841" s="1" t="str">
        <f t="shared" si="3598"/>
        <v>0</v>
      </c>
      <c r="U1841" s="1" t="str">
        <f t="shared" si="3684"/>
        <v>0.0056</v>
      </c>
    </row>
    <row r="1842" s="1" customFormat="1" spans="1:21">
      <c r="A1842" s="1" t="str">
        <f>"4601992026944"</f>
        <v>4601992026944</v>
      </c>
      <c r="B1842" s="1" t="s">
        <v>1866</v>
      </c>
      <c r="C1842" s="1" t="s">
        <v>24</v>
      </c>
      <c r="D1842" s="1" t="str">
        <f t="shared" si="3594"/>
        <v>2021</v>
      </c>
      <c r="E1842" s="1" t="str">
        <f>"12.09"</f>
        <v>12.09</v>
      </c>
      <c r="F1842" s="1" t="str">
        <f t="shared" ref="F1842:I1842" si="3694">"0"</f>
        <v>0</v>
      </c>
      <c r="G1842" s="1" t="str">
        <f t="shared" si="3694"/>
        <v>0</v>
      </c>
      <c r="H1842" s="1" t="str">
        <f t="shared" si="3694"/>
        <v>0</v>
      </c>
      <c r="I1842" s="1" t="str">
        <f t="shared" si="3694"/>
        <v>0</v>
      </c>
      <c r="J1842" s="1" t="str">
        <f>"1"</f>
        <v>1</v>
      </c>
      <c r="K1842" s="1" t="str">
        <f t="shared" ref="K1842:P1842" si="3695">"0"</f>
        <v>0</v>
      </c>
      <c r="L1842" s="1" t="str">
        <f t="shared" si="3695"/>
        <v>0</v>
      </c>
      <c r="M1842" s="1" t="str">
        <f t="shared" si="3695"/>
        <v>0</v>
      </c>
      <c r="N1842" s="1" t="str">
        <f t="shared" si="3695"/>
        <v>0</v>
      </c>
      <c r="O1842" s="1" t="str">
        <f t="shared" si="3695"/>
        <v>0</v>
      </c>
      <c r="P1842" s="1" t="str">
        <f t="shared" si="3695"/>
        <v>0</v>
      </c>
      <c r="Q1842" s="1" t="str">
        <f t="shared" si="3597"/>
        <v>0.0070</v>
      </c>
      <c r="R1842" s="1" t="s">
        <v>29</v>
      </c>
      <c r="S1842" s="1">
        <v>-0.0014</v>
      </c>
      <c r="T1842" s="1" t="str">
        <f t="shared" si="3598"/>
        <v>0</v>
      </c>
      <c r="U1842" s="1" t="str">
        <f t="shared" si="3684"/>
        <v>0.0056</v>
      </c>
    </row>
    <row r="1843" s="1" customFormat="1" spans="1:21">
      <c r="A1843" s="1" t="str">
        <f>"4601992026965"</f>
        <v>4601992026965</v>
      </c>
      <c r="B1843" s="1" t="s">
        <v>1867</v>
      </c>
      <c r="C1843" s="1" t="s">
        <v>24</v>
      </c>
      <c r="D1843" s="1" t="str">
        <f t="shared" si="3594"/>
        <v>2021</v>
      </c>
      <c r="E1843" s="1" t="str">
        <f>"12.25"</f>
        <v>12.25</v>
      </c>
      <c r="F1843" s="1" t="str">
        <f t="shared" ref="F1843:I1843" si="3696">"0"</f>
        <v>0</v>
      </c>
      <c r="G1843" s="1" t="str">
        <f t="shared" si="3696"/>
        <v>0</v>
      </c>
      <c r="H1843" s="1" t="str">
        <f t="shared" si="3696"/>
        <v>0</v>
      </c>
      <c r="I1843" s="1" t="str">
        <f t="shared" si="3696"/>
        <v>0</v>
      </c>
      <c r="J1843" s="1" t="str">
        <f>"1"</f>
        <v>1</v>
      </c>
      <c r="K1843" s="1" t="str">
        <f t="shared" ref="K1843:P1843" si="3697">"0"</f>
        <v>0</v>
      </c>
      <c r="L1843" s="1" t="str">
        <f t="shared" si="3697"/>
        <v>0</v>
      </c>
      <c r="M1843" s="1" t="str">
        <f t="shared" si="3697"/>
        <v>0</v>
      </c>
      <c r="N1843" s="1" t="str">
        <f t="shared" si="3697"/>
        <v>0</v>
      </c>
      <c r="O1843" s="1" t="str">
        <f t="shared" si="3697"/>
        <v>0</v>
      </c>
      <c r="P1843" s="1" t="str">
        <f t="shared" si="3697"/>
        <v>0</v>
      </c>
      <c r="Q1843" s="1" t="str">
        <f t="shared" si="3597"/>
        <v>0.0070</v>
      </c>
      <c r="R1843" s="1" t="s">
        <v>29</v>
      </c>
      <c r="S1843" s="1">
        <v>-0.0014</v>
      </c>
      <c r="T1843" s="1" t="str">
        <f t="shared" si="3598"/>
        <v>0</v>
      </c>
      <c r="U1843" s="1" t="str">
        <f t="shared" si="3684"/>
        <v>0.0056</v>
      </c>
    </row>
    <row r="1844" s="1" customFormat="1" spans="1:21">
      <c r="A1844" s="1" t="str">
        <f>"4601992026947"</f>
        <v>4601992026947</v>
      </c>
      <c r="B1844" s="1" t="s">
        <v>1868</v>
      </c>
      <c r="C1844" s="1" t="s">
        <v>24</v>
      </c>
      <c r="D1844" s="1" t="str">
        <f t="shared" si="3594"/>
        <v>2021</v>
      </c>
      <c r="E1844" s="1" t="str">
        <f>"12.09"</f>
        <v>12.09</v>
      </c>
      <c r="F1844" s="1" t="str">
        <f t="shared" ref="F1844:I1844" si="3698">"0"</f>
        <v>0</v>
      </c>
      <c r="G1844" s="1" t="str">
        <f t="shared" si="3698"/>
        <v>0</v>
      </c>
      <c r="H1844" s="1" t="str">
        <f t="shared" si="3698"/>
        <v>0</v>
      </c>
      <c r="I1844" s="1" t="str">
        <f t="shared" si="3698"/>
        <v>0</v>
      </c>
      <c r="J1844" s="1" t="str">
        <f t="shared" ref="J1844:J1848" si="3699">"2"</f>
        <v>2</v>
      </c>
      <c r="K1844" s="1" t="str">
        <f t="shared" ref="K1844:P1844" si="3700">"0"</f>
        <v>0</v>
      </c>
      <c r="L1844" s="1" t="str">
        <f t="shared" si="3700"/>
        <v>0</v>
      </c>
      <c r="M1844" s="1" t="str">
        <f t="shared" si="3700"/>
        <v>0</v>
      </c>
      <c r="N1844" s="1" t="str">
        <f t="shared" si="3700"/>
        <v>0</v>
      </c>
      <c r="O1844" s="1" t="str">
        <f t="shared" si="3700"/>
        <v>0</v>
      </c>
      <c r="P1844" s="1" t="str">
        <f t="shared" si="3700"/>
        <v>0</v>
      </c>
      <c r="Q1844" s="1" t="str">
        <f t="shared" si="3597"/>
        <v>0.0070</v>
      </c>
      <c r="R1844" s="1" t="s">
        <v>25</v>
      </c>
      <c r="T1844" s="1" t="str">
        <f t="shared" si="3598"/>
        <v>0</v>
      </c>
      <c r="U1844" s="1" t="str">
        <f t="shared" ref="U1844:U1850" si="3701">"0.0070"</f>
        <v>0.0070</v>
      </c>
    </row>
    <row r="1845" s="1" customFormat="1" spans="1:21">
      <c r="A1845" s="1" t="str">
        <f>"4601992027005"</f>
        <v>4601992027005</v>
      </c>
      <c r="B1845" s="1" t="s">
        <v>1869</v>
      </c>
      <c r="C1845" s="1" t="s">
        <v>24</v>
      </c>
      <c r="D1845" s="1" t="str">
        <f t="shared" si="3594"/>
        <v>2021</v>
      </c>
      <c r="E1845" s="1" t="str">
        <f>"24.18"</f>
        <v>24.18</v>
      </c>
      <c r="F1845" s="1" t="str">
        <f t="shared" ref="F1845:I1845" si="3702">"0"</f>
        <v>0</v>
      </c>
      <c r="G1845" s="1" t="str">
        <f t="shared" si="3702"/>
        <v>0</v>
      </c>
      <c r="H1845" s="1" t="str">
        <f t="shared" si="3702"/>
        <v>0</v>
      </c>
      <c r="I1845" s="1" t="str">
        <f t="shared" si="3702"/>
        <v>0</v>
      </c>
      <c r="J1845" s="1" t="str">
        <f t="shared" si="3699"/>
        <v>2</v>
      </c>
      <c r="K1845" s="1" t="str">
        <f t="shared" ref="K1845:P1845" si="3703">"0"</f>
        <v>0</v>
      </c>
      <c r="L1845" s="1" t="str">
        <f t="shared" si="3703"/>
        <v>0</v>
      </c>
      <c r="M1845" s="1" t="str">
        <f t="shared" si="3703"/>
        <v>0</v>
      </c>
      <c r="N1845" s="1" t="str">
        <f t="shared" si="3703"/>
        <v>0</v>
      </c>
      <c r="O1845" s="1" t="str">
        <f t="shared" si="3703"/>
        <v>0</v>
      </c>
      <c r="P1845" s="1" t="str">
        <f t="shared" si="3703"/>
        <v>0</v>
      </c>
      <c r="Q1845" s="1" t="str">
        <f t="shared" si="3597"/>
        <v>0.0070</v>
      </c>
      <c r="R1845" s="1" t="s">
        <v>29</v>
      </c>
      <c r="S1845" s="1">
        <v>-0.0014</v>
      </c>
      <c r="T1845" s="1" t="str">
        <f t="shared" si="3598"/>
        <v>0</v>
      </c>
      <c r="U1845" s="1" t="str">
        <f t="shared" ref="U1845:U1848" si="3704">"0.0056"</f>
        <v>0.0056</v>
      </c>
    </row>
    <row r="1846" s="1" customFormat="1" spans="1:21">
      <c r="A1846" s="1" t="str">
        <f>"4601992027056"</f>
        <v>4601992027056</v>
      </c>
      <c r="B1846" s="1" t="s">
        <v>1870</v>
      </c>
      <c r="C1846" s="1" t="s">
        <v>24</v>
      </c>
      <c r="D1846" s="1" t="str">
        <f t="shared" si="3594"/>
        <v>2021</v>
      </c>
      <c r="E1846" s="1" t="str">
        <f t="shared" ref="E1846:G1846" si="3705">"0"</f>
        <v>0</v>
      </c>
      <c r="F1846" s="1" t="str">
        <f t="shared" si="3705"/>
        <v>0</v>
      </c>
      <c r="G1846" s="1" t="str">
        <f t="shared" si="3705"/>
        <v>0</v>
      </c>
      <c r="H1846" s="1" t="str">
        <f>"13.65"</f>
        <v>13.65</v>
      </c>
      <c r="I1846" s="1" t="str">
        <f t="shared" ref="I1846:P1846" si="3706">"0"</f>
        <v>0</v>
      </c>
      <c r="J1846" s="1" t="str">
        <f t="shared" si="3706"/>
        <v>0</v>
      </c>
      <c r="K1846" s="1" t="str">
        <f t="shared" si="3706"/>
        <v>0</v>
      </c>
      <c r="L1846" s="1" t="str">
        <f t="shared" si="3706"/>
        <v>0</v>
      </c>
      <c r="M1846" s="1" t="str">
        <f t="shared" si="3706"/>
        <v>0</v>
      </c>
      <c r="N1846" s="1" t="str">
        <f t="shared" si="3706"/>
        <v>0</v>
      </c>
      <c r="O1846" s="1" t="str">
        <f t="shared" si="3706"/>
        <v>0</v>
      </c>
      <c r="P1846" s="1" t="str">
        <f t="shared" si="3706"/>
        <v>0</v>
      </c>
      <c r="Q1846" s="1" t="str">
        <f t="shared" si="3597"/>
        <v>0.0070</v>
      </c>
      <c r="R1846" s="1" t="s">
        <v>25</v>
      </c>
      <c r="T1846" s="1" t="str">
        <f t="shared" si="3598"/>
        <v>0</v>
      </c>
      <c r="U1846" s="1" t="str">
        <f t="shared" si="3701"/>
        <v>0.0070</v>
      </c>
    </row>
    <row r="1847" s="1" customFormat="1" spans="1:21">
      <c r="A1847" s="1" t="str">
        <f>"4601992027007"</f>
        <v>4601992027007</v>
      </c>
      <c r="B1847" s="1" t="s">
        <v>1871</v>
      </c>
      <c r="C1847" s="1" t="s">
        <v>24</v>
      </c>
      <c r="D1847" s="1" t="str">
        <f t="shared" si="3594"/>
        <v>2021</v>
      </c>
      <c r="E1847" s="1" t="str">
        <f>"60.45"</f>
        <v>60.45</v>
      </c>
      <c r="F1847" s="1" t="str">
        <f t="shared" ref="F1847:I1847" si="3707">"0"</f>
        <v>0</v>
      </c>
      <c r="G1847" s="1" t="str">
        <f t="shared" si="3707"/>
        <v>0</v>
      </c>
      <c r="H1847" s="1" t="str">
        <f t="shared" si="3707"/>
        <v>0</v>
      </c>
      <c r="I1847" s="1" t="str">
        <f t="shared" si="3707"/>
        <v>0</v>
      </c>
      <c r="J1847" s="1" t="str">
        <f>"6"</f>
        <v>6</v>
      </c>
      <c r="K1847" s="1" t="str">
        <f t="shared" ref="K1847:P1847" si="3708">"0"</f>
        <v>0</v>
      </c>
      <c r="L1847" s="1" t="str">
        <f t="shared" si="3708"/>
        <v>0</v>
      </c>
      <c r="M1847" s="1" t="str">
        <f t="shared" si="3708"/>
        <v>0</v>
      </c>
      <c r="N1847" s="1" t="str">
        <f t="shared" si="3708"/>
        <v>0</v>
      </c>
      <c r="O1847" s="1" t="str">
        <f t="shared" si="3708"/>
        <v>0</v>
      </c>
      <c r="P1847" s="1" t="str">
        <f t="shared" si="3708"/>
        <v>0</v>
      </c>
      <c r="Q1847" s="1" t="str">
        <f t="shared" si="3597"/>
        <v>0.0070</v>
      </c>
      <c r="R1847" s="1" t="s">
        <v>29</v>
      </c>
      <c r="S1847" s="1">
        <v>-0.0014</v>
      </c>
      <c r="T1847" s="1" t="str">
        <f t="shared" si="3598"/>
        <v>0</v>
      </c>
      <c r="U1847" s="1" t="str">
        <f t="shared" si="3704"/>
        <v>0.0056</v>
      </c>
    </row>
    <row r="1848" s="1" customFormat="1" spans="1:21">
      <c r="A1848" s="1" t="str">
        <f>"4601992027079"</f>
        <v>4601992027079</v>
      </c>
      <c r="B1848" s="1" t="s">
        <v>1872</v>
      </c>
      <c r="C1848" s="1" t="s">
        <v>24</v>
      </c>
      <c r="D1848" s="1" t="str">
        <f t="shared" si="3594"/>
        <v>2021</v>
      </c>
      <c r="E1848" s="1" t="str">
        <f>"12.09"</f>
        <v>12.09</v>
      </c>
      <c r="F1848" s="1" t="str">
        <f t="shared" ref="F1848:I1848" si="3709">"0"</f>
        <v>0</v>
      </c>
      <c r="G1848" s="1" t="str">
        <f t="shared" si="3709"/>
        <v>0</v>
      </c>
      <c r="H1848" s="1" t="str">
        <f t="shared" si="3709"/>
        <v>0</v>
      </c>
      <c r="I1848" s="1" t="str">
        <f t="shared" si="3709"/>
        <v>0</v>
      </c>
      <c r="J1848" s="1" t="str">
        <f t="shared" si="3699"/>
        <v>2</v>
      </c>
      <c r="K1848" s="1" t="str">
        <f t="shared" ref="K1848:P1848" si="3710">"0"</f>
        <v>0</v>
      </c>
      <c r="L1848" s="1" t="str">
        <f t="shared" si="3710"/>
        <v>0</v>
      </c>
      <c r="M1848" s="1" t="str">
        <f t="shared" si="3710"/>
        <v>0</v>
      </c>
      <c r="N1848" s="1" t="str">
        <f t="shared" si="3710"/>
        <v>0</v>
      </c>
      <c r="O1848" s="1" t="str">
        <f t="shared" si="3710"/>
        <v>0</v>
      </c>
      <c r="P1848" s="1" t="str">
        <f t="shared" si="3710"/>
        <v>0</v>
      </c>
      <c r="Q1848" s="1" t="str">
        <f t="shared" si="3597"/>
        <v>0.0070</v>
      </c>
      <c r="R1848" s="1" t="s">
        <v>29</v>
      </c>
      <c r="S1848" s="1">
        <v>-0.0014</v>
      </c>
      <c r="T1848" s="1" t="str">
        <f t="shared" si="3598"/>
        <v>0</v>
      </c>
      <c r="U1848" s="1" t="str">
        <f t="shared" si="3704"/>
        <v>0.0056</v>
      </c>
    </row>
    <row r="1849" s="1" customFormat="1" spans="1:21">
      <c r="A1849" s="1" t="str">
        <f>"4601992027186"</f>
        <v>4601992027186</v>
      </c>
      <c r="B1849" s="1" t="s">
        <v>1873</v>
      </c>
      <c r="C1849" s="1" t="s">
        <v>24</v>
      </c>
      <c r="D1849" s="1" t="str">
        <f t="shared" si="3594"/>
        <v>2021</v>
      </c>
      <c r="E1849" s="1" t="str">
        <f t="shared" ref="E1849:P1849" si="3711">"0"</f>
        <v>0</v>
      </c>
      <c r="F1849" s="1" t="str">
        <f t="shared" si="3711"/>
        <v>0</v>
      </c>
      <c r="G1849" s="1" t="str">
        <f t="shared" si="3711"/>
        <v>0</v>
      </c>
      <c r="H1849" s="1" t="str">
        <f t="shared" si="3711"/>
        <v>0</v>
      </c>
      <c r="I1849" s="1" t="str">
        <f t="shared" si="3711"/>
        <v>0</v>
      </c>
      <c r="J1849" s="1" t="str">
        <f t="shared" si="3711"/>
        <v>0</v>
      </c>
      <c r="K1849" s="1" t="str">
        <f t="shared" si="3711"/>
        <v>0</v>
      </c>
      <c r="L1849" s="1" t="str">
        <f t="shared" si="3711"/>
        <v>0</v>
      </c>
      <c r="M1849" s="1" t="str">
        <f t="shared" si="3711"/>
        <v>0</v>
      </c>
      <c r="N1849" s="1" t="str">
        <f t="shared" si="3711"/>
        <v>0</v>
      </c>
      <c r="O1849" s="1" t="str">
        <f t="shared" si="3711"/>
        <v>0</v>
      </c>
      <c r="P1849" s="1" t="str">
        <f t="shared" si="3711"/>
        <v>0</v>
      </c>
      <c r="Q1849" s="1" t="str">
        <f t="shared" si="3597"/>
        <v>0.0070</v>
      </c>
      <c r="R1849" s="1" t="s">
        <v>25</v>
      </c>
      <c r="T1849" s="1" t="str">
        <f t="shared" si="3598"/>
        <v>0</v>
      </c>
      <c r="U1849" s="1" t="str">
        <f t="shared" si="3701"/>
        <v>0.0070</v>
      </c>
    </row>
    <row r="1850" s="1" customFormat="1" spans="1:21">
      <c r="A1850" s="1" t="str">
        <f>"4601992027128"</f>
        <v>4601992027128</v>
      </c>
      <c r="B1850" s="1" t="s">
        <v>1874</v>
      </c>
      <c r="C1850" s="1" t="s">
        <v>24</v>
      </c>
      <c r="D1850" s="1" t="str">
        <f t="shared" si="3594"/>
        <v>2021</v>
      </c>
      <c r="E1850" s="1" t="str">
        <f t="shared" ref="E1850:G1850" si="3712">"0"</f>
        <v>0</v>
      </c>
      <c r="F1850" s="1" t="str">
        <f t="shared" si="3712"/>
        <v>0</v>
      </c>
      <c r="G1850" s="1" t="str">
        <f t="shared" si="3712"/>
        <v>0</v>
      </c>
      <c r="H1850" s="1" t="str">
        <f>"59.90"</f>
        <v>59.90</v>
      </c>
      <c r="I1850" s="1" t="str">
        <f t="shared" ref="I1850:P1850" si="3713">"0"</f>
        <v>0</v>
      </c>
      <c r="J1850" s="1" t="str">
        <f>"5"</f>
        <v>5</v>
      </c>
      <c r="K1850" s="1" t="str">
        <f t="shared" si="3713"/>
        <v>0</v>
      </c>
      <c r="L1850" s="1" t="str">
        <f t="shared" si="3713"/>
        <v>0</v>
      </c>
      <c r="M1850" s="1" t="str">
        <f t="shared" si="3713"/>
        <v>0</v>
      </c>
      <c r="N1850" s="1" t="str">
        <f t="shared" si="3713"/>
        <v>0</v>
      </c>
      <c r="O1850" s="1" t="str">
        <f t="shared" si="3713"/>
        <v>0</v>
      </c>
      <c r="P1850" s="1" t="str">
        <f t="shared" si="3713"/>
        <v>0</v>
      </c>
      <c r="Q1850" s="1" t="str">
        <f t="shared" si="3597"/>
        <v>0.0070</v>
      </c>
      <c r="R1850" s="1" t="s">
        <v>25</v>
      </c>
      <c r="T1850" s="1" t="str">
        <f t="shared" si="3598"/>
        <v>0</v>
      </c>
      <c r="U1850" s="1" t="str">
        <f t="shared" si="3701"/>
        <v>0.0070</v>
      </c>
    </row>
    <row r="1851" s="1" customFormat="1" spans="1:21">
      <c r="A1851" s="1" t="str">
        <f>"4601992027130"</f>
        <v>4601992027130</v>
      </c>
      <c r="B1851" s="1" t="s">
        <v>1875</v>
      </c>
      <c r="C1851" s="1" t="s">
        <v>24</v>
      </c>
      <c r="D1851" s="1" t="str">
        <f t="shared" si="3594"/>
        <v>2021</v>
      </c>
      <c r="E1851" s="1" t="str">
        <f t="shared" ref="E1851:E1855" si="3714">"24.18"</f>
        <v>24.18</v>
      </c>
      <c r="F1851" s="1" t="str">
        <f t="shared" ref="F1851:I1851" si="3715">"0"</f>
        <v>0</v>
      </c>
      <c r="G1851" s="1" t="str">
        <f t="shared" si="3715"/>
        <v>0</v>
      </c>
      <c r="H1851" s="1" t="str">
        <f t="shared" si="3715"/>
        <v>0</v>
      </c>
      <c r="I1851" s="1" t="str">
        <f t="shared" si="3715"/>
        <v>0</v>
      </c>
      <c r="J1851" s="1" t="str">
        <f t="shared" ref="J1851:J1855" si="3716">"2"</f>
        <v>2</v>
      </c>
      <c r="K1851" s="1" t="str">
        <f t="shared" ref="K1851:P1851" si="3717">"0"</f>
        <v>0</v>
      </c>
      <c r="L1851" s="1" t="str">
        <f t="shared" si="3717"/>
        <v>0</v>
      </c>
      <c r="M1851" s="1" t="str">
        <f t="shared" si="3717"/>
        <v>0</v>
      </c>
      <c r="N1851" s="1" t="str">
        <f t="shared" si="3717"/>
        <v>0</v>
      </c>
      <c r="O1851" s="1" t="str">
        <f t="shared" si="3717"/>
        <v>0</v>
      </c>
      <c r="P1851" s="1" t="str">
        <f t="shared" si="3717"/>
        <v>0</v>
      </c>
      <c r="Q1851" s="1" t="str">
        <f t="shared" si="3597"/>
        <v>0.0070</v>
      </c>
      <c r="R1851" s="1" t="s">
        <v>29</v>
      </c>
      <c r="S1851" s="1">
        <v>-0.0014</v>
      </c>
      <c r="T1851" s="1" t="str">
        <f t="shared" si="3598"/>
        <v>0</v>
      </c>
      <c r="U1851" s="1" t="str">
        <f t="shared" ref="U1851:U1861" si="3718">"0.0056"</f>
        <v>0.0056</v>
      </c>
    </row>
    <row r="1852" s="1" customFormat="1" spans="1:21">
      <c r="A1852" s="1" t="str">
        <f>"4601992027170"</f>
        <v>4601992027170</v>
      </c>
      <c r="B1852" s="1" t="s">
        <v>1876</v>
      </c>
      <c r="C1852" s="1" t="s">
        <v>24</v>
      </c>
      <c r="D1852" s="1" t="str">
        <f t="shared" si="3594"/>
        <v>2021</v>
      </c>
      <c r="E1852" s="1" t="str">
        <f t="shared" si="3714"/>
        <v>24.18</v>
      </c>
      <c r="F1852" s="1" t="str">
        <f t="shared" ref="F1852:I1852" si="3719">"0"</f>
        <v>0</v>
      </c>
      <c r="G1852" s="1" t="str">
        <f t="shared" si="3719"/>
        <v>0</v>
      </c>
      <c r="H1852" s="1" t="str">
        <f t="shared" si="3719"/>
        <v>0</v>
      </c>
      <c r="I1852" s="1" t="str">
        <f t="shared" si="3719"/>
        <v>0</v>
      </c>
      <c r="J1852" s="1" t="str">
        <f t="shared" si="3716"/>
        <v>2</v>
      </c>
      <c r="K1852" s="1" t="str">
        <f t="shared" ref="K1852:P1852" si="3720">"0"</f>
        <v>0</v>
      </c>
      <c r="L1852" s="1" t="str">
        <f t="shared" si="3720"/>
        <v>0</v>
      </c>
      <c r="M1852" s="1" t="str">
        <f t="shared" si="3720"/>
        <v>0</v>
      </c>
      <c r="N1852" s="1" t="str">
        <f t="shared" si="3720"/>
        <v>0</v>
      </c>
      <c r="O1852" s="1" t="str">
        <f t="shared" si="3720"/>
        <v>0</v>
      </c>
      <c r="P1852" s="1" t="str">
        <f t="shared" si="3720"/>
        <v>0</v>
      </c>
      <c r="Q1852" s="1" t="str">
        <f t="shared" si="3597"/>
        <v>0.0070</v>
      </c>
      <c r="R1852" s="1" t="s">
        <v>25</v>
      </c>
      <c r="T1852" s="1" t="str">
        <f t="shared" si="3598"/>
        <v>0</v>
      </c>
      <c r="U1852" s="1" t="str">
        <f>"0.0070"</f>
        <v>0.0070</v>
      </c>
    </row>
    <row r="1853" s="1" customFormat="1" spans="1:21">
      <c r="A1853" s="1" t="str">
        <f>"4601992027217"</f>
        <v>4601992027217</v>
      </c>
      <c r="B1853" s="1" t="s">
        <v>1877</v>
      </c>
      <c r="C1853" s="1" t="s">
        <v>24</v>
      </c>
      <c r="D1853" s="1" t="str">
        <f t="shared" si="3594"/>
        <v>2021</v>
      </c>
      <c r="E1853" s="1" t="str">
        <f>"12.09"</f>
        <v>12.09</v>
      </c>
      <c r="F1853" s="1" t="str">
        <f t="shared" ref="F1853:I1853" si="3721">"0"</f>
        <v>0</v>
      </c>
      <c r="G1853" s="1" t="str">
        <f t="shared" si="3721"/>
        <v>0</v>
      </c>
      <c r="H1853" s="1" t="str">
        <f t="shared" si="3721"/>
        <v>0</v>
      </c>
      <c r="I1853" s="1" t="str">
        <f t="shared" si="3721"/>
        <v>0</v>
      </c>
      <c r="J1853" s="1" t="str">
        <f>"1"</f>
        <v>1</v>
      </c>
      <c r="K1853" s="1" t="str">
        <f t="shared" ref="K1853:P1853" si="3722">"0"</f>
        <v>0</v>
      </c>
      <c r="L1853" s="1" t="str">
        <f t="shared" si="3722"/>
        <v>0</v>
      </c>
      <c r="M1853" s="1" t="str">
        <f t="shared" si="3722"/>
        <v>0</v>
      </c>
      <c r="N1853" s="1" t="str">
        <f t="shared" si="3722"/>
        <v>0</v>
      </c>
      <c r="O1853" s="1" t="str">
        <f t="shared" si="3722"/>
        <v>0</v>
      </c>
      <c r="P1853" s="1" t="str">
        <f t="shared" si="3722"/>
        <v>0</v>
      </c>
      <c r="Q1853" s="1" t="str">
        <f t="shared" si="3597"/>
        <v>0.0070</v>
      </c>
      <c r="R1853" s="1" t="s">
        <v>29</v>
      </c>
      <c r="S1853" s="1">
        <v>-0.0014</v>
      </c>
      <c r="T1853" s="1" t="str">
        <f t="shared" si="3598"/>
        <v>0</v>
      </c>
      <c r="U1853" s="1" t="str">
        <f t="shared" si="3718"/>
        <v>0.0056</v>
      </c>
    </row>
    <row r="1854" s="1" customFormat="1" spans="1:21">
      <c r="A1854" s="1" t="str">
        <f>"4601992027224"</f>
        <v>4601992027224</v>
      </c>
      <c r="B1854" s="1" t="s">
        <v>1878</v>
      </c>
      <c r="C1854" s="1" t="s">
        <v>24</v>
      </c>
      <c r="D1854" s="1" t="str">
        <f t="shared" si="3594"/>
        <v>2021</v>
      </c>
      <c r="E1854" s="1" t="str">
        <f>"12.09"</f>
        <v>12.09</v>
      </c>
      <c r="F1854" s="1" t="str">
        <f t="shared" ref="F1854:I1854" si="3723">"0"</f>
        <v>0</v>
      </c>
      <c r="G1854" s="1" t="str">
        <f t="shared" si="3723"/>
        <v>0</v>
      </c>
      <c r="H1854" s="1" t="str">
        <f t="shared" si="3723"/>
        <v>0</v>
      </c>
      <c r="I1854" s="1" t="str">
        <f t="shared" si="3723"/>
        <v>0</v>
      </c>
      <c r="J1854" s="1" t="str">
        <f>"1"</f>
        <v>1</v>
      </c>
      <c r="K1854" s="1" t="str">
        <f t="shared" ref="K1854:P1854" si="3724">"0"</f>
        <v>0</v>
      </c>
      <c r="L1854" s="1" t="str">
        <f t="shared" si="3724"/>
        <v>0</v>
      </c>
      <c r="M1854" s="1" t="str">
        <f t="shared" si="3724"/>
        <v>0</v>
      </c>
      <c r="N1854" s="1" t="str">
        <f t="shared" si="3724"/>
        <v>0</v>
      </c>
      <c r="O1854" s="1" t="str">
        <f t="shared" si="3724"/>
        <v>0</v>
      </c>
      <c r="P1854" s="1" t="str">
        <f t="shared" si="3724"/>
        <v>0</v>
      </c>
      <c r="Q1854" s="1" t="str">
        <f t="shared" si="3597"/>
        <v>0.0070</v>
      </c>
      <c r="R1854" s="1" t="s">
        <v>29</v>
      </c>
      <c r="S1854" s="1">
        <v>-0.0014</v>
      </c>
      <c r="T1854" s="1" t="str">
        <f t="shared" si="3598"/>
        <v>0</v>
      </c>
      <c r="U1854" s="1" t="str">
        <f t="shared" si="3718"/>
        <v>0.0056</v>
      </c>
    </row>
    <row r="1855" s="1" customFormat="1" spans="1:21">
      <c r="A1855" s="1" t="str">
        <f>"4601992027220"</f>
        <v>4601992027220</v>
      </c>
      <c r="B1855" s="1" t="s">
        <v>1879</v>
      </c>
      <c r="C1855" s="1" t="s">
        <v>24</v>
      </c>
      <c r="D1855" s="1" t="str">
        <f t="shared" si="3594"/>
        <v>2021</v>
      </c>
      <c r="E1855" s="1" t="str">
        <f t="shared" si="3714"/>
        <v>24.18</v>
      </c>
      <c r="F1855" s="1" t="str">
        <f t="shared" ref="F1855:I1855" si="3725">"0"</f>
        <v>0</v>
      </c>
      <c r="G1855" s="1" t="str">
        <f t="shared" si="3725"/>
        <v>0</v>
      </c>
      <c r="H1855" s="1" t="str">
        <f t="shared" si="3725"/>
        <v>0</v>
      </c>
      <c r="I1855" s="1" t="str">
        <f t="shared" si="3725"/>
        <v>0</v>
      </c>
      <c r="J1855" s="1" t="str">
        <f t="shared" si="3716"/>
        <v>2</v>
      </c>
      <c r="K1855" s="1" t="str">
        <f t="shared" ref="K1855:P1855" si="3726">"0"</f>
        <v>0</v>
      </c>
      <c r="L1855" s="1" t="str">
        <f t="shared" si="3726"/>
        <v>0</v>
      </c>
      <c r="M1855" s="1" t="str">
        <f t="shared" si="3726"/>
        <v>0</v>
      </c>
      <c r="N1855" s="1" t="str">
        <f t="shared" si="3726"/>
        <v>0</v>
      </c>
      <c r="O1855" s="1" t="str">
        <f t="shared" si="3726"/>
        <v>0</v>
      </c>
      <c r="P1855" s="1" t="str">
        <f t="shared" si="3726"/>
        <v>0</v>
      </c>
      <c r="Q1855" s="1" t="str">
        <f t="shared" si="3597"/>
        <v>0.0070</v>
      </c>
      <c r="R1855" s="1" t="s">
        <v>29</v>
      </c>
      <c r="S1855" s="1">
        <v>-0.0014</v>
      </c>
      <c r="T1855" s="1" t="str">
        <f t="shared" si="3598"/>
        <v>0</v>
      </c>
      <c r="U1855" s="1" t="str">
        <f t="shared" si="3718"/>
        <v>0.0056</v>
      </c>
    </row>
    <row r="1856" s="1" customFormat="1" spans="1:21">
      <c r="A1856" s="1" t="str">
        <f>"4601992027218"</f>
        <v>4601992027218</v>
      </c>
      <c r="B1856" s="1" t="s">
        <v>1880</v>
      </c>
      <c r="C1856" s="1" t="s">
        <v>24</v>
      </c>
      <c r="D1856" s="1" t="str">
        <f t="shared" si="3594"/>
        <v>2021</v>
      </c>
      <c r="E1856" s="1" t="str">
        <f>"4289.15"</f>
        <v>4289.15</v>
      </c>
      <c r="F1856" s="1" t="str">
        <f>"2413.04"</f>
        <v>2413.04</v>
      </c>
      <c r="G1856" s="1" t="str">
        <f t="shared" ref="G1856:L1856" si="3727">"0"</f>
        <v>0</v>
      </c>
      <c r="H1856" s="1" t="str">
        <f t="shared" si="3727"/>
        <v>0</v>
      </c>
      <c r="I1856" s="1" t="str">
        <f>"0.5626"</f>
        <v>0.5626</v>
      </c>
      <c r="J1856" s="1" t="str">
        <f>"260"</f>
        <v>260</v>
      </c>
      <c r="K1856" s="1" t="str">
        <f>"4"</f>
        <v>4</v>
      </c>
      <c r="L1856" s="1" t="str">
        <f t="shared" si="3727"/>
        <v>0</v>
      </c>
      <c r="M1856" s="1" t="str">
        <f>"0.0154"</f>
        <v>0.0154</v>
      </c>
      <c r="N1856" s="1" t="str">
        <f t="shared" ref="N1856:P1856" si="3728">"0"</f>
        <v>0</v>
      </c>
      <c r="O1856" s="1" t="str">
        <f t="shared" si="3728"/>
        <v>0</v>
      </c>
      <c r="P1856" s="1" t="str">
        <f t="shared" si="3728"/>
        <v>0</v>
      </c>
      <c r="Q1856" s="1" t="str">
        <f t="shared" si="3597"/>
        <v>0.0070</v>
      </c>
      <c r="R1856" s="1" t="s">
        <v>29</v>
      </c>
      <c r="S1856" s="1">
        <v>-0.0014</v>
      </c>
      <c r="T1856" s="1" t="str">
        <f t="shared" si="3598"/>
        <v>0</v>
      </c>
      <c r="U1856" s="1" t="str">
        <f t="shared" si="3718"/>
        <v>0.0056</v>
      </c>
    </row>
    <row r="1857" s="1" customFormat="1" spans="1:21">
      <c r="A1857" s="1" t="str">
        <f>"4601992027240"</f>
        <v>4601992027240</v>
      </c>
      <c r="B1857" s="1" t="s">
        <v>1881</v>
      </c>
      <c r="C1857" s="1" t="s">
        <v>24</v>
      </c>
      <c r="D1857" s="1" t="str">
        <f t="shared" si="3594"/>
        <v>2021</v>
      </c>
      <c r="E1857" s="1" t="str">
        <f>"96.72"</f>
        <v>96.72</v>
      </c>
      <c r="F1857" s="1" t="str">
        <f t="shared" ref="F1857:I1857" si="3729">"0"</f>
        <v>0</v>
      </c>
      <c r="G1857" s="1" t="str">
        <f t="shared" si="3729"/>
        <v>0</v>
      </c>
      <c r="H1857" s="1" t="str">
        <f t="shared" si="3729"/>
        <v>0</v>
      </c>
      <c r="I1857" s="1" t="str">
        <f t="shared" si="3729"/>
        <v>0</v>
      </c>
      <c r="J1857" s="1" t="str">
        <f>"8"</f>
        <v>8</v>
      </c>
      <c r="K1857" s="1" t="str">
        <f t="shared" ref="K1857:P1857" si="3730">"0"</f>
        <v>0</v>
      </c>
      <c r="L1857" s="1" t="str">
        <f t="shared" si="3730"/>
        <v>0</v>
      </c>
      <c r="M1857" s="1" t="str">
        <f t="shared" si="3730"/>
        <v>0</v>
      </c>
      <c r="N1857" s="1" t="str">
        <f t="shared" si="3730"/>
        <v>0</v>
      </c>
      <c r="O1857" s="1" t="str">
        <f t="shared" si="3730"/>
        <v>0</v>
      </c>
      <c r="P1857" s="1" t="str">
        <f t="shared" si="3730"/>
        <v>0</v>
      </c>
      <c r="Q1857" s="1" t="str">
        <f t="shared" si="3597"/>
        <v>0.0070</v>
      </c>
      <c r="R1857" s="1" t="s">
        <v>29</v>
      </c>
      <c r="S1857" s="1">
        <v>-0.0014</v>
      </c>
      <c r="T1857" s="1" t="str">
        <f t="shared" si="3598"/>
        <v>0</v>
      </c>
      <c r="U1857" s="1" t="str">
        <f t="shared" si="3718"/>
        <v>0.0056</v>
      </c>
    </row>
    <row r="1858" s="1" customFormat="1" spans="1:21">
      <c r="A1858" s="1" t="str">
        <f>"4601992027254"</f>
        <v>4601992027254</v>
      </c>
      <c r="B1858" s="1" t="s">
        <v>1882</v>
      </c>
      <c r="C1858" s="1" t="s">
        <v>24</v>
      </c>
      <c r="D1858" s="1" t="str">
        <f t="shared" si="3594"/>
        <v>2021</v>
      </c>
      <c r="E1858" s="1" t="str">
        <f>"24.18"</f>
        <v>24.18</v>
      </c>
      <c r="F1858" s="1" t="str">
        <f t="shared" ref="F1858:I1858" si="3731">"0"</f>
        <v>0</v>
      </c>
      <c r="G1858" s="1" t="str">
        <f t="shared" si="3731"/>
        <v>0</v>
      </c>
      <c r="H1858" s="1" t="str">
        <f t="shared" si="3731"/>
        <v>0</v>
      </c>
      <c r="I1858" s="1" t="str">
        <f t="shared" si="3731"/>
        <v>0</v>
      </c>
      <c r="J1858" s="1" t="str">
        <f t="shared" ref="J1858:J1861" si="3732">"2"</f>
        <v>2</v>
      </c>
      <c r="K1858" s="1" t="str">
        <f t="shared" ref="K1858:P1858" si="3733">"0"</f>
        <v>0</v>
      </c>
      <c r="L1858" s="1" t="str">
        <f t="shared" si="3733"/>
        <v>0</v>
      </c>
      <c r="M1858" s="1" t="str">
        <f t="shared" si="3733"/>
        <v>0</v>
      </c>
      <c r="N1858" s="1" t="str">
        <f t="shared" si="3733"/>
        <v>0</v>
      </c>
      <c r="O1858" s="1" t="str">
        <f t="shared" si="3733"/>
        <v>0</v>
      </c>
      <c r="P1858" s="1" t="str">
        <f t="shared" si="3733"/>
        <v>0</v>
      </c>
      <c r="Q1858" s="1" t="str">
        <f t="shared" si="3597"/>
        <v>0.0070</v>
      </c>
      <c r="R1858" s="1" t="s">
        <v>29</v>
      </c>
      <c r="S1858" s="1">
        <v>-0.0014</v>
      </c>
      <c r="T1858" s="1" t="str">
        <f t="shared" si="3598"/>
        <v>0</v>
      </c>
      <c r="U1858" s="1" t="str">
        <f t="shared" si="3718"/>
        <v>0.0056</v>
      </c>
    </row>
    <row r="1859" s="1" customFormat="1" spans="1:21">
      <c r="A1859" s="1" t="str">
        <f>"4601992027256"</f>
        <v>4601992027256</v>
      </c>
      <c r="B1859" s="1" t="s">
        <v>1883</v>
      </c>
      <c r="C1859" s="1" t="s">
        <v>24</v>
      </c>
      <c r="D1859" s="1" t="str">
        <f t="shared" ref="D1859:D1922" si="3734">"2021"</f>
        <v>2021</v>
      </c>
      <c r="E1859" s="1" t="str">
        <f>"24.18"</f>
        <v>24.18</v>
      </c>
      <c r="F1859" s="1" t="str">
        <f t="shared" ref="F1859:I1859" si="3735">"0"</f>
        <v>0</v>
      </c>
      <c r="G1859" s="1" t="str">
        <f t="shared" si="3735"/>
        <v>0</v>
      </c>
      <c r="H1859" s="1" t="str">
        <f t="shared" si="3735"/>
        <v>0</v>
      </c>
      <c r="I1859" s="1" t="str">
        <f t="shared" si="3735"/>
        <v>0</v>
      </c>
      <c r="J1859" s="1" t="str">
        <f t="shared" si="3732"/>
        <v>2</v>
      </c>
      <c r="K1859" s="1" t="str">
        <f t="shared" ref="K1859:P1859" si="3736">"0"</f>
        <v>0</v>
      </c>
      <c r="L1859" s="1" t="str">
        <f t="shared" si="3736"/>
        <v>0</v>
      </c>
      <c r="M1859" s="1" t="str">
        <f t="shared" si="3736"/>
        <v>0</v>
      </c>
      <c r="N1859" s="1" t="str">
        <f t="shared" si="3736"/>
        <v>0</v>
      </c>
      <c r="O1859" s="1" t="str">
        <f t="shared" si="3736"/>
        <v>0</v>
      </c>
      <c r="P1859" s="1" t="str">
        <f t="shared" si="3736"/>
        <v>0</v>
      </c>
      <c r="Q1859" s="1" t="str">
        <f t="shared" ref="Q1859:Q1922" si="3737">"0.0070"</f>
        <v>0.0070</v>
      </c>
      <c r="R1859" s="1" t="s">
        <v>29</v>
      </c>
      <c r="S1859" s="1">
        <v>-0.0014</v>
      </c>
      <c r="T1859" s="1" t="str">
        <f t="shared" ref="T1859:T1922" si="3738">"0"</f>
        <v>0</v>
      </c>
      <c r="U1859" s="1" t="str">
        <f t="shared" si="3718"/>
        <v>0.0056</v>
      </c>
    </row>
    <row r="1860" s="1" customFormat="1" spans="1:21">
      <c r="A1860" s="1" t="str">
        <f>"4601992027261"</f>
        <v>4601992027261</v>
      </c>
      <c r="B1860" s="1" t="s">
        <v>1884</v>
      </c>
      <c r="C1860" s="1" t="s">
        <v>24</v>
      </c>
      <c r="D1860" s="1" t="str">
        <f t="shared" si="3734"/>
        <v>2021</v>
      </c>
      <c r="E1860" s="1" t="str">
        <f>"36.26"</f>
        <v>36.26</v>
      </c>
      <c r="F1860" s="1" t="str">
        <f t="shared" ref="F1860:I1860" si="3739">"0"</f>
        <v>0</v>
      </c>
      <c r="G1860" s="1" t="str">
        <f t="shared" si="3739"/>
        <v>0</v>
      </c>
      <c r="H1860" s="1" t="str">
        <f t="shared" si="3739"/>
        <v>0</v>
      </c>
      <c r="I1860" s="1" t="str">
        <f t="shared" si="3739"/>
        <v>0</v>
      </c>
      <c r="J1860" s="1" t="str">
        <f>"3"</f>
        <v>3</v>
      </c>
      <c r="K1860" s="1" t="str">
        <f t="shared" ref="K1860:P1860" si="3740">"0"</f>
        <v>0</v>
      </c>
      <c r="L1860" s="1" t="str">
        <f t="shared" si="3740"/>
        <v>0</v>
      </c>
      <c r="M1860" s="1" t="str">
        <f t="shared" si="3740"/>
        <v>0</v>
      </c>
      <c r="N1860" s="1" t="str">
        <f t="shared" si="3740"/>
        <v>0</v>
      </c>
      <c r="O1860" s="1" t="str">
        <f t="shared" si="3740"/>
        <v>0</v>
      </c>
      <c r="P1860" s="1" t="str">
        <f t="shared" si="3740"/>
        <v>0</v>
      </c>
      <c r="Q1860" s="1" t="str">
        <f t="shared" si="3737"/>
        <v>0.0070</v>
      </c>
      <c r="R1860" s="1" t="s">
        <v>29</v>
      </c>
      <c r="S1860" s="1">
        <v>-0.0014</v>
      </c>
      <c r="T1860" s="1" t="str">
        <f t="shared" si="3738"/>
        <v>0</v>
      </c>
      <c r="U1860" s="1" t="str">
        <f t="shared" si="3718"/>
        <v>0.0056</v>
      </c>
    </row>
    <row r="1861" s="1" customFormat="1" spans="1:21">
      <c r="A1861" s="1" t="str">
        <f>"4601992027277"</f>
        <v>4601992027277</v>
      </c>
      <c r="B1861" s="1" t="s">
        <v>1885</v>
      </c>
      <c r="C1861" s="1" t="s">
        <v>24</v>
      </c>
      <c r="D1861" s="1" t="str">
        <f t="shared" si="3734"/>
        <v>2021</v>
      </c>
      <c r="E1861" s="1" t="str">
        <f>"24.07"</f>
        <v>24.07</v>
      </c>
      <c r="F1861" s="1" t="str">
        <f t="shared" ref="F1861:I1861" si="3741">"0"</f>
        <v>0</v>
      </c>
      <c r="G1861" s="1" t="str">
        <f t="shared" si="3741"/>
        <v>0</v>
      </c>
      <c r="H1861" s="1" t="str">
        <f t="shared" si="3741"/>
        <v>0</v>
      </c>
      <c r="I1861" s="1" t="str">
        <f t="shared" si="3741"/>
        <v>0</v>
      </c>
      <c r="J1861" s="1" t="str">
        <f t="shared" si="3732"/>
        <v>2</v>
      </c>
      <c r="K1861" s="1" t="str">
        <f t="shared" ref="K1861:P1861" si="3742">"0"</f>
        <v>0</v>
      </c>
      <c r="L1861" s="1" t="str">
        <f t="shared" si="3742"/>
        <v>0</v>
      </c>
      <c r="M1861" s="1" t="str">
        <f t="shared" si="3742"/>
        <v>0</v>
      </c>
      <c r="N1861" s="1" t="str">
        <f t="shared" si="3742"/>
        <v>0</v>
      </c>
      <c r="O1861" s="1" t="str">
        <f t="shared" si="3742"/>
        <v>0</v>
      </c>
      <c r="P1861" s="1" t="str">
        <f t="shared" si="3742"/>
        <v>0</v>
      </c>
      <c r="Q1861" s="1" t="str">
        <f t="shared" si="3737"/>
        <v>0.0070</v>
      </c>
      <c r="R1861" s="1" t="s">
        <v>29</v>
      </c>
      <c r="S1861" s="1">
        <v>-0.0014</v>
      </c>
      <c r="T1861" s="1" t="str">
        <f t="shared" si="3738"/>
        <v>0</v>
      </c>
      <c r="U1861" s="1" t="str">
        <f t="shared" si="3718"/>
        <v>0.0056</v>
      </c>
    </row>
    <row r="1862" s="1" customFormat="1" spans="1:21">
      <c r="A1862" s="1" t="str">
        <f>"4601992027289"</f>
        <v>4601992027289</v>
      </c>
      <c r="B1862" s="1" t="s">
        <v>1886</v>
      </c>
      <c r="C1862" s="1" t="s">
        <v>24</v>
      </c>
      <c r="D1862" s="1" t="str">
        <f t="shared" si="3734"/>
        <v>2021</v>
      </c>
      <c r="E1862" s="1" t="str">
        <f t="shared" ref="E1862:P1862" si="3743">"0"</f>
        <v>0</v>
      </c>
      <c r="F1862" s="1" t="str">
        <f t="shared" si="3743"/>
        <v>0</v>
      </c>
      <c r="G1862" s="1" t="str">
        <f t="shared" si="3743"/>
        <v>0</v>
      </c>
      <c r="H1862" s="1" t="str">
        <f t="shared" si="3743"/>
        <v>0</v>
      </c>
      <c r="I1862" s="1" t="str">
        <f t="shared" si="3743"/>
        <v>0</v>
      </c>
      <c r="J1862" s="1" t="str">
        <f t="shared" si="3743"/>
        <v>0</v>
      </c>
      <c r="K1862" s="1" t="str">
        <f t="shared" si="3743"/>
        <v>0</v>
      </c>
      <c r="L1862" s="1" t="str">
        <f t="shared" si="3743"/>
        <v>0</v>
      </c>
      <c r="M1862" s="1" t="str">
        <f t="shared" si="3743"/>
        <v>0</v>
      </c>
      <c r="N1862" s="1" t="str">
        <f t="shared" si="3743"/>
        <v>0</v>
      </c>
      <c r="O1862" s="1" t="str">
        <f t="shared" si="3743"/>
        <v>0</v>
      </c>
      <c r="P1862" s="1" t="str">
        <f t="shared" si="3743"/>
        <v>0</v>
      </c>
      <c r="Q1862" s="1" t="str">
        <f t="shared" si="3737"/>
        <v>0.0070</v>
      </c>
      <c r="R1862" s="1" t="s">
        <v>25</v>
      </c>
      <c r="T1862" s="1" t="str">
        <f t="shared" si="3738"/>
        <v>0</v>
      </c>
      <c r="U1862" s="1" t="str">
        <f>"0.0070"</f>
        <v>0.0070</v>
      </c>
    </row>
    <row r="1863" s="1" customFormat="1" spans="1:21">
      <c r="A1863" s="1" t="str">
        <f>"4601992027280"</f>
        <v>4601992027280</v>
      </c>
      <c r="B1863" s="1" t="s">
        <v>1887</v>
      </c>
      <c r="C1863" s="1" t="s">
        <v>24</v>
      </c>
      <c r="D1863" s="1" t="str">
        <f t="shared" si="3734"/>
        <v>2021</v>
      </c>
      <c r="E1863" s="1" t="str">
        <f>"12.25"</f>
        <v>12.25</v>
      </c>
      <c r="F1863" s="1" t="str">
        <f t="shared" ref="F1863:I1863" si="3744">"0"</f>
        <v>0</v>
      </c>
      <c r="G1863" s="1" t="str">
        <f t="shared" si="3744"/>
        <v>0</v>
      </c>
      <c r="H1863" s="1" t="str">
        <f t="shared" si="3744"/>
        <v>0</v>
      </c>
      <c r="I1863" s="1" t="str">
        <f t="shared" si="3744"/>
        <v>0</v>
      </c>
      <c r="J1863" s="1" t="str">
        <f>"1"</f>
        <v>1</v>
      </c>
      <c r="K1863" s="1" t="str">
        <f t="shared" ref="K1863:P1863" si="3745">"0"</f>
        <v>0</v>
      </c>
      <c r="L1863" s="1" t="str">
        <f t="shared" si="3745"/>
        <v>0</v>
      </c>
      <c r="M1863" s="1" t="str">
        <f t="shared" si="3745"/>
        <v>0</v>
      </c>
      <c r="N1863" s="1" t="str">
        <f t="shared" si="3745"/>
        <v>0</v>
      </c>
      <c r="O1863" s="1" t="str">
        <f t="shared" si="3745"/>
        <v>0</v>
      </c>
      <c r="P1863" s="1" t="str">
        <f t="shared" si="3745"/>
        <v>0</v>
      </c>
      <c r="Q1863" s="1" t="str">
        <f t="shared" si="3737"/>
        <v>0.0070</v>
      </c>
      <c r="R1863" s="1" t="s">
        <v>29</v>
      </c>
      <c r="S1863" s="1">
        <v>-0.0014</v>
      </c>
      <c r="T1863" s="1" t="str">
        <f t="shared" si="3738"/>
        <v>0</v>
      </c>
      <c r="U1863" s="1" t="str">
        <f t="shared" ref="U1863:U1869" si="3746">"0.0056"</f>
        <v>0.0056</v>
      </c>
    </row>
    <row r="1864" s="1" customFormat="1" spans="1:21">
      <c r="A1864" s="1" t="str">
        <f>"4601992027310"</f>
        <v>4601992027310</v>
      </c>
      <c r="B1864" s="1" t="s">
        <v>1888</v>
      </c>
      <c r="C1864" s="1" t="s">
        <v>24</v>
      </c>
      <c r="D1864" s="1" t="str">
        <f t="shared" si="3734"/>
        <v>2021</v>
      </c>
      <c r="E1864" s="1" t="str">
        <f>"35.94"</f>
        <v>35.94</v>
      </c>
      <c r="F1864" s="1" t="str">
        <f t="shared" ref="F1864:I1864" si="3747">"0"</f>
        <v>0</v>
      </c>
      <c r="G1864" s="1" t="str">
        <f t="shared" si="3747"/>
        <v>0</v>
      </c>
      <c r="H1864" s="1" t="str">
        <f t="shared" si="3747"/>
        <v>0</v>
      </c>
      <c r="I1864" s="1" t="str">
        <f t="shared" si="3747"/>
        <v>0</v>
      </c>
      <c r="J1864" s="1" t="str">
        <f>"2"</f>
        <v>2</v>
      </c>
      <c r="K1864" s="1" t="str">
        <f t="shared" ref="K1864:P1864" si="3748">"0"</f>
        <v>0</v>
      </c>
      <c r="L1864" s="1" t="str">
        <f t="shared" si="3748"/>
        <v>0</v>
      </c>
      <c r="M1864" s="1" t="str">
        <f t="shared" si="3748"/>
        <v>0</v>
      </c>
      <c r="N1864" s="1" t="str">
        <f t="shared" si="3748"/>
        <v>0</v>
      </c>
      <c r="O1864" s="1" t="str">
        <f t="shared" si="3748"/>
        <v>0</v>
      </c>
      <c r="P1864" s="1" t="str">
        <f t="shared" si="3748"/>
        <v>0</v>
      </c>
      <c r="Q1864" s="1" t="str">
        <f t="shared" si="3737"/>
        <v>0.0070</v>
      </c>
      <c r="R1864" s="1" t="s">
        <v>29</v>
      </c>
      <c r="S1864" s="1">
        <v>-0.0014</v>
      </c>
      <c r="T1864" s="1" t="str">
        <f t="shared" si="3738"/>
        <v>0</v>
      </c>
      <c r="U1864" s="1" t="str">
        <f t="shared" si="3746"/>
        <v>0.0056</v>
      </c>
    </row>
    <row r="1865" s="1" customFormat="1" spans="1:21">
      <c r="A1865" s="1" t="str">
        <f>"4601992027347"</f>
        <v>4601992027347</v>
      </c>
      <c r="B1865" s="1" t="s">
        <v>1889</v>
      </c>
      <c r="C1865" s="1" t="s">
        <v>24</v>
      </c>
      <c r="D1865" s="1" t="str">
        <f t="shared" si="3734"/>
        <v>2021</v>
      </c>
      <c r="E1865" s="1" t="str">
        <f t="shared" ref="E1865:P1865" si="3749">"0"</f>
        <v>0</v>
      </c>
      <c r="F1865" s="1" t="str">
        <f t="shared" si="3749"/>
        <v>0</v>
      </c>
      <c r="G1865" s="1" t="str">
        <f t="shared" si="3749"/>
        <v>0</v>
      </c>
      <c r="H1865" s="1" t="str">
        <f t="shared" si="3749"/>
        <v>0</v>
      </c>
      <c r="I1865" s="1" t="str">
        <f t="shared" si="3749"/>
        <v>0</v>
      </c>
      <c r="J1865" s="1" t="str">
        <f t="shared" si="3749"/>
        <v>0</v>
      </c>
      <c r="K1865" s="1" t="str">
        <f t="shared" si="3749"/>
        <v>0</v>
      </c>
      <c r="L1865" s="1" t="str">
        <f t="shared" si="3749"/>
        <v>0</v>
      </c>
      <c r="M1865" s="1" t="str">
        <f t="shared" si="3749"/>
        <v>0</v>
      </c>
      <c r="N1865" s="1" t="str">
        <f t="shared" si="3749"/>
        <v>0</v>
      </c>
      <c r="O1865" s="1" t="str">
        <f t="shared" si="3749"/>
        <v>0</v>
      </c>
      <c r="P1865" s="1" t="str">
        <f t="shared" si="3749"/>
        <v>0</v>
      </c>
      <c r="Q1865" s="1" t="str">
        <f t="shared" si="3737"/>
        <v>0.0070</v>
      </c>
      <c r="R1865" s="1" t="s">
        <v>25</v>
      </c>
      <c r="T1865" s="1" t="str">
        <f t="shared" si="3738"/>
        <v>0</v>
      </c>
      <c r="U1865" s="1" t="str">
        <f>"0.0070"</f>
        <v>0.0070</v>
      </c>
    </row>
    <row r="1866" s="1" customFormat="1" spans="1:21">
      <c r="A1866" s="1" t="str">
        <f>"4601992027330"</f>
        <v>4601992027330</v>
      </c>
      <c r="B1866" s="1" t="s">
        <v>1890</v>
      </c>
      <c r="C1866" s="1" t="s">
        <v>24</v>
      </c>
      <c r="D1866" s="1" t="str">
        <f t="shared" si="3734"/>
        <v>2021</v>
      </c>
      <c r="E1866" s="1" t="str">
        <f>"48.36"</f>
        <v>48.36</v>
      </c>
      <c r="F1866" s="1" t="str">
        <f t="shared" ref="F1866:I1866" si="3750">"0"</f>
        <v>0</v>
      </c>
      <c r="G1866" s="1" t="str">
        <f t="shared" si="3750"/>
        <v>0</v>
      </c>
      <c r="H1866" s="1" t="str">
        <f t="shared" si="3750"/>
        <v>0</v>
      </c>
      <c r="I1866" s="1" t="str">
        <f t="shared" si="3750"/>
        <v>0</v>
      </c>
      <c r="J1866" s="1" t="str">
        <f>"4"</f>
        <v>4</v>
      </c>
      <c r="K1866" s="1" t="str">
        <f t="shared" ref="K1866:P1866" si="3751">"0"</f>
        <v>0</v>
      </c>
      <c r="L1866" s="1" t="str">
        <f t="shared" si="3751"/>
        <v>0</v>
      </c>
      <c r="M1866" s="1" t="str">
        <f t="shared" si="3751"/>
        <v>0</v>
      </c>
      <c r="N1866" s="1" t="str">
        <f t="shared" si="3751"/>
        <v>0</v>
      </c>
      <c r="O1866" s="1" t="str">
        <f t="shared" si="3751"/>
        <v>0</v>
      </c>
      <c r="P1866" s="1" t="str">
        <f t="shared" si="3751"/>
        <v>0</v>
      </c>
      <c r="Q1866" s="1" t="str">
        <f t="shared" si="3737"/>
        <v>0.0070</v>
      </c>
      <c r="R1866" s="1" t="s">
        <v>29</v>
      </c>
      <c r="S1866" s="1">
        <v>-0.0014</v>
      </c>
      <c r="T1866" s="1" t="str">
        <f t="shared" si="3738"/>
        <v>0</v>
      </c>
      <c r="U1866" s="1" t="str">
        <f t="shared" si="3746"/>
        <v>0.0056</v>
      </c>
    </row>
    <row r="1867" s="1" customFormat="1" spans="1:21">
      <c r="A1867" s="1" t="str">
        <f>"4601992027323"</f>
        <v>4601992027323</v>
      </c>
      <c r="B1867" s="1" t="s">
        <v>1891</v>
      </c>
      <c r="C1867" s="1" t="s">
        <v>24</v>
      </c>
      <c r="D1867" s="1" t="str">
        <f t="shared" si="3734"/>
        <v>2021</v>
      </c>
      <c r="E1867" s="1" t="str">
        <f>"64.65"</f>
        <v>64.65</v>
      </c>
      <c r="F1867" s="1" t="str">
        <f t="shared" ref="F1867:I1867" si="3752">"0"</f>
        <v>0</v>
      </c>
      <c r="G1867" s="1" t="str">
        <f t="shared" si="3752"/>
        <v>0</v>
      </c>
      <c r="H1867" s="1" t="str">
        <f t="shared" si="3752"/>
        <v>0</v>
      </c>
      <c r="I1867" s="1" t="str">
        <f t="shared" si="3752"/>
        <v>0</v>
      </c>
      <c r="J1867" s="1" t="str">
        <f>"8"</f>
        <v>8</v>
      </c>
      <c r="K1867" s="1" t="str">
        <f t="shared" ref="K1867:P1867" si="3753">"0"</f>
        <v>0</v>
      </c>
      <c r="L1867" s="1" t="str">
        <f t="shared" si="3753"/>
        <v>0</v>
      </c>
      <c r="M1867" s="1" t="str">
        <f t="shared" si="3753"/>
        <v>0</v>
      </c>
      <c r="N1867" s="1" t="str">
        <f t="shared" si="3753"/>
        <v>0</v>
      </c>
      <c r="O1867" s="1" t="str">
        <f t="shared" si="3753"/>
        <v>0</v>
      </c>
      <c r="P1867" s="1" t="str">
        <f t="shared" si="3753"/>
        <v>0</v>
      </c>
      <c r="Q1867" s="1" t="str">
        <f t="shared" si="3737"/>
        <v>0.0070</v>
      </c>
      <c r="R1867" s="1" t="s">
        <v>29</v>
      </c>
      <c r="S1867" s="1">
        <v>-0.0014</v>
      </c>
      <c r="T1867" s="1" t="str">
        <f t="shared" si="3738"/>
        <v>0</v>
      </c>
      <c r="U1867" s="1" t="str">
        <f t="shared" si="3746"/>
        <v>0.0056</v>
      </c>
    </row>
    <row r="1868" s="1" customFormat="1" spans="1:21">
      <c r="A1868" s="1" t="str">
        <f>"4601992027366"</f>
        <v>4601992027366</v>
      </c>
      <c r="B1868" s="1" t="s">
        <v>1892</v>
      </c>
      <c r="C1868" s="1" t="s">
        <v>24</v>
      </c>
      <c r="D1868" s="1" t="str">
        <f t="shared" si="3734"/>
        <v>2021</v>
      </c>
      <c r="E1868" s="1" t="str">
        <f>"12.09"</f>
        <v>12.09</v>
      </c>
      <c r="F1868" s="1" t="str">
        <f t="shared" ref="F1868:I1868" si="3754">"0"</f>
        <v>0</v>
      </c>
      <c r="G1868" s="1" t="str">
        <f t="shared" si="3754"/>
        <v>0</v>
      </c>
      <c r="H1868" s="1" t="str">
        <f t="shared" si="3754"/>
        <v>0</v>
      </c>
      <c r="I1868" s="1" t="str">
        <f t="shared" si="3754"/>
        <v>0</v>
      </c>
      <c r="J1868" s="1" t="str">
        <f>"1"</f>
        <v>1</v>
      </c>
      <c r="K1868" s="1" t="str">
        <f t="shared" ref="K1868:P1868" si="3755">"0"</f>
        <v>0</v>
      </c>
      <c r="L1868" s="1" t="str">
        <f t="shared" si="3755"/>
        <v>0</v>
      </c>
      <c r="M1868" s="1" t="str">
        <f t="shared" si="3755"/>
        <v>0</v>
      </c>
      <c r="N1868" s="1" t="str">
        <f t="shared" si="3755"/>
        <v>0</v>
      </c>
      <c r="O1868" s="1" t="str">
        <f t="shared" si="3755"/>
        <v>0</v>
      </c>
      <c r="P1868" s="1" t="str">
        <f t="shared" si="3755"/>
        <v>0</v>
      </c>
      <c r="Q1868" s="1" t="str">
        <f t="shared" si="3737"/>
        <v>0.0070</v>
      </c>
      <c r="R1868" s="1" t="s">
        <v>29</v>
      </c>
      <c r="S1868" s="1">
        <v>-0.0014</v>
      </c>
      <c r="T1868" s="1" t="str">
        <f t="shared" si="3738"/>
        <v>0</v>
      </c>
      <c r="U1868" s="1" t="str">
        <f t="shared" si="3746"/>
        <v>0.0056</v>
      </c>
    </row>
    <row r="1869" s="1" customFormat="1" spans="1:21">
      <c r="A1869" s="1" t="str">
        <f>"4601992027413"</f>
        <v>4601992027413</v>
      </c>
      <c r="B1869" s="1" t="s">
        <v>1893</v>
      </c>
      <c r="C1869" s="1" t="s">
        <v>24</v>
      </c>
      <c r="D1869" s="1" t="str">
        <f t="shared" si="3734"/>
        <v>2021</v>
      </c>
      <c r="E1869" s="1" t="str">
        <f>"47.92"</f>
        <v>47.92</v>
      </c>
      <c r="F1869" s="1" t="str">
        <f t="shared" ref="F1869:I1869" si="3756">"0"</f>
        <v>0</v>
      </c>
      <c r="G1869" s="1" t="str">
        <f t="shared" si="3756"/>
        <v>0</v>
      </c>
      <c r="H1869" s="1" t="str">
        <f t="shared" si="3756"/>
        <v>0</v>
      </c>
      <c r="I1869" s="1" t="str">
        <f t="shared" si="3756"/>
        <v>0</v>
      </c>
      <c r="J1869" s="1" t="str">
        <f>"5"</f>
        <v>5</v>
      </c>
      <c r="K1869" s="1" t="str">
        <f t="shared" ref="K1869:P1869" si="3757">"0"</f>
        <v>0</v>
      </c>
      <c r="L1869" s="1" t="str">
        <f t="shared" si="3757"/>
        <v>0</v>
      </c>
      <c r="M1869" s="1" t="str">
        <f t="shared" si="3757"/>
        <v>0</v>
      </c>
      <c r="N1869" s="1" t="str">
        <f t="shared" si="3757"/>
        <v>0</v>
      </c>
      <c r="O1869" s="1" t="str">
        <f t="shared" si="3757"/>
        <v>0</v>
      </c>
      <c r="P1869" s="1" t="str">
        <f t="shared" si="3757"/>
        <v>0</v>
      </c>
      <c r="Q1869" s="1" t="str">
        <f t="shared" si="3737"/>
        <v>0.0070</v>
      </c>
      <c r="R1869" s="1" t="s">
        <v>29</v>
      </c>
      <c r="S1869" s="1">
        <v>-0.0014</v>
      </c>
      <c r="T1869" s="1" t="str">
        <f t="shared" si="3738"/>
        <v>0</v>
      </c>
      <c r="U1869" s="1" t="str">
        <f t="shared" si="3746"/>
        <v>0.0056</v>
      </c>
    </row>
    <row r="1870" s="1" customFormat="1" spans="1:21">
      <c r="A1870" s="1" t="str">
        <f>"4601992027485"</f>
        <v>4601992027485</v>
      </c>
      <c r="B1870" s="1" t="s">
        <v>1894</v>
      </c>
      <c r="C1870" s="1" t="s">
        <v>24</v>
      </c>
      <c r="D1870" s="1" t="str">
        <f t="shared" si="3734"/>
        <v>2021</v>
      </c>
      <c r="E1870" s="1" t="str">
        <f t="shared" ref="E1870:P1870" si="3758">"0"</f>
        <v>0</v>
      </c>
      <c r="F1870" s="1" t="str">
        <f t="shared" si="3758"/>
        <v>0</v>
      </c>
      <c r="G1870" s="1" t="str">
        <f t="shared" si="3758"/>
        <v>0</v>
      </c>
      <c r="H1870" s="1" t="str">
        <f t="shared" si="3758"/>
        <v>0</v>
      </c>
      <c r="I1870" s="1" t="str">
        <f t="shared" si="3758"/>
        <v>0</v>
      </c>
      <c r="J1870" s="1" t="str">
        <f t="shared" si="3758"/>
        <v>0</v>
      </c>
      <c r="K1870" s="1" t="str">
        <f t="shared" si="3758"/>
        <v>0</v>
      </c>
      <c r="L1870" s="1" t="str">
        <f t="shared" si="3758"/>
        <v>0</v>
      </c>
      <c r="M1870" s="1" t="str">
        <f t="shared" si="3758"/>
        <v>0</v>
      </c>
      <c r="N1870" s="1" t="str">
        <f t="shared" si="3758"/>
        <v>0</v>
      </c>
      <c r="O1870" s="1" t="str">
        <f t="shared" si="3758"/>
        <v>0</v>
      </c>
      <c r="P1870" s="1" t="str">
        <f t="shared" si="3758"/>
        <v>0</v>
      </c>
      <c r="Q1870" s="1" t="str">
        <f t="shared" si="3737"/>
        <v>0.0070</v>
      </c>
      <c r="R1870" s="1" t="s">
        <v>25</v>
      </c>
      <c r="T1870" s="1" t="str">
        <f t="shared" si="3738"/>
        <v>0</v>
      </c>
      <c r="U1870" s="1" t="str">
        <f>"0.0070"</f>
        <v>0.0070</v>
      </c>
    </row>
    <row r="1871" s="1" customFormat="1" spans="1:21">
      <c r="A1871" s="1" t="str">
        <f>"4601992027428"</f>
        <v>4601992027428</v>
      </c>
      <c r="B1871" s="1" t="s">
        <v>1895</v>
      </c>
      <c r="C1871" s="1" t="s">
        <v>24</v>
      </c>
      <c r="D1871" s="1" t="str">
        <f t="shared" si="3734"/>
        <v>2021</v>
      </c>
      <c r="E1871" s="1" t="str">
        <f>"12.09"</f>
        <v>12.09</v>
      </c>
      <c r="F1871" s="1" t="str">
        <f t="shared" ref="F1871:I1871" si="3759">"0"</f>
        <v>0</v>
      </c>
      <c r="G1871" s="1" t="str">
        <f t="shared" si="3759"/>
        <v>0</v>
      </c>
      <c r="H1871" s="1" t="str">
        <f t="shared" si="3759"/>
        <v>0</v>
      </c>
      <c r="I1871" s="1" t="str">
        <f t="shared" si="3759"/>
        <v>0</v>
      </c>
      <c r="J1871" s="1" t="str">
        <f>"1"</f>
        <v>1</v>
      </c>
      <c r="K1871" s="1" t="str">
        <f t="shared" ref="K1871:P1871" si="3760">"0"</f>
        <v>0</v>
      </c>
      <c r="L1871" s="1" t="str">
        <f t="shared" si="3760"/>
        <v>0</v>
      </c>
      <c r="M1871" s="1" t="str">
        <f t="shared" si="3760"/>
        <v>0</v>
      </c>
      <c r="N1871" s="1" t="str">
        <f t="shared" si="3760"/>
        <v>0</v>
      </c>
      <c r="O1871" s="1" t="str">
        <f t="shared" si="3760"/>
        <v>0</v>
      </c>
      <c r="P1871" s="1" t="str">
        <f t="shared" si="3760"/>
        <v>0</v>
      </c>
      <c r="Q1871" s="1" t="str">
        <f t="shared" si="3737"/>
        <v>0.0070</v>
      </c>
      <c r="R1871" s="1" t="s">
        <v>29</v>
      </c>
      <c r="S1871" s="1">
        <v>-0.0014</v>
      </c>
      <c r="T1871" s="1" t="str">
        <f t="shared" si="3738"/>
        <v>0</v>
      </c>
      <c r="U1871" s="1" t="str">
        <f t="shared" ref="U1871:U1877" si="3761">"0.0056"</f>
        <v>0.0056</v>
      </c>
    </row>
    <row r="1872" s="1" customFormat="1" spans="1:21">
      <c r="A1872" s="1" t="str">
        <f>"4601992027605"</f>
        <v>4601992027605</v>
      </c>
      <c r="B1872" s="1" t="s">
        <v>1896</v>
      </c>
      <c r="C1872" s="1" t="s">
        <v>24</v>
      </c>
      <c r="D1872" s="1" t="str">
        <f t="shared" si="3734"/>
        <v>2021</v>
      </c>
      <c r="E1872" s="1" t="str">
        <f t="shared" ref="E1872:P1872" si="3762">"0"</f>
        <v>0</v>
      </c>
      <c r="F1872" s="1" t="str">
        <f t="shared" si="3762"/>
        <v>0</v>
      </c>
      <c r="G1872" s="1" t="str">
        <f t="shared" si="3762"/>
        <v>0</v>
      </c>
      <c r="H1872" s="1" t="str">
        <f t="shared" si="3762"/>
        <v>0</v>
      </c>
      <c r="I1872" s="1" t="str">
        <f t="shared" si="3762"/>
        <v>0</v>
      </c>
      <c r="J1872" s="1" t="str">
        <f t="shared" si="3762"/>
        <v>0</v>
      </c>
      <c r="K1872" s="1" t="str">
        <f t="shared" si="3762"/>
        <v>0</v>
      </c>
      <c r="L1872" s="1" t="str">
        <f t="shared" si="3762"/>
        <v>0</v>
      </c>
      <c r="M1872" s="1" t="str">
        <f t="shared" si="3762"/>
        <v>0</v>
      </c>
      <c r="N1872" s="1" t="str">
        <f t="shared" si="3762"/>
        <v>0</v>
      </c>
      <c r="O1872" s="1" t="str">
        <f t="shared" si="3762"/>
        <v>0</v>
      </c>
      <c r="P1872" s="1" t="str">
        <f t="shared" si="3762"/>
        <v>0</v>
      </c>
      <c r="Q1872" s="1" t="str">
        <f t="shared" si="3737"/>
        <v>0.0070</v>
      </c>
      <c r="R1872" s="1" t="s">
        <v>25</v>
      </c>
      <c r="T1872" s="1" t="str">
        <f t="shared" si="3738"/>
        <v>0</v>
      </c>
      <c r="U1872" s="1" t="str">
        <f>"0.0070"</f>
        <v>0.0070</v>
      </c>
    </row>
    <row r="1873" s="1" customFormat="1" spans="1:21">
      <c r="A1873" s="1" t="str">
        <f>"4601992027419"</f>
        <v>4601992027419</v>
      </c>
      <c r="B1873" s="1" t="s">
        <v>1897</v>
      </c>
      <c r="C1873" s="1" t="s">
        <v>24</v>
      </c>
      <c r="D1873" s="1" t="str">
        <f t="shared" si="3734"/>
        <v>2021</v>
      </c>
      <c r="E1873" s="1" t="str">
        <f>"60.61"</f>
        <v>60.61</v>
      </c>
      <c r="F1873" s="1" t="str">
        <f t="shared" ref="F1873:I1873" si="3763">"0"</f>
        <v>0</v>
      </c>
      <c r="G1873" s="1" t="str">
        <f t="shared" si="3763"/>
        <v>0</v>
      </c>
      <c r="H1873" s="1" t="str">
        <f t="shared" si="3763"/>
        <v>0</v>
      </c>
      <c r="I1873" s="1" t="str">
        <f t="shared" si="3763"/>
        <v>0</v>
      </c>
      <c r="J1873" s="1" t="str">
        <f>"5"</f>
        <v>5</v>
      </c>
      <c r="K1873" s="1" t="str">
        <f t="shared" ref="K1873:P1873" si="3764">"0"</f>
        <v>0</v>
      </c>
      <c r="L1873" s="1" t="str">
        <f t="shared" si="3764"/>
        <v>0</v>
      </c>
      <c r="M1873" s="1" t="str">
        <f t="shared" si="3764"/>
        <v>0</v>
      </c>
      <c r="N1873" s="1" t="str">
        <f t="shared" si="3764"/>
        <v>0</v>
      </c>
      <c r="O1873" s="1" t="str">
        <f t="shared" si="3764"/>
        <v>0</v>
      </c>
      <c r="P1873" s="1" t="str">
        <f t="shared" si="3764"/>
        <v>0</v>
      </c>
      <c r="Q1873" s="1" t="str">
        <f t="shared" si="3737"/>
        <v>0.0070</v>
      </c>
      <c r="R1873" s="1" t="s">
        <v>29</v>
      </c>
      <c r="S1873" s="1">
        <v>-0.0014</v>
      </c>
      <c r="T1873" s="1" t="str">
        <f t="shared" si="3738"/>
        <v>0</v>
      </c>
      <c r="U1873" s="1" t="str">
        <f t="shared" si="3761"/>
        <v>0.0056</v>
      </c>
    </row>
    <row r="1874" s="1" customFormat="1" spans="1:21">
      <c r="A1874" s="1" t="str">
        <f>"4601992027502"</f>
        <v>4601992027502</v>
      </c>
      <c r="B1874" s="1" t="s">
        <v>1898</v>
      </c>
      <c r="C1874" s="1" t="s">
        <v>24</v>
      </c>
      <c r="D1874" s="1" t="str">
        <f t="shared" si="3734"/>
        <v>2021</v>
      </c>
      <c r="E1874" s="1" t="str">
        <f>"36.43"</f>
        <v>36.43</v>
      </c>
      <c r="F1874" s="1" t="str">
        <f t="shared" ref="F1874:I1874" si="3765">"0"</f>
        <v>0</v>
      </c>
      <c r="G1874" s="1" t="str">
        <f t="shared" si="3765"/>
        <v>0</v>
      </c>
      <c r="H1874" s="1" t="str">
        <f t="shared" si="3765"/>
        <v>0</v>
      </c>
      <c r="I1874" s="1" t="str">
        <f t="shared" si="3765"/>
        <v>0</v>
      </c>
      <c r="J1874" s="1" t="str">
        <f t="shared" ref="J1874:J1877" si="3766">"4"</f>
        <v>4</v>
      </c>
      <c r="K1874" s="1" t="str">
        <f t="shared" ref="K1874:P1874" si="3767">"0"</f>
        <v>0</v>
      </c>
      <c r="L1874" s="1" t="str">
        <f t="shared" si="3767"/>
        <v>0</v>
      </c>
      <c r="M1874" s="1" t="str">
        <f t="shared" si="3767"/>
        <v>0</v>
      </c>
      <c r="N1874" s="1" t="str">
        <f t="shared" si="3767"/>
        <v>0</v>
      </c>
      <c r="O1874" s="1" t="str">
        <f t="shared" si="3767"/>
        <v>0</v>
      </c>
      <c r="P1874" s="1" t="str">
        <f t="shared" si="3767"/>
        <v>0</v>
      </c>
      <c r="Q1874" s="1" t="str">
        <f t="shared" si="3737"/>
        <v>0.0070</v>
      </c>
      <c r="R1874" s="1" t="s">
        <v>29</v>
      </c>
      <c r="S1874" s="1">
        <v>-0.0014</v>
      </c>
      <c r="T1874" s="1" t="str">
        <f t="shared" si="3738"/>
        <v>0</v>
      </c>
      <c r="U1874" s="1" t="str">
        <f t="shared" si="3761"/>
        <v>0.0056</v>
      </c>
    </row>
    <row r="1875" s="1" customFormat="1" spans="1:21">
      <c r="A1875" s="1" t="str">
        <f>"4601992027621"</f>
        <v>4601992027621</v>
      </c>
      <c r="B1875" s="1" t="s">
        <v>1899</v>
      </c>
      <c r="C1875" s="1" t="s">
        <v>24</v>
      </c>
      <c r="D1875" s="1" t="str">
        <f t="shared" si="3734"/>
        <v>2021</v>
      </c>
      <c r="E1875" s="1" t="str">
        <f>"23.96"</f>
        <v>23.96</v>
      </c>
      <c r="F1875" s="1" t="str">
        <f t="shared" ref="F1875:I1875" si="3768">"0"</f>
        <v>0</v>
      </c>
      <c r="G1875" s="1" t="str">
        <f t="shared" si="3768"/>
        <v>0</v>
      </c>
      <c r="H1875" s="1" t="str">
        <f t="shared" si="3768"/>
        <v>0</v>
      </c>
      <c r="I1875" s="1" t="str">
        <f t="shared" si="3768"/>
        <v>0</v>
      </c>
      <c r="J1875" s="1" t="str">
        <f>"2"</f>
        <v>2</v>
      </c>
      <c r="K1875" s="1" t="str">
        <f t="shared" ref="K1875:P1875" si="3769">"0"</f>
        <v>0</v>
      </c>
      <c r="L1875" s="1" t="str">
        <f t="shared" si="3769"/>
        <v>0</v>
      </c>
      <c r="M1875" s="1" t="str">
        <f t="shared" si="3769"/>
        <v>0</v>
      </c>
      <c r="N1875" s="1" t="str">
        <f t="shared" si="3769"/>
        <v>0</v>
      </c>
      <c r="O1875" s="1" t="str">
        <f t="shared" si="3769"/>
        <v>0</v>
      </c>
      <c r="P1875" s="1" t="str">
        <f t="shared" si="3769"/>
        <v>0</v>
      </c>
      <c r="Q1875" s="1" t="str">
        <f t="shared" si="3737"/>
        <v>0.0070</v>
      </c>
      <c r="R1875" s="1" t="s">
        <v>29</v>
      </c>
      <c r="S1875" s="1">
        <v>-0.0014</v>
      </c>
      <c r="T1875" s="1" t="str">
        <f t="shared" si="3738"/>
        <v>0</v>
      </c>
      <c r="U1875" s="1" t="str">
        <f t="shared" si="3761"/>
        <v>0.0056</v>
      </c>
    </row>
    <row r="1876" s="1" customFormat="1" spans="1:21">
      <c r="A1876" s="1" t="str">
        <f>"4601992027617"</f>
        <v>4601992027617</v>
      </c>
      <c r="B1876" s="1" t="s">
        <v>1900</v>
      </c>
      <c r="C1876" s="1" t="s">
        <v>24</v>
      </c>
      <c r="D1876" s="1" t="str">
        <f t="shared" si="3734"/>
        <v>2021</v>
      </c>
      <c r="E1876" s="1" t="str">
        <f>"72.54"</f>
        <v>72.54</v>
      </c>
      <c r="F1876" s="1" t="str">
        <f t="shared" ref="F1876:I1876" si="3770">"0"</f>
        <v>0</v>
      </c>
      <c r="G1876" s="1" t="str">
        <f t="shared" si="3770"/>
        <v>0</v>
      </c>
      <c r="H1876" s="1" t="str">
        <f t="shared" si="3770"/>
        <v>0</v>
      </c>
      <c r="I1876" s="1" t="str">
        <f t="shared" si="3770"/>
        <v>0</v>
      </c>
      <c r="J1876" s="1" t="str">
        <f t="shared" si="3766"/>
        <v>4</v>
      </c>
      <c r="K1876" s="1" t="str">
        <f t="shared" ref="K1876:P1876" si="3771">"0"</f>
        <v>0</v>
      </c>
      <c r="L1876" s="1" t="str">
        <f t="shared" si="3771"/>
        <v>0</v>
      </c>
      <c r="M1876" s="1" t="str">
        <f t="shared" si="3771"/>
        <v>0</v>
      </c>
      <c r="N1876" s="1" t="str">
        <f t="shared" si="3771"/>
        <v>0</v>
      </c>
      <c r="O1876" s="1" t="str">
        <f t="shared" si="3771"/>
        <v>0</v>
      </c>
      <c r="P1876" s="1" t="str">
        <f t="shared" si="3771"/>
        <v>0</v>
      </c>
      <c r="Q1876" s="1" t="str">
        <f t="shared" si="3737"/>
        <v>0.0070</v>
      </c>
      <c r="R1876" s="1" t="s">
        <v>29</v>
      </c>
      <c r="S1876" s="1">
        <v>-0.0014</v>
      </c>
      <c r="T1876" s="1" t="str">
        <f t="shared" si="3738"/>
        <v>0</v>
      </c>
      <c r="U1876" s="1" t="str">
        <f t="shared" si="3761"/>
        <v>0.0056</v>
      </c>
    </row>
    <row r="1877" s="1" customFormat="1" spans="1:21">
      <c r="A1877" s="1" t="str">
        <f>"4601992027654"</f>
        <v>4601992027654</v>
      </c>
      <c r="B1877" s="1" t="s">
        <v>1901</v>
      </c>
      <c r="C1877" s="1" t="s">
        <v>24</v>
      </c>
      <c r="D1877" s="1" t="str">
        <f t="shared" si="3734"/>
        <v>2021</v>
      </c>
      <c r="E1877" s="1" t="str">
        <f>"36.27"</f>
        <v>36.27</v>
      </c>
      <c r="F1877" s="1" t="str">
        <f t="shared" ref="F1877:I1877" si="3772">"0"</f>
        <v>0</v>
      </c>
      <c r="G1877" s="1" t="str">
        <f t="shared" si="3772"/>
        <v>0</v>
      </c>
      <c r="H1877" s="1" t="str">
        <f t="shared" si="3772"/>
        <v>0</v>
      </c>
      <c r="I1877" s="1" t="str">
        <f t="shared" si="3772"/>
        <v>0</v>
      </c>
      <c r="J1877" s="1" t="str">
        <f t="shared" si="3766"/>
        <v>4</v>
      </c>
      <c r="K1877" s="1" t="str">
        <f t="shared" ref="K1877:P1877" si="3773">"0"</f>
        <v>0</v>
      </c>
      <c r="L1877" s="1" t="str">
        <f t="shared" si="3773"/>
        <v>0</v>
      </c>
      <c r="M1877" s="1" t="str">
        <f t="shared" si="3773"/>
        <v>0</v>
      </c>
      <c r="N1877" s="1" t="str">
        <f t="shared" si="3773"/>
        <v>0</v>
      </c>
      <c r="O1877" s="1" t="str">
        <f t="shared" si="3773"/>
        <v>0</v>
      </c>
      <c r="P1877" s="1" t="str">
        <f t="shared" si="3773"/>
        <v>0</v>
      </c>
      <c r="Q1877" s="1" t="str">
        <f t="shared" si="3737"/>
        <v>0.0070</v>
      </c>
      <c r="R1877" s="1" t="s">
        <v>29</v>
      </c>
      <c r="S1877" s="1">
        <v>-0.0014</v>
      </c>
      <c r="T1877" s="1" t="str">
        <f t="shared" si="3738"/>
        <v>0</v>
      </c>
      <c r="U1877" s="1" t="str">
        <f t="shared" si="3761"/>
        <v>0.0056</v>
      </c>
    </row>
    <row r="1878" s="1" customFormat="1" spans="1:21">
      <c r="A1878" s="1" t="str">
        <f>"4601992027701"</f>
        <v>4601992027701</v>
      </c>
      <c r="B1878" s="1" t="s">
        <v>1902</v>
      </c>
      <c r="C1878" s="1" t="s">
        <v>24</v>
      </c>
      <c r="D1878" s="1" t="str">
        <f t="shared" si="3734"/>
        <v>2021</v>
      </c>
      <c r="E1878" s="1" t="str">
        <f t="shared" ref="E1878:P1878" si="3774">"0"</f>
        <v>0</v>
      </c>
      <c r="F1878" s="1" t="str">
        <f t="shared" si="3774"/>
        <v>0</v>
      </c>
      <c r="G1878" s="1" t="str">
        <f t="shared" si="3774"/>
        <v>0</v>
      </c>
      <c r="H1878" s="1" t="str">
        <f t="shared" si="3774"/>
        <v>0</v>
      </c>
      <c r="I1878" s="1" t="str">
        <f t="shared" si="3774"/>
        <v>0</v>
      </c>
      <c r="J1878" s="1" t="str">
        <f t="shared" si="3774"/>
        <v>0</v>
      </c>
      <c r="K1878" s="1" t="str">
        <f t="shared" si="3774"/>
        <v>0</v>
      </c>
      <c r="L1878" s="1" t="str">
        <f t="shared" si="3774"/>
        <v>0</v>
      </c>
      <c r="M1878" s="1" t="str">
        <f t="shared" si="3774"/>
        <v>0</v>
      </c>
      <c r="N1878" s="1" t="str">
        <f t="shared" si="3774"/>
        <v>0</v>
      </c>
      <c r="O1878" s="1" t="str">
        <f t="shared" si="3774"/>
        <v>0</v>
      </c>
      <c r="P1878" s="1" t="str">
        <f t="shared" si="3774"/>
        <v>0</v>
      </c>
      <c r="Q1878" s="1" t="str">
        <f t="shared" si="3737"/>
        <v>0.0070</v>
      </c>
      <c r="R1878" s="1" t="s">
        <v>25</v>
      </c>
      <c r="T1878" s="1" t="str">
        <f t="shared" si="3738"/>
        <v>0</v>
      </c>
      <c r="U1878" s="1" t="str">
        <f t="shared" ref="U1878:U1882" si="3775">"0.0070"</f>
        <v>0.0070</v>
      </c>
    </row>
    <row r="1879" s="1" customFormat="1" spans="1:21">
      <c r="A1879" s="1" t="str">
        <f>"4601992027650"</f>
        <v>4601992027650</v>
      </c>
      <c r="B1879" s="1" t="s">
        <v>1903</v>
      </c>
      <c r="C1879" s="1" t="s">
        <v>24</v>
      </c>
      <c r="D1879" s="1" t="str">
        <f t="shared" si="3734"/>
        <v>2021</v>
      </c>
      <c r="E1879" s="1" t="str">
        <f>"48.36"</f>
        <v>48.36</v>
      </c>
      <c r="F1879" s="1" t="str">
        <f t="shared" ref="F1879:I1879" si="3776">"0"</f>
        <v>0</v>
      </c>
      <c r="G1879" s="1" t="str">
        <f t="shared" si="3776"/>
        <v>0</v>
      </c>
      <c r="H1879" s="1" t="str">
        <f t="shared" si="3776"/>
        <v>0</v>
      </c>
      <c r="I1879" s="1" t="str">
        <f t="shared" si="3776"/>
        <v>0</v>
      </c>
      <c r="J1879" s="1" t="str">
        <f>"7"</f>
        <v>7</v>
      </c>
      <c r="K1879" s="1" t="str">
        <f t="shared" ref="K1879:P1879" si="3777">"0"</f>
        <v>0</v>
      </c>
      <c r="L1879" s="1" t="str">
        <f t="shared" si="3777"/>
        <v>0</v>
      </c>
      <c r="M1879" s="1" t="str">
        <f t="shared" si="3777"/>
        <v>0</v>
      </c>
      <c r="N1879" s="1" t="str">
        <f t="shared" si="3777"/>
        <v>0</v>
      </c>
      <c r="O1879" s="1" t="str">
        <f t="shared" si="3777"/>
        <v>0</v>
      </c>
      <c r="P1879" s="1" t="str">
        <f t="shared" si="3777"/>
        <v>0</v>
      </c>
      <c r="Q1879" s="1" t="str">
        <f t="shared" si="3737"/>
        <v>0.0070</v>
      </c>
      <c r="R1879" s="1" t="s">
        <v>29</v>
      </c>
      <c r="S1879" s="1">
        <v>-0.0014</v>
      </c>
      <c r="T1879" s="1" t="str">
        <f t="shared" si="3738"/>
        <v>0</v>
      </c>
      <c r="U1879" s="1" t="str">
        <f t="shared" ref="U1879:U1883" si="3778">"0.0056"</f>
        <v>0.0056</v>
      </c>
    </row>
    <row r="1880" s="1" customFormat="1" spans="1:21">
      <c r="A1880" s="1" t="str">
        <f>"4601992027685"</f>
        <v>4601992027685</v>
      </c>
      <c r="B1880" s="1" t="s">
        <v>1904</v>
      </c>
      <c r="C1880" s="1" t="s">
        <v>24</v>
      </c>
      <c r="D1880" s="1" t="str">
        <f t="shared" si="3734"/>
        <v>2021</v>
      </c>
      <c r="E1880" s="1" t="str">
        <f>"29.41"</f>
        <v>29.41</v>
      </c>
      <c r="F1880" s="1" t="str">
        <f t="shared" ref="F1880:I1880" si="3779">"0"</f>
        <v>0</v>
      </c>
      <c r="G1880" s="1" t="str">
        <f t="shared" si="3779"/>
        <v>0</v>
      </c>
      <c r="H1880" s="1" t="str">
        <f t="shared" si="3779"/>
        <v>0</v>
      </c>
      <c r="I1880" s="1" t="str">
        <f t="shared" si="3779"/>
        <v>0</v>
      </c>
      <c r="J1880" s="1" t="str">
        <f>"2"</f>
        <v>2</v>
      </c>
      <c r="K1880" s="1" t="str">
        <f t="shared" ref="K1880:P1880" si="3780">"0"</f>
        <v>0</v>
      </c>
      <c r="L1880" s="1" t="str">
        <f t="shared" si="3780"/>
        <v>0</v>
      </c>
      <c r="M1880" s="1" t="str">
        <f t="shared" si="3780"/>
        <v>0</v>
      </c>
      <c r="N1880" s="1" t="str">
        <f t="shared" si="3780"/>
        <v>0</v>
      </c>
      <c r="O1880" s="1" t="str">
        <f t="shared" si="3780"/>
        <v>0</v>
      </c>
      <c r="P1880" s="1" t="str">
        <f t="shared" si="3780"/>
        <v>0</v>
      </c>
      <c r="Q1880" s="1" t="str">
        <f t="shared" si="3737"/>
        <v>0.0070</v>
      </c>
      <c r="R1880" s="1" t="s">
        <v>29</v>
      </c>
      <c r="S1880" s="1">
        <v>-0.0014</v>
      </c>
      <c r="T1880" s="1" t="str">
        <f t="shared" si="3738"/>
        <v>0</v>
      </c>
      <c r="U1880" s="1" t="str">
        <f t="shared" si="3778"/>
        <v>0.0056</v>
      </c>
    </row>
    <row r="1881" s="1" customFormat="1" spans="1:21">
      <c r="A1881" s="1" t="str">
        <f>"4601992027736"</f>
        <v>4601992027736</v>
      </c>
      <c r="B1881" s="1" t="s">
        <v>1905</v>
      </c>
      <c r="C1881" s="1" t="s">
        <v>24</v>
      </c>
      <c r="D1881" s="1" t="str">
        <f t="shared" si="3734"/>
        <v>2021</v>
      </c>
      <c r="E1881" s="1" t="str">
        <f t="shared" ref="E1881:P1881" si="3781">"0"</f>
        <v>0</v>
      </c>
      <c r="F1881" s="1" t="str">
        <f t="shared" si="3781"/>
        <v>0</v>
      </c>
      <c r="G1881" s="1" t="str">
        <f t="shared" si="3781"/>
        <v>0</v>
      </c>
      <c r="H1881" s="1" t="str">
        <f t="shared" si="3781"/>
        <v>0</v>
      </c>
      <c r="I1881" s="1" t="str">
        <f t="shared" si="3781"/>
        <v>0</v>
      </c>
      <c r="J1881" s="1" t="str">
        <f t="shared" si="3781"/>
        <v>0</v>
      </c>
      <c r="K1881" s="1" t="str">
        <f t="shared" si="3781"/>
        <v>0</v>
      </c>
      <c r="L1881" s="1" t="str">
        <f t="shared" si="3781"/>
        <v>0</v>
      </c>
      <c r="M1881" s="1" t="str">
        <f t="shared" si="3781"/>
        <v>0</v>
      </c>
      <c r="N1881" s="1" t="str">
        <f t="shared" si="3781"/>
        <v>0</v>
      </c>
      <c r="O1881" s="1" t="str">
        <f t="shared" si="3781"/>
        <v>0</v>
      </c>
      <c r="P1881" s="1" t="str">
        <f t="shared" si="3781"/>
        <v>0</v>
      </c>
      <c r="Q1881" s="1" t="str">
        <f t="shared" si="3737"/>
        <v>0.0070</v>
      </c>
      <c r="R1881" s="1" t="s">
        <v>25</v>
      </c>
      <c r="T1881" s="1" t="str">
        <f t="shared" si="3738"/>
        <v>0</v>
      </c>
      <c r="U1881" s="1" t="str">
        <f t="shared" si="3775"/>
        <v>0.0070</v>
      </c>
    </row>
    <row r="1882" s="1" customFormat="1" spans="1:21">
      <c r="A1882" s="1" t="str">
        <f>"4601992027739"</f>
        <v>4601992027739</v>
      </c>
      <c r="B1882" s="1" t="s">
        <v>1906</v>
      </c>
      <c r="C1882" s="1" t="s">
        <v>24</v>
      </c>
      <c r="D1882" s="1" t="str">
        <f t="shared" si="3734"/>
        <v>2021</v>
      </c>
      <c r="E1882" s="1" t="str">
        <f t="shared" ref="E1882:P1882" si="3782">"0"</f>
        <v>0</v>
      </c>
      <c r="F1882" s="1" t="str">
        <f t="shared" si="3782"/>
        <v>0</v>
      </c>
      <c r="G1882" s="1" t="str">
        <f t="shared" si="3782"/>
        <v>0</v>
      </c>
      <c r="H1882" s="1" t="str">
        <f t="shared" si="3782"/>
        <v>0</v>
      </c>
      <c r="I1882" s="1" t="str">
        <f t="shared" si="3782"/>
        <v>0</v>
      </c>
      <c r="J1882" s="1" t="str">
        <f t="shared" si="3782"/>
        <v>0</v>
      </c>
      <c r="K1882" s="1" t="str">
        <f t="shared" si="3782"/>
        <v>0</v>
      </c>
      <c r="L1882" s="1" t="str">
        <f t="shared" si="3782"/>
        <v>0</v>
      </c>
      <c r="M1882" s="1" t="str">
        <f t="shared" si="3782"/>
        <v>0</v>
      </c>
      <c r="N1882" s="1" t="str">
        <f t="shared" si="3782"/>
        <v>0</v>
      </c>
      <c r="O1882" s="1" t="str">
        <f t="shared" si="3782"/>
        <v>0</v>
      </c>
      <c r="P1882" s="1" t="str">
        <f t="shared" si="3782"/>
        <v>0</v>
      </c>
      <c r="Q1882" s="1" t="str">
        <f t="shared" si="3737"/>
        <v>0.0070</v>
      </c>
      <c r="R1882" s="1" t="s">
        <v>25</v>
      </c>
      <c r="T1882" s="1" t="str">
        <f t="shared" si="3738"/>
        <v>0</v>
      </c>
      <c r="U1882" s="1" t="str">
        <f t="shared" si="3775"/>
        <v>0.0070</v>
      </c>
    </row>
    <row r="1883" s="1" customFormat="1" spans="1:21">
      <c r="A1883" s="1" t="str">
        <f>"4601992027709"</f>
        <v>4601992027709</v>
      </c>
      <c r="B1883" s="1" t="s">
        <v>1907</v>
      </c>
      <c r="C1883" s="1" t="s">
        <v>24</v>
      </c>
      <c r="D1883" s="1" t="str">
        <f t="shared" si="3734"/>
        <v>2021</v>
      </c>
      <c r="E1883" s="1" t="str">
        <f>"61.10"</f>
        <v>61.10</v>
      </c>
      <c r="F1883" s="1" t="str">
        <f t="shared" ref="F1883:I1883" si="3783">"0"</f>
        <v>0</v>
      </c>
      <c r="G1883" s="1" t="str">
        <f t="shared" si="3783"/>
        <v>0</v>
      </c>
      <c r="H1883" s="1" t="str">
        <f t="shared" si="3783"/>
        <v>0</v>
      </c>
      <c r="I1883" s="1" t="str">
        <f t="shared" si="3783"/>
        <v>0</v>
      </c>
      <c r="J1883" s="1" t="str">
        <f>"6"</f>
        <v>6</v>
      </c>
      <c r="K1883" s="1" t="str">
        <f t="shared" ref="K1883:P1883" si="3784">"0"</f>
        <v>0</v>
      </c>
      <c r="L1883" s="1" t="str">
        <f t="shared" si="3784"/>
        <v>0</v>
      </c>
      <c r="M1883" s="1" t="str">
        <f t="shared" si="3784"/>
        <v>0</v>
      </c>
      <c r="N1883" s="1" t="str">
        <f t="shared" si="3784"/>
        <v>0</v>
      </c>
      <c r="O1883" s="1" t="str">
        <f t="shared" si="3784"/>
        <v>0</v>
      </c>
      <c r="P1883" s="1" t="str">
        <f t="shared" si="3784"/>
        <v>0</v>
      </c>
      <c r="Q1883" s="1" t="str">
        <f t="shared" si="3737"/>
        <v>0.0070</v>
      </c>
      <c r="R1883" s="1" t="s">
        <v>29</v>
      </c>
      <c r="S1883" s="1">
        <v>-0.0014</v>
      </c>
      <c r="T1883" s="1" t="str">
        <f t="shared" si="3738"/>
        <v>0</v>
      </c>
      <c r="U1883" s="1" t="str">
        <f t="shared" si="3778"/>
        <v>0.0056</v>
      </c>
    </row>
    <row r="1884" s="1" customFormat="1" spans="1:21">
      <c r="A1884" s="1" t="str">
        <f>"4601992027814"</f>
        <v>4601992027814</v>
      </c>
      <c r="B1884" s="1" t="s">
        <v>1908</v>
      </c>
      <c r="C1884" s="1" t="s">
        <v>24</v>
      </c>
      <c r="D1884" s="1" t="str">
        <f t="shared" si="3734"/>
        <v>2021</v>
      </c>
      <c r="E1884" s="1" t="str">
        <f t="shared" ref="E1884:P1884" si="3785">"0"</f>
        <v>0</v>
      </c>
      <c r="F1884" s="1" t="str">
        <f t="shared" si="3785"/>
        <v>0</v>
      </c>
      <c r="G1884" s="1" t="str">
        <f t="shared" si="3785"/>
        <v>0</v>
      </c>
      <c r="H1884" s="1" t="str">
        <f t="shared" si="3785"/>
        <v>0</v>
      </c>
      <c r="I1884" s="1" t="str">
        <f t="shared" si="3785"/>
        <v>0</v>
      </c>
      <c r="J1884" s="1" t="str">
        <f t="shared" si="3785"/>
        <v>0</v>
      </c>
      <c r="K1884" s="1" t="str">
        <f t="shared" si="3785"/>
        <v>0</v>
      </c>
      <c r="L1884" s="1" t="str">
        <f t="shared" si="3785"/>
        <v>0</v>
      </c>
      <c r="M1884" s="1" t="str">
        <f t="shared" si="3785"/>
        <v>0</v>
      </c>
      <c r="N1884" s="1" t="str">
        <f t="shared" si="3785"/>
        <v>0</v>
      </c>
      <c r="O1884" s="1" t="str">
        <f t="shared" si="3785"/>
        <v>0</v>
      </c>
      <c r="P1884" s="1" t="str">
        <f t="shared" si="3785"/>
        <v>0</v>
      </c>
      <c r="Q1884" s="1" t="str">
        <f t="shared" si="3737"/>
        <v>0.0070</v>
      </c>
      <c r="R1884" s="1" t="s">
        <v>25</v>
      </c>
      <c r="T1884" s="1" t="str">
        <f t="shared" si="3738"/>
        <v>0</v>
      </c>
      <c r="U1884" s="1" t="str">
        <f>"0.0070"</f>
        <v>0.0070</v>
      </c>
    </row>
    <row r="1885" s="1" customFormat="1" spans="1:21">
      <c r="A1885" s="1" t="str">
        <f>"4601992027757"</f>
        <v>4601992027757</v>
      </c>
      <c r="B1885" s="1" t="s">
        <v>1909</v>
      </c>
      <c r="C1885" s="1" t="s">
        <v>24</v>
      </c>
      <c r="D1885" s="1" t="str">
        <f t="shared" si="3734"/>
        <v>2021</v>
      </c>
      <c r="E1885" s="1" t="str">
        <f>"60.23"</f>
        <v>60.23</v>
      </c>
      <c r="F1885" s="1" t="str">
        <f t="shared" ref="F1885:I1885" si="3786">"0"</f>
        <v>0</v>
      </c>
      <c r="G1885" s="1" t="str">
        <f t="shared" si="3786"/>
        <v>0</v>
      </c>
      <c r="H1885" s="1" t="str">
        <f t="shared" si="3786"/>
        <v>0</v>
      </c>
      <c r="I1885" s="1" t="str">
        <f t="shared" si="3786"/>
        <v>0</v>
      </c>
      <c r="J1885" s="1" t="str">
        <f>"4"</f>
        <v>4</v>
      </c>
      <c r="K1885" s="1" t="str">
        <f t="shared" ref="K1885:P1885" si="3787">"0"</f>
        <v>0</v>
      </c>
      <c r="L1885" s="1" t="str">
        <f t="shared" si="3787"/>
        <v>0</v>
      </c>
      <c r="M1885" s="1" t="str">
        <f t="shared" si="3787"/>
        <v>0</v>
      </c>
      <c r="N1885" s="1" t="str">
        <f t="shared" si="3787"/>
        <v>0</v>
      </c>
      <c r="O1885" s="1" t="str">
        <f t="shared" si="3787"/>
        <v>0</v>
      </c>
      <c r="P1885" s="1" t="str">
        <f t="shared" si="3787"/>
        <v>0</v>
      </c>
      <c r="Q1885" s="1" t="str">
        <f t="shared" si="3737"/>
        <v>0.0070</v>
      </c>
      <c r="R1885" s="1" t="s">
        <v>29</v>
      </c>
      <c r="S1885" s="1">
        <v>-0.0014</v>
      </c>
      <c r="T1885" s="1" t="str">
        <f t="shared" si="3738"/>
        <v>0</v>
      </c>
      <c r="U1885" s="1" t="str">
        <f t="shared" ref="U1885:U1887" si="3788">"0.0056"</f>
        <v>0.0056</v>
      </c>
    </row>
    <row r="1886" s="1" customFormat="1" spans="1:21">
      <c r="A1886" s="1" t="str">
        <f>"4601992027760"</f>
        <v>4601992027760</v>
      </c>
      <c r="B1886" s="1" t="s">
        <v>1910</v>
      </c>
      <c r="C1886" s="1" t="s">
        <v>24</v>
      </c>
      <c r="D1886" s="1" t="str">
        <f t="shared" si="3734"/>
        <v>2021</v>
      </c>
      <c r="E1886" s="1" t="str">
        <f t="shared" ref="E1886:E1891" si="3789">"12.09"</f>
        <v>12.09</v>
      </c>
      <c r="F1886" s="1" t="str">
        <f t="shared" ref="F1886:I1886" si="3790">"0"</f>
        <v>0</v>
      </c>
      <c r="G1886" s="1" t="str">
        <f t="shared" si="3790"/>
        <v>0</v>
      </c>
      <c r="H1886" s="1" t="str">
        <f t="shared" si="3790"/>
        <v>0</v>
      </c>
      <c r="I1886" s="1" t="str">
        <f t="shared" si="3790"/>
        <v>0</v>
      </c>
      <c r="J1886" s="1" t="str">
        <f t="shared" ref="J1886:J1892" si="3791">"1"</f>
        <v>1</v>
      </c>
      <c r="K1886" s="1" t="str">
        <f t="shared" ref="K1886:P1886" si="3792">"0"</f>
        <v>0</v>
      </c>
      <c r="L1886" s="1" t="str">
        <f t="shared" si="3792"/>
        <v>0</v>
      </c>
      <c r="M1886" s="1" t="str">
        <f t="shared" si="3792"/>
        <v>0</v>
      </c>
      <c r="N1886" s="1" t="str">
        <f t="shared" si="3792"/>
        <v>0</v>
      </c>
      <c r="O1886" s="1" t="str">
        <f t="shared" si="3792"/>
        <v>0</v>
      </c>
      <c r="P1886" s="1" t="str">
        <f t="shared" si="3792"/>
        <v>0</v>
      </c>
      <c r="Q1886" s="1" t="str">
        <f t="shared" si="3737"/>
        <v>0.0070</v>
      </c>
      <c r="R1886" s="1" t="s">
        <v>29</v>
      </c>
      <c r="S1886" s="1">
        <v>-0.0014</v>
      </c>
      <c r="T1886" s="1" t="str">
        <f t="shared" si="3738"/>
        <v>0</v>
      </c>
      <c r="U1886" s="1" t="str">
        <f t="shared" si="3788"/>
        <v>0.0056</v>
      </c>
    </row>
    <row r="1887" s="1" customFormat="1" spans="1:21">
      <c r="A1887" s="1" t="str">
        <f>"4601992027803"</f>
        <v>4601992027803</v>
      </c>
      <c r="B1887" s="1" t="s">
        <v>1911</v>
      </c>
      <c r="C1887" s="1" t="s">
        <v>24</v>
      </c>
      <c r="D1887" s="1" t="str">
        <f t="shared" si="3734"/>
        <v>2021</v>
      </c>
      <c r="E1887" s="1" t="str">
        <f t="shared" si="3789"/>
        <v>12.09</v>
      </c>
      <c r="F1887" s="1" t="str">
        <f t="shared" ref="F1887:I1887" si="3793">"0"</f>
        <v>0</v>
      </c>
      <c r="G1887" s="1" t="str">
        <f t="shared" si="3793"/>
        <v>0</v>
      </c>
      <c r="H1887" s="1" t="str">
        <f t="shared" si="3793"/>
        <v>0</v>
      </c>
      <c r="I1887" s="1" t="str">
        <f t="shared" si="3793"/>
        <v>0</v>
      </c>
      <c r="J1887" s="1" t="str">
        <f>"2"</f>
        <v>2</v>
      </c>
      <c r="K1887" s="1" t="str">
        <f t="shared" ref="K1887:P1887" si="3794">"0"</f>
        <v>0</v>
      </c>
      <c r="L1887" s="1" t="str">
        <f t="shared" si="3794"/>
        <v>0</v>
      </c>
      <c r="M1887" s="1" t="str">
        <f t="shared" si="3794"/>
        <v>0</v>
      </c>
      <c r="N1887" s="1" t="str">
        <f t="shared" si="3794"/>
        <v>0</v>
      </c>
      <c r="O1887" s="1" t="str">
        <f t="shared" si="3794"/>
        <v>0</v>
      </c>
      <c r="P1887" s="1" t="str">
        <f t="shared" si="3794"/>
        <v>0</v>
      </c>
      <c r="Q1887" s="1" t="str">
        <f t="shared" si="3737"/>
        <v>0.0070</v>
      </c>
      <c r="R1887" s="1" t="s">
        <v>29</v>
      </c>
      <c r="S1887" s="1">
        <v>-0.0014</v>
      </c>
      <c r="T1887" s="1" t="str">
        <f t="shared" si="3738"/>
        <v>0</v>
      </c>
      <c r="U1887" s="1" t="str">
        <f t="shared" si="3788"/>
        <v>0.0056</v>
      </c>
    </row>
    <row r="1888" s="1" customFormat="1" spans="1:21">
      <c r="A1888" s="1" t="str">
        <f>"4601992027889"</f>
        <v>4601992027889</v>
      </c>
      <c r="B1888" s="1" t="s">
        <v>1912</v>
      </c>
      <c r="C1888" s="1" t="s">
        <v>24</v>
      </c>
      <c r="D1888" s="1" t="str">
        <f t="shared" si="3734"/>
        <v>2021</v>
      </c>
      <c r="E1888" s="1" t="str">
        <f t="shared" ref="E1888:P1888" si="3795">"0"</f>
        <v>0</v>
      </c>
      <c r="F1888" s="1" t="str">
        <f t="shared" si="3795"/>
        <v>0</v>
      </c>
      <c r="G1888" s="1" t="str">
        <f t="shared" si="3795"/>
        <v>0</v>
      </c>
      <c r="H1888" s="1" t="str">
        <f t="shared" si="3795"/>
        <v>0</v>
      </c>
      <c r="I1888" s="1" t="str">
        <f t="shared" si="3795"/>
        <v>0</v>
      </c>
      <c r="J1888" s="1" t="str">
        <f t="shared" si="3795"/>
        <v>0</v>
      </c>
      <c r="K1888" s="1" t="str">
        <f t="shared" si="3795"/>
        <v>0</v>
      </c>
      <c r="L1888" s="1" t="str">
        <f t="shared" si="3795"/>
        <v>0</v>
      </c>
      <c r="M1888" s="1" t="str">
        <f t="shared" si="3795"/>
        <v>0</v>
      </c>
      <c r="N1888" s="1" t="str">
        <f t="shared" si="3795"/>
        <v>0</v>
      </c>
      <c r="O1888" s="1" t="str">
        <f t="shared" si="3795"/>
        <v>0</v>
      </c>
      <c r="P1888" s="1" t="str">
        <f t="shared" si="3795"/>
        <v>0</v>
      </c>
      <c r="Q1888" s="1" t="str">
        <f t="shared" si="3737"/>
        <v>0.0070</v>
      </c>
      <c r="R1888" s="1" t="s">
        <v>25</v>
      </c>
      <c r="T1888" s="1" t="str">
        <f t="shared" si="3738"/>
        <v>0</v>
      </c>
      <c r="U1888" s="1" t="str">
        <f>"0.0070"</f>
        <v>0.0070</v>
      </c>
    </row>
    <row r="1889" s="1" customFormat="1" spans="1:21">
      <c r="A1889" s="1" t="str">
        <f>"4601992027815"</f>
        <v>4601992027815</v>
      </c>
      <c r="B1889" s="1" t="s">
        <v>1913</v>
      </c>
      <c r="C1889" s="1" t="s">
        <v>24</v>
      </c>
      <c r="D1889" s="1" t="str">
        <f t="shared" si="3734"/>
        <v>2021</v>
      </c>
      <c r="E1889" s="1" t="str">
        <f>"12.66"</f>
        <v>12.66</v>
      </c>
      <c r="F1889" s="1" t="str">
        <f t="shared" ref="F1889:I1889" si="3796">"0"</f>
        <v>0</v>
      </c>
      <c r="G1889" s="1" t="str">
        <f t="shared" si="3796"/>
        <v>0</v>
      </c>
      <c r="H1889" s="1" t="str">
        <f t="shared" si="3796"/>
        <v>0</v>
      </c>
      <c r="I1889" s="1" t="str">
        <f t="shared" si="3796"/>
        <v>0</v>
      </c>
      <c r="J1889" s="1" t="str">
        <f t="shared" si="3791"/>
        <v>1</v>
      </c>
      <c r="K1889" s="1" t="str">
        <f t="shared" ref="K1889:P1889" si="3797">"0"</f>
        <v>0</v>
      </c>
      <c r="L1889" s="1" t="str">
        <f t="shared" si="3797"/>
        <v>0</v>
      </c>
      <c r="M1889" s="1" t="str">
        <f t="shared" si="3797"/>
        <v>0</v>
      </c>
      <c r="N1889" s="1" t="str">
        <f t="shared" si="3797"/>
        <v>0</v>
      </c>
      <c r="O1889" s="1" t="str">
        <f t="shared" si="3797"/>
        <v>0</v>
      </c>
      <c r="P1889" s="1" t="str">
        <f t="shared" si="3797"/>
        <v>0</v>
      </c>
      <c r="Q1889" s="1" t="str">
        <f t="shared" si="3737"/>
        <v>0.0070</v>
      </c>
      <c r="R1889" s="1" t="s">
        <v>29</v>
      </c>
      <c r="S1889" s="1">
        <v>-0.0014</v>
      </c>
      <c r="T1889" s="1" t="str">
        <f t="shared" si="3738"/>
        <v>0</v>
      </c>
      <c r="U1889" s="1" t="str">
        <f t="shared" ref="U1889:U1894" si="3798">"0.0056"</f>
        <v>0.0056</v>
      </c>
    </row>
    <row r="1890" s="1" customFormat="1" spans="1:21">
      <c r="A1890" s="1" t="str">
        <f>"4601992027845"</f>
        <v>4601992027845</v>
      </c>
      <c r="B1890" s="1" t="s">
        <v>1914</v>
      </c>
      <c r="C1890" s="1" t="s">
        <v>24</v>
      </c>
      <c r="D1890" s="1" t="str">
        <f t="shared" si="3734"/>
        <v>2021</v>
      </c>
      <c r="E1890" s="1" t="str">
        <f>"24.18"</f>
        <v>24.18</v>
      </c>
      <c r="F1890" s="1" t="str">
        <f t="shared" ref="F1890:I1890" si="3799">"0"</f>
        <v>0</v>
      </c>
      <c r="G1890" s="1" t="str">
        <f t="shared" si="3799"/>
        <v>0</v>
      </c>
      <c r="H1890" s="1" t="str">
        <f t="shared" si="3799"/>
        <v>0</v>
      </c>
      <c r="I1890" s="1" t="str">
        <f t="shared" si="3799"/>
        <v>0</v>
      </c>
      <c r="J1890" s="1" t="str">
        <f t="shared" ref="J1890:J1896" si="3800">"2"</f>
        <v>2</v>
      </c>
      <c r="K1890" s="1" t="str">
        <f t="shared" ref="K1890:P1890" si="3801">"0"</f>
        <v>0</v>
      </c>
      <c r="L1890" s="1" t="str">
        <f t="shared" si="3801"/>
        <v>0</v>
      </c>
      <c r="M1890" s="1" t="str">
        <f t="shared" si="3801"/>
        <v>0</v>
      </c>
      <c r="N1890" s="1" t="str">
        <f t="shared" si="3801"/>
        <v>0</v>
      </c>
      <c r="O1890" s="1" t="str">
        <f t="shared" si="3801"/>
        <v>0</v>
      </c>
      <c r="P1890" s="1" t="str">
        <f t="shared" si="3801"/>
        <v>0</v>
      </c>
      <c r="Q1890" s="1" t="str">
        <f t="shared" si="3737"/>
        <v>0.0070</v>
      </c>
      <c r="R1890" s="1" t="s">
        <v>29</v>
      </c>
      <c r="S1890" s="1">
        <v>-0.0014</v>
      </c>
      <c r="T1890" s="1" t="str">
        <f t="shared" si="3738"/>
        <v>0</v>
      </c>
      <c r="U1890" s="1" t="str">
        <f t="shared" si="3798"/>
        <v>0.0056</v>
      </c>
    </row>
    <row r="1891" s="1" customFormat="1" spans="1:21">
      <c r="A1891" s="1" t="str">
        <f>"4601992027895"</f>
        <v>4601992027895</v>
      </c>
      <c r="B1891" s="1" t="s">
        <v>1915</v>
      </c>
      <c r="C1891" s="1" t="s">
        <v>24</v>
      </c>
      <c r="D1891" s="1" t="str">
        <f t="shared" si="3734"/>
        <v>2021</v>
      </c>
      <c r="E1891" s="1" t="str">
        <f t="shared" si="3789"/>
        <v>12.09</v>
      </c>
      <c r="F1891" s="1" t="str">
        <f t="shared" ref="F1891:I1891" si="3802">"0"</f>
        <v>0</v>
      </c>
      <c r="G1891" s="1" t="str">
        <f t="shared" si="3802"/>
        <v>0</v>
      </c>
      <c r="H1891" s="1" t="str">
        <f t="shared" si="3802"/>
        <v>0</v>
      </c>
      <c r="I1891" s="1" t="str">
        <f t="shared" si="3802"/>
        <v>0</v>
      </c>
      <c r="J1891" s="1" t="str">
        <f t="shared" si="3791"/>
        <v>1</v>
      </c>
      <c r="K1891" s="1" t="str">
        <f t="shared" ref="K1891:P1891" si="3803">"0"</f>
        <v>0</v>
      </c>
      <c r="L1891" s="1" t="str">
        <f t="shared" si="3803"/>
        <v>0</v>
      </c>
      <c r="M1891" s="1" t="str">
        <f t="shared" si="3803"/>
        <v>0</v>
      </c>
      <c r="N1891" s="1" t="str">
        <f t="shared" si="3803"/>
        <v>0</v>
      </c>
      <c r="O1891" s="1" t="str">
        <f t="shared" si="3803"/>
        <v>0</v>
      </c>
      <c r="P1891" s="1" t="str">
        <f t="shared" si="3803"/>
        <v>0</v>
      </c>
      <c r="Q1891" s="1" t="str">
        <f t="shared" si="3737"/>
        <v>0.0070</v>
      </c>
      <c r="R1891" s="1" t="s">
        <v>29</v>
      </c>
      <c r="S1891" s="1">
        <v>-0.0014</v>
      </c>
      <c r="T1891" s="1" t="str">
        <f t="shared" si="3738"/>
        <v>0</v>
      </c>
      <c r="U1891" s="1" t="str">
        <f t="shared" si="3798"/>
        <v>0.0056</v>
      </c>
    </row>
    <row r="1892" s="1" customFormat="1" spans="1:21">
      <c r="A1892" s="1" t="str">
        <f>"4601992027909"</f>
        <v>4601992027909</v>
      </c>
      <c r="B1892" s="1" t="s">
        <v>1916</v>
      </c>
      <c r="C1892" s="1" t="s">
        <v>24</v>
      </c>
      <c r="D1892" s="1" t="str">
        <f t="shared" si="3734"/>
        <v>2021</v>
      </c>
      <c r="E1892" s="1" t="str">
        <f>"24.18"</f>
        <v>24.18</v>
      </c>
      <c r="F1892" s="1" t="str">
        <f t="shared" ref="F1892:I1892" si="3804">"0"</f>
        <v>0</v>
      </c>
      <c r="G1892" s="1" t="str">
        <f t="shared" si="3804"/>
        <v>0</v>
      </c>
      <c r="H1892" s="1" t="str">
        <f t="shared" si="3804"/>
        <v>0</v>
      </c>
      <c r="I1892" s="1" t="str">
        <f t="shared" si="3804"/>
        <v>0</v>
      </c>
      <c r="J1892" s="1" t="str">
        <f t="shared" si="3791"/>
        <v>1</v>
      </c>
      <c r="K1892" s="1" t="str">
        <f t="shared" ref="K1892:P1892" si="3805">"0"</f>
        <v>0</v>
      </c>
      <c r="L1892" s="1" t="str">
        <f t="shared" si="3805"/>
        <v>0</v>
      </c>
      <c r="M1892" s="1" t="str">
        <f t="shared" si="3805"/>
        <v>0</v>
      </c>
      <c r="N1892" s="1" t="str">
        <f t="shared" si="3805"/>
        <v>0</v>
      </c>
      <c r="O1892" s="1" t="str">
        <f t="shared" si="3805"/>
        <v>0</v>
      </c>
      <c r="P1892" s="1" t="str">
        <f t="shared" si="3805"/>
        <v>0</v>
      </c>
      <c r="Q1892" s="1" t="str">
        <f t="shared" si="3737"/>
        <v>0.0070</v>
      </c>
      <c r="R1892" s="1" t="s">
        <v>29</v>
      </c>
      <c r="S1892" s="1">
        <v>-0.0014</v>
      </c>
      <c r="T1892" s="1" t="str">
        <f t="shared" si="3738"/>
        <v>0</v>
      </c>
      <c r="U1892" s="1" t="str">
        <f t="shared" si="3798"/>
        <v>0.0056</v>
      </c>
    </row>
    <row r="1893" s="1" customFormat="1" spans="1:21">
      <c r="A1893" s="1" t="str">
        <f>"4601992027914"</f>
        <v>4601992027914</v>
      </c>
      <c r="B1893" s="1" t="s">
        <v>1917</v>
      </c>
      <c r="C1893" s="1" t="s">
        <v>24</v>
      </c>
      <c r="D1893" s="1" t="str">
        <f t="shared" si="3734"/>
        <v>2021</v>
      </c>
      <c r="E1893" s="1" t="str">
        <f>"23.98"</f>
        <v>23.98</v>
      </c>
      <c r="F1893" s="1" t="str">
        <f t="shared" ref="F1893:I1893" si="3806">"0"</f>
        <v>0</v>
      </c>
      <c r="G1893" s="1" t="str">
        <f t="shared" si="3806"/>
        <v>0</v>
      </c>
      <c r="H1893" s="1" t="str">
        <f t="shared" si="3806"/>
        <v>0</v>
      </c>
      <c r="I1893" s="1" t="str">
        <f t="shared" si="3806"/>
        <v>0</v>
      </c>
      <c r="J1893" s="1" t="str">
        <f t="shared" si="3800"/>
        <v>2</v>
      </c>
      <c r="K1893" s="1" t="str">
        <f t="shared" ref="K1893:P1893" si="3807">"0"</f>
        <v>0</v>
      </c>
      <c r="L1893" s="1" t="str">
        <f t="shared" si="3807"/>
        <v>0</v>
      </c>
      <c r="M1893" s="1" t="str">
        <f t="shared" si="3807"/>
        <v>0</v>
      </c>
      <c r="N1893" s="1" t="str">
        <f t="shared" si="3807"/>
        <v>0</v>
      </c>
      <c r="O1893" s="1" t="str">
        <f t="shared" si="3807"/>
        <v>0</v>
      </c>
      <c r="P1893" s="1" t="str">
        <f t="shared" si="3807"/>
        <v>0</v>
      </c>
      <c r="Q1893" s="1" t="str">
        <f t="shared" si="3737"/>
        <v>0.0070</v>
      </c>
      <c r="R1893" s="1" t="s">
        <v>29</v>
      </c>
      <c r="S1893" s="1">
        <v>-0.0014</v>
      </c>
      <c r="T1893" s="1" t="str">
        <f t="shared" si="3738"/>
        <v>0</v>
      </c>
      <c r="U1893" s="1" t="str">
        <f t="shared" si="3798"/>
        <v>0.0056</v>
      </c>
    </row>
    <row r="1894" s="1" customFormat="1" spans="1:21">
      <c r="A1894" s="1" t="str">
        <f>"4601992027935"</f>
        <v>4601992027935</v>
      </c>
      <c r="B1894" s="1" t="s">
        <v>1918</v>
      </c>
      <c r="C1894" s="1" t="s">
        <v>24</v>
      </c>
      <c r="D1894" s="1" t="str">
        <f t="shared" si="3734"/>
        <v>2021</v>
      </c>
      <c r="E1894" s="1" t="str">
        <f>"24.50"</f>
        <v>24.50</v>
      </c>
      <c r="F1894" s="1" t="str">
        <f t="shared" ref="F1894:I1894" si="3808">"0"</f>
        <v>0</v>
      </c>
      <c r="G1894" s="1" t="str">
        <f t="shared" si="3808"/>
        <v>0</v>
      </c>
      <c r="H1894" s="1" t="str">
        <f t="shared" si="3808"/>
        <v>0</v>
      </c>
      <c r="I1894" s="1" t="str">
        <f t="shared" si="3808"/>
        <v>0</v>
      </c>
      <c r="J1894" s="1" t="str">
        <f t="shared" si="3800"/>
        <v>2</v>
      </c>
      <c r="K1894" s="1" t="str">
        <f t="shared" ref="K1894:P1894" si="3809">"0"</f>
        <v>0</v>
      </c>
      <c r="L1894" s="1" t="str">
        <f t="shared" si="3809"/>
        <v>0</v>
      </c>
      <c r="M1894" s="1" t="str">
        <f t="shared" si="3809"/>
        <v>0</v>
      </c>
      <c r="N1894" s="1" t="str">
        <f t="shared" si="3809"/>
        <v>0</v>
      </c>
      <c r="O1894" s="1" t="str">
        <f t="shared" si="3809"/>
        <v>0</v>
      </c>
      <c r="P1894" s="1" t="str">
        <f t="shared" si="3809"/>
        <v>0</v>
      </c>
      <c r="Q1894" s="1" t="str">
        <f t="shared" si="3737"/>
        <v>0.0070</v>
      </c>
      <c r="R1894" s="1" t="s">
        <v>29</v>
      </c>
      <c r="S1894" s="1">
        <v>-0.0014</v>
      </c>
      <c r="T1894" s="1" t="str">
        <f t="shared" si="3738"/>
        <v>0</v>
      </c>
      <c r="U1894" s="1" t="str">
        <f t="shared" si="3798"/>
        <v>0.0056</v>
      </c>
    </row>
    <row r="1895" s="1" customFormat="1" spans="1:21">
      <c r="A1895" s="1" t="str">
        <f>"4601992027982"</f>
        <v>4601992027982</v>
      </c>
      <c r="B1895" s="1" t="s">
        <v>1919</v>
      </c>
      <c r="C1895" s="1" t="s">
        <v>24</v>
      </c>
      <c r="D1895" s="1" t="str">
        <f t="shared" si="3734"/>
        <v>2021</v>
      </c>
      <c r="E1895" s="1" t="str">
        <f t="shared" ref="E1895:G1895" si="3810">"0"</f>
        <v>0</v>
      </c>
      <c r="F1895" s="1" t="str">
        <f t="shared" si="3810"/>
        <v>0</v>
      </c>
      <c r="G1895" s="1" t="str">
        <f t="shared" si="3810"/>
        <v>0</v>
      </c>
      <c r="H1895" s="1" t="str">
        <f>"39.93"</f>
        <v>39.93</v>
      </c>
      <c r="I1895" s="1" t="str">
        <f t="shared" ref="I1895:P1895" si="3811">"0"</f>
        <v>0</v>
      </c>
      <c r="J1895" s="1" t="str">
        <f t="shared" si="3800"/>
        <v>2</v>
      </c>
      <c r="K1895" s="1" t="str">
        <f t="shared" si="3811"/>
        <v>0</v>
      </c>
      <c r="L1895" s="1" t="str">
        <f t="shared" si="3811"/>
        <v>0</v>
      </c>
      <c r="M1895" s="1" t="str">
        <f t="shared" si="3811"/>
        <v>0</v>
      </c>
      <c r="N1895" s="1" t="str">
        <f t="shared" si="3811"/>
        <v>0</v>
      </c>
      <c r="O1895" s="1" t="str">
        <f t="shared" si="3811"/>
        <v>0</v>
      </c>
      <c r="P1895" s="1" t="str">
        <f t="shared" si="3811"/>
        <v>0</v>
      </c>
      <c r="Q1895" s="1" t="str">
        <f t="shared" si="3737"/>
        <v>0.0070</v>
      </c>
      <c r="R1895" s="1" t="s">
        <v>25</v>
      </c>
      <c r="T1895" s="1" t="str">
        <f t="shared" si="3738"/>
        <v>0</v>
      </c>
      <c r="U1895" s="1" t="str">
        <f t="shared" ref="U1895:U1902" si="3812">"0.0070"</f>
        <v>0.0070</v>
      </c>
    </row>
    <row r="1896" s="1" customFormat="1" spans="1:21">
      <c r="A1896" s="1" t="str">
        <f>"4601992027945"</f>
        <v>4601992027945</v>
      </c>
      <c r="B1896" s="1" t="s">
        <v>1920</v>
      </c>
      <c r="C1896" s="1" t="s">
        <v>24</v>
      </c>
      <c r="D1896" s="1" t="str">
        <f t="shared" si="3734"/>
        <v>2021</v>
      </c>
      <c r="E1896" s="1" t="str">
        <f>"24.18"</f>
        <v>24.18</v>
      </c>
      <c r="F1896" s="1" t="str">
        <f t="shared" ref="F1896:I1896" si="3813">"0"</f>
        <v>0</v>
      </c>
      <c r="G1896" s="1" t="str">
        <f t="shared" si="3813"/>
        <v>0</v>
      </c>
      <c r="H1896" s="1" t="str">
        <f t="shared" si="3813"/>
        <v>0</v>
      </c>
      <c r="I1896" s="1" t="str">
        <f t="shared" si="3813"/>
        <v>0</v>
      </c>
      <c r="J1896" s="1" t="str">
        <f t="shared" si="3800"/>
        <v>2</v>
      </c>
      <c r="K1896" s="1" t="str">
        <f t="shared" ref="K1896:P1896" si="3814">"0"</f>
        <v>0</v>
      </c>
      <c r="L1896" s="1" t="str">
        <f t="shared" si="3814"/>
        <v>0</v>
      </c>
      <c r="M1896" s="1" t="str">
        <f t="shared" si="3814"/>
        <v>0</v>
      </c>
      <c r="N1896" s="1" t="str">
        <f t="shared" si="3814"/>
        <v>0</v>
      </c>
      <c r="O1896" s="1" t="str">
        <f t="shared" si="3814"/>
        <v>0</v>
      </c>
      <c r="P1896" s="1" t="str">
        <f t="shared" si="3814"/>
        <v>0</v>
      </c>
      <c r="Q1896" s="1" t="str">
        <f t="shared" si="3737"/>
        <v>0.0070</v>
      </c>
      <c r="R1896" s="1" t="s">
        <v>29</v>
      </c>
      <c r="S1896" s="1">
        <v>-0.0014</v>
      </c>
      <c r="T1896" s="1" t="str">
        <f t="shared" si="3738"/>
        <v>0</v>
      </c>
      <c r="U1896" s="1" t="str">
        <f>"0.0056"</f>
        <v>0.0056</v>
      </c>
    </row>
    <row r="1897" s="1" customFormat="1" spans="1:21">
      <c r="A1897" s="1" t="str">
        <f>"4601992028003"</f>
        <v>4601992028003</v>
      </c>
      <c r="B1897" s="1" t="s">
        <v>1921</v>
      </c>
      <c r="C1897" s="1" t="s">
        <v>24</v>
      </c>
      <c r="D1897" s="1" t="str">
        <f t="shared" si="3734"/>
        <v>2021</v>
      </c>
      <c r="E1897" s="1" t="str">
        <f t="shared" ref="E1897:P1897" si="3815">"0"</f>
        <v>0</v>
      </c>
      <c r="F1897" s="1" t="str">
        <f t="shared" si="3815"/>
        <v>0</v>
      </c>
      <c r="G1897" s="1" t="str">
        <f t="shared" si="3815"/>
        <v>0</v>
      </c>
      <c r="H1897" s="1" t="str">
        <f t="shared" si="3815"/>
        <v>0</v>
      </c>
      <c r="I1897" s="1" t="str">
        <f t="shared" si="3815"/>
        <v>0</v>
      </c>
      <c r="J1897" s="1" t="str">
        <f t="shared" si="3815"/>
        <v>0</v>
      </c>
      <c r="K1897" s="1" t="str">
        <f t="shared" si="3815"/>
        <v>0</v>
      </c>
      <c r="L1897" s="1" t="str">
        <f t="shared" si="3815"/>
        <v>0</v>
      </c>
      <c r="M1897" s="1" t="str">
        <f t="shared" si="3815"/>
        <v>0</v>
      </c>
      <c r="N1897" s="1" t="str">
        <f t="shared" si="3815"/>
        <v>0</v>
      </c>
      <c r="O1897" s="1" t="str">
        <f t="shared" si="3815"/>
        <v>0</v>
      </c>
      <c r="P1897" s="1" t="str">
        <f t="shared" si="3815"/>
        <v>0</v>
      </c>
      <c r="Q1897" s="1" t="str">
        <f t="shared" si="3737"/>
        <v>0.0070</v>
      </c>
      <c r="R1897" s="1" t="s">
        <v>25</v>
      </c>
      <c r="T1897" s="1" t="str">
        <f t="shared" si="3738"/>
        <v>0</v>
      </c>
      <c r="U1897" s="1" t="str">
        <f t="shared" si="3812"/>
        <v>0.0070</v>
      </c>
    </row>
    <row r="1898" s="1" customFormat="1" spans="1:21">
      <c r="A1898" s="1" t="str">
        <f>"4601992028031"</f>
        <v>4601992028031</v>
      </c>
      <c r="B1898" s="1" t="s">
        <v>1922</v>
      </c>
      <c r="C1898" s="1" t="s">
        <v>24</v>
      </c>
      <c r="D1898" s="1" t="str">
        <f t="shared" si="3734"/>
        <v>2021</v>
      </c>
      <c r="E1898" s="1" t="str">
        <f t="shared" ref="E1898:P1898" si="3816">"0"</f>
        <v>0</v>
      </c>
      <c r="F1898" s="1" t="str">
        <f t="shared" si="3816"/>
        <v>0</v>
      </c>
      <c r="G1898" s="1" t="str">
        <f t="shared" si="3816"/>
        <v>0</v>
      </c>
      <c r="H1898" s="1" t="str">
        <f t="shared" si="3816"/>
        <v>0</v>
      </c>
      <c r="I1898" s="1" t="str">
        <f t="shared" si="3816"/>
        <v>0</v>
      </c>
      <c r="J1898" s="1" t="str">
        <f t="shared" si="3816"/>
        <v>0</v>
      </c>
      <c r="K1898" s="1" t="str">
        <f t="shared" si="3816"/>
        <v>0</v>
      </c>
      <c r="L1898" s="1" t="str">
        <f t="shared" si="3816"/>
        <v>0</v>
      </c>
      <c r="M1898" s="1" t="str">
        <f t="shared" si="3816"/>
        <v>0</v>
      </c>
      <c r="N1898" s="1" t="str">
        <f t="shared" si="3816"/>
        <v>0</v>
      </c>
      <c r="O1898" s="1" t="str">
        <f t="shared" si="3816"/>
        <v>0</v>
      </c>
      <c r="P1898" s="1" t="str">
        <f t="shared" si="3816"/>
        <v>0</v>
      </c>
      <c r="Q1898" s="1" t="str">
        <f t="shared" si="3737"/>
        <v>0.0070</v>
      </c>
      <c r="R1898" s="1" t="s">
        <v>25</v>
      </c>
      <c r="T1898" s="1" t="str">
        <f t="shared" si="3738"/>
        <v>0</v>
      </c>
      <c r="U1898" s="1" t="str">
        <f t="shared" si="3812"/>
        <v>0.0070</v>
      </c>
    </row>
    <row r="1899" s="1" customFormat="1" spans="1:21">
      <c r="A1899" s="1" t="str">
        <f>"4601992028008"</f>
        <v>4601992028008</v>
      </c>
      <c r="B1899" s="1" t="s">
        <v>1923</v>
      </c>
      <c r="C1899" s="1" t="s">
        <v>24</v>
      </c>
      <c r="D1899" s="1" t="str">
        <f t="shared" si="3734"/>
        <v>2021</v>
      </c>
      <c r="E1899" s="1" t="str">
        <f t="shared" ref="E1899:G1899" si="3817">"0"</f>
        <v>0</v>
      </c>
      <c r="F1899" s="1" t="str">
        <f t="shared" si="3817"/>
        <v>0</v>
      </c>
      <c r="G1899" s="1" t="str">
        <f t="shared" si="3817"/>
        <v>0</v>
      </c>
      <c r="H1899" s="1" t="str">
        <f>"12.09"</f>
        <v>12.09</v>
      </c>
      <c r="I1899" s="1" t="str">
        <f t="shared" ref="I1899:P1899" si="3818">"0"</f>
        <v>0</v>
      </c>
      <c r="J1899" s="1" t="str">
        <f t="shared" si="3818"/>
        <v>0</v>
      </c>
      <c r="K1899" s="1" t="str">
        <f t="shared" si="3818"/>
        <v>0</v>
      </c>
      <c r="L1899" s="1" t="str">
        <f t="shared" si="3818"/>
        <v>0</v>
      </c>
      <c r="M1899" s="1" t="str">
        <f t="shared" si="3818"/>
        <v>0</v>
      </c>
      <c r="N1899" s="1" t="str">
        <f t="shared" si="3818"/>
        <v>0</v>
      </c>
      <c r="O1899" s="1" t="str">
        <f t="shared" si="3818"/>
        <v>0</v>
      </c>
      <c r="P1899" s="1" t="str">
        <f t="shared" si="3818"/>
        <v>0</v>
      </c>
      <c r="Q1899" s="1" t="str">
        <f t="shared" si="3737"/>
        <v>0.0070</v>
      </c>
      <c r="R1899" s="1" t="s">
        <v>25</v>
      </c>
      <c r="T1899" s="1" t="str">
        <f t="shared" si="3738"/>
        <v>0</v>
      </c>
      <c r="U1899" s="1" t="str">
        <f t="shared" si="3812"/>
        <v>0.0070</v>
      </c>
    </row>
    <row r="1900" s="1" customFormat="1" spans="1:21">
      <c r="A1900" s="1" t="str">
        <f>"4601992028073"</f>
        <v>4601992028073</v>
      </c>
      <c r="B1900" s="1" t="s">
        <v>1924</v>
      </c>
      <c r="C1900" s="1" t="s">
        <v>24</v>
      </c>
      <c r="D1900" s="1" t="str">
        <f t="shared" si="3734"/>
        <v>2021</v>
      </c>
      <c r="E1900" s="1" t="str">
        <f t="shared" ref="E1900:P1900" si="3819">"0"</f>
        <v>0</v>
      </c>
      <c r="F1900" s="1" t="str">
        <f t="shared" si="3819"/>
        <v>0</v>
      </c>
      <c r="G1900" s="1" t="str">
        <f t="shared" si="3819"/>
        <v>0</v>
      </c>
      <c r="H1900" s="1" t="str">
        <f t="shared" si="3819"/>
        <v>0</v>
      </c>
      <c r="I1900" s="1" t="str">
        <f t="shared" si="3819"/>
        <v>0</v>
      </c>
      <c r="J1900" s="1" t="str">
        <f t="shared" si="3819"/>
        <v>0</v>
      </c>
      <c r="K1900" s="1" t="str">
        <f t="shared" si="3819"/>
        <v>0</v>
      </c>
      <c r="L1900" s="1" t="str">
        <f t="shared" si="3819"/>
        <v>0</v>
      </c>
      <c r="M1900" s="1" t="str">
        <f t="shared" si="3819"/>
        <v>0</v>
      </c>
      <c r="N1900" s="1" t="str">
        <f t="shared" si="3819"/>
        <v>0</v>
      </c>
      <c r="O1900" s="1" t="str">
        <f t="shared" si="3819"/>
        <v>0</v>
      </c>
      <c r="P1900" s="1" t="str">
        <f t="shared" si="3819"/>
        <v>0</v>
      </c>
      <c r="Q1900" s="1" t="str">
        <f t="shared" si="3737"/>
        <v>0.0070</v>
      </c>
      <c r="R1900" s="1" t="s">
        <v>25</v>
      </c>
      <c r="T1900" s="1" t="str">
        <f t="shared" si="3738"/>
        <v>0</v>
      </c>
      <c r="U1900" s="1" t="str">
        <f t="shared" si="3812"/>
        <v>0.0070</v>
      </c>
    </row>
    <row r="1901" s="1" customFormat="1" spans="1:21">
      <c r="A1901" s="1" t="str">
        <f>"4601992028146"</f>
        <v>4601992028146</v>
      </c>
      <c r="B1901" s="1" t="s">
        <v>1925</v>
      </c>
      <c r="C1901" s="1" t="s">
        <v>24</v>
      </c>
      <c r="D1901" s="1" t="str">
        <f t="shared" si="3734"/>
        <v>2021</v>
      </c>
      <c r="E1901" s="1" t="str">
        <f t="shared" ref="E1901:P1901" si="3820">"0"</f>
        <v>0</v>
      </c>
      <c r="F1901" s="1" t="str">
        <f t="shared" si="3820"/>
        <v>0</v>
      </c>
      <c r="G1901" s="1" t="str">
        <f t="shared" si="3820"/>
        <v>0</v>
      </c>
      <c r="H1901" s="1" t="str">
        <f t="shared" si="3820"/>
        <v>0</v>
      </c>
      <c r="I1901" s="1" t="str">
        <f t="shared" si="3820"/>
        <v>0</v>
      </c>
      <c r="J1901" s="1" t="str">
        <f t="shared" si="3820"/>
        <v>0</v>
      </c>
      <c r="K1901" s="1" t="str">
        <f t="shared" si="3820"/>
        <v>0</v>
      </c>
      <c r="L1901" s="1" t="str">
        <f t="shared" si="3820"/>
        <v>0</v>
      </c>
      <c r="M1901" s="1" t="str">
        <f t="shared" si="3820"/>
        <v>0</v>
      </c>
      <c r="N1901" s="1" t="str">
        <f t="shared" si="3820"/>
        <v>0</v>
      </c>
      <c r="O1901" s="1" t="str">
        <f t="shared" si="3820"/>
        <v>0</v>
      </c>
      <c r="P1901" s="1" t="str">
        <f t="shared" si="3820"/>
        <v>0</v>
      </c>
      <c r="Q1901" s="1" t="str">
        <f t="shared" si="3737"/>
        <v>0.0070</v>
      </c>
      <c r="R1901" s="1" t="s">
        <v>25</v>
      </c>
      <c r="T1901" s="1" t="str">
        <f t="shared" si="3738"/>
        <v>0</v>
      </c>
      <c r="U1901" s="1" t="str">
        <f t="shared" si="3812"/>
        <v>0.0070</v>
      </c>
    </row>
    <row r="1902" s="1" customFormat="1" spans="1:21">
      <c r="A1902" s="1" t="str">
        <f>"4601992028166"</f>
        <v>4601992028166</v>
      </c>
      <c r="B1902" s="1" t="s">
        <v>1926</v>
      </c>
      <c r="C1902" s="1" t="s">
        <v>24</v>
      </c>
      <c r="D1902" s="1" t="str">
        <f t="shared" si="3734"/>
        <v>2021</v>
      </c>
      <c r="E1902" s="1" t="str">
        <f t="shared" ref="E1902:P1902" si="3821">"0"</f>
        <v>0</v>
      </c>
      <c r="F1902" s="1" t="str">
        <f t="shared" si="3821"/>
        <v>0</v>
      </c>
      <c r="G1902" s="1" t="str">
        <f t="shared" si="3821"/>
        <v>0</v>
      </c>
      <c r="H1902" s="1" t="str">
        <f t="shared" si="3821"/>
        <v>0</v>
      </c>
      <c r="I1902" s="1" t="str">
        <f t="shared" si="3821"/>
        <v>0</v>
      </c>
      <c r="J1902" s="1" t="str">
        <f t="shared" si="3821"/>
        <v>0</v>
      </c>
      <c r="K1902" s="1" t="str">
        <f t="shared" si="3821"/>
        <v>0</v>
      </c>
      <c r="L1902" s="1" t="str">
        <f t="shared" si="3821"/>
        <v>0</v>
      </c>
      <c r="M1902" s="1" t="str">
        <f t="shared" si="3821"/>
        <v>0</v>
      </c>
      <c r="N1902" s="1" t="str">
        <f t="shared" si="3821"/>
        <v>0</v>
      </c>
      <c r="O1902" s="1" t="str">
        <f t="shared" si="3821"/>
        <v>0</v>
      </c>
      <c r="P1902" s="1" t="str">
        <f t="shared" si="3821"/>
        <v>0</v>
      </c>
      <c r="Q1902" s="1" t="str">
        <f t="shared" si="3737"/>
        <v>0.0070</v>
      </c>
      <c r="R1902" s="1" t="s">
        <v>25</v>
      </c>
      <c r="T1902" s="1" t="str">
        <f t="shared" si="3738"/>
        <v>0</v>
      </c>
      <c r="U1902" s="1" t="str">
        <f t="shared" si="3812"/>
        <v>0.0070</v>
      </c>
    </row>
    <row r="1903" s="1" customFormat="1" spans="1:21">
      <c r="A1903" s="1" t="str">
        <f>"4601992028092"</f>
        <v>4601992028092</v>
      </c>
      <c r="B1903" s="1" t="s">
        <v>1927</v>
      </c>
      <c r="C1903" s="1" t="s">
        <v>24</v>
      </c>
      <c r="D1903" s="1" t="str">
        <f t="shared" si="3734"/>
        <v>2021</v>
      </c>
      <c r="E1903" s="1" t="str">
        <f>"12.09"</f>
        <v>12.09</v>
      </c>
      <c r="F1903" s="1" t="str">
        <f t="shared" ref="F1903:I1903" si="3822">"0"</f>
        <v>0</v>
      </c>
      <c r="G1903" s="1" t="str">
        <f t="shared" si="3822"/>
        <v>0</v>
      </c>
      <c r="H1903" s="1" t="str">
        <f t="shared" si="3822"/>
        <v>0</v>
      </c>
      <c r="I1903" s="1" t="str">
        <f t="shared" si="3822"/>
        <v>0</v>
      </c>
      <c r="J1903" s="1" t="str">
        <f>"1"</f>
        <v>1</v>
      </c>
      <c r="K1903" s="1" t="str">
        <f t="shared" ref="K1903:P1903" si="3823">"0"</f>
        <v>0</v>
      </c>
      <c r="L1903" s="1" t="str">
        <f t="shared" si="3823"/>
        <v>0</v>
      </c>
      <c r="M1903" s="1" t="str">
        <f t="shared" si="3823"/>
        <v>0</v>
      </c>
      <c r="N1903" s="1" t="str">
        <f t="shared" si="3823"/>
        <v>0</v>
      </c>
      <c r="O1903" s="1" t="str">
        <f t="shared" si="3823"/>
        <v>0</v>
      </c>
      <c r="P1903" s="1" t="str">
        <f t="shared" si="3823"/>
        <v>0</v>
      </c>
      <c r="Q1903" s="1" t="str">
        <f t="shared" si="3737"/>
        <v>0.0070</v>
      </c>
      <c r="R1903" s="1" t="s">
        <v>29</v>
      </c>
      <c r="S1903" s="1">
        <v>-0.0014</v>
      </c>
      <c r="T1903" s="1" t="str">
        <f t="shared" si="3738"/>
        <v>0</v>
      </c>
      <c r="U1903" s="1" t="str">
        <f t="shared" ref="U1903:U1906" si="3824">"0.0056"</f>
        <v>0.0056</v>
      </c>
    </row>
    <row r="1904" s="1" customFormat="1" spans="1:21">
      <c r="A1904" s="1" t="str">
        <f>"4601992028050"</f>
        <v>4601992028050</v>
      </c>
      <c r="B1904" s="1" t="s">
        <v>1928</v>
      </c>
      <c r="C1904" s="1" t="s">
        <v>24</v>
      </c>
      <c r="D1904" s="1" t="str">
        <f t="shared" si="3734"/>
        <v>2021</v>
      </c>
      <c r="E1904" s="1" t="str">
        <f>"24.50"</f>
        <v>24.50</v>
      </c>
      <c r="F1904" s="1" t="str">
        <f t="shared" ref="F1904:I1904" si="3825">"0"</f>
        <v>0</v>
      </c>
      <c r="G1904" s="1" t="str">
        <f t="shared" si="3825"/>
        <v>0</v>
      </c>
      <c r="H1904" s="1" t="str">
        <f t="shared" si="3825"/>
        <v>0</v>
      </c>
      <c r="I1904" s="1" t="str">
        <f t="shared" si="3825"/>
        <v>0</v>
      </c>
      <c r="J1904" s="1" t="str">
        <f t="shared" ref="J1904:J1907" si="3826">"3"</f>
        <v>3</v>
      </c>
      <c r="K1904" s="1" t="str">
        <f t="shared" ref="K1904:P1904" si="3827">"0"</f>
        <v>0</v>
      </c>
      <c r="L1904" s="1" t="str">
        <f t="shared" si="3827"/>
        <v>0</v>
      </c>
      <c r="M1904" s="1" t="str">
        <f t="shared" si="3827"/>
        <v>0</v>
      </c>
      <c r="N1904" s="1" t="str">
        <f t="shared" si="3827"/>
        <v>0</v>
      </c>
      <c r="O1904" s="1" t="str">
        <f t="shared" si="3827"/>
        <v>0</v>
      </c>
      <c r="P1904" s="1" t="str">
        <f t="shared" si="3827"/>
        <v>0</v>
      </c>
      <c r="Q1904" s="1" t="str">
        <f t="shared" si="3737"/>
        <v>0.0070</v>
      </c>
      <c r="R1904" s="1" t="s">
        <v>29</v>
      </c>
      <c r="S1904" s="1">
        <v>-0.0014</v>
      </c>
      <c r="T1904" s="1" t="str">
        <f t="shared" si="3738"/>
        <v>0</v>
      </c>
      <c r="U1904" s="1" t="str">
        <f t="shared" si="3824"/>
        <v>0.0056</v>
      </c>
    </row>
    <row r="1905" s="1" customFormat="1" spans="1:21">
      <c r="A1905" s="1" t="str">
        <f>"4601992028233"</f>
        <v>4601992028233</v>
      </c>
      <c r="B1905" s="1" t="s">
        <v>1929</v>
      </c>
      <c r="C1905" s="1" t="s">
        <v>24</v>
      </c>
      <c r="D1905" s="1" t="str">
        <f t="shared" si="3734"/>
        <v>2021</v>
      </c>
      <c r="E1905" s="1" t="str">
        <f t="shared" ref="E1905:P1905" si="3828">"0"</f>
        <v>0</v>
      </c>
      <c r="F1905" s="1" t="str">
        <f t="shared" si="3828"/>
        <v>0</v>
      </c>
      <c r="G1905" s="1" t="str">
        <f t="shared" si="3828"/>
        <v>0</v>
      </c>
      <c r="H1905" s="1" t="str">
        <f t="shared" si="3828"/>
        <v>0</v>
      </c>
      <c r="I1905" s="1" t="str">
        <f t="shared" si="3828"/>
        <v>0</v>
      </c>
      <c r="J1905" s="1" t="str">
        <f t="shared" si="3828"/>
        <v>0</v>
      </c>
      <c r="K1905" s="1" t="str">
        <f t="shared" si="3828"/>
        <v>0</v>
      </c>
      <c r="L1905" s="1" t="str">
        <f t="shared" si="3828"/>
        <v>0</v>
      </c>
      <c r="M1905" s="1" t="str">
        <f t="shared" si="3828"/>
        <v>0</v>
      </c>
      <c r="N1905" s="1" t="str">
        <f t="shared" si="3828"/>
        <v>0</v>
      </c>
      <c r="O1905" s="1" t="str">
        <f t="shared" si="3828"/>
        <v>0</v>
      </c>
      <c r="P1905" s="1" t="str">
        <f t="shared" si="3828"/>
        <v>0</v>
      </c>
      <c r="Q1905" s="1" t="str">
        <f t="shared" si="3737"/>
        <v>0.0070</v>
      </c>
      <c r="R1905" s="1" t="s">
        <v>25</v>
      </c>
      <c r="T1905" s="1" t="str">
        <f t="shared" si="3738"/>
        <v>0</v>
      </c>
      <c r="U1905" s="1" t="str">
        <f>"0.0070"</f>
        <v>0.0070</v>
      </c>
    </row>
    <row r="1906" s="1" customFormat="1" spans="1:21">
      <c r="A1906" s="1" t="str">
        <f>"4601992028217"</f>
        <v>4601992028217</v>
      </c>
      <c r="B1906" s="1" t="s">
        <v>1930</v>
      </c>
      <c r="C1906" s="1" t="s">
        <v>24</v>
      </c>
      <c r="D1906" s="1" t="str">
        <f t="shared" si="3734"/>
        <v>2021</v>
      </c>
      <c r="E1906" s="1" t="str">
        <f>"36.27"</f>
        <v>36.27</v>
      </c>
      <c r="F1906" s="1" t="str">
        <f t="shared" ref="F1906:I1906" si="3829">"0"</f>
        <v>0</v>
      </c>
      <c r="G1906" s="1" t="str">
        <f t="shared" si="3829"/>
        <v>0</v>
      </c>
      <c r="H1906" s="1" t="str">
        <f t="shared" si="3829"/>
        <v>0</v>
      </c>
      <c r="I1906" s="1" t="str">
        <f t="shared" si="3829"/>
        <v>0</v>
      </c>
      <c r="J1906" s="1" t="str">
        <f t="shared" si="3826"/>
        <v>3</v>
      </c>
      <c r="K1906" s="1" t="str">
        <f t="shared" ref="K1906:P1906" si="3830">"0"</f>
        <v>0</v>
      </c>
      <c r="L1906" s="1" t="str">
        <f t="shared" si="3830"/>
        <v>0</v>
      </c>
      <c r="M1906" s="1" t="str">
        <f t="shared" si="3830"/>
        <v>0</v>
      </c>
      <c r="N1906" s="1" t="str">
        <f t="shared" si="3830"/>
        <v>0</v>
      </c>
      <c r="O1906" s="1" t="str">
        <f t="shared" si="3830"/>
        <v>0</v>
      </c>
      <c r="P1906" s="1" t="str">
        <f t="shared" si="3830"/>
        <v>0</v>
      </c>
      <c r="Q1906" s="1" t="str">
        <f t="shared" si="3737"/>
        <v>0.0070</v>
      </c>
      <c r="R1906" s="1" t="s">
        <v>29</v>
      </c>
      <c r="S1906" s="1">
        <v>-0.0014</v>
      </c>
      <c r="T1906" s="1" t="str">
        <f t="shared" si="3738"/>
        <v>0</v>
      </c>
      <c r="U1906" s="1" t="str">
        <f t="shared" si="3824"/>
        <v>0.0056</v>
      </c>
    </row>
    <row r="1907" s="1" customFormat="1" spans="1:21">
      <c r="A1907" s="1" t="str">
        <f>"4601992028234"</f>
        <v>4601992028234</v>
      </c>
      <c r="B1907" s="1" t="s">
        <v>1931</v>
      </c>
      <c r="C1907" s="1" t="s">
        <v>24</v>
      </c>
      <c r="D1907" s="1" t="str">
        <f t="shared" si="3734"/>
        <v>2021</v>
      </c>
      <c r="E1907" s="1" t="str">
        <f>"36.27"</f>
        <v>36.27</v>
      </c>
      <c r="F1907" s="1" t="str">
        <f t="shared" ref="F1907:I1907" si="3831">"0"</f>
        <v>0</v>
      </c>
      <c r="G1907" s="1" t="str">
        <f t="shared" si="3831"/>
        <v>0</v>
      </c>
      <c r="H1907" s="1" t="str">
        <f t="shared" si="3831"/>
        <v>0</v>
      </c>
      <c r="I1907" s="1" t="str">
        <f t="shared" si="3831"/>
        <v>0</v>
      </c>
      <c r="J1907" s="1" t="str">
        <f t="shared" si="3826"/>
        <v>3</v>
      </c>
      <c r="K1907" s="1" t="str">
        <f t="shared" ref="K1907:P1907" si="3832">"0"</f>
        <v>0</v>
      </c>
      <c r="L1907" s="1" t="str">
        <f t="shared" si="3832"/>
        <v>0</v>
      </c>
      <c r="M1907" s="1" t="str">
        <f t="shared" si="3832"/>
        <v>0</v>
      </c>
      <c r="N1907" s="1" t="str">
        <f t="shared" si="3832"/>
        <v>0</v>
      </c>
      <c r="O1907" s="1" t="str">
        <f t="shared" si="3832"/>
        <v>0</v>
      </c>
      <c r="P1907" s="1" t="str">
        <f t="shared" si="3832"/>
        <v>0</v>
      </c>
      <c r="Q1907" s="1" t="str">
        <f t="shared" si="3737"/>
        <v>0.0070</v>
      </c>
      <c r="R1907" s="1" t="s">
        <v>25</v>
      </c>
      <c r="T1907" s="1" t="str">
        <f t="shared" si="3738"/>
        <v>0</v>
      </c>
      <c r="U1907" s="1" t="str">
        <f>"0.0070"</f>
        <v>0.0070</v>
      </c>
    </row>
    <row r="1908" s="1" customFormat="1" spans="1:21">
      <c r="A1908" s="1" t="str">
        <f>"4601992028244"</f>
        <v>4601992028244</v>
      </c>
      <c r="B1908" s="1" t="s">
        <v>1932</v>
      </c>
      <c r="C1908" s="1" t="s">
        <v>24</v>
      </c>
      <c r="D1908" s="1" t="str">
        <f t="shared" si="3734"/>
        <v>2021</v>
      </c>
      <c r="E1908" s="1" t="str">
        <f>"52.80"</f>
        <v>52.80</v>
      </c>
      <c r="F1908" s="1" t="str">
        <f t="shared" ref="F1908:I1908" si="3833">"0"</f>
        <v>0</v>
      </c>
      <c r="G1908" s="1" t="str">
        <f t="shared" si="3833"/>
        <v>0</v>
      </c>
      <c r="H1908" s="1" t="str">
        <f t="shared" si="3833"/>
        <v>0</v>
      </c>
      <c r="I1908" s="1" t="str">
        <f t="shared" si="3833"/>
        <v>0</v>
      </c>
      <c r="J1908" s="1" t="str">
        <f>"4"</f>
        <v>4</v>
      </c>
      <c r="K1908" s="1" t="str">
        <f t="shared" ref="K1908:P1908" si="3834">"0"</f>
        <v>0</v>
      </c>
      <c r="L1908" s="1" t="str">
        <f t="shared" si="3834"/>
        <v>0</v>
      </c>
      <c r="M1908" s="1" t="str">
        <f t="shared" si="3834"/>
        <v>0</v>
      </c>
      <c r="N1908" s="1" t="str">
        <f t="shared" si="3834"/>
        <v>0</v>
      </c>
      <c r="O1908" s="1" t="str">
        <f t="shared" si="3834"/>
        <v>0</v>
      </c>
      <c r="P1908" s="1" t="str">
        <f t="shared" si="3834"/>
        <v>0</v>
      </c>
      <c r="Q1908" s="1" t="str">
        <f t="shared" si="3737"/>
        <v>0.0070</v>
      </c>
      <c r="R1908" s="1" t="s">
        <v>29</v>
      </c>
      <c r="S1908" s="1">
        <v>-0.0014</v>
      </c>
      <c r="T1908" s="1" t="str">
        <f t="shared" si="3738"/>
        <v>0</v>
      </c>
      <c r="U1908" s="1" t="str">
        <f t="shared" ref="U1908:U1910" si="3835">"0.0056"</f>
        <v>0.0056</v>
      </c>
    </row>
    <row r="1909" s="1" customFormat="1" spans="1:21">
      <c r="A1909" s="1" t="str">
        <f>"4601992028278"</f>
        <v>4601992028278</v>
      </c>
      <c r="B1909" s="1" t="s">
        <v>1933</v>
      </c>
      <c r="C1909" s="1" t="s">
        <v>24</v>
      </c>
      <c r="D1909" s="1" t="str">
        <f t="shared" si="3734"/>
        <v>2021</v>
      </c>
      <c r="E1909" s="1" t="str">
        <f>"145.08"</f>
        <v>145.08</v>
      </c>
      <c r="F1909" s="1" t="str">
        <f t="shared" ref="F1909:I1909" si="3836">"0"</f>
        <v>0</v>
      </c>
      <c r="G1909" s="1" t="str">
        <f t="shared" si="3836"/>
        <v>0</v>
      </c>
      <c r="H1909" s="1" t="str">
        <f t="shared" si="3836"/>
        <v>0</v>
      </c>
      <c r="I1909" s="1" t="str">
        <f t="shared" si="3836"/>
        <v>0</v>
      </c>
      <c r="J1909" s="1" t="str">
        <f>"12"</f>
        <v>12</v>
      </c>
      <c r="K1909" s="1" t="str">
        <f t="shared" ref="K1909:P1909" si="3837">"0"</f>
        <v>0</v>
      </c>
      <c r="L1909" s="1" t="str">
        <f t="shared" si="3837"/>
        <v>0</v>
      </c>
      <c r="M1909" s="1" t="str">
        <f t="shared" si="3837"/>
        <v>0</v>
      </c>
      <c r="N1909" s="1" t="str">
        <f t="shared" si="3837"/>
        <v>0</v>
      </c>
      <c r="O1909" s="1" t="str">
        <f t="shared" si="3837"/>
        <v>0</v>
      </c>
      <c r="P1909" s="1" t="str">
        <f t="shared" si="3837"/>
        <v>0</v>
      </c>
      <c r="Q1909" s="1" t="str">
        <f t="shared" si="3737"/>
        <v>0.0070</v>
      </c>
      <c r="R1909" s="1" t="s">
        <v>29</v>
      </c>
      <c r="S1909" s="1">
        <v>-0.0014</v>
      </c>
      <c r="T1909" s="1" t="str">
        <f t="shared" si="3738"/>
        <v>0</v>
      </c>
      <c r="U1909" s="1" t="str">
        <f t="shared" si="3835"/>
        <v>0.0056</v>
      </c>
    </row>
    <row r="1910" s="1" customFormat="1" spans="1:21">
      <c r="A1910" s="1" t="str">
        <f>"4601992028247"</f>
        <v>4601992028247</v>
      </c>
      <c r="B1910" s="1" t="s">
        <v>1934</v>
      </c>
      <c r="C1910" s="1" t="s">
        <v>24</v>
      </c>
      <c r="D1910" s="1" t="str">
        <f t="shared" si="3734"/>
        <v>2021</v>
      </c>
      <c r="E1910" s="1" t="str">
        <f>"24.18"</f>
        <v>24.18</v>
      </c>
      <c r="F1910" s="1" t="str">
        <f t="shared" ref="F1910:I1910" si="3838">"0"</f>
        <v>0</v>
      </c>
      <c r="G1910" s="1" t="str">
        <f t="shared" si="3838"/>
        <v>0</v>
      </c>
      <c r="H1910" s="1" t="str">
        <f t="shared" si="3838"/>
        <v>0</v>
      </c>
      <c r="I1910" s="1" t="str">
        <f t="shared" si="3838"/>
        <v>0</v>
      </c>
      <c r="J1910" s="1" t="str">
        <f t="shared" ref="J1910:J1913" si="3839">"2"</f>
        <v>2</v>
      </c>
      <c r="K1910" s="1" t="str">
        <f t="shared" ref="K1910:P1910" si="3840">"0"</f>
        <v>0</v>
      </c>
      <c r="L1910" s="1" t="str">
        <f t="shared" si="3840"/>
        <v>0</v>
      </c>
      <c r="M1910" s="1" t="str">
        <f t="shared" si="3840"/>
        <v>0</v>
      </c>
      <c r="N1910" s="1" t="str">
        <f t="shared" si="3840"/>
        <v>0</v>
      </c>
      <c r="O1910" s="1" t="str">
        <f t="shared" si="3840"/>
        <v>0</v>
      </c>
      <c r="P1910" s="1" t="str">
        <f t="shared" si="3840"/>
        <v>0</v>
      </c>
      <c r="Q1910" s="1" t="str">
        <f t="shared" si="3737"/>
        <v>0.0070</v>
      </c>
      <c r="R1910" s="1" t="s">
        <v>29</v>
      </c>
      <c r="S1910" s="1">
        <v>-0.0014</v>
      </c>
      <c r="T1910" s="1" t="str">
        <f t="shared" si="3738"/>
        <v>0</v>
      </c>
      <c r="U1910" s="1" t="str">
        <f t="shared" si="3835"/>
        <v>0.0056</v>
      </c>
    </row>
    <row r="1911" s="1" customFormat="1" spans="1:21">
      <c r="A1911" s="1" t="str">
        <f>"4601992028285"</f>
        <v>4601992028285</v>
      </c>
      <c r="B1911" s="1" t="s">
        <v>1935</v>
      </c>
      <c r="C1911" s="1" t="s">
        <v>24</v>
      </c>
      <c r="D1911" s="1" t="str">
        <f t="shared" si="3734"/>
        <v>2021</v>
      </c>
      <c r="E1911" s="1" t="str">
        <f>"24.18"</f>
        <v>24.18</v>
      </c>
      <c r="F1911" s="1" t="str">
        <f t="shared" ref="F1911:I1911" si="3841">"0"</f>
        <v>0</v>
      </c>
      <c r="G1911" s="1" t="str">
        <f t="shared" si="3841"/>
        <v>0</v>
      </c>
      <c r="H1911" s="1" t="str">
        <f t="shared" si="3841"/>
        <v>0</v>
      </c>
      <c r="I1911" s="1" t="str">
        <f t="shared" si="3841"/>
        <v>0</v>
      </c>
      <c r="J1911" s="1" t="str">
        <f t="shared" si="3839"/>
        <v>2</v>
      </c>
      <c r="K1911" s="1" t="str">
        <f t="shared" ref="K1911:P1911" si="3842">"0"</f>
        <v>0</v>
      </c>
      <c r="L1911" s="1" t="str">
        <f t="shared" si="3842"/>
        <v>0</v>
      </c>
      <c r="M1911" s="1" t="str">
        <f t="shared" si="3842"/>
        <v>0</v>
      </c>
      <c r="N1911" s="1" t="str">
        <f t="shared" si="3842"/>
        <v>0</v>
      </c>
      <c r="O1911" s="1" t="str">
        <f t="shared" si="3842"/>
        <v>0</v>
      </c>
      <c r="P1911" s="1" t="str">
        <f t="shared" si="3842"/>
        <v>0</v>
      </c>
      <c r="Q1911" s="1" t="str">
        <f t="shared" si="3737"/>
        <v>0.0070</v>
      </c>
      <c r="R1911" s="1" t="s">
        <v>25</v>
      </c>
      <c r="T1911" s="1" t="str">
        <f t="shared" si="3738"/>
        <v>0</v>
      </c>
      <c r="U1911" s="1" t="str">
        <f t="shared" ref="U1911:U1916" si="3843">"0.0070"</f>
        <v>0.0070</v>
      </c>
    </row>
    <row r="1912" s="1" customFormat="1" spans="1:21">
      <c r="A1912" s="1" t="str">
        <f>"4601992028300"</f>
        <v>4601992028300</v>
      </c>
      <c r="B1912" s="1" t="s">
        <v>1936</v>
      </c>
      <c r="C1912" s="1" t="s">
        <v>24</v>
      </c>
      <c r="D1912" s="1" t="str">
        <f t="shared" si="3734"/>
        <v>2021</v>
      </c>
      <c r="E1912" s="1" t="str">
        <f>"12.09"</f>
        <v>12.09</v>
      </c>
      <c r="F1912" s="1" t="str">
        <f t="shared" ref="F1912:I1912" si="3844">"0"</f>
        <v>0</v>
      </c>
      <c r="G1912" s="1" t="str">
        <f t="shared" si="3844"/>
        <v>0</v>
      </c>
      <c r="H1912" s="1" t="str">
        <f t="shared" si="3844"/>
        <v>0</v>
      </c>
      <c r="I1912" s="1" t="str">
        <f t="shared" si="3844"/>
        <v>0</v>
      </c>
      <c r="J1912" s="1" t="str">
        <f>"1"</f>
        <v>1</v>
      </c>
      <c r="K1912" s="1" t="str">
        <f t="shared" ref="K1912:P1912" si="3845">"0"</f>
        <v>0</v>
      </c>
      <c r="L1912" s="1" t="str">
        <f t="shared" si="3845"/>
        <v>0</v>
      </c>
      <c r="M1912" s="1" t="str">
        <f t="shared" si="3845"/>
        <v>0</v>
      </c>
      <c r="N1912" s="1" t="str">
        <f t="shared" si="3845"/>
        <v>0</v>
      </c>
      <c r="O1912" s="1" t="str">
        <f t="shared" si="3845"/>
        <v>0</v>
      </c>
      <c r="P1912" s="1" t="str">
        <f t="shared" si="3845"/>
        <v>0</v>
      </c>
      <c r="Q1912" s="1" t="str">
        <f t="shared" si="3737"/>
        <v>0.0070</v>
      </c>
      <c r="R1912" s="1" t="s">
        <v>29</v>
      </c>
      <c r="S1912" s="1">
        <v>-0.0014</v>
      </c>
      <c r="T1912" s="1" t="str">
        <f t="shared" si="3738"/>
        <v>0</v>
      </c>
      <c r="U1912" s="1" t="str">
        <f t="shared" ref="U1912:U1918" si="3846">"0.0056"</f>
        <v>0.0056</v>
      </c>
    </row>
    <row r="1913" s="1" customFormat="1" spans="1:21">
      <c r="A1913" s="1" t="str">
        <f>"4601992028329"</f>
        <v>4601992028329</v>
      </c>
      <c r="B1913" s="1" t="s">
        <v>1937</v>
      </c>
      <c r="C1913" s="1" t="s">
        <v>24</v>
      </c>
      <c r="D1913" s="1" t="str">
        <f t="shared" si="3734"/>
        <v>2021</v>
      </c>
      <c r="E1913" s="1" t="str">
        <f>"24.50"</f>
        <v>24.50</v>
      </c>
      <c r="F1913" s="1" t="str">
        <f t="shared" ref="F1913:I1913" si="3847">"0"</f>
        <v>0</v>
      </c>
      <c r="G1913" s="1" t="str">
        <f t="shared" si="3847"/>
        <v>0</v>
      </c>
      <c r="H1913" s="1" t="str">
        <f t="shared" si="3847"/>
        <v>0</v>
      </c>
      <c r="I1913" s="1" t="str">
        <f t="shared" si="3847"/>
        <v>0</v>
      </c>
      <c r="J1913" s="1" t="str">
        <f t="shared" si="3839"/>
        <v>2</v>
      </c>
      <c r="K1913" s="1" t="str">
        <f t="shared" ref="K1913:P1913" si="3848">"0"</f>
        <v>0</v>
      </c>
      <c r="L1913" s="1" t="str">
        <f t="shared" si="3848"/>
        <v>0</v>
      </c>
      <c r="M1913" s="1" t="str">
        <f t="shared" si="3848"/>
        <v>0</v>
      </c>
      <c r="N1913" s="1" t="str">
        <f t="shared" si="3848"/>
        <v>0</v>
      </c>
      <c r="O1913" s="1" t="str">
        <f t="shared" si="3848"/>
        <v>0</v>
      </c>
      <c r="P1913" s="1" t="str">
        <f t="shared" si="3848"/>
        <v>0</v>
      </c>
      <c r="Q1913" s="1" t="str">
        <f t="shared" si="3737"/>
        <v>0.0070</v>
      </c>
      <c r="R1913" s="1" t="s">
        <v>25</v>
      </c>
      <c r="T1913" s="1" t="str">
        <f t="shared" si="3738"/>
        <v>0</v>
      </c>
      <c r="U1913" s="1" t="str">
        <f t="shared" si="3843"/>
        <v>0.0070</v>
      </c>
    </row>
    <row r="1914" s="1" customFormat="1" spans="1:21">
      <c r="A1914" s="1" t="str">
        <f>"4601992028363"</f>
        <v>4601992028363</v>
      </c>
      <c r="B1914" s="1" t="s">
        <v>1938</v>
      </c>
      <c r="C1914" s="1" t="s">
        <v>24</v>
      </c>
      <c r="D1914" s="1" t="str">
        <f t="shared" si="3734"/>
        <v>2021</v>
      </c>
      <c r="E1914" s="1" t="str">
        <f>"96.82"</f>
        <v>96.82</v>
      </c>
      <c r="F1914" s="1" t="str">
        <f t="shared" ref="F1914:I1914" si="3849">"0"</f>
        <v>0</v>
      </c>
      <c r="G1914" s="1" t="str">
        <f t="shared" si="3849"/>
        <v>0</v>
      </c>
      <c r="H1914" s="1" t="str">
        <f t="shared" si="3849"/>
        <v>0</v>
      </c>
      <c r="I1914" s="1" t="str">
        <f t="shared" si="3849"/>
        <v>0</v>
      </c>
      <c r="J1914" s="1" t="str">
        <f>"7"</f>
        <v>7</v>
      </c>
      <c r="K1914" s="1" t="str">
        <f t="shared" ref="K1914:P1914" si="3850">"0"</f>
        <v>0</v>
      </c>
      <c r="L1914" s="1" t="str">
        <f t="shared" si="3850"/>
        <v>0</v>
      </c>
      <c r="M1914" s="1" t="str">
        <f t="shared" si="3850"/>
        <v>0</v>
      </c>
      <c r="N1914" s="1" t="str">
        <f t="shared" si="3850"/>
        <v>0</v>
      </c>
      <c r="O1914" s="1" t="str">
        <f t="shared" si="3850"/>
        <v>0</v>
      </c>
      <c r="P1914" s="1" t="str">
        <f t="shared" si="3850"/>
        <v>0</v>
      </c>
      <c r="Q1914" s="1" t="str">
        <f t="shared" si="3737"/>
        <v>0.0070</v>
      </c>
      <c r="R1914" s="1" t="s">
        <v>29</v>
      </c>
      <c r="S1914" s="1">
        <v>-0.0014</v>
      </c>
      <c r="T1914" s="1" t="str">
        <f t="shared" si="3738"/>
        <v>0</v>
      </c>
      <c r="U1914" s="1" t="str">
        <f t="shared" si="3846"/>
        <v>0.0056</v>
      </c>
    </row>
    <row r="1915" s="1" customFormat="1" spans="1:21">
      <c r="A1915" s="1" t="str">
        <f>"4601992028410"</f>
        <v>4601992028410</v>
      </c>
      <c r="B1915" s="1" t="s">
        <v>1939</v>
      </c>
      <c r="C1915" s="1" t="s">
        <v>24</v>
      </c>
      <c r="D1915" s="1" t="str">
        <f t="shared" si="3734"/>
        <v>2021</v>
      </c>
      <c r="E1915" s="1" t="str">
        <f t="shared" ref="E1915:P1915" si="3851">"0"</f>
        <v>0</v>
      </c>
      <c r="F1915" s="1" t="str">
        <f t="shared" si="3851"/>
        <v>0</v>
      </c>
      <c r="G1915" s="1" t="str">
        <f t="shared" si="3851"/>
        <v>0</v>
      </c>
      <c r="H1915" s="1" t="str">
        <f t="shared" si="3851"/>
        <v>0</v>
      </c>
      <c r="I1915" s="1" t="str">
        <f t="shared" si="3851"/>
        <v>0</v>
      </c>
      <c r="J1915" s="1" t="str">
        <f t="shared" si="3851"/>
        <v>0</v>
      </c>
      <c r="K1915" s="1" t="str">
        <f t="shared" si="3851"/>
        <v>0</v>
      </c>
      <c r="L1915" s="1" t="str">
        <f t="shared" si="3851"/>
        <v>0</v>
      </c>
      <c r="M1915" s="1" t="str">
        <f t="shared" si="3851"/>
        <v>0</v>
      </c>
      <c r="N1915" s="1" t="str">
        <f t="shared" si="3851"/>
        <v>0</v>
      </c>
      <c r="O1915" s="1" t="str">
        <f t="shared" si="3851"/>
        <v>0</v>
      </c>
      <c r="P1915" s="1" t="str">
        <f t="shared" si="3851"/>
        <v>0</v>
      </c>
      <c r="Q1915" s="1" t="str">
        <f t="shared" si="3737"/>
        <v>0.0070</v>
      </c>
      <c r="R1915" s="1" t="s">
        <v>25</v>
      </c>
      <c r="T1915" s="1" t="str">
        <f t="shared" si="3738"/>
        <v>0</v>
      </c>
      <c r="U1915" s="1" t="str">
        <f t="shared" si="3843"/>
        <v>0.0070</v>
      </c>
    </row>
    <row r="1916" s="1" customFormat="1" spans="1:21">
      <c r="A1916" s="1" t="str">
        <f>"4601992028418"</f>
        <v>4601992028418</v>
      </c>
      <c r="B1916" s="1" t="s">
        <v>1940</v>
      </c>
      <c r="C1916" s="1" t="s">
        <v>24</v>
      </c>
      <c r="D1916" s="1" t="str">
        <f t="shared" si="3734"/>
        <v>2021</v>
      </c>
      <c r="E1916" s="1" t="str">
        <f t="shared" ref="E1916:P1916" si="3852">"0"</f>
        <v>0</v>
      </c>
      <c r="F1916" s="1" t="str">
        <f t="shared" si="3852"/>
        <v>0</v>
      </c>
      <c r="G1916" s="1" t="str">
        <f t="shared" si="3852"/>
        <v>0</v>
      </c>
      <c r="H1916" s="1" t="str">
        <f t="shared" si="3852"/>
        <v>0</v>
      </c>
      <c r="I1916" s="1" t="str">
        <f t="shared" si="3852"/>
        <v>0</v>
      </c>
      <c r="J1916" s="1" t="str">
        <f t="shared" si="3852"/>
        <v>0</v>
      </c>
      <c r="K1916" s="1" t="str">
        <f t="shared" si="3852"/>
        <v>0</v>
      </c>
      <c r="L1916" s="1" t="str">
        <f t="shared" si="3852"/>
        <v>0</v>
      </c>
      <c r="M1916" s="1" t="str">
        <f t="shared" si="3852"/>
        <v>0</v>
      </c>
      <c r="N1916" s="1" t="str">
        <f t="shared" si="3852"/>
        <v>0</v>
      </c>
      <c r="O1916" s="1" t="str">
        <f t="shared" si="3852"/>
        <v>0</v>
      </c>
      <c r="P1916" s="1" t="str">
        <f t="shared" si="3852"/>
        <v>0</v>
      </c>
      <c r="Q1916" s="1" t="str">
        <f t="shared" si="3737"/>
        <v>0.0070</v>
      </c>
      <c r="R1916" s="1" t="s">
        <v>25</v>
      </c>
      <c r="T1916" s="1" t="str">
        <f t="shared" si="3738"/>
        <v>0</v>
      </c>
      <c r="U1916" s="1" t="str">
        <f t="shared" si="3843"/>
        <v>0.0070</v>
      </c>
    </row>
    <row r="1917" s="1" customFormat="1" spans="1:21">
      <c r="A1917" s="1" t="str">
        <f>"4601992028364"</f>
        <v>4601992028364</v>
      </c>
      <c r="B1917" s="1" t="s">
        <v>1941</v>
      </c>
      <c r="C1917" s="1" t="s">
        <v>24</v>
      </c>
      <c r="D1917" s="1" t="str">
        <f t="shared" si="3734"/>
        <v>2021</v>
      </c>
      <c r="E1917" s="1" t="str">
        <f>"24.18"</f>
        <v>24.18</v>
      </c>
      <c r="F1917" s="1" t="str">
        <f t="shared" ref="F1917:I1917" si="3853">"0"</f>
        <v>0</v>
      </c>
      <c r="G1917" s="1" t="str">
        <f t="shared" si="3853"/>
        <v>0</v>
      </c>
      <c r="H1917" s="1" t="str">
        <f t="shared" si="3853"/>
        <v>0</v>
      </c>
      <c r="I1917" s="1" t="str">
        <f t="shared" si="3853"/>
        <v>0</v>
      </c>
      <c r="J1917" s="1" t="str">
        <f>"2"</f>
        <v>2</v>
      </c>
      <c r="K1917" s="1" t="str">
        <f t="shared" ref="K1917:P1917" si="3854">"0"</f>
        <v>0</v>
      </c>
      <c r="L1917" s="1" t="str">
        <f t="shared" si="3854"/>
        <v>0</v>
      </c>
      <c r="M1917" s="1" t="str">
        <f t="shared" si="3854"/>
        <v>0</v>
      </c>
      <c r="N1917" s="1" t="str">
        <f t="shared" si="3854"/>
        <v>0</v>
      </c>
      <c r="O1917" s="1" t="str">
        <f t="shared" si="3854"/>
        <v>0</v>
      </c>
      <c r="P1917" s="1" t="str">
        <f t="shared" si="3854"/>
        <v>0</v>
      </c>
      <c r="Q1917" s="1" t="str">
        <f t="shared" si="3737"/>
        <v>0.0070</v>
      </c>
      <c r="R1917" s="1" t="s">
        <v>29</v>
      </c>
      <c r="S1917" s="1">
        <v>-0.0014</v>
      </c>
      <c r="T1917" s="1" t="str">
        <f t="shared" si="3738"/>
        <v>0</v>
      </c>
      <c r="U1917" s="1" t="str">
        <f t="shared" si="3846"/>
        <v>0.0056</v>
      </c>
    </row>
    <row r="1918" s="1" customFormat="1" spans="1:21">
      <c r="A1918" s="1" t="str">
        <f>"4601992028387"</f>
        <v>4601992028387</v>
      </c>
      <c r="B1918" s="1" t="s">
        <v>1942</v>
      </c>
      <c r="C1918" s="1" t="s">
        <v>24</v>
      </c>
      <c r="D1918" s="1" t="str">
        <f t="shared" si="3734"/>
        <v>2021</v>
      </c>
      <c r="E1918" s="1" t="str">
        <f>"24.18"</f>
        <v>24.18</v>
      </c>
      <c r="F1918" s="1" t="str">
        <f t="shared" ref="F1918:I1918" si="3855">"0"</f>
        <v>0</v>
      </c>
      <c r="G1918" s="1" t="str">
        <f t="shared" si="3855"/>
        <v>0</v>
      </c>
      <c r="H1918" s="1" t="str">
        <f t="shared" si="3855"/>
        <v>0</v>
      </c>
      <c r="I1918" s="1" t="str">
        <f t="shared" si="3855"/>
        <v>0</v>
      </c>
      <c r="J1918" s="1" t="str">
        <f>"3"</f>
        <v>3</v>
      </c>
      <c r="K1918" s="1" t="str">
        <f t="shared" ref="K1918:P1918" si="3856">"0"</f>
        <v>0</v>
      </c>
      <c r="L1918" s="1" t="str">
        <f t="shared" si="3856"/>
        <v>0</v>
      </c>
      <c r="M1918" s="1" t="str">
        <f t="shared" si="3856"/>
        <v>0</v>
      </c>
      <c r="N1918" s="1" t="str">
        <f t="shared" si="3856"/>
        <v>0</v>
      </c>
      <c r="O1918" s="1" t="str">
        <f t="shared" si="3856"/>
        <v>0</v>
      </c>
      <c r="P1918" s="1" t="str">
        <f t="shared" si="3856"/>
        <v>0</v>
      </c>
      <c r="Q1918" s="1" t="str">
        <f t="shared" si="3737"/>
        <v>0.0070</v>
      </c>
      <c r="R1918" s="1" t="s">
        <v>29</v>
      </c>
      <c r="S1918" s="1">
        <v>-0.0014</v>
      </c>
      <c r="T1918" s="1" t="str">
        <f t="shared" si="3738"/>
        <v>0</v>
      </c>
      <c r="U1918" s="1" t="str">
        <f t="shared" si="3846"/>
        <v>0.0056</v>
      </c>
    </row>
    <row r="1919" s="1" customFormat="1" spans="1:21">
      <c r="A1919" s="1" t="str">
        <f>"4601992028499"</f>
        <v>4601992028499</v>
      </c>
      <c r="B1919" s="1" t="s">
        <v>1943</v>
      </c>
      <c r="C1919" s="1" t="s">
        <v>24</v>
      </c>
      <c r="D1919" s="1" t="str">
        <f t="shared" si="3734"/>
        <v>2021</v>
      </c>
      <c r="E1919" s="1" t="str">
        <f t="shared" ref="E1919:P1919" si="3857">"0"</f>
        <v>0</v>
      </c>
      <c r="F1919" s="1" t="str">
        <f t="shared" si="3857"/>
        <v>0</v>
      </c>
      <c r="G1919" s="1" t="str">
        <f t="shared" si="3857"/>
        <v>0</v>
      </c>
      <c r="H1919" s="1" t="str">
        <f t="shared" si="3857"/>
        <v>0</v>
      </c>
      <c r="I1919" s="1" t="str">
        <f t="shared" si="3857"/>
        <v>0</v>
      </c>
      <c r="J1919" s="1" t="str">
        <f t="shared" si="3857"/>
        <v>0</v>
      </c>
      <c r="K1919" s="1" t="str">
        <f t="shared" si="3857"/>
        <v>0</v>
      </c>
      <c r="L1919" s="1" t="str">
        <f t="shared" si="3857"/>
        <v>0</v>
      </c>
      <c r="M1919" s="1" t="str">
        <f t="shared" si="3857"/>
        <v>0</v>
      </c>
      <c r="N1919" s="1" t="str">
        <f t="shared" si="3857"/>
        <v>0</v>
      </c>
      <c r="O1919" s="1" t="str">
        <f t="shared" si="3857"/>
        <v>0</v>
      </c>
      <c r="P1919" s="1" t="str">
        <f t="shared" si="3857"/>
        <v>0</v>
      </c>
      <c r="Q1919" s="1" t="str">
        <f t="shared" si="3737"/>
        <v>0.0070</v>
      </c>
      <c r="R1919" s="1" t="s">
        <v>25</v>
      </c>
      <c r="T1919" s="1" t="str">
        <f t="shared" si="3738"/>
        <v>0</v>
      </c>
      <c r="U1919" s="1" t="str">
        <f t="shared" ref="U1919:U1923" si="3858">"0.0070"</f>
        <v>0.0070</v>
      </c>
    </row>
    <row r="1920" s="1" customFormat="1" spans="1:21">
      <c r="A1920" s="1" t="str">
        <f>"4601992028467"</f>
        <v>4601992028467</v>
      </c>
      <c r="B1920" s="1" t="s">
        <v>1944</v>
      </c>
      <c r="C1920" s="1" t="s">
        <v>24</v>
      </c>
      <c r="D1920" s="1" t="str">
        <f t="shared" si="3734"/>
        <v>2021</v>
      </c>
      <c r="E1920" s="1" t="str">
        <f t="shared" ref="E1920:P1920" si="3859">"0"</f>
        <v>0</v>
      </c>
      <c r="F1920" s="1" t="str">
        <f t="shared" si="3859"/>
        <v>0</v>
      </c>
      <c r="G1920" s="1" t="str">
        <f t="shared" si="3859"/>
        <v>0</v>
      </c>
      <c r="H1920" s="1" t="str">
        <f t="shared" si="3859"/>
        <v>0</v>
      </c>
      <c r="I1920" s="1" t="str">
        <f t="shared" si="3859"/>
        <v>0</v>
      </c>
      <c r="J1920" s="1" t="str">
        <f t="shared" si="3859"/>
        <v>0</v>
      </c>
      <c r="K1920" s="1" t="str">
        <f t="shared" si="3859"/>
        <v>0</v>
      </c>
      <c r="L1920" s="1" t="str">
        <f t="shared" si="3859"/>
        <v>0</v>
      </c>
      <c r="M1920" s="1" t="str">
        <f t="shared" si="3859"/>
        <v>0</v>
      </c>
      <c r="N1920" s="1" t="str">
        <f t="shared" si="3859"/>
        <v>0</v>
      </c>
      <c r="O1920" s="1" t="str">
        <f t="shared" si="3859"/>
        <v>0</v>
      </c>
      <c r="P1920" s="1" t="str">
        <f t="shared" si="3859"/>
        <v>0</v>
      </c>
      <c r="Q1920" s="1" t="str">
        <f t="shared" si="3737"/>
        <v>0.0070</v>
      </c>
      <c r="R1920" s="1" t="s">
        <v>25</v>
      </c>
      <c r="T1920" s="1" t="str">
        <f t="shared" si="3738"/>
        <v>0</v>
      </c>
      <c r="U1920" s="1" t="str">
        <f t="shared" si="3858"/>
        <v>0.0070</v>
      </c>
    </row>
    <row r="1921" s="1" customFormat="1" spans="1:21">
      <c r="A1921" s="1" t="str">
        <f>"4601992028444"</f>
        <v>4601992028444</v>
      </c>
      <c r="B1921" s="1" t="s">
        <v>1945</v>
      </c>
      <c r="C1921" s="1" t="s">
        <v>24</v>
      </c>
      <c r="D1921" s="1" t="str">
        <f t="shared" si="3734"/>
        <v>2021</v>
      </c>
      <c r="E1921" s="1" t="str">
        <f>"36.16"</f>
        <v>36.16</v>
      </c>
      <c r="F1921" s="1" t="str">
        <f t="shared" ref="F1921:I1921" si="3860">"0"</f>
        <v>0</v>
      </c>
      <c r="G1921" s="1" t="str">
        <f t="shared" si="3860"/>
        <v>0</v>
      </c>
      <c r="H1921" s="1" t="str">
        <f t="shared" si="3860"/>
        <v>0</v>
      </c>
      <c r="I1921" s="1" t="str">
        <f t="shared" si="3860"/>
        <v>0</v>
      </c>
      <c r="J1921" s="1" t="str">
        <f>"3"</f>
        <v>3</v>
      </c>
      <c r="K1921" s="1" t="str">
        <f t="shared" ref="K1921:P1921" si="3861">"0"</f>
        <v>0</v>
      </c>
      <c r="L1921" s="1" t="str">
        <f t="shared" si="3861"/>
        <v>0</v>
      </c>
      <c r="M1921" s="1" t="str">
        <f t="shared" si="3861"/>
        <v>0</v>
      </c>
      <c r="N1921" s="1" t="str">
        <f t="shared" si="3861"/>
        <v>0</v>
      </c>
      <c r="O1921" s="1" t="str">
        <f t="shared" si="3861"/>
        <v>0</v>
      </c>
      <c r="P1921" s="1" t="str">
        <f t="shared" si="3861"/>
        <v>0</v>
      </c>
      <c r="Q1921" s="1" t="str">
        <f t="shared" si="3737"/>
        <v>0.0070</v>
      </c>
      <c r="R1921" s="1" t="s">
        <v>29</v>
      </c>
      <c r="S1921" s="1">
        <v>-0.0014</v>
      </c>
      <c r="T1921" s="1" t="str">
        <f t="shared" si="3738"/>
        <v>0</v>
      </c>
      <c r="U1921" s="1" t="str">
        <f>"0.0056"</f>
        <v>0.0056</v>
      </c>
    </row>
    <row r="1922" s="1" customFormat="1" spans="1:21">
      <c r="A1922" s="1" t="str">
        <f>"4601992028490"</f>
        <v>4601992028490</v>
      </c>
      <c r="B1922" s="1" t="s">
        <v>1946</v>
      </c>
      <c r="C1922" s="1" t="s">
        <v>24</v>
      </c>
      <c r="D1922" s="1" t="str">
        <f t="shared" si="3734"/>
        <v>2021</v>
      </c>
      <c r="E1922" s="1" t="str">
        <f t="shared" ref="E1922:P1922" si="3862">"0"</f>
        <v>0</v>
      </c>
      <c r="F1922" s="1" t="str">
        <f t="shared" si="3862"/>
        <v>0</v>
      </c>
      <c r="G1922" s="1" t="str">
        <f t="shared" si="3862"/>
        <v>0</v>
      </c>
      <c r="H1922" s="1" t="str">
        <f t="shared" si="3862"/>
        <v>0</v>
      </c>
      <c r="I1922" s="1" t="str">
        <f t="shared" si="3862"/>
        <v>0</v>
      </c>
      <c r="J1922" s="1" t="str">
        <f t="shared" si="3862"/>
        <v>0</v>
      </c>
      <c r="K1922" s="1" t="str">
        <f t="shared" si="3862"/>
        <v>0</v>
      </c>
      <c r="L1922" s="1" t="str">
        <f t="shared" si="3862"/>
        <v>0</v>
      </c>
      <c r="M1922" s="1" t="str">
        <f t="shared" si="3862"/>
        <v>0</v>
      </c>
      <c r="N1922" s="1" t="str">
        <f t="shared" si="3862"/>
        <v>0</v>
      </c>
      <c r="O1922" s="1" t="str">
        <f t="shared" si="3862"/>
        <v>0</v>
      </c>
      <c r="P1922" s="1" t="str">
        <f t="shared" si="3862"/>
        <v>0</v>
      </c>
      <c r="Q1922" s="1" t="str">
        <f t="shared" si="3737"/>
        <v>0.0070</v>
      </c>
      <c r="R1922" s="1" t="s">
        <v>25</v>
      </c>
      <c r="T1922" s="1" t="str">
        <f t="shared" si="3738"/>
        <v>0</v>
      </c>
      <c r="U1922" s="1" t="str">
        <f t="shared" si="3858"/>
        <v>0.0070</v>
      </c>
    </row>
    <row r="1923" s="1" customFormat="1" spans="1:21">
      <c r="A1923" s="1" t="str">
        <f>"4601992028513"</f>
        <v>4601992028513</v>
      </c>
      <c r="B1923" s="1" t="s">
        <v>1947</v>
      </c>
      <c r="C1923" s="1" t="s">
        <v>24</v>
      </c>
      <c r="D1923" s="1" t="str">
        <f t="shared" ref="D1923:D1986" si="3863">"2021"</f>
        <v>2021</v>
      </c>
      <c r="E1923" s="1" t="str">
        <f t="shared" ref="E1923:P1923" si="3864">"0"</f>
        <v>0</v>
      </c>
      <c r="F1923" s="1" t="str">
        <f t="shared" si="3864"/>
        <v>0</v>
      </c>
      <c r="G1923" s="1" t="str">
        <f t="shared" si="3864"/>
        <v>0</v>
      </c>
      <c r="H1923" s="1" t="str">
        <f t="shared" si="3864"/>
        <v>0</v>
      </c>
      <c r="I1923" s="1" t="str">
        <f t="shared" si="3864"/>
        <v>0</v>
      </c>
      <c r="J1923" s="1" t="str">
        <f t="shared" si="3864"/>
        <v>0</v>
      </c>
      <c r="K1923" s="1" t="str">
        <f t="shared" si="3864"/>
        <v>0</v>
      </c>
      <c r="L1923" s="1" t="str">
        <f t="shared" si="3864"/>
        <v>0</v>
      </c>
      <c r="M1923" s="1" t="str">
        <f t="shared" si="3864"/>
        <v>0</v>
      </c>
      <c r="N1923" s="1" t="str">
        <f t="shared" si="3864"/>
        <v>0</v>
      </c>
      <c r="O1923" s="1" t="str">
        <f t="shared" si="3864"/>
        <v>0</v>
      </c>
      <c r="P1923" s="1" t="str">
        <f t="shared" si="3864"/>
        <v>0</v>
      </c>
      <c r="Q1923" s="1" t="str">
        <f t="shared" ref="Q1923:Q1986" si="3865">"0.0070"</f>
        <v>0.0070</v>
      </c>
      <c r="R1923" s="1" t="s">
        <v>25</v>
      </c>
      <c r="T1923" s="1" t="str">
        <f t="shared" ref="T1923:T1986" si="3866">"0"</f>
        <v>0</v>
      </c>
      <c r="U1923" s="1" t="str">
        <f t="shared" si="3858"/>
        <v>0.0070</v>
      </c>
    </row>
    <row r="1924" s="1" customFormat="1" spans="1:21">
      <c r="A1924" s="1" t="str">
        <f>"4601992028479"</f>
        <v>4601992028479</v>
      </c>
      <c r="B1924" s="1" t="s">
        <v>1948</v>
      </c>
      <c r="C1924" s="1" t="s">
        <v>24</v>
      </c>
      <c r="D1924" s="1" t="str">
        <f t="shared" si="3863"/>
        <v>2021</v>
      </c>
      <c r="E1924" s="1" t="str">
        <f>"24.07"</f>
        <v>24.07</v>
      </c>
      <c r="F1924" s="1" t="str">
        <f t="shared" ref="F1924:I1924" si="3867">"0"</f>
        <v>0</v>
      </c>
      <c r="G1924" s="1" t="str">
        <f t="shared" si="3867"/>
        <v>0</v>
      </c>
      <c r="H1924" s="1" t="str">
        <f t="shared" si="3867"/>
        <v>0</v>
      </c>
      <c r="I1924" s="1" t="str">
        <f t="shared" si="3867"/>
        <v>0</v>
      </c>
      <c r="J1924" s="1" t="str">
        <f>"2"</f>
        <v>2</v>
      </c>
      <c r="K1924" s="1" t="str">
        <f t="shared" ref="K1924:P1924" si="3868">"0"</f>
        <v>0</v>
      </c>
      <c r="L1924" s="1" t="str">
        <f t="shared" si="3868"/>
        <v>0</v>
      </c>
      <c r="M1924" s="1" t="str">
        <f t="shared" si="3868"/>
        <v>0</v>
      </c>
      <c r="N1924" s="1" t="str">
        <f t="shared" si="3868"/>
        <v>0</v>
      </c>
      <c r="O1924" s="1" t="str">
        <f t="shared" si="3868"/>
        <v>0</v>
      </c>
      <c r="P1924" s="1" t="str">
        <f t="shared" si="3868"/>
        <v>0</v>
      </c>
      <c r="Q1924" s="1" t="str">
        <f t="shared" si="3865"/>
        <v>0.0070</v>
      </c>
      <c r="R1924" s="1" t="s">
        <v>29</v>
      </c>
      <c r="S1924" s="1">
        <v>-0.0014</v>
      </c>
      <c r="T1924" s="1" t="str">
        <f t="shared" si="3866"/>
        <v>0</v>
      </c>
      <c r="U1924" s="1" t="str">
        <f>"0.0056"</f>
        <v>0.0056</v>
      </c>
    </row>
    <row r="1925" s="1" customFormat="1" spans="1:21">
      <c r="A1925" s="1" t="str">
        <f>"4601992028531"</f>
        <v>4601992028531</v>
      </c>
      <c r="B1925" s="1" t="s">
        <v>1949</v>
      </c>
      <c r="C1925" s="1" t="s">
        <v>24</v>
      </c>
      <c r="D1925" s="1" t="str">
        <f t="shared" si="3863"/>
        <v>2021</v>
      </c>
      <c r="E1925" s="1" t="str">
        <f>"12.09"</f>
        <v>12.09</v>
      </c>
      <c r="F1925" s="1" t="str">
        <f t="shared" ref="F1925:I1925" si="3869">"0"</f>
        <v>0</v>
      </c>
      <c r="G1925" s="1" t="str">
        <f t="shared" si="3869"/>
        <v>0</v>
      </c>
      <c r="H1925" s="1" t="str">
        <f t="shared" si="3869"/>
        <v>0</v>
      </c>
      <c r="I1925" s="1" t="str">
        <f t="shared" si="3869"/>
        <v>0</v>
      </c>
      <c r="J1925" s="1" t="str">
        <f>"2"</f>
        <v>2</v>
      </c>
      <c r="K1925" s="1" t="str">
        <f t="shared" ref="K1925:P1925" si="3870">"0"</f>
        <v>0</v>
      </c>
      <c r="L1925" s="1" t="str">
        <f t="shared" si="3870"/>
        <v>0</v>
      </c>
      <c r="M1925" s="1" t="str">
        <f t="shared" si="3870"/>
        <v>0</v>
      </c>
      <c r="N1925" s="1" t="str">
        <f t="shared" si="3870"/>
        <v>0</v>
      </c>
      <c r="O1925" s="1" t="str">
        <f t="shared" si="3870"/>
        <v>0</v>
      </c>
      <c r="P1925" s="1" t="str">
        <f t="shared" si="3870"/>
        <v>0</v>
      </c>
      <c r="Q1925" s="1" t="str">
        <f t="shared" si="3865"/>
        <v>0.0070</v>
      </c>
      <c r="R1925" s="1" t="s">
        <v>25</v>
      </c>
      <c r="T1925" s="1" t="str">
        <f t="shared" si="3866"/>
        <v>0</v>
      </c>
      <c r="U1925" s="1" t="str">
        <f t="shared" ref="U1925:U1928" si="3871">"0.0070"</f>
        <v>0.0070</v>
      </c>
    </row>
    <row r="1926" s="1" customFormat="1" spans="1:21">
      <c r="A1926" s="1" t="str">
        <f>"4601992028537"</f>
        <v>4601992028537</v>
      </c>
      <c r="B1926" s="1" t="s">
        <v>1950</v>
      </c>
      <c r="C1926" s="1" t="s">
        <v>24</v>
      </c>
      <c r="D1926" s="1" t="str">
        <f t="shared" si="3863"/>
        <v>2021</v>
      </c>
      <c r="E1926" s="1" t="str">
        <f t="shared" ref="E1926:P1926" si="3872">"0"</f>
        <v>0</v>
      </c>
      <c r="F1926" s="1" t="str">
        <f t="shared" si="3872"/>
        <v>0</v>
      </c>
      <c r="G1926" s="1" t="str">
        <f t="shared" si="3872"/>
        <v>0</v>
      </c>
      <c r="H1926" s="1" t="str">
        <f t="shared" si="3872"/>
        <v>0</v>
      </c>
      <c r="I1926" s="1" t="str">
        <f t="shared" si="3872"/>
        <v>0</v>
      </c>
      <c r="J1926" s="1" t="str">
        <f t="shared" si="3872"/>
        <v>0</v>
      </c>
      <c r="K1926" s="1" t="str">
        <f t="shared" si="3872"/>
        <v>0</v>
      </c>
      <c r="L1926" s="1" t="str">
        <f t="shared" si="3872"/>
        <v>0</v>
      </c>
      <c r="M1926" s="1" t="str">
        <f t="shared" si="3872"/>
        <v>0</v>
      </c>
      <c r="N1926" s="1" t="str">
        <f t="shared" si="3872"/>
        <v>0</v>
      </c>
      <c r="O1926" s="1" t="str">
        <f t="shared" si="3872"/>
        <v>0</v>
      </c>
      <c r="P1926" s="1" t="str">
        <f t="shared" si="3872"/>
        <v>0</v>
      </c>
      <c r="Q1926" s="1" t="str">
        <f t="shared" si="3865"/>
        <v>0.0070</v>
      </c>
      <c r="R1926" s="1" t="s">
        <v>25</v>
      </c>
      <c r="T1926" s="1" t="str">
        <f t="shared" si="3866"/>
        <v>0</v>
      </c>
      <c r="U1926" s="1" t="str">
        <f t="shared" si="3871"/>
        <v>0.0070</v>
      </c>
    </row>
    <row r="1927" s="1" customFormat="1" spans="1:21">
      <c r="A1927" s="1" t="str">
        <f>"4601992028532"</f>
        <v>4601992028532</v>
      </c>
      <c r="B1927" s="1" t="s">
        <v>1951</v>
      </c>
      <c r="C1927" s="1" t="s">
        <v>24</v>
      </c>
      <c r="D1927" s="1" t="str">
        <f t="shared" si="3863"/>
        <v>2021</v>
      </c>
      <c r="E1927" s="1" t="str">
        <f t="shared" ref="E1927:P1927" si="3873">"0"</f>
        <v>0</v>
      </c>
      <c r="F1927" s="1" t="str">
        <f t="shared" si="3873"/>
        <v>0</v>
      </c>
      <c r="G1927" s="1" t="str">
        <f t="shared" si="3873"/>
        <v>0</v>
      </c>
      <c r="H1927" s="1" t="str">
        <f t="shared" si="3873"/>
        <v>0</v>
      </c>
      <c r="I1927" s="1" t="str">
        <f t="shared" si="3873"/>
        <v>0</v>
      </c>
      <c r="J1927" s="1" t="str">
        <f t="shared" si="3873"/>
        <v>0</v>
      </c>
      <c r="K1927" s="1" t="str">
        <f t="shared" si="3873"/>
        <v>0</v>
      </c>
      <c r="L1927" s="1" t="str">
        <f t="shared" si="3873"/>
        <v>0</v>
      </c>
      <c r="M1927" s="1" t="str">
        <f t="shared" si="3873"/>
        <v>0</v>
      </c>
      <c r="N1927" s="1" t="str">
        <f t="shared" si="3873"/>
        <v>0</v>
      </c>
      <c r="O1927" s="1" t="str">
        <f t="shared" si="3873"/>
        <v>0</v>
      </c>
      <c r="P1927" s="1" t="str">
        <f t="shared" si="3873"/>
        <v>0</v>
      </c>
      <c r="Q1927" s="1" t="str">
        <f t="shared" si="3865"/>
        <v>0.0070</v>
      </c>
      <c r="R1927" s="1" t="s">
        <v>25</v>
      </c>
      <c r="T1927" s="1" t="str">
        <f t="shared" si="3866"/>
        <v>0</v>
      </c>
      <c r="U1927" s="1" t="str">
        <f t="shared" si="3871"/>
        <v>0.0070</v>
      </c>
    </row>
    <row r="1928" s="1" customFormat="1" spans="1:21">
      <c r="A1928" s="1" t="str">
        <f>"4601992028563"</f>
        <v>4601992028563</v>
      </c>
      <c r="B1928" s="1" t="s">
        <v>1952</v>
      </c>
      <c r="C1928" s="1" t="s">
        <v>24</v>
      </c>
      <c r="D1928" s="1" t="str">
        <f t="shared" si="3863"/>
        <v>2021</v>
      </c>
      <c r="E1928" s="1" t="str">
        <f t="shared" ref="E1928:P1928" si="3874">"0"</f>
        <v>0</v>
      </c>
      <c r="F1928" s="1" t="str">
        <f t="shared" si="3874"/>
        <v>0</v>
      </c>
      <c r="G1928" s="1" t="str">
        <f t="shared" si="3874"/>
        <v>0</v>
      </c>
      <c r="H1928" s="1" t="str">
        <f t="shared" si="3874"/>
        <v>0</v>
      </c>
      <c r="I1928" s="1" t="str">
        <f t="shared" si="3874"/>
        <v>0</v>
      </c>
      <c r="J1928" s="1" t="str">
        <f t="shared" si="3874"/>
        <v>0</v>
      </c>
      <c r="K1928" s="1" t="str">
        <f t="shared" si="3874"/>
        <v>0</v>
      </c>
      <c r="L1928" s="1" t="str">
        <f t="shared" si="3874"/>
        <v>0</v>
      </c>
      <c r="M1928" s="1" t="str">
        <f t="shared" si="3874"/>
        <v>0</v>
      </c>
      <c r="N1928" s="1" t="str">
        <f t="shared" si="3874"/>
        <v>0</v>
      </c>
      <c r="O1928" s="1" t="str">
        <f t="shared" si="3874"/>
        <v>0</v>
      </c>
      <c r="P1928" s="1" t="str">
        <f t="shared" si="3874"/>
        <v>0</v>
      </c>
      <c r="Q1928" s="1" t="str">
        <f t="shared" si="3865"/>
        <v>0.0070</v>
      </c>
      <c r="R1928" s="1" t="s">
        <v>25</v>
      </c>
      <c r="T1928" s="1" t="str">
        <f t="shared" si="3866"/>
        <v>0</v>
      </c>
      <c r="U1928" s="1" t="str">
        <f t="shared" si="3871"/>
        <v>0.0070</v>
      </c>
    </row>
    <row r="1929" s="1" customFormat="1" spans="1:21">
      <c r="A1929" s="1" t="str">
        <f>"4601992028539"</f>
        <v>4601992028539</v>
      </c>
      <c r="B1929" s="1" t="s">
        <v>1953</v>
      </c>
      <c r="C1929" s="1" t="s">
        <v>24</v>
      </c>
      <c r="D1929" s="1" t="str">
        <f t="shared" si="3863"/>
        <v>2021</v>
      </c>
      <c r="E1929" s="1" t="str">
        <f>"27.73"</f>
        <v>27.73</v>
      </c>
      <c r="F1929" s="1" t="str">
        <f t="shared" ref="F1929:I1929" si="3875">"0"</f>
        <v>0</v>
      </c>
      <c r="G1929" s="1" t="str">
        <f t="shared" si="3875"/>
        <v>0</v>
      </c>
      <c r="H1929" s="1" t="str">
        <f t="shared" si="3875"/>
        <v>0</v>
      </c>
      <c r="I1929" s="1" t="str">
        <f t="shared" si="3875"/>
        <v>0</v>
      </c>
      <c r="J1929" s="1" t="str">
        <f>"3"</f>
        <v>3</v>
      </c>
      <c r="K1929" s="1" t="str">
        <f t="shared" ref="K1929:P1929" si="3876">"0"</f>
        <v>0</v>
      </c>
      <c r="L1929" s="1" t="str">
        <f t="shared" si="3876"/>
        <v>0</v>
      </c>
      <c r="M1929" s="1" t="str">
        <f t="shared" si="3876"/>
        <v>0</v>
      </c>
      <c r="N1929" s="1" t="str">
        <f t="shared" si="3876"/>
        <v>0</v>
      </c>
      <c r="O1929" s="1" t="str">
        <f t="shared" si="3876"/>
        <v>0</v>
      </c>
      <c r="P1929" s="1" t="str">
        <f t="shared" si="3876"/>
        <v>0</v>
      </c>
      <c r="Q1929" s="1" t="str">
        <f t="shared" si="3865"/>
        <v>0.0070</v>
      </c>
      <c r="R1929" s="1" t="s">
        <v>29</v>
      </c>
      <c r="S1929" s="1">
        <v>-0.0014</v>
      </c>
      <c r="T1929" s="1" t="str">
        <f t="shared" si="3866"/>
        <v>0</v>
      </c>
      <c r="U1929" s="1" t="str">
        <f t="shared" ref="U1929:U1931" si="3877">"0.0056"</f>
        <v>0.0056</v>
      </c>
    </row>
    <row r="1930" s="1" customFormat="1" spans="1:21">
      <c r="A1930" s="1" t="str">
        <f>"4601992028560"</f>
        <v>4601992028560</v>
      </c>
      <c r="B1930" s="1" t="s">
        <v>1954</v>
      </c>
      <c r="C1930" s="1" t="s">
        <v>24</v>
      </c>
      <c r="D1930" s="1" t="str">
        <f t="shared" si="3863"/>
        <v>2021</v>
      </c>
      <c r="E1930" s="1" t="str">
        <f>"12.25"</f>
        <v>12.25</v>
      </c>
      <c r="F1930" s="1" t="str">
        <f t="shared" ref="F1930:I1930" si="3878">"0"</f>
        <v>0</v>
      </c>
      <c r="G1930" s="1" t="str">
        <f t="shared" si="3878"/>
        <v>0</v>
      </c>
      <c r="H1930" s="1" t="str">
        <f t="shared" si="3878"/>
        <v>0</v>
      </c>
      <c r="I1930" s="1" t="str">
        <f t="shared" si="3878"/>
        <v>0</v>
      </c>
      <c r="J1930" s="1" t="str">
        <f>"2"</f>
        <v>2</v>
      </c>
      <c r="K1930" s="1" t="str">
        <f t="shared" ref="K1930:P1930" si="3879">"0"</f>
        <v>0</v>
      </c>
      <c r="L1930" s="1" t="str">
        <f t="shared" si="3879"/>
        <v>0</v>
      </c>
      <c r="M1930" s="1" t="str">
        <f t="shared" si="3879"/>
        <v>0</v>
      </c>
      <c r="N1930" s="1" t="str">
        <f t="shared" si="3879"/>
        <v>0</v>
      </c>
      <c r="O1930" s="1" t="str">
        <f t="shared" si="3879"/>
        <v>0</v>
      </c>
      <c r="P1930" s="1" t="str">
        <f t="shared" si="3879"/>
        <v>0</v>
      </c>
      <c r="Q1930" s="1" t="str">
        <f t="shared" si="3865"/>
        <v>0.0070</v>
      </c>
      <c r="R1930" s="1" t="s">
        <v>29</v>
      </c>
      <c r="S1930" s="1">
        <v>-0.0014</v>
      </c>
      <c r="T1930" s="1" t="str">
        <f t="shared" si="3866"/>
        <v>0</v>
      </c>
      <c r="U1930" s="1" t="str">
        <f t="shared" si="3877"/>
        <v>0.0056</v>
      </c>
    </row>
    <row r="1931" s="1" customFormat="1" spans="1:21">
      <c r="A1931" s="1" t="str">
        <f>"4601992028561"</f>
        <v>4601992028561</v>
      </c>
      <c r="B1931" s="1" t="s">
        <v>1955</v>
      </c>
      <c r="C1931" s="1" t="s">
        <v>24</v>
      </c>
      <c r="D1931" s="1" t="str">
        <f t="shared" si="3863"/>
        <v>2021</v>
      </c>
      <c r="E1931" s="1" t="str">
        <f>"35.94"</f>
        <v>35.94</v>
      </c>
      <c r="F1931" s="1" t="str">
        <f t="shared" ref="F1931:I1931" si="3880">"0"</f>
        <v>0</v>
      </c>
      <c r="G1931" s="1" t="str">
        <f t="shared" si="3880"/>
        <v>0</v>
      </c>
      <c r="H1931" s="1" t="str">
        <f t="shared" si="3880"/>
        <v>0</v>
      </c>
      <c r="I1931" s="1" t="str">
        <f t="shared" si="3880"/>
        <v>0</v>
      </c>
      <c r="J1931" s="1" t="str">
        <f>"3"</f>
        <v>3</v>
      </c>
      <c r="K1931" s="1" t="str">
        <f t="shared" ref="K1931:P1931" si="3881">"0"</f>
        <v>0</v>
      </c>
      <c r="L1931" s="1" t="str">
        <f t="shared" si="3881"/>
        <v>0</v>
      </c>
      <c r="M1931" s="1" t="str">
        <f t="shared" si="3881"/>
        <v>0</v>
      </c>
      <c r="N1931" s="1" t="str">
        <f t="shared" si="3881"/>
        <v>0</v>
      </c>
      <c r="O1931" s="1" t="str">
        <f t="shared" si="3881"/>
        <v>0</v>
      </c>
      <c r="P1931" s="1" t="str">
        <f t="shared" si="3881"/>
        <v>0</v>
      </c>
      <c r="Q1931" s="1" t="str">
        <f t="shared" si="3865"/>
        <v>0.0070</v>
      </c>
      <c r="R1931" s="1" t="s">
        <v>29</v>
      </c>
      <c r="S1931" s="1">
        <v>-0.0014</v>
      </c>
      <c r="T1931" s="1" t="str">
        <f t="shared" si="3866"/>
        <v>0</v>
      </c>
      <c r="U1931" s="1" t="str">
        <f t="shared" si="3877"/>
        <v>0.0056</v>
      </c>
    </row>
    <row r="1932" s="1" customFormat="1" spans="1:21">
      <c r="A1932" s="1" t="str">
        <f>"4601992028705"</f>
        <v>4601992028705</v>
      </c>
      <c r="B1932" s="1" t="s">
        <v>1956</v>
      </c>
      <c r="C1932" s="1" t="s">
        <v>24</v>
      </c>
      <c r="D1932" s="1" t="str">
        <f t="shared" si="3863"/>
        <v>2021</v>
      </c>
      <c r="E1932" s="1" t="str">
        <f t="shared" ref="E1932:P1932" si="3882">"0"</f>
        <v>0</v>
      </c>
      <c r="F1932" s="1" t="str">
        <f t="shared" si="3882"/>
        <v>0</v>
      </c>
      <c r="G1932" s="1" t="str">
        <f t="shared" si="3882"/>
        <v>0</v>
      </c>
      <c r="H1932" s="1" t="str">
        <f t="shared" si="3882"/>
        <v>0</v>
      </c>
      <c r="I1932" s="1" t="str">
        <f t="shared" si="3882"/>
        <v>0</v>
      </c>
      <c r="J1932" s="1" t="str">
        <f t="shared" si="3882"/>
        <v>0</v>
      </c>
      <c r="K1932" s="1" t="str">
        <f t="shared" si="3882"/>
        <v>0</v>
      </c>
      <c r="L1932" s="1" t="str">
        <f t="shared" si="3882"/>
        <v>0</v>
      </c>
      <c r="M1932" s="1" t="str">
        <f t="shared" si="3882"/>
        <v>0</v>
      </c>
      <c r="N1932" s="1" t="str">
        <f t="shared" si="3882"/>
        <v>0</v>
      </c>
      <c r="O1932" s="1" t="str">
        <f t="shared" si="3882"/>
        <v>0</v>
      </c>
      <c r="P1932" s="1" t="str">
        <f t="shared" si="3882"/>
        <v>0</v>
      </c>
      <c r="Q1932" s="1" t="str">
        <f t="shared" si="3865"/>
        <v>0.0070</v>
      </c>
      <c r="R1932" s="1" t="s">
        <v>25</v>
      </c>
      <c r="T1932" s="1" t="str">
        <f t="shared" si="3866"/>
        <v>0</v>
      </c>
      <c r="U1932" s="1" t="str">
        <f t="shared" ref="U1932:U1935" si="3883">"0.0070"</f>
        <v>0.0070</v>
      </c>
    </row>
    <row r="1933" s="1" customFormat="1" spans="1:21">
      <c r="A1933" s="1" t="str">
        <f>"4601992028591"</f>
        <v>4601992028591</v>
      </c>
      <c r="B1933" s="1" t="s">
        <v>1957</v>
      </c>
      <c r="C1933" s="1" t="s">
        <v>24</v>
      </c>
      <c r="D1933" s="1" t="str">
        <f t="shared" si="3863"/>
        <v>2021</v>
      </c>
      <c r="E1933" s="1" t="str">
        <f>"12.09"</f>
        <v>12.09</v>
      </c>
      <c r="F1933" s="1" t="str">
        <f t="shared" ref="F1933:I1933" si="3884">"0"</f>
        <v>0</v>
      </c>
      <c r="G1933" s="1" t="str">
        <f t="shared" si="3884"/>
        <v>0</v>
      </c>
      <c r="H1933" s="1" t="str">
        <f t="shared" si="3884"/>
        <v>0</v>
      </c>
      <c r="I1933" s="1" t="str">
        <f t="shared" si="3884"/>
        <v>0</v>
      </c>
      <c r="J1933" s="1" t="str">
        <f>"1"</f>
        <v>1</v>
      </c>
      <c r="K1933" s="1" t="str">
        <f t="shared" ref="K1933:P1933" si="3885">"0"</f>
        <v>0</v>
      </c>
      <c r="L1933" s="1" t="str">
        <f t="shared" si="3885"/>
        <v>0</v>
      </c>
      <c r="M1933" s="1" t="str">
        <f t="shared" si="3885"/>
        <v>0</v>
      </c>
      <c r="N1933" s="1" t="str">
        <f t="shared" si="3885"/>
        <v>0</v>
      </c>
      <c r="O1933" s="1" t="str">
        <f t="shared" si="3885"/>
        <v>0</v>
      </c>
      <c r="P1933" s="1" t="str">
        <f t="shared" si="3885"/>
        <v>0</v>
      </c>
      <c r="Q1933" s="1" t="str">
        <f t="shared" si="3865"/>
        <v>0.0070</v>
      </c>
      <c r="R1933" s="1" t="s">
        <v>29</v>
      </c>
      <c r="S1933" s="1">
        <v>-0.0014</v>
      </c>
      <c r="T1933" s="1" t="str">
        <f t="shared" si="3866"/>
        <v>0</v>
      </c>
      <c r="U1933" s="1" t="str">
        <f>"0.0056"</f>
        <v>0.0056</v>
      </c>
    </row>
    <row r="1934" s="1" customFormat="1" spans="1:21">
      <c r="A1934" s="1" t="str">
        <f>"4601992028671"</f>
        <v>4601992028671</v>
      </c>
      <c r="B1934" s="1" t="s">
        <v>1958</v>
      </c>
      <c r="C1934" s="1" t="s">
        <v>24</v>
      </c>
      <c r="D1934" s="1" t="str">
        <f t="shared" si="3863"/>
        <v>2021</v>
      </c>
      <c r="E1934" s="1" t="str">
        <f t="shared" ref="E1934:P1934" si="3886">"0"</f>
        <v>0</v>
      </c>
      <c r="F1934" s="1" t="str">
        <f t="shared" si="3886"/>
        <v>0</v>
      </c>
      <c r="G1934" s="1" t="str">
        <f t="shared" si="3886"/>
        <v>0</v>
      </c>
      <c r="H1934" s="1" t="str">
        <f t="shared" si="3886"/>
        <v>0</v>
      </c>
      <c r="I1934" s="1" t="str">
        <f t="shared" si="3886"/>
        <v>0</v>
      </c>
      <c r="J1934" s="1" t="str">
        <f t="shared" si="3886"/>
        <v>0</v>
      </c>
      <c r="K1934" s="1" t="str">
        <f t="shared" si="3886"/>
        <v>0</v>
      </c>
      <c r="L1934" s="1" t="str">
        <f t="shared" si="3886"/>
        <v>0</v>
      </c>
      <c r="M1934" s="1" t="str">
        <f t="shared" si="3886"/>
        <v>0</v>
      </c>
      <c r="N1934" s="1" t="str">
        <f t="shared" si="3886"/>
        <v>0</v>
      </c>
      <c r="O1934" s="1" t="str">
        <f t="shared" si="3886"/>
        <v>0</v>
      </c>
      <c r="P1934" s="1" t="str">
        <f t="shared" si="3886"/>
        <v>0</v>
      </c>
      <c r="Q1934" s="1" t="str">
        <f t="shared" si="3865"/>
        <v>0.0070</v>
      </c>
      <c r="R1934" s="1" t="s">
        <v>25</v>
      </c>
      <c r="T1934" s="1" t="str">
        <f t="shared" si="3866"/>
        <v>0</v>
      </c>
      <c r="U1934" s="1" t="str">
        <f t="shared" si="3883"/>
        <v>0.0070</v>
      </c>
    </row>
    <row r="1935" s="1" customFormat="1" spans="1:21">
      <c r="A1935" s="1" t="str">
        <f>"4601992028779"</f>
        <v>4601992028779</v>
      </c>
      <c r="B1935" s="1" t="s">
        <v>1959</v>
      </c>
      <c r="C1935" s="1" t="s">
        <v>24</v>
      </c>
      <c r="D1935" s="1" t="str">
        <f t="shared" si="3863"/>
        <v>2021</v>
      </c>
      <c r="E1935" s="1" t="str">
        <f t="shared" ref="E1935:P1935" si="3887">"0"</f>
        <v>0</v>
      </c>
      <c r="F1935" s="1" t="str">
        <f t="shared" si="3887"/>
        <v>0</v>
      </c>
      <c r="G1935" s="1" t="str">
        <f t="shared" si="3887"/>
        <v>0</v>
      </c>
      <c r="H1935" s="1" t="str">
        <f t="shared" si="3887"/>
        <v>0</v>
      </c>
      <c r="I1935" s="1" t="str">
        <f t="shared" si="3887"/>
        <v>0</v>
      </c>
      <c r="J1935" s="1" t="str">
        <f t="shared" si="3887"/>
        <v>0</v>
      </c>
      <c r="K1935" s="1" t="str">
        <f t="shared" si="3887"/>
        <v>0</v>
      </c>
      <c r="L1935" s="1" t="str">
        <f t="shared" si="3887"/>
        <v>0</v>
      </c>
      <c r="M1935" s="1" t="str">
        <f t="shared" si="3887"/>
        <v>0</v>
      </c>
      <c r="N1935" s="1" t="str">
        <f t="shared" si="3887"/>
        <v>0</v>
      </c>
      <c r="O1935" s="1" t="str">
        <f t="shared" si="3887"/>
        <v>0</v>
      </c>
      <c r="P1935" s="1" t="str">
        <f t="shared" si="3887"/>
        <v>0</v>
      </c>
      <c r="Q1935" s="1" t="str">
        <f t="shared" si="3865"/>
        <v>0.0070</v>
      </c>
      <c r="R1935" s="1" t="s">
        <v>25</v>
      </c>
      <c r="T1935" s="1" t="str">
        <f t="shared" si="3866"/>
        <v>0</v>
      </c>
      <c r="U1935" s="1" t="str">
        <f t="shared" si="3883"/>
        <v>0.0070</v>
      </c>
    </row>
    <row r="1936" s="1" customFormat="1" spans="1:21">
      <c r="A1936" s="1" t="str">
        <f>"4601992028606"</f>
        <v>4601992028606</v>
      </c>
      <c r="B1936" s="1" t="s">
        <v>1960</v>
      </c>
      <c r="C1936" s="1" t="s">
        <v>24</v>
      </c>
      <c r="D1936" s="1" t="str">
        <f t="shared" si="3863"/>
        <v>2021</v>
      </c>
      <c r="E1936" s="1" t="str">
        <f>"47.92"</f>
        <v>47.92</v>
      </c>
      <c r="F1936" s="1" t="str">
        <f t="shared" ref="F1936:I1936" si="3888">"0"</f>
        <v>0</v>
      </c>
      <c r="G1936" s="1" t="str">
        <f t="shared" si="3888"/>
        <v>0</v>
      </c>
      <c r="H1936" s="1" t="str">
        <f t="shared" si="3888"/>
        <v>0</v>
      </c>
      <c r="I1936" s="1" t="str">
        <f t="shared" si="3888"/>
        <v>0</v>
      </c>
      <c r="J1936" s="1" t="str">
        <f>"4"</f>
        <v>4</v>
      </c>
      <c r="K1936" s="1" t="str">
        <f t="shared" ref="K1936:P1936" si="3889">"0"</f>
        <v>0</v>
      </c>
      <c r="L1936" s="1" t="str">
        <f t="shared" si="3889"/>
        <v>0</v>
      </c>
      <c r="M1936" s="1" t="str">
        <f t="shared" si="3889"/>
        <v>0</v>
      </c>
      <c r="N1936" s="1" t="str">
        <f t="shared" si="3889"/>
        <v>0</v>
      </c>
      <c r="O1936" s="1" t="str">
        <f t="shared" si="3889"/>
        <v>0</v>
      </c>
      <c r="P1936" s="1" t="str">
        <f t="shared" si="3889"/>
        <v>0</v>
      </c>
      <c r="Q1936" s="1" t="str">
        <f t="shared" si="3865"/>
        <v>0.0070</v>
      </c>
      <c r="R1936" s="1" t="s">
        <v>29</v>
      </c>
      <c r="S1936" s="1">
        <v>-0.0014</v>
      </c>
      <c r="T1936" s="1" t="str">
        <f t="shared" si="3866"/>
        <v>0</v>
      </c>
      <c r="U1936" s="1" t="str">
        <f t="shared" ref="U1936:U1941" si="3890">"0.0056"</f>
        <v>0.0056</v>
      </c>
    </row>
    <row r="1937" s="1" customFormat="1" spans="1:21">
      <c r="A1937" s="1" t="str">
        <f>"4601992028861"</f>
        <v>4601992028861</v>
      </c>
      <c r="B1937" s="1" t="s">
        <v>1961</v>
      </c>
      <c r="C1937" s="1" t="s">
        <v>24</v>
      </c>
      <c r="D1937" s="1" t="str">
        <f t="shared" si="3863"/>
        <v>2021</v>
      </c>
      <c r="E1937" s="1" t="str">
        <f t="shared" ref="E1937:P1937" si="3891">"0"</f>
        <v>0</v>
      </c>
      <c r="F1937" s="1" t="str">
        <f t="shared" si="3891"/>
        <v>0</v>
      </c>
      <c r="G1937" s="1" t="str">
        <f t="shared" si="3891"/>
        <v>0</v>
      </c>
      <c r="H1937" s="1" t="str">
        <f t="shared" si="3891"/>
        <v>0</v>
      </c>
      <c r="I1937" s="1" t="str">
        <f t="shared" si="3891"/>
        <v>0</v>
      </c>
      <c r="J1937" s="1" t="str">
        <f t="shared" si="3891"/>
        <v>0</v>
      </c>
      <c r="K1937" s="1" t="str">
        <f t="shared" si="3891"/>
        <v>0</v>
      </c>
      <c r="L1937" s="1" t="str">
        <f t="shared" si="3891"/>
        <v>0</v>
      </c>
      <c r="M1937" s="1" t="str">
        <f t="shared" si="3891"/>
        <v>0</v>
      </c>
      <c r="N1937" s="1" t="str">
        <f t="shared" si="3891"/>
        <v>0</v>
      </c>
      <c r="O1937" s="1" t="str">
        <f t="shared" si="3891"/>
        <v>0</v>
      </c>
      <c r="P1937" s="1" t="str">
        <f t="shared" si="3891"/>
        <v>0</v>
      </c>
      <c r="Q1937" s="1" t="str">
        <f t="shared" si="3865"/>
        <v>0.0070</v>
      </c>
      <c r="R1937" s="1" t="s">
        <v>25</v>
      </c>
      <c r="T1937" s="1" t="str">
        <f t="shared" si="3866"/>
        <v>0</v>
      </c>
      <c r="U1937" s="1" t="str">
        <f t="shared" ref="U1937:U1939" si="3892">"0.0070"</f>
        <v>0.0070</v>
      </c>
    </row>
    <row r="1938" s="1" customFormat="1" spans="1:21">
      <c r="A1938" s="1" t="str">
        <f>"4601992028790"</f>
        <v>4601992028790</v>
      </c>
      <c r="B1938" s="1" t="s">
        <v>1962</v>
      </c>
      <c r="C1938" s="1" t="s">
        <v>24</v>
      </c>
      <c r="D1938" s="1" t="str">
        <f t="shared" si="3863"/>
        <v>2021</v>
      </c>
      <c r="E1938" s="1" t="str">
        <f t="shared" ref="E1938:I1938" si="3893">"0"</f>
        <v>0</v>
      </c>
      <c r="F1938" s="1" t="str">
        <f t="shared" si="3893"/>
        <v>0</v>
      </c>
      <c r="G1938" s="1" t="str">
        <f t="shared" si="3893"/>
        <v>0</v>
      </c>
      <c r="H1938" s="1" t="str">
        <f t="shared" si="3893"/>
        <v>0</v>
      </c>
      <c r="I1938" s="1" t="str">
        <f t="shared" si="3893"/>
        <v>0</v>
      </c>
      <c r="J1938" s="1" t="str">
        <f>"7"</f>
        <v>7</v>
      </c>
      <c r="K1938" s="1" t="str">
        <f t="shared" ref="K1938:P1938" si="3894">"0"</f>
        <v>0</v>
      </c>
      <c r="L1938" s="1" t="str">
        <f t="shared" si="3894"/>
        <v>0</v>
      </c>
      <c r="M1938" s="1" t="str">
        <f t="shared" si="3894"/>
        <v>0</v>
      </c>
      <c r="N1938" s="1" t="str">
        <f t="shared" si="3894"/>
        <v>0</v>
      </c>
      <c r="O1938" s="1" t="str">
        <f t="shared" si="3894"/>
        <v>0</v>
      </c>
      <c r="P1938" s="1" t="str">
        <f t="shared" si="3894"/>
        <v>0</v>
      </c>
      <c r="Q1938" s="1" t="str">
        <f t="shared" si="3865"/>
        <v>0.0070</v>
      </c>
      <c r="R1938" s="1" t="s">
        <v>25</v>
      </c>
      <c r="T1938" s="1" t="str">
        <f t="shared" si="3866"/>
        <v>0</v>
      </c>
      <c r="U1938" s="1" t="str">
        <f t="shared" si="3892"/>
        <v>0.0070</v>
      </c>
    </row>
    <row r="1939" s="1" customFormat="1" spans="1:21">
      <c r="A1939" s="1" t="str">
        <f>"4601992028929"</f>
        <v>4601992028929</v>
      </c>
      <c r="B1939" s="1" t="s">
        <v>1963</v>
      </c>
      <c r="C1939" s="1" t="s">
        <v>24</v>
      </c>
      <c r="D1939" s="1" t="str">
        <f t="shared" si="3863"/>
        <v>2021</v>
      </c>
      <c r="E1939" s="1" t="str">
        <f t="shared" ref="E1939:I1939" si="3895">"0"</f>
        <v>0</v>
      </c>
      <c r="F1939" s="1" t="str">
        <f t="shared" si="3895"/>
        <v>0</v>
      </c>
      <c r="G1939" s="1" t="str">
        <f t="shared" si="3895"/>
        <v>0</v>
      </c>
      <c r="H1939" s="1" t="str">
        <f t="shared" si="3895"/>
        <v>0</v>
      </c>
      <c r="I1939" s="1" t="str">
        <f t="shared" si="3895"/>
        <v>0</v>
      </c>
      <c r="J1939" s="1" t="str">
        <f>"2"</f>
        <v>2</v>
      </c>
      <c r="K1939" s="1" t="str">
        <f t="shared" ref="K1939:P1939" si="3896">"0"</f>
        <v>0</v>
      </c>
      <c r="L1939" s="1" t="str">
        <f t="shared" si="3896"/>
        <v>0</v>
      </c>
      <c r="M1939" s="1" t="str">
        <f t="shared" si="3896"/>
        <v>0</v>
      </c>
      <c r="N1939" s="1" t="str">
        <f t="shared" si="3896"/>
        <v>0</v>
      </c>
      <c r="O1939" s="1" t="str">
        <f t="shared" si="3896"/>
        <v>0</v>
      </c>
      <c r="P1939" s="1" t="str">
        <f t="shared" si="3896"/>
        <v>0</v>
      </c>
      <c r="Q1939" s="1" t="str">
        <f t="shared" si="3865"/>
        <v>0.0070</v>
      </c>
      <c r="R1939" s="1" t="s">
        <v>25</v>
      </c>
      <c r="T1939" s="1" t="str">
        <f t="shared" si="3866"/>
        <v>0</v>
      </c>
      <c r="U1939" s="1" t="str">
        <f t="shared" si="3892"/>
        <v>0.0070</v>
      </c>
    </row>
    <row r="1940" s="1" customFormat="1" spans="1:21">
      <c r="A1940" s="1" t="str">
        <f>"4601992028788"</f>
        <v>4601992028788</v>
      </c>
      <c r="B1940" s="1" t="s">
        <v>1964</v>
      </c>
      <c r="C1940" s="1" t="s">
        <v>24</v>
      </c>
      <c r="D1940" s="1" t="str">
        <f t="shared" si="3863"/>
        <v>2021</v>
      </c>
      <c r="E1940" s="1" t="str">
        <f>"169.26"</f>
        <v>169.26</v>
      </c>
      <c r="F1940" s="1" t="str">
        <f t="shared" ref="F1940:I1940" si="3897">"0"</f>
        <v>0</v>
      </c>
      <c r="G1940" s="1" t="str">
        <f t="shared" si="3897"/>
        <v>0</v>
      </c>
      <c r="H1940" s="1" t="str">
        <f t="shared" si="3897"/>
        <v>0</v>
      </c>
      <c r="I1940" s="1" t="str">
        <f t="shared" si="3897"/>
        <v>0</v>
      </c>
      <c r="J1940" s="1" t="str">
        <f>"13"</f>
        <v>13</v>
      </c>
      <c r="K1940" s="1" t="str">
        <f t="shared" ref="K1940:P1940" si="3898">"0"</f>
        <v>0</v>
      </c>
      <c r="L1940" s="1" t="str">
        <f t="shared" si="3898"/>
        <v>0</v>
      </c>
      <c r="M1940" s="1" t="str">
        <f t="shared" si="3898"/>
        <v>0</v>
      </c>
      <c r="N1940" s="1" t="str">
        <f t="shared" si="3898"/>
        <v>0</v>
      </c>
      <c r="O1940" s="1" t="str">
        <f t="shared" si="3898"/>
        <v>0</v>
      </c>
      <c r="P1940" s="1" t="str">
        <f t="shared" si="3898"/>
        <v>0</v>
      </c>
      <c r="Q1940" s="1" t="str">
        <f t="shared" si="3865"/>
        <v>0.0070</v>
      </c>
      <c r="R1940" s="1" t="s">
        <v>29</v>
      </c>
      <c r="S1940" s="1">
        <v>-0.0014</v>
      </c>
      <c r="T1940" s="1" t="str">
        <f t="shared" si="3866"/>
        <v>0</v>
      </c>
      <c r="U1940" s="1" t="str">
        <f t="shared" si="3890"/>
        <v>0.0056</v>
      </c>
    </row>
    <row r="1941" s="1" customFormat="1" spans="1:21">
      <c r="A1941" s="1" t="str">
        <f>"4601992029363"</f>
        <v>4601992029363</v>
      </c>
      <c r="B1941" s="1" t="s">
        <v>1965</v>
      </c>
      <c r="C1941" s="1" t="s">
        <v>24</v>
      </c>
      <c r="D1941" s="1" t="str">
        <f t="shared" si="3863"/>
        <v>2021</v>
      </c>
      <c r="E1941" s="1" t="str">
        <f>"72.21"</f>
        <v>72.21</v>
      </c>
      <c r="F1941" s="1" t="str">
        <f t="shared" ref="F1941:I1941" si="3899">"0"</f>
        <v>0</v>
      </c>
      <c r="G1941" s="1" t="str">
        <f t="shared" si="3899"/>
        <v>0</v>
      </c>
      <c r="H1941" s="1" t="str">
        <f t="shared" si="3899"/>
        <v>0</v>
      </c>
      <c r="I1941" s="1" t="str">
        <f t="shared" si="3899"/>
        <v>0</v>
      </c>
      <c r="J1941" s="1" t="str">
        <f>"6"</f>
        <v>6</v>
      </c>
      <c r="K1941" s="1" t="str">
        <f t="shared" ref="K1941:P1941" si="3900">"0"</f>
        <v>0</v>
      </c>
      <c r="L1941" s="1" t="str">
        <f t="shared" si="3900"/>
        <v>0</v>
      </c>
      <c r="M1941" s="1" t="str">
        <f t="shared" si="3900"/>
        <v>0</v>
      </c>
      <c r="N1941" s="1" t="str">
        <f t="shared" si="3900"/>
        <v>0</v>
      </c>
      <c r="O1941" s="1" t="str">
        <f t="shared" si="3900"/>
        <v>0</v>
      </c>
      <c r="P1941" s="1" t="str">
        <f t="shared" si="3900"/>
        <v>0</v>
      </c>
      <c r="Q1941" s="1" t="str">
        <f t="shared" si="3865"/>
        <v>0.0070</v>
      </c>
      <c r="R1941" s="1" t="s">
        <v>29</v>
      </c>
      <c r="S1941" s="1">
        <v>-0.0014</v>
      </c>
      <c r="T1941" s="1" t="str">
        <f t="shared" si="3866"/>
        <v>0</v>
      </c>
      <c r="U1941" s="1" t="str">
        <f t="shared" si="3890"/>
        <v>0.0056</v>
      </c>
    </row>
    <row r="1942" s="1" customFormat="1" spans="1:21">
      <c r="A1942" s="1" t="str">
        <f>"4601991410695"</f>
        <v>4601991410695</v>
      </c>
      <c r="B1942" s="1" t="s">
        <v>1966</v>
      </c>
      <c r="C1942" s="1" t="s">
        <v>24</v>
      </c>
      <c r="D1942" s="1" t="str">
        <f t="shared" si="3863"/>
        <v>2021</v>
      </c>
      <c r="E1942" s="1" t="str">
        <f>"12.09"</f>
        <v>12.09</v>
      </c>
      <c r="F1942" s="1" t="str">
        <f t="shared" ref="F1942:I1942" si="3901">"0"</f>
        <v>0</v>
      </c>
      <c r="G1942" s="1" t="str">
        <f t="shared" si="3901"/>
        <v>0</v>
      </c>
      <c r="H1942" s="1" t="str">
        <f t="shared" si="3901"/>
        <v>0</v>
      </c>
      <c r="I1942" s="1" t="str">
        <f t="shared" si="3901"/>
        <v>0</v>
      </c>
      <c r="J1942" s="1" t="str">
        <f>"1"</f>
        <v>1</v>
      </c>
      <c r="K1942" s="1" t="str">
        <f t="shared" ref="K1942:P1942" si="3902">"0"</f>
        <v>0</v>
      </c>
      <c r="L1942" s="1" t="str">
        <f t="shared" si="3902"/>
        <v>0</v>
      </c>
      <c r="M1942" s="1" t="str">
        <f t="shared" si="3902"/>
        <v>0</v>
      </c>
      <c r="N1942" s="1" t="str">
        <f t="shared" si="3902"/>
        <v>0</v>
      </c>
      <c r="O1942" s="1" t="str">
        <f t="shared" si="3902"/>
        <v>0</v>
      </c>
      <c r="P1942" s="1" t="str">
        <f t="shared" si="3902"/>
        <v>0</v>
      </c>
      <c r="Q1942" s="1" t="str">
        <f t="shared" si="3865"/>
        <v>0.0070</v>
      </c>
      <c r="R1942" s="1" t="s">
        <v>25</v>
      </c>
      <c r="T1942" s="1" t="str">
        <f t="shared" si="3866"/>
        <v>0</v>
      </c>
      <c r="U1942" s="1" t="str">
        <f t="shared" ref="U1942:U1945" si="3903">"0.0070"</f>
        <v>0.0070</v>
      </c>
    </row>
    <row r="1943" s="1" customFormat="1" spans="1:21">
      <c r="A1943" s="1" t="str">
        <f>"4601992029372"</f>
        <v>4601992029372</v>
      </c>
      <c r="B1943" s="1" t="s">
        <v>1967</v>
      </c>
      <c r="C1943" s="1" t="s">
        <v>24</v>
      </c>
      <c r="D1943" s="1" t="str">
        <f t="shared" si="3863"/>
        <v>2021</v>
      </c>
      <c r="E1943" s="1" t="str">
        <f>"24.18"</f>
        <v>24.18</v>
      </c>
      <c r="F1943" s="1" t="str">
        <f t="shared" ref="F1943:I1943" si="3904">"0"</f>
        <v>0</v>
      </c>
      <c r="G1943" s="1" t="str">
        <f t="shared" si="3904"/>
        <v>0</v>
      </c>
      <c r="H1943" s="1" t="str">
        <f t="shared" si="3904"/>
        <v>0</v>
      </c>
      <c r="I1943" s="1" t="str">
        <f t="shared" si="3904"/>
        <v>0</v>
      </c>
      <c r="J1943" s="1" t="str">
        <f>"3"</f>
        <v>3</v>
      </c>
      <c r="K1943" s="1" t="str">
        <f t="shared" ref="K1943:P1943" si="3905">"0"</f>
        <v>0</v>
      </c>
      <c r="L1943" s="1" t="str">
        <f t="shared" si="3905"/>
        <v>0</v>
      </c>
      <c r="M1943" s="1" t="str">
        <f t="shared" si="3905"/>
        <v>0</v>
      </c>
      <c r="N1943" s="1" t="str">
        <f t="shared" si="3905"/>
        <v>0</v>
      </c>
      <c r="O1943" s="1" t="str">
        <f t="shared" si="3905"/>
        <v>0</v>
      </c>
      <c r="P1943" s="1" t="str">
        <f t="shared" si="3905"/>
        <v>0</v>
      </c>
      <c r="Q1943" s="1" t="str">
        <f t="shared" si="3865"/>
        <v>0.0070</v>
      </c>
      <c r="R1943" s="1" t="s">
        <v>29</v>
      </c>
      <c r="S1943" s="1">
        <v>-0.0014</v>
      </c>
      <c r="T1943" s="1" t="str">
        <f t="shared" si="3866"/>
        <v>0</v>
      </c>
      <c r="U1943" s="1" t="str">
        <f t="shared" ref="U1943:U1953" si="3906">"0.0056"</f>
        <v>0.0056</v>
      </c>
    </row>
    <row r="1944" s="1" customFormat="1" spans="1:21">
      <c r="A1944" s="1" t="str">
        <f>"4601992007617"</f>
        <v>4601992007617</v>
      </c>
      <c r="B1944" s="1" t="s">
        <v>1968</v>
      </c>
      <c r="C1944" s="1" t="s">
        <v>24</v>
      </c>
      <c r="D1944" s="1" t="str">
        <f t="shared" si="3863"/>
        <v>2021</v>
      </c>
      <c r="E1944" s="1" t="str">
        <f>"96.72"</f>
        <v>96.72</v>
      </c>
      <c r="F1944" s="1" t="str">
        <f t="shared" ref="F1944:I1944" si="3907">"0"</f>
        <v>0</v>
      </c>
      <c r="G1944" s="1" t="str">
        <f t="shared" si="3907"/>
        <v>0</v>
      </c>
      <c r="H1944" s="1" t="str">
        <f t="shared" si="3907"/>
        <v>0</v>
      </c>
      <c r="I1944" s="1" t="str">
        <f t="shared" si="3907"/>
        <v>0</v>
      </c>
      <c r="J1944" s="1" t="str">
        <f>"7"</f>
        <v>7</v>
      </c>
      <c r="K1944" s="1" t="str">
        <f t="shared" ref="K1944:P1944" si="3908">"0"</f>
        <v>0</v>
      </c>
      <c r="L1944" s="1" t="str">
        <f t="shared" si="3908"/>
        <v>0</v>
      </c>
      <c r="M1944" s="1" t="str">
        <f t="shared" si="3908"/>
        <v>0</v>
      </c>
      <c r="N1944" s="1" t="str">
        <f t="shared" si="3908"/>
        <v>0</v>
      </c>
      <c r="O1944" s="1" t="str">
        <f t="shared" si="3908"/>
        <v>0</v>
      </c>
      <c r="P1944" s="1" t="str">
        <f t="shared" si="3908"/>
        <v>0</v>
      </c>
      <c r="Q1944" s="1" t="str">
        <f t="shared" si="3865"/>
        <v>0.0070</v>
      </c>
      <c r="R1944" s="1" t="s">
        <v>25</v>
      </c>
      <c r="T1944" s="1" t="str">
        <f t="shared" si="3866"/>
        <v>0</v>
      </c>
      <c r="U1944" s="1" t="str">
        <f t="shared" si="3903"/>
        <v>0.0070</v>
      </c>
    </row>
    <row r="1945" s="1" customFormat="1" spans="1:21">
      <c r="A1945" s="1" t="str">
        <f>"4601992030234"</f>
        <v>4601992030234</v>
      </c>
      <c r="B1945" s="1" t="s">
        <v>1969</v>
      </c>
      <c r="C1945" s="1" t="s">
        <v>24</v>
      </c>
      <c r="D1945" s="1" t="str">
        <f t="shared" si="3863"/>
        <v>2021</v>
      </c>
      <c r="E1945" s="1" t="str">
        <f t="shared" ref="E1945:P1945" si="3909">"0"</f>
        <v>0</v>
      </c>
      <c r="F1945" s="1" t="str">
        <f t="shared" si="3909"/>
        <v>0</v>
      </c>
      <c r="G1945" s="1" t="str">
        <f t="shared" si="3909"/>
        <v>0</v>
      </c>
      <c r="H1945" s="1" t="str">
        <f t="shared" si="3909"/>
        <v>0</v>
      </c>
      <c r="I1945" s="1" t="str">
        <f t="shared" si="3909"/>
        <v>0</v>
      </c>
      <c r="J1945" s="1" t="str">
        <f t="shared" si="3909"/>
        <v>0</v>
      </c>
      <c r="K1945" s="1" t="str">
        <f t="shared" si="3909"/>
        <v>0</v>
      </c>
      <c r="L1945" s="1" t="str">
        <f t="shared" si="3909"/>
        <v>0</v>
      </c>
      <c r="M1945" s="1" t="str">
        <f t="shared" si="3909"/>
        <v>0</v>
      </c>
      <c r="N1945" s="1" t="str">
        <f t="shared" si="3909"/>
        <v>0</v>
      </c>
      <c r="O1945" s="1" t="str">
        <f t="shared" si="3909"/>
        <v>0</v>
      </c>
      <c r="P1945" s="1" t="str">
        <f t="shared" si="3909"/>
        <v>0</v>
      </c>
      <c r="Q1945" s="1" t="str">
        <f t="shared" si="3865"/>
        <v>0.0070</v>
      </c>
      <c r="R1945" s="1" t="s">
        <v>25</v>
      </c>
      <c r="T1945" s="1" t="str">
        <f t="shared" si="3866"/>
        <v>0</v>
      </c>
      <c r="U1945" s="1" t="str">
        <f t="shared" si="3903"/>
        <v>0.0070</v>
      </c>
    </row>
    <row r="1946" s="1" customFormat="1" spans="1:21">
      <c r="A1946" s="1" t="str">
        <f>"4601992030173"</f>
        <v>4601992030173</v>
      </c>
      <c r="B1946" s="1" t="s">
        <v>1970</v>
      </c>
      <c r="C1946" s="1" t="s">
        <v>24</v>
      </c>
      <c r="D1946" s="1" t="str">
        <f t="shared" si="3863"/>
        <v>2021</v>
      </c>
      <c r="E1946" s="1" t="str">
        <f>"192.01"</f>
        <v>192.01</v>
      </c>
      <c r="F1946" s="1" t="str">
        <f t="shared" ref="F1946:I1946" si="3910">"0"</f>
        <v>0</v>
      </c>
      <c r="G1946" s="1" t="str">
        <f t="shared" si="3910"/>
        <v>0</v>
      </c>
      <c r="H1946" s="1" t="str">
        <f t="shared" si="3910"/>
        <v>0</v>
      </c>
      <c r="I1946" s="1" t="str">
        <f t="shared" si="3910"/>
        <v>0</v>
      </c>
      <c r="J1946" s="1" t="str">
        <f>"16"</f>
        <v>16</v>
      </c>
      <c r="K1946" s="1" t="str">
        <f t="shared" ref="K1946:P1946" si="3911">"0"</f>
        <v>0</v>
      </c>
      <c r="L1946" s="1" t="str">
        <f t="shared" si="3911"/>
        <v>0</v>
      </c>
      <c r="M1946" s="1" t="str">
        <f t="shared" si="3911"/>
        <v>0</v>
      </c>
      <c r="N1946" s="1" t="str">
        <f t="shared" si="3911"/>
        <v>0</v>
      </c>
      <c r="O1946" s="1" t="str">
        <f t="shared" si="3911"/>
        <v>0</v>
      </c>
      <c r="P1946" s="1" t="str">
        <f t="shared" si="3911"/>
        <v>0</v>
      </c>
      <c r="Q1946" s="1" t="str">
        <f t="shared" si="3865"/>
        <v>0.0070</v>
      </c>
      <c r="R1946" s="1" t="s">
        <v>29</v>
      </c>
      <c r="S1946" s="1">
        <v>-0.0014</v>
      </c>
      <c r="T1946" s="1" t="str">
        <f t="shared" si="3866"/>
        <v>0</v>
      </c>
      <c r="U1946" s="1" t="str">
        <f t="shared" si="3906"/>
        <v>0.0056</v>
      </c>
    </row>
    <row r="1947" s="1" customFormat="1" spans="1:21">
      <c r="A1947" s="1" t="str">
        <f>"4601992030167"</f>
        <v>4601992030167</v>
      </c>
      <c r="B1947" s="1" t="s">
        <v>1971</v>
      </c>
      <c r="C1947" s="1" t="s">
        <v>24</v>
      </c>
      <c r="D1947" s="1" t="str">
        <f t="shared" si="3863"/>
        <v>2021</v>
      </c>
      <c r="E1947" s="1" t="str">
        <f>"182.31"</f>
        <v>182.31</v>
      </c>
      <c r="F1947" s="1" t="str">
        <f t="shared" ref="F1947:I1947" si="3912">"0"</f>
        <v>0</v>
      </c>
      <c r="G1947" s="1" t="str">
        <f t="shared" si="3912"/>
        <v>0</v>
      </c>
      <c r="H1947" s="1" t="str">
        <f t="shared" si="3912"/>
        <v>0</v>
      </c>
      <c r="I1947" s="1" t="str">
        <f t="shared" si="3912"/>
        <v>0</v>
      </c>
      <c r="J1947" s="1" t="str">
        <f>"16"</f>
        <v>16</v>
      </c>
      <c r="K1947" s="1" t="str">
        <f t="shared" ref="K1947:P1947" si="3913">"0"</f>
        <v>0</v>
      </c>
      <c r="L1947" s="1" t="str">
        <f t="shared" si="3913"/>
        <v>0</v>
      </c>
      <c r="M1947" s="1" t="str">
        <f t="shared" si="3913"/>
        <v>0</v>
      </c>
      <c r="N1947" s="1" t="str">
        <f t="shared" si="3913"/>
        <v>0</v>
      </c>
      <c r="O1947" s="1" t="str">
        <f t="shared" si="3913"/>
        <v>0</v>
      </c>
      <c r="P1947" s="1" t="str">
        <f t="shared" si="3913"/>
        <v>0</v>
      </c>
      <c r="Q1947" s="1" t="str">
        <f t="shared" si="3865"/>
        <v>0.0070</v>
      </c>
      <c r="R1947" s="1" t="s">
        <v>29</v>
      </c>
      <c r="S1947" s="1">
        <v>-0.0014</v>
      </c>
      <c r="T1947" s="1" t="str">
        <f t="shared" si="3866"/>
        <v>0</v>
      </c>
      <c r="U1947" s="1" t="str">
        <f t="shared" si="3906"/>
        <v>0.0056</v>
      </c>
    </row>
    <row r="1948" s="1" customFormat="1" spans="1:21">
      <c r="A1948" s="1" t="str">
        <f>"4601992030368"</f>
        <v>4601992030368</v>
      </c>
      <c r="B1948" s="1" t="s">
        <v>1972</v>
      </c>
      <c r="C1948" s="1" t="s">
        <v>24</v>
      </c>
      <c r="D1948" s="1" t="str">
        <f t="shared" si="3863"/>
        <v>2021</v>
      </c>
      <c r="E1948" s="1" t="str">
        <f>"48.25"</f>
        <v>48.25</v>
      </c>
      <c r="F1948" s="1" t="str">
        <f t="shared" ref="F1948:I1948" si="3914">"0"</f>
        <v>0</v>
      </c>
      <c r="G1948" s="1" t="str">
        <f t="shared" si="3914"/>
        <v>0</v>
      </c>
      <c r="H1948" s="1" t="str">
        <f t="shared" si="3914"/>
        <v>0</v>
      </c>
      <c r="I1948" s="1" t="str">
        <f t="shared" si="3914"/>
        <v>0</v>
      </c>
      <c r="J1948" s="1" t="str">
        <f>"5"</f>
        <v>5</v>
      </c>
      <c r="K1948" s="1" t="str">
        <f t="shared" ref="K1948:P1948" si="3915">"0"</f>
        <v>0</v>
      </c>
      <c r="L1948" s="1" t="str">
        <f t="shared" si="3915"/>
        <v>0</v>
      </c>
      <c r="M1948" s="1" t="str">
        <f t="shared" si="3915"/>
        <v>0</v>
      </c>
      <c r="N1948" s="1" t="str">
        <f t="shared" si="3915"/>
        <v>0</v>
      </c>
      <c r="O1948" s="1" t="str">
        <f t="shared" si="3915"/>
        <v>0</v>
      </c>
      <c r="P1948" s="1" t="str">
        <f t="shared" si="3915"/>
        <v>0</v>
      </c>
      <c r="Q1948" s="1" t="str">
        <f t="shared" si="3865"/>
        <v>0.0070</v>
      </c>
      <c r="R1948" s="1" t="s">
        <v>29</v>
      </c>
      <c r="S1948" s="1">
        <v>-0.0014</v>
      </c>
      <c r="T1948" s="1" t="str">
        <f t="shared" si="3866"/>
        <v>0</v>
      </c>
      <c r="U1948" s="1" t="str">
        <f t="shared" si="3906"/>
        <v>0.0056</v>
      </c>
    </row>
    <row r="1949" s="1" customFormat="1" spans="1:21">
      <c r="A1949" s="1" t="str">
        <f>"4601992030375"</f>
        <v>4601992030375</v>
      </c>
      <c r="B1949" s="1" t="s">
        <v>1973</v>
      </c>
      <c r="C1949" s="1" t="s">
        <v>24</v>
      </c>
      <c r="D1949" s="1" t="str">
        <f t="shared" si="3863"/>
        <v>2021</v>
      </c>
      <c r="E1949" s="1" t="str">
        <f>"24.18"</f>
        <v>24.18</v>
      </c>
      <c r="F1949" s="1" t="str">
        <f t="shared" ref="F1949:I1949" si="3916">"0"</f>
        <v>0</v>
      </c>
      <c r="G1949" s="1" t="str">
        <f t="shared" si="3916"/>
        <v>0</v>
      </c>
      <c r="H1949" s="1" t="str">
        <f t="shared" si="3916"/>
        <v>0</v>
      </c>
      <c r="I1949" s="1" t="str">
        <f t="shared" si="3916"/>
        <v>0</v>
      </c>
      <c r="J1949" s="1" t="str">
        <f>"4"</f>
        <v>4</v>
      </c>
      <c r="K1949" s="1" t="str">
        <f t="shared" ref="K1949:P1949" si="3917">"0"</f>
        <v>0</v>
      </c>
      <c r="L1949" s="1" t="str">
        <f t="shared" si="3917"/>
        <v>0</v>
      </c>
      <c r="M1949" s="1" t="str">
        <f t="shared" si="3917"/>
        <v>0</v>
      </c>
      <c r="N1949" s="1" t="str">
        <f t="shared" si="3917"/>
        <v>0</v>
      </c>
      <c r="O1949" s="1" t="str">
        <f t="shared" si="3917"/>
        <v>0</v>
      </c>
      <c r="P1949" s="1" t="str">
        <f t="shared" si="3917"/>
        <v>0</v>
      </c>
      <c r="Q1949" s="1" t="str">
        <f t="shared" si="3865"/>
        <v>0.0070</v>
      </c>
      <c r="R1949" s="1" t="s">
        <v>29</v>
      </c>
      <c r="S1949" s="1">
        <v>-0.0014</v>
      </c>
      <c r="T1949" s="1" t="str">
        <f t="shared" si="3866"/>
        <v>0</v>
      </c>
      <c r="U1949" s="1" t="str">
        <f t="shared" si="3906"/>
        <v>0.0056</v>
      </c>
    </row>
    <row r="1950" s="1" customFormat="1" spans="1:21">
      <c r="A1950" s="1" t="str">
        <f>"4601992030391"</f>
        <v>4601992030391</v>
      </c>
      <c r="B1950" s="1" t="s">
        <v>1974</v>
      </c>
      <c r="C1950" s="1" t="s">
        <v>24</v>
      </c>
      <c r="D1950" s="1" t="str">
        <f t="shared" si="3863"/>
        <v>2021</v>
      </c>
      <c r="E1950" s="1" t="str">
        <f t="shared" ref="E1950:E1953" si="3918">"12.09"</f>
        <v>12.09</v>
      </c>
      <c r="F1950" s="1" t="str">
        <f t="shared" ref="F1950:I1950" si="3919">"0"</f>
        <v>0</v>
      </c>
      <c r="G1950" s="1" t="str">
        <f t="shared" si="3919"/>
        <v>0</v>
      </c>
      <c r="H1950" s="1" t="str">
        <f t="shared" si="3919"/>
        <v>0</v>
      </c>
      <c r="I1950" s="1" t="str">
        <f t="shared" si="3919"/>
        <v>0</v>
      </c>
      <c r="J1950" s="1" t="str">
        <f t="shared" ref="J1950:J1953" si="3920">"1"</f>
        <v>1</v>
      </c>
      <c r="K1950" s="1" t="str">
        <f t="shared" ref="K1950:P1950" si="3921">"0"</f>
        <v>0</v>
      </c>
      <c r="L1950" s="1" t="str">
        <f t="shared" si="3921"/>
        <v>0</v>
      </c>
      <c r="M1950" s="1" t="str">
        <f t="shared" si="3921"/>
        <v>0</v>
      </c>
      <c r="N1950" s="1" t="str">
        <f t="shared" si="3921"/>
        <v>0</v>
      </c>
      <c r="O1950" s="1" t="str">
        <f t="shared" si="3921"/>
        <v>0</v>
      </c>
      <c r="P1950" s="1" t="str">
        <f t="shared" si="3921"/>
        <v>0</v>
      </c>
      <c r="Q1950" s="1" t="str">
        <f t="shared" si="3865"/>
        <v>0.0070</v>
      </c>
      <c r="R1950" s="1" t="s">
        <v>29</v>
      </c>
      <c r="S1950" s="1">
        <v>-0.0014</v>
      </c>
      <c r="T1950" s="1" t="str">
        <f t="shared" si="3866"/>
        <v>0</v>
      </c>
      <c r="U1950" s="1" t="str">
        <f t="shared" si="3906"/>
        <v>0.0056</v>
      </c>
    </row>
    <row r="1951" s="1" customFormat="1" spans="1:21">
      <c r="A1951" s="1" t="str">
        <f>"4601992030476"</f>
        <v>4601992030476</v>
      </c>
      <c r="B1951" s="1" t="s">
        <v>1975</v>
      </c>
      <c r="C1951" s="1" t="s">
        <v>24</v>
      </c>
      <c r="D1951" s="1" t="str">
        <f t="shared" si="3863"/>
        <v>2021</v>
      </c>
      <c r="E1951" s="1" t="str">
        <f t="shared" si="3918"/>
        <v>12.09</v>
      </c>
      <c r="F1951" s="1" t="str">
        <f t="shared" ref="F1951:I1951" si="3922">"0"</f>
        <v>0</v>
      </c>
      <c r="G1951" s="1" t="str">
        <f t="shared" si="3922"/>
        <v>0</v>
      </c>
      <c r="H1951" s="1" t="str">
        <f t="shared" si="3922"/>
        <v>0</v>
      </c>
      <c r="I1951" s="1" t="str">
        <f t="shared" si="3922"/>
        <v>0</v>
      </c>
      <c r="J1951" s="1" t="str">
        <f t="shared" si="3920"/>
        <v>1</v>
      </c>
      <c r="K1951" s="1" t="str">
        <f t="shared" ref="K1951:P1951" si="3923">"0"</f>
        <v>0</v>
      </c>
      <c r="L1951" s="1" t="str">
        <f t="shared" si="3923"/>
        <v>0</v>
      </c>
      <c r="M1951" s="1" t="str">
        <f t="shared" si="3923"/>
        <v>0</v>
      </c>
      <c r="N1951" s="1" t="str">
        <f t="shared" si="3923"/>
        <v>0</v>
      </c>
      <c r="O1951" s="1" t="str">
        <f t="shared" si="3923"/>
        <v>0</v>
      </c>
      <c r="P1951" s="1" t="str">
        <f t="shared" si="3923"/>
        <v>0</v>
      </c>
      <c r="Q1951" s="1" t="str">
        <f t="shared" si="3865"/>
        <v>0.0070</v>
      </c>
      <c r="R1951" s="1" t="s">
        <v>29</v>
      </c>
      <c r="S1951" s="1">
        <v>-0.0014</v>
      </c>
      <c r="T1951" s="1" t="str">
        <f t="shared" si="3866"/>
        <v>0</v>
      </c>
      <c r="U1951" s="1" t="str">
        <f t="shared" si="3906"/>
        <v>0.0056</v>
      </c>
    </row>
    <row r="1952" s="1" customFormat="1" spans="1:21">
      <c r="A1952" s="1" t="str">
        <f>"4601992030388"</f>
        <v>4601992030388</v>
      </c>
      <c r="B1952" s="1" t="s">
        <v>1976</v>
      </c>
      <c r="C1952" s="1" t="s">
        <v>24</v>
      </c>
      <c r="D1952" s="1" t="str">
        <f t="shared" si="3863"/>
        <v>2021</v>
      </c>
      <c r="E1952" s="1" t="str">
        <f>"72.21"</f>
        <v>72.21</v>
      </c>
      <c r="F1952" s="1" t="str">
        <f t="shared" ref="F1952:I1952" si="3924">"0"</f>
        <v>0</v>
      </c>
      <c r="G1952" s="1" t="str">
        <f t="shared" si="3924"/>
        <v>0</v>
      </c>
      <c r="H1952" s="1" t="str">
        <f t="shared" si="3924"/>
        <v>0</v>
      </c>
      <c r="I1952" s="1" t="str">
        <f t="shared" si="3924"/>
        <v>0</v>
      </c>
      <c r="J1952" s="1" t="str">
        <f>"6"</f>
        <v>6</v>
      </c>
      <c r="K1952" s="1" t="str">
        <f t="shared" ref="K1952:P1952" si="3925">"0"</f>
        <v>0</v>
      </c>
      <c r="L1952" s="1" t="str">
        <f t="shared" si="3925"/>
        <v>0</v>
      </c>
      <c r="M1952" s="1" t="str">
        <f t="shared" si="3925"/>
        <v>0</v>
      </c>
      <c r="N1952" s="1" t="str">
        <f t="shared" si="3925"/>
        <v>0</v>
      </c>
      <c r="O1952" s="1" t="str">
        <f t="shared" si="3925"/>
        <v>0</v>
      </c>
      <c r="P1952" s="1" t="str">
        <f t="shared" si="3925"/>
        <v>0</v>
      </c>
      <c r="Q1952" s="1" t="str">
        <f t="shared" si="3865"/>
        <v>0.0070</v>
      </c>
      <c r="R1952" s="1" t="s">
        <v>29</v>
      </c>
      <c r="S1952" s="1">
        <v>-0.0014</v>
      </c>
      <c r="T1952" s="1" t="str">
        <f t="shared" si="3866"/>
        <v>0</v>
      </c>
      <c r="U1952" s="1" t="str">
        <f t="shared" si="3906"/>
        <v>0.0056</v>
      </c>
    </row>
    <row r="1953" s="1" customFormat="1" spans="1:21">
      <c r="A1953" s="1" t="str">
        <f>"4601992030466"</f>
        <v>4601992030466</v>
      </c>
      <c r="B1953" s="1" t="s">
        <v>1977</v>
      </c>
      <c r="C1953" s="1" t="s">
        <v>24</v>
      </c>
      <c r="D1953" s="1" t="str">
        <f t="shared" si="3863"/>
        <v>2021</v>
      </c>
      <c r="E1953" s="1" t="str">
        <f t="shared" si="3918"/>
        <v>12.09</v>
      </c>
      <c r="F1953" s="1" t="str">
        <f t="shared" ref="F1953:I1953" si="3926">"0"</f>
        <v>0</v>
      </c>
      <c r="G1953" s="1" t="str">
        <f t="shared" si="3926"/>
        <v>0</v>
      </c>
      <c r="H1953" s="1" t="str">
        <f t="shared" si="3926"/>
        <v>0</v>
      </c>
      <c r="I1953" s="1" t="str">
        <f t="shared" si="3926"/>
        <v>0</v>
      </c>
      <c r="J1953" s="1" t="str">
        <f t="shared" si="3920"/>
        <v>1</v>
      </c>
      <c r="K1953" s="1" t="str">
        <f t="shared" ref="K1953:P1953" si="3927">"0"</f>
        <v>0</v>
      </c>
      <c r="L1953" s="1" t="str">
        <f t="shared" si="3927"/>
        <v>0</v>
      </c>
      <c r="M1953" s="1" t="str">
        <f t="shared" si="3927"/>
        <v>0</v>
      </c>
      <c r="N1953" s="1" t="str">
        <f t="shared" si="3927"/>
        <v>0</v>
      </c>
      <c r="O1953" s="1" t="str">
        <f t="shared" si="3927"/>
        <v>0</v>
      </c>
      <c r="P1953" s="1" t="str">
        <f t="shared" si="3927"/>
        <v>0</v>
      </c>
      <c r="Q1953" s="1" t="str">
        <f t="shared" si="3865"/>
        <v>0.0070</v>
      </c>
      <c r="R1953" s="1" t="s">
        <v>29</v>
      </c>
      <c r="S1953" s="1">
        <v>-0.0014</v>
      </c>
      <c r="T1953" s="1" t="str">
        <f t="shared" si="3866"/>
        <v>0</v>
      </c>
      <c r="U1953" s="1" t="str">
        <f t="shared" si="3906"/>
        <v>0.0056</v>
      </c>
    </row>
    <row r="1954" s="1" customFormat="1" spans="1:21">
      <c r="A1954" s="1" t="str">
        <f>"4601992030550"</f>
        <v>4601992030550</v>
      </c>
      <c r="B1954" s="1" t="s">
        <v>1978</v>
      </c>
      <c r="C1954" s="1" t="s">
        <v>24</v>
      </c>
      <c r="D1954" s="1" t="str">
        <f t="shared" si="3863"/>
        <v>2021</v>
      </c>
      <c r="E1954" s="1" t="str">
        <f t="shared" ref="E1954:P1954" si="3928">"0"</f>
        <v>0</v>
      </c>
      <c r="F1954" s="1" t="str">
        <f t="shared" si="3928"/>
        <v>0</v>
      </c>
      <c r="G1954" s="1" t="str">
        <f t="shared" si="3928"/>
        <v>0</v>
      </c>
      <c r="H1954" s="1" t="str">
        <f t="shared" si="3928"/>
        <v>0</v>
      </c>
      <c r="I1954" s="1" t="str">
        <f t="shared" si="3928"/>
        <v>0</v>
      </c>
      <c r="J1954" s="1" t="str">
        <f t="shared" si="3928"/>
        <v>0</v>
      </c>
      <c r="K1954" s="1" t="str">
        <f t="shared" si="3928"/>
        <v>0</v>
      </c>
      <c r="L1954" s="1" t="str">
        <f t="shared" si="3928"/>
        <v>0</v>
      </c>
      <c r="M1954" s="1" t="str">
        <f t="shared" si="3928"/>
        <v>0</v>
      </c>
      <c r="N1954" s="1" t="str">
        <f t="shared" si="3928"/>
        <v>0</v>
      </c>
      <c r="O1954" s="1" t="str">
        <f t="shared" si="3928"/>
        <v>0</v>
      </c>
      <c r="P1954" s="1" t="str">
        <f t="shared" si="3928"/>
        <v>0</v>
      </c>
      <c r="Q1954" s="1" t="str">
        <f t="shared" si="3865"/>
        <v>0.0070</v>
      </c>
      <c r="R1954" s="1" t="s">
        <v>25</v>
      </c>
      <c r="T1954" s="1" t="str">
        <f t="shared" si="3866"/>
        <v>0</v>
      </c>
      <c r="U1954" s="1" t="str">
        <f t="shared" ref="U1954:U1956" si="3929">"0.0070"</f>
        <v>0.0070</v>
      </c>
    </row>
    <row r="1955" s="1" customFormat="1" spans="1:21">
      <c r="A1955" s="1" t="str">
        <f>"4601992030575"</f>
        <v>4601992030575</v>
      </c>
      <c r="B1955" s="1" t="s">
        <v>1979</v>
      </c>
      <c r="C1955" s="1" t="s">
        <v>24</v>
      </c>
      <c r="D1955" s="1" t="str">
        <f t="shared" si="3863"/>
        <v>2021</v>
      </c>
      <c r="E1955" s="1" t="str">
        <f t="shared" ref="E1955:P1955" si="3930">"0"</f>
        <v>0</v>
      </c>
      <c r="F1955" s="1" t="str">
        <f t="shared" si="3930"/>
        <v>0</v>
      </c>
      <c r="G1955" s="1" t="str">
        <f t="shared" si="3930"/>
        <v>0</v>
      </c>
      <c r="H1955" s="1" t="str">
        <f t="shared" si="3930"/>
        <v>0</v>
      </c>
      <c r="I1955" s="1" t="str">
        <f t="shared" si="3930"/>
        <v>0</v>
      </c>
      <c r="J1955" s="1" t="str">
        <f t="shared" si="3930"/>
        <v>0</v>
      </c>
      <c r="K1955" s="1" t="str">
        <f t="shared" si="3930"/>
        <v>0</v>
      </c>
      <c r="L1955" s="1" t="str">
        <f t="shared" si="3930"/>
        <v>0</v>
      </c>
      <c r="M1955" s="1" t="str">
        <f t="shared" si="3930"/>
        <v>0</v>
      </c>
      <c r="N1955" s="1" t="str">
        <f t="shared" si="3930"/>
        <v>0</v>
      </c>
      <c r="O1955" s="1" t="str">
        <f t="shared" si="3930"/>
        <v>0</v>
      </c>
      <c r="P1955" s="1" t="str">
        <f t="shared" si="3930"/>
        <v>0</v>
      </c>
      <c r="Q1955" s="1" t="str">
        <f t="shared" si="3865"/>
        <v>0.0070</v>
      </c>
      <c r="R1955" s="1" t="s">
        <v>25</v>
      </c>
      <c r="T1955" s="1" t="str">
        <f t="shared" si="3866"/>
        <v>0</v>
      </c>
      <c r="U1955" s="1" t="str">
        <f t="shared" si="3929"/>
        <v>0.0070</v>
      </c>
    </row>
    <row r="1956" s="1" customFormat="1" spans="1:21">
      <c r="A1956" s="1" t="str">
        <f>"4601992030576"</f>
        <v>4601992030576</v>
      </c>
      <c r="B1956" s="1" t="s">
        <v>1980</v>
      </c>
      <c r="C1956" s="1" t="s">
        <v>24</v>
      </c>
      <c r="D1956" s="1" t="str">
        <f t="shared" si="3863"/>
        <v>2021</v>
      </c>
      <c r="E1956" s="1" t="str">
        <f t="shared" ref="E1956:P1956" si="3931">"0"</f>
        <v>0</v>
      </c>
      <c r="F1956" s="1" t="str">
        <f t="shared" si="3931"/>
        <v>0</v>
      </c>
      <c r="G1956" s="1" t="str">
        <f t="shared" si="3931"/>
        <v>0</v>
      </c>
      <c r="H1956" s="1" t="str">
        <f t="shared" si="3931"/>
        <v>0</v>
      </c>
      <c r="I1956" s="1" t="str">
        <f t="shared" si="3931"/>
        <v>0</v>
      </c>
      <c r="J1956" s="1" t="str">
        <f t="shared" si="3931"/>
        <v>0</v>
      </c>
      <c r="K1956" s="1" t="str">
        <f t="shared" si="3931"/>
        <v>0</v>
      </c>
      <c r="L1956" s="1" t="str">
        <f t="shared" si="3931"/>
        <v>0</v>
      </c>
      <c r="M1956" s="1" t="str">
        <f t="shared" si="3931"/>
        <v>0</v>
      </c>
      <c r="N1956" s="1" t="str">
        <f t="shared" si="3931"/>
        <v>0</v>
      </c>
      <c r="O1956" s="1" t="str">
        <f t="shared" si="3931"/>
        <v>0</v>
      </c>
      <c r="P1956" s="1" t="str">
        <f t="shared" si="3931"/>
        <v>0</v>
      </c>
      <c r="Q1956" s="1" t="str">
        <f t="shared" si="3865"/>
        <v>0.0070</v>
      </c>
      <c r="R1956" s="1" t="s">
        <v>25</v>
      </c>
      <c r="T1956" s="1" t="str">
        <f t="shared" si="3866"/>
        <v>0</v>
      </c>
      <c r="U1956" s="1" t="str">
        <f t="shared" si="3929"/>
        <v>0.0070</v>
      </c>
    </row>
    <row r="1957" s="1" customFormat="1" spans="1:21">
      <c r="A1957" s="1" t="str">
        <f>"4601992030526"</f>
        <v>4601992030526</v>
      </c>
      <c r="B1957" s="1" t="s">
        <v>1981</v>
      </c>
      <c r="C1957" s="1" t="s">
        <v>24</v>
      </c>
      <c r="D1957" s="1" t="str">
        <f t="shared" si="3863"/>
        <v>2021</v>
      </c>
      <c r="E1957" s="1" t="str">
        <f>"24.18"</f>
        <v>24.18</v>
      </c>
      <c r="F1957" s="1" t="str">
        <f t="shared" ref="F1957:I1957" si="3932">"0"</f>
        <v>0</v>
      </c>
      <c r="G1957" s="1" t="str">
        <f t="shared" si="3932"/>
        <v>0</v>
      </c>
      <c r="H1957" s="1" t="str">
        <f t="shared" si="3932"/>
        <v>0</v>
      </c>
      <c r="I1957" s="1" t="str">
        <f t="shared" si="3932"/>
        <v>0</v>
      </c>
      <c r="J1957" s="1" t="str">
        <f>"2"</f>
        <v>2</v>
      </c>
      <c r="K1957" s="1" t="str">
        <f t="shared" ref="K1957:P1957" si="3933">"0"</f>
        <v>0</v>
      </c>
      <c r="L1957" s="1" t="str">
        <f t="shared" si="3933"/>
        <v>0</v>
      </c>
      <c r="M1957" s="1" t="str">
        <f t="shared" si="3933"/>
        <v>0</v>
      </c>
      <c r="N1957" s="1" t="str">
        <f t="shared" si="3933"/>
        <v>0</v>
      </c>
      <c r="O1957" s="1" t="str">
        <f t="shared" si="3933"/>
        <v>0</v>
      </c>
      <c r="P1957" s="1" t="str">
        <f t="shared" si="3933"/>
        <v>0</v>
      </c>
      <c r="Q1957" s="1" t="str">
        <f t="shared" si="3865"/>
        <v>0.0070</v>
      </c>
      <c r="R1957" s="1" t="s">
        <v>29</v>
      </c>
      <c r="S1957" s="1">
        <v>-0.0014</v>
      </c>
      <c r="T1957" s="1" t="str">
        <f t="shared" si="3866"/>
        <v>0</v>
      </c>
      <c r="U1957" s="1" t="str">
        <f>"0.0056"</f>
        <v>0.0056</v>
      </c>
    </row>
    <row r="1958" s="1" customFormat="1" spans="1:21">
      <c r="A1958" s="1" t="str">
        <f>"4601992030571"</f>
        <v>4601992030571</v>
      </c>
      <c r="B1958" s="1" t="s">
        <v>1982</v>
      </c>
      <c r="C1958" s="1" t="s">
        <v>24</v>
      </c>
      <c r="D1958" s="1" t="str">
        <f t="shared" si="3863"/>
        <v>2021</v>
      </c>
      <c r="E1958" s="1" t="str">
        <f t="shared" ref="E1958:G1958" si="3934">"0"</f>
        <v>0</v>
      </c>
      <c r="F1958" s="1" t="str">
        <f t="shared" si="3934"/>
        <v>0</v>
      </c>
      <c r="G1958" s="1" t="str">
        <f t="shared" si="3934"/>
        <v>0</v>
      </c>
      <c r="H1958" s="1" t="str">
        <f>"12.09"</f>
        <v>12.09</v>
      </c>
      <c r="I1958" s="1" t="str">
        <f t="shared" ref="I1958:P1958" si="3935">"0"</f>
        <v>0</v>
      </c>
      <c r="J1958" s="1" t="str">
        <f>"1"</f>
        <v>1</v>
      </c>
      <c r="K1958" s="1" t="str">
        <f t="shared" si="3935"/>
        <v>0</v>
      </c>
      <c r="L1958" s="1" t="str">
        <f t="shared" si="3935"/>
        <v>0</v>
      </c>
      <c r="M1958" s="1" t="str">
        <f t="shared" si="3935"/>
        <v>0</v>
      </c>
      <c r="N1958" s="1" t="str">
        <f t="shared" si="3935"/>
        <v>0</v>
      </c>
      <c r="O1958" s="1" t="str">
        <f t="shared" si="3935"/>
        <v>0</v>
      </c>
      <c r="P1958" s="1" t="str">
        <f t="shared" si="3935"/>
        <v>0</v>
      </c>
      <c r="Q1958" s="1" t="str">
        <f t="shared" si="3865"/>
        <v>0.0070</v>
      </c>
      <c r="R1958" s="1" t="s">
        <v>25</v>
      </c>
      <c r="T1958" s="1" t="str">
        <f t="shared" si="3866"/>
        <v>0</v>
      </c>
      <c r="U1958" s="1" t="str">
        <f t="shared" ref="U1958:U1962" si="3936">"0.0070"</f>
        <v>0.0070</v>
      </c>
    </row>
    <row r="1959" s="1" customFormat="1" spans="1:21">
      <c r="A1959" s="1" t="str">
        <f>"4601992030627"</f>
        <v>4601992030627</v>
      </c>
      <c r="B1959" s="1" t="s">
        <v>1983</v>
      </c>
      <c r="C1959" s="1" t="s">
        <v>24</v>
      </c>
      <c r="D1959" s="1" t="str">
        <f t="shared" si="3863"/>
        <v>2021</v>
      </c>
      <c r="E1959" s="1" t="str">
        <f t="shared" ref="E1959:P1959" si="3937">"0"</f>
        <v>0</v>
      </c>
      <c r="F1959" s="1" t="str">
        <f t="shared" si="3937"/>
        <v>0</v>
      </c>
      <c r="G1959" s="1" t="str">
        <f t="shared" si="3937"/>
        <v>0</v>
      </c>
      <c r="H1959" s="1" t="str">
        <f t="shared" si="3937"/>
        <v>0</v>
      </c>
      <c r="I1959" s="1" t="str">
        <f t="shared" si="3937"/>
        <v>0</v>
      </c>
      <c r="J1959" s="1" t="str">
        <f t="shared" si="3937"/>
        <v>0</v>
      </c>
      <c r="K1959" s="1" t="str">
        <f t="shared" si="3937"/>
        <v>0</v>
      </c>
      <c r="L1959" s="1" t="str">
        <f t="shared" si="3937"/>
        <v>0</v>
      </c>
      <c r="M1959" s="1" t="str">
        <f t="shared" si="3937"/>
        <v>0</v>
      </c>
      <c r="N1959" s="1" t="str">
        <f t="shared" si="3937"/>
        <v>0</v>
      </c>
      <c r="O1959" s="1" t="str">
        <f t="shared" si="3937"/>
        <v>0</v>
      </c>
      <c r="P1959" s="1" t="str">
        <f t="shared" si="3937"/>
        <v>0</v>
      </c>
      <c r="Q1959" s="1" t="str">
        <f t="shared" si="3865"/>
        <v>0.0070</v>
      </c>
      <c r="R1959" s="1" t="s">
        <v>25</v>
      </c>
      <c r="T1959" s="1" t="str">
        <f t="shared" si="3866"/>
        <v>0</v>
      </c>
      <c r="U1959" s="1" t="str">
        <f t="shared" si="3936"/>
        <v>0.0070</v>
      </c>
    </row>
    <row r="1960" s="1" customFormat="1" spans="1:21">
      <c r="A1960" s="1" t="str">
        <f>"4601992030593"</f>
        <v>4601992030593</v>
      </c>
      <c r="B1960" s="1" t="s">
        <v>1984</v>
      </c>
      <c r="C1960" s="1" t="s">
        <v>24</v>
      </c>
      <c r="D1960" s="1" t="str">
        <f t="shared" si="3863"/>
        <v>2021</v>
      </c>
      <c r="E1960" s="1" t="str">
        <f t="shared" ref="E1960:G1960" si="3938">"0"</f>
        <v>0</v>
      </c>
      <c r="F1960" s="1" t="str">
        <f t="shared" si="3938"/>
        <v>0</v>
      </c>
      <c r="G1960" s="1" t="str">
        <f t="shared" si="3938"/>
        <v>0</v>
      </c>
      <c r="H1960" s="1" t="str">
        <f>"24.18"</f>
        <v>24.18</v>
      </c>
      <c r="I1960" s="1" t="str">
        <f t="shared" ref="I1960:P1960" si="3939">"0"</f>
        <v>0</v>
      </c>
      <c r="J1960" s="1" t="str">
        <f t="shared" si="3939"/>
        <v>0</v>
      </c>
      <c r="K1960" s="1" t="str">
        <f t="shared" si="3939"/>
        <v>0</v>
      </c>
      <c r="L1960" s="1" t="str">
        <f t="shared" si="3939"/>
        <v>0</v>
      </c>
      <c r="M1960" s="1" t="str">
        <f t="shared" si="3939"/>
        <v>0</v>
      </c>
      <c r="N1960" s="1" t="str">
        <f t="shared" si="3939"/>
        <v>0</v>
      </c>
      <c r="O1960" s="1" t="str">
        <f t="shared" si="3939"/>
        <v>0</v>
      </c>
      <c r="P1960" s="1" t="str">
        <f t="shared" si="3939"/>
        <v>0</v>
      </c>
      <c r="Q1960" s="1" t="str">
        <f t="shared" si="3865"/>
        <v>0.0070</v>
      </c>
      <c r="R1960" s="1" t="s">
        <v>25</v>
      </c>
      <c r="T1960" s="1" t="str">
        <f t="shared" si="3866"/>
        <v>0</v>
      </c>
      <c r="U1960" s="1" t="str">
        <f t="shared" si="3936"/>
        <v>0.0070</v>
      </c>
    </row>
    <row r="1961" s="1" customFormat="1" spans="1:21">
      <c r="A1961" s="1" t="str">
        <f>"4601992030625"</f>
        <v>4601992030625</v>
      </c>
      <c r="B1961" s="1" t="s">
        <v>1985</v>
      </c>
      <c r="C1961" s="1" t="s">
        <v>24</v>
      </c>
      <c r="D1961" s="1" t="str">
        <f t="shared" si="3863"/>
        <v>2021</v>
      </c>
      <c r="E1961" s="1" t="str">
        <f t="shared" ref="E1961:P1961" si="3940">"0"</f>
        <v>0</v>
      </c>
      <c r="F1961" s="1" t="str">
        <f t="shared" si="3940"/>
        <v>0</v>
      </c>
      <c r="G1961" s="1" t="str">
        <f t="shared" si="3940"/>
        <v>0</v>
      </c>
      <c r="H1961" s="1" t="str">
        <f t="shared" si="3940"/>
        <v>0</v>
      </c>
      <c r="I1961" s="1" t="str">
        <f t="shared" si="3940"/>
        <v>0</v>
      </c>
      <c r="J1961" s="1" t="str">
        <f t="shared" si="3940"/>
        <v>0</v>
      </c>
      <c r="K1961" s="1" t="str">
        <f t="shared" si="3940"/>
        <v>0</v>
      </c>
      <c r="L1961" s="1" t="str">
        <f t="shared" si="3940"/>
        <v>0</v>
      </c>
      <c r="M1961" s="1" t="str">
        <f t="shared" si="3940"/>
        <v>0</v>
      </c>
      <c r="N1961" s="1" t="str">
        <f t="shared" si="3940"/>
        <v>0</v>
      </c>
      <c r="O1961" s="1" t="str">
        <f t="shared" si="3940"/>
        <v>0</v>
      </c>
      <c r="P1961" s="1" t="str">
        <f t="shared" si="3940"/>
        <v>0</v>
      </c>
      <c r="Q1961" s="1" t="str">
        <f t="shared" si="3865"/>
        <v>0.0070</v>
      </c>
      <c r="R1961" s="1" t="s">
        <v>25</v>
      </c>
      <c r="T1961" s="1" t="str">
        <f t="shared" si="3866"/>
        <v>0</v>
      </c>
      <c r="U1961" s="1" t="str">
        <f t="shared" si="3936"/>
        <v>0.0070</v>
      </c>
    </row>
    <row r="1962" s="1" customFormat="1" spans="1:21">
      <c r="A1962" s="1" t="str">
        <f>"4601992030610"</f>
        <v>4601992030610</v>
      </c>
      <c r="B1962" s="1" t="s">
        <v>1986</v>
      </c>
      <c r="C1962" s="1" t="s">
        <v>24</v>
      </c>
      <c r="D1962" s="1" t="str">
        <f t="shared" si="3863"/>
        <v>2021</v>
      </c>
      <c r="E1962" s="1" t="str">
        <f>"24.18"</f>
        <v>24.18</v>
      </c>
      <c r="F1962" s="1" t="str">
        <f t="shared" ref="F1962:I1962" si="3941">"0"</f>
        <v>0</v>
      </c>
      <c r="G1962" s="1" t="str">
        <f t="shared" si="3941"/>
        <v>0</v>
      </c>
      <c r="H1962" s="1" t="str">
        <f t="shared" si="3941"/>
        <v>0</v>
      </c>
      <c r="I1962" s="1" t="str">
        <f t="shared" si="3941"/>
        <v>0</v>
      </c>
      <c r="J1962" s="1" t="str">
        <f>"2"</f>
        <v>2</v>
      </c>
      <c r="K1962" s="1" t="str">
        <f t="shared" ref="K1962:P1962" si="3942">"0"</f>
        <v>0</v>
      </c>
      <c r="L1962" s="1" t="str">
        <f t="shared" si="3942"/>
        <v>0</v>
      </c>
      <c r="M1962" s="1" t="str">
        <f t="shared" si="3942"/>
        <v>0</v>
      </c>
      <c r="N1962" s="1" t="str">
        <f t="shared" si="3942"/>
        <v>0</v>
      </c>
      <c r="O1962" s="1" t="str">
        <f t="shared" si="3942"/>
        <v>0</v>
      </c>
      <c r="P1962" s="1" t="str">
        <f t="shared" si="3942"/>
        <v>0</v>
      </c>
      <c r="Q1962" s="1" t="str">
        <f t="shared" si="3865"/>
        <v>0.0070</v>
      </c>
      <c r="R1962" s="1" t="s">
        <v>25</v>
      </c>
      <c r="T1962" s="1" t="str">
        <f t="shared" si="3866"/>
        <v>0</v>
      </c>
      <c r="U1962" s="1" t="str">
        <f t="shared" si="3936"/>
        <v>0.0070</v>
      </c>
    </row>
    <row r="1963" s="1" customFormat="1" spans="1:21">
      <c r="A1963" s="1" t="str">
        <f>"4601992030628"</f>
        <v>4601992030628</v>
      </c>
      <c r="B1963" s="1" t="s">
        <v>1987</v>
      </c>
      <c r="C1963" s="1" t="s">
        <v>24</v>
      </c>
      <c r="D1963" s="1" t="str">
        <f t="shared" si="3863"/>
        <v>2021</v>
      </c>
      <c r="E1963" s="1" t="str">
        <f>"12.09"</f>
        <v>12.09</v>
      </c>
      <c r="F1963" s="1" t="str">
        <f t="shared" ref="F1963:I1963" si="3943">"0"</f>
        <v>0</v>
      </c>
      <c r="G1963" s="1" t="str">
        <f t="shared" si="3943"/>
        <v>0</v>
      </c>
      <c r="H1963" s="1" t="str">
        <f t="shared" si="3943"/>
        <v>0</v>
      </c>
      <c r="I1963" s="1" t="str">
        <f t="shared" si="3943"/>
        <v>0</v>
      </c>
      <c r="J1963" s="1" t="str">
        <f>"1"</f>
        <v>1</v>
      </c>
      <c r="K1963" s="1" t="str">
        <f t="shared" ref="K1963:P1963" si="3944">"0"</f>
        <v>0</v>
      </c>
      <c r="L1963" s="1" t="str">
        <f t="shared" si="3944"/>
        <v>0</v>
      </c>
      <c r="M1963" s="1" t="str">
        <f t="shared" si="3944"/>
        <v>0</v>
      </c>
      <c r="N1963" s="1" t="str">
        <f t="shared" si="3944"/>
        <v>0</v>
      </c>
      <c r="O1963" s="1" t="str">
        <f t="shared" si="3944"/>
        <v>0</v>
      </c>
      <c r="P1963" s="1" t="str">
        <f t="shared" si="3944"/>
        <v>0</v>
      </c>
      <c r="Q1963" s="1" t="str">
        <f t="shared" si="3865"/>
        <v>0.0070</v>
      </c>
      <c r="R1963" s="1" t="s">
        <v>29</v>
      </c>
      <c r="S1963" s="1">
        <v>-0.0014</v>
      </c>
      <c r="T1963" s="1" t="str">
        <f t="shared" si="3866"/>
        <v>0</v>
      </c>
      <c r="U1963" s="1" t="str">
        <f t="shared" ref="U1963:U1969" si="3945">"0.0056"</f>
        <v>0.0056</v>
      </c>
    </row>
    <row r="1964" s="1" customFormat="1" spans="1:21">
      <c r="A1964" s="1" t="str">
        <f>"4601992030638"</f>
        <v>4601992030638</v>
      </c>
      <c r="B1964" s="1" t="s">
        <v>1988</v>
      </c>
      <c r="C1964" s="1" t="s">
        <v>24</v>
      </c>
      <c r="D1964" s="1" t="str">
        <f t="shared" si="3863"/>
        <v>2021</v>
      </c>
      <c r="E1964" s="1" t="str">
        <f>"96.50"</f>
        <v>96.50</v>
      </c>
      <c r="F1964" s="1" t="str">
        <f t="shared" ref="F1964:I1964" si="3946">"0"</f>
        <v>0</v>
      </c>
      <c r="G1964" s="1" t="str">
        <f t="shared" si="3946"/>
        <v>0</v>
      </c>
      <c r="H1964" s="1" t="str">
        <f t="shared" si="3946"/>
        <v>0</v>
      </c>
      <c r="I1964" s="1" t="str">
        <f t="shared" si="3946"/>
        <v>0</v>
      </c>
      <c r="J1964" s="1" t="str">
        <f>"10"</f>
        <v>10</v>
      </c>
      <c r="K1964" s="1" t="str">
        <f t="shared" ref="K1964:P1964" si="3947">"0"</f>
        <v>0</v>
      </c>
      <c r="L1964" s="1" t="str">
        <f t="shared" si="3947"/>
        <v>0</v>
      </c>
      <c r="M1964" s="1" t="str">
        <f t="shared" si="3947"/>
        <v>0</v>
      </c>
      <c r="N1964" s="1" t="str">
        <f t="shared" si="3947"/>
        <v>0</v>
      </c>
      <c r="O1964" s="1" t="str">
        <f t="shared" si="3947"/>
        <v>0</v>
      </c>
      <c r="P1964" s="1" t="str">
        <f t="shared" si="3947"/>
        <v>0</v>
      </c>
      <c r="Q1964" s="1" t="str">
        <f t="shared" si="3865"/>
        <v>0.0070</v>
      </c>
      <c r="R1964" s="1" t="s">
        <v>29</v>
      </c>
      <c r="S1964" s="1">
        <v>-0.0014</v>
      </c>
      <c r="T1964" s="1" t="str">
        <f t="shared" si="3866"/>
        <v>0</v>
      </c>
      <c r="U1964" s="1" t="str">
        <f t="shared" si="3945"/>
        <v>0.0056</v>
      </c>
    </row>
    <row r="1965" s="1" customFormat="1" spans="1:21">
      <c r="A1965" s="1" t="str">
        <f>"4601992030637"</f>
        <v>4601992030637</v>
      </c>
      <c r="B1965" s="1" t="s">
        <v>1989</v>
      </c>
      <c r="C1965" s="1" t="s">
        <v>24</v>
      </c>
      <c r="D1965" s="1" t="str">
        <f t="shared" si="3863"/>
        <v>2021</v>
      </c>
      <c r="E1965" s="1" t="str">
        <f>"60.12"</f>
        <v>60.12</v>
      </c>
      <c r="F1965" s="1" t="str">
        <f t="shared" ref="F1965:I1965" si="3948">"0"</f>
        <v>0</v>
      </c>
      <c r="G1965" s="1" t="str">
        <f t="shared" si="3948"/>
        <v>0</v>
      </c>
      <c r="H1965" s="1" t="str">
        <f t="shared" si="3948"/>
        <v>0</v>
      </c>
      <c r="I1965" s="1" t="str">
        <f t="shared" si="3948"/>
        <v>0</v>
      </c>
      <c r="J1965" s="1" t="str">
        <f>"13"</f>
        <v>13</v>
      </c>
      <c r="K1965" s="1" t="str">
        <f t="shared" ref="K1965:P1965" si="3949">"0"</f>
        <v>0</v>
      </c>
      <c r="L1965" s="1" t="str">
        <f t="shared" si="3949"/>
        <v>0</v>
      </c>
      <c r="M1965" s="1" t="str">
        <f t="shared" si="3949"/>
        <v>0</v>
      </c>
      <c r="N1965" s="1" t="str">
        <f t="shared" si="3949"/>
        <v>0</v>
      </c>
      <c r="O1965" s="1" t="str">
        <f t="shared" si="3949"/>
        <v>0</v>
      </c>
      <c r="P1965" s="1" t="str">
        <f t="shared" si="3949"/>
        <v>0</v>
      </c>
      <c r="Q1965" s="1" t="str">
        <f t="shared" si="3865"/>
        <v>0.0070</v>
      </c>
      <c r="R1965" s="1" t="s">
        <v>29</v>
      </c>
      <c r="S1965" s="1">
        <v>-0.0014</v>
      </c>
      <c r="T1965" s="1" t="str">
        <f t="shared" si="3866"/>
        <v>0</v>
      </c>
      <c r="U1965" s="1" t="str">
        <f t="shared" si="3945"/>
        <v>0.0056</v>
      </c>
    </row>
    <row r="1966" s="1" customFormat="1" spans="1:21">
      <c r="A1966" s="1" t="str">
        <f>"4601992030649"</f>
        <v>4601992030649</v>
      </c>
      <c r="B1966" s="1" t="s">
        <v>1990</v>
      </c>
      <c r="C1966" s="1" t="s">
        <v>24</v>
      </c>
      <c r="D1966" s="1" t="str">
        <f t="shared" si="3863"/>
        <v>2021</v>
      </c>
      <c r="E1966" s="1" t="str">
        <f>"580.32"</f>
        <v>580.32</v>
      </c>
      <c r="F1966" s="1" t="str">
        <f t="shared" ref="F1966:I1966" si="3950">"0"</f>
        <v>0</v>
      </c>
      <c r="G1966" s="1" t="str">
        <f t="shared" si="3950"/>
        <v>0</v>
      </c>
      <c r="H1966" s="1" t="str">
        <f t="shared" si="3950"/>
        <v>0</v>
      </c>
      <c r="I1966" s="1" t="str">
        <f t="shared" si="3950"/>
        <v>0</v>
      </c>
      <c r="J1966" s="1" t="str">
        <f>"46"</f>
        <v>46</v>
      </c>
      <c r="K1966" s="1" t="str">
        <f t="shared" ref="K1966:P1966" si="3951">"0"</f>
        <v>0</v>
      </c>
      <c r="L1966" s="1" t="str">
        <f t="shared" si="3951"/>
        <v>0</v>
      </c>
      <c r="M1966" s="1" t="str">
        <f t="shared" si="3951"/>
        <v>0</v>
      </c>
      <c r="N1966" s="1" t="str">
        <f t="shared" si="3951"/>
        <v>0</v>
      </c>
      <c r="O1966" s="1" t="str">
        <f t="shared" si="3951"/>
        <v>0</v>
      </c>
      <c r="P1966" s="1" t="str">
        <f t="shared" si="3951"/>
        <v>0</v>
      </c>
      <c r="Q1966" s="1" t="str">
        <f t="shared" si="3865"/>
        <v>0.0070</v>
      </c>
      <c r="R1966" s="1" t="s">
        <v>29</v>
      </c>
      <c r="S1966" s="1">
        <v>-0.0014</v>
      </c>
      <c r="T1966" s="1" t="str">
        <f t="shared" si="3866"/>
        <v>0</v>
      </c>
      <c r="U1966" s="1" t="str">
        <f t="shared" si="3945"/>
        <v>0.0056</v>
      </c>
    </row>
    <row r="1967" s="1" customFormat="1" spans="1:21">
      <c r="A1967" s="1" t="str">
        <f>"4601992030651"</f>
        <v>4601992030651</v>
      </c>
      <c r="B1967" s="1" t="s">
        <v>1991</v>
      </c>
      <c r="C1967" s="1" t="s">
        <v>24</v>
      </c>
      <c r="D1967" s="1" t="str">
        <f t="shared" si="3863"/>
        <v>2021</v>
      </c>
      <c r="E1967" s="1" t="str">
        <f>"35.94"</f>
        <v>35.94</v>
      </c>
      <c r="F1967" s="1" t="str">
        <f t="shared" ref="F1967:I1967" si="3952">"0"</f>
        <v>0</v>
      </c>
      <c r="G1967" s="1" t="str">
        <f t="shared" si="3952"/>
        <v>0</v>
      </c>
      <c r="H1967" s="1" t="str">
        <f t="shared" si="3952"/>
        <v>0</v>
      </c>
      <c r="I1967" s="1" t="str">
        <f t="shared" si="3952"/>
        <v>0</v>
      </c>
      <c r="J1967" s="1" t="str">
        <f>"4"</f>
        <v>4</v>
      </c>
      <c r="K1967" s="1" t="str">
        <f t="shared" ref="K1967:P1967" si="3953">"0"</f>
        <v>0</v>
      </c>
      <c r="L1967" s="1" t="str">
        <f t="shared" si="3953"/>
        <v>0</v>
      </c>
      <c r="M1967" s="1" t="str">
        <f t="shared" si="3953"/>
        <v>0</v>
      </c>
      <c r="N1967" s="1" t="str">
        <f t="shared" si="3953"/>
        <v>0</v>
      </c>
      <c r="O1967" s="1" t="str">
        <f t="shared" si="3953"/>
        <v>0</v>
      </c>
      <c r="P1967" s="1" t="str">
        <f t="shared" si="3953"/>
        <v>0</v>
      </c>
      <c r="Q1967" s="1" t="str">
        <f t="shared" si="3865"/>
        <v>0.0070</v>
      </c>
      <c r="R1967" s="1" t="s">
        <v>29</v>
      </c>
      <c r="S1967" s="1">
        <v>-0.0014</v>
      </c>
      <c r="T1967" s="1" t="str">
        <f t="shared" si="3866"/>
        <v>0</v>
      </c>
      <c r="U1967" s="1" t="str">
        <f t="shared" si="3945"/>
        <v>0.0056</v>
      </c>
    </row>
    <row r="1968" s="1" customFormat="1" spans="1:21">
      <c r="A1968" s="1" t="str">
        <f>"4601992030680"</f>
        <v>4601992030680</v>
      </c>
      <c r="B1968" s="1" t="s">
        <v>1992</v>
      </c>
      <c r="C1968" s="1" t="s">
        <v>24</v>
      </c>
      <c r="D1968" s="1" t="str">
        <f t="shared" si="3863"/>
        <v>2021</v>
      </c>
      <c r="E1968" s="1" t="str">
        <f>"24.18"</f>
        <v>24.18</v>
      </c>
      <c r="F1968" s="1" t="str">
        <f t="shared" ref="F1968:I1968" si="3954">"0"</f>
        <v>0</v>
      </c>
      <c r="G1968" s="1" t="str">
        <f t="shared" si="3954"/>
        <v>0</v>
      </c>
      <c r="H1968" s="1" t="str">
        <f t="shared" si="3954"/>
        <v>0</v>
      </c>
      <c r="I1968" s="1" t="str">
        <f t="shared" si="3954"/>
        <v>0</v>
      </c>
      <c r="J1968" s="1" t="str">
        <f>"2"</f>
        <v>2</v>
      </c>
      <c r="K1968" s="1" t="str">
        <f t="shared" ref="K1968:P1968" si="3955">"0"</f>
        <v>0</v>
      </c>
      <c r="L1968" s="1" t="str">
        <f t="shared" si="3955"/>
        <v>0</v>
      </c>
      <c r="M1968" s="1" t="str">
        <f t="shared" si="3955"/>
        <v>0</v>
      </c>
      <c r="N1968" s="1" t="str">
        <f t="shared" si="3955"/>
        <v>0</v>
      </c>
      <c r="O1968" s="1" t="str">
        <f t="shared" si="3955"/>
        <v>0</v>
      </c>
      <c r="P1968" s="1" t="str">
        <f t="shared" si="3955"/>
        <v>0</v>
      </c>
      <c r="Q1968" s="1" t="str">
        <f t="shared" si="3865"/>
        <v>0.0070</v>
      </c>
      <c r="R1968" s="1" t="s">
        <v>29</v>
      </c>
      <c r="S1968" s="1">
        <v>-0.0014</v>
      </c>
      <c r="T1968" s="1" t="str">
        <f t="shared" si="3866"/>
        <v>0</v>
      </c>
      <c r="U1968" s="1" t="str">
        <f t="shared" si="3945"/>
        <v>0.0056</v>
      </c>
    </row>
    <row r="1969" s="1" customFormat="1" spans="1:21">
      <c r="A1969" s="1" t="str">
        <f>"4601992030698"</f>
        <v>4601992030698</v>
      </c>
      <c r="B1969" s="1" t="s">
        <v>1993</v>
      </c>
      <c r="C1969" s="1" t="s">
        <v>24</v>
      </c>
      <c r="D1969" s="1" t="str">
        <f t="shared" si="3863"/>
        <v>2021</v>
      </c>
      <c r="E1969" s="1" t="str">
        <f>"11.98"</f>
        <v>11.98</v>
      </c>
      <c r="F1969" s="1" t="str">
        <f t="shared" ref="F1969:I1969" si="3956">"0"</f>
        <v>0</v>
      </c>
      <c r="G1969" s="1" t="str">
        <f t="shared" si="3956"/>
        <v>0</v>
      </c>
      <c r="H1969" s="1" t="str">
        <f t="shared" si="3956"/>
        <v>0</v>
      </c>
      <c r="I1969" s="1" t="str">
        <f t="shared" si="3956"/>
        <v>0</v>
      </c>
      <c r="J1969" s="1" t="str">
        <f>"1"</f>
        <v>1</v>
      </c>
      <c r="K1969" s="1" t="str">
        <f t="shared" ref="K1969:P1969" si="3957">"0"</f>
        <v>0</v>
      </c>
      <c r="L1969" s="1" t="str">
        <f t="shared" si="3957"/>
        <v>0</v>
      </c>
      <c r="M1969" s="1" t="str">
        <f t="shared" si="3957"/>
        <v>0</v>
      </c>
      <c r="N1969" s="1" t="str">
        <f t="shared" si="3957"/>
        <v>0</v>
      </c>
      <c r="O1969" s="1" t="str">
        <f t="shared" si="3957"/>
        <v>0</v>
      </c>
      <c r="P1969" s="1" t="str">
        <f t="shared" si="3957"/>
        <v>0</v>
      </c>
      <c r="Q1969" s="1" t="str">
        <f t="shared" si="3865"/>
        <v>0.0070</v>
      </c>
      <c r="R1969" s="1" t="s">
        <v>29</v>
      </c>
      <c r="S1969" s="1">
        <v>-0.0014</v>
      </c>
      <c r="T1969" s="1" t="str">
        <f t="shared" si="3866"/>
        <v>0</v>
      </c>
      <c r="U1969" s="1" t="str">
        <f t="shared" si="3945"/>
        <v>0.0056</v>
      </c>
    </row>
    <row r="1970" s="1" customFormat="1" spans="1:21">
      <c r="A1970" s="1" t="str">
        <f>"4601992030767"</f>
        <v>4601992030767</v>
      </c>
      <c r="B1970" s="1" t="s">
        <v>1994</v>
      </c>
      <c r="C1970" s="1" t="s">
        <v>24</v>
      </c>
      <c r="D1970" s="1" t="str">
        <f t="shared" si="3863"/>
        <v>2021</v>
      </c>
      <c r="E1970" s="1" t="str">
        <f t="shared" ref="E1970:P1970" si="3958">"0"</f>
        <v>0</v>
      </c>
      <c r="F1970" s="1" t="str">
        <f t="shared" si="3958"/>
        <v>0</v>
      </c>
      <c r="G1970" s="1" t="str">
        <f t="shared" si="3958"/>
        <v>0</v>
      </c>
      <c r="H1970" s="1" t="str">
        <f t="shared" si="3958"/>
        <v>0</v>
      </c>
      <c r="I1970" s="1" t="str">
        <f t="shared" si="3958"/>
        <v>0</v>
      </c>
      <c r="J1970" s="1" t="str">
        <f t="shared" si="3958"/>
        <v>0</v>
      </c>
      <c r="K1970" s="1" t="str">
        <f t="shared" si="3958"/>
        <v>0</v>
      </c>
      <c r="L1970" s="1" t="str">
        <f t="shared" si="3958"/>
        <v>0</v>
      </c>
      <c r="M1970" s="1" t="str">
        <f t="shared" si="3958"/>
        <v>0</v>
      </c>
      <c r="N1970" s="1" t="str">
        <f t="shared" si="3958"/>
        <v>0</v>
      </c>
      <c r="O1970" s="1" t="str">
        <f t="shared" si="3958"/>
        <v>0</v>
      </c>
      <c r="P1970" s="1" t="str">
        <f t="shared" si="3958"/>
        <v>0</v>
      </c>
      <c r="Q1970" s="1" t="str">
        <f t="shared" si="3865"/>
        <v>0.0070</v>
      </c>
      <c r="R1970" s="1" t="s">
        <v>25</v>
      </c>
      <c r="T1970" s="1" t="str">
        <f t="shared" si="3866"/>
        <v>0</v>
      </c>
      <c r="U1970" s="1" t="str">
        <f t="shared" ref="U1970:U1975" si="3959">"0.0070"</f>
        <v>0.0070</v>
      </c>
    </row>
    <row r="1971" s="1" customFormat="1" spans="1:21">
      <c r="A1971" s="1" t="str">
        <f>"4601992030710"</f>
        <v>4601992030710</v>
      </c>
      <c r="B1971" s="1" t="s">
        <v>1995</v>
      </c>
      <c r="C1971" s="1" t="s">
        <v>24</v>
      </c>
      <c r="D1971" s="1" t="str">
        <f t="shared" si="3863"/>
        <v>2021</v>
      </c>
      <c r="E1971" s="1" t="str">
        <f>"24.18"</f>
        <v>24.18</v>
      </c>
      <c r="F1971" s="1" t="str">
        <f t="shared" ref="F1971:I1971" si="3960">"0"</f>
        <v>0</v>
      </c>
      <c r="G1971" s="1" t="str">
        <f t="shared" si="3960"/>
        <v>0</v>
      </c>
      <c r="H1971" s="1" t="str">
        <f t="shared" si="3960"/>
        <v>0</v>
      </c>
      <c r="I1971" s="1" t="str">
        <f t="shared" si="3960"/>
        <v>0</v>
      </c>
      <c r="J1971" s="1" t="str">
        <f>"2"</f>
        <v>2</v>
      </c>
      <c r="K1971" s="1" t="str">
        <f t="shared" ref="K1971:P1971" si="3961">"0"</f>
        <v>0</v>
      </c>
      <c r="L1971" s="1" t="str">
        <f t="shared" si="3961"/>
        <v>0</v>
      </c>
      <c r="M1971" s="1" t="str">
        <f t="shared" si="3961"/>
        <v>0</v>
      </c>
      <c r="N1971" s="1" t="str">
        <f t="shared" si="3961"/>
        <v>0</v>
      </c>
      <c r="O1971" s="1" t="str">
        <f t="shared" si="3961"/>
        <v>0</v>
      </c>
      <c r="P1971" s="1" t="str">
        <f t="shared" si="3961"/>
        <v>0</v>
      </c>
      <c r="Q1971" s="1" t="str">
        <f t="shared" si="3865"/>
        <v>0.0070</v>
      </c>
      <c r="R1971" s="1" t="s">
        <v>29</v>
      </c>
      <c r="S1971" s="1">
        <v>-0.0014</v>
      </c>
      <c r="T1971" s="1" t="str">
        <f t="shared" si="3866"/>
        <v>0</v>
      </c>
      <c r="U1971" s="1" t="str">
        <f t="shared" ref="U1971:U1974" si="3962">"0.0056"</f>
        <v>0.0056</v>
      </c>
    </row>
    <row r="1972" s="1" customFormat="1" spans="1:21">
      <c r="A1972" s="1" t="str">
        <f>"4601992030773"</f>
        <v>4601992030773</v>
      </c>
      <c r="B1972" s="1" t="s">
        <v>1996</v>
      </c>
      <c r="C1972" s="1" t="s">
        <v>24</v>
      </c>
      <c r="D1972" s="1" t="str">
        <f t="shared" si="3863"/>
        <v>2021</v>
      </c>
      <c r="E1972" s="1" t="str">
        <f t="shared" ref="E1972:P1972" si="3963">"0"</f>
        <v>0</v>
      </c>
      <c r="F1972" s="1" t="str">
        <f t="shared" si="3963"/>
        <v>0</v>
      </c>
      <c r="G1972" s="1" t="str">
        <f t="shared" si="3963"/>
        <v>0</v>
      </c>
      <c r="H1972" s="1" t="str">
        <f t="shared" si="3963"/>
        <v>0</v>
      </c>
      <c r="I1972" s="1" t="str">
        <f t="shared" si="3963"/>
        <v>0</v>
      </c>
      <c r="J1972" s="1" t="str">
        <f t="shared" si="3963"/>
        <v>0</v>
      </c>
      <c r="K1972" s="1" t="str">
        <f t="shared" si="3963"/>
        <v>0</v>
      </c>
      <c r="L1972" s="1" t="str">
        <f t="shared" si="3963"/>
        <v>0</v>
      </c>
      <c r="M1972" s="1" t="str">
        <f t="shared" si="3963"/>
        <v>0</v>
      </c>
      <c r="N1972" s="1" t="str">
        <f t="shared" si="3963"/>
        <v>0</v>
      </c>
      <c r="O1972" s="1" t="str">
        <f t="shared" si="3963"/>
        <v>0</v>
      </c>
      <c r="P1972" s="1" t="str">
        <f t="shared" si="3963"/>
        <v>0</v>
      </c>
      <c r="Q1972" s="1" t="str">
        <f t="shared" si="3865"/>
        <v>0.0070</v>
      </c>
      <c r="R1972" s="1" t="s">
        <v>25</v>
      </c>
      <c r="T1972" s="1" t="str">
        <f t="shared" si="3866"/>
        <v>0</v>
      </c>
      <c r="U1972" s="1" t="str">
        <f t="shared" si="3959"/>
        <v>0.0070</v>
      </c>
    </row>
    <row r="1973" s="1" customFormat="1" spans="1:21">
      <c r="A1973" s="1" t="str">
        <f>"4601992030772"</f>
        <v>4601992030772</v>
      </c>
      <c r="B1973" s="1" t="s">
        <v>1997</v>
      </c>
      <c r="C1973" s="1" t="s">
        <v>24</v>
      </c>
      <c r="D1973" s="1" t="str">
        <f t="shared" si="3863"/>
        <v>2021</v>
      </c>
      <c r="E1973" s="1" t="str">
        <f>"69.68"</f>
        <v>69.68</v>
      </c>
      <c r="F1973" s="1" t="str">
        <f t="shared" ref="F1973:I1973" si="3964">"0"</f>
        <v>0</v>
      </c>
      <c r="G1973" s="1" t="str">
        <f t="shared" si="3964"/>
        <v>0</v>
      </c>
      <c r="H1973" s="1" t="str">
        <f t="shared" si="3964"/>
        <v>0</v>
      </c>
      <c r="I1973" s="1" t="str">
        <f t="shared" si="3964"/>
        <v>0</v>
      </c>
      <c r="J1973" s="1" t="str">
        <f>"5"</f>
        <v>5</v>
      </c>
      <c r="K1973" s="1" t="str">
        <f t="shared" ref="K1973:P1973" si="3965">"0"</f>
        <v>0</v>
      </c>
      <c r="L1973" s="1" t="str">
        <f t="shared" si="3965"/>
        <v>0</v>
      </c>
      <c r="M1973" s="1" t="str">
        <f t="shared" si="3965"/>
        <v>0</v>
      </c>
      <c r="N1973" s="1" t="str">
        <f t="shared" si="3965"/>
        <v>0</v>
      </c>
      <c r="O1973" s="1" t="str">
        <f t="shared" si="3965"/>
        <v>0</v>
      </c>
      <c r="P1973" s="1" t="str">
        <f t="shared" si="3965"/>
        <v>0</v>
      </c>
      <c r="Q1973" s="1" t="str">
        <f t="shared" si="3865"/>
        <v>0.0070</v>
      </c>
      <c r="R1973" s="1" t="s">
        <v>29</v>
      </c>
      <c r="S1973" s="1">
        <v>-0.0014</v>
      </c>
      <c r="T1973" s="1" t="str">
        <f t="shared" si="3866"/>
        <v>0</v>
      </c>
      <c r="U1973" s="1" t="str">
        <f t="shared" si="3962"/>
        <v>0.0056</v>
      </c>
    </row>
    <row r="1974" s="1" customFormat="1" spans="1:21">
      <c r="A1974" s="1" t="str">
        <f>"4601992030818"</f>
        <v>4601992030818</v>
      </c>
      <c r="B1974" s="1" t="s">
        <v>1998</v>
      </c>
      <c r="C1974" s="1" t="s">
        <v>24</v>
      </c>
      <c r="D1974" s="1" t="str">
        <f t="shared" si="3863"/>
        <v>2021</v>
      </c>
      <c r="E1974" s="1" t="str">
        <f>"60.93"</f>
        <v>60.93</v>
      </c>
      <c r="F1974" s="1" t="str">
        <f t="shared" ref="F1974:I1974" si="3966">"0"</f>
        <v>0</v>
      </c>
      <c r="G1974" s="1" t="str">
        <f t="shared" si="3966"/>
        <v>0</v>
      </c>
      <c r="H1974" s="1" t="str">
        <f t="shared" si="3966"/>
        <v>0</v>
      </c>
      <c r="I1974" s="1" t="str">
        <f t="shared" si="3966"/>
        <v>0</v>
      </c>
      <c r="J1974" s="1" t="str">
        <f t="shared" ref="J1974:J1978" si="3967">"4"</f>
        <v>4</v>
      </c>
      <c r="K1974" s="1" t="str">
        <f t="shared" ref="K1974:P1974" si="3968">"0"</f>
        <v>0</v>
      </c>
      <c r="L1974" s="1" t="str">
        <f t="shared" si="3968"/>
        <v>0</v>
      </c>
      <c r="M1974" s="1" t="str">
        <f t="shared" si="3968"/>
        <v>0</v>
      </c>
      <c r="N1974" s="1" t="str">
        <f t="shared" si="3968"/>
        <v>0</v>
      </c>
      <c r="O1974" s="1" t="str">
        <f t="shared" si="3968"/>
        <v>0</v>
      </c>
      <c r="P1974" s="1" t="str">
        <f t="shared" si="3968"/>
        <v>0</v>
      </c>
      <c r="Q1974" s="1" t="str">
        <f t="shared" si="3865"/>
        <v>0.0070</v>
      </c>
      <c r="R1974" s="1" t="s">
        <v>29</v>
      </c>
      <c r="S1974" s="1">
        <v>-0.0014</v>
      </c>
      <c r="T1974" s="1" t="str">
        <f t="shared" si="3866"/>
        <v>0</v>
      </c>
      <c r="U1974" s="1" t="str">
        <f t="shared" si="3962"/>
        <v>0.0056</v>
      </c>
    </row>
    <row r="1975" s="1" customFormat="1" spans="1:21">
      <c r="A1975" s="1" t="str">
        <f>"4601992030828"</f>
        <v>4601992030828</v>
      </c>
      <c r="B1975" s="1" t="s">
        <v>1999</v>
      </c>
      <c r="C1975" s="1" t="s">
        <v>24</v>
      </c>
      <c r="D1975" s="1" t="str">
        <f t="shared" si="3863"/>
        <v>2021</v>
      </c>
      <c r="E1975" s="1" t="str">
        <f>"12.09"</f>
        <v>12.09</v>
      </c>
      <c r="F1975" s="1" t="str">
        <f t="shared" ref="F1975:I1975" si="3969">"0"</f>
        <v>0</v>
      </c>
      <c r="G1975" s="1" t="str">
        <f t="shared" si="3969"/>
        <v>0</v>
      </c>
      <c r="H1975" s="1" t="str">
        <f t="shared" si="3969"/>
        <v>0</v>
      </c>
      <c r="I1975" s="1" t="str">
        <f t="shared" si="3969"/>
        <v>0</v>
      </c>
      <c r="J1975" s="1" t="str">
        <f>"1"</f>
        <v>1</v>
      </c>
      <c r="K1975" s="1" t="str">
        <f t="shared" ref="K1975:P1975" si="3970">"0"</f>
        <v>0</v>
      </c>
      <c r="L1975" s="1" t="str">
        <f t="shared" si="3970"/>
        <v>0</v>
      </c>
      <c r="M1975" s="1" t="str">
        <f t="shared" si="3970"/>
        <v>0</v>
      </c>
      <c r="N1975" s="1" t="str">
        <f t="shared" si="3970"/>
        <v>0</v>
      </c>
      <c r="O1975" s="1" t="str">
        <f t="shared" si="3970"/>
        <v>0</v>
      </c>
      <c r="P1975" s="1" t="str">
        <f t="shared" si="3970"/>
        <v>0</v>
      </c>
      <c r="Q1975" s="1" t="str">
        <f t="shared" si="3865"/>
        <v>0.0070</v>
      </c>
      <c r="R1975" s="1" t="s">
        <v>25</v>
      </c>
      <c r="T1975" s="1" t="str">
        <f t="shared" si="3866"/>
        <v>0</v>
      </c>
      <c r="U1975" s="1" t="str">
        <f t="shared" si="3959"/>
        <v>0.0070</v>
      </c>
    </row>
    <row r="1976" s="1" customFormat="1" spans="1:21">
      <c r="A1976" s="1" t="str">
        <f>"4601992030786"</f>
        <v>4601992030786</v>
      </c>
      <c r="B1976" s="1" t="s">
        <v>2000</v>
      </c>
      <c r="C1976" s="1" t="s">
        <v>24</v>
      </c>
      <c r="D1976" s="1" t="str">
        <f t="shared" si="3863"/>
        <v>2021</v>
      </c>
      <c r="E1976" s="1" t="str">
        <f>"48.25"</f>
        <v>48.25</v>
      </c>
      <c r="F1976" s="1" t="str">
        <f t="shared" ref="F1976:I1976" si="3971">"0"</f>
        <v>0</v>
      </c>
      <c r="G1976" s="1" t="str">
        <f t="shared" si="3971"/>
        <v>0</v>
      </c>
      <c r="H1976" s="1" t="str">
        <f t="shared" si="3971"/>
        <v>0</v>
      </c>
      <c r="I1976" s="1" t="str">
        <f t="shared" si="3971"/>
        <v>0</v>
      </c>
      <c r="J1976" s="1" t="str">
        <f t="shared" si="3967"/>
        <v>4</v>
      </c>
      <c r="K1976" s="1" t="str">
        <f t="shared" ref="K1976:P1976" si="3972">"0"</f>
        <v>0</v>
      </c>
      <c r="L1976" s="1" t="str">
        <f t="shared" si="3972"/>
        <v>0</v>
      </c>
      <c r="M1976" s="1" t="str">
        <f t="shared" si="3972"/>
        <v>0</v>
      </c>
      <c r="N1976" s="1" t="str">
        <f t="shared" si="3972"/>
        <v>0</v>
      </c>
      <c r="O1976" s="1" t="str">
        <f t="shared" si="3972"/>
        <v>0</v>
      </c>
      <c r="P1976" s="1" t="str">
        <f t="shared" si="3972"/>
        <v>0</v>
      </c>
      <c r="Q1976" s="1" t="str">
        <f t="shared" si="3865"/>
        <v>0.0070</v>
      </c>
      <c r="R1976" s="1" t="s">
        <v>29</v>
      </c>
      <c r="S1976" s="1">
        <v>-0.0014</v>
      </c>
      <c r="T1976" s="1" t="str">
        <f t="shared" si="3866"/>
        <v>0</v>
      </c>
      <c r="U1976" s="1" t="str">
        <f t="shared" ref="U1976:U1984" si="3973">"0.0056"</f>
        <v>0.0056</v>
      </c>
    </row>
    <row r="1977" s="1" customFormat="1" spans="1:21">
      <c r="A1977" s="1" t="str">
        <f>"4601992030912"</f>
        <v>4601992030912</v>
      </c>
      <c r="B1977" s="1" t="s">
        <v>2001</v>
      </c>
      <c r="C1977" s="1" t="s">
        <v>24</v>
      </c>
      <c r="D1977" s="1" t="str">
        <f t="shared" si="3863"/>
        <v>2021</v>
      </c>
      <c r="E1977" s="1" t="str">
        <f t="shared" ref="E1977:P1977" si="3974">"0"</f>
        <v>0</v>
      </c>
      <c r="F1977" s="1" t="str">
        <f t="shared" si="3974"/>
        <v>0</v>
      </c>
      <c r="G1977" s="1" t="str">
        <f t="shared" si="3974"/>
        <v>0</v>
      </c>
      <c r="H1977" s="1" t="str">
        <f t="shared" si="3974"/>
        <v>0</v>
      </c>
      <c r="I1977" s="1" t="str">
        <f t="shared" si="3974"/>
        <v>0</v>
      </c>
      <c r="J1977" s="1" t="str">
        <f t="shared" si="3974"/>
        <v>0</v>
      </c>
      <c r="K1977" s="1" t="str">
        <f t="shared" si="3974"/>
        <v>0</v>
      </c>
      <c r="L1977" s="1" t="str">
        <f t="shared" si="3974"/>
        <v>0</v>
      </c>
      <c r="M1977" s="1" t="str">
        <f t="shared" si="3974"/>
        <v>0</v>
      </c>
      <c r="N1977" s="1" t="str">
        <f t="shared" si="3974"/>
        <v>0</v>
      </c>
      <c r="O1977" s="1" t="str">
        <f t="shared" si="3974"/>
        <v>0</v>
      </c>
      <c r="P1977" s="1" t="str">
        <f t="shared" si="3974"/>
        <v>0</v>
      </c>
      <c r="Q1977" s="1" t="str">
        <f t="shared" si="3865"/>
        <v>0.0070</v>
      </c>
      <c r="R1977" s="1" t="s">
        <v>25</v>
      </c>
      <c r="T1977" s="1" t="str">
        <f t="shared" si="3866"/>
        <v>0</v>
      </c>
      <c r="U1977" s="1" t="str">
        <f>"0.0070"</f>
        <v>0.0070</v>
      </c>
    </row>
    <row r="1978" s="1" customFormat="1" spans="1:21">
      <c r="A1978" s="1" t="str">
        <f>"4601992030842"</f>
        <v>4601992030842</v>
      </c>
      <c r="B1978" s="1" t="s">
        <v>2002</v>
      </c>
      <c r="C1978" s="1" t="s">
        <v>24</v>
      </c>
      <c r="D1978" s="1" t="str">
        <f t="shared" si="3863"/>
        <v>2021</v>
      </c>
      <c r="E1978" s="1" t="str">
        <f>"36.75"</f>
        <v>36.75</v>
      </c>
      <c r="F1978" s="1" t="str">
        <f t="shared" ref="F1978:I1978" si="3975">"0"</f>
        <v>0</v>
      </c>
      <c r="G1978" s="1" t="str">
        <f t="shared" si="3975"/>
        <v>0</v>
      </c>
      <c r="H1978" s="1" t="str">
        <f t="shared" si="3975"/>
        <v>0</v>
      </c>
      <c r="I1978" s="1" t="str">
        <f t="shared" si="3975"/>
        <v>0</v>
      </c>
      <c r="J1978" s="1" t="str">
        <f t="shared" si="3967"/>
        <v>4</v>
      </c>
      <c r="K1978" s="1" t="str">
        <f t="shared" ref="K1978:P1978" si="3976">"0"</f>
        <v>0</v>
      </c>
      <c r="L1978" s="1" t="str">
        <f t="shared" si="3976"/>
        <v>0</v>
      </c>
      <c r="M1978" s="1" t="str">
        <f t="shared" si="3976"/>
        <v>0</v>
      </c>
      <c r="N1978" s="1" t="str">
        <f t="shared" si="3976"/>
        <v>0</v>
      </c>
      <c r="O1978" s="1" t="str">
        <f t="shared" si="3976"/>
        <v>0</v>
      </c>
      <c r="P1978" s="1" t="str">
        <f t="shared" si="3976"/>
        <v>0</v>
      </c>
      <c r="Q1978" s="1" t="str">
        <f t="shared" si="3865"/>
        <v>0.0070</v>
      </c>
      <c r="R1978" s="1" t="s">
        <v>29</v>
      </c>
      <c r="S1978" s="1">
        <v>-0.0014</v>
      </c>
      <c r="T1978" s="1" t="str">
        <f t="shared" si="3866"/>
        <v>0</v>
      </c>
      <c r="U1978" s="1" t="str">
        <f t="shared" si="3973"/>
        <v>0.0056</v>
      </c>
    </row>
    <row r="1979" s="1" customFormat="1" spans="1:21">
      <c r="A1979" s="1" t="str">
        <f>"4601992030896"</f>
        <v>4601992030896</v>
      </c>
      <c r="B1979" s="1" t="s">
        <v>2003</v>
      </c>
      <c r="C1979" s="1" t="s">
        <v>24</v>
      </c>
      <c r="D1979" s="1" t="str">
        <f t="shared" si="3863"/>
        <v>2021</v>
      </c>
      <c r="E1979" s="1" t="str">
        <f>"24.50"</f>
        <v>24.50</v>
      </c>
      <c r="F1979" s="1" t="str">
        <f t="shared" ref="F1979:I1979" si="3977">"0"</f>
        <v>0</v>
      </c>
      <c r="G1979" s="1" t="str">
        <f t="shared" si="3977"/>
        <v>0</v>
      </c>
      <c r="H1979" s="1" t="str">
        <f t="shared" si="3977"/>
        <v>0</v>
      </c>
      <c r="I1979" s="1" t="str">
        <f t="shared" si="3977"/>
        <v>0</v>
      </c>
      <c r="J1979" s="1" t="str">
        <f>"2"</f>
        <v>2</v>
      </c>
      <c r="K1979" s="1" t="str">
        <f t="shared" ref="K1979:P1979" si="3978">"0"</f>
        <v>0</v>
      </c>
      <c r="L1979" s="1" t="str">
        <f t="shared" si="3978"/>
        <v>0</v>
      </c>
      <c r="M1979" s="1" t="str">
        <f t="shared" si="3978"/>
        <v>0</v>
      </c>
      <c r="N1979" s="1" t="str">
        <f t="shared" si="3978"/>
        <v>0</v>
      </c>
      <c r="O1979" s="1" t="str">
        <f t="shared" si="3978"/>
        <v>0</v>
      </c>
      <c r="P1979" s="1" t="str">
        <f t="shared" si="3978"/>
        <v>0</v>
      </c>
      <c r="Q1979" s="1" t="str">
        <f t="shared" si="3865"/>
        <v>0.0070</v>
      </c>
      <c r="R1979" s="1" t="s">
        <v>29</v>
      </c>
      <c r="S1979" s="1">
        <v>-0.0014</v>
      </c>
      <c r="T1979" s="1" t="str">
        <f t="shared" si="3866"/>
        <v>0</v>
      </c>
      <c r="U1979" s="1" t="str">
        <f t="shared" si="3973"/>
        <v>0.0056</v>
      </c>
    </row>
    <row r="1980" s="1" customFormat="1" spans="1:21">
      <c r="A1980" s="1" t="str">
        <f>"4601992030908"</f>
        <v>4601992030908</v>
      </c>
      <c r="B1980" s="1" t="s">
        <v>2004</v>
      </c>
      <c r="C1980" s="1" t="s">
        <v>24</v>
      </c>
      <c r="D1980" s="1" t="str">
        <f t="shared" si="3863"/>
        <v>2021</v>
      </c>
      <c r="E1980" s="1" t="str">
        <f>"11.98"</f>
        <v>11.98</v>
      </c>
      <c r="F1980" s="1" t="str">
        <f t="shared" ref="F1980:I1980" si="3979">"0"</f>
        <v>0</v>
      </c>
      <c r="G1980" s="1" t="str">
        <f t="shared" si="3979"/>
        <v>0</v>
      </c>
      <c r="H1980" s="1" t="str">
        <f t="shared" si="3979"/>
        <v>0</v>
      </c>
      <c r="I1980" s="1" t="str">
        <f t="shared" si="3979"/>
        <v>0</v>
      </c>
      <c r="J1980" s="1" t="str">
        <f>"1"</f>
        <v>1</v>
      </c>
      <c r="K1980" s="1" t="str">
        <f t="shared" ref="K1980:P1980" si="3980">"0"</f>
        <v>0</v>
      </c>
      <c r="L1980" s="1" t="str">
        <f t="shared" si="3980"/>
        <v>0</v>
      </c>
      <c r="M1980" s="1" t="str">
        <f t="shared" si="3980"/>
        <v>0</v>
      </c>
      <c r="N1980" s="1" t="str">
        <f t="shared" si="3980"/>
        <v>0</v>
      </c>
      <c r="O1980" s="1" t="str">
        <f t="shared" si="3980"/>
        <v>0</v>
      </c>
      <c r="P1980" s="1" t="str">
        <f t="shared" si="3980"/>
        <v>0</v>
      </c>
      <c r="Q1980" s="1" t="str">
        <f t="shared" si="3865"/>
        <v>0.0070</v>
      </c>
      <c r="R1980" s="1" t="s">
        <v>29</v>
      </c>
      <c r="S1980" s="1">
        <v>-0.0014</v>
      </c>
      <c r="T1980" s="1" t="str">
        <f t="shared" si="3866"/>
        <v>0</v>
      </c>
      <c r="U1980" s="1" t="str">
        <f t="shared" si="3973"/>
        <v>0.0056</v>
      </c>
    </row>
    <row r="1981" s="1" customFormat="1" spans="1:21">
      <c r="A1981" s="1" t="str">
        <f>"4601992030946"</f>
        <v>4601992030946</v>
      </c>
      <c r="B1981" s="1" t="s">
        <v>2005</v>
      </c>
      <c r="C1981" s="1" t="s">
        <v>24</v>
      </c>
      <c r="D1981" s="1" t="str">
        <f t="shared" si="3863"/>
        <v>2021</v>
      </c>
      <c r="E1981" s="1" t="str">
        <f>"48.36"</f>
        <v>48.36</v>
      </c>
      <c r="F1981" s="1" t="str">
        <f t="shared" ref="F1981:I1981" si="3981">"0"</f>
        <v>0</v>
      </c>
      <c r="G1981" s="1" t="str">
        <f t="shared" si="3981"/>
        <v>0</v>
      </c>
      <c r="H1981" s="1" t="str">
        <f t="shared" si="3981"/>
        <v>0</v>
      </c>
      <c r="I1981" s="1" t="str">
        <f t="shared" si="3981"/>
        <v>0</v>
      </c>
      <c r="J1981" s="1" t="str">
        <f>"3"</f>
        <v>3</v>
      </c>
      <c r="K1981" s="1" t="str">
        <f t="shared" ref="K1981:P1981" si="3982">"0"</f>
        <v>0</v>
      </c>
      <c r="L1981" s="1" t="str">
        <f t="shared" si="3982"/>
        <v>0</v>
      </c>
      <c r="M1981" s="1" t="str">
        <f t="shared" si="3982"/>
        <v>0</v>
      </c>
      <c r="N1981" s="1" t="str">
        <f t="shared" si="3982"/>
        <v>0</v>
      </c>
      <c r="O1981" s="1" t="str">
        <f t="shared" si="3982"/>
        <v>0</v>
      </c>
      <c r="P1981" s="1" t="str">
        <f t="shared" si="3982"/>
        <v>0</v>
      </c>
      <c r="Q1981" s="1" t="str">
        <f t="shared" si="3865"/>
        <v>0.0070</v>
      </c>
      <c r="R1981" s="1" t="s">
        <v>29</v>
      </c>
      <c r="S1981" s="1">
        <v>-0.0014</v>
      </c>
      <c r="T1981" s="1" t="str">
        <f t="shared" si="3866"/>
        <v>0</v>
      </c>
      <c r="U1981" s="1" t="str">
        <f t="shared" si="3973"/>
        <v>0.0056</v>
      </c>
    </row>
    <row r="1982" s="1" customFormat="1" spans="1:21">
      <c r="A1982" s="1" t="str">
        <f>"4601992030974"</f>
        <v>4601992030974</v>
      </c>
      <c r="B1982" s="1" t="s">
        <v>2006</v>
      </c>
      <c r="C1982" s="1" t="s">
        <v>24</v>
      </c>
      <c r="D1982" s="1" t="str">
        <f t="shared" si="3863"/>
        <v>2021</v>
      </c>
      <c r="E1982" s="1" t="str">
        <f>"12.09"</f>
        <v>12.09</v>
      </c>
      <c r="F1982" s="1" t="str">
        <f t="shared" ref="F1982:I1982" si="3983">"0"</f>
        <v>0</v>
      </c>
      <c r="G1982" s="1" t="str">
        <f t="shared" si="3983"/>
        <v>0</v>
      </c>
      <c r="H1982" s="1" t="str">
        <f t="shared" si="3983"/>
        <v>0</v>
      </c>
      <c r="I1982" s="1" t="str">
        <f t="shared" si="3983"/>
        <v>0</v>
      </c>
      <c r="J1982" s="1" t="str">
        <f>"1"</f>
        <v>1</v>
      </c>
      <c r="K1982" s="1" t="str">
        <f t="shared" ref="K1982:P1982" si="3984">"0"</f>
        <v>0</v>
      </c>
      <c r="L1982" s="1" t="str">
        <f t="shared" si="3984"/>
        <v>0</v>
      </c>
      <c r="M1982" s="1" t="str">
        <f t="shared" si="3984"/>
        <v>0</v>
      </c>
      <c r="N1982" s="1" t="str">
        <f t="shared" si="3984"/>
        <v>0</v>
      </c>
      <c r="O1982" s="1" t="str">
        <f t="shared" si="3984"/>
        <v>0</v>
      </c>
      <c r="P1982" s="1" t="str">
        <f t="shared" si="3984"/>
        <v>0</v>
      </c>
      <c r="Q1982" s="1" t="str">
        <f t="shared" si="3865"/>
        <v>0.0070</v>
      </c>
      <c r="R1982" s="1" t="s">
        <v>29</v>
      </c>
      <c r="S1982" s="1">
        <v>-0.0014</v>
      </c>
      <c r="T1982" s="1" t="str">
        <f t="shared" si="3866"/>
        <v>0</v>
      </c>
      <c r="U1982" s="1" t="str">
        <f t="shared" si="3973"/>
        <v>0.0056</v>
      </c>
    </row>
    <row r="1983" s="1" customFormat="1" spans="1:21">
      <c r="A1983" s="1" t="str">
        <f>"4601992030959"</f>
        <v>4601992030959</v>
      </c>
      <c r="B1983" s="1" t="s">
        <v>2007</v>
      </c>
      <c r="C1983" s="1" t="s">
        <v>24</v>
      </c>
      <c r="D1983" s="1" t="str">
        <f t="shared" si="3863"/>
        <v>2021</v>
      </c>
      <c r="E1983" s="1" t="str">
        <f>"12.09"</f>
        <v>12.09</v>
      </c>
      <c r="F1983" s="1" t="str">
        <f t="shared" ref="F1983:I1983" si="3985">"0"</f>
        <v>0</v>
      </c>
      <c r="G1983" s="1" t="str">
        <f t="shared" si="3985"/>
        <v>0</v>
      </c>
      <c r="H1983" s="1" t="str">
        <f t="shared" si="3985"/>
        <v>0</v>
      </c>
      <c r="I1983" s="1" t="str">
        <f t="shared" si="3985"/>
        <v>0</v>
      </c>
      <c r="J1983" s="1" t="str">
        <f>"2"</f>
        <v>2</v>
      </c>
      <c r="K1983" s="1" t="str">
        <f t="shared" ref="K1983:P1983" si="3986">"0"</f>
        <v>0</v>
      </c>
      <c r="L1983" s="1" t="str">
        <f t="shared" si="3986"/>
        <v>0</v>
      </c>
      <c r="M1983" s="1" t="str">
        <f t="shared" si="3986"/>
        <v>0</v>
      </c>
      <c r="N1983" s="1" t="str">
        <f t="shared" si="3986"/>
        <v>0</v>
      </c>
      <c r="O1983" s="1" t="str">
        <f t="shared" si="3986"/>
        <v>0</v>
      </c>
      <c r="P1983" s="1" t="str">
        <f t="shared" si="3986"/>
        <v>0</v>
      </c>
      <c r="Q1983" s="1" t="str">
        <f t="shared" si="3865"/>
        <v>0.0070</v>
      </c>
      <c r="R1983" s="1" t="s">
        <v>29</v>
      </c>
      <c r="S1983" s="1">
        <v>-0.0014</v>
      </c>
      <c r="T1983" s="1" t="str">
        <f t="shared" si="3866"/>
        <v>0</v>
      </c>
      <c r="U1983" s="1" t="str">
        <f t="shared" si="3973"/>
        <v>0.0056</v>
      </c>
    </row>
    <row r="1984" s="1" customFormat="1" spans="1:21">
      <c r="A1984" s="1" t="str">
        <f>"4601992030997"</f>
        <v>4601992030997</v>
      </c>
      <c r="B1984" s="1" t="s">
        <v>2008</v>
      </c>
      <c r="C1984" s="1" t="s">
        <v>24</v>
      </c>
      <c r="D1984" s="1" t="str">
        <f t="shared" si="3863"/>
        <v>2021</v>
      </c>
      <c r="E1984" s="1" t="str">
        <f>"36.27"</f>
        <v>36.27</v>
      </c>
      <c r="F1984" s="1" t="str">
        <f t="shared" ref="F1984:I1984" si="3987">"0"</f>
        <v>0</v>
      </c>
      <c r="G1984" s="1" t="str">
        <f t="shared" si="3987"/>
        <v>0</v>
      </c>
      <c r="H1984" s="1" t="str">
        <f t="shared" si="3987"/>
        <v>0</v>
      </c>
      <c r="I1984" s="1" t="str">
        <f t="shared" si="3987"/>
        <v>0</v>
      </c>
      <c r="J1984" s="1" t="str">
        <f>"3"</f>
        <v>3</v>
      </c>
      <c r="K1984" s="1" t="str">
        <f t="shared" ref="K1984:P1984" si="3988">"0"</f>
        <v>0</v>
      </c>
      <c r="L1984" s="1" t="str">
        <f t="shared" si="3988"/>
        <v>0</v>
      </c>
      <c r="M1984" s="1" t="str">
        <f t="shared" si="3988"/>
        <v>0</v>
      </c>
      <c r="N1984" s="1" t="str">
        <f t="shared" si="3988"/>
        <v>0</v>
      </c>
      <c r="O1984" s="1" t="str">
        <f t="shared" si="3988"/>
        <v>0</v>
      </c>
      <c r="P1984" s="1" t="str">
        <f t="shared" si="3988"/>
        <v>0</v>
      </c>
      <c r="Q1984" s="1" t="str">
        <f t="shared" si="3865"/>
        <v>0.0070</v>
      </c>
      <c r="R1984" s="1" t="s">
        <v>29</v>
      </c>
      <c r="S1984" s="1">
        <v>-0.0014</v>
      </c>
      <c r="T1984" s="1" t="str">
        <f t="shared" si="3866"/>
        <v>0</v>
      </c>
      <c r="U1984" s="1" t="str">
        <f t="shared" si="3973"/>
        <v>0.0056</v>
      </c>
    </row>
    <row r="1985" s="1" customFormat="1" spans="1:21">
      <c r="A1985" s="1" t="str">
        <f>"4601992031014"</f>
        <v>4601992031014</v>
      </c>
      <c r="B1985" s="1" t="s">
        <v>2009</v>
      </c>
      <c r="C1985" s="1" t="s">
        <v>24</v>
      </c>
      <c r="D1985" s="1" t="str">
        <f t="shared" si="3863"/>
        <v>2021</v>
      </c>
      <c r="E1985" s="1" t="str">
        <f t="shared" ref="E1985:P1985" si="3989">"0"</f>
        <v>0</v>
      </c>
      <c r="F1985" s="1" t="str">
        <f t="shared" si="3989"/>
        <v>0</v>
      </c>
      <c r="G1985" s="1" t="str">
        <f t="shared" si="3989"/>
        <v>0</v>
      </c>
      <c r="H1985" s="1" t="str">
        <f t="shared" si="3989"/>
        <v>0</v>
      </c>
      <c r="I1985" s="1" t="str">
        <f t="shared" si="3989"/>
        <v>0</v>
      </c>
      <c r="J1985" s="1" t="str">
        <f t="shared" si="3989"/>
        <v>0</v>
      </c>
      <c r="K1985" s="1" t="str">
        <f t="shared" si="3989"/>
        <v>0</v>
      </c>
      <c r="L1985" s="1" t="str">
        <f t="shared" si="3989"/>
        <v>0</v>
      </c>
      <c r="M1985" s="1" t="str">
        <f t="shared" si="3989"/>
        <v>0</v>
      </c>
      <c r="N1985" s="1" t="str">
        <f t="shared" si="3989"/>
        <v>0</v>
      </c>
      <c r="O1985" s="1" t="str">
        <f t="shared" si="3989"/>
        <v>0</v>
      </c>
      <c r="P1985" s="1" t="str">
        <f t="shared" si="3989"/>
        <v>0</v>
      </c>
      <c r="Q1985" s="1" t="str">
        <f t="shared" si="3865"/>
        <v>0.0070</v>
      </c>
      <c r="R1985" s="1" t="s">
        <v>25</v>
      </c>
      <c r="T1985" s="1" t="str">
        <f t="shared" si="3866"/>
        <v>0</v>
      </c>
      <c r="U1985" s="1" t="str">
        <f t="shared" ref="U1985:U1987" si="3990">"0.0070"</f>
        <v>0.0070</v>
      </c>
    </row>
    <row r="1986" s="1" customFormat="1" spans="1:21">
      <c r="A1986" s="1" t="str">
        <f>"4601992031076"</f>
        <v>4601992031076</v>
      </c>
      <c r="B1986" s="1" t="s">
        <v>2010</v>
      </c>
      <c r="C1986" s="1" t="s">
        <v>24</v>
      </c>
      <c r="D1986" s="1" t="str">
        <f t="shared" si="3863"/>
        <v>2021</v>
      </c>
      <c r="E1986" s="1" t="str">
        <f t="shared" ref="E1986:P1986" si="3991">"0"</f>
        <v>0</v>
      </c>
      <c r="F1986" s="1" t="str">
        <f t="shared" si="3991"/>
        <v>0</v>
      </c>
      <c r="G1986" s="1" t="str">
        <f t="shared" si="3991"/>
        <v>0</v>
      </c>
      <c r="H1986" s="1" t="str">
        <f t="shared" si="3991"/>
        <v>0</v>
      </c>
      <c r="I1986" s="1" t="str">
        <f t="shared" si="3991"/>
        <v>0</v>
      </c>
      <c r="J1986" s="1" t="str">
        <f t="shared" si="3991"/>
        <v>0</v>
      </c>
      <c r="K1986" s="1" t="str">
        <f t="shared" si="3991"/>
        <v>0</v>
      </c>
      <c r="L1986" s="1" t="str">
        <f t="shared" si="3991"/>
        <v>0</v>
      </c>
      <c r="M1986" s="1" t="str">
        <f t="shared" si="3991"/>
        <v>0</v>
      </c>
      <c r="N1986" s="1" t="str">
        <f t="shared" si="3991"/>
        <v>0</v>
      </c>
      <c r="O1986" s="1" t="str">
        <f t="shared" si="3991"/>
        <v>0</v>
      </c>
      <c r="P1986" s="1" t="str">
        <f t="shared" si="3991"/>
        <v>0</v>
      </c>
      <c r="Q1986" s="1" t="str">
        <f t="shared" si="3865"/>
        <v>0.0070</v>
      </c>
      <c r="R1986" s="1" t="s">
        <v>25</v>
      </c>
      <c r="T1986" s="1" t="str">
        <f t="shared" si="3866"/>
        <v>0</v>
      </c>
      <c r="U1986" s="1" t="str">
        <f t="shared" si="3990"/>
        <v>0.0070</v>
      </c>
    </row>
    <row r="1987" s="1" customFormat="1" spans="1:21">
      <c r="A1987" s="1" t="str">
        <f>"4601992031059"</f>
        <v>4601992031059</v>
      </c>
      <c r="B1987" s="1" t="s">
        <v>2011</v>
      </c>
      <c r="C1987" s="1" t="s">
        <v>24</v>
      </c>
      <c r="D1987" s="1" t="str">
        <f t="shared" ref="D1987:D2050" si="3992">"2021"</f>
        <v>2021</v>
      </c>
      <c r="E1987" s="1" t="str">
        <f t="shared" ref="E1987:P1987" si="3993">"0"</f>
        <v>0</v>
      </c>
      <c r="F1987" s="1" t="str">
        <f t="shared" si="3993"/>
        <v>0</v>
      </c>
      <c r="G1987" s="1" t="str">
        <f t="shared" si="3993"/>
        <v>0</v>
      </c>
      <c r="H1987" s="1" t="str">
        <f t="shared" si="3993"/>
        <v>0</v>
      </c>
      <c r="I1987" s="1" t="str">
        <f t="shared" si="3993"/>
        <v>0</v>
      </c>
      <c r="J1987" s="1" t="str">
        <f t="shared" si="3993"/>
        <v>0</v>
      </c>
      <c r="K1987" s="1" t="str">
        <f t="shared" si="3993"/>
        <v>0</v>
      </c>
      <c r="L1987" s="1" t="str">
        <f t="shared" si="3993"/>
        <v>0</v>
      </c>
      <c r="M1987" s="1" t="str">
        <f t="shared" si="3993"/>
        <v>0</v>
      </c>
      <c r="N1987" s="1" t="str">
        <f t="shared" si="3993"/>
        <v>0</v>
      </c>
      <c r="O1987" s="1" t="str">
        <f t="shared" si="3993"/>
        <v>0</v>
      </c>
      <c r="P1987" s="1" t="str">
        <f t="shared" si="3993"/>
        <v>0</v>
      </c>
      <c r="Q1987" s="1" t="str">
        <f t="shared" ref="Q1987:Q2050" si="3994">"0.0070"</f>
        <v>0.0070</v>
      </c>
      <c r="R1987" s="1" t="s">
        <v>25</v>
      </c>
      <c r="T1987" s="1" t="str">
        <f t="shared" ref="T1987:T2050" si="3995">"0"</f>
        <v>0</v>
      </c>
      <c r="U1987" s="1" t="str">
        <f t="shared" si="3990"/>
        <v>0.0070</v>
      </c>
    </row>
    <row r="1988" s="1" customFormat="1" spans="1:21">
      <c r="A1988" s="1" t="str">
        <f>"4601992031020"</f>
        <v>4601992031020</v>
      </c>
      <c r="B1988" s="1" t="s">
        <v>2012</v>
      </c>
      <c r="C1988" s="1" t="s">
        <v>24</v>
      </c>
      <c r="D1988" s="1" t="str">
        <f t="shared" si="3992"/>
        <v>2021</v>
      </c>
      <c r="E1988" s="1" t="str">
        <f>"48.36"</f>
        <v>48.36</v>
      </c>
      <c r="F1988" s="1" t="str">
        <f t="shared" ref="F1988:I1988" si="3996">"0"</f>
        <v>0</v>
      </c>
      <c r="G1988" s="1" t="str">
        <f t="shared" si="3996"/>
        <v>0</v>
      </c>
      <c r="H1988" s="1" t="str">
        <f t="shared" si="3996"/>
        <v>0</v>
      </c>
      <c r="I1988" s="1" t="str">
        <f t="shared" si="3996"/>
        <v>0</v>
      </c>
      <c r="J1988" s="1" t="str">
        <f>"5"</f>
        <v>5</v>
      </c>
      <c r="K1988" s="1" t="str">
        <f t="shared" ref="K1988:P1988" si="3997">"0"</f>
        <v>0</v>
      </c>
      <c r="L1988" s="1" t="str">
        <f t="shared" si="3997"/>
        <v>0</v>
      </c>
      <c r="M1988" s="1" t="str">
        <f t="shared" si="3997"/>
        <v>0</v>
      </c>
      <c r="N1988" s="1" t="str">
        <f t="shared" si="3997"/>
        <v>0</v>
      </c>
      <c r="O1988" s="1" t="str">
        <f t="shared" si="3997"/>
        <v>0</v>
      </c>
      <c r="P1988" s="1" t="str">
        <f t="shared" si="3997"/>
        <v>0</v>
      </c>
      <c r="Q1988" s="1" t="str">
        <f t="shared" si="3994"/>
        <v>0.0070</v>
      </c>
      <c r="R1988" s="1" t="s">
        <v>29</v>
      </c>
      <c r="S1988" s="1">
        <v>-0.0014</v>
      </c>
      <c r="T1988" s="1" t="str">
        <f t="shared" si="3995"/>
        <v>0</v>
      </c>
      <c r="U1988" s="1" t="str">
        <f>"0.0056"</f>
        <v>0.0056</v>
      </c>
    </row>
    <row r="1989" s="1" customFormat="1" spans="1:21">
      <c r="A1989" s="1" t="str">
        <f>"4601992031084"</f>
        <v>4601992031084</v>
      </c>
      <c r="B1989" s="1" t="s">
        <v>2013</v>
      </c>
      <c r="C1989" s="1" t="s">
        <v>24</v>
      </c>
      <c r="D1989" s="1" t="str">
        <f t="shared" si="3992"/>
        <v>2021</v>
      </c>
      <c r="E1989" s="1" t="str">
        <f t="shared" ref="E1989:P1989" si="3998">"0"</f>
        <v>0</v>
      </c>
      <c r="F1989" s="1" t="str">
        <f t="shared" si="3998"/>
        <v>0</v>
      </c>
      <c r="G1989" s="1" t="str">
        <f t="shared" si="3998"/>
        <v>0</v>
      </c>
      <c r="H1989" s="1" t="str">
        <f t="shared" si="3998"/>
        <v>0</v>
      </c>
      <c r="I1989" s="1" t="str">
        <f t="shared" si="3998"/>
        <v>0</v>
      </c>
      <c r="J1989" s="1" t="str">
        <f t="shared" si="3998"/>
        <v>0</v>
      </c>
      <c r="K1989" s="1" t="str">
        <f t="shared" si="3998"/>
        <v>0</v>
      </c>
      <c r="L1989" s="1" t="str">
        <f t="shared" si="3998"/>
        <v>0</v>
      </c>
      <c r="M1989" s="1" t="str">
        <f t="shared" si="3998"/>
        <v>0</v>
      </c>
      <c r="N1989" s="1" t="str">
        <f t="shared" si="3998"/>
        <v>0</v>
      </c>
      <c r="O1989" s="1" t="str">
        <f t="shared" si="3998"/>
        <v>0</v>
      </c>
      <c r="P1989" s="1" t="str">
        <f t="shared" si="3998"/>
        <v>0</v>
      </c>
      <c r="Q1989" s="1" t="str">
        <f t="shared" si="3994"/>
        <v>0.0070</v>
      </c>
      <c r="R1989" s="1" t="s">
        <v>25</v>
      </c>
      <c r="T1989" s="1" t="str">
        <f t="shared" si="3995"/>
        <v>0</v>
      </c>
      <c r="U1989" s="1" t="str">
        <f t="shared" ref="U1989:U1993" si="3999">"0.0070"</f>
        <v>0.0070</v>
      </c>
    </row>
    <row r="1990" s="1" customFormat="1" spans="1:21">
      <c r="A1990" s="1" t="str">
        <f>"4601992031093"</f>
        <v>4601992031093</v>
      </c>
      <c r="B1990" s="1" t="s">
        <v>2014</v>
      </c>
      <c r="C1990" s="1" t="s">
        <v>24</v>
      </c>
      <c r="D1990" s="1" t="str">
        <f t="shared" si="3992"/>
        <v>2021</v>
      </c>
      <c r="E1990" s="1" t="str">
        <f t="shared" ref="E1990:P1990" si="4000">"0"</f>
        <v>0</v>
      </c>
      <c r="F1990" s="1" t="str">
        <f t="shared" si="4000"/>
        <v>0</v>
      </c>
      <c r="G1990" s="1" t="str">
        <f t="shared" si="4000"/>
        <v>0</v>
      </c>
      <c r="H1990" s="1" t="str">
        <f t="shared" si="4000"/>
        <v>0</v>
      </c>
      <c r="I1990" s="1" t="str">
        <f t="shared" si="4000"/>
        <v>0</v>
      </c>
      <c r="J1990" s="1" t="str">
        <f t="shared" si="4000"/>
        <v>0</v>
      </c>
      <c r="K1990" s="1" t="str">
        <f t="shared" si="4000"/>
        <v>0</v>
      </c>
      <c r="L1990" s="1" t="str">
        <f t="shared" si="4000"/>
        <v>0</v>
      </c>
      <c r="M1990" s="1" t="str">
        <f t="shared" si="4000"/>
        <v>0</v>
      </c>
      <c r="N1990" s="1" t="str">
        <f t="shared" si="4000"/>
        <v>0</v>
      </c>
      <c r="O1990" s="1" t="str">
        <f t="shared" si="4000"/>
        <v>0</v>
      </c>
      <c r="P1990" s="1" t="str">
        <f t="shared" si="4000"/>
        <v>0</v>
      </c>
      <c r="Q1990" s="1" t="str">
        <f t="shared" si="3994"/>
        <v>0.0070</v>
      </c>
      <c r="R1990" s="1" t="s">
        <v>25</v>
      </c>
      <c r="T1990" s="1" t="str">
        <f t="shared" si="3995"/>
        <v>0</v>
      </c>
      <c r="U1990" s="1" t="str">
        <f t="shared" si="3999"/>
        <v>0.0070</v>
      </c>
    </row>
    <row r="1991" s="1" customFormat="1" spans="1:21">
      <c r="A1991" s="1" t="str">
        <f>"4601992031033"</f>
        <v>4601992031033</v>
      </c>
      <c r="B1991" s="1" t="s">
        <v>2015</v>
      </c>
      <c r="C1991" s="1" t="s">
        <v>24</v>
      </c>
      <c r="D1991" s="1" t="str">
        <f t="shared" si="3992"/>
        <v>2021</v>
      </c>
      <c r="E1991" s="1" t="str">
        <f>"36.16"</f>
        <v>36.16</v>
      </c>
      <c r="F1991" s="1" t="str">
        <f t="shared" ref="F1991:I1991" si="4001">"0"</f>
        <v>0</v>
      </c>
      <c r="G1991" s="1" t="str">
        <f t="shared" si="4001"/>
        <v>0</v>
      </c>
      <c r="H1991" s="1" t="str">
        <f t="shared" si="4001"/>
        <v>0</v>
      </c>
      <c r="I1991" s="1" t="str">
        <f t="shared" si="4001"/>
        <v>0</v>
      </c>
      <c r="J1991" s="1" t="str">
        <f>"4"</f>
        <v>4</v>
      </c>
      <c r="K1991" s="1" t="str">
        <f t="shared" ref="K1991:P1991" si="4002">"0"</f>
        <v>0</v>
      </c>
      <c r="L1991" s="1" t="str">
        <f t="shared" si="4002"/>
        <v>0</v>
      </c>
      <c r="M1991" s="1" t="str">
        <f t="shared" si="4002"/>
        <v>0</v>
      </c>
      <c r="N1991" s="1" t="str">
        <f t="shared" si="4002"/>
        <v>0</v>
      </c>
      <c r="O1991" s="1" t="str">
        <f t="shared" si="4002"/>
        <v>0</v>
      </c>
      <c r="P1991" s="1" t="str">
        <f t="shared" si="4002"/>
        <v>0</v>
      </c>
      <c r="Q1991" s="1" t="str">
        <f t="shared" si="3994"/>
        <v>0.0070</v>
      </c>
      <c r="R1991" s="1" t="s">
        <v>29</v>
      </c>
      <c r="S1991" s="1">
        <v>-0.0014</v>
      </c>
      <c r="T1991" s="1" t="str">
        <f t="shared" si="3995"/>
        <v>0</v>
      </c>
      <c r="U1991" s="1" t="str">
        <f t="shared" ref="U1991:U1999" si="4003">"0.0056"</f>
        <v>0.0056</v>
      </c>
    </row>
    <row r="1992" s="1" customFormat="1" spans="1:21">
      <c r="A1992" s="1" t="str">
        <f>"4601992031098"</f>
        <v>4601992031098</v>
      </c>
      <c r="B1992" s="1" t="s">
        <v>2016</v>
      </c>
      <c r="C1992" s="1" t="s">
        <v>24</v>
      </c>
      <c r="D1992" s="1" t="str">
        <f t="shared" si="3992"/>
        <v>2021</v>
      </c>
      <c r="E1992" s="1" t="str">
        <f t="shared" ref="E1992:P1992" si="4004">"0"</f>
        <v>0</v>
      </c>
      <c r="F1992" s="1" t="str">
        <f t="shared" si="4004"/>
        <v>0</v>
      </c>
      <c r="G1992" s="1" t="str">
        <f t="shared" si="4004"/>
        <v>0</v>
      </c>
      <c r="H1992" s="1" t="str">
        <f t="shared" si="4004"/>
        <v>0</v>
      </c>
      <c r="I1992" s="1" t="str">
        <f t="shared" si="4004"/>
        <v>0</v>
      </c>
      <c r="J1992" s="1" t="str">
        <f t="shared" si="4004"/>
        <v>0</v>
      </c>
      <c r="K1992" s="1" t="str">
        <f t="shared" si="4004"/>
        <v>0</v>
      </c>
      <c r="L1992" s="1" t="str">
        <f t="shared" si="4004"/>
        <v>0</v>
      </c>
      <c r="M1992" s="1" t="str">
        <f t="shared" si="4004"/>
        <v>0</v>
      </c>
      <c r="N1992" s="1" t="str">
        <f t="shared" si="4004"/>
        <v>0</v>
      </c>
      <c r="O1992" s="1" t="str">
        <f t="shared" si="4004"/>
        <v>0</v>
      </c>
      <c r="P1992" s="1" t="str">
        <f t="shared" si="4004"/>
        <v>0</v>
      </c>
      <c r="Q1992" s="1" t="str">
        <f t="shared" si="3994"/>
        <v>0.0070</v>
      </c>
      <c r="R1992" s="1" t="s">
        <v>25</v>
      </c>
      <c r="T1992" s="1" t="str">
        <f t="shared" si="3995"/>
        <v>0</v>
      </c>
      <c r="U1992" s="1" t="str">
        <f t="shared" si="3999"/>
        <v>0.0070</v>
      </c>
    </row>
    <row r="1993" s="1" customFormat="1" spans="1:21">
      <c r="A1993" s="1" t="str">
        <f>"4601992031172"</f>
        <v>4601992031172</v>
      </c>
      <c r="B1993" s="1" t="s">
        <v>2017</v>
      </c>
      <c r="C1993" s="1" t="s">
        <v>24</v>
      </c>
      <c r="D1993" s="1" t="str">
        <f t="shared" si="3992"/>
        <v>2021</v>
      </c>
      <c r="E1993" s="1" t="str">
        <f t="shared" ref="E1993:P1993" si="4005">"0"</f>
        <v>0</v>
      </c>
      <c r="F1993" s="1" t="str">
        <f t="shared" si="4005"/>
        <v>0</v>
      </c>
      <c r="G1993" s="1" t="str">
        <f t="shared" si="4005"/>
        <v>0</v>
      </c>
      <c r="H1993" s="1" t="str">
        <f t="shared" si="4005"/>
        <v>0</v>
      </c>
      <c r="I1993" s="1" t="str">
        <f t="shared" si="4005"/>
        <v>0</v>
      </c>
      <c r="J1993" s="1" t="str">
        <f t="shared" si="4005"/>
        <v>0</v>
      </c>
      <c r="K1993" s="1" t="str">
        <f t="shared" si="4005"/>
        <v>0</v>
      </c>
      <c r="L1993" s="1" t="str">
        <f t="shared" si="4005"/>
        <v>0</v>
      </c>
      <c r="M1993" s="1" t="str">
        <f t="shared" si="4005"/>
        <v>0</v>
      </c>
      <c r="N1993" s="1" t="str">
        <f t="shared" si="4005"/>
        <v>0</v>
      </c>
      <c r="O1993" s="1" t="str">
        <f t="shared" si="4005"/>
        <v>0</v>
      </c>
      <c r="P1993" s="1" t="str">
        <f t="shared" si="4005"/>
        <v>0</v>
      </c>
      <c r="Q1993" s="1" t="str">
        <f t="shared" si="3994"/>
        <v>0.0070</v>
      </c>
      <c r="R1993" s="1" t="s">
        <v>25</v>
      </c>
      <c r="T1993" s="1" t="str">
        <f t="shared" si="3995"/>
        <v>0</v>
      </c>
      <c r="U1993" s="1" t="str">
        <f t="shared" si="3999"/>
        <v>0.0070</v>
      </c>
    </row>
    <row r="1994" s="1" customFormat="1" spans="1:21">
      <c r="A1994" s="1" t="str">
        <f>"4601992031140"</f>
        <v>4601992031140</v>
      </c>
      <c r="B1994" s="1" t="s">
        <v>2018</v>
      </c>
      <c r="C1994" s="1" t="s">
        <v>24</v>
      </c>
      <c r="D1994" s="1" t="str">
        <f t="shared" si="3992"/>
        <v>2021</v>
      </c>
      <c r="E1994" s="1" t="str">
        <f>"61.29"</f>
        <v>61.29</v>
      </c>
      <c r="F1994" s="1" t="str">
        <f t="shared" ref="F1994:I1994" si="4006">"0"</f>
        <v>0</v>
      </c>
      <c r="G1994" s="1" t="str">
        <f t="shared" si="4006"/>
        <v>0</v>
      </c>
      <c r="H1994" s="1" t="str">
        <f t="shared" si="4006"/>
        <v>0</v>
      </c>
      <c r="I1994" s="1" t="str">
        <f t="shared" si="4006"/>
        <v>0</v>
      </c>
      <c r="J1994" s="1" t="str">
        <f>"5"</f>
        <v>5</v>
      </c>
      <c r="K1994" s="1" t="str">
        <f t="shared" ref="K1994:P1994" si="4007">"0"</f>
        <v>0</v>
      </c>
      <c r="L1994" s="1" t="str">
        <f t="shared" si="4007"/>
        <v>0</v>
      </c>
      <c r="M1994" s="1" t="str">
        <f t="shared" si="4007"/>
        <v>0</v>
      </c>
      <c r="N1994" s="1" t="str">
        <f t="shared" si="4007"/>
        <v>0</v>
      </c>
      <c r="O1994" s="1" t="str">
        <f t="shared" si="4007"/>
        <v>0</v>
      </c>
      <c r="P1994" s="1" t="str">
        <f t="shared" si="4007"/>
        <v>0</v>
      </c>
      <c r="Q1994" s="1" t="str">
        <f t="shared" si="3994"/>
        <v>0.0070</v>
      </c>
      <c r="R1994" s="1" t="s">
        <v>29</v>
      </c>
      <c r="S1994" s="1">
        <v>-0.0014</v>
      </c>
      <c r="T1994" s="1" t="str">
        <f t="shared" si="3995"/>
        <v>0</v>
      </c>
      <c r="U1994" s="1" t="str">
        <f t="shared" si="4003"/>
        <v>0.0056</v>
      </c>
    </row>
    <row r="1995" s="1" customFormat="1" spans="1:21">
      <c r="A1995" s="1" t="str">
        <f>"4601992031133"</f>
        <v>4601992031133</v>
      </c>
      <c r="B1995" s="1" t="s">
        <v>2019</v>
      </c>
      <c r="C1995" s="1" t="s">
        <v>24</v>
      </c>
      <c r="D1995" s="1" t="str">
        <f t="shared" si="3992"/>
        <v>2021</v>
      </c>
      <c r="E1995" s="1" t="str">
        <f>"96.39"</f>
        <v>96.39</v>
      </c>
      <c r="F1995" s="1" t="str">
        <f t="shared" ref="F1995:I1995" si="4008">"0"</f>
        <v>0</v>
      </c>
      <c r="G1995" s="1" t="str">
        <f t="shared" si="4008"/>
        <v>0</v>
      </c>
      <c r="H1995" s="1" t="str">
        <f t="shared" si="4008"/>
        <v>0</v>
      </c>
      <c r="I1995" s="1" t="str">
        <f t="shared" si="4008"/>
        <v>0</v>
      </c>
      <c r="J1995" s="1" t="str">
        <f>"8"</f>
        <v>8</v>
      </c>
      <c r="K1995" s="1" t="str">
        <f t="shared" ref="K1995:P1995" si="4009">"0"</f>
        <v>0</v>
      </c>
      <c r="L1995" s="1" t="str">
        <f t="shared" si="4009"/>
        <v>0</v>
      </c>
      <c r="M1995" s="1" t="str">
        <f t="shared" si="4009"/>
        <v>0</v>
      </c>
      <c r="N1995" s="1" t="str">
        <f t="shared" si="4009"/>
        <v>0</v>
      </c>
      <c r="O1995" s="1" t="str">
        <f t="shared" si="4009"/>
        <v>0</v>
      </c>
      <c r="P1995" s="1" t="str">
        <f t="shared" si="4009"/>
        <v>0</v>
      </c>
      <c r="Q1995" s="1" t="str">
        <f t="shared" si="3994"/>
        <v>0.0070</v>
      </c>
      <c r="R1995" s="1" t="s">
        <v>29</v>
      </c>
      <c r="S1995" s="1">
        <v>-0.0014</v>
      </c>
      <c r="T1995" s="1" t="str">
        <f t="shared" si="3995"/>
        <v>0</v>
      </c>
      <c r="U1995" s="1" t="str">
        <f t="shared" si="4003"/>
        <v>0.0056</v>
      </c>
    </row>
    <row r="1996" s="1" customFormat="1" spans="1:21">
      <c r="A1996" s="1" t="str">
        <f>"4601992031118"</f>
        <v>4601992031118</v>
      </c>
      <c r="B1996" s="1" t="s">
        <v>2020</v>
      </c>
      <c r="C1996" s="1" t="s">
        <v>24</v>
      </c>
      <c r="D1996" s="1" t="str">
        <f t="shared" si="3992"/>
        <v>2021</v>
      </c>
      <c r="E1996" s="1" t="str">
        <f>"72.54"</f>
        <v>72.54</v>
      </c>
      <c r="F1996" s="1" t="str">
        <f t="shared" ref="F1996:I1996" si="4010">"0"</f>
        <v>0</v>
      </c>
      <c r="G1996" s="1" t="str">
        <f t="shared" si="4010"/>
        <v>0</v>
      </c>
      <c r="H1996" s="1" t="str">
        <f t="shared" si="4010"/>
        <v>0</v>
      </c>
      <c r="I1996" s="1" t="str">
        <f t="shared" si="4010"/>
        <v>0</v>
      </c>
      <c r="J1996" s="1" t="str">
        <f>"6"</f>
        <v>6</v>
      </c>
      <c r="K1996" s="1" t="str">
        <f t="shared" ref="K1996:P1996" si="4011">"0"</f>
        <v>0</v>
      </c>
      <c r="L1996" s="1" t="str">
        <f t="shared" si="4011"/>
        <v>0</v>
      </c>
      <c r="M1996" s="1" t="str">
        <f t="shared" si="4011"/>
        <v>0</v>
      </c>
      <c r="N1996" s="1" t="str">
        <f t="shared" si="4011"/>
        <v>0</v>
      </c>
      <c r="O1996" s="1" t="str">
        <f t="shared" si="4011"/>
        <v>0</v>
      </c>
      <c r="P1996" s="1" t="str">
        <f t="shared" si="4011"/>
        <v>0</v>
      </c>
      <c r="Q1996" s="1" t="str">
        <f t="shared" si="3994"/>
        <v>0.0070</v>
      </c>
      <c r="R1996" s="1" t="s">
        <v>29</v>
      </c>
      <c r="S1996" s="1">
        <v>-0.0014</v>
      </c>
      <c r="T1996" s="1" t="str">
        <f t="shared" si="3995"/>
        <v>0</v>
      </c>
      <c r="U1996" s="1" t="str">
        <f t="shared" si="4003"/>
        <v>0.0056</v>
      </c>
    </row>
    <row r="1997" s="1" customFormat="1" spans="1:21">
      <c r="A1997" s="1" t="str">
        <f>"4601992031187"</f>
        <v>4601992031187</v>
      </c>
      <c r="B1997" s="1" t="s">
        <v>2021</v>
      </c>
      <c r="C1997" s="1" t="s">
        <v>24</v>
      </c>
      <c r="D1997" s="1" t="str">
        <f t="shared" si="3992"/>
        <v>2021</v>
      </c>
      <c r="E1997" s="1" t="str">
        <f>"128.67"</f>
        <v>128.67</v>
      </c>
      <c r="F1997" s="1" t="str">
        <f t="shared" ref="F1997:I1997" si="4012">"0"</f>
        <v>0</v>
      </c>
      <c r="G1997" s="1" t="str">
        <f t="shared" si="4012"/>
        <v>0</v>
      </c>
      <c r="H1997" s="1" t="str">
        <f t="shared" si="4012"/>
        <v>0</v>
      </c>
      <c r="I1997" s="1" t="str">
        <f t="shared" si="4012"/>
        <v>0</v>
      </c>
      <c r="J1997" s="1" t="str">
        <f>"7"</f>
        <v>7</v>
      </c>
      <c r="K1997" s="1" t="str">
        <f t="shared" ref="K1997:P1997" si="4013">"0"</f>
        <v>0</v>
      </c>
      <c r="L1997" s="1" t="str">
        <f t="shared" si="4013"/>
        <v>0</v>
      </c>
      <c r="M1997" s="1" t="str">
        <f t="shared" si="4013"/>
        <v>0</v>
      </c>
      <c r="N1997" s="1" t="str">
        <f t="shared" si="4013"/>
        <v>0</v>
      </c>
      <c r="O1997" s="1" t="str">
        <f t="shared" si="4013"/>
        <v>0</v>
      </c>
      <c r="P1997" s="1" t="str">
        <f t="shared" si="4013"/>
        <v>0</v>
      </c>
      <c r="Q1997" s="1" t="str">
        <f t="shared" si="3994"/>
        <v>0.0070</v>
      </c>
      <c r="R1997" s="1" t="s">
        <v>29</v>
      </c>
      <c r="S1997" s="1">
        <v>-0.0014</v>
      </c>
      <c r="T1997" s="1" t="str">
        <f t="shared" si="3995"/>
        <v>0</v>
      </c>
      <c r="U1997" s="1" t="str">
        <f t="shared" si="4003"/>
        <v>0.0056</v>
      </c>
    </row>
    <row r="1998" s="1" customFormat="1" spans="1:21">
      <c r="A1998" s="1" t="str">
        <f>"4601992031183"</f>
        <v>4601992031183</v>
      </c>
      <c r="B1998" s="1" t="s">
        <v>2022</v>
      </c>
      <c r="C1998" s="1" t="s">
        <v>24</v>
      </c>
      <c r="D1998" s="1" t="str">
        <f t="shared" si="3992"/>
        <v>2021</v>
      </c>
      <c r="E1998" s="1" t="str">
        <f>"133.00"</f>
        <v>133.00</v>
      </c>
      <c r="F1998" s="1" t="str">
        <f t="shared" ref="F1998:I1998" si="4014">"0"</f>
        <v>0</v>
      </c>
      <c r="G1998" s="1" t="str">
        <f t="shared" si="4014"/>
        <v>0</v>
      </c>
      <c r="H1998" s="1" t="str">
        <f t="shared" si="4014"/>
        <v>0</v>
      </c>
      <c r="I1998" s="1" t="str">
        <f t="shared" si="4014"/>
        <v>0</v>
      </c>
      <c r="J1998" s="1" t="str">
        <f>"12"</f>
        <v>12</v>
      </c>
      <c r="K1998" s="1" t="str">
        <f t="shared" ref="K1998:P1998" si="4015">"0"</f>
        <v>0</v>
      </c>
      <c r="L1998" s="1" t="str">
        <f t="shared" si="4015"/>
        <v>0</v>
      </c>
      <c r="M1998" s="1" t="str">
        <f t="shared" si="4015"/>
        <v>0</v>
      </c>
      <c r="N1998" s="1" t="str">
        <f t="shared" si="4015"/>
        <v>0</v>
      </c>
      <c r="O1998" s="1" t="str">
        <f t="shared" si="4015"/>
        <v>0</v>
      </c>
      <c r="P1998" s="1" t="str">
        <f t="shared" si="4015"/>
        <v>0</v>
      </c>
      <c r="Q1998" s="1" t="str">
        <f t="shared" si="3994"/>
        <v>0.0070</v>
      </c>
      <c r="R1998" s="1" t="s">
        <v>29</v>
      </c>
      <c r="S1998" s="1">
        <v>-0.0014</v>
      </c>
      <c r="T1998" s="1" t="str">
        <f t="shared" si="3995"/>
        <v>0</v>
      </c>
      <c r="U1998" s="1" t="str">
        <f t="shared" si="4003"/>
        <v>0.0056</v>
      </c>
    </row>
    <row r="1999" s="1" customFormat="1" spans="1:21">
      <c r="A1999" s="1" t="str">
        <f>"4601992031196"</f>
        <v>4601992031196</v>
      </c>
      <c r="B1999" s="1" t="s">
        <v>2023</v>
      </c>
      <c r="C1999" s="1" t="s">
        <v>24</v>
      </c>
      <c r="D1999" s="1" t="str">
        <f t="shared" si="3992"/>
        <v>2021</v>
      </c>
      <c r="E1999" s="1" t="str">
        <f>"12.09"</f>
        <v>12.09</v>
      </c>
      <c r="F1999" s="1" t="str">
        <f t="shared" ref="F1999:I1999" si="4016">"0"</f>
        <v>0</v>
      </c>
      <c r="G1999" s="1" t="str">
        <f t="shared" si="4016"/>
        <v>0</v>
      </c>
      <c r="H1999" s="1" t="str">
        <f t="shared" si="4016"/>
        <v>0</v>
      </c>
      <c r="I1999" s="1" t="str">
        <f t="shared" si="4016"/>
        <v>0</v>
      </c>
      <c r="J1999" s="1" t="str">
        <f>"1"</f>
        <v>1</v>
      </c>
      <c r="K1999" s="1" t="str">
        <f t="shared" ref="K1999:P1999" si="4017">"0"</f>
        <v>0</v>
      </c>
      <c r="L1999" s="1" t="str">
        <f t="shared" si="4017"/>
        <v>0</v>
      </c>
      <c r="M1999" s="1" t="str">
        <f t="shared" si="4017"/>
        <v>0</v>
      </c>
      <c r="N1999" s="1" t="str">
        <f t="shared" si="4017"/>
        <v>0</v>
      </c>
      <c r="O1999" s="1" t="str">
        <f t="shared" si="4017"/>
        <v>0</v>
      </c>
      <c r="P1999" s="1" t="str">
        <f t="shared" si="4017"/>
        <v>0</v>
      </c>
      <c r="Q1999" s="1" t="str">
        <f t="shared" si="3994"/>
        <v>0.0070</v>
      </c>
      <c r="R1999" s="1" t="s">
        <v>29</v>
      </c>
      <c r="S1999" s="1">
        <v>-0.0014</v>
      </c>
      <c r="T1999" s="1" t="str">
        <f t="shared" si="3995"/>
        <v>0</v>
      </c>
      <c r="U1999" s="1" t="str">
        <f t="shared" si="4003"/>
        <v>0.0056</v>
      </c>
    </row>
    <row r="2000" s="1" customFormat="1" spans="1:21">
      <c r="A2000" s="1" t="str">
        <f>"4601992031160"</f>
        <v>4601992031160</v>
      </c>
      <c r="B2000" s="1" t="s">
        <v>2024</v>
      </c>
      <c r="C2000" s="1" t="s">
        <v>24</v>
      </c>
      <c r="D2000" s="1" t="str">
        <f t="shared" si="3992"/>
        <v>2021</v>
      </c>
      <c r="E2000" s="1" t="str">
        <f>"36.27"</f>
        <v>36.27</v>
      </c>
      <c r="F2000" s="1" t="str">
        <f t="shared" ref="F2000:I2000" si="4018">"0"</f>
        <v>0</v>
      </c>
      <c r="G2000" s="1" t="str">
        <f t="shared" si="4018"/>
        <v>0</v>
      </c>
      <c r="H2000" s="1" t="str">
        <f t="shared" si="4018"/>
        <v>0</v>
      </c>
      <c r="I2000" s="1" t="str">
        <f t="shared" si="4018"/>
        <v>0</v>
      </c>
      <c r="J2000" s="1" t="str">
        <f>"2"</f>
        <v>2</v>
      </c>
      <c r="K2000" s="1" t="str">
        <f t="shared" ref="K2000:P2000" si="4019">"0"</f>
        <v>0</v>
      </c>
      <c r="L2000" s="1" t="str">
        <f t="shared" si="4019"/>
        <v>0</v>
      </c>
      <c r="M2000" s="1" t="str">
        <f t="shared" si="4019"/>
        <v>0</v>
      </c>
      <c r="N2000" s="1" t="str">
        <f t="shared" si="4019"/>
        <v>0</v>
      </c>
      <c r="O2000" s="1" t="str">
        <f t="shared" si="4019"/>
        <v>0</v>
      </c>
      <c r="P2000" s="1" t="str">
        <f t="shared" si="4019"/>
        <v>0</v>
      </c>
      <c r="Q2000" s="1" t="str">
        <f t="shared" si="3994"/>
        <v>0.0070</v>
      </c>
      <c r="R2000" s="1" t="s">
        <v>25</v>
      </c>
      <c r="T2000" s="1" t="str">
        <f t="shared" si="3995"/>
        <v>0</v>
      </c>
      <c r="U2000" s="1" t="str">
        <f t="shared" ref="U2000:U2002" si="4020">"0.0070"</f>
        <v>0.0070</v>
      </c>
    </row>
    <row r="2001" s="1" customFormat="1" spans="1:21">
      <c r="A2001" s="1" t="str">
        <f>"4601992031250"</f>
        <v>4601992031250</v>
      </c>
      <c r="B2001" s="1" t="s">
        <v>2025</v>
      </c>
      <c r="C2001" s="1" t="s">
        <v>24</v>
      </c>
      <c r="D2001" s="1" t="str">
        <f t="shared" si="3992"/>
        <v>2021</v>
      </c>
      <c r="E2001" s="1" t="str">
        <f t="shared" ref="E2001:P2001" si="4021">"0"</f>
        <v>0</v>
      </c>
      <c r="F2001" s="1" t="str">
        <f t="shared" si="4021"/>
        <v>0</v>
      </c>
      <c r="G2001" s="1" t="str">
        <f t="shared" si="4021"/>
        <v>0</v>
      </c>
      <c r="H2001" s="1" t="str">
        <f t="shared" si="4021"/>
        <v>0</v>
      </c>
      <c r="I2001" s="1" t="str">
        <f t="shared" si="4021"/>
        <v>0</v>
      </c>
      <c r="J2001" s="1" t="str">
        <f t="shared" si="4021"/>
        <v>0</v>
      </c>
      <c r="K2001" s="1" t="str">
        <f t="shared" si="4021"/>
        <v>0</v>
      </c>
      <c r="L2001" s="1" t="str">
        <f t="shared" si="4021"/>
        <v>0</v>
      </c>
      <c r="M2001" s="1" t="str">
        <f t="shared" si="4021"/>
        <v>0</v>
      </c>
      <c r="N2001" s="1" t="str">
        <f t="shared" si="4021"/>
        <v>0</v>
      </c>
      <c r="O2001" s="1" t="str">
        <f t="shared" si="4021"/>
        <v>0</v>
      </c>
      <c r="P2001" s="1" t="str">
        <f t="shared" si="4021"/>
        <v>0</v>
      </c>
      <c r="Q2001" s="1" t="str">
        <f t="shared" si="3994"/>
        <v>0.0070</v>
      </c>
      <c r="R2001" s="1" t="s">
        <v>25</v>
      </c>
      <c r="T2001" s="1" t="str">
        <f t="shared" si="3995"/>
        <v>0</v>
      </c>
      <c r="U2001" s="1" t="str">
        <f t="shared" si="4020"/>
        <v>0.0070</v>
      </c>
    </row>
    <row r="2002" s="1" customFormat="1" spans="1:21">
      <c r="A2002" s="1" t="str">
        <f>"4601992031321"</f>
        <v>4601992031321</v>
      </c>
      <c r="B2002" s="1" t="s">
        <v>2026</v>
      </c>
      <c r="C2002" s="1" t="s">
        <v>24</v>
      </c>
      <c r="D2002" s="1" t="str">
        <f t="shared" si="3992"/>
        <v>2021</v>
      </c>
      <c r="E2002" s="1" t="str">
        <f t="shared" ref="E2002:P2002" si="4022">"0"</f>
        <v>0</v>
      </c>
      <c r="F2002" s="1" t="str">
        <f t="shared" si="4022"/>
        <v>0</v>
      </c>
      <c r="G2002" s="1" t="str">
        <f t="shared" si="4022"/>
        <v>0</v>
      </c>
      <c r="H2002" s="1" t="str">
        <f t="shared" si="4022"/>
        <v>0</v>
      </c>
      <c r="I2002" s="1" t="str">
        <f t="shared" si="4022"/>
        <v>0</v>
      </c>
      <c r="J2002" s="1" t="str">
        <f t="shared" si="4022"/>
        <v>0</v>
      </c>
      <c r="K2002" s="1" t="str">
        <f t="shared" si="4022"/>
        <v>0</v>
      </c>
      <c r="L2002" s="1" t="str">
        <f t="shared" si="4022"/>
        <v>0</v>
      </c>
      <c r="M2002" s="1" t="str">
        <f t="shared" si="4022"/>
        <v>0</v>
      </c>
      <c r="N2002" s="1" t="str">
        <f t="shared" si="4022"/>
        <v>0</v>
      </c>
      <c r="O2002" s="1" t="str">
        <f t="shared" si="4022"/>
        <v>0</v>
      </c>
      <c r="P2002" s="1" t="str">
        <f t="shared" si="4022"/>
        <v>0</v>
      </c>
      <c r="Q2002" s="1" t="str">
        <f t="shared" si="3994"/>
        <v>0.0070</v>
      </c>
      <c r="R2002" s="1" t="s">
        <v>25</v>
      </c>
      <c r="T2002" s="1" t="str">
        <f t="shared" si="3995"/>
        <v>0</v>
      </c>
      <c r="U2002" s="1" t="str">
        <f t="shared" si="4020"/>
        <v>0.0070</v>
      </c>
    </row>
    <row r="2003" s="1" customFormat="1" spans="1:21">
      <c r="A2003" s="1" t="str">
        <f>"4601992031202"</f>
        <v>4601992031202</v>
      </c>
      <c r="B2003" s="1" t="s">
        <v>2027</v>
      </c>
      <c r="C2003" s="1" t="s">
        <v>24</v>
      </c>
      <c r="D2003" s="1" t="str">
        <f t="shared" si="3992"/>
        <v>2021</v>
      </c>
      <c r="E2003" s="1" t="str">
        <f t="shared" ref="E2003:E2008" si="4023">"12.09"</f>
        <v>12.09</v>
      </c>
      <c r="F2003" s="1" t="str">
        <f t="shared" ref="F2003:I2003" si="4024">"0"</f>
        <v>0</v>
      </c>
      <c r="G2003" s="1" t="str">
        <f t="shared" si="4024"/>
        <v>0</v>
      </c>
      <c r="H2003" s="1" t="str">
        <f t="shared" si="4024"/>
        <v>0</v>
      </c>
      <c r="I2003" s="1" t="str">
        <f t="shared" si="4024"/>
        <v>0</v>
      </c>
      <c r="J2003" s="1" t="str">
        <f t="shared" ref="J2003:J2008" si="4025">"1"</f>
        <v>1</v>
      </c>
      <c r="K2003" s="1" t="str">
        <f t="shared" ref="K2003:P2003" si="4026">"0"</f>
        <v>0</v>
      </c>
      <c r="L2003" s="1" t="str">
        <f t="shared" si="4026"/>
        <v>0</v>
      </c>
      <c r="M2003" s="1" t="str">
        <f t="shared" si="4026"/>
        <v>0</v>
      </c>
      <c r="N2003" s="1" t="str">
        <f t="shared" si="4026"/>
        <v>0</v>
      </c>
      <c r="O2003" s="1" t="str">
        <f t="shared" si="4026"/>
        <v>0</v>
      </c>
      <c r="P2003" s="1" t="str">
        <f t="shared" si="4026"/>
        <v>0</v>
      </c>
      <c r="Q2003" s="1" t="str">
        <f t="shared" si="3994"/>
        <v>0.0070</v>
      </c>
      <c r="R2003" s="1" t="s">
        <v>29</v>
      </c>
      <c r="S2003" s="1">
        <v>-0.0014</v>
      </c>
      <c r="T2003" s="1" t="str">
        <f t="shared" si="3995"/>
        <v>0</v>
      </c>
      <c r="U2003" s="1" t="str">
        <f t="shared" ref="U2003:U2006" si="4027">"0.0056"</f>
        <v>0.0056</v>
      </c>
    </row>
    <row r="2004" s="1" customFormat="1" spans="1:21">
      <c r="A2004" s="1" t="str">
        <f>"4601992031357"</f>
        <v>4601992031357</v>
      </c>
      <c r="B2004" s="1" t="s">
        <v>2028</v>
      </c>
      <c r="C2004" s="1" t="s">
        <v>24</v>
      </c>
      <c r="D2004" s="1" t="str">
        <f t="shared" si="3992"/>
        <v>2021</v>
      </c>
      <c r="E2004" s="1" t="str">
        <f t="shared" ref="E2004:P2004" si="4028">"0"</f>
        <v>0</v>
      </c>
      <c r="F2004" s="1" t="str">
        <f t="shared" si="4028"/>
        <v>0</v>
      </c>
      <c r="G2004" s="1" t="str">
        <f t="shared" si="4028"/>
        <v>0</v>
      </c>
      <c r="H2004" s="1" t="str">
        <f t="shared" si="4028"/>
        <v>0</v>
      </c>
      <c r="I2004" s="1" t="str">
        <f t="shared" si="4028"/>
        <v>0</v>
      </c>
      <c r="J2004" s="1" t="str">
        <f t="shared" si="4028"/>
        <v>0</v>
      </c>
      <c r="K2004" s="1" t="str">
        <f t="shared" si="4028"/>
        <v>0</v>
      </c>
      <c r="L2004" s="1" t="str">
        <f t="shared" si="4028"/>
        <v>0</v>
      </c>
      <c r="M2004" s="1" t="str">
        <f t="shared" si="4028"/>
        <v>0</v>
      </c>
      <c r="N2004" s="1" t="str">
        <f t="shared" si="4028"/>
        <v>0</v>
      </c>
      <c r="O2004" s="1" t="str">
        <f t="shared" si="4028"/>
        <v>0</v>
      </c>
      <c r="P2004" s="1" t="str">
        <f t="shared" si="4028"/>
        <v>0</v>
      </c>
      <c r="Q2004" s="1" t="str">
        <f t="shared" si="3994"/>
        <v>0.0070</v>
      </c>
      <c r="R2004" s="1" t="s">
        <v>25</v>
      </c>
      <c r="T2004" s="1" t="str">
        <f t="shared" si="3995"/>
        <v>0</v>
      </c>
      <c r="U2004" s="1" t="str">
        <f>"0.0070"</f>
        <v>0.0070</v>
      </c>
    </row>
    <row r="2005" s="1" customFormat="1" spans="1:21">
      <c r="A2005" s="1" t="str">
        <f>"4601992031297"</f>
        <v>4601992031297</v>
      </c>
      <c r="B2005" s="1" t="s">
        <v>2029</v>
      </c>
      <c r="C2005" s="1" t="s">
        <v>24</v>
      </c>
      <c r="D2005" s="1" t="str">
        <f t="shared" si="3992"/>
        <v>2021</v>
      </c>
      <c r="E2005" s="1" t="str">
        <f>"36.27"</f>
        <v>36.27</v>
      </c>
      <c r="F2005" s="1" t="str">
        <f t="shared" ref="F2005:I2005" si="4029">"0"</f>
        <v>0</v>
      </c>
      <c r="G2005" s="1" t="str">
        <f t="shared" si="4029"/>
        <v>0</v>
      </c>
      <c r="H2005" s="1" t="str">
        <f t="shared" si="4029"/>
        <v>0</v>
      </c>
      <c r="I2005" s="1" t="str">
        <f t="shared" si="4029"/>
        <v>0</v>
      </c>
      <c r="J2005" s="1" t="str">
        <f>"3"</f>
        <v>3</v>
      </c>
      <c r="K2005" s="1" t="str">
        <f t="shared" ref="K2005:P2005" si="4030">"0"</f>
        <v>0</v>
      </c>
      <c r="L2005" s="1" t="str">
        <f t="shared" si="4030"/>
        <v>0</v>
      </c>
      <c r="M2005" s="1" t="str">
        <f t="shared" si="4030"/>
        <v>0</v>
      </c>
      <c r="N2005" s="1" t="str">
        <f t="shared" si="4030"/>
        <v>0</v>
      </c>
      <c r="O2005" s="1" t="str">
        <f t="shared" si="4030"/>
        <v>0</v>
      </c>
      <c r="P2005" s="1" t="str">
        <f t="shared" si="4030"/>
        <v>0</v>
      </c>
      <c r="Q2005" s="1" t="str">
        <f t="shared" si="3994"/>
        <v>0.0070</v>
      </c>
      <c r="R2005" s="1" t="s">
        <v>29</v>
      </c>
      <c r="S2005" s="1">
        <v>-0.0014</v>
      </c>
      <c r="T2005" s="1" t="str">
        <f t="shared" si="3995"/>
        <v>0</v>
      </c>
      <c r="U2005" s="1" t="str">
        <f t="shared" si="4027"/>
        <v>0.0056</v>
      </c>
    </row>
    <row r="2006" s="1" customFormat="1" spans="1:21">
      <c r="A2006" s="1" t="str">
        <f>"4601992031323"</f>
        <v>4601992031323</v>
      </c>
      <c r="B2006" s="1" t="s">
        <v>2030</v>
      </c>
      <c r="C2006" s="1" t="s">
        <v>24</v>
      </c>
      <c r="D2006" s="1" t="str">
        <f t="shared" si="3992"/>
        <v>2021</v>
      </c>
      <c r="E2006" s="1" t="str">
        <f t="shared" si="4023"/>
        <v>12.09</v>
      </c>
      <c r="F2006" s="1" t="str">
        <f t="shared" ref="F2006:I2006" si="4031">"0"</f>
        <v>0</v>
      </c>
      <c r="G2006" s="1" t="str">
        <f t="shared" si="4031"/>
        <v>0</v>
      </c>
      <c r="H2006" s="1" t="str">
        <f t="shared" si="4031"/>
        <v>0</v>
      </c>
      <c r="I2006" s="1" t="str">
        <f t="shared" si="4031"/>
        <v>0</v>
      </c>
      <c r="J2006" s="1" t="str">
        <f t="shared" si="4025"/>
        <v>1</v>
      </c>
      <c r="K2006" s="1" t="str">
        <f t="shared" ref="K2006:P2006" si="4032">"0"</f>
        <v>0</v>
      </c>
      <c r="L2006" s="1" t="str">
        <f t="shared" si="4032"/>
        <v>0</v>
      </c>
      <c r="M2006" s="1" t="str">
        <f t="shared" si="4032"/>
        <v>0</v>
      </c>
      <c r="N2006" s="1" t="str">
        <f t="shared" si="4032"/>
        <v>0</v>
      </c>
      <c r="O2006" s="1" t="str">
        <f t="shared" si="4032"/>
        <v>0</v>
      </c>
      <c r="P2006" s="1" t="str">
        <f t="shared" si="4032"/>
        <v>0</v>
      </c>
      <c r="Q2006" s="1" t="str">
        <f t="shared" si="3994"/>
        <v>0.0070</v>
      </c>
      <c r="R2006" s="1" t="s">
        <v>29</v>
      </c>
      <c r="S2006" s="1">
        <v>-0.0014</v>
      </c>
      <c r="T2006" s="1" t="str">
        <f t="shared" si="3995"/>
        <v>0</v>
      </c>
      <c r="U2006" s="1" t="str">
        <f t="shared" si="4027"/>
        <v>0.0056</v>
      </c>
    </row>
    <row r="2007" s="1" customFormat="1" spans="1:21">
      <c r="A2007" s="1" t="str">
        <f>"4601992031392"</f>
        <v>4601992031392</v>
      </c>
      <c r="B2007" s="1" t="s">
        <v>2031</v>
      </c>
      <c r="C2007" s="1" t="s">
        <v>24</v>
      </c>
      <c r="D2007" s="1" t="str">
        <f t="shared" si="3992"/>
        <v>2021</v>
      </c>
      <c r="E2007" s="1" t="str">
        <f t="shared" ref="E2007:P2007" si="4033">"0"</f>
        <v>0</v>
      </c>
      <c r="F2007" s="1" t="str">
        <f t="shared" si="4033"/>
        <v>0</v>
      </c>
      <c r="G2007" s="1" t="str">
        <f t="shared" si="4033"/>
        <v>0</v>
      </c>
      <c r="H2007" s="1" t="str">
        <f t="shared" si="4033"/>
        <v>0</v>
      </c>
      <c r="I2007" s="1" t="str">
        <f t="shared" si="4033"/>
        <v>0</v>
      </c>
      <c r="J2007" s="1" t="str">
        <f t="shared" si="4033"/>
        <v>0</v>
      </c>
      <c r="K2007" s="1" t="str">
        <f t="shared" si="4033"/>
        <v>0</v>
      </c>
      <c r="L2007" s="1" t="str">
        <f t="shared" si="4033"/>
        <v>0</v>
      </c>
      <c r="M2007" s="1" t="str">
        <f t="shared" si="4033"/>
        <v>0</v>
      </c>
      <c r="N2007" s="1" t="str">
        <f t="shared" si="4033"/>
        <v>0</v>
      </c>
      <c r="O2007" s="1" t="str">
        <f t="shared" si="4033"/>
        <v>0</v>
      </c>
      <c r="P2007" s="1" t="str">
        <f t="shared" si="4033"/>
        <v>0</v>
      </c>
      <c r="Q2007" s="1" t="str">
        <f t="shared" si="3994"/>
        <v>0.0070</v>
      </c>
      <c r="R2007" s="1" t="s">
        <v>25</v>
      </c>
      <c r="T2007" s="1" t="str">
        <f t="shared" si="3995"/>
        <v>0</v>
      </c>
      <c r="U2007" s="1" t="str">
        <f>"0.0070"</f>
        <v>0.0070</v>
      </c>
    </row>
    <row r="2008" s="1" customFormat="1" spans="1:21">
      <c r="A2008" s="1" t="str">
        <f>"4601992031364"</f>
        <v>4601992031364</v>
      </c>
      <c r="B2008" s="1" t="s">
        <v>2032</v>
      </c>
      <c r="C2008" s="1" t="s">
        <v>24</v>
      </c>
      <c r="D2008" s="1" t="str">
        <f t="shared" si="3992"/>
        <v>2021</v>
      </c>
      <c r="E2008" s="1" t="str">
        <f t="shared" si="4023"/>
        <v>12.09</v>
      </c>
      <c r="F2008" s="1" t="str">
        <f t="shared" ref="F2008:I2008" si="4034">"0"</f>
        <v>0</v>
      </c>
      <c r="G2008" s="1" t="str">
        <f t="shared" si="4034"/>
        <v>0</v>
      </c>
      <c r="H2008" s="1" t="str">
        <f t="shared" si="4034"/>
        <v>0</v>
      </c>
      <c r="I2008" s="1" t="str">
        <f t="shared" si="4034"/>
        <v>0</v>
      </c>
      <c r="J2008" s="1" t="str">
        <f t="shared" si="4025"/>
        <v>1</v>
      </c>
      <c r="K2008" s="1" t="str">
        <f t="shared" ref="K2008:P2008" si="4035">"0"</f>
        <v>0</v>
      </c>
      <c r="L2008" s="1" t="str">
        <f t="shared" si="4035"/>
        <v>0</v>
      </c>
      <c r="M2008" s="1" t="str">
        <f t="shared" si="4035"/>
        <v>0</v>
      </c>
      <c r="N2008" s="1" t="str">
        <f t="shared" si="4035"/>
        <v>0</v>
      </c>
      <c r="O2008" s="1" t="str">
        <f t="shared" si="4035"/>
        <v>0</v>
      </c>
      <c r="P2008" s="1" t="str">
        <f t="shared" si="4035"/>
        <v>0</v>
      </c>
      <c r="Q2008" s="1" t="str">
        <f t="shared" si="3994"/>
        <v>0.0070</v>
      </c>
      <c r="R2008" s="1" t="s">
        <v>29</v>
      </c>
      <c r="S2008" s="1">
        <v>-0.0014</v>
      </c>
      <c r="T2008" s="1" t="str">
        <f t="shared" si="3995"/>
        <v>0</v>
      </c>
      <c r="U2008" s="1" t="str">
        <f t="shared" ref="U2008:U2012" si="4036">"0.0056"</f>
        <v>0.0056</v>
      </c>
    </row>
    <row r="2009" s="1" customFormat="1" spans="1:21">
      <c r="A2009" s="1" t="str">
        <f>"4601992031435"</f>
        <v>4601992031435</v>
      </c>
      <c r="B2009" s="1" t="s">
        <v>2033</v>
      </c>
      <c r="C2009" s="1" t="s">
        <v>24</v>
      </c>
      <c r="D2009" s="1" t="str">
        <f t="shared" si="3992"/>
        <v>2021</v>
      </c>
      <c r="E2009" s="1" t="str">
        <f>"23.96"</f>
        <v>23.96</v>
      </c>
      <c r="F2009" s="1" t="str">
        <f t="shared" ref="F2009:I2009" si="4037">"0"</f>
        <v>0</v>
      </c>
      <c r="G2009" s="1" t="str">
        <f t="shared" si="4037"/>
        <v>0</v>
      </c>
      <c r="H2009" s="1" t="str">
        <f t="shared" si="4037"/>
        <v>0</v>
      </c>
      <c r="I2009" s="1" t="str">
        <f t="shared" si="4037"/>
        <v>0</v>
      </c>
      <c r="J2009" s="1" t="str">
        <f>"2"</f>
        <v>2</v>
      </c>
      <c r="K2009" s="1" t="str">
        <f t="shared" ref="K2009:P2009" si="4038">"0"</f>
        <v>0</v>
      </c>
      <c r="L2009" s="1" t="str">
        <f t="shared" si="4038"/>
        <v>0</v>
      </c>
      <c r="M2009" s="1" t="str">
        <f t="shared" si="4038"/>
        <v>0</v>
      </c>
      <c r="N2009" s="1" t="str">
        <f t="shared" si="4038"/>
        <v>0</v>
      </c>
      <c r="O2009" s="1" t="str">
        <f t="shared" si="4038"/>
        <v>0</v>
      </c>
      <c r="P2009" s="1" t="str">
        <f t="shared" si="4038"/>
        <v>0</v>
      </c>
      <c r="Q2009" s="1" t="str">
        <f t="shared" si="3994"/>
        <v>0.0070</v>
      </c>
      <c r="R2009" s="1" t="s">
        <v>29</v>
      </c>
      <c r="S2009" s="1">
        <v>-0.0014</v>
      </c>
      <c r="T2009" s="1" t="str">
        <f t="shared" si="3995"/>
        <v>0</v>
      </c>
      <c r="U2009" s="1" t="str">
        <f t="shared" si="4036"/>
        <v>0.0056</v>
      </c>
    </row>
    <row r="2010" s="1" customFormat="1" spans="1:21">
      <c r="A2010" s="1" t="str">
        <f>"4601992031461"</f>
        <v>4601992031461</v>
      </c>
      <c r="B2010" s="1" t="s">
        <v>2034</v>
      </c>
      <c r="C2010" s="1" t="s">
        <v>24</v>
      </c>
      <c r="D2010" s="1" t="str">
        <f t="shared" si="3992"/>
        <v>2021</v>
      </c>
      <c r="E2010" s="1" t="str">
        <f>"96.72"</f>
        <v>96.72</v>
      </c>
      <c r="F2010" s="1" t="str">
        <f t="shared" ref="F2010:I2010" si="4039">"0"</f>
        <v>0</v>
      </c>
      <c r="G2010" s="1" t="str">
        <f t="shared" si="4039"/>
        <v>0</v>
      </c>
      <c r="H2010" s="1" t="str">
        <f t="shared" si="4039"/>
        <v>0</v>
      </c>
      <c r="I2010" s="1" t="str">
        <f t="shared" si="4039"/>
        <v>0</v>
      </c>
      <c r="J2010" s="1" t="str">
        <f>"10"</f>
        <v>10</v>
      </c>
      <c r="K2010" s="1" t="str">
        <f t="shared" ref="K2010:P2010" si="4040">"0"</f>
        <v>0</v>
      </c>
      <c r="L2010" s="1" t="str">
        <f t="shared" si="4040"/>
        <v>0</v>
      </c>
      <c r="M2010" s="1" t="str">
        <f t="shared" si="4040"/>
        <v>0</v>
      </c>
      <c r="N2010" s="1" t="str">
        <f t="shared" si="4040"/>
        <v>0</v>
      </c>
      <c r="O2010" s="1" t="str">
        <f t="shared" si="4040"/>
        <v>0</v>
      </c>
      <c r="P2010" s="1" t="str">
        <f t="shared" si="4040"/>
        <v>0</v>
      </c>
      <c r="Q2010" s="1" t="str">
        <f t="shared" si="3994"/>
        <v>0.0070</v>
      </c>
      <c r="R2010" s="1" t="s">
        <v>29</v>
      </c>
      <c r="S2010" s="1">
        <v>-0.0014</v>
      </c>
      <c r="T2010" s="1" t="str">
        <f t="shared" si="3995"/>
        <v>0</v>
      </c>
      <c r="U2010" s="1" t="str">
        <f t="shared" si="4036"/>
        <v>0.0056</v>
      </c>
    </row>
    <row r="2011" s="1" customFormat="1" spans="1:21">
      <c r="A2011" s="1" t="str">
        <f>"4601992031396"</f>
        <v>4601992031396</v>
      </c>
      <c r="B2011" s="1" t="s">
        <v>2035</v>
      </c>
      <c r="C2011" s="1" t="s">
        <v>24</v>
      </c>
      <c r="D2011" s="1" t="str">
        <f t="shared" si="3992"/>
        <v>2021</v>
      </c>
      <c r="E2011" s="1" t="str">
        <f>"36.27"</f>
        <v>36.27</v>
      </c>
      <c r="F2011" s="1" t="str">
        <f t="shared" ref="F2011:I2011" si="4041">"0"</f>
        <v>0</v>
      </c>
      <c r="G2011" s="1" t="str">
        <f t="shared" si="4041"/>
        <v>0</v>
      </c>
      <c r="H2011" s="1" t="str">
        <f t="shared" si="4041"/>
        <v>0</v>
      </c>
      <c r="I2011" s="1" t="str">
        <f t="shared" si="4041"/>
        <v>0</v>
      </c>
      <c r="J2011" s="1" t="str">
        <f>"3"</f>
        <v>3</v>
      </c>
      <c r="K2011" s="1" t="str">
        <f t="shared" ref="K2011:P2011" si="4042">"0"</f>
        <v>0</v>
      </c>
      <c r="L2011" s="1" t="str">
        <f t="shared" si="4042"/>
        <v>0</v>
      </c>
      <c r="M2011" s="1" t="str">
        <f t="shared" si="4042"/>
        <v>0</v>
      </c>
      <c r="N2011" s="1" t="str">
        <f t="shared" si="4042"/>
        <v>0</v>
      </c>
      <c r="O2011" s="1" t="str">
        <f t="shared" si="4042"/>
        <v>0</v>
      </c>
      <c r="P2011" s="1" t="str">
        <f t="shared" si="4042"/>
        <v>0</v>
      </c>
      <c r="Q2011" s="1" t="str">
        <f t="shared" si="3994"/>
        <v>0.0070</v>
      </c>
      <c r="R2011" s="1" t="s">
        <v>29</v>
      </c>
      <c r="S2011" s="1">
        <v>-0.0014</v>
      </c>
      <c r="T2011" s="1" t="str">
        <f t="shared" si="3995"/>
        <v>0</v>
      </c>
      <c r="U2011" s="1" t="str">
        <f t="shared" si="4036"/>
        <v>0.0056</v>
      </c>
    </row>
    <row r="2012" s="1" customFormat="1" spans="1:21">
      <c r="A2012" s="1" t="str">
        <f>"4601992031478"</f>
        <v>4601992031478</v>
      </c>
      <c r="B2012" s="1" t="s">
        <v>2036</v>
      </c>
      <c r="C2012" s="1" t="s">
        <v>24</v>
      </c>
      <c r="D2012" s="1" t="str">
        <f t="shared" si="3992"/>
        <v>2021</v>
      </c>
      <c r="E2012" s="1" t="str">
        <f>"132.99"</f>
        <v>132.99</v>
      </c>
      <c r="F2012" s="1" t="str">
        <f t="shared" ref="F2012:I2012" si="4043">"0"</f>
        <v>0</v>
      </c>
      <c r="G2012" s="1" t="str">
        <f t="shared" si="4043"/>
        <v>0</v>
      </c>
      <c r="H2012" s="1" t="str">
        <f t="shared" si="4043"/>
        <v>0</v>
      </c>
      <c r="I2012" s="1" t="str">
        <f t="shared" si="4043"/>
        <v>0</v>
      </c>
      <c r="J2012" s="1" t="str">
        <f>"9"</f>
        <v>9</v>
      </c>
      <c r="K2012" s="1" t="str">
        <f t="shared" ref="K2012:P2012" si="4044">"0"</f>
        <v>0</v>
      </c>
      <c r="L2012" s="1" t="str">
        <f t="shared" si="4044"/>
        <v>0</v>
      </c>
      <c r="M2012" s="1" t="str">
        <f t="shared" si="4044"/>
        <v>0</v>
      </c>
      <c r="N2012" s="1" t="str">
        <f t="shared" si="4044"/>
        <v>0</v>
      </c>
      <c r="O2012" s="1" t="str">
        <f t="shared" si="4044"/>
        <v>0</v>
      </c>
      <c r="P2012" s="1" t="str">
        <f t="shared" si="4044"/>
        <v>0</v>
      </c>
      <c r="Q2012" s="1" t="str">
        <f t="shared" si="3994"/>
        <v>0.0070</v>
      </c>
      <c r="R2012" s="1" t="s">
        <v>29</v>
      </c>
      <c r="S2012" s="1">
        <v>-0.0014</v>
      </c>
      <c r="T2012" s="1" t="str">
        <f t="shared" si="3995"/>
        <v>0</v>
      </c>
      <c r="U2012" s="1" t="str">
        <f t="shared" si="4036"/>
        <v>0.0056</v>
      </c>
    </row>
    <row r="2013" s="1" customFormat="1" spans="1:21">
      <c r="A2013" s="1" t="str">
        <f>"4601992031534"</f>
        <v>4601992031534</v>
      </c>
      <c r="B2013" s="1" t="s">
        <v>2037</v>
      </c>
      <c r="C2013" s="1" t="s">
        <v>24</v>
      </c>
      <c r="D2013" s="1" t="str">
        <f t="shared" si="3992"/>
        <v>2021</v>
      </c>
      <c r="E2013" s="1" t="str">
        <f t="shared" ref="E2013:P2013" si="4045">"0"</f>
        <v>0</v>
      </c>
      <c r="F2013" s="1" t="str">
        <f t="shared" si="4045"/>
        <v>0</v>
      </c>
      <c r="G2013" s="1" t="str">
        <f t="shared" si="4045"/>
        <v>0</v>
      </c>
      <c r="H2013" s="1" t="str">
        <f t="shared" si="4045"/>
        <v>0</v>
      </c>
      <c r="I2013" s="1" t="str">
        <f t="shared" si="4045"/>
        <v>0</v>
      </c>
      <c r="J2013" s="1" t="str">
        <f t="shared" si="4045"/>
        <v>0</v>
      </c>
      <c r="K2013" s="1" t="str">
        <f t="shared" si="4045"/>
        <v>0</v>
      </c>
      <c r="L2013" s="1" t="str">
        <f t="shared" si="4045"/>
        <v>0</v>
      </c>
      <c r="M2013" s="1" t="str">
        <f t="shared" si="4045"/>
        <v>0</v>
      </c>
      <c r="N2013" s="1" t="str">
        <f t="shared" si="4045"/>
        <v>0</v>
      </c>
      <c r="O2013" s="1" t="str">
        <f t="shared" si="4045"/>
        <v>0</v>
      </c>
      <c r="P2013" s="1" t="str">
        <f t="shared" si="4045"/>
        <v>0</v>
      </c>
      <c r="Q2013" s="1" t="str">
        <f t="shared" si="3994"/>
        <v>0.0070</v>
      </c>
      <c r="R2013" s="1" t="s">
        <v>25</v>
      </c>
      <c r="T2013" s="1" t="str">
        <f t="shared" si="3995"/>
        <v>0</v>
      </c>
      <c r="U2013" s="1" t="str">
        <f t="shared" ref="U2013:U2018" si="4046">"0.0070"</f>
        <v>0.0070</v>
      </c>
    </row>
    <row r="2014" s="1" customFormat="1" spans="1:21">
      <c r="A2014" s="1" t="str">
        <f>"4601992031519"</f>
        <v>4601992031519</v>
      </c>
      <c r="B2014" s="1" t="s">
        <v>2038</v>
      </c>
      <c r="C2014" s="1" t="s">
        <v>24</v>
      </c>
      <c r="D2014" s="1" t="str">
        <f t="shared" si="3992"/>
        <v>2021</v>
      </c>
      <c r="E2014" s="1" t="str">
        <f>"84.63"</f>
        <v>84.63</v>
      </c>
      <c r="F2014" s="1" t="str">
        <f t="shared" ref="F2014:I2014" si="4047">"0"</f>
        <v>0</v>
      </c>
      <c r="G2014" s="1" t="str">
        <f t="shared" si="4047"/>
        <v>0</v>
      </c>
      <c r="H2014" s="1" t="str">
        <f t="shared" si="4047"/>
        <v>0</v>
      </c>
      <c r="I2014" s="1" t="str">
        <f t="shared" si="4047"/>
        <v>0</v>
      </c>
      <c r="J2014" s="1" t="str">
        <f>"7"</f>
        <v>7</v>
      </c>
      <c r="K2014" s="1" t="str">
        <f t="shared" ref="K2014:P2014" si="4048">"0"</f>
        <v>0</v>
      </c>
      <c r="L2014" s="1" t="str">
        <f t="shared" si="4048"/>
        <v>0</v>
      </c>
      <c r="M2014" s="1" t="str">
        <f t="shared" si="4048"/>
        <v>0</v>
      </c>
      <c r="N2014" s="1" t="str">
        <f t="shared" si="4048"/>
        <v>0</v>
      </c>
      <c r="O2014" s="1" t="str">
        <f t="shared" si="4048"/>
        <v>0</v>
      </c>
      <c r="P2014" s="1" t="str">
        <f t="shared" si="4048"/>
        <v>0</v>
      </c>
      <c r="Q2014" s="1" t="str">
        <f t="shared" si="3994"/>
        <v>0.0070</v>
      </c>
      <c r="R2014" s="1" t="s">
        <v>29</v>
      </c>
      <c r="S2014" s="1">
        <v>-0.0014</v>
      </c>
      <c r="T2014" s="1" t="str">
        <f t="shared" si="3995"/>
        <v>0</v>
      </c>
      <c r="U2014" s="1" t="str">
        <f t="shared" ref="U2014:U2017" si="4049">"0.0056"</f>
        <v>0.0056</v>
      </c>
    </row>
    <row r="2015" s="1" customFormat="1" spans="1:21">
      <c r="A2015" s="1" t="str">
        <f>"4601992031485"</f>
        <v>4601992031485</v>
      </c>
      <c r="B2015" s="1" t="s">
        <v>2039</v>
      </c>
      <c r="C2015" s="1" t="s">
        <v>24</v>
      </c>
      <c r="D2015" s="1" t="str">
        <f t="shared" si="3992"/>
        <v>2021</v>
      </c>
      <c r="E2015" s="1" t="str">
        <f>"88.26"</f>
        <v>88.26</v>
      </c>
      <c r="F2015" s="1" t="str">
        <f t="shared" ref="F2015:I2015" si="4050">"0"</f>
        <v>0</v>
      </c>
      <c r="G2015" s="1" t="str">
        <f t="shared" si="4050"/>
        <v>0</v>
      </c>
      <c r="H2015" s="1" t="str">
        <f t="shared" si="4050"/>
        <v>0</v>
      </c>
      <c r="I2015" s="1" t="str">
        <f t="shared" si="4050"/>
        <v>0</v>
      </c>
      <c r="J2015" s="1" t="str">
        <f>"5"</f>
        <v>5</v>
      </c>
      <c r="K2015" s="1" t="str">
        <f t="shared" ref="K2015:P2015" si="4051">"0"</f>
        <v>0</v>
      </c>
      <c r="L2015" s="1" t="str">
        <f t="shared" si="4051"/>
        <v>0</v>
      </c>
      <c r="M2015" s="1" t="str">
        <f t="shared" si="4051"/>
        <v>0</v>
      </c>
      <c r="N2015" s="1" t="str">
        <f t="shared" si="4051"/>
        <v>0</v>
      </c>
      <c r="O2015" s="1" t="str">
        <f t="shared" si="4051"/>
        <v>0</v>
      </c>
      <c r="P2015" s="1" t="str">
        <f t="shared" si="4051"/>
        <v>0</v>
      </c>
      <c r="Q2015" s="1" t="str">
        <f t="shared" si="3994"/>
        <v>0.0070</v>
      </c>
      <c r="R2015" s="1" t="s">
        <v>29</v>
      </c>
      <c r="S2015" s="1">
        <v>-0.0014</v>
      </c>
      <c r="T2015" s="1" t="str">
        <f t="shared" si="3995"/>
        <v>0</v>
      </c>
      <c r="U2015" s="1" t="str">
        <f t="shared" si="4049"/>
        <v>0.0056</v>
      </c>
    </row>
    <row r="2016" s="1" customFormat="1" spans="1:21">
      <c r="A2016" s="1" t="str">
        <f>"4601992031536"</f>
        <v>4601992031536</v>
      </c>
      <c r="B2016" s="1" t="s">
        <v>2040</v>
      </c>
      <c r="C2016" s="1" t="s">
        <v>24</v>
      </c>
      <c r="D2016" s="1" t="str">
        <f t="shared" si="3992"/>
        <v>2021</v>
      </c>
      <c r="E2016" s="1" t="str">
        <f>"11.98"</f>
        <v>11.98</v>
      </c>
      <c r="F2016" s="1" t="str">
        <f t="shared" ref="F2016:I2016" si="4052">"0"</f>
        <v>0</v>
      </c>
      <c r="G2016" s="1" t="str">
        <f t="shared" si="4052"/>
        <v>0</v>
      </c>
      <c r="H2016" s="1" t="str">
        <f t="shared" si="4052"/>
        <v>0</v>
      </c>
      <c r="I2016" s="1" t="str">
        <f t="shared" si="4052"/>
        <v>0</v>
      </c>
      <c r="J2016" s="1" t="str">
        <f>"1"</f>
        <v>1</v>
      </c>
      <c r="K2016" s="1" t="str">
        <f t="shared" ref="K2016:P2016" si="4053">"0"</f>
        <v>0</v>
      </c>
      <c r="L2016" s="1" t="str">
        <f t="shared" si="4053"/>
        <v>0</v>
      </c>
      <c r="M2016" s="1" t="str">
        <f t="shared" si="4053"/>
        <v>0</v>
      </c>
      <c r="N2016" s="1" t="str">
        <f t="shared" si="4053"/>
        <v>0</v>
      </c>
      <c r="O2016" s="1" t="str">
        <f t="shared" si="4053"/>
        <v>0</v>
      </c>
      <c r="P2016" s="1" t="str">
        <f t="shared" si="4053"/>
        <v>0</v>
      </c>
      <c r="Q2016" s="1" t="str">
        <f t="shared" si="3994"/>
        <v>0.0070</v>
      </c>
      <c r="R2016" s="1" t="s">
        <v>25</v>
      </c>
      <c r="T2016" s="1" t="str">
        <f t="shared" si="3995"/>
        <v>0</v>
      </c>
      <c r="U2016" s="1" t="str">
        <f t="shared" si="4046"/>
        <v>0.0070</v>
      </c>
    </row>
    <row r="2017" s="1" customFormat="1" spans="1:21">
      <c r="A2017" s="1" t="str">
        <f>"4601992031568"</f>
        <v>4601992031568</v>
      </c>
      <c r="B2017" s="1" t="s">
        <v>2041</v>
      </c>
      <c r="C2017" s="1" t="s">
        <v>24</v>
      </c>
      <c r="D2017" s="1" t="str">
        <f t="shared" si="3992"/>
        <v>2021</v>
      </c>
      <c r="E2017" s="1" t="str">
        <f>"24.07"</f>
        <v>24.07</v>
      </c>
      <c r="F2017" s="1" t="str">
        <f t="shared" ref="F2017:I2017" si="4054">"0"</f>
        <v>0</v>
      </c>
      <c r="G2017" s="1" t="str">
        <f t="shared" si="4054"/>
        <v>0</v>
      </c>
      <c r="H2017" s="1" t="str">
        <f t="shared" si="4054"/>
        <v>0</v>
      </c>
      <c r="I2017" s="1" t="str">
        <f t="shared" si="4054"/>
        <v>0</v>
      </c>
      <c r="J2017" s="1" t="str">
        <f>"3"</f>
        <v>3</v>
      </c>
      <c r="K2017" s="1" t="str">
        <f t="shared" ref="K2017:P2017" si="4055">"0"</f>
        <v>0</v>
      </c>
      <c r="L2017" s="1" t="str">
        <f t="shared" si="4055"/>
        <v>0</v>
      </c>
      <c r="M2017" s="1" t="str">
        <f t="shared" si="4055"/>
        <v>0</v>
      </c>
      <c r="N2017" s="1" t="str">
        <f t="shared" si="4055"/>
        <v>0</v>
      </c>
      <c r="O2017" s="1" t="str">
        <f t="shared" si="4055"/>
        <v>0</v>
      </c>
      <c r="P2017" s="1" t="str">
        <f t="shared" si="4055"/>
        <v>0</v>
      </c>
      <c r="Q2017" s="1" t="str">
        <f t="shared" si="3994"/>
        <v>0.0070</v>
      </c>
      <c r="R2017" s="1" t="s">
        <v>29</v>
      </c>
      <c r="S2017" s="1">
        <v>-0.0014</v>
      </c>
      <c r="T2017" s="1" t="str">
        <f t="shared" si="3995"/>
        <v>0</v>
      </c>
      <c r="U2017" s="1" t="str">
        <f t="shared" si="4049"/>
        <v>0.0056</v>
      </c>
    </row>
    <row r="2018" s="1" customFormat="1" spans="1:21">
      <c r="A2018" s="1" t="str">
        <f>"4601992031589"</f>
        <v>4601992031589</v>
      </c>
      <c r="B2018" s="1" t="s">
        <v>2042</v>
      </c>
      <c r="C2018" s="1" t="s">
        <v>24</v>
      </c>
      <c r="D2018" s="1" t="str">
        <f t="shared" si="3992"/>
        <v>2021</v>
      </c>
      <c r="E2018" s="1" t="str">
        <f t="shared" ref="E2018:P2018" si="4056">"0"</f>
        <v>0</v>
      </c>
      <c r="F2018" s="1" t="str">
        <f t="shared" si="4056"/>
        <v>0</v>
      </c>
      <c r="G2018" s="1" t="str">
        <f t="shared" si="4056"/>
        <v>0</v>
      </c>
      <c r="H2018" s="1" t="str">
        <f t="shared" si="4056"/>
        <v>0</v>
      </c>
      <c r="I2018" s="1" t="str">
        <f t="shared" si="4056"/>
        <v>0</v>
      </c>
      <c r="J2018" s="1" t="str">
        <f t="shared" si="4056"/>
        <v>0</v>
      </c>
      <c r="K2018" s="1" t="str">
        <f t="shared" si="4056"/>
        <v>0</v>
      </c>
      <c r="L2018" s="1" t="str">
        <f t="shared" si="4056"/>
        <v>0</v>
      </c>
      <c r="M2018" s="1" t="str">
        <f t="shared" si="4056"/>
        <v>0</v>
      </c>
      <c r="N2018" s="1" t="str">
        <f t="shared" si="4056"/>
        <v>0</v>
      </c>
      <c r="O2018" s="1" t="str">
        <f t="shared" si="4056"/>
        <v>0</v>
      </c>
      <c r="P2018" s="1" t="str">
        <f t="shared" si="4056"/>
        <v>0</v>
      </c>
      <c r="Q2018" s="1" t="str">
        <f t="shared" si="3994"/>
        <v>0.0070</v>
      </c>
      <c r="R2018" s="1" t="s">
        <v>25</v>
      </c>
      <c r="T2018" s="1" t="str">
        <f t="shared" si="3995"/>
        <v>0</v>
      </c>
      <c r="U2018" s="1" t="str">
        <f t="shared" si="4046"/>
        <v>0.0070</v>
      </c>
    </row>
    <row r="2019" s="1" customFormat="1" spans="1:21">
      <c r="A2019" s="1" t="str">
        <f>"4601992031586"</f>
        <v>4601992031586</v>
      </c>
      <c r="B2019" s="1" t="s">
        <v>2043</v>
      </c>
      <c r="C2019" s="1" t="s">
        <v>24</v>
      </c>
      <c r="D2019" s="1" t="str">
        <f t="shared" si="3992"/>
        <v>2021</v>
      </c>
      <c r="E2019" s="1" t="str">
        <f t="shared" ref="E2019:E2023" si="4057">"12.09"</f>
        <v>12.09</v>
      </c>
      <c r="F2019" s="1" t="str">
        <f t="shared" ref="F2019:I2019" si="4058">"0"</f>
        <v>0</v>
      </c>
      <c r="G2019" s="1" t="str">
        <f t="shared" si="4058"/>
        <v>0</v>
      </c>
      <c r="H2019" s="1" t="str">
        <f t="shared" si="4058"/>
        <v>0</v>
      </c>
      <c r="I2019" s="1" t="str">
        <f t="shared" si="4058"/>
        <v>0</v>
      </c>
      <c r="J2019" s="1" t="str">
        <f>"4"</f>
        <v>4</v>
      </c>
      <c r="K2019" s="1" t="str">
        <f t="shared" ref="K2019:P2019" si="4059">"0"</f>
        <v>0</v>
      </c>
      <c r="L2019" s="1" t="str">
        <f t="shared" si="4059"/>
        <v>0</v>
      </c>
      <c r="M2019" s="1" t="str">
        <f t="shared" si="4059"/>
        <v>0</v>
      </c>
      <c r="N2019" s="1" t="str">
        <f t="shared" si="4059"/>
        <v>0</v>
      </c>
      <c r="O2019" s="1" t="str">
        <f t="shared" si="4059"/>
        <v>0</v>
      </c>
      <c r="P2019" s="1" t="str">
        <f t="shared" si="4059"/>
        <v>0</v>
      </c>
      <c r="Q2019" s="1" t="str">
        <f t="shared" si="3994"/>
        <v>0.0070</v>
      </c>
      <c r="R2019" s="1" t="s">
        <v>29</v>
      </c>
      <c r="S2019" s="1">
        <v>-0.0014</v>
      </c>
      <c r="T2019" s="1" t="str">
        <f t="shared" si="3995"/>
        <v>0</v>
      </c>
      <c r="U2019" s="1" t="str">
        <f t="shared" ref="U2019:U2023" si="4060">"0.0056"</f>
        <v>0.0056</v>
      </c>
    </row>
    <row r="2020" s="1" customFormat="1" spans="1:21">
      <c r="A2020" s="1" t="str">
        <f>"4601992031588"</f>
        <v>4601992031588</v>
      </c>
      <c r="B2020" s="1" t="s">
        <v>2044</v>
      </c>
      <c r="C2020" s="1" t="s">
        <v>24</v>
      </c>
      <c r="D2020" s="1" t="str">
        <f t="shared" si="3992"/>
        <v>2021</v>
      </c>
      <c r="E2020" s="1" t="str">
        <f>"60.45"</f>
        <v>60.45</v>
      </c>
      <c r="F2020" s="1" t="str">
        <f t="shared" ref="F2020:I2020" si="4061">"0"</f>
        <v>0</v>
      </c>
      <c r="G2020" s="1" t="str">
        <f t="shared" si="4061"/>
        <v>0</v>
      </c>
      <c r="H2020" s="1" t="str">
        <f t="shared" si="4061"/>
        <v>0</v>
      </c>
      <c r="I2020" s="1" t="str">
        <f t="shared" si="4061"/>
        <v>0</v>
      </c>
      <c r="J2020" s="1" t="str">
        <f>"5"</f>
        <v>5</v>
      </c>
      <c r="K2020" s="1" t="str">
        <f t="shared" ref="K2020:P2020" si="4062">"0"</f>
        <v>0</v>
      </c>
      <c r="L2020" s="1" t="str">
        <f t="shared" si="4062"/>
        <v>0</v>
      </c>
      <c r="M2020" s="1" t="str">
        <f t="shared" si="4062"/>
        <v>0</v>
      </c>
      <c r="N2020" s="1" t="str">
        <f t="shared" si="4062"/>
        <v>0</v>
      </c>
      <c r="O2020" s="1" t="str">
        <f t="shared" si="4062"/>
        <v>0</v>
      </c>
      <c r="P2020" s="1" t="str">
        <f t="shared" si="4062"/>
        <v>0</v>
      </c>
      <c r="Q2020" s="1" t="str">
        <f t="shared" si="3994"/>
        <v>0.0070</v>
      </c>
      <c r="R2020" s="1" t="s">
        <v>29</v>
      </c>
      <c r="S2020" s="1">
        <v>-0.0014</v>
      </c>
      <c r="T2020" s="1" t="str">
        <f t="shared" si="3995"/>
        <v>0</v>
      </c>
      <c r="U2020" s="1" t="str">
        <f t="shared" si="4060"/>
        <v>0.0056</v>
      </c>
    </row>
    <row r="2021" s="1" customFormat="1" spans="1:21">
      <c r="A2021" s="1" t="str">
        <f>"4601992031639"</f>
        <v>4601992031639</v>
      </c>
      <c r="B2021" s="1" t="s">
        <v>2045</v>
      </c>
      <c r="C2021" s="1" t="s">
        <v>24</v>
      </c>
      <c r="D2021" s="1" t="str">
        <f t="shared" si="3992"/>
        <v>2021</v>
      </c>
      <c r="E2021" s="1" t="str">
        <f t="shared" si="4057"/>
        <v>12.09</v>
      </c>
      <c r="F2021" s="1" t="str">
        <f t="shared" ref="F2021:I2021" si="4063">"0"</f>
        <v>0</v>
      </c>
      <c r="G2021" s="1" t="str">
        <f t="shared" si="4063"/>
        <v>0</v>
      </c>
      <c r="H2021" s="1" t="str">
        <f t="shared" si="4063"/>
        <v>0</v>
      </c>
      <c r="I2021" s="1" t="str">
        <f t="shared" si="4063"/>
        <v>0</v>
      </c>
      <c r="J2021" s="1" t="str">
        <f t="shared" ref="J2021:J2024" si="4064">"1"</f>
        <v>1</v>
      </c>
      <c r="K2021" s="1" t="str">
        <f t="shared" ref="K2021:P2021" si="4065">"0"</f>
        <v>0</v>
      </c>
      <c r="L2021" s="1" t="str">
        <f t="shared" si="4065"/>
        <v>0</v>
      </c>
      <c r="M2021" s="1" t="str">
        <f t="shared" si="4065"/>
        <v>0</v>
      </c>
      <c r="N2021" s="1" t="str">
        <f t="shared" si="4065"/>
        <v>0</v>
      </c>
      <c r="O2021" s="1" t="str">
        <f t="shared" si="4065"/>
        <v>0</v>
      </c>
      <c r="P2021" s="1" t="str">
        <f t="shared" si="4065"/>
        <v>0</v>
      </c>
      <c r="Q2021" s="1" t="str">
        <f t="shared" si="3994"/>
        <v>0.0070</v>
      </c>
      <c r="R2021" s="1" t="s">
        <v>29</v>
      </c>
      <c r="S2021" s="1">
        <v>-0.0014</v>
      </c>
      <c r="T2021" s="1" t="str">
        <f t="shared" si="3995"/>
        <v>0</v>
      </c>
      <c r="U2021" s="1" t="str">
        <f t="shared" si="4060"/>
        <v>0.0056</v>
      </c>
    </row>
    <row r="2022" s="1" customFormat="1" spans="1:21">
      <c r="A2022" s="1" t="str">
        <f>"4601992031591"</f>
        <v>4601992031591</v>
      </c>
      <c r="B2022" s="1" t="s">
        <v>2046</v>
      </c>
      <c r="C2022" s="1" t="s">
        <v>24</v>
      </c>
      <c r="D2022" s="1" t="str">
        <f t="shared" si="3992"/>
        <v>2021</v>
      </c>
      <c r="E2022" s="1" t="str">
        <f>"24.18"</f>
        <v>24.18</v>
      </c>
      <c r="F2022" s="1" t="str">
        <f t="shared" ref="F2022:I2022" si="4066">"0"</f>
        <v>0</v>
      </c>
      <c r="G2022" s="1" t="str">
        <f t="shared" si="4066"/>
        <v>0</v>
      </c>
      <c r="H2022" s="1" t="str">
        <f t="shared" si="4066"/>
        <v>0</v>
      </c>
      <c r="I2022" s="1" t="str">
        <f t="shared" si="4066"/>
        <v>0</v>
      </c>
      <c r="J2022" s="1" t="str">
        <f>"2"</f>
        <v>2</v>
      </c>
      <c r="K2022" s="1" t="str">
        <f t="shared" ref="K2022:P2022" si="4067">"0"</f>
        <v>0</v>
      </c>
      <c r="L2022" s="1" t="str">
        <f t="shared" si="4067"/>
        <v>0</v>
      </c>
      <c r="M2022" s="1" t="str">
        <f t="shared" si="4067"/>
        <v>0</v>
      </c>
      <c r="N2022" s="1" t="str">
        <f t="shared" si="4067"/>
        <v>0</v>
      </c>
      <c r="O2022" s="1" t="str">
        <f t="shared" si="4067"/>
        <v>0</v>
      </c>
      <c r="P2022" s="1" t="str">
        <f t="shared" si="4067"/>
        <v>0</v>
      </c>
      <c r="Q2022" s="1" t="str">
        <f t="shared" si="3994"/>
        <v>0.0070</v>
      </c>
      <c r="R2022" s="1" t="s">
        <v>29</v>
      </c>
      <c r="S2022" s="1">
        <v>-0.0014</v>
      </c>
      <c r="T2022" s="1" t="str">
        <f t="shared" si="3995"/>
        <v>0</v>
      </c>
      <c r="U2022" s="1" t="str">
        <f t="shared" si="4060"/>
        <v>0.0056</v>
      </c>
    </row>
    <row r="2023" s="1" customFormat="1" spans="1:21">
      <c r="A2023" s="1" t="str">
        <f>"4601992031667"</f>
        <v>4601992031667</v>
      </c>
      <c r="B2023" s="1" t="s">
        <v>2047</v>
      </c>
      <c r="C2023" s="1" t="s">
        <v>24</v>
      </c>
      <c r="D2023" s="1" t="str">
        <f t="shared" si="3992"/>
        <v>2021</v>
      </c>
      <c r="E2023" s="1" t="str">
        <f t="shared" si="4057"/>
        <v>12.09</v>
      </c>
      <c r="F2023" s="1" t="str">
        <f t="shared" ref="F2023:I2023" si="4068">"0"</f>
        <v>0</v>
      </c>
      <c r="G2023" s="1" t="str">
        <f t="shared" si="4068"/>
        <v>0</v>
      </c>
      <c r="H2023" s="1" t="str">
        <f t="shared" si="4068"/>
        <v>0</v>
      </c>
      <c r="I2023" s="1" t="str">
        <f t="shared" si="4068"/>
        <v>0</v>
      </c>
      <c r="J2023" s="1" t="str">
        <f t="shared" si="4064"/>
        <v>1</v>
      </c>
      <c r="K2023" s="1" t="str">
        <f t="shared" ref="K2023:P2023" si="4069">"0"</f>
        <v>0</v>
      </c>
      <c r="L2023" s="1" t="str">
        <f t="shared" si="4069"/>
        <v>0</v>
      </c>
      <c r="M2023" s="1" t="str">
        <f t="shared" si="4069"/>
        <v>0</v>
      </c>
      <c r="N2023" s="1" t="str">
        <f t="shared" si="4069"/>
        <v>0</v>
      </c>
      <c r="O2023" s="1" t="str">
        <f t="shared" si="4069"/>
        <v>0</v>
      </c>
      <c r="P2023" s="1" t="str">
        <f t="shared" si="4069"/>
        <v>0</v>
      </c>
      <c r="Q2023" s="1" t="str">
        <f t="shared" si="3994"/>
        <v>0.0070</v>
      </c>
      <c r="R2023" s="1" t="s">
        <v>29</v>
      </c>
      <c r="S2023" s="1">
        <v>-0.0014</v>
      </c>
      <c r="T2023" s="1" t="str">
        <f t="shared" si="3995"/>
        <v>0</v>
      </c>
      <c r="U2023" s="1" t="str">
        <f t="shared" si="4060"/>
        <v>0.0056</v>
      </c>
    </row>
    <row r="2024" s="1" customFormat="1" spans="1:21">
      <c r="A2024" s="1" t="str">
        <f>"4601992031652"</f>
        <v>4601992031652</v>
      </c>
      <c r="B2024" s="1" t="s">
        <v>2048</v>
      </c>
      <c r="C2024" s="1" t="s">
        <v>24</v>
      </c>
      <c r="D2024" s="1" t="str">
        <f t="shared" si="3992"/>
        <v>2021</v>
      </c>
      <c r="E2024" s="1" t="str">
        <f t="shared" ref="E2024:I2024" si="4070">"0"</f>
        <v>0</v>
      </c>
      <c r="F2024" s="1" t="str">
        <f t="shared" si="4070"/>
        <v>0</v>
      </c>
      <c r="G2024" s="1" t="str">
        <f t="shared" si="4070"/>
        <v>0</v>
      </c>
      <c r="H2024" s="1" t="str">
        <f t="shared" si="4070"/>
        <v>0</v>
      </c>
      <c r="I2024" s="1" t="str">
        <f t="shared" si="4070"/>
        <v>0</v>
      </c>
      <c r="J2024" s="1" t="str">
        <f t="shared" si="4064"/>
        <v>1</v>
      </c>
      <c r="K2024" s="1" t="str">
        <f t="shared" ref="K2024:P2024" si="4071">"0"</f>
        <v>0</v>
      </c>
      <c r="L2024" s="1" t="str">
        <f t="shared" si="4071"/>
        <v>0</v>
      </c>
      <c r="M2024" s="1" t="str">
        <f t="shared" si="4071"/>
        <v>0</v>
      </c>
      <c r="N2024" s="1" t="str">
        <f t="shared" si="4071"/>
        <v>0</v>
      </c>
      <c r="O2024" s="1" t="str">
        <f t="shared" si="4071"/>
        <v>0</v>
      </c>
      <c r="P2024" s="1" t="str">
        <f t="shared" si="4071"/>
        <v>0</v>
      </c>
      <c r="Q2024" s="1" t="str">
        <f t="shared" si="3994"/>
        <v>0.0070</v>
      </c>
      <c r="R2024" s="1" t="s">
        <v>25</v>
      </c>
      <c r="T2024" s="1" t="str">
        <f t="shared" si="3995"/>
        <v>0</v>
      </c>
      <c r="U2024" s="1" t="str">
        <f t="shared" ref="U2024:U2029" si="4072">"0.0070"</f>
        <v>0.0070</v>
      </c>
    </row>
    <row r="2025" s="1" customFormat="1" spans="1:21">
      <c r="A2025" s="1" t="str">
        <f>"4601992031711"</f>
        <v>4601992031711</v>
      </c>
      <c r="B2025" s="1" t="s">
        <v>2049</v>
      </c>
      <c r="C2025" s="1" t="s">
        <v>24</v>
      </c>
      <c r="D2025" s="1" t="str">
        <f t="shared" si="3992"/>
        <v>2021</v>
      </c>
      <c r="E2025" s="1" t="str">
        <f>"36.05"</f>
        <v>36.05</v>
      </c>
      <c r="F2025" s="1" t="str">
        <f t="shared" ref="F2025:I2025" si="4073">"0"</f>
        <v>0</v>
      </c>
      <c r="G2025" s="1" t="str">
        <f t="shared" si="4073"/>
        <v>0</v>
      </c>
      <c r="H2025" s="1" t="str">
        <f t="shared" si="4073"/>
        <v>0</v>
      </c>
      <c r="I2025" s="1" t="str">
        <f t="shared" si="4073"/>
        <v>0</v>
      </c>
      <c r="J2025" s="1" t="str">
        <f>"3"</f>
        <v>3</v>
      </c>
      <c r="K2025" s="1" t="str">
        <f t="shared" ref="K2025:P2025" si="4074">"0"</f>
        <v>0</v>
      </c>
      <c r="L2025" s="1" t="str">
        <f t="shared" si="4074"/>
        <v>0</v>
      </c>
      <c r="M2025" s="1" t="str">
        <f t="shared" si="4074"/>
        <v>0</v>
      </c>
      <c r="N2025" s="1" t="str">
        <f t="shared" si="4074"/>
        <v>0</v>
      </c>
      <c r="O2025" s="1" t="str">
        <f t="shared" si="4074"/>
        <v>0</v>
      </c>
      <c r="P2025" s="1" t="str">
        <f t="shared" si="4074"/>
        <v>0</v>
      </c>
      <c r="Q2025" s="1" t="str">
        <f t="shared" si="3994"/>
        <v>0.0070</v>
      </c>
      <c r="R2025" s="1" t="s">
        <v>29</v>
      </c>
      <c r="S2025" s="1">
        <v>-0.0014</v>
      </c>
      <c r="T2025" s="1" t="str">
        <f t="shared" si="3995"/>
        <v>0</v>
      </c>
      <c r="U2025" s="1" t="str">
        <f t="shared" ref="U2025:U2027" si="4075">"0.0056"</f>
        <v>0.0056</v>
      </c>
    </row>
    <row r="2026" s="1" customFormat="1" spans="1:21">
      <c r="A2026" s="1" t="str">
        <f>"4601992031688"</f>
        <v>4601992031688</v>
      </c>
      <c r="B2026" s="1" t="s">
        <v>2050</v>
      </c>
      <c r="C2026" s="1" t="s">
        <v>24</v>
      </c>
      <c r="D2026" s="1" t="str">
        <f t="shared" si="3992"/>
        <v>2021</v>
      </c>
      <c r="E2026" s="1" t="str">
        <f>"24.21"</f>
        <v>24.21</v>
      </c>
      <c r="F2026" s="1" t="str">
        <f t="shared" ref="F2026:I2026" si="4076">"0"</f>
        <v>0</v>
      </c>
      <c r="G2026" s="1" t="str">
        <f t="shared" si="4076"/>
        <v>0</v>
      </c>
      <c r="H2026" s="1" t="str">
        <f t="shared" si="4076"/>
        <v>0</v>
      </c>
      <c r="I2026" s="1" t="str">
        <f t="shared" si="4076"/>
        <v>0</v>
      </c>
      <c r="J2026" s="1" t="str">
        <f>"3"</f>
        <v>3</v>
      </c>
      <c r="K2026" s="1" t="str">
        <f t="shared" ref="K2026:P2026" si="4077">"0"</f>
        <v>0</v>
      </c>
      <c r="L2026" s="1" t="str">
        <f t="shared" si="4077"/>
        <v>0</v>
      </c>
      <c r="M2026" s="1" t="str">
        <f t="shared" si="4077"/>
        <v>0</v>
      </c>
      <c r="N2026" s="1" t="str">
        <f t="shared" si="4077"/>
        <v>0</v>
      </c>
      <c r="O2026" s="1" t="str">
        <f t="shared" si="4077"/>
        <v>0</v>
      </c>
      <c r="P2026" s="1" t="str">
        <f t="shared" si="4077"/>
        <v>0</v>
      </c>
      <c r="Q2026" s="1" t="str">
        <f t="shared" si="3994"/>
        <v>0.0070</v>
      </c>
      <c r="R2026" s="1" t="s">
        <v>29</v>
      </c>
      <c r="S2026" s="1">
        <v>-0.0014</v>
      </c>
      <c r="T2026" s="1" t="str">
        <f t="shared" si="3995"/>
        <v>0</v>
      </c>
      <c r="U2026" s="1" t="str">
        <f t="shared" si="4075"/>
        <v>0.0056</v>
      </c>
    </row>
    <row r="2027" s="1" customFormat="1" spans="1:21">
      <c r="A2027" s="1" t="str">
        <f>"4601992031750"</f>
        <v>4601992031750</v>
      </c>
      <c r="B2027" s="1" t="s">
        <v>2051</v>
      </c>
      <c r="C2027" s="1" t="s">
        <v>24</v>
      </c>
      <c r="D2027" s="1" t="str">
        <f t="shared" si="3992"/>
        <v>2021</v>
      </c>
      <c r="E2027" s="1" t="str">
        <f>"24.50"</f>
        <v>24.50</v>
      </c>
      <c r="F2027" s="1" t="str">
        <f t="shared" ref="F2027:I2027" si="4078">"0"</f>
        <v>0</v>
      </c>
      <c r="G2027" s="1" t="str">
        <f t="shared" si="4078"/>
        <v>0</v>
      </c>
      <c r="H2027" s="1" t="str">
        <f t="shared" si="4078"/>
        <v>0</v>
      </c>
      <c r="I2027" s="1" t="str">
        <f t="shared" si="4078"/>
        <v>0</v>
      </c>
      <c r="J2027" s="1" t="str">
        <f>"2"</f>
        <v>2</v>
      </c>
      <c r="K2027" s="1" t="str">
        <f t="shared" ref="K2027:P2027" si="4079">"0"</f>
        <v>0</v>
      </c>
      <c r="L2027" s="1" t="str">
        <f t="shared" si="4079"/>
        <v>0</v>
      </c>
      <c r="M2027" s="1" t="str">
        <f t="shared" si="4079"/>
        <v>0</v>
      </c>
      <c r="N2027" s="1" t="str">
        <f t="shared" si="4079"/>
        <v>0</v>
      </c>
      <c r="O2027" s="1" t="str">
        <f t="shared" si="4079"/>
        <v>0</v>
      </c>
      <c r="P2027" s="1" t="str">
        <f t="shared" si="4079"/>
        <v>0</v>
      </c>
      <c r="Q2027" s="1" t="str">
        <f t="shared" si="3994"/>
        <v>0.0070</v>
      </c>
      <c r="R2027" s="1" t="s">
        <v>29</v>
      </c>
      <c r="S2027" s="1">
        <v>-0.0014</v>
      </c>
      <c r="T2027" s="1" t="str">
        <f t="shared" si="3995"/>
        <v>0</v>
      </c>
      <c r="U2027" s="1" t="str">
        <f t="shared" si="4075"/>
        <v>0.0056</v>
      </c>
    </row>
    <row r="2028" s="1" customFormat="1" spans="1:21">
      <c r="A2028" s="1" t="str">
        <f>"4601992031758"</f>
        <v>4601992031758</v>
      </c>
      <c r="B2028" s="1" t="s">
        <v>2052</v>
      </c>
      <c r="C2028" s="1" t="s">
        <v>24</v>
      </c>
      <c r="D2028" s="1" t="str">
        <f t="shared" si="3992"/>
        <v>2021</v>
      </c>
      <c r="E2028" s="1" t="str">
        <f t="shared" ref="E2028:I2028" si="4080">"0"</f>
        <v>0</v>
      </c>
      <c r="F2028" s="1" t="str">
        <f t="shared" si="4080"/>
        <v>0</v>
      </c>
      <c r="G2028" s="1" t="str">
        <f t="shared" si="4080"/>
        <v>0</v>
      </c>
      <c r="H2028" s="1" t="str">
        <f t="shared" si="4080"/>
        <v>0</v>
      </c>
      <c r="I2028" s="1" t="str">
        <f t="shared" si="4080"/>
        <v>0</v>
      </c>
      <c r="J2028" s="1" t="str">
        <f>"2"</f>
        <v>2</v>
      </c>
      <c r="K2028" s="1" t="str">
        <f t="shared" ref="K2028:P2028" si="4081">"0"</f>
        <v>0</v>
      </c>
      <c r="L2028" s="1" t="str">
        <f t="shared" si="4081"/>
        <v>0</v>
      </c>
      <c r="M2028" s="1" t="str">
        <f t="shared" si="4081"/>
        <v>0</v>
      </c>
      <c r="N2028" s="1" t="str">
        <f t="shared" si="4081"/>
        <v>0</v>
      </c>
      <c r="O2028" s="1" t="str">
        <f t="shared" si="4081"/>
        <v>0</v>
      </c>
      <c r="P2028" s="1" t="str">
        <f t="shared" si="4081"/>
        <v>0</v>
      </c>
      <c r="Q2028" s="1" t="str">
        <f t="shared" si="3994"/>
        <v>0.0070</v>
      </c>
      <c r="R2028" s="1" t="s">
        <v>25</v>
      </c>
      <c r="T2028" s="1" t="str">
        <f t="shared" si="3995"/>
        <v>0</v>
      </c>
      <c r="U2028" s="1" t="str">
        <f t="shared" si="4072"/>
        <v>0.0070</v>
      </c>
    </row>
    <row r="2029" s="1" customFormat="1" spans="1:21">
      <c r="A2029" s="1" t="str">
        <f>"4601992031778"</f>
        <v>4601992031778</v>
      </c>
      <c r="B2029" s="1" t="s">
        <v>2053</v>
      </c>
      <c r="C2029" s="1" t="s">
        <v>24</v>
      </c>
      <c r="D2029" s="1" t="str">
        <f t="shared" si="3992"/>
        <v>2021</v>
      </c>
      <c r="E2029" s="1" t="str">
        <f t="shared" ref="E2029:P2029" si="4082">"0"</f>
        <v>0</v>
      </c>
      <c r="F2029" s="1" t="str">
        <f t="shared" si="4082"/>
        <v>0</v>
      </c>
      <c r="G2029" s="1" t="str">
        <f t="shared" si="4082"/>
        <v>0</v>
      </c>
      <c r="H2029" s="1" t="str">
        <f t="shared" si="4082"/>
        <v>0</v>
      </c>
      <c r="I2029" s="1" t="str">
        <f t="shared" si="4082"/>
        <v>0</v>
      </c>
      <c r="J2029" s="1" t="str">
        <f t="shared" si="4082"/>
        <v>0</v>
      </c>
      <c r="K2029" s="1" t="str">
        <f t="shared" si="4082"/>
        <v>0</v>
      </c>
      <c r="L2029" s="1" t="str">
        <f t="shared" si="4082"/>
        <v>0</v>
      </c>
      <c r="M2029" s="1" t="str">
        <f t="shared" si="4082"/>
        <v>0</v>
      </c>
      <c r="N2029" s="1" t="str">
        <f t="shared" si="4082"/>
        <v>0</v>
      </c>
      <c r="O2029" s="1" t="str">
        <f t="shared" si="4082"/>
        <v>0</v>
      </c>
      <c r="P2029" s="1" t="str">
        <f t="shared" si="4082"/>
        <v>0</v>
      </c>
      <c r="Q2029" s="1" t="str">
        <f t="shared" si="3994"/>
        <v>0.0070</v>
      </c>
      <c r="R2029" s="1" t="s">
        <v>25</v>
      </c>
      <c r="T2029" s="1" t="str">
        <f t="shared" si="3995"/>
        <v>0</v>
      </c>
      <c r="U2029" s="1" t="str">
        <f t="shared" si="4072"/>
        <v>0.0070</v>
      </c>
    </row>
    <row r="2030" s="1" customFormat="1" spans="1:21">
      <c r="A2030" s="1" t="str">
        <f>"4601992031764"</f>
        <v>4601992031764</v>
      </c>
      <c r="B2030" s="1" t="s">
        <v>2054</v>
      </c>
      <c r="C2030" s="1" t="s">
        <v>24</v>
      </c>
      <c r="D2030" s="1" t="str">
        <f t="shared" si="3992"/>
        <v>2021</v>
      </c>
      <c r="E2030" s="1" t="str">
        <f>"24.18"</f>
        <v>24.18</v>
      </c>
      <c r="F2030" s="1" t="str">
        <f t="shared" ref="F2030:I2030" si="4083">"0"</f>
        <v>0</v>
      </c>
      <c r="G2030" s="1" t="str">
        <f t="shared" si="4083"/>
        <v>0</v>
      </c>
      <c r="H2030" s="1" t="str">
        <f t="shared" si="4083"/>
        <v>0</v>
      </c>
      <c r="I2030" s="1" t="str">
        <f t="shared" si="4083"/>
        <v>0</v>
      </c>
      <c r="J2030" s="1" t="str">
        <f>"4"</f>
        <v>4</v>
      </c>
      <c r="K2030" s="1" t="str">
        <f t="shared" ref="K2030:P2030" si="4084">"0"</f>
        <v>0</v>
      </c>
      <c r="L2030" s="1" t="str">
        <f t="shared" si="4084"/>
        <v>0</v>
      </c>
      <c r="M2030" s="1" t="str">
        <f t="shared" si="4084"/>
        <v>0</v>
      </c>
      <c r="N2030" s="1" t="str">
        <f t="shared" si="4084"/>
        <v>0</v>
      </c>
      <c r="O2030" s="1" t="str">
        <f t="shared" si="4084"/>
        <v>0</v>
      </c>
      <c r="P2030" s="1" t="str">
        <f t="shared" si="4084"/>
        <v>0</v>
      </c>
      <c r="Q2030" s="1" t="str">
        <f t="shared" si="3994"/>
        <v>0.0070</v>
      </c>
      <c r="R2030" s="1" t="s">
        <v>29</v>
      </c>
      <c r="S2030" s="1">
        <v>-0.0014</v>
      </c>
      <c r="T2030" s="1" t="str">
        <f t="shared" si="3995"/>
        <v>0</v>
      </c>
      <c r="U2030" s="1" t="str">
        <f t="shared" ref="U2030:U2032" si="4085">"0.0056"</f>
        <v>0.0056</v>
      </c>
    </row>
    <row r="2031" s="1" customFormat="1" spans="1:21">
      <c r="A2031" s="1" t="str">
        <f>"4601992031782"</f>
        <v>4601992031782</v>
      </c>
      <c r="B2031" s="1" t="s">
        <v>2055</v>
      </c>
      <c r="C2031" s="1" t="s">
        <v>24</v>
      </c>
      <c r="D2031" s="1" t="str">
        <f t="shared" si="3992"/>
        <v>2021</v>
      </c>
      <c r="E2031" s="1" t="str">
        <f>"12.09"</f>
        <v>12.09</v>
      </c>
      <c r="F2031" s="1" t="str">
        <f t="shared" ref="F2031:I2031" si="4086">"0"</f>
        <v>0</v>
      </c>
      <c r="G2031" s="1" t="str">
        <f t="shared" si="4086"/>
        <v>0</v>
      </c>
      <c r="H2031" s="1" t="str">
        <f t="shared" si="4086"/>
        <v>0</v>
      </c>
      <c r="I2031" s="1" t="str">
        <f t="shared" si="4086"/>
        <v>0</v>
      </c>
      <c r="J2031" s="1" t="str">
        <f>"3"</f>
        <v>3</v>
      </c>
      <c r="K2031" s="1" t="str">
        <f t="shared" ref="K2031:P2031" si="4087">"0"</f>
        <v>0</v>
      </c>
      <c r="L2031" s="1" t="str">
        <f t="shared" si="4087"/>
        <v>0</v>
      </c>
      <c r="M2031" s="1" t="str">
        <f t="shared" si="4087"/>
        <v>0</v>
      </c>
      <c r="N2031" s="1" t="str">
        <f t="shared" si="4087"/>
        <v>0</v>
      </c>
      <c r="O2031" s="1" t="str">
        <f t="shared" si="4087"/>
        <v>0</v>
      </c>
      <c r="P2031" s="1" t="str">
        <f t="shared" si="4087"/>
        <v>0</v>
      </c>
      <c r="Q2031" s="1" t="str">
        <f t="shared" si="3994"/>
        <v>0.0070</v>
      </c>
      <c r="R2031" s="1" t="s">
        <v>29</v>
      </c>
      <c r="S2031" s="1">
        <v>-0.0014</v>
      </c>
      <c r="T2031" s="1" t="str">
        <f t="shared" si="3995"/>
        <v>0</v>
      </c>
      <c r="U2031" s="1" t="str">
        <f t="shared" si="4085"/>
        <v>0.0056</v>
      </c>
    </row>
    <row r="2032" s="1" customFormat="1" spans="1:21">
      <c r="A2032" s="1" t="str">
        <f>"4601992031769"</f>
        <v>4601992031769</v>
      </c>
      <c r="B2032" s="1" t="s">
        <v>2056</v>
      </c>
      <c r="C2032" s="1" t="s">
        <v>24</v>
      </c>
      <c r="D2032" s="1" t="str">
        <f t="shared" si="3992"/>
        <v>2021</v>
      </c>
      <c r="E2032" s="1" t="str">
        <f>"12.09"</f>
        <v>12.09</v>
      </c>
      <c r="F2032" s="1" t="str">
        <f t="shared" ref="F2032:I2032" si="4088">"0"</f>
        <v>0</v>
      </c>
      <c r="G2032" s="1" t="str">
        <f t="shared" si="4088"/>
        <v>0</v>
      </c>
      <c r="H2032" s="1" t="str">
        <f t="shared" si="4088"/>
        <v>0</v>
      </c>
      <c r="I2032" s="1" t="str">
        <f t="shared" si="4088"/>
        <v>0</v>
      </c>
      <c r="J2032" s="1" t="str">
        <f>"1"</f>
        <v>1</v>
      </c>
      <c r="K2032" s="1" t="str">
        <f t="shared" ref="K2032:P2032" si="4089">"0"</f>
        <v>0</v>
      </c>
      <c r="L2032" s="1" t="str">
        <f t="shared" si="4089"/>
        <v>0</v>
      </c>
      <c r="M2032" s="1" t="str">
        <f t="shared" si="4089"/>
        <v>0</v>
      </c>
      <c r="N2032" s="1" t="str">
        <f t="shared" si="4089"/>
        <v>0</v>
      </c>
      <c r="O2032" s="1" t="str">
        <f t="shared" si="4089"/>
        <v>0</v>
      </c>
      <c r="P2032" s="1" t="str">
        <f t="shared" si="4089"/>
        <v>0</v>
      </c>
      <c r="Q2032" s="1" t="str">
        <f t="shared" si="3994"/>
        <v>0.0070</v>
      </c>
      <c r="R2032" s="1" t="s">
        <v>29</v>
      </c>
      <c r="S2032" s="1">
        <v>-0.0014</v>
      </c>
      <c r="T2032" s="1" t="str">
        <f t="shared" si="3995"/>
        <v>0</v>
      </c>
      <c r="U2032" s="1" t="str">
        <f t="shared" si="4085"/>
        <v>0.0056</v>
      </c>
    </row>
    <row r="2033" s="1" customFormat="1" spans="1:21">
      <c r="A2033" s="1" t="str">
        <f>"4601992031696"</f>
        <v>4601992031696</v>
      </c>
      <c r="B2033" s="1" t="s">
        <v>2057</v>
      </c>
      <c r="C2033" s="1" t="s">
        <v>24</v>
      </c>
      <c r="D2033" s="1" t="str">
        <f t="shared" si="3992"/>
        <v>2021</v>
      </c>
      <c r="E2033" s="1" t="str">
        <f t="shared" ref="E2033:P2033" si="4090">"0"</f>
        <v>0</v>
      </c>
      <c r="F2033" s="1" t="str">
        <f t="shared" si="4090"/>
        <v>0</v>
      </c>
      <c r="G2033" s="1" t="str">
        <f t="shared" si="4090"/>
        <v>0</v>
      </c>
      <c r="H2033" s="1" t="str">
        <f t="shared" si="4090"/>
        <v>0</v>
      </c>
      <c r="I2033" s="1" t="str">
        <f t="shared" si="4090"/>
        <v>0</v>
      </c>
      <c r="J2033" s="1" t="str">
        <f t="shared" si="4090"/>
        <v>0</v>
      </c>
      <c r="K2033" s="1" t="str">
        <f t="shared" si="4090"/>
        <v>0</v>
      </c>
      <c r="L2033" s="1" t="str">
        <f t="shared" si="4090"/>
        <v>0</v>
      </c>
      <c r="M2033" s="1" t="str">
        <f t="shared" si="4090"/>
        <v>0</v>
      </c>
      <c r="N2033" s="1" t="str">
        <f t="shared" si="4090"/>
        <v>0</v>
      </c>
      <c r="O2033" s="1" t="str">
        <f t="shared" si="4090"/>
        <v>0</v>
      </c>
      <c r="P2033" s="1" t="str">
        <f t="shared" si="4090"/>
        <v>0</v>
      </c>
      <c r="Q2033" s="1" t="str">
        <f t="shared" si="3994"/>
        <v>0.0070</v>
      </c>
      <c r="R2033" s="1" t="s">
        <v>25</v>
      </c>
      <c r="T2033" s="1" t="str">
        <f t="shared" si="3995"/>
        <v>0</v>
      </c>
      <c r="U2033" s="1" t="str">
        <f t="shared" ref="U2033:U2035" si="4091">"0.0070"</f>
        <v>0.0070</v>
      </c>
    </row>
    <row r="2034" s="1" customFormat="1" spans="1:21">
      <c r="A2034" s="1" t="str">
        <f>"4601992031928"</f>
        <v>4601992031928</v>
      </c>
      <c r="B2034" s="1" t="s">
        <v>2058</v>
      </c>
      <c r="C2034" s="1" t="s">
        <v>24</v>
      </c>
      <c r="D2034" s="1" t="str">
        <f t="shared" si="3992"/>
        <v>2021</v>
      </c>
      <c r="E2034" s="1" t="str">
        <f t="shared" ref="E2034:P2034" si="4092">"0"</f>
        <v>0</v>
      </c>
      <c r="F2034" s="1" t="str">
        <f t="shared" si="4092"/>
        <v>0</v>
      </c>
      <c r="G2034" s="1" t="str">
        <f t="shared" si="4092"/>
        <v>0</v>
      </c>
      <c r="H2034" s="1" t="str">
        <f t="shared" si="4092"/>
        <v>0</v>
      </c>
      <c r="I2034" s="1" t="str">
        <f t="shared" si="4092"/>
        <v>0</v>
      </c>
      <c r="J2034" s="1" t="str">
        <f t="shared" si="4092"/>
        <v>0</v>
      </c>
      <c r="K2034" s="1" t="str">
        <f t="shared" si="4092"/>
        <v>0</v>
      </c>
      <c r="L2034" s="1" t="str">
        <f t="shared" si="4092"/>
        <v>0</v>
      </c>
      <c r="M2034" s="1" t="str">
        <f t="shared" si="4092"/>
        <v>0</v>
      </c>
      <c r="N2034" s="1" t="str">
        <f t="shared" si="4092"/>
        <v>0</v>
      </c>
      <c r="O2034" s="1" t="str">
        <f t="shared" si="4092"/>
        <v>0</v>
      </c>
      <c r="P2034" s="1" t="str">
        <f t="shared" si="4092"/>
        <v>0</v>
      </c>
      <c r="Q2034" s="1" t="str">
        <f t="shared" si="3994"/>
        <v>0.0070</v>
      </c>
      <c r="R2034" s="1" t="s">
        <v>25</v>
      </c>
      <c r="T2034" s="1" t="str">
        <f t="shared" si="3995"/>
        <v>0</v>
      </c>
      <c r="U2034" s="1" t="str">
        <f t="shared" si="4091"/>
        <v>0.0070</v>
      </c>
    </row>
    <row r="2035" s="1" customFormat="1" spans="1:21">
      <c r="A2035" s="1" t="str">
        <f>"4601992031931"</f>
        <v>4601992031931</v>
      </c>
      <c r="B2035" s="1" t="s">
        <v>2059</v>
      </c>
      <c r="C2035" s="1" t="s">
        <v>24</v>
      </c>
      <c r="D2035" s="1" t="str">
        <f t="shared" si="3992"/>
        <v>2021</v>
      </c>
      <c r="E2035" s="1" t="str">
        <f t="shared" ref="E2035:P2035" si="4093">"0"</f>
        <v>0</v>
      </c>
      <c r="F2035" s="1" t="str">
        <f t="shared" si="4093"/>
        <v>0</v>
      </c>
      <c r="G2035" s="1" t="str">
        <f t="shared" si="4093"/>
        <v>0</v>
      </c>
      <c r="H2035" s="1" t="str">
        <f t="shared" si="4093"/>
        <v>0</v>
      </c>
      <c r="I2035" s="1" t="str">
        <f t="shared" si="4093"/>
        <v>0</v>
      </c>
      <c r="J2035" s="1" t="str">
        <f t="shared" si="4093"/>
        <v>0</v>
      </c>
      <c r="K2035" s="1" t="str">
        <f t="shared" si="4093"/>
        <v>0</v>
      </c>
      <c r="L2035" s="1" t="str">
        <f t="shared" si="4093"/>
        <v>0</v>
      </c>
      <c r="M2035" s="1" t="str">
        <f t="shared" si="4093"/>
        <v>0</v>
      </c>
      <c r="N2035" s="1" t="str">
        <f t="shared" si="4093"/>
        <v>0</v>
      </c>
      <c r="O2035" s="1" t="str">
        <f t="shared" si="4093"/>
        <v>0</v>
      </c>
      <c r="P2035" s="1" t="str">
        <f t="shared" si="4093"/>
        <v>0</v>
      </c>
      <c r="Q2035" s="1" t="str">
        <f t="shared" si="3994"/>
        <v>0.0070</v>
      </c>
      <c r="R2035" s="1" t="s">
        <v>25</v>
      </c>
      <c r="T2035" s="1" t="str">
        <f t="shared" si="3995"/>
        <v>0</v>
      </c>
      <c r="U2035" s="1" t="str">
        <f t="shared" si="4091"/>
        <v>0.0070</v>
      </c>
    </row>
    <row r="2036" s="1" customFormat="1" spans="1:21">
      <c r="A2036" s="1" t="str">
        <f>"4601992031860"</f>
        <v>4601992031860</v>
      </c>
      <c r="B2036" s="1" t="s">
        <v>2060</v>
      </c>
      <c r="C2036" s="1" t="s">
        <v>24</v>
      </c>
      <c r="D2036" s="1" t="str">
        <f t="shared" si="3992"/>
        <v>2021</v>
      </c>
      <c r="E2036" s="1" t="str">
        <f>"36.05"</f>
        <v>36.05</v>
      </c>
      <c r="F2036" s="1" t="str">
        <f t="shared" ref="F2036:I2036" si="4094">"0"</f>
        <v>0</v>
      </c>
      <c r="G2036" s="1" t="str">
        <f t="shared" si="4094"/>
        <v>0</v>
      </c>
      <c r="H2036" s="1" t="str">
        <f t="shared" si="4094"/>
        <v>0</v>
      </c>
      <c r="I2036" s="1" t="str">
        <f t="shared" si="4094"/>
        <v>0</v>
      </c>
      <c r="J2036" s="1" t="str">
        <f>"4"</f>
        <v>4</v>
      </c>
      <c r="K2036" s="1" t="str">
        <f t="shared" ref="K2036:P2036" si="4095">"0"</f>
        <v>0</v>
      </c>
      <c r="L2036" s="1" t="str">
        <f t="shared" si="4095"/>
        <v>0</v>
      </c>
      <c r="M2036" s="1" t="str">
        <f t="shared" si="4095"/>
        <v>0</v>
      </c>
      <c r="N2036" s="1" t="str">
        <f t="shared" si="4095"/>
        <v>0</v>
      </c>
      <c r="O2036" s="1" t="str">
        <f t="shared" si="4095"/>
        <v>0</v>
      </c>
      <c r="P2036" s="1" t="str">
        <f t="shared" si="4095"/>
        <v>0</v>
      </c>
      <c r="Q2036" s="1" t="str">
        <f t="shared" si="3994"/>
        <v>0.0070</v>
      </c>
      <c r="R2036" s="1" t="s">
        <v>29</v>
      </c>
      <c r="S2036" s="1">
        <v>-0.0014</v>
      </c>
      <c r="T2036" s="1" t="str">
        <f t="shared" si="3995"/>
        <v>0</v>
      </c>
      <c r="U2036" s="1" t="str">
        <f t="shared" ref="U2036:U2038" si="4096">"0.0056"</f>
        <v>0.0056</v>
      </c>
    </row>
    <row r="2037" s="1" customFormat="1" spans="1:21">
      <c r="A2037" s="1" t="str">
        <f>"4601992031923"</f>
        <v>4601992031923</v>
      </c>
      <c r="B2037" s="1" t="s">
        <v>2061</v>
      </c>
      <c r="C2037" s="1" t="s">
        <v>24</v>
      </c>
      <c r="D2037" s="1" t="str">
        <f t="shared" si="3992"/>
        <v>2021</v>
      </c>
      <c r="E2037" s="1" t="str">
        <f>"24.18"</f>
        <v>24.18</v>
      </c>
      <c r="F2037" s="1" t="str">
        <f t="shared" ref="F2037:I2037" si="4097">"0"</f>
        <v>0</v>
      </c>
      <c r="G2037" s="1" t="str">
        <f t="shared" si="4097"/>
        <v>0</v>
      </c>
      <c r="H2037" s="1" t="str">
        <f t="shared" si="4097"/>
        <v>0</v>
      </c>
      <c r="I2037" s="1" t="str">
        <f t="shared" si="4097"/>
        <v>0</v>
      </c>
      <c r="J2037" s="1" t="str">
        <f>"2"</f>
        <v>2</v>
      </c>
      <c r="K2037" s="1" t="str">
        <f t="shared" ref="K2037:P2037" si="4098">"0"</f>
        <v>0</v>
      </c>
      <c r="L2037" s="1" t="str">
        <f t="shared" si="4098"/>
        <v>0</v>
      </c>
      <c r="M2037" s="1" t="str">
        <f t="shared" si="4098"/>
        <v>0</v>
      </c>
      <c r="N2037" s="1" t="str">
        <f t="shared" si="4098"/>
        <v>0</v>
      </c>
      <c r="O2037" s="1" t="str">
        <f t="shared" si="4098"/>
        <v>0</v>
      </c>
      <c r="P2037" s="1" t="str">
        <f t="shared" si="4098"/>
        <v>0</v>
      </c>
      <c r="Q2037" s="1" t="str">
        <f t="shared" si="3994"/>
        <v>0.0070</v>
      </c>
      <c r="R2037" s="1" t="s">
        <v>29</v>
      </c>
      <c r="S2037" s="1">
        <v>-0.0014</v>
      </c>
      <c r="T2037" s="1" t="str">
        <f t="shared" si="3995"/>
        <v>0</v>
      </c>
      <c r="U2037" s="1" t="str">
        <f t="shared" si="4096"/>
        <v>0.0056</v>
      </c>
    </row>
    <row r="2038" s="1" customFormat="1" spans="1:21">
      <c r="A2038" s="1" t="str">
        <f>"4601992031938"</f>
        <v>4601992031938</v>
      </c>
      <c r="B2038" s="1" t="s">
        <v>2062</v>
      </c>
      <c r="C2038" s="1" t="s">
        <v>24</v>
      </c>
      <c r="D2038" s="1" t="str">
        <f t="shared" si="3992"/>
        <v>2021</v>
      </c>
      <c r="E2038" s="1" t="str">
        <f>"12.09"</f>
        <v>12.09</v>
      </c>
      <c r="F2038" s="1" t="str">
        <f t="shared" ref="F2038:I2038" si="4099">"0"</f>
        <v>0</v>
      </c>
      <c r="G2038" s="1" t="str">
        <f t="shared" si="4099"/>
        <v>0</v>
      </c>
      <c r="H2038" s="1" t="str">
        <f t="shared" si="4099"/>
        <v>0</v>
      </c>
      <c r="I2038" s="1" t="str">
        <f t="shared" si="4099"/>
        <v>0</v>
      </c>
      <c r="J2038" s="1" t="str">
        <f>"2"</f>
        <v>2</v>
      </c>
      <c r="K2038" s="1" t="str">
        <f t="shared" ref="K2038:P2038" si="4100">"0"</f>
        <v>0</v>
      </c>
      <c r="L2038" s="1" t="str">
        <f t="shared" si="4100"/>
        <v>0</v>
      </c>
      <c r="M2038" s="1" t="str">
        <f t="shared" si="4100"/>
        <v>0</v>
      </c>
      <c r="N2038" s="1" t="str">
        <f t="shared" si="4100"/>
        <v>0</v>
      </c>
      <c r="O2038" s="1" t="str">
        <f t="shared" si="4100"/>
        <v>0</v>
      </c>
      <c r="P2038" s="1" t="str">
        <f t="shared" si="4100"/>
        <v>0</v>
      </c>
      <c r="Q2038" s="1" t="str">
        <f t="shared" si="3994"/>
        <v>0.0070</v>
      </c>
      <c r="R2038" s="1" t="s">
        <v>29</v>
      </c>
      <c r="S2038" s="1">
        <v>-0.0014</v>
      </c>
      <c r="T2038" s="1" t="str">
        <f t="shared" si="3995"/>
        <v>0</v>
      </c>
      <c r="U2038" s="1" t="str">
        <f t="shared" si="4096"/>
        <v>0.0056</v>
      </c>
    </row>
    <row r="2039" s="1" customFormat="1" spans="1:21">
      <c r="A2039" s="1" t="str">
        <f>"4601992031929"</f>
        <v>4601992031929</v>
      </c>
      <c r="B2039" s="1" t="s">
        <v>2063</v>
      </c>
      <c r="C2039" s="1" t="s">
        <v>24</v>
      </c>
      <c r="D2039" s="1" t="str">
        <f t="shared" si="3992"/>
        <v>2021</v>
      </c>
      <c r="E2039" s="1" t="str">
        <f t="shared" ref="E2039:P2039" si="4101">"0"</f>
        <v>0</v>
      </c>
      <c r="F2039" s="1" t="str">
        <f t="shared" si="4101"/>
        <v>0</v>
      </c>
      <c r="G2039" s="1" t="str">
        <f t="shared" si="4101"/>
        <v>0</v>
      </c>
      <c r="H2039" s="1" t="str">
        <f t="shared" si="4101"/>
        <v>0</v>
      </c>
      <c r="I2039" s="1" t="str">
        <f t="shared" si="4101"/>
        <v>0</v>
      </c>
      <c r="J2039" s="1" t="str">
        <f t="shared" si="4101"/>
        <v>0</v>
      </c>
      <c r="K2039" s="1" t="str">
        <f t="shared" si="4101"/>
        <v>0</v>
      </c>
      <c r="L2039" s="1" t="str">
        <f t="shared" si="4101"/>
        <v>0</v>
      </c>
      <c r="M2039" s="1" t="str">
        <f t="shared" si="4101"/>
        <v>0</v>
      </c>
      <c r="N2039" s="1" t="str">
        <f t="shared" si="4101"/>
        <v>0</v>
      </c>
      <c r="O2039" s="1" t="str">
        <f t="shared" si="4101"/>
        <v>0</v>
      </c>
      <c r="P2039" s="1" t="str">
        <f t="shared" si="4101"/>
        <v>0</v>
      </c>
      <c r="Q2039" s="1" t="str">
        <f t="shared" si="3994"/>
        <v>0.0070</v>
      </c>
      <c r="R2039" s="1" t="s">
        <v>25</v>
      </c>
      <c r="T2039" s="1" t="str">
        <f t="shared" si="3995"/>
        <v>0</v>
      </c>
      <c r="U2039" s="1" t="str">
        <f t="shared" ref="U2039:U2044" si="4102">"0.0070"</f>
        <v>0.0070</v>
      </c>
    </row>
    <row r="2040" s="1" customFormat="1" spans="1:21">
      <c r="A2040" s="1" t="str">
        <f>"4601992031940"</f>
        <v>4601992031940</v>
      </c>
      <c r="B2040" s="1" t="s">
        <v>2064</v>
      </c>
      <c r="C2040" s="1" t="s">
        <v>24</v>
      </c>
      <c r="D2040" s="1" t="str">
        <f t="shared" si="3992"/>
        <v>2021</v>
      </c>
      <c r="E2040" s="1" t="str">
        <f t="shared" ref="E2040:I2040" si="4103">"0"</f>
        <v>0</v>
      </c>
      <c r="F2040" s="1" t="str">
        <f t="shared" si="4103"/>
        <v>0</v>
      </c>
      <c r="G2040" s="1" t="str">
        <f t="shared" si="4103"/>
        <v>0</v>
      </c>
      <c r="H2040" s="1" t="str">
        <f t="shared" si="4103"/>
        <v>0</v>
      </c>
      <c r="I2040" s="1" t="str">
        <f t="shared" si="4103"/>
        <v>0</v>
      </c>
      <c r="J2040" s="1" t="str">
        <f>"1"</f>
        <v>1</v>
      </c>
      <c r="K2040" s="1" t="str">
        <f t="shared" ref="K2040:P2040" si="4104">"0"</f>
        <v>0</v>
      </c>
      <c r="L2040" s="1" t="str">
        <f t="shared" si="4104"/>
        <v>0</v>
      </c>
      <c r="M2040" s="1" t="str">
        <f t="shared" si="4104"/>
        <v>0</v>
      </c>
      <c r="N2040" s="1" t="str">
        <f t="shared" si="4104"/>
        <v>0</v>
      </c>
      <c r="O2040" s="1" t="str">
        <f t="shared" si="4104"/>
        <v>0</v>
      </c>
      <c r="P2040" s="1" t="str">
        <f t="shared" si="4104"/>
        <v>0</v>
      </c>
      <c r="Q2040" s="1" t="str">
        <f t="shared" si="3994"/>
        <v>0.0070</v>
      </c>
      <c r="R2040" s="1" t="s">
        <v>25</v>
      </c>
      <c r="T2040" s="1" t="str">
        <f t="shared" si="3995"/>
        <v>0</v>
      </c>
      <c r="U2040" s="1" t="str">
        <f t="shared" si="4102"/>
        <v>0.0070</v>
      </c>
    </row>
    <row r="2041" s="1" customFormat="1" spans="1:21">
      <c r="A2041" s="1" t="str">
        <f>"4601992031957"</f>
        <v>4601992031957</v>
      </c>
      <c r="B2041" s="1" t="s">
        <v>2065</v>
      </c>
      <c r="C2041" s="1" t="s">
        <v>24</v>
      </c>
      <c r="D2041" s="1" t="str">
        <f t="shared" si="3992"/>
        <v>2021</v>
      </c>
      <c r="E2041" s="1" t="str">
        <f t="shared" ref="E2041:I2041" si="4105">"0"</f>
        <v>0</v>
      </c>
      <c r="F2041" s="1" t="str">
        <f t="shared" si="4105"/>
        <v>0</v>
      </c>
      <c r="G2041" s="1" t="str">
        <f t="shared" si="4105"/>
        <v>0</v>
      </c>
      <c r="H2041" s="1" t="str">
        <f t="shared" si="4105"/>
        <v>0</v>
      </c>
      <c r="I2041" s="1" t="str">
        <f t="shared" si="4105"/>
        <v>0</v>
      </c>
      <c r="J2041" s="1" t="str">
        <f>"1"</f>
        <v>1</v>
      </c>
      <c r="K2041" s="1" t="str">
        <f t="shared" ref="K2041:P2041" si="4106">"0"</f>
        <v>0</v>
      </c>
      <c r="L2041" s="1" t="str">
        <f t="shared" si="4106"/>
        <v>0</v>
      </c>
      <c r="M2041" s="1" t="str">
        <f t="shared" si="4106"/>
        <v>0</v>
      </c>
      <c r="N2041" s="1" t="str">
        <f t="shared" si="4106"/>
        <v>0</v>
      </c>
      <c r="O2041" s="1" t="str">
        <f t="shared" si="4106"/>
        <v>0</v>
      </c>
      <c r="P2041" s="1" t="str">
        <f t="shared" si="4106"/>
        <v>0</v>
      </c>
      <c r="Q2041" s="1" t="str">
        <f t="shared" si="3994"/>
        <v>0.0070</v>
      </c>
      <c r="R2041" s="1" t="s">
        <v>25</v>
      </c>
      <c r="T2041" s="1" t="str">
        <f t="shared" si="3995"/>
        <v>0</v>
      </c>
      <c r="U2041" s="1" t="str">
        <f t="shared" si="4102"/>
        <v>0.0070</v>
      </c>
    </row>
    <row r="2042" s="1" customFormat="1" spans="1:21">
      <c r="A2042" s="1" t="str">
        <f>"4601992032004"</f>
        <v>4601992032004</v>
      </c>
      <c r="B2042" s="1" t="s">
        <v>2066</v>
      </c>
      <c r="C2042" s="1" t="s">
        <v>24</v>
      </c>
      <c r="D2042" s="1" t="str">
        <f t="shared" si="3992"/>
        <v>2021</v>
      </c>
      <c r="E2042" s="1" t="str">
        <f t="shared" ref="E2042:P2042" si="4107">"0"</f>
        <v>0</v>
      </c>
      <c r="F2042" s="1" t="str">
        <f t="shared" si="4107"/>
        <v>0</v>
      </c>
      <c r="G2042" s="1" t="str">
        <f t="shared" si="4107"/>
        <v>0</v>
      </c>
      <c r="H2042" s="1" t="str">
        <f t="shared" si="4107"/>
        <v>0</v>
      </c>
      <c r="I2042" s="1" t="str">
        <f t="shared" si="4107"/>
        <v>0</v>
      </c>
      <c r="J2042" s="1" t="str">
        <f t="shared" si="4107"/>
        <v>0</v>
      </c>
      <c r="K2042" s="1" t="str">
        <f t="shared" si="4107"/>
        <v>0</v>
      </c>
      <c r="L2042" s="1" t="str">
        <f t="shared" si="4107"/>
        <v>0</v>
      </c>
      <c r="M2042" s="1" t="str">
        <f t="shared" si="4107"/>
        <v>0</v>
      </c>
      <c r="N2042" s="1" t="str">
        <f t="shared" si="4107"/>
        <v>0</v>
      </c>
      <c r="O2042" s="1" t="str">
        <f t="shared" si="4107"/>
        <v>0</v>
      </c>
      <c r="P2042" s="1" t="str">
        <f t="shared" si="4107"/>
        <v>0</v>
      </c>
      <c r="Q2042" s="1" t="str">
        <f t="shared" si="3994"/>
        <v>0.0070</v>
      </c>
      <c r="R2042" s="1" t="s">
        <v>25</v>
      </c>
      <c r="T2042" s="1" t="str">
        <f t="shared" si="3995"/>
        <v>0</v>
      </c>
      <c r="U2042" s="1" t="str">
        <f t="shared" si="4102"/>
        <v>0.0070</v>
      </c>
    </row>
    <row r="2043" s="1" customFormat="1" spans="1:21">
      <c r="A2043" s="1" t="str">
        <f>"4601992032050"</f>
        <v>4601992032050</v>
      </c>
      <c r="B2043" s="1" t="s">
        <v>2067</v>
      </c>
      <c r="C2043" s="1" t="s">
        <v>24</v>
      </c>
      <c r="D2043" s="1" t="str">
        <f t="shared" si="3992"/>
        <v>2021</v>
      </c>
      <c r="E2043" s="1" t="str">
        <f t="shared" ref="E2043:P2043" si="4108">"0"</f>
        <v>0</v>
      </c>
      <c r="F2043" s="1" t="str">
        <f t="shared" si="4108"/>
        <v>0</v>
      </c>
      <c r="G2043" s="1" t="str">
        <f t="shared" si="4108"/>
        <v>0</v>
      </c>
      <c r="H2043" s="1" t="str">
        <f t="shared" si="4108"/>
        <v>0</v>
      </c>
      <c r="I2043" s="1" t="str">
        <f t="shared" si="4108"/>
        <v>0</v>
      </c>
      <c r="J2043" s="1" t="str">
        <f t="shared" si="4108"/>
        <v>0</v>
      </c>
      <c r="K2043" s="1" t="str">
        <f t="shared" si="4108"/>
        <v>0</v>
      </c>
      <c r="L2043" s="1" t="str">
        <f t="shared" si="4108"/>
        <v>0</v>
      </c>
      <c r="M2043" s="1" t="str">
        <f t="shared" si="4108"/>
        <v>0</v>
      </c>
      <c r="N2043" s="1" t="str">
        <f t="shared" si="4108"/>
        <v>0</v>
      </c>
      <c r="O2043" s="1" t="str">
        <f t="shared" si="4108"/>
        <v>0</v>
      </c>
      <c r="P2043" s="1" t="str">
        <f t="shared" si="4108"/>
        <v>0</v>
      </c>
      <c r="Q2043" s="1" t="str">
        <f t="shared" si="3994"/>
        <v>0.0070</v>
      </c>
      <c r="R2043" s="1" t="s">
        <v>25</v>
      </c>
      <c r="T2043" s="1" t="str">
        <f t="shared" si="3995"/>
        <v>0</v>
      </c>
      <c r="U2043" s="1" t="str">
        <f t="shared" si="4102"/>
        <v>0.0070</v>
      </c>
    </row>
    <row r="2044" s="1" customFormat="1" spans="1:21">
      <c r="A2044" s="1" t="str">
        <f>"4601992032048"</f>
        <v>4601992032048</v>
      </c>
      <c r="B2044" s="1" t="s">
        <v>2068</v>
      </c>
      <c r="C2044" s="1" t="s">
        <v>24</v>
      </c>
      <c r="D2044" s="1" t="str">
        <f t="shared" si="3992"/>
        <v>2021</v>
      </c>
      <c r="E2044" s="1" t="str">
        <f t="shared" ref="E2044:P2044" si="4109">"0"</f>
        <v>0</v>
      </c>
      <c r="F2044" s="1" t="str">
        <f t="shared" si="4109"/>
        <v>0</v>
      </c>
      <c r="G2044" s="1" t="str">
        <f t="shared" si="4109"/>
        <v>0</v>
      </c>
      <c r="H2044" s="1" t="str">
        <f t="shared" si="4109"/>
        <v>0</v>
      </c>
      <c r="I2044" s="1" t="str">
        <f t="shared" si="4109"/>
        <v>0</v>
      </c>
      <c r="J2044" s="1" t="str">
        <f t="shared" si="4109"/>
        <v>0</v>
      </c>
      <c r="K2044" s="1" t="str">
        <f t="shared" si="4109"/>
        <v>0</v>
      </c>
      <c r="L2044" s="1" t="str">
        <f t="shared" si="4109"/>
        <v>0</v>
      </c>
      <c r="M2044" s="1" t="str">
        <f t="shared" si="4109"/>
        <v>0</v>
      </c>
      <c r="N2044" s="1" t="str">
        <f t="shared" si="4109"/>
        <v>0</v>
      </c>
      <c r="O2044" s="1" t="str">
        <f t="shared" si="4109"/>
        <v>0</v>
      </c>
      <c r="P2044" s="1" t="str">
        <f t="shared" si="4109"/>
        <v>0</v>
      </c>
      <c r="Q2044" s="1" t="str">
        <f t="shared" si="3994"/>
        <v>0.0070</v>
      </c>
      <c r="R2044" s="1" t="s">
        <v>25</v>
      </c>
      <c r="T2044" s="1" t="str">
        <f t="shared" si="3995"/>
        <v>0</v>
      </c>
      <c r="U2044" s="1" t="str">
        <f t="shared" si="4102"/>
        <v>0.0070</v>
      </c>
    </row>
    <row r="2045" s="1" customFormat="1" spans="1:21">
      <c r="A2045" s="1" t="str">
        <f>"4601992031978"</f>
        <v>4601992031978</v>
      </c>
      <c r="B2045" s="1" t="s">
        <v>2069</v>
      </c>
      <c r="C2045" s="1" t="s">
        <v>24</v>
      </c>
      <c r="D2045" s="1" t="str">
        <f t="shared" si="3992"/>
        <v>2021</v>
      </c>
      <c r="E2045" s="1" t="str">
        <f>"596.43"</f>
        <v>596.43</v>
      </c>
      <c r="F2045" s="1" t="str">
        <f t="shared" ref="F2045:I2045" si="4110">"0"</f>
        <v>0</v>
      </c>
      <c r="G2045" s="1" t="str">
        <f t="shared" si="4110"/>
        <v>0</v>
      </c>
      <c r="H2045" s="1" t="str">
        <f t="shared" si="4110"/>
        <v>0</v>
      </c>
      <c r="I2045" s="1" t="str">
        <f t="shared" si="4110"/>
        <v>0</v>
      </c>
      <c r="J2045" s="1" t="str">
        <f>"48"</f>
        <v>48</v>
      </c>
      <c r="K2045" s="1" t="str">
        <f t="shared" ref="K2045:P2045" si="4111">"0"</f>
        <v>0</v>
      </c>
      <c r="L2045" s="1" t="str">
        <f t="shared" si="4111"/>
        <v>0</v>
      </c>
      <c r="M2045" s="1" t="str">
        <f t="shared" si="4111"/>
        <v>0</v>
      </c>
      <c r="N2045" s="1" t="str">
        <f t="shared" si="4111"/>
        <v>0</v>
      </c>
      <c r="O2045" s="1" t="str">
        <f t="shared" si="4111"/>
        <v>0</v>
      </c>
      <c r="P2045" s="1" t="str">
        <f t="shared" si="4111"/>
        <v>0</v>
      </c>
      <c r="Q2045" s="1" t="str">
        <f t="shared" si="3994"/>
        <v>0.0070</v>
      </c>
      <c r="R2045" s="1" t="s">
        <v>29</v>
      </c>
      <c r="S2045" s="1">
        <v>-0.0014</v>
      </c>
      <c r="T2045" s="1" t="str">
        <f t="shared" si="3995"/>
        <v>0</v>
      </c>
      <c r="U2045" s="1" t="str">
        <f t="shared" ref="U2045:U2048" si="4112">"0.0056"</f>
        <v>0.0056</v>
      </c>
    </row>
    <row r="2046" s="1" customFormat="1" spans="1:21">
      <c r="A2046" s="1" t="str">
        <f>"4601992032071"</f>
        <v>4601992032071</v>
      </c>
      <c r="B2046" s="1" t="s">
        <v>2070</v>
      </c>
      <c r="C2046" s="1" t="s">
        <v>24</v>
      </c>
      <c r="D2046" s="1" t="str">
        <f t="shared" si="3992"/>
        <v>2021</v>
      </c>
      <c r="E2046" s="1" t="str">
        <f>"24.18"</f>
        <v>24.18</v>
      </c>
      <c r="F2046" s="1" t="str">
        <f t="shared" ref="F2046:I2046" si="4113">"0"</f>
        <v>0</v>
      </c>
      <c r="G2046" s="1" t="str">
        <f t="shared" si="4113"/>
        <v>0</v>
      </c>
      <c r="H2046" s="1" t="str">
        <f t="shared" si="4113"/>
        <v>0</v>
      </c>
      <c r="I2046" s="1" t="str">
        <f t="shared" si="4113"/>
        <v>0</v>
      </c>
      <c r="J2046" s="1" t="str">
        <f>"2"</f>
        <v>2</v>
      </c>
      <c r="K2046" s="1" t="str">
        <f t="shared" ref="K2046:P2046" si="4114">"0"</f>
        <v>0</v>
      </c>
      <c r="L2046" s="1" t="str">
        <f t="shared" si="4114"/>
        <v>0</v>
      </c>
      <c r="M2046" s="1" t="str">
        <f t="shared" si="4114"/>
        <v>0</v>
      </c>
      <c r="N2046" s="1" t="str">
        <f t="shared" si="4114"/>
        <v>0</v>
      </c>
      <c r="O2046" s="1" t="str">
        <f t="shared" si="4114"/>
        <v>0</v>
      </c>
      <c r="P2046" s="1" t="str">
        <f t="shared" si="4114"/>
        <v>0</v>
      </c>
      <c r="Q2046" s="1" t="str">
        <f t="shared" si="3994"/>
        <v>0.0070</v>
      </c>
      <c r="R2046" s="1" t="s">
        <v>29</v>
      </c>
      <c r="S2046" s="1">
        <v>-0.0014</v>
      </c>
      <c r="T2046" s="1" t="str">
        <f t="shared" si="3995"/>
        <v>0</v>
      </c>
      <c r="U2046" s="1" t="str">
        <f t="shared" si="4112"/>
        <v>0.0056</v>
      </c>
    </row>
    <row r="2047" s="1" customFormat="1" spans="1:21">
      <c r="A2047" s="1" t="str">
        <f>"4601992032095"</f>
        <v>4601992032095</v>
      </c>
      <c r="B2047" s="1" t="s">
        <v>2071</v>
      </c>
      <c r="C2047" s="1" t="s">
        <v>24</v>
      </c>
      <c r="D2047" s="1" t="str">
        <f t="shared" si="3992"/>
        <v>2021</v>
      </c>
      <c r="E2047" s="1" t="str">
        <f t="shared" ref="E2047:P2047" si="4115">"0"</f>
        <v>0</v>
      </c>
      <c r="F2047" s="1" t="str">
        <f t="shared" si="4115"/>
        <v>0</v>
      </c>
      <c r="G2047" s="1" t="str">
        <f t="shared" si="4115"/>
        <v>0</v>
      </c>
      <c r="H2047" s="1" t="str">
        <f t="shared" si="4115"/>
        <v>0</v>
      </c>
      <c r="I2047" s="1" t="str">
        <f t="shared" si="4115"/>
        <v>0</v>
      </c>
      <c r="J2047" s="1" t="str">
        <f t="shared" si="4115"/>
        <v>0</v>
      </c>
      <c r="K2047" s="1" t="str">
        <f t="shared" si="4115"/>
        <v>0</v>
      </c>
      <c r="L2047" s="1" t="str">
        <f t="shared" si="4115"/>
        <v>0</v>
      </c>
      <c r="M2047" s="1" t="str">
        <f t="shared" si="4115"/>
        <v>0</v>
      </c>
      <c r="N2047" s="1" t="str">
        <f t="shared" si="4115"/>
        <v>0</v>
      </c>
      <c r="O2047" s="1" t="str">
        <f t="shared" si="4115"/>
        <v>0</v>
      </c>
      <c r="P2047" s="1" t="str">
        <f t="shared" si="4115"/>
        <v>0</v>
      </c>
      <c r="Q2047" s="1" t="str">
        <f t="shared" si="3994"/>
        <v>0.0070</v>
      </c>
      <c r="R2047" s="1" t="s">
        <v>25</v>
      </c>
      <c r="T2047" s="1" t="str">
        <f t="shared" si="3995"/>
        <v>0</v>
      </c>
      <c r="U2047" s="1" t="str">
        <f t="shared" ref="U2047:U2051" si="4116">"0.0070"</f>
        <v>0.0070</v>
      </c>
    </row>
    <row r="2048" s="1" customFormat="1" spans="1:21">
      <c r="A2048" s="1" t="str">
        <f>"4601992032054"</f>
        <v>4601992032054</v>
      </c>
      <c r="B2048" s="1" t="s">
        <v>2072</v>
      </c>
      <c r="C2048" s="1" t="s">
        <v>24</v>
      </c>
      <c r="D2048" s="1" t="str">
        <f t="shared" si="3992"/>
        <v>2021</v>
      </c>
      <c r="E2048" s="1" t="str">
        <f>"12.09"</f>
        <v>12.09</v>
      </c>
      <c r="F2048" s="1" t="str">
        <f t="shared" ref="F2048:I2048" si="4117">"0"</f>
        <v>0</v>
      </c>
      <c r="G2048" s="1" t="str">
        <f t="shared" si="4117"/>
        <v>0</v>
      </c>
      <c r="H2048" s="1" t="str">
        <f t="shared" si="4117"/>
        <v>0</v>
      </c>
      <c r="I2048" s="1" t="str">
        <f t="shared" si="4117"/>
        <v>0</v>
      </c>
      <c r="J2048" s="1" t="str">
        <f t="shared" ref="J2048:J2053" si="4118">"1"</f>
        <v>1</v>
      </c>
      <c r="K2048" s="1" t="str">
        <f t="shared" ref="K2048:P2048" si="4119">"0"</f>
        <v>0</v>
      </c>
      <c r="L2048" s="1" t="str">
        <f t="shared" si="4119"/>
        <v>0</v>
      </c>
      <c r="M2048" s="1" t="str">
        <f t="shared" si="4119"/>
        <v>0</v>
      </c>
      <c r="N2048" s="1" t="str">
        <f t="shared" si="4119"/>
        <v>0</v>
      </c>
      <c r="O2048" s="1" t="str">
        <f t="shared" si="4119"/>
        <v>0</v>
      </c>
      <c r="P2048" s="1" t="str">
        <f t="shared" si="4119"/>
        <v>0</v>
      </c>
      <c r="Q2048" s="1" t="str">
        <f t="shared" si="3994"/>
        <v>0.0070</v>
      </c>
      <c r="R2048" s="1" t="s">
        <v>29</v>
      </c>
      <c r="S2048" s="1">
        <v>-0.0014</v>
      </c>
      <c r="T2048" s="1" t="str">
        <f t="shared" si="3995"/>
        <v>0</v>
      </c>
      <c r="U2048" s="1" t="str">
        <f t="shared" si="4112"/>
        <v>0.0056</v>
      </c>
    </row>
    <row r="2049" s="1" customFormat="1" spans="1:21">
      <c r="A2049" s="1" t="str">
        <f>"4601992032173"</f>
        <v>4601992032173</v>
      </c>
      <c r="B2049" s="1" t="s">
        <v>2073</v>
      </c>
      <c r="C2049" s="1" t="s">
        <v>24</v>
      </c>
      <c r="D2049" s="1" t="str">
        <f t="shared" si="3992"/>
        <v>2021</v>
      </c>
      <c r="E2049" s="1" t="str">
        <f t="shared" ref="E2049:G2049" si="4120">"0"</f>
        <v>0</v>
      </c>
      <c r="F2049" s="1" t="str">
        <f t="shared" si="4120"/>
        <v>0</v>
      </c>
      <c r="G2049" s="1" t="str">
        <f t="shared" si="4120"/>
        <v>0</v>
      </c>
      <c r="H2049" s="1" t="str">
        <f>"12.09"</f>
        <v>12.09</v>
      </c>
      <c r="I2049" s="1" t="str">
        <f t="shared" ref="I2049:P2049" si="4121">"0"</f>
        <v>0</v>
      </c>
      <c r="J2049" s="1" t="str">
        <f t="shared" si="4121"/>
        <v>0</v>
      </c>
      <c r="K2049" s="1" t="str">
        <f t="shared" si="4121"/>
        <v>0</v>
      </c>
      <c r="L2049" s="1" t="str">
        <f t="shared" si="4121"/>
        <v>0</v>
      </c>
      <c r="M2049" s="1" t="str">
        <f t="shared" si="4121"/>
        <v>0</v>
      </c>
      <c r="N2049" s="1" t="str">
        <f t="shared" si="4121"/>
        <v>0</v>
      </c>
      <c r="O2049" s="1" t="str">
        <f t="shared" si="4121"/>
        <v>0</v>
      </c>
      <c r="P2049" s="1" t="str">
        <f t="shared" si="4121"/>
        <v>0</v>
      </c>
      <c r="Q2049" s="1" t="str">
        <f t="shared" si="3994"/>
        <v>0.0070</v>
      </c>
      <c r="R2049" s="1" t="s">
        <v>25</v>
      </c>
      <c r="T2049" s="1" t="str">
        <f t="shared" si="3995"/>
        <v>0</v>
      </c>
      <c r="U2049" s="1" t="str">
        <f t="shared" si="4116"/>
        <v>0.0070</v>
      </c>
    </row>
    <row r="2050" s="1" customFormat="1" spans="1:21">
      <c r="A2050" s="1" t="str">
        <f>"4601992032167"</f>
        <v>4601992032167</v>
      </c>
      <c r="B2050" s="1" t="s">
        <v>2074</v>
      </c>
      <c r="C2050" s="1" t="s">
        <v>24</v>
      </c>
      <c r="D2050" s="1" t="str">
        <f t="shared" si="3992"/>
        <v>2021</v>
      </c>
      <c r="E2050" s="1" t="str">
        <f>"39.98"</f>
        <v>39.98</v>
      </c>
      <c r="F2050" s="1" t="str">
        <f t="shared" ref="F2050:I2050" si="4122">"0"</f>
        <v>0</v>
      </c>
      <c r="G2050" s="1" t="str">
        <f t="shared" si="4122"/>
        <v>0</v>
      </c>
      <c r="H2050" s="1" t="str">
        <f t="shared" si="4122"/>
        <v>0</v>
      </c>
      <c r="I2050" s="1" t="str">
        <f t="shared" si="4122"/>
        <v>0</v>
      </c>
      <c r="J2050" s="1" t="str">
        <f>"2"</f>
        <v>2</v>
      </c>
      <c r="K2050" s="1" t="str">
        <f t="shared" ref="K2050:P2050" si="4123">"0"</f>
        <v>0</v>
      </c>
      <c r="L2050" s="1" t="str">
        <f t="shared" si="4123"/>
        <v>0</v>
      </c>
      <c r="M2050" s="1" t="str">
        <f t="shared" si="4123"/>
        <v>0</v>
      </c>
      <c r="N2050" s="1" t="str">
        <f t="shared" si="4123"/>
        <v>0</v>
      </c>
      <c r="O2050" s="1" t="str">
        <f t="shared" si="4123"/>
        <v>0</v>
      </c>
      <c r="P2050" s="1" t="str">
        <f t="shared" si="4123"/>
        <v>0</v>
      </c>
      <c r="Q2050" s="1" t="str">
        <f t="shared" si="3994"/>
        <v>0.0070</v>
      </c>
      <c r="R2050" s="1" t="s">
        <v>29</v>
      </c>
      <c r="S2050" s="1">
        <v>-0.0014</v>
      </c>
      <c r="T2050" s="1" t="str">
        <f t="shared" si="3995"/>
        <v>0</v>
      </c>
      <c r="U2050" s="1" t="str">
        <f t="shared" ref="U2050:U2055" si="4124">"0.0056"</f>
        <v>0.0056</v>
      </c>
    </row>
    <row r="2051" s="1" customFormat="1" spans="1:21">
      <c r="A2051" s="1" t="str">
        <f>"4601992032190"</f>
        <v>4601992032190</v>
      </c>
      <c r="B2051" s="1" t="s">
        <v>2075</v>
      </c>
      <c r="C2051" s="1" t="s">
        <v>24</v>
      </c>
      <c r="D2051" s="1" t="str">
        <f t="shared" ref="D2051:D2114" si="4125">"2021"</f>
        <v>2021</v>
      </c>
      <c r="E2051" s="1" t="str">
        <f t="shared" ref="E2051:P2051" si="4126">"0"</f>
        <v>0</v>
      </c>
      <c r="F2051" s="1" t="str">
        <f t="shared" si="4126"/>
        <v>0</v>
      </c>
      <c r="G2051" s="1" t="str">
        <f t="shared" si="4126"/>
        <v>0</v>
      </c>
      <c r="H2051" s="1" t="str">
        <f t="shared" si="4126"/>
        <v>0</v>
      </c>
      <c r="I2051" s="1" t="str">
        <f t="shared" si="4126"/>
        <v>0</v>
      </c>
      <c r="J2051" s="1" t="str">
        <f t="shared" si="4126"/>
        <v>0</v>
      </c>
      <c r="K2051" s="1" t="str">
        <f t="shared" si="4126"/>
        <v>0</v>
      </c>
      <c r="L2051" s="1" t="str">
        <f t="shared" si="4126"/>
        <v>0</v>
      </c>
      <c r="M2051" s="1" t="str">
        <f t="shared" si="4126"/>
        <v>0</v>
      </c>
      <c r="N2051" s="1" t="str">
        <f t="shared" si="4126"/>
        <v>0</v>
      </c>
      <c r="O2051" s="1" t="str">
        <f t="shared" si="4126"/>
        <v>0</v>
      </c>
      <c r="P2051" s="1" t="str">
        <f t="shared" si="4126"/>
        <v>0</v>
      </c>
      <c r="Q2051" s="1" t="str">
        <f t="shared" ref="Q2051:Q2114" si="4127">"0.0070"</f>
        <v>0.0070</v>
      </c>
      <c r="R2051" s="1" t="s">
        <v>25</v>
      </c>
      <c r="T2051" s="1" t="str">
        <f t="shared" ref="T2051:T2114" si="4128">"0"</f>
        <v>0</v>
      </c>
      <c r="U2051" s="1" t="str">
        <f t="shared" si="4116"/>
        <v>0.0070</v>
      </c>
    </row>
    <row r="2052" s="1" customFormat="1" spans="1:21">
      <c r="A2052" s="1" t="str">
        <f>"4601992032279"</f>
        <v>4601992032279</v>
      </c>
      <c r="B2052" s="1" t="s">
        <v>2076</v>
      </c>
      <c r="C2052" s="1" t="s">
        <v>24</v>
      </c>
      <c r="D2052" s="1" t="str">
        <f t="shared" si="4125"/>
        <v>2021</v>
      </c>
      <c r="E2052" s="1" t="str">
        <f>"15.54"</f>
        <v>15.54</v>
      </c>
      <c r="F2052" s="1" t="str">
        <f t="shared" ref="F2052:I2052" si="4129">"0"</f>
        <v>0</v>
      </c>
      <c r="G2052" s="1" t="str">
        <f t="shared" si="4129"/>
        <v>0</v>
      </c>
      <c r="H2052" s="1" t="str">
        <f t="shared" si="4129"/>
        <v>0</v>
      </c>
      <c r="I2052" s="1" t="str">
        <f t="shared" si="4129"/>
        <v>0</v>
      </c>
      <c r="J2052" s="1" t="str">
        <f t="shared" si="4118"/>
        <v>1</v>
      </c>
      <c r="K2052" s="1" t="str">
        <f t="shared" ref="K2052:P2052" si="4130">"0"</f>
        <v>0</v>
      </c>
      <c r="L2052" s="1" t="str">
        <f t="shared" si="4130"/>
        <v>0</v>
      </c>
      <c r="M2052" s="1" t="str">
        <f t="shared" si="4130"/>
        <v>0</v>
      </c>
      <c r="N2052" s="1" t="str">
        <f t="shared" si="4130"/>
        <v>0</v>
      </c>
      <c r="O2052" s="1" t="str">
        <f t="shared" si="4130"/>
        <v>0</v>
      </c>
      <c r="P2052" s="1" t="str">
        <f t="shared" si="4130"/>
        <v>0</v>
      </c>
      <c r="Q2052" s="1" t="str">
        <f t="shared" si="4127"/>
        <v>0.0070</v>
      </c>
      <c r="R2052" s="1" t="s">
        <v>29</v>
      </c>
      <c r="S2052" s="1">
        <v>-0.0014</v>
      </c>
      <c r="T2052" s="1" t="str">
        <f t="shared" si="4128"/>
        <v>0</v>
      </c>
      <c r="U2052" s="1" t="str">
        <f t="shared" si="4124"/>
        <v>0.0056</v>
      </c>
    </row>
    <row r="2053" s="1" customFormat="1" spans="1:21">
      <c r="A2053" s="1" t="str">
        <f>"4601992032315"</f>
        <v>4601992032315</v>
      </c>
      <c r="B2053" s="1" t="s">
        <v>2077</v>
      </c>
      <c r="C2053" s="1" t="s">
        <v>24</v>
      </c>
      <c r="D2053" s="1" t="str">
        <f t="shared" si="4125"/>
        <v>2021</v>
      </c>
      <c r="E2053" s="1" t="str">
        <f>"12.09"</f>
        <v>12.09</v>
      </c>
      <c r="F2053" s="1" t="str">
        <f t="shared" ref="F2053:I2053" si="4131">"0"</f>
        <v>0</v>
      </c>
      <c r="G2053" s="1" t="str">
        <f t="shared" si="4131"/>
        <v>0</v>
      </c>
      <c r="H2053" s="1" t="str">
        <f t="shared" si="4131"/>
        <v>0</v>
      </c>
      <c r="I2053" s="1" t="str">
        <f t="shared" si="4131"/>
        <v>0</v>
      </c>
      <c r="J2053" s="1" t="str">
        <f t="shared" si="4118"/>
        <v>1</v>
      </c>
      <c r="K2053" s="1" t="str">
        <f t="shared" ref="K2053:P2053" si="4132">"0"</f>
        <v>0</v>
      </c>
      <c r="L2053" s="1" t="str">
        <f t="shared" si="4132"/>
        <v>0</v>
      </c>
      <c r="M2053" s="1" t="str">
        <f t="shared" si="4132"/>
        <v>0</v>
      </c>
      <c r="N2053" s="1" t="str">
        <f t="shared" si="4132"/>
        <v>0</v>
      </c>
      <c r="O2053" s="1" t="str">
        <f t="shared" si="4132"/>
        <v>0</v>
      </c>
      <c r="P2053" s="1" t="str">
        <f t="shared" si="4132"/>
        <v>0</v>
      </c>
      <c r="Q2053" s="1" t="str">
        <f t="shared" si="4127"/>
        <v>0.0070</v>
      </c>
      <c r="R2053" s="1" t="s">
        <v>29</v>
      </c>
      <c r="S2053" s="1">
        <v>-0.0014</v>
      </c>
      <c r="T2053" s="1" t="str">
        <f t="shared" si="4128"/>
        <v>0</v>
      </c>
      <c r="U2053" s="1" t="str">
        <f t="shared" si="4124"/>
        <v>0.0056</v>
      </c>
    </row>
    <row r="2054" s="1" customFormat="1" spans="1:21">
      <c r="A2054" s="1" t="str">
        <f>"4601992032361"</f>
        <v>4601992032361</v>
      </c>
      <c r="B2054" s="1" t="s">
        <v>2078</v>
      </c>
      <c r="C2054" s="1" t="s">
        <v>24</v>
      </c>
      <c r="D2054" s="1" t="str">
        <f t="shared" si="4125"/>
        <v>2021</v>
      </c>
      <c r="E2054" s="1" t="str">
        <f>"84.63"</f>
        <v>84.63</v>
      </c>
      <c r="F2054" s="1" t="str">
        <f t="shared" ref="F2054:I2054" si="4133">"0"</f>
        <v>0</v>
      </c>
      <c r="G2054" s="1" t="str">
        <f t="shared" si="4133"/>
        <v>0</v>
      </c>
      <c r="H2054" s="1" t="str">
        <f t="shared" si="4133"/>
        <v>0</v>
      </c>
      <c r="I2054" s="1" t="str">
        <f t="shared" si="4133"/>
        <v>0</v>
      </c>
      <c r="J2054" s="1" t="str">
        <f>"7"</f>
        <v>7</v>
      </c>
      <c r="K2054" s="1" t="str">
        <f t="shared" ref="K2054:P2054" si="4134">"0"</f>
        <v>0</v>
      </c>
      <c r="L2054" s="1" t="str">
        <f t="shared" si="4134"/>
        <v>0</v>
      </c>
      <c r="M2054" s="1" t="str">
        <f t="shared" si="4134"/>
        <v>0</v>
      </c>
      <c r="N2054" s="1" t="str">
        <f t="shared" si="4134"/>
        <v>0</v>
      </c>
      <c r="O2054" s="1" t="str">
        <f t="shared" si="4134"/>
        <v>0</v>
      </c>
      <c r="P2054" s="1" t="str">
        <f t="shared" si="4134"/>
        <v>0</v>
      </c>
      <c r="Q2054" s="1" t="str">
        <f t="shared" si="4127"/>
        <v>0.0070</v>
      </c>
      <c r="R2054" s="1" t="s">
        <v>29</v>
      </c>
      <c r="S2054" s="1">
        <v>-0.0014</v>
      </c>
      <c r="T2054" s="1" t="str">
        <f t="shared" si="4128"/>
        <v>0</v>
      </c>
      <c r="U2054" s="1" t="str">
        <f t="shared" si="4124"/>
        <v>0.0056</v>
      </c>
    </row>
    <row r="2055" s="1" customFormat="1" spans="1:21">
      <c r="A2055" s="1" t="str">
        <f>"4601992032363"</f>
        <v>4601992032363</v>
      </c>
      <c r="B2055" s="1" t="s">
        <v>2079</v>
      </c>
      <c r="C2055" s="1" t="s">
        <v>24</v>
      </c>
      <c r="D2055" s="1" t="str">
        <f t="shared" si="4125"/>
        <v>2021</v>
      </c>
      <c r="E2055" s="1" t="str">
        <f>"48.36"</f>
        <v>48.36</v>
      </c>
      <c r="F2055" s="1" t="str">
        <f t="shared" ref="F2055:I2055" si="4135">"0"</f>
        <v>0</v>
      </c>
      <c r="G2055" s="1" t="str">
        <f t="shared" si="4135"/>
        <v>0</v>
      </c>
      <c r="H2055" s="1" t="str">
        <f t="shared" si="4135"/>
        <v>0</v>
      </c>
      <c r="I2055" s="1" t="str">
        <f t="shared" si="4135"/>
        <v>0</v>
      </c>
      <c r="J2055" s="1" t="str">
        <f>"4"</f>
        <v>4</v>
      </c>
      <c r="K2055" s="1" t="str">
        <f t="shared" ref="K2055:P2055" si="4136">"0"</f>
        <v>0</v>
      </c>
      <c r="L2055" s="1" t="str">
        <f t="shared" si="4136"/>
        <v>0</v>
      </c>
      <c r="M2055" s="1" t="str">
        <f t="shared" si="4136"/>
        <v>0</v>
      </c>
      <c r="N2055" s="1" t="str">
        <f t="shared" si="4136"/>
        <v>0</v>
      </c>
      <c r="O2055" s="1" t="str">
        <f t="shared" si="4136"/>
        <v>0</v>
      </c>
      <c r="P2055" s="1" t="str">
        <f t="shared" si="4136"/>
        <v>0</v>
      </c>
      <c r="Q2055" s="1" t="str">
        <f t="shared" si="4127"/>
        <v>0.0070</v>
      </c>
      <c r="R2055" s="1" t="s">
        <v>29</v>
      </c>
      <c r="S2055" s="1">
        <v>-0.0014</v>
      </c>
      <c r="T2055" s="1" t="str">
        <f t="shared" si="4128"/>
        <v>0</v>
      </c>
      <c r="U2055" s="1" t="str">
        <f t="shared" si="4124"/>
        <v>0.0056</v>
      </c>
    </row>
    <row r="2056" s="1" customFormat="1" spans="1:21">
      <c r="A2056" s="1" t="str">
        <f>"4601992032384"</f>
        <v>4601992032384</v>
      </c>
      <c r="B2056" s="1" t="s">
        <v>2080</v>
      </c>
      <c r="C2056" s="1" t="s">
        <v>24</v>
      </c>
      <c r="D2056" s="1" t="str">
        <f t="shared" si="4125"/>
        <v>2021</v>
      </c>
      <c r="E2056" s="1" t="str">
        <f t="shared" ref="E2056:P2056" si="4137">"0"</f>
        <v>0</v>
      </c>
      <c r="F2056" s="1" t="str">
        <f t="shared" si="4137"/>
        <v>0</v>
      </c>
      <c r="G2056" s="1" t="str">
        <f t="shared" si="4137"/>
        <v>0</v>
      </c>
      <c r="H2056" s="1" t="str">
        <f t="shared" si="4137"/>
        <v>0</v>
      </c>
      <c r="I2056" s="1" t="str">
        <f t="shared" si="4137"/>
        <v>0</v>
      </c>
      <c r="J2056" s="1" t="str">
        <f t="shared" si="4137"/>
        <v>0</v>
      </c>
      <c r="K2056" s="1" t="str">
        <f t="shared" si="4137"/>
        <v>0</v>
      </c>
      <c r="L2056" s="1" t="str">
        <f t="shared" si="4137"/>
        <v>0</v>
      </c>
      <c r="M2056" s="1" t="str">
        <f t="shared" si="4137"/>
        <v>0</v>
      </c>
      <c r="N2056" s="1" t="str">
        <f t="shared" si="4137"/>
        <v>0</v>
      </c>
      <c r="O2056" s="1" t="str">
        <f t="shared" si="4137"/>
        <v>0</v>
      </c>
      <c r="P2056" s="1" t="str">
        <f t="shared" si="4137"/>
        <v>0</v>
      </c>
      <c r="Q2056" s="1" t="str">
        <f t="shared" si="4127"/>
        <v>0.0070</v>
      </c>
      <c r="R2056" s="1" t="s">
        <v>25</v>
      </c>
      <c r="T2056" s="1" t="str">
        <f t="shared" si="4128"/>
        <v>0</v>
      </c>
      <c r="U2056" s="1" t="str">
        <f>"0.0070"</f>
        <v>0.0070</v>
      </c>
    </row>
    <row r="2057" s="1" customFormat="1" spans="1:21">
      <c r="A2057" s="1" t="str">
        <f>"4601992032390"</f>
        <v>4601992032390</v>
      </c>
      <c r="B2057" s="1" t="s">
        <v>2081</v>
      </c>
      <c r="C2057" s="1" t="s">
        <v>24</v>
      </c>
      <c r="D2057" s="1" t="str">
        <f t="shared" si="4125"/>
        <v>2021</v>
      </c>
      <c r="E2057" s="1" t="str">
        <f t="shared" ref="E2057:P2057" si="4138">"0"</f>
        <v>0</v>
      </c>
      <c r="F2057" s="1" t="str">
        <f t="shared" si="4138"/>
        <v>0</v>
      </c>
      <c r="G2057" s="1" t="str">
        <f t="shared" si="4138"/>
        <v>0</v>
      </c>
      <c r="H2057" s="1" t="str">
        <f t="shared" si="4138"/>
        <v>0</v>
      </c>
      <c r="I2057" s="1" t="str">
        <f t="shared" si="4138"/>
        <v>0</v>
      </c>
      <c r="J2057" s="1" t="str">
        <f t="shared" si="4138"/>
        <v>0</v>
      </c>
      <c r="K2057" s="1" t="str">
        <f t="shared" si="4138"/>
        <v>0</v>
      </c>
      <c r="L2057" s="1" t="str">
        <f t="shared" si="4138"/>
        <v>0</v>
      </c>
      <c r="M2057" s="1" t="str">
        <f t="shared" si="4138"/>
        <v>0</v>
      </c>
      <c r="N2057" s="1" t="str">
        <f t="shared" si="4138"/>
        <v>0</v>
      </c>
      <c r="O2057" s="1" t="str">
        <f t="shared" si="4138"/>
        <v>0</v>
      </c>
      <c r="P2057" s="1" t="str">
        <f t="shared" si="4138"/>
        <v>0</v>
      </c>
      <c r="Q2057" s="1" t="str">
        <f t="shared" si="4127"/>
        <v>0.0070</v>
      </c>
      <c r="R2057" s="1" t="s">
        <v>25</v>
      </c>
      <c r="T2057" s="1" t="str">
        <f t="shared" si="4128"/>
        <v>0</v>
      </c>
      <c r="U2057" s="1" t="str">
        <f>"0.0070"</f>
        <v>0.0070</v>
      </c>
    </row>
    <row r="2058" s="1" customFormat="1" spans="1:21">
      <c r="A2058" s="1" t="str">
        <f>"4601992032358"</f>
        <v>4601992032358</v>
      </c>
      <c r="B2058" s="1" t="s">
        <v>2082</v>
      </c>
      <c r="C2058" s="1" t="s">
        <v>24</v>
      </c>
      <c r="D2058" s="1" t="str">
        <f t="shared" si="4125"/>
        <v>2021</v>
      </c>
      <c r="E2058" s="1" t="str">
        <f>"24.18"</f>
        <v>24.18</v>
      </c>
      <c r="F2058" s="1" t="str">
        <f t="shared" ref="F2058:I2058" si="4139">"0"</f>
        <v>0</v>
      </c>
      <c r="G2058" s="1" t="str">
        <f t="shared" si="4139"/>
        <v>0</v>
      </c>
      <c r="H2058" s="1" t="str">
        <f t="shared" si="4139"/>
        <v>0</v>
      </c>
      <c r="I2058" s="1" t="str">
        <f t="shared" si="4139"/>
        <v>0</v>
      </c>
      <c r="J2058" s="1" t="str">
        <f>"2"</f>
        <v>2</v>
      </c>
      <c r="K2058" s="1" t="str">
        <f t="shared" ref="K2058:P2058" si="4140">"0"</f>
        <v>0</v>
      </c>
      <c r="L2058" s="1" t="str">
        <f t="shared" si="4140"/>
        <v>0</v>
      </c>
      <c r="M2058" s="1" t="str">
        <f t="shared" si="4140"/>
        <v>0</v>
      </c>
      <c r="N2058" s="1" t="str">
        <f t="shared" si="4140"/>
        <v>0</v>
      </c>
      <c r="O2058" s="1" t="str">
        <f t="shared" si="4140"/>
        <v>0</v>
      </c>
      <c r="P2058" s="1" t="str">
        <f t="shared" si="4140"/>
        <v>0</v>
      </c>
      <c r="Q2058" s="1" t="str">
        <f t="shared" si="4127"/>
        <v>0.0070</v>
      </c>
      <c r="R2058" s="1" t="s">
        <v>29</v>
      </c>
      <c r="S2058" s="1">
        <v>-0.0014</v>
      </c>
      <c r="T2058" s="1" t="str">
        <f t="shared" si="4128"/>
        <v>0</v>
      </c>
      <c r="U2058" s="1" t="str">
        <f t="shared" ref="U2058:U2062" si="4141">"0.0056"</f>
        <v>0.0056</v>
      </c>
    </row>
    <row r="2059" s="1" customFormat="1" spans="1:21">
      <c r="A2059" s="1" t="str">
        <f>"4601992032387"</f>
        <v>4601992032387</v>
      </c>
      <c r="B2059" s="1" t="s">
        <v>2083</v>
      </c>
      <c r="C2059" s="1" t="s">
        <v>24</v>
      </c>
      <c r="D2059" s="1" t="str">
        <f t="shared" si="4125"/>
        <v>2021</v>
      </c>
      <c r="E2059" s="1" t="str">
        <f>"24.07"</f>
        <v>24.07</v>
      </c>
      <c r="F2059" s="1" t="str">
        <f t="shared" ref="F2059:I2059" si="4142">"0"</f>
        <v>0</v>
      </c>
      <c r="G2059" s="1" t="str">
        <f t="shared" si="4142"/>
        <v>0</v>
      </c>
      <c r="H2059" s="1" t="str">
        <f t="shared" si="4142"/>
        <v>0</v>
      </c>
      <c r="I2059" s="1" t="str">
        <f t="shared" si="4142"/>
        <v>0</v>
      </c>
      <c r="J2059" s="1" t="str">
        <f>"4"</f>
        <v>4</v>
      </c>
      <c r="K2059" s="1" t="str">
        <f t="shared" ref="K2059:P2059" si="4143">"0"</f>
        <v>0</v>
      </c>
      <c r="L2059" s="1" t="str">
        <f t="shared" si="4143"/>
        <v>0</v>
      </c>
      <c r="M2059" s="1" t="str">
        <f t="shared" si="4143"/>
        <v>0</v>
      </c>
      <c r="N2059" s="1" t="str">
        <f t="shared" si="4143"/>
        <v>0</v>
      </c>
      <c r="O2059" s="1" t="str">
        <f t="shared" si="4143"/>
        <v>0</v>
      </c>
      <c r="P2059" s="1" t="str">
        <f t="shared" si="4143"/>
        <v>0</v>
      </c>
      <c r="Q2059" s="1" t="str">
        <f t="shared" si="4127"/>
        <v>0.0070</v>
      </c>
      <c r="R2059" s="1" t="s">
        <v>29</v>
      </c>
      <c r="S2059" s="1">
        <v>-0.0014</v>
      </c>
      <c r="T2059" s="1" t="str">
        <f t="shared" si="4128"/>
        <v>0</v>
      </c>
      <c r="U2059" s="1" t="str">
        <f t="shared" si="4141"/>
        <v>0.0056</v>
      </c>
    </row>
    <row r="2060" s="1" customFormat="1" spans="1:21">
      <c r="A2060" s="1" t="str">
        <f>"4601992032424"</f>
        <v>4601992032424</v>
      </c>
      <c r="B2060" s="1" t="s">
        <v>2084</v>
      </c>
      <c r="C2060" s="1" t="s">
        <v>24</v>
      </c>
      <c r="D2060" s="1" t="str">
        <f t="shared" si="4125"/>
        <v>2021</v>
      </c>
      <c r="E2060" s="1" t="str">
        <f>"36.05"</f>
        <v>36.05</v>
      </c>
      <c r="F2060" s="1" t="str">
        <f t="shared" ref="F2060:I2060" si="4144">"0"</f>
        <v>0</v>
      </c>
      <c r="G2060" s="1" t="str">
        <f t="shared" si="4144"/>
        <v>0</v>
      </c>
      <c r="H2060" s="1" t="str">
        <f t="shared" si="4144"/>
        <v>0</v>
      </c>
      <c r="I2060" s="1" t="str">
        <f t="shared" si="4144"/>
        <v>0</v>
      </c>
      <c r="J2060" s="1" t="str">
        <f>"5"</f>
        <v>5</v>
      </c>
      <c r="K2060" s="1" t="str">
        <f t="shared" ref="K2060:P2060" si="4145">"0"</f>
        <v>0</v>
      </c>
      <c r="L2060" s="1" t="str">
        <f t="shared" si="4145"/>
        <v>0</v>
      </c>
      <c r="M2060" s="1" t="str">
        <f t="shared" si="4145"/>
        <v>0</v>
      </c>
      <c r="N2060" s="1" t="str">
        <f t="shared" si="4145"/>
        <v>0</v>
      </c>
      <c r="O2060" s="1" t="str">
        <f t="shared" si="4145"/>
        <v>0</v>
      </c>
      <c r="P2060" s="1" t="str">
        <f t="shared" si="4145"/>
        <v>0</v>
      </c>
      <c r="Q2060" s="1" t="str">
        <f t="shared" si="4127"/>
        <v>0.0070</v>
      </c>
      <c r="R2060" s="1" t="s">
        <v>29</v>
      </c>
      <c r="S2060" s="1">
        <v>-0.0014</v>
      </c>
      <c r="T2060" s="1" t="str">
        <f t="shared" si="4128"/>
        <v>0</v>
      </c>
      <c r="U2060" s="1" t="str">
        <f t="shared" si="4141"/>
        <v>0.0056</v>
      </c>
    </row>
    <row r="2061" s="1" customFormat="1" spans="1:21">
      <c r="A2061" s="1" t="str">
        <f>"4601992032441"</f>
        <v>4601992032441</v>
      </c>
      <c r="B2061" s="1" t="s">
        <v>2085</v>
      </c>
      <c r="C2061" s="1" t="s">
        <v>24</v>
      </c>
      <c r="D2061" s="1" t="str">
        <f t="shared" si="4125"/>
        <v>2021</v>
      </c>
      <c r="E2061" s="1" t="str">
        <f>"11.98"</f>
        <v>11.98</v>
      </c>
      <c r="F2061" s="1" t="str">
        <f t="shared" ref="F2061:I2061" si="4146">"0"</f>
        <v>0</v>
      </c>
      <c r="G2061" s="1" t="str">
        <f t="shared" si="4146"/>
        <v>0</v>
      </c>
      <c r="H2061" s="1" t="str">
        <f t="shared" si="4146"/>
        <v>0</v>
      </c>
      <c r="I2061" s="1" t="str">
        <f t="shared" si="4146"/>
        <v>0</v>
      </c>
      <c r="J2061" s="1" t="str">
        <f>"1"</f>
        <v>1</v>
      </c>
      <c r="K2061" s="1" t="str">
        <f t="shared" ref="K2061:P2061" si="4147">"0"</f>
        <v>0</v>
      </c>
      <c r="L2061" s="1" t="str">
        <f t="shared" si="4147"/>
        <v>0</v>
      </c>
      <c r="M2061" s="1" t="str">
        <f t="shared" si="4147"/>
        <v>0</v>
      </c>
      <c r="N2061" s="1" t="str">
        <f t="shared" si="4147"/>
        <v>0</v>
      </c>
      <c r="O2061" s="1" t="str">
        <f t="shared" si="4147"/>
        <v>0</v>
      </c>
      <c r="P2061" s="1" t="str">
        <f t="shared" si="4147"/>
        <v>0</v>
      </c>
      <c r="Q2061" s="1" t="str">
        <f t="shared" si="4127"/>
        <v>0.0070</v>
      </c>
      <c r="R2061" s="1" t="s">
        <v>29</v>
      </c>
      <c r="S2061" s="1">
        <v>-0.0014</v>
      </c>
      <c r="T2061" s="1" t="str">
        <f t="shared" si="4128"/>
        <v>0</v>
      </c>
      <c r="U2061" s="1" t="str">
        <f t="shared" si="4141"/>
        <v>0.0056</v>
      </c>
    </row>
    <row r="2062" s="1" customFormat="1" spans="1:21">
      <c r="A2062" s="1" t="str">
        <f>"4601992032396"</f>
        <v>4601992032396</v>
      </c>
      <c r="B2062" s="1" t="s">
        <v>2086</v>
      </c>
      <c r="C2062" s="1" t="s">
        <v>24</v>
      </c>
      <c r="D2062" s="1" t="str">
        <f t="shared" si="4125"/>
        <v>2021</v>
      </c>
      <c r="E2062" s="1" t="str">
        <f>"24.18"</f>
        <v>24.18</v>
      </c>
      <c r="F2062" s="1" t="str">
        <f t="shared" ref="F2062:I2062" si="4148">"0"</f>
        <v>0</v>
      </c>
      <c r="G2062" s="1" t="str">
        <f t="shared" si="4148"/>
        <v>0</v>
      </c>
      <c r="H2062" s="1" t="str">
        <f t="shared" si="4148"/>
        <v>0</v>
      </c>
      <c r="I2062" s="1" t="str">
        <f t="shared" si="4148"/>
        <v>0</v>
      </c>
      <c r="J2062" s="1" t="str">
        <f>"2"</f>
        <v>2</v>
      </c>
      <c r="K2062" s="1" t="str">
        <f t="shared" ref="K2062:P2062" si="4149">"0"</f>
        <v>0</v>
      </c>
      <c r="L2062" s="1" t="str">
        <f t="shared" si="4149"/>
        <v>0</v>
      </c>
      <c r="M2062" s="1" t="str">
        <f t="shared" si="4149"/>
        <v>0</v>
      </c>
      <c r="N2062" s="1" t="str">
        <f t="shared" si="4149"/>
        <v>0</v>
      </c>
      <c r="O2062" s="1" t="str">
        <f t="shared" si="4149"/>
        <v>0</v>
      </c>
      <c r="P2062" s="1" t="str">
        <f t="shared" si="4149"/>
        <v>0</v>
      </c>
      <c r="Q2062" s="1" t="str">
        <f t="shared" si="4127"/>
        <v>0.0070</v>
      </c>
      <c r="R2062" s="1" t="s">
        <v>29</v>
      </c>
      <c r="S2062" s="1">
        <v>-0.0014</v>
      </c>
      <c r="T2062" s="1" t="str">
        <f t="shared" si="4128"/>
        <v>0</v>
      </c>
      <c r="U2062" s="1" t="str">
        <f t="shared" si="4141"/>
        <v>0.0056</v>
      </c>
    </row>
    <row r="2063" s="1" customFormat="1" spans="1:21">
      <c r="A2063" s="1" t="str">
        <f>"4601992032445"</f>
        <v>4601992032445</v>
      </c>
      <c r="B2063" s="1" t="s">
        <v>2087</v>
      </c>
      <c r="C2063" s="1" t="s">
        <v>24</v>
      </c>
      <c r="D2063" s="1" t="str">
        <f t="shared" si="4125"/>
        <v>2021</v>
      </c>
      <c r="E2063" s="1" t="str">
        <f t="shared" ref="E2063:P2063" si="4150">"0"</f>
        <v>0</v>
      </c>
      <c r="F2063" s="1" t="str">
        <f t="shared" si="4150"/>
        <v>0</v>
      </c>
      <c r="G2063" s="1" t="str">
        <f t="shared" si="4150"/>
        <v>0</v>
      </c>
      <c r="H2063" s="1" t="str">
        <f t="shared" si="4150"/>
        <v>0</v>
      </c>
      <c r="I2063" s="1" t="str">
        <f t="shared" si="4150"/>
        <v>0</v>
      </c>
      <c r="J2063" s="1" t="str">
        <f t="shared" si="4150"/>
        <v>0</v>
      </c>
      <c r="K2063" s="1" t="str">
        <f t="shared" si="4150"/>
        <v>0</v>
      </c>
      <c r="L2063" s="1" t="str">
        <f t="shared" si="4150"/>
        <v>0</v>
      </c>
      <c r="M2063" s="1" t="str">
        <f t="shared" si="4150"/>
        <v>0</v>
      </c>
      <c r="N2063" s="1" t="str">
        <f t="shared" si="4150"/>
        <v>0</v>
      </c>
      <c r="O2063" s="1" t="str">
        <f t="shared" si="4150"/>
        <v>0</v>
      </c>
      <c r="P2063" s="1" t="str">
        <f t="shared" si="4150"/>
        <v>0</v>
      </c>
      <c r="Q2063" s="1" t="str">
        <f t="shared" si="4127"/>
        <v>0.0070</v>
      </c>
      <c r="R2063" s="1" t="s">
        <v>25</v>
      </c>
      <c r="T2063" s="1" t="str">
        <f t="shared" si="4128"/>
        <v>0</v>
      </c>
      <c r="U2063" s="1" t="str">
        <f t="shared" ref="U2063:U2067" si="4151">"0.0070"</f>
        <v>0.0070</v>
      </c>
    </row>
    <row r="2064" s="1" customFormat="1" spans="1:21">
      <c r="A2064" s="1" t="str">
        <f>"4601992032473"</f>
        <v>4601992032473</v>
      </c>
      <c r="B2064" s="1" t="s">
        <v>2088</v>
      </c>
      <c r="C2064" s="1" t="s">
        <v>24</v>
      </c>
      <c r="D2064" s="1" t="str">
        <f t="shared" si="4125"/>
        <v>2021</v>
      </c>
      <c r="E2064" s="1" t="str">
        <f t="shared" ref="E2064:P2064" si="4152">"0"</f>
        <v>0</v>
      </c>
      <c r="F2064" s="1" t="str">
        <f t="shared" si="4152"/>
        <v>0</v>
      </c>
      <c r="G2064" s="1" t="str">
        <f t="shared" si="4152"/>
        <v>0</v>
      </c>
      <c r="H2064" s="1" t="str">
        <f t="shared" si="4152"/>
        <v>0</v>
      </c>
      <c r="I2064" s="1" t="str">
        <f t="shared" si="4152"/>
        <v>0</v>
      </c>
      <c r="J2064" s="1" t="str">
        <f t="shared" si="4152"/>
        <v>0</v>
      </c>
      <c r="K2064" s="1" t="str">
        <f t="shared" si="4152"/>
        <v>0</v>
      </c>
      <c r="L2064" s="1" t="str">
        <f t="shared" si="4152"/>
        <v>0</v>
      </c>
      <c r="M2064" s="1" t="str">
        <f t="shared" si="4152"/>
        <v>0</v>
      </c>
      <c r="N2064" s="1" t="str">
        <f t="shared" si="4152"/>
        <v>0</v>
      </c>
      <c r="O2064" s="1" t="str">
        <f t="shared" si="4152"/>
        <v>0</v>
      </c>
      <c r="P2064" s="1" t="str">
        <f t="shared" si="4152"/>
        <v>0</v>
      </c>
      <c r="Q2064" s="1" t="str">
        <f t="shared" si="4127"/>
        <v>0.0070</v>
      </c>
      <c r="R2064" s="1" t="s">
        <v>25</v>
      </c>
      <c r="T2064" s="1" t="str">
        <f t="shared" si="4128"/>
        <v>0</v>
      </c>
      <c r="U2064" s="1" t="str">
        <f t="shared" si="4151"/>
        <v>0.0070</v>
      </c>
    </row>
    <row r="2065" s="1" customFormat="1" spans="1:21">
      <c r="A2065" s="1" t="str">
        <f>"4601992032551"</f>
        <v>4601992032551</v>
      </c>
      <c r="B2065" s="1" t="s">
        <v>2089</v>
      </c>
      <c r="C2065" s="1" t="s">
        <v>24</v>
      </c>
      <c r="D2065" s="1" t="str">
        <f t="shared" si="4125"/>
        <v>2021</v>
      </c>
      <c r="E2065" s="1" t="str">
        <f t="shared" ref="E2065:P2065" si="4153">"0"</f>
        <v>0</v>
      </c>
      <c r="F2065" s="1" t="str">
        <f t="shared" si="4153"/>
        <v>0</v>
      </c>
      <c r="G2065" s="1" t="str">
        <f t="shared" si="4153"/>
        <v>0</v>
      </c>
      <c r="H2065" s="1" t="str">
        <f t="shared" si="4153"/>
        <v>0</v>
      </c>
      <c r="I2065" s="1" t="str">
        <f t="shared" si="4153"/>
        <v>0</v>
      </c>
      <c r="J2065" s="1" t="str">
        <f t="shared" si="4153"/>
        <v>0</v>
      </c>
      <c r="K2065" s="1" t="str">
        <f t="shared" si="4153"/>
        <v>0</v>
      </c>
      <c r="L2065" s="1" t="str">
        <f t="shared" si="4153"/>
        <v>0</v>
      </c>
      <c r="M2065" s="1" t="str">
        <f t="shared" si="4153"/>
        <v>0</v>
      </c>
      <c r="N2065" s="1" t="str">
        <f t="shared" si="4153"/>
        <v>0</v>
      </c>
      <c r="O2065" s="1" t="str">
        <f t="shared" si="4153"/>
        <v>0</v>
      </c>
      <c r="P2065" s="1" t="str">
        <f t="shared" si="4153"/>
        <v>0</v>
      </c>
      <c r="Q2065" s="1" t="str">
        <f t="shared" si="4127"/>
        <v>0.0070</v>
      </c>
      <c r="R2065" s="1" t="s">
        <v>25</v>
      </c>
      <c r="T2065" s="1" t="str">
        <f t="shared" si="4128"/>
        <v>0</v>
      </c>
      <c r="U2065" s="1" t="str">
        <f t="shared" si="4151"/>
        <v>0.0070</v>
      </c>
    </row>
    <row r="2066" s="1" customFormat="1" spans="1:21">
      <c r="A2066" s="1" t="str">
        <f>"4601992032574"</f>
        <v>4601992032574</v>
      </c>
      <c r="B2066" s="1" t="s">
        <v>2090</v>
      </c>
      <c r="C2066" s="1" t="s">
        <v>24</v>
      </c>
      <c r="D2066" s="1" t="str">
        <f t="shared" si="4125"/>
        <v>2021</v>
      </c>
      <c r="E2066" s="1" t="str">
        <f t="shared" ref="E2066:P2066" si="4154">"0"</f>
        <v>0</v>
      </c>
      <c r="F2066" s="1" t="str">
        <f t="shared" si="4154"/>
        <v>0</v>
      </c>
      <c r="G2066" s="1" t="str">
        <f t="shared" si="4154"/>
        <v>0</v>
      </c>
      <c r="H2066" s="1" t="str">
        <f t="shared" si="4154"/>
        <v>0</v>
      </c>
      <c r="I2066" s="1" t="str">
        <f t="shared" si="4154"/>
        <v>0</v>
      </c>
      <c r="J2066" s="1" t="str">
        <f t="shared" si="4154"/>
        <v>0</v>
      </c>
      <c r="K2066" s="1" t="str">
        <f t="shared" si="4154"/>
        <v>0</v>
      </c>
      <c r="L2066" s="1" t="str">
        <f t="shared" si="4154"/>
        <v>0</v>
      </c>
      <c r="M2066" s="1" t="str">
        <f t="shared" si="4154"/>
        <v>0</v>
      </c>
      <c r="N2066" s="1" t="str">
        <f t="shared" si="4154"/>
        <v>0</v>
      </c>
      <c r="O2066" s="1" t="str">
        <f t="shared" si="4154"/>
        <v>0</v>
      </c>
      <c r="P2066" s="1" t="str">
        <f t="shared" si="4154"/>
        <v>0</v>
      </c>
      <c r="Q2066" s="1" t="str">
        <f t="shared" si="4127"/>
        <v>0.0070</v>
      </c>
      <c r="R2066" s="1" t="s">
        <v>25</v>
      </c>
      <c r="T2066" s="1" t="str">
        <f t="shared" si="4128"/>
        <v>0</v>
      </c>
      <c r="U2066" s="1" t="str">
        <f t="shared" si="4151"/>
        <v>0.0070</v>
      </c>
    </row>
    <row r="2067" s="1" customFormat="1" spans="1:21">
      <c r="A2067" s="1" t="str">
        <f>"4601992032587"</f>
        <v>4601992032587</v>
      </c>
      <c r="B2067" s="1" t="s">
        <v>2091</v>
      </c>
      <c r="C2067" s="1" t="s">
        <v>24</v>
      </c>
      <c r="D2067" s="1" t="str">
        <f t="shared" si="4125"/>
        <v>2021</v>
      </c>
      <c r="E2067" s="1" t="str">
        <f t="shared" ref="E2067:P2067" si="4155">"0"</f>
        <v>0</v>
      </c>
      <c r="F2067" s="1" t="str">
        <f t="shared" si="4155"/>
        <v>0</v>
      </c>
      <c r="G2067" s="1" t="str">
        <f t="shared" si="4155"/>
        <v>0</v>
      </c>
      <c r="H2067" s="1" t="str">
        <f t="shared" si="4155"/>
        <v>0</v>
      </c>
      <c r="I2067" s="1" t="str">
        <f t="shared" si="4155"/>
        <v>0</v>
      </c>
      <c r="J2067" s="1" t="str">
        <f t="shared" si="4155"/>
        <v>0</v>
      </c>
      <c r="K2067" s="1" t="str">
        <f t="shared" si="4155"/>
        <v>0</v>
      </c>
      <c r="L2067" s="1" t="str">
        <f t="shared" si="4155"/>
        <v>0</v>
      </c>
      <c r="M2067" s="1" t="str">
        <f t="shared" si="4155"/>
        <v>0</v>
      </c>
      <c r="N2067" s="1" t="str">
        <f t="shared" si="4155"/>
        <v>0</v>
      </c>
      <c r="O2067" s="1" t="str">
        <f t="shared" si="4155"/>
        <v>0</v>
      </c>
      <c r="P2067" s="1" t="str">
        <f t="shared" si="4155"/>
        <v>0</v>
      </c>
      <c r="Q2067" s="1" t="str">
        <f t="shared" si="4127"/>
        <v>0.0070</v>
      </c>
      <c r="R2067" s="1" t="s">
        <v>25</v>
      </c>
      <c r="T2067" s="1" t="str">
        <f t="shared" si="4128"/>
        <v>0</v>
      </c>
      <c r="U2067" s="1" t="str">
        <f t="shared" si="4151"/>
        <v>0.0070</v>
      </c>
    </row>
    <row r="2068" s="1" customFormat="1" spans="1:21">
      <c r="A2068" s="1" t="str">
        <f>"4601992032603"</f>
        <v>4601992032603</v>
      </c>
      <c r="B2068" s="1" t="s">
        <v>2092</v>
      </c>
      <c r="C2068" s="1" t="s">
        <v>24</v>
      </c>
      <c r="D2068" s="1" t="str">
        <f t="shared" si="4125"/>
        <v>2021</v>
      </c>
      <c r="E2068" s="1" t="str">
        <f>"72.54"</f>
        <v>72.54</v>
      </c>
      <c r="F2068" s="1" t="str">
        <f t="shared" ref="F2068:I2068" si="4156">"0"</f>
        <v>0</v>
      </c>
      <c r="G2068" s="1" t="str">
        <f t="shared" si="4156"/>
        <v>0</v>
      </c>
      <c r="H2068" s="1" t="str">
        <f t="shared" si="4156"/>
        <v>0</v>
      </c>
      <c r="I2068" s="1" t="str">
        <f t="shared" si="4156"/>
        <v>0</v>
      </c>
      <c r="J2068" s="1" t="str">
        <f>"6"</f>
        <v>6</v>
      </c>
      <c r="K2068" s="1" t="str">
        <f t="shared" ref="K2068:P2068" si="4157">"0"</f>
        <v>0</v>
      </c>
      <c r="L2068" s="1" t="str">
        <f t="shared" si="4157"/>
        <v>0</v>
      </c>
      <c r="M2068" s="1" t="str">
        <f t="shared" si="4157"/>
        <v>0</v>
      </c>
      <c r="N2068" s="1" t="str">
        <f t="shared" si="4157"/>
        <v>0</v>
      </c>
      <c r="O2068" s="1" t="str">
        <f t="shared" si="4157"/>
        <v>0</v>
      </c>
      <c r="P2068" s="1" t="str">
        <f t="shared" si="4157"/>
        <v>0</v>
      </c>
      <c r="Q2068" s="1" t="str">
        <f t="shared" si="4127"/>
        <v>0.0070</v>
      </c>
      <c r="R2068" s="1" t="s">
        <v>29</v>
      </c>
      <c r="S2068" s="1">
        <v>-0.0014</v>
      </c>
      <c r="T2068" s="1" t="str">
        <f t="shared" si="4128"/>
        <v>0</v>
      </c>
      <c r="U2068" s="1" t="str">
        <f t="shared" ref="U2068:U2070" si="4158">"0.0056"</f>
        <v>0.0056</v>
      </c>
    </row>
    <row r="2069" s="1" customFormat="1" spans="1:21">
      <c r="A2069" s="1" t="str">
        <f>"4601992032630"</f>
        <v>4601992032630</v>
      </c>
      <c r="B2069" s="1" t="s">
        <v>2093</v>
      </c>
      <c r="C2069" s="1" t="s">
        <v>24</v>
      </c>
      <c r="D2069" s="1" t="str">
        <f t="shared" si="4125"/>
        <v>2021</v>
      </c>
      <c r="E2069" s="1" t="str">
        <f>"24.50"</f>
        <v>24.50</v>
      </c>
      <c r="F2069" s="1" t="str">
        <f t="shared" ref="F2069:I2069" si="4159">"0"</f>
        <v>0</v>
      </c>
      <c r="G2069" s="1" t="str">
        <f t="shared" si="4159"/>
        <v>0</v>
      </c>
      <c r="H2069" s="1" t="str">
        <f t="shared" si="4159"/>
        <v>0</v>
      </c>
      <c r="I2069" s="1" t="str">
        <f t="shared" si="4159"/>
        <v>0</v>
      </c>
      <c r="J2069" s="1" t="str">
        <f>"3"</f>
        <v>3</v>
      </c>
      <c r="K2069" s="1" t="str">
        <f t="shared" ref="K2069:P2069" si="4160">"0"</f>
        <v>0</v>
      </c>
      <c r="L2069" s="1" t="str">
        <f t="shared" si="4160"/>
        <v>0</v>
      </c>
      <c r="M2069" s="1" t="str">
        <f t="shared" si="4160"/>
        <v>0</v>
      </c>
      <c r="N2069" s="1" t="str">
        <f t="shared" si="4160"/>
        <v>0</v>
      </c>
      <c r="O2069" s="1" t="str">
        <f t="shared" si="4160"/>
        <v>0</v>
      </c>
      <c r="P2069" s="1" t="str">
        <f t="shared" si="4160"/>
        <v>0</v>
      </c>
      <c r="Q2069" s="1" t="str">
        <f t="shared" si="4127"/>
        <v>0.0070</v>
      </c>
      <c r="R2069" s="1" t="s">
        <v>29</v>
      </c>
      <c r="S2069" s="1">
        <v>-0.0014</v>
      </c>
      <c r="T2069" s="1" t="str">
        <f t="shared" si="4128"/>
        <v>0</v>
      </c>
      <c r="U2069" s="1" t="str">
        <f t="shared" si="4158"/>
        <v>0.0056</v>
      </c>
    </row>
    <row r="2070" s="1" customFormat="1" spans="1:21">
      <c r="A2070" s="1" t="str">
        <f>"4601992032543"</f>
        <v>4601992032543</v>
      </c>
      <c r="B2070" s="1" t="s">
        <v>2094</v>
      </c>
      <c r="C2070" s="1" t="s">
        <v>24</v>
      </c>
      <c r="D2070" s="1" t="str">
        <f t="shared" si="4125"/>
        <v>2021</v>
      </c>
      <c r="E2070" s="1" t="str">
        <f t="shared" ref="E2070:E2076" si="4161">"24.18"</f>
        <v>24.18</v>
      </c>
      <c r="F2070" s="1" t="str">
        <f t="shared" ref="F2070:I2070" si="4162">"0"</f>
        <v>0</v>
      </c>
      <c r="G2070" s="1" t="str">
        <f t="shared" si="4162"/>
        <v>0</v>
      </c>
      <c r="H2070" s="1" t="str">
        <f t="shared" si="4162"/>
        <v>0</v>
      </c>
      <c r="I2070" s="1" t="str">
        <f t="shared" si="4162"/>
        <v>0</v>
      </c>
      <c r="J2070" s="1" t="str">
        <f>"5"</f>
        <v>5</v>
      </c>
      <c r="K2070" s="1" t="str">
        <f t="shared" ref="K2070:P2070" si="4163">"0"</f>
        <v>0</v>
      </c>
      <c r="L2070" s="1" t="str">
        <f t="shared" si="4163"/>
        <v>0</v>
      </c>
      <c r="M2070" s="1" t="str">
        <f t="shared" si="4163"/>
        <v>0</v>
      </c>
      <c r="N2070" s="1" t="str">
        <f t="shared" si="4163"/>
        <v>0</v>
      </c>
      <c r="O2070" s="1" t="str">
        <f t="shared" si="4163"/>
        <v>0</v>
      </c>
      <c r="P2070" s="1" t="str">
        <f t="shared" si="4163"/>
        <v>0</v>
      </c>
      <c r="Q2070" s="1" t="str">
        <f t="shared" si="4127"/>
        <v>0.0070</v>
      </c>
      <c r="R2070" s="1" t="s">
        <v>29</v>
      </c>
      <c r="S2070" s="1">
        <v>-0.0014</v>
      </c>
      <c r="T2070" s="1" t="str">
        <f t="shared" si="4128"/>
        <v>0</v>
      </c>
      <c r="U2070" s="1" t="str">
        <f t="shared" si="4158"/>
        <v>0.0056</v>
      </c>
    </row>
    <row r="2071" s="1" customFormat="1" spans="1:21">
      <c r="A2071" s="1" t="str">
        <f>"4601992032676"</f>
        <v>4601992032676</v>
      </c>
      <c r="B2071" s="1" t="s">
        <v>2095</v>
      </c>
      <c r="C2071" s="1" t="s">
        <v>24</v>
      </c>
      <c r="D2071" s="1" t="str">
        <f t="shared" si="4125"/>
        <v>2021</v>
      </c>
      <c r="E2071" s="1" t="str">
        <f>"124.73"</f>
        <v>124.73</v>
      </c>
      <c r="F2071" s="1" t="str">
        <f t="shared" ref="F2071:I2071" si="4164">"0"</f>
        <v>0</v>
      </c>
      <c r="G2071" s="1" t="str">
        <f t="shared" si="4164"/>
        <v>0</v>
      </c>
      <c r="H2071" s="1" t="str">
        <f t="shared" si="4164"/>
        <v>0</v>
      </c>
      <c r="I2071" s="1" t="str">
        <f t="shared" si="4164"/>
        <v>0</v>
      </c>
      <c r="J2071" s="1" t="str">
        <f>"10"</f>
        <v>10</v>
      </c>
      <c r="K2071" s="1" t="str">
        <f t="shared" ref="K2071:P2071" si="4165">"0"</f>
        <v>0</v>
      </c>
      <c r="L2071" s="1" t="str">
        <f t="shared" si="4165"/>
        <v>0</v>
      </c>
      <c r="M2071" s="1" t="str">
        <f t="shared" si="4165"/>
        <v>0</v>
      </c>
      <c r="N2071" s="1" t="str">
        <f t="shared" si="4165"/>
        <v>0</v>
      </c>
      <c r="O2071" s="1" t="str">
        <f t="shared" si="4165"/>
        <v>0</v>
      </c>
      <c r="P2071" s="1" t="str">
        <f t="shared" si="4165"/>
        <v>0</v>
      </c>
      <c r="Q2071" s="1" t="str">
        <f t="shared" si="4127"/>
        <v>0.0070</v>
      </c>
      <c r="R2071" s="1" t="s">
        <v>25</v>
      </c>
      <c r="T2071" s="1" t="str">
        <f t="shared" si="4128"/>
        <v>0</v>
      </c>
      <c r="U2071" s="1" t="str">
        <f>"0.0070"</f>
        <v>0.0070</v>
      </c>
    </row>
    <row r="2072" s="1" customFormat="1" spans="1:21">
      <c r="A2072" s="1" t="str">
        <f>"4601992032688"</f>
        <v>4601992032688</v>
      </c>
      <c r="B2072" s="1" t="s">
        <v>2096</v>
      </c>
      <c r="C2072" s="1" t="s">
        <v>24</v>
      </c>
      <c r="D2072" s="1" t="str">
        <f t="shared" si="4125"/>
        <v>2021</v>
      </c>
      <c r="E2072" s="1" t="str">
        <f>"12.09"</f>
        <v>12.09</v>
      </c>
      <c r="F2072" s="1" t="str">
        <f t="shared" ref="F2072:I2072" si="4166">"0"</f>
        <v>0</v>
      </c>
      <c r="G2072" s="1" t="str">
        <f t="shared" si="4166"/>
        <v>0</v>
      </c>
      <c r="H2072" s="1" t="str">
        <f t="shared" si="4166"/>
        <v>0</v>
      </c>
      <c r="I2072" s="1" t="str">
        <f t="shared" si="4166"/>
        <v>0</v>
      </c>
      <c r="J2072" s="1" t="str">
        <f t="shared" ref="J2072:J2076" si="4167">"2"</f>
        <v>2</v>
      </c>
      <c r="K2072" s="1" t="str">
        <f t="shared" ref="K2072:P2072" si="4168">"0"</f>
        <v>0</v>
      </c>
      <c r="L2072" s="1" t="str">
        <f t="shared" si="4168"/>
        <v>0</v>
      </c>
      <c r="M2072" s="1" t="str">
        <f t="shared" si="4168"/>
        <v>0</v>
      </c>
      <c r="N2072" s="1" t="str">
        <f t="shared" si="4168"/>
        <v>0</v>
      </c>
      <c r="O2072" s="1" t="str">
        <f t="shared" si="4168"/>
        <v>0</v>
      </c>
      <c r="P2072" s="1" t="str">
        <f t="shared" si="4168"/>
        <v>0</v>
      </c>
      <c r="Q2072" s="1" t="str">
        <f t="shared" si="4127"/>
        <v>0.0070</v>
      </c>
      <c r="R2072" s="1" t="s">
        <v>29</v>
      </c>
      <c r="S2072" s="1">
        <v>-0.0014</v>
      </c>
      <c r="T2072" s="1" t="str">
        <f t="shared" si="4128"/>
        <v>0</v>
      </c>
      <c r="U2072" s="1" t="str">
        <f t="shared" ref="U2072:U2077" si="4169">"0.0056"</f>
        <v>0.0056</v>
      </c>
    </row>
    <row r="2073" s="1" customFormat="1" spans="1:21">
      <c r="A2073" s="1" t="str">
        <f>"4601992032716"</f>
        <v>4601992032716</v>
      </c>
      <c r="B2073" s="1" t="s">
        <v>2097</v>
      </c>
      <c r="C2073" s="1" t="s">
        <v>24</v>
      </c>
      <c r="D2073" s="1" t="str">
        <f t="shared" si="4125"/>
        <v>2021</v>
      </c>
      <c r="E2073" s="1" t="str">
        <f>"12.09"</f>
        <v>12.09</v>
      </c>
      <c r="F2073" s="1" t="str">
        <f t="shared" ref="F2073:I2073" si="4170">"0"</f>
        <v>0</v>
      </c>
      <c r="G2073" s="1" t="str">
        <f t="shared" si="4170"/>
        <v>0</v>
      </c>
      <c r="H2073" s="1" t="str">
        <f t="shared" si="4170"/>
        <v>0</v>
      </c>
      <c r="I2073" s="1" t="str">
        <f t="shared" si="4170"/>
        <v>0</v>
      </c>
      <c r="J2073" s="1" t="str">
        <f>"1"</f>
        <v>1</v>
      </c>
      <c r="K2073" s="1" t="str">
        <f t="shared" ref="K2073:P2073" si="4171">"0"</f>
        <v>0</v>
      </c>
      <c r="L2073" s="1" t="str">
        <f t="shared" si="4171"/>
        <v>0</v>
      </c>
      <c r="M2073" s="1" t="str">
        <f t="shared" si="4171"/>
        <v>0</v>
      </c>
      <c r="N2073" s="1" t="str">
        <f t="shared" si="4171"/>
        <v>0</v>
      </c>
      <c r="O2073" s="1" t="str">
        <f t="shared" si="4171"/>
        <v>0</v>
      </c>
      <c r="P2073" s="1" t="str">
        <f t="shared" si="4171"/>
        <v>0</v>
      </c>
      <c r="Q2073" s="1" t="str">
        <f t="shared" si="4127"/>
        <v>0.0070</v>
      </c>
      <c r="R2073" s="1" t="s">
        <v>29</v>
      </c>
      <c r="S2073" s="1">
        <v>-0.0014</v>
      </c>
      <c r="T2073" s="1" t="str">
        <f t="shared" si="4128"/>
        <v>0</v>
      </c>
      <c r="U2073" s="1" t="str">
        <f t="shared" si="4169"/>
        <v>0.0056</v>
      </c>
    </row>
    <row r="2074" s="1" customFormat="1" spans="1:21">
      <c r="A2074" s="1" t="str">
        <f>"4601992032702"</f>
        <v>4601992032702</v>
      </c>
      <c r="B2074" s="1" t="s">
        <v>2098</v>
      </c>
      <c r="C2074" s="1" t="s">
        <v>24</v>
      </c>
      <c r="D2074" s="1" t="str">
        <f t="shared" si="4125"/>
        <v>2021</v>
      </c>
      <c r="E2074" s="1" t="str">
        <f t="shared" si="4161"/>
        <v>24.18</v>
      </c>
      <c r="F2074" s="1" t="str">
        <f t="shared" ref="F2074:I2074" si="4172">"0"</f>
        <v>0</v>
      </c>
      <c r="G2074" s="1" t="str">
        <f t="shared" si="4172"/>
        <v>0</v>
      </c>
      <c r="H2074" s="1" t="str">
        <f t="shared" si="4172"/>
        <v>0</v>
      </c>
      <c r="I2074" s="1" t="str">
        <f t="shared" si="4172"/>
        <v>0</v>
      </c>
      <c r="J2074" s="1" t="str">
        <f t="shared" si="4167"/>
        <v>2</v>
      </c>
      <c r="K2074" s="1" t="str">
        <f t="shared" ref="K2074:P2074" si="4173">"0"</f>
        <v>0</v>
      </c>
      <c r="L2074" s="1" t="str">
        <f t="shared" si="4173"/>
        <v>0</v>
      </c>
      <c r="M2074" s="1" t="str">
        <f t="shared" si="4173"/>
        <v>0</v>
      </c>
      <c r="N2074" s="1" t="str">
        <f t="shared" si="4173"/>
        <v>0</v>
      </c>
      <c r="O2074" s="1" t="str">
        <f t="shared" si="4173"/>
        <v>0</v>
      </c>
      <c r="P2074" s="1" t="str">
        <f t="shared" si="4173"/>
        <v>0</v>
      </c>
      <c r="Q2074" s="1" t="str">
        <f t="shared" si="4127"/>
        <v>0.0070</v>
      </c>
      <c r="R2074" s="1" t="s">
        <v>29</v>
      </c>
      <c r="S2074" s="1">
        <v>-0.0014</v>
      </c>
      <c r="T2074" s="1" t="str">
        <f t="shared" si="4128"/>
        <v>0</v>
      </c>
      <c r="U2074" s="1" t="str">
        <f t="shared" si="4169"/>
        <v>0.0056</v>
      </c>
    </row>
    <row r="2075" s="1" customFormat="1" spans="1:21">
      <c r="A2075" s="1" t="str">
        <f>"4601992032729"</f>
        <v>4601992032729</v>
      </c>
      <c r="B2075" s="1" t="s">
        <v>2099</v>
      </c>
      <c r="C2075" s="1" t="s">
        <v>24</v>
      </c>
      <c r="D2075" s="1" t="str">
        <f t="shared" si="4125"/>
        <v>2021</v>
      </c>
      <c r="E2075" s="1" t="str">
        <f t="shared" si="4161"/>
        <v>24.18</v>
      </c>
      <c r="F2075" s="1" t="str">
        <f t="shared" ref="F2075:I2075" si="4174">"0"</f>
        <v>0</v>
      </c>
      <c r="G2075" s="1" t="str">
        <f t="shared" si="4174"/>
        <v>0</v>
      </c>
      <c r="H2075" s="1" t="str">
        <f t="shared" si="4174"/>
        <v>0</v>
      </c>
      <c r="I2075" s="1" t="str">
        <f t="shared" si="4174"/>
        <v>0</v>
      </c>
      <c r="J2075" s="1" t="str">
        <f t="shared" si="4167"/>
        <v>2</v>
      </c>
      <c r="K2075" s="1" t="str">
        <f t="shared" ref="K2075:P2075" si="4175">"0"</f>
        <v>0</v>
      </c>
      <c r="L2075" s="1" t="str">
        <f t="shared" si="4175"/>
        <v>0</v>
      </c>
      <c r="M2075" s="1" t="str">
        <f t="shared" si="4175"/>
        <v>0</v>
      </c>
      <c r="N2075" s="1" t="str">
        <f t="shared" si="4175"/>
        <v>0</v>
      </c>
      <c r="O2075" s="1" t="str">
        <f t="shared" si="4175"/>
        <v>0</v>
      </c>
      <c r="P2075" s="1" t="str">
        <f t="shared" si="4175"/>
        <v>0</v>
      </c>
      <c r="Q2075" s="1" t="str">
        <f t="shared" si="4127"/>
        <v>0.0070</v>
      </c>
      <c r="R2075" s="1" t="s">
        <v>29</v>
      </c>
      <c r="S2075" s="1">
        <v>-0.0014</v>
      </c>
      <c r="T2075" s="1" t="str">
        <f t="shared" si="4128"/>
        <v>0</v>
      </c>
      <c r="U2075" s="1" t="str">
        <f t="shared" si="4169"/>
        <v>0.0056</v>
      </c>
    </row>
    <row r="2076" s="1" customFormat="1" spans="1:21">
      <c r="A2076" s="1" t="str">
        <f>"4601992032794"</f>
        <v>4601992032794</v>
      </c>
      <c r="B2076" s="1" t="s">
        <v>2100</v>
      </c>
      <c r="C2076" s="1" t="s">
        <v>24</v>
      </c>
      <c r="D2076" s="1" t="str">
        <f t="shared" si="4125"/>
        <v>2021</v>
      </c>
      <c r="E2076" s="1" t="str">
        <f t="shared" si="4161"/>
        <v>24.18</v>
      </c>
      <c r="F2076" s="1" t="str">
        <f t="shared" ref="F2076:I2076" si="4176">"0"</f>
        <v>0</v>
      </c>
      <c r="G2076" s="1" t="str">
        <f t="shared" si="4176"/>
        <v>0</v>
      </c>
      <c r="H2076" s="1" t="str">
        <f t="shared" si="4176"/>
        <v>0</v>
      </c>
      <c r="I2076" s="1" t="str">
        <f t="shared" si="4176"/>
        <v>0</v>
      </c>
      <c r="J2076" s="1" t="str">
        <f t="shared" si="4167"/>
        <v>2</v>
      </c>
      <c r="K2076" s="1" t="str">
        <f t="shared" ref="K2076:P2076" si="4177">"0"</f>
        <v>0</v>
      </c>
      <c r="L2076" s="1" t="str">
        <f t="shared" si="4177"/>
        <v>0</v>
      </c>
      <c r="M2076" s="1" t="str">
        <f t="shared" si="4177"/>
        <v>0</v>
      </c>
      <c r="N2076" s="1" t="str">
        <f t="shared" si="4177"/>
        <v>0</v>
      </c>
      <c r="O2076" s="1" t="str">
        <f t="shared" si="4177"/>
        <v>0</v>
      </c>
      <c r="P2076" s="1" t="str">
        <f t="shared" si="4177"/>
        <v>0</v>
      </c>
      <c r="Q2076" s="1" t="str">
        <f t="shared" si="4127"/>
        <v>0.0070</v>
      </c>
      <c r="R2076" s="1" t="s">
        <v>29</v>
      </c>
      <c r="S2076" s="1">
        <v>-0.0014</v>
      </c>
      <c r="T2076" s="1" t="str">
        <f t="shared" si="4128"/>
        <v>0</v>
      </c>
      <c r="U2076" s="1" t="str">
        <f t="shared" si="4169"/>
        <v>0.0056</v>
      </c>
    </row>
    <row r="2077" s="1" customFormat="1" spans="1:21">
      <c r="A2077" s="1" t="str">
        <f>"4601992032824"</f>
        <v>4601992032824</v>
      </c>
      <c r="B2077" s="1" t="s">
        <v>2101</v>
      </c>
      <c r="C2077" s="1" t="s">
        <v>24</v>
      </c>
      <c r="D2077" s="1" t="str">
        <f t="shared" si="4125"/>
        <v>2021</v>
      </c>
      <c r="E2077" s="1" t="str">
        <f>"41.68"</f>
        <v>41.68</v>
      </c>
      <c r="F2077" s="1" t="str">
        <f t="shared" ref="F2077:I2077" si="4178">"0"</f>
        <v>0</v>
      </c>
      <c r="G2077" s="1" t="str">
        <f t="shared" si="4178"/>
        <v>0</v>
      </c>
      <c r="H2077" s="1" t="str">
        <f t="shared" si="4178"/>
        <v>0</v>
      </c>
      <c r="I2077" s="1" t="str">
        <f t="shared" si="4178"/>
        <v>0</v>
      </c>
      <c r="J2077" s="1" t="str">
        <f>"4"</f>
        <v>4</v>
      </c>
      <c r="K2077" s="1" t="str">
        <f t="shared" ref="K2077:P2077" si="4179">"0"</f>
        <v>0</v>
      </c>
      <c r="L2077" s="1" t="str">
        <f t="shared" si="4179"/>
        <v>0</v>
      </c>
      <c r="M2077" s="1" t="str">
        <f t="shared" si="4179"/>
        <v>0</v>
      </c>
      <c r="N2077" s="1" t="str">
        <f t="shared" si="4179"/>
        <v>0</v>
      </c>
      <c r="O2077" s="1" t="str">
        <f t="shared" si="4179"/>
        <v>0</v>
      </c>
      <c r="P2077" s="1" t="str">
        <f t="shared" si="4179"/>
        <v>0</v>
      </c>
      <c r="Q2077" s="1" t="str">
        <f t="shared" si="4127"/>
        <v>0.0070</v>
      </c>
      <c r="R2077" s="1" t="s">
        <v>29</v>
      </c>
      <c r="S2077" s="1">
        <v>-0.0014</v>
      </c>
      <c r="T2077" s="1" t="str">
        <f t="shared" si="4128"/>
        <v>0</v>
      </c>
      <c r="U2077" s="1" t="str">
        <f t="shared" si="4169"/>
        <v>0.0056</v>
      </c>
    </row>
    <row r="2078" s="1" customFormat="1" spans="1:21">
      <c r="A2078" s="1" t="str">
        <f>"4601992032809"</f>
        <v>4601992032809</v>
      </c>
      <c r="B2078" s="1" t="s">
        <v>2102</v>
      </c>
      <c r="C2078" s="1" t="s">
        <v>24</v>
      </c>
      <c r="D2078" s="1" t="str">
        <f t="shared" si="4125"/>
        <v>2021</v>
      </c>
      <c r="E2078" s="1" t="str">
        <f>"12.09"</f>
        <v>12.09</v>
      </c>
      <c r="F2078" s="1" t="str">
        <f t="shared" ref="F2078:I2078" si="4180">"0"</f>
        <v>0</v>
      </c>
      <c r="G2078" s="1" t="str">
        <f t="shared" si="4180"/>
        <v>0</v>
      </c>
      <c r="H2078" s="1" t="str">
        <f t="shared" si="4180"/>
        <v>0</v>
      </c>
      <c r="I2078" s="1" t="str">
        <f t="shared" si="4180"/>
        <v>0</v>
      </c>
      <c r="J2078" s="1" t="str">
        <f>"1"</f>
        <v>1</v>
      </c>
      <c r="K2078" s="1" t="str">
        <f t="shared" ref="K2078:P2078" si="4181">"0"</f>
        <v>0</v>
      </c>
      <c r="L2078" s="1" t="str">
        <f t="shared" si="4181"/>
        <v>0</v>
      </c>
      <c r="M2078" s="1" t="str">
        <f t="shared" si="4181"/>
        <v>0</v>
      </c>
      <c r="N2078" s="1" t="str">
        <f t="shared" si="4181"/>
        <v>0</v>
      </c>
      <c r="O2078" s="1" t="str">
        <f t="shared" si="4181"/>
        <v>0</v>
      </c>
      <c r="P2078" s="1" t="str">
        <f t="shared" si="4181"/>
        <v>0</v>
      </c>
      <c r="Q2078" s="1" t="str">
        <f t="shared" si="4127"/>
        <v>0.0070</v>
      </c>
      <c r="R2078" s="1" t="s">
        <v>25</v>
      </c>
      <c r="T2078" s="1" t="str">
        <f t="shared" si="4128"/>
        <v>0</v>
      </c>
      <c r="U2078" s="1" t="str">
        <f t="shared" ref="U2078:U2089" si="4182">"0.0070"</f>
        <v>0.0070</v>
      </c>
    </row>
    <row r="2079" s="1" customFormat="1" spans="1:21">
      <c r="A2079" s="1" t="str">
        <f>"4601992032753"</f>
        <v>4601992032753</v>
      </c>
      <c r="B2079" s="1" t="s">
        <v>2103</v>
      </c>
      <c r="C2079" s="1" t="s">
        <v>24</v>
      </c>
      <c r="D2079" s="1" t="str">
        <f t="shared" si="4125"/>
        <v>2021</v>
      </c>
      <c r="E2079" s="1" t="str">
        <f>"110.15"</f>
        <v>110.15</v>
      </c>
      <c r="F2079" s="1" t="str">
        <f t="shared" ref="F2079:I2079" si="4183">"0"</f>
        <v>0</v>
      </c>
      <c r="G2079" s="1" t="str">
        <f t="shared" si="4183"/>
        <v>0</v>
      </c>
      <c r="H2079" s="1" t="str">
        <f t="shared" si="4183"/>
        <v>0</v>
      </c>
      <c r="I2079" s="1" t="str">
        <f t="shared" si="4183"/>
        <v>0</v>
      </c>
      <c r="J2079" s="1" t="str">
        <f>"10"</f>
        <v>10</v>
      </c>
      <c r="K2079" s="1" t="str">
        <f t="shared" ref="K2079:P2079" si="4184">"0"</f>
        <v>0</v>
      </c>
      <c r="L2079" s="1" t="str">
        <f t="shared" si="4184"/>
        <v>0</v>
      </c>
      <c r="M2079" s="1" t="str">
        <f t="shared" si="4184"/>
        <v>0</v>
      </c>
      <c r="N2079" s="1" t="str">
        <f t="shared" si="4184"/>
        <v>0</v>
      </c>
      <c r="O2079" s="1" t="str">
        <f t="shared" si="4184"/>
        <v>0</v>
      </c>
      <c r="P2079" s="1" t="str">
        <f t="shared" si="4184"/>
        <v>0</v>
      </c>
      <c r="Q2079" s="1" t="str">
        <f t="shared" si="4127"/>
        <v>0.0070</v>
      </c>
      <c r="R2079" s="1" t="s">
        <v>29</v>
      </c>
      <c r="S2079" s="1">
        <v>-0.0014</v>
      </c>
      <c r="T2079" s="1" t="str">
        <f t="shared" si="4128"/>
        <v>0</v>
      </c>
      <c r="U2079" s="1" t="str">
        <f>"0.0056"</f>
        <v>0.0056</v>
      </c>
    </row>
    <row r="2080" s="1" customFormat="1" spans="1:21">
      <c r="A2080" s="1" t="str">
        <f>"4601992032966"</f>
        <v>4601992032966</v>
      </c>
      <c r="B2080" s="1" t="s">
        <v>2104</v>
      </c>
      <c r="C2080" s="1" t="s">
        <v>24</v>
      </c>
      <c r="D2080" s="1" t="str">
        <f t="shared" si="4125"/>
        <v>2021</v>
      </c>
      <c r="E2080" s="1" t="str">
        <f t="shared" ref="E2080:P2080" si="4185">"0"</f>
        <v>0</v>
      </c>
      <c r="F2080" s="1" t="str">
        <f t="shared" si="4185"/>
        <v>0</v>
      </c>
      <c r="G2080" s="1" t="str">
        <f t="shared" si="4185"/>
        <v>0</v>
      </c>
      <c r="H2080" s="1" t="str">
        <f t="shared" si="4185"/>
        <v>0</v>
      </c>
      <c r="I2080" s="1" t="str">
        <f t="shared" si="4185"/>
        <v>0</v>
      </c>
      <c r="J2080" s="1" t="str">
        <f t="shared" si="4185"/>
        <v>0</v>
      </c>
      <c r="K2080" s="1" t="str">
        <f t="shared" si="4185"/>
        <v>0</v>
      </c>
      <c r="L2080" s="1" t="str">
        <f t="shared" si="4185"/>
        <v>0</v>
      </c>
      <c r="M2080" s="1" t="str">
        <f t="shared" si="4185"/>
        <v>0</v>
      </c>
      <c r="N2080" s="1" t="str">
        <f t="shared" si="4185"/>
        <v>0</v>
      </c>
      <c r="O2080" s="1" t="str">
        <f t="shared" si="4185"/>
        <v>0</v>
      </c>
      <c r="P2080" s="1" t="str">
        <f t="shared" si="4185"/>
        <v>0</v>
      </c>
      <c r="Q2080" s="1" t="str">
        <f t="shared" si="4127"/>
        <v>0.0070</v>
      </c>
      <c r="R2080" s="1" t="s">
        <v>25</v>
      </c>
      <c r="T2080" s="1" t="str">
        <f t="shared" si="4128"/>
        <v>0</v>
      </c>
      <c r="U2080" s="1" t="str">
        <f t="shared" si="4182"/>
        <v>0.0070</v>
      </c>
    </row>
    <row r="2081" s="1" customFormat="1" spans="1:21">
      <c r="A2081" s="1" t="str">
        <f>"4601992032929"</f>
        <v>4601992032929</v>
      </c>
      <c r="B2081" s="1" t="s">
        <v>2105</v>
      </c>
      <c r="C2081" s="1" t="s">
        <v>24</v>
      </c>
      <c r="D2081" s="1" t="str">
        <f t="shared" si="4125"/>
        <v>2021</v>
      </c>
      <c r="E2081" s="1" t="str">
        <f>"12.60"</f>
        <v>12.60</v>
      </c>
      <c r="F2081" s="1" t="str">
        <f t="shared" ref="F2081:I2081" si="4186">"0"</f>
        <v>0</v>
      </c>
      <c r="G2081" s="1" t="str">
        <f t="shared" si="4186"/>
        <v>0</v>
      </c>
      <c r="H2081" s="1" t="str">
        <f t="shared" si="4186"/>
        <v>0</v>
      </c>
      <c r="I2081" s="1" t="str">
        <f t="shared" si="4186"/>
        <v>0</v>
      </c>
      <c r="J2081" s="1" t="str">
        <f>"3"</f>
        <v>3</v>
      </c>
      <c r="K2081" s="1" t="str">
        <f t="shared" ref="K2081:P2081" si="4187">"0"</f>
        <v>0</v>
      </c>
      <c r="L2081" s="1" t="str">
        <f t="shared" si="4187"/>
        <v>0</v>
      </c>
      <c r="M2081" s="1" t="str">
        <f t="shared" si="4187"/>
        <v>0</v>
      </c>
      <c r="N2081" s="1" t="str">
        <f t="shared" si="4187"/>
        <v>0</v>
      </c>
      <c r="O2081" s="1" t="str">
        <f t="shared" si="4187"/>
        <v>0</v>
      </c>
      <c r="P2081" s="1" t="str">
        <f t="shared" si="4187"/>
        <v>0</v>
      </c>
      <c r="Q2081" s="1" t="str">
        <f t="shared" si="4127"/>
        <v>0.0070</v>
      </c>
      <c r="R2081" s="1" t="s">
        <v>29</v>
      </c>
      <c r="S2081" s="1">
        <v>-0.0014</v>
      </c>
      <c r="T2081" s="1" t="str">
        <f t="shared" si="4128"/>
        <v>0</v>
      </c>
      <c r="U2081" s="1" t="str">
        <f>"0.0056"</f>
        <v>0.0056</v>
      </c>
    </row>
    <row r="2082" s="1" customFormat="1" spans="1:21">
      <c r="A2082" s="1" t="str">
        <f>"4601992032936"</f>
        <v>4601992032936</v>
      </c>
      <c r="B2082" s="1" t="s">
        <v>2106</v>
      </c>
      <c r="C2082" s="1" t="s">
        <v>24</v>
      </c>
      <c r="D2082" s="1" t="str">
        <f t="shared" si="4125"/>
        <v>2021</v>
      </c>
      <c r="E2082" s="1" t="str">
        <f>"12.09"</f>
        <v>12.09</v>
      </c>
      <c r="F2082" s="1" t="str">
        <f t="shared" ref="F2082:I2082" si="4188">"0"</f>
        <v>0</v>
      </c>
      <c r="G2082" s="1" t="str">
        <f t="shared" si="4188"/>
        <v>0</v>
      </c>
      <c r="H2082" s="1" t="str">
        <f t="shared" si="4188"/>
        <v>0</v>
      </c>
      <c r="I2082" s="1" t="str">
        <f t="shared" si="4188"/>
        <v>0</v>
      </c>
      <c r="J2082" s="1" t="str">
        <f>"1"</f>
        <v>1</v>
      </c>
      <c r="K2082" s="1" t="str">
        <f t="shared" ref="K2082:P2082" si="4189">"0"</f>
        <v>0</v>
      </c>
      <c r="L2082" s="1" t="str">
        <f t="shared" si="4189"/>
        <v>0</v>
      </c>
      <c r="M2082" s="1" t="str">
        <f t="shared" si="4189"/>
        <v>0</v>
      </c>
      <c r="N2082" s="1" t="str">
        <f t="shared" si="4189"/>
        <v>0</v>
      </c>
      <c r="O2082" s="1" t="str">
        <f t="shared" si="4189"/>
        <v>0</v>
      </c>
      <c r="P2082" s="1" t="str">
        <f t="shared" si="4189"/>
        <v>0</v>
      </c>
      <c r="Q2082" s="1" t="str">
        <f t="shared" si="4127"/>
        <v>0.0070</v>
      </c>
      <c r="R2082" s="1" t="s">
        <v>25</v>
      </c>
      <c r="T2082" s="1" t="str">
        <f t="shared" si="4128"/>
        <v>0</v>
      </c>
      <c r="U2082" s="1" t="str">
        <f t="shared" si="4182"/>
        <v>0.0070</v>
      </c>
    </row>
    <row r="2083" s="1" customFormat="1" spans="1:21">
      <c r="A2083" s="1" t="str">
        <f>"4601992032969"</f>
        <v>4601992032969</v>
      </c>
      <c r="B2083" s="1" t="s">
        <v>2107</v>
      </c>
      <c r="C2083" s="1" t="s">
        <v>24</v>
      </c>
      <c r="D2083" s="1" t="str">
        <f t="shared" si="4125"/>
        <v>2021</v>
      </c>
      <c r="E2083" s="1" t="str">
        <f t="shared" ref="E2083:P2083" si="4190">"0"</f>
        <v>0</v>
      </c>
      <c r="F2083" s="1" t="str">
        <f t="shared" si="4190"/>
        <v>0</v>
      </c>
      <c r="G2083" s="1" t="str">
        <f t="shared" si="4190"/>
        <v>0</v>
      </c>
      <c r="H2083" s="1" t="str">
        <f t="shared" si="4190"/>
        <v>0</v>
      </c>
      <c r="I2083" s="1" t="str">
        <f t="shared" si="4190"/>
        <v>0</v>
      </c>
      <c r="J2083" s="1" t="str">
        <f t="shared" si="4190"/>
        <v>0</v>
      </c>
      <c r="K2083" s="1" t="str">
        <f t="shared" si="4190"/>
        <v>0</v>
      </c>
      <c r="L2083" s="1" t="str">
        <f t="shared" si="4190"/>
        <v>0</v>
      </c>
      <c r="M2083" s="1" t="str">
        <f t="shared" si="4190"/>
        <v>0</v>
      </c>
      <c r="N2083" s="1" t="str">
        <f t="shared" si="4190"/>
        <v>0</v>
      </c>
      <c r="O2083" s="1" t="str">
        <f t="shared" si="4190"/>
        <v>0</v>
      </c>
      <c r="P2083" s="1" t="str">
        <f t="shared" si="4190"/>
        <v>0</v>
      </c>
      <c r="Q2083" s="1" t="str">
        <f t="shared" si="4127"/>
        <v>0.0070</v>
      </c>
      <c r="R2083" s="1" t="s">
        <v>25</v>
      </c>
      <c r="T2083" s="1" t="str">
        <f t="shared" si="4128"/>
        <v>0</v>
      </c>
      <c r="U2083" s="1" t="str">
        <f t="shared" si="4182"/>
        <v>0.0070</v>
      </c>
    </row>
    <row r="2084" s="1" customFormat="1" spans="1:21">
      <c r="A2084" s="1" t="str">
        <f>"4601992032983"</f>
        <v>4601992032983</v>
      </c>
      <c r="B2084" s="1" t="s">
        <v>2108</v>
      </c>
      <c r="C2084" s="1" t="s">
        <v>24</v>
      </c>
      <c r="D2084" s="1" t="str">
        <f t="shared" si="4125"/>
        <v>2021</v>
      </c>
      <c r="E2084" s="1" t="str">
        <f t="shared" ref="E2084:P2084" si="4191">"0"</f>
        <v>0</v>
      </c>
      <c r="F2084" s="1" t="str">
        <f t="shared" si="4191"/>
        <v>0</v>
      </c>
      <c r="G2084" s="1" t="str">
        <f t="shared" si="4191"/>
        <v>0</v>
      </c>
      <c r="H2084" s="1" t="str">
        <f t="shared" si="4191"/>
        <v>0</v>
      </c>
      <c r="I2084" s="1" t="str">
        <f t="shared" si="4191"/>
        <v>0</v>
      </c>
      <c r="J2084" s="1" t="str">
        <f t="shared" si="4191"/>
        <v>0</v>
      </c>
      <c r="K2084" s="1" t="str">
        <f t="shared" si="4191"/>
        <v>0</v>
      </c>
      <c r="L2084" s="1" t="str">
        <f t="shared" si="4191"/>
        <v>0</v>
      </c>
      <c r="M2084" s="1" t="str">
        <f t="shared" si="4191"/>
        <v>0</v>
      </c>
      <c r="N2084" s="1" t="str">
        <f t="shared" si="4191"/>
        <v>0</v>
      </c>
      <c r="O2084" s="1" t="str">
        <f t="shared" si="4191"/>
        <v>0</v>
      </c>
      <c r="P2084" s="1" t="str">
        <f t="shared" si="4191"/>
        <v>0</v>
      </c>
      <c r="Q2084" s="1" t="str">
        <f t="shared" si="4127"/>
        <v>0.0070</v>
      </c>
      <c r="R2084" s="1" t="s">
        <v>25</v>
      </c>
      <c r="T2084" s="1" t="str">
        <f t="shared" si="4128"/>
        <v>0</v>
      </c>
      <c r="U2084" s="1" t="str">
        <f t="shared" si="4182"/>
        <v>0.0070</v>
      </c>
    </row>
    <row r="2085" s="1" customFormat="1" spans="1:21">
      <c r="A2085" s="1" t="str">
        <f>"4601992032968"</f>
        <v>4601992032968</v>
      </c>
      <c r="B2085" s="1" t="s">
        <v>2109</v>
      </c>
      <c r="C2085" s="1" t="s">
        <v>24</v>
      </c>
      <c r="D2085" s="1" t="str">
        <f t="shared" si="4125"/>
        <v>2021</v>
      </c>
      <c r="E2085" s="1" t="str">
        <f t="shared" ref="E2085:I2085" si="4192">"0"</f>
        <v>0</v>
      </c>
      <c r="F2085" s="1" t="str">
        <f t="shared" si="4192"/>
        <v>0</v>
      </c>
      <c r="G2085" s="1" t="str">
        <f t="shared" si="4192"/>
        <v>0</v>
      </c>
      <c r="H2085" s="1" t="str">
        <f t="shared" si="4192"/>
        <v>0</v>
      </c>
      <c r="I2085" s="1" t="str">
        <f t="shared" si="4192"/>
        <v>0</v>
      </c>
      <c r="J2085" s="1" t="str">
        <f>"6"</f>
        <v>6</v>
      </c>
      <c r="K2085" s="1" t="str">
        <f t="shared" ref="K2085:P2085" si="4193">"0"</f>
        <v>0</v>
      </c>
      <c r="L2085" s="1" t="str">
        <f t="shared" si="4193"/>
        <v>0</v>
      </c>
      <c r="M2085" s="1" t="str">
        <f t="shared" si="4193"/>
        <v>0</v>
      </c>
      <c r="N2085" s="1" t="str">
        <f t="shared" si="4193"/>
        <v>0</v>
      </c>
      <c r="O2085" s="1" t="str">
        <f t="shared" si="4193"/>
        <v>0</v>
      </c>
      <c r="P2085" s="1" t="str">
        <f t="shared" si="4193"/>
        <v>0</v>
      </c>
      <c r="Q2085" s="1" t="str">
        <f t="shared" si="4127"/>
        <v>0.0070</v>
      </c>
      <c r="R2085" s="1" t="s">
        <v>25</v>
      </c>
      <c r="T2085" s="1" t="str">
        <f t="shared" si="4128"/>
        <v>0</v>
      </c>
      <c r="U2085" s="1" t="str">
        <f t="shared" si="4182"/>
        <v>0.0070</v>
      </c>
    </row>
    <row r="2086" s="1" customFormat="1" spans="1:21">
      <c r="A2086" s="1" t="str">
        <f>"4601992032990"</f>
        <v>4601992032990</v>
      </c>
      <c r="B2086" s="1" t="s">
        <v>2110</v>
      </c>
      <c r="C2086" s="1" t="s">
        <v>24</v>
      </c>
      <c r="D2086" s="1" t="str">
        <f t="shared" si="4125"/>
        <v>2021</v>
      </c>
      <c r="E2086" s="1" t="str">
        <f t="shared" ref="E2086:G2086" si="4194">"0"</f>
        <v>0</v>
      </c>
      <c r="F2086" s="1" t="str">
        <f t="shared" si="4194"/>
        <v>0</v>
      </c>
      <c r="G2086" s="1" t="str">
        <f t="shared" si="4194"/>
        <v>0</v>
      </c>
      <c r="H2086" s="1" t="str">
        <f>"12.09"</f>
        <v>12.09</v>
      </c>
      <c r="I2086" s="1" t="str">
        <f t="shared" ref="I2086:P2086" si="4195">"0"</f>
        <v>0</v>
      </c>
      <c r="J2086" s="1" t="str">
        <f t="shared" si="4195"/>
        <v>0</v>
      </c>
      <c r="K2086" s="1" t="str">
        <f t="shared" si="4195"/>
        <v>0</v>
      </c>
      <c r="L2086" s="1" t="str">
        <f t="shared" si="4195"/>
        <v>0</v>
      </c>
      <c r="M2086" s="1" t="str">
        <f t="shared" si="4195"/>
        <v>0</v>
      </c>
      <c r="N2086" s="1" t="str">
        <f t="shared" si="4195"/>
        <v>0</v>
      </c>
      <c r="O2086" s="1" t="str">
        <f t="shared" si="4195"/>
        <v>0</v>
      </c>
      <c r="P2086" s="1" t="str">
        <f t="shared" si="4195"/>
        <v>0</v>
      </c>
      <c r="Q2086" s="1" t="str">
        <f t="shared" si="4127"/>
        <v>0.0070</v>
      </c>
      <c r="R2086" s="1" t="s">
        <v>25</v>
      </c>
      <c r="T2086" s="1" t="str">
        <f t="shared" si="4128"/>
        <v>0</v>
      </c>
      <c r="U2086" s="1" t="str">
        <f t="shared" si="4182"/>
        <v>0.0070</v>
      </c>
    </row>
    <row r="2087" s="1" customFormat="1" spans="1:21">
      <c r="A2087" s="1" t="str">
        <f>"4601992033006"</f>
        <v>4601992033006</v>
      </c>
      <c r="B2087" s="1" t="s">
        <v>2111</v>
      </c>
      <c r="C2087" s="1" t="s">
        <v>24</v>
      </c>
      <c r="D2087" s="1" t="str">
        <f t="shared" si="4125"/>
        <v>2021</v>
      </c>
      <c r="E2087" s="1" t="str">
        <f t="shared" ref="E2087:P2087" si="4196">"0"</f>
        <v>0</v>
      </c>
      <c r="F2087" s="1" t="str">
        <f t="shared" si="4196"/>
        <v>0</v>
      </c>
      <c r="G2087" s="1" t="str">
        <f t="shared" si="4196"/>
        <v>0</v>
      </c>
      <c r="H2087" s="1" t="str">
        <f t="shared" si="4196"/>
        <v>0</v>
      </c>
      <c r="I2087" s="1" t="str">
        <f t="shared" si="4196"/>
        <v>0</v>
      </c>
      <c r="J2087" s="1" t="str">
        <f t="shared" si="4196"/>
        <v>0</v>
      </c>
      <c r="K2087" s="1" t="str">
        <f t="shared" si="4196"/>
        <v>0</v>
      </c>
      <c r="L2087" s="1" t="str">
        <f t="shared" si="4196"/>
        <v>0</v>
      </c>
      <c r="M2087" s="1" t="str">
        <f t="shared" si="4196"/>
        <v>0</v>
      </c>
      <c r="N2087" s="1" t="str">
        <f t="shared" si="4196"/>
        <v>0</v>
      </c>
      <c r="O2087" s="1" t="str">
        <f t="shared" si="4196"/>
        <v>0</v>
      </c>
      <c r="P2087" s="1" t="str">
        <f t="shared" si="4196"/>
        <v>0</v>
      </c>
      <c r="Q2087" s="1" t="str">
        <f t="shared" si="4127"/>
        <v>0.0070</v>
      </c>
      <c r="R2087" s="1" t="s">
        <v>25</v>
      </c>
      <c r="T2087" s="1" t="str">
        <f t="shared" si="4128"/>
        <v>0</v>
      </c>
      <c r="U2087" s="1" t="str">
        <f t="shared" si="4182"/>
        <v>0.0070</v>
      </c>
    </row>
    <row r="2088" s="1" customFormat="1" spans="1:21">
      <c r="A2088" s="1" t="str">
        <f>"4601992032905"</f>
        <v>4601992032905</v>
      </c>
      <c r="B2088" s="1" t="s">
        <v>2112</v>
      </c>
      <c r="C2088" s="1" t="s">
        <v>24</v>
      </c>
      <c r="D2088" s="1" t="str">
        <f t="shared" si="4125"/>
        <v>2021</v>
      </c>
      <c r="E2088" s="1" t="str">
        <f t="shared" ref="E2088:P2088" si="4197">"0"</f>
        <v>0</v>
      </c>
      <c r="F2088" s="1" t="str">
        <f t="shared" si="4197"/>
        <v>0</v>
      </c>
      <c r="G2088" s="1" t="str">
        <f t="shared" si="4197"/>
        <v>0</v>
      </c>
      <c r="H2088" s="1" t="str">
        <f t="shared" si="4197"/>
        <v>0</v>
      </c>
      <c r="I2088" s="1" t="str">
        <f t="shared" si="4197"/>
        <v>0</v>
      </c>
      <c r="J2088" s="1" t="str">
        <f t="shared" si="4197"/>
        <v>0</v>
      </c>
      <c r="K2088" s="1" t="str">
        <f t="shared" si="4197"/>
        <v>0</v>
      </c>
      <c r="L2088" s="1" t="str">
        <f t="shared" si="4197"/>
        <v>0</v>
      </c>
      <c r="M2088" s="1" t="str">
        <f t="shared" si="4197"/>
        <v>0</v>
      </c>
      <c r="N2088" s="1" t="str">
        <f t="shared" si="4197"/>
        <v>0</v>
      </c>
      <c r="O2088" s="1" t="str">
        <f t="shared" si="4197"/>
        <v>0</v>
      </c>
      <c r="P2088" s="1" t="str">
        <f t="shared" si="4197"/>
        <v>0</v>
      </c>
      <c r="Q2088" s="1" t="str">
        <f t="shared" si="4127"/>
        <v>0.0070</v>
      </c>
      <c r="R2088" s="1" t="s">
        <v>25</v>
      </c>
      <c r="T2088" s="1" t="str">
        <f t="shared" si="4128"/>
        <v>0</v>
      </c>
      <c r="U2088" s="1" t="str">
        <f t="shared" si="4182"/>
        <v>0.0070</v>
      </c>
    </row>
    <row r="2089" s="1" customFormat="1" spans="1:21">
      <c r="A2089" s="1" t="str">
        <f>"4601992033102"</f>
        <v>4601992033102</v>
      </c>
      <c r="B2089" s="1" t="s">
        <v>2113</v>
      </c>
      <c r="C2089" s="1" t="s">
        <v>24</v>
      </c>
      <c r="D2089" s="1" t="str">
        <f t="shared" si="4125"/>
        <v>2021</v>
      </c>
      <c r="E2089" s="1" t="str">
        <f t="shared" ref="E2089:P2089" si="4198">"0"</f>
        <v>0</v>
      </c>
      <c r="F2089" s="1" t="str">
        <f t="shared" si="4198"/>
        <v>0</v>
      </c>
      <c r="G2089" s="1" t="str">
        <f t="shared" si="4198"/>
        <v>0</v>
      </c>
      <c r="H2089" s="1" t="str">
        <f t="shared" si="4198"/>
        <v>0</v>
      </c>
      <c r="I2089" s="1" t="str">
        <f t="shared" si="4198"/>
        <v>0</v>
      </c>
      <c r="J2089" s="1" t="str">
        <f t="shared" si="4198"/>
        <v>0</v>
      </c>
      <c r="K2089" s="1" t="str">
        <f t="shared" si="4198"/>
        <v>0</v>
      </c>
      <c r="L2089" s="1" t="str">
        <f t="shared" si="4198"/>
        <v>0</v>
      </c>
      <c r="M2089" s="1" t="str">
        <f t="shared" si="4198"/>
        <v>0</v>
      </c>
      <c r="N2089" s="1" t="str">
        <f t="shared" si="4198"/>
        <v>0</v>
      </c>
      <c r="O2089" s="1" t="str">
        <f t="shared" si="4198"/>
        <v>0</v>
      </c>
      <c r="P2089" s="1" t="str">
        <f t="shared" si="4198"/>
        <v>0</v>
      </c>
      <c r="Q2089" s="1" t="str">
        <f t="shared" si="4127"/>
        <v>0.0070</v>
      </c>
      <c r="R2089" s="1" t="s">
        <v>25</v>
      </c>
      <c r="T2089" s="1" t="str">
        <f t="shared" si="4128"/>
        <v>0</v>
      </c>
      <c r="U2089" s="1" t="str">
        <f t="shared" si="4182"/>
        <v>0.0070</v>
      </c>
    </row>
    <row r="2090" s="1" customFormat="1" spans="1:21">
      <c r="A2090" s="1" t="str">
        <f>"4601992033039"</f>
        <v>4601992033039</v>
      </c>
      <c r="B2090" s="1" t="s">
        <v>2114</v>
      </c>
      <c r="C2090" s="1" t="s">
        <v>24</v>
      </c>
      <c r="D2090" s="1" t="str">
        <f t="shared" si="4125"/>
        <v>2021</v>
      </c>
      <c r="E2090" s="1" t="str">
        <f>"48.25"</f>
        <v>48.25</v>
      </c>
      <c r="F2090" s="1" t="str">
        <f t="shared" ref="F2090:I2090" si="4199">"0"</f>
        <v>0</v>
      </c>
      <c r="G2090" s="1" t="str">
        <f t="shared" si="4199"/>
        <v>0</v>
      </c>
      <c r="H2090" s="1" t="str">
        <f t="shared" si="4199"/>
        <v>0</v>
      </c>
      <c r="I2090" s="1" t="str">
        <f t="shared" si="4199"/>
        <v>0</v>
      </c>
      <c r="J2090" s="1" t="str">
        <f>"4"</f>
        <v>4</v>
      </c>
      <c r="K2090" s="1" t="str">
        <f t="shared" ref="K2090:P2090" si="4200">"0"</f>
        <v>0</v>
      </c>
      <c r="L2090" s="1" t="str">
        <f t="shared" si="4200"/>
        <v>0</v>
      </c>
      <c r="M2090" s="1" t="str">
        <f t="shared" si="4200"/>
        <v>0</v>
      </c>
      <c r="N2090" s="1" t="str">
        <f t="shared" si="4200"/>
        <v>0</v>
      </c>
      <c r="O2090" s="1" t="str">
        <f t="shared" si="4200"/>
        <v>0</v>
      </c>
      <c r="P2090" s="1" t="str">
        <f t="shared" si="4200"/>
        <v>0</v>
      </c>
      <c r="Q2090" s="1" t="str">
        <f t="shared" si="4127"/>
        <v>0.0070</v>
      </c>
      <c r="R2090" s="1" t="s">
        <v>29</v>
      </c>
      <c r="S2090" s="1">
        <v>-0.0014</v>
      </c>
      <c r="T2090" s="1" t="str">
        <f t="shared" si="4128"/>
        <v>0</v>
      </c>
      <c r="U2090" s="1" t="str">
        <f t="shared" ref="U2090:U2101" si="4201">"0.0056"</f>
        <v>0.0056</v>
      </c>
    </row>
    <row r="2091" s="1" customFormat="1" spans="1:21">
      <c r="A2091" s="1" t="str">
        <f>"4601992033091"</f>
        <v>4601992033091</v>
      </c>
      <c r="B2091" s="1" t="s">
        <v>2115</v>
      </c>
      <c r="C2091" s="1" t="s">
        <v>24</v>
      </c>
      <c r="D2091" s="1" t="str">
        <f t="shared" si="4125"/>
        <v>2021</v>
      </c>
      <c r="E2091" s="1" t="str">
        <f>"24.18"</f>
        <v>24.18</v>
      </c>
      <c r="F2091" s="1" t="str">
        <f t="shared" ref="F2091:I2091" si="4202">"0"</f>
        <v>0</v>
      </c>
      <c r="G2091" s="1" t="str">
        <f t="shared" si="4202"/>
        <v>0</v>
      </c>
      <c r="H2091" s="1" t="str">
        <f t="shared" si="4202"/>
        <v>0</v>
      </c>
      <c r="I2091" s="1" t="str">
        <f t="shared" si="4202"/>
        <v>0</v>
      </c>
      <c r="J2091" s="1" t="str">
        <f>"7"</f>
        <v>7</v>
      </c>
      <c r="K2091" s="1" t="str">
        <f t="shared" ref="K2091:P2091" si="4203">"0"</f>
        <v>0</v>
      </c>
      <c r="L2091" s="1" t="str">
        <f t="shared" si="4203"/>
        <v>0</v>
      </c>
      <c r="M2091" s="1" t="str">
        <f t="shared" si="4203"/>
        <v>0</v>
      </c>
      <c r="N2091" s="1" t="str">
        <f t="shared" si="4203"/>
        <v>0</v>
      </c>
      <c r="O2091" s="1" t="str">
        <f t="shared" si="4203"/>
        <v>0</v>
      </c>
      <c r="P2091" s="1" t="str">
        <f t="shared" si="4203"/>
        <v>0</v>
      </c>
      <c r="Q2091" s="1" t="str">
        <f t="shared" si="4127"/>
        <v>0.0070</v>
      </c>
      <c r="R2091" s="1" t="s">
        <v>29</v>
      </c>
      <c r="S2091" s="1">
        <v>-0.0014</v>
      </c>
      <c r="T2091" s="1" t="str">
        <f t="shared" si="4128"/>
        <v>0</v>
      </c>
      <c r="U2091" s="1" t="str">
        <f t="shared" si="4201"/>
        <v>0.0056</v>
      </c>
    </row>
    <row r="2092" s="1" customFormat="1" spans="1:21">
      <c r="A2092" s="1" t="str">
        <f>"4601992033213"</f>
        <v>4601992033213</v>
      </c>
      <c r="B2092" s="1" t="s">
        <v>2116</v>
      </c>
      <c r="C2092" s="1" t="s">
        <v>24</v>
      </c>
      <c r="D2092" s="1" t="str">
        <f t="shared" si="4125"/>
        <v>2021</v>
      </c>
      <c r="E2092" s="1" t="str">
        <f t="shared" ref="E2092:I2092" si="4204">"0"</f>
        <v>0</v>
      </c>
      <c r="F2092" s="1" t="str">
        <f t="shared" si="4204"/>
        <v>0</v>
      </c>
      <c r="G2092" s="1" t="str">
        <f t="shared" si="4204"/>
        <v>0</v>
      </c>
      <c r="H2092" s="1" t="str">
        <f t="shared" si="4204"/>
        <v>0</v>
      </c>
      <c r="I2092" s="1" t="str">
        <f t="shared" si="4204"/>
        <v>0</v>
      </c>
      <c r="J2092" s="1" t="str">
        <f>"2"</f>
        <v>2</v>
      </c>
      <c r="K2092" s="1" t="str">
        <f t="shared" ref="K2092:P2092" si="4205">"0"</f>
        <v>0</v>
      </c>
      <c r="L2092" s="1" t="str">
        <f t="shared" si="4205"/>
        <v>0</v>
      </c>
      <c r="M2092" s="1" t="str">
        <f t="shared" si="4205"/>
        <v>0</v>
      </c>
      <c r="N2092" s="1" t="str">
        <f t="shared" si="4205"/>
        <v>0</v>
      </c>
      <c r="O2092" s="1" t="str">
        <f t="shared" si="4205"/>
        <v>0</v>
      </c>
      <c r="P2092" s="1" t="str">
        <f t="shared" si="4205"/>
        <v>0</v>
      </c>
      <c r="Q2092" s="1" t="str">
        <f t="shared" si="4127"/>
        <v>0.0070</v>
      </c>
      <c r="R2092" s="1" t="s">
        <v>25</v>
      </c>
      <c r="T2092" s="1" t="str">
        <f t="shared" si="4128"/>
        <v>0</v>
      </c>
      <c r="U2092" s="1" t="str">
        <f>"0.0070"</f>
        <v>0.0070</v>
      </c>
    </row>
    <row r="2093" s="1" customFormat="1" spans="1:21">
      <c r="A2093" s="1" t="str">
        <f>"4601992033191"</f>
        <v>4601992033191</v>
      </c>
      <c r="B2093" s="1" t="s">
        <v>2117</v>
      </c>
      <c r="C2093" s="1" t="s">
        <v>24</v>
      </c>
      <c r="D2093" s="1" t="str">
        <f t="shared" si="4125"/>
        <v>2021</v>
      </c>
      <c r="E2093" s="1" t="str">
        <f>"12.09"</f>
        <v>12.09</v>
      </c>
      <c r="F2093" s="1" t="str">
        <f t="shared" ref="F2093:I2093" si="4206">"0"</f>
        <v>0</v>
      </c>
      <c r="G2093" s="1" t="str">
        <f t="shared" si="4206"/>
        <v>0</v>
      </c>
      <c r="H2093" s="1" t="str">
        <f t="shared" si="4206"/>
        <v>0</v>
      </c>
      <c r="I2093" s="1" t="str">
        <f t="shared" si="4206"/>
        <v>0</v>
      </c>
      <c r="J2093" s="1" t="str">
        <f t="shared" ref="J2093:J2099" si="4207">"1"</f>
        <v>1</v>
      </c>
      <c r="K2093" s="1" t="str">
        <f t="shared" ref="K2093:P2093" si="4208">"0"</f>
        <v>0</v>
      </c>
      <c r="L2093" s="1" t="str">
        <f t="shared" si="4208"/>
        <v>0</v>
      </c>
      <c r="M2093" s="1" t="str">
        <f t="shared" si="4208"/>
        <v>0</v>
      </c>
      <c r="N2093" s="1" t="str">
        <f t="shared" si="4208"/>
        <v>0</v>
      </c>
      <c r="O2093" s="1" t="str">
        <f t="shared" si="4208"/>
        <v>0</v>
      </c>
      <c r="P2093" s="1" t="str">
        <f t="shared" si="4208"/>
        <v>0</v>
      </c>
      <c r="Q2093" s="1" t="str">
        <f t="shared" si="4127"/>
        <v>0.0070</v>
      </c>
      <c r="R2093" s="1" t="s">
        <v>29</v>
      </c>
      <c r="S2093" s="1">
        <v>-0.0014</v>
      </c>
      <c r="T2093" s="1" t="str">
        <f t="shared" si="4128"/>
        <v>0</v>
      </c>
      <c r="U2093" s="1" t="str">
        <f t="shared" si="4201"/>
        <v>0.0056</v>
      </c>
    </row>
    <row r="2094" s="1" customFormat="1" spans="1:21">
      <c r="A2094" s="1" t="str">
        <f>"4601992033202"</f>
        <v>4601992033202</v>
      </c>
      <c r="B2094" s="1" t="s">
        <v>2118</v>
      </c>
      <c r="C2094" s="1" t="s">
        <v>24</v>
      </c>
      <c r="D2094" s="1" t="str">
        <f t="shared" si="4125"/>
        <v>2021</v>
      </c>
      <c r="E2094" s="1" t="str">
        <f>"95.84"</f>
        <v>95.84</v>
      </c>
      <c r="F2094" s="1" t="str">
        <f t="shared" ref="F2094:I2094" si="4209">"0"</f>
        <v>0</v>
      </c>
      <c r="G2094" s="1" t="str">
        <f t="shared" si="4209"/>
        <v>0</v>
      </c>
      <c r="H2094" s="1" t="str">
        <f t="shared" si="4209"/>
        <v>0</v>
      </c>
      <c r="I2094" s="1" t="str">
        <f t="shared" si="4209"/>
        <v>0</v>
      </c>
      <c r="J2094" s="1" t="str">
        <f>"9"</f>
        <v>9</v>
      </c>
      <c r="K2094" s="1" t="str">
        <f t="shared" ref="K2094:P2094" si="4210">"0"</f>
        <v>0</v>
      </c>
      <c r="L2094" s="1" t="str">
        <f t="shared" si="4210"/>
        <v>0</v>
      </c>
      <c r="M2094" s="1" t="str">
        <f t="shared" si="4210"/>
        <v>0</v>
      </c>
      <c r="N2094" s="1" t="str">
        <f t="shared" si="4210"/>
        <v>0</v>
      </c>
      <c r="O2094" s="1" t="str">
        <f t="shared" si="4210"/>
        <v>0</v>
      </c>
      <c r="P2094" s="1" t="str">
        <f t="shared" si="4210"/>
        <v>0</v>
      </c>
      <c r="Q2094" s="1" t="str">
        <f t="shared" si="4127"/>
        <v>0.0070</v>
      </c>
      <c r="R2094" s="1" t="s">
        <v>29</v>
      </c>
      <c r="S2094" s="1">
        <v>-0.0014</v>
      </c>
      <c r="T2094" s="1" t="str">
        <f t="shared" si="4128"/>
        <v>0</v>
      </c>
      <c r="U2094" s="1" t="str">
        <f t="shared" si="4201"/>
        <v>0.0056</v>
      </c>
    </row>
    <row r="2095" s="1" customFormat="1" spans="1:21">
      <c r="A2095" s="1" t="str">
        <f>"4601992033219"</f>
        <v>4601992033219</v>
      </c>
      <c r="B2095" s="1" t="s">
        <v>2119</v>
      </c>
      <c r="C2095" s="1" t="s">
        <v>24</v>
      </c>
      <c r="D2095" s="1" t="str">
        <f t="shared" si="4125"/>
        <v>2021</v>
      </c>
      <c r="E2095" s="1" t="str">
        <f>"12.09"</f>
        <v>12.09</v>
      </c>
      <c r="F2095" s="1" t="str">
        <f t="shared" ref="F2095:I2095" si="4211">"0"</f>
        <v>0</v>
      </c>
      <c r="G2095" s="1" t="str">
        <f t="shared" si="4211"/>
        <v>0</v>
      </c>
      <c r="H2095" s="1" t="str">
        <f t="shared" si="4211"/>
        <v>0</v>
      </c>
      <c r="I2095" s="1" t="str">
        <f t="shared" si="4211"/>
        <v>0</v>
      </c>
      <c r="J2095" s="1" t="str">
        <f t="shared" si="4207"/>
        <v>1</v>
      </c>
      <c r="K2095" s="1" t="str">
        <f t="shared" ref="K2095:P2095" si="4212">"0"</f>
        <v>0</v>
      </c>
      <c r="L2095" s="1" t="str">
        <f t="shared" si="4212"/>
        <v>0</v>
      </c>
      <c r="M2095" s="1" t="str">
        <f t="shared" si="4212"/>
        <v>0</v>
      </c>
      <c r="N2095" s="1" t="str">
        <f t="shared" si="4212"/>
        <v>0</v>
      </c>
      <c r="O2095" s="1" t="str">
        <f t="shared" si="4212"/>
        <v>0</v>
      </c>
      <c r="P2095" s="1" t="str">
        <f t="shared" si="4212"/>
        <v>0</v>
      </c>
      <c r="Q2095" s="1" t="str">
        <f t="shared" si="4127"/>
        <v>0.0070</v>
      </c>
      <c r="R2095" s="1" t="s">
        <v>29</v>
      </c>
      <c r="S2095" s="1">
        <v>-0.0014</v>
      </c>
      <c r="T2095" s="1" t="str">
        <f t="shared" si="4128"/>
        <v>0</v>
      </c>
      <c r="U2095" s="1" t="str">
        <f t="shared" si="4201"/>
        <v>0.0056</v>
      </c>
    </row>
    <row r="2096" s="1" customFormat="1" spans="1:21">
      <c r="A2096" s="1" t="str">
        <f>"4601992033193"</f>
        <v>4601992033193</v>
      </c>
      <c r="B2096" s="1" t="s">
        <v>2120</v>
      </c>
      <c r="C2096" s="1" t="s">
        <v>24</v>
      </c>
      <c r="D2096" s="1" t="str">
        <f t="shared" si="4125"/>
        <v>2021</v>
      </c>
      <c r="E2096" s="1" t="str">
        <f>"24.18"</f>
        <v>24.18</v>
      </c>
      <c r="F2096" s="1" t="str">
        <f t="shared" ref="F2096:I2096" si="4213">"0"</f>
        <v>0</v>
      </c>
      <c r="G2096" s="1" t="str">
        <f t="shared" si="4213"/>
        <v>0</v>
      </c>
      <c r="H2096" s="1" t="str">
        <f t="shared" si="4213"/>
        <v>0</v>
      </c>
      <c r="I2096" s="1" t="str">
        <f t="shared" si="4213"/>
        <v>0</v>
      </c>
      <c r="J2096" s="1" t="str">
        <f>"2"</f>
        <v>2</v>
      </c>
      <c r="K2096" s="1" t="str">
        <f t="shared" ref="K2096:P2096" si="4214">"0"</f>
        <v>0</v>
      </c>
      <c r="L2096" s="1" t="str">
        <f t="shared" si="4214"/>
        <v>0</v>
      </c>
      <c r="M2096" s="1" t="str">
        <f t="shared" si="4214"/>
        <v>0</v>
      </c>
      <c r="N2096" s="1" t="str">
        <f t="shared" si="4214"/>
        <v>0</v>
      </c>
      <c r="O2096" s="1" t="str">
        <f t="shared" si="4214"/>
        <v>0</v>
      </c>
      <c r="P2096" s="1" t="str">
        <f t="shared" si="4214"/>
        <v>0</v>
      </c>
      <c r="Q2096" s="1" t="str">
        <f t="shared" si="4127"/>
        <v>0.0070</v>
      </c>
      <c r="R2096" s="1" t="s">
        <v>29</v>
      </c>
      <c r="S2096" s="1">
        <v>-0.0014</v>
      </c>
      <c r="T2096" s="1" t="str">
        <f t="shared" si="4128"/>
        <v>0</v>
      </c>
      <c r="U2096" s="1" t="str">
        <f t="shared" si="4201"/>
        <v>0.0056</v>
      </c>
    </row>
    <row r="2097" s="1" customFormat="1" spans="1:21">
      <c r="A2097" s="1" t="str">
        <f>"4601992033235"</f>
        <v>4601992033235</v>
      </c>
      <c r="B2097" s="1" t="s">
        <v>2121</v>
      </c>
      <c r="C2097" s="1" t="s">
        <v>24</v>
      </c>
      <c r="D2097" s="1" t="str">
        <f t="shared" si="4125"/>
        <v>2021</v>
      </c>
      <c r="E2097" s="1" t="str">
        <f>"72.21"</f>
        <v>72.21</v>
      </c>
      <c r="F2097" s="1" t="str">
        <f t="shared" ref="F2097:I2097" si="4215">"0"</f>
        <v>0</v>
      </c>
      <c r="G2097" s="1" t="str">
        <f t="shared" si="4215"/>
        <v>0</v>
      </c>
      <c r="H2097" s="1" t="str">
        <f t="shared" si="4215"/>
        <v>0</v>
      </c>
      <c r="I2097" s="1" t="str">
        <f t="shared" si="4215"/>
        <v>0</v>
      </c>
      <c r="J2097" s="1" t="str">
        <f>"8"</f>
        <v>8</v>
      </c>
      <c r="K2097" s="1" t="str">
        <f t="shared" ref="K2097:P2097" si="4216">"0"</f>
        <v>0</v>
      </c>
      <c r="L2097" s="1" t="str">
        <f t="shared" si="4216"/>
        <v>0</v>
      </c>
      <c r="M2097" s="1" t="str">
        <f t="shared" si="4216"/>
        <v>0</v>
      </c>
      <c r="N2097" s="1" t="str">
        <f t="shared" si="4216"/>
        <v>0</v>
      </c>
      <c r="O2097" s="1" t="str">
        <f t="shared" si="4216"/>
        <v>0</v>
      </c>
      <c r="P2097" s="1" t="str">
        <f t="shared" si="4216"/>
        <v>0</v>
      </c>
      <c r="Q2097" s="1" t="str">
        <f t="shared" si="4127"/>
        <v>0.0070</v>
      </c>
      <c r="R2097" s="1" t="s">
        <v>29</v>
      </c>
      <c r="S2097" s="1">
        <v>-0.0014</v>
      </c>
      <c r="T2097" s="1" t="str">
        <f t="shared" si="4128"/>
        <v>0</v>
      </c>
      <c r="U2097" s="1" t="str">
        <f t="shared" si="4201"/>
        <v>0.0056</v>
      </c>
    </row>
    <row r="2098" s="1" customFormat="1" spans="1:21">
      <c r="A2098" s="1" t="str">
        <f>"4601992033244"</f>
        <v>4601992033244</v>
      </c>
      <c r="B2098" s="1" t="s">
        <v>2122</v>
      </c>
      <c r="C2098" s="1" t="s">
        <v>24</v>
      </c>
      <c r="D2098" s="1" t="str">
        <f t="shared" si="4125"/>
        <v>2021</v>
      </c>
      <c r="E2098" s="1" t="str">
        <f>"12.25"</f>
        <v>12.25</v>
      </c>
      <c r="F2098" s="1" t="str">
        <f t="shared" ref="F2098:I2098" si="4217">"0"</f>
        <v>0</v>
      </c>
      <c r="G2098" s="1" t="str">
        <f t="shared" si="4217"/>
        <v>0</v>
      </c>
      <c r="H2098" s="1" t="str">
        <f t="shared" si="4217"/>
        <v>0</v>
      </c>
      <c r="I2098" s="1" t="str">
        <f t="shared" si="4217"/>
        <v>0</v>
      </c>
      <c r="J2098" s="1" t="str">
        <f t="shared" si="4207"/>
        <v>1</v>
      </c>
      <c r="K2098" s="1" t="str">
        <f t="shared" ref="K2098:P2098" si="4218">"0"</f>
        <v>0</v>
      </c>
      <c r="L2098" s="1" t="str">
        <f t="shared" si="4218"/>
        <v>0</v>
      </c>
      <c r="M2098" s="1" t="str">
        <f t="shared" si="4218"/>
        <v>0</v>
      </c>
      <c r="N2098" s="1" t="str">
        <f t="shared" si="4218"/>
        <v>0</v>
      </c>
      <c r="O2098" s="1" t="str">
        <f t="shared" si="4218"/>
        <v>0</v>
      </c>
      <c r="P2098" s="1" t="str">
        <f t="shared" si="4218"/>
        <v>0</v>
      </c>
      <c r="Q2098" s="1" t="str">
        <f t="shared" si="4127"/>
        <v>0.0070</v>
      </c>
      <c r="R2098" s="1" t="s">
        <v>29</v>
      </c>
      <c r="S2098" s="1">
        <v>-0.0014</v>
      </c>
      <c r="T2098" s="1" t="str">
        <f t="shared" si="4128"/>
        <v>0</v>
      </c>
      <c r="U2098" s="1" t="str">
        <f t="shared" si="4201"/>
        <v>0.0056</v>
      </c>
    </row>
    <row r="2099" s="1" customFormat="1" spans="1:21">
      <c r="A2099" s="1" t="str">
        <f>"4601992033239"</f>
        <v>4601992033239</v>
      </c>
      <c r="B2099" s="1" t="s">
        <v>2123</v>
      </c>
      <c r="C2099" s="1" t="s">
        <v>24</v>
      </c>
      <c r="D2099" s="1" t="str">
        <f t="shared" si="4125"/>
        <v>2021</v>
      </c>
      <c r="E2099" s="1" t="str">
        <f>"12.09"</f>
        <v>12.09</v>
      </c>
      <c r="F2099" s="1" t="str">
        <f t="shared" ref="F2099:I2099" si="4219">"0"</f>
        <v>0</v>
      </c>
      <c r="G2099" s="1" t="str">
        <f t="shared" si="4219"/>
        <v>0</v>
      </c>
      <c r="H2099" s="1" t="str">
        <f t="shared" si="4219"/>
        <v>0</v>
      </c>
      <c r="I2099" s="1" t="str">
        <f t="shared" si="4219"/>
        <v>0</v>
      </c>
      <c r="J2099" s="1" t="str">
        <f t="shared" si="4207"/>
        <v>1</v>
      </c>
      <c r="K2099" s="1" t="str">
        <f t="shared" ref="K2099:P2099" si="4220">"0"</f>
        <v>0</v>
      </c>
      <c r="L2099" s="1" t="str">
        <f t="shared" si="4220"/>
        <v>0</v>
      </c>
      <c r="M2099" s="1" t="str">
        <f t="shared" si="4220"/>
        <v>0</v>
      </c>
      <c r="N2099" s="1" t="str">
        <f t="shared" si="4220"/>
        <v>0</v>
      </c>
      <c r="O2099" s="1" t="str">
        <f t="shared" si="4220"/>
        <v>0</v>
      </c>
      <c r="P2099" s="1" t="str">
        <f t="shared" si="4220"/>
        <v>0</v>
      </c>
      <c r="Q2099" s="1" t="str">
        <f t="shared" si="4127"/>
        <v>0.0070</v>
      </c>
      <c r="R2099" s="1" t="s">
        <v>29</v>
      </c>
      <c r="S2099" s="1">
        <v>-0.0014</v>
      </c>
      <c r="T2099" s="1" t="str">
        <f t="shared" si="4128"/>
        <v>0</v>
      </c>
      <c r="U2099" s="1" t="str">
        <f t="shared" si="4201"/>
        <v>0.0056</v>
      </c>
    </row>
    <row r="2100" s="1" customFormat="1" spans="1:21">
      <c r="A2100" s="1" t="str">
        <f>"4601992033274"</f>
        <v>4601992033274</v>
      </c>
      <c r="B2100" s="1" t="s">
        <v>2124</v>
      </c>
      <c r="C2100" s="1" t="s">
        <v>24</v>
      </c>
      <c r="D2100" s="1" t="str">
        <f t="shared" si="4125"/>
        <v>2021</v>
      </c>
      <c r="E2100" s="1" t="str">
        <f>"36.27"</f>
        <v>36.27</v>
      </c>
      <c r="F2100" s="1" t="str">
        <f t="shared" ref="F2100:I2100" si="4221">"0"</f>
        <v>0</v>
      </c>
      <c r="G2100" s="1" t="str">
        <f t="shared" si="4221"/>
        <v>0</v>
      </c>
      <c r="H2100" s="1" t="str">
        <f t="shared" si="4221"/>
        <v>0</v>
      </c>
      <c r="I2100" s="1" t="str">
        <f t="shared" si="4221"/>
        <v>0</v>
      </c>
      <c r="J2100" s="1" t="str">
        <f>"3"</f>
        <v>3</v>
      </c>
      <c r="K2100" s="1" t="str">
        <f t="shared" ref="K2100:P2100" si="4222">"0"</f>
        <v>0</v>
      </c>
      <c r="L2100" s="1" t="str">
        <f t="shared" si="4222"/>
        <v>0</v>
      </c>
      <c r="M2100" s="1" t="str">
        <f t="shared" si="4222"/>
        <v>0</v>
      </c>
      <c r="N2100" s="1" t="str">
        <f t="shared" si="4222"/>
        <v>0</v>
      </c>
      <c r="O2100" s="1" t="str">
        <f t="shared" si="4222"/>
        <v>0</v>
      </c>
      <c r="P2100" s="1" t="str">
        <f t="shared" si="4222"/>
        <v>0</v>
      </c>
      <c r="Q2100" s="1" t="str">
        <f t="shared" si="4127"/>
        <v>0.0070</v>
      </c>
      <c r="R2100" s="1" t="s">
        <v>29</v>
      </c>
      <c r="S2100" s="1">
        <v>-0.0014</v>
      </c>
      <c r="T2100" s="1" t="str">
        <f t="shared" si="4128"/>
        <v>0</v>
      </c>
      <c r="U2100" s="1" t="str">
        <f t="shared" si="4201"/>
        <v>0.0056</v>
      </c>
    </row>
    <row r="2101" s="1" customFormat="1" spans="1:21">
      <c r="A2101" s="1" t="str">
        <f>"4601992033331"</f>
        <v>4601992033331</v>
      </c>
      <c r="B2101" s="1" t="s">
        <v>2125</v>
      </c>
      <c r="C2101" s="1" t="s">
        <v>24</v>
      </c>
      <c r="D2101" s="1" t="str">
        <f t="shared" si="4125"/>
        <v>2021</v>
      </c>
      <c r="E2101" s="1" t="str">
        <f>"24.34"</f>
        <v>24.34</v>
      </c>
      <c r="F2101" s="1" t="str">
        <f t="shared" ref="F2101:I2101" si="4223">"0"</f>
        <v>0</v>
      </c>
      <c r="G2101" s="1" t="str">
        <f t="shared" si="4223"/>
        <v>0</v>
      </c>
      <c r="H2101" s="1" t="str">
        <f t="shared" si="4223"/>
        <v>0</v>
      </c>
      <c r="I2101" s="1" t="str">
        <f t="shared" si="4223"/>
        <v>0</v>
      </c>
      <c r="J2101" s="1" t="str">
        <f>"4"</f>
        <v>4</v>
      </c>
      <c r="K2101" s="1" t="str">
        <f t="shared" ref="K2101:P2101" si="4224">"0"</f>
        <v>0</v>
      </c>
      <c r="L2101" s="1" t="str">
        <f t="shared" si="4224"/>
        <v>0</v>
      </c>
      <c r="M2101" s="1" t="str">
        <f t="shared" si="4224"/>
        <v>0</v>
      </c>
      <c r="N2101" s="1" t="str">
        <f t="shared" si="4224"/>
        <v>0</v>
      </c>
      <c r="O2101" s="1" t="str">
        <f t="shared" si="4224"/>
        <v>0</v>
      </c>
      <c r="P2101" s="1" t="str">
        <f t="shared" si="4224"/>
        <v>0</v>
      </c>
      <c r="Q2101" s="1" t="str">
        <f t="shared" si="4127"/>
        <v>0.0070</v>
      </c>
      <c r="R2101" s="1" t="s">
        <v>29</v>
      </c>
      <c r="S2101" s="1">
        <v>-0.0014</v>
      </c>
      <c r="T2101" s="1" t="str">
        <f t="shared" si="4128"/>
        <v>0</v>
      </c>
      <c r="U2101" s="1" t="str">
        <f t="shared" si="4201"/>
        <v>0.0056</v>
      </c>
    </row>
    <row r="2102" s="1" customFormat="1" spans="1:21">
      <c r="A2102" s="1" t="str">
        <f>"4601992033348"</f>
        <v>4601992033348</v>
      </c>
      <c r="B2102" s="1" t="s">
        <v>2126</v>
      </c>
      <c r="C2102" s="1" t="s">
        <v>24</v>
      </c>
      <c r="D2102" s="1" t="str">
        <f t="shared" si="4125"/>
        <v>2021</v>
      </c>
      <c r="E2102" s="1" t="str">
        <f t="shared" ref="E2102:I2102" si="4225">"0"</f>
        <v>0</v>
      </c>
      <c r="F2102" s="1" t="str">
        <f t="shared" si="4225"/>
        <v>0</v>
      </c>
      <c r="G2102" s="1" t="str">
        <f t="shared" si="4225"/>
        <v>0</v>
      </c>
      <c r="H2102" s="1" t="str">
        <f t="shared" si="4225"/>
        <v>0</v>
      </c>
      <c r="I2102" s="1" t="str">
        <f t="shared" si="4225"/>
        <v>0</v>
      </c>
      <c r="J2102" s="1" t="str">
        <f>"1"</f>
        <v>1</v>
      </c>
      <c r="K2102" s="1" t="str">
        <f t="shared" ref="K2102:P2102" si="4226">"0"</f>
        <v>0</v>
      </c>
      <c r="L2102" s="1" t="str">
        <f t="shared" si="4226"/>
        <v>0</v>
      </c>
      <c r="M2102" s="1" t="str">
        <f t="shared" si="4226"/>
        <v>0</v>
      </c>
      <c r="N2102" s="1" t="str">
        <f t="shared" si="4226"/>
        <v>0</v>
      </c>
      <c r="O2102" s="1" t="str">
        <f t="shared" si="4226"/>
        <v>0</v>
      </c>
      <c r="P2102" s="1" t="str">
        <f t="shared" si="4226"/>
        <v>0</v>
      </c>
      <c r="Q2102" s="1" t="str">
        <f t="shared" si="4127"/>
        <v>0.0070</v>
      </c>
      <c r="R2102" s="1" t="s">
        <v>25</v>
      </c>
      <c r="T2102" s="1" t="str">
        <f t="shared" si="4128"/>
        <v>0</v>
      </c>
      <c r="U2102" s="1" t="str">
        <f>"0.0070"</f>
        <v>0.0070</v>
      </c>
    </row>
    <row r="2103" s="1" customFormat="1" spans="1:21">
      <c r="A2103" s="1" t="str">
        <f>"4601992033287"</f>
        <v>4601992033287</v>
      </c>
      <c r="B2103" s="1" t="s">
        <v>2127</v>
      </c>
      <c r="C2103" s="1" t="s">
        <v>24</v>
      </c>
      <c r="D2103" s="1" t="str">
        <f t="shared" si="4125"/>
        <v>2021</v>
      </c>
      <c r="E2103" s="1" t="str">
        <f>"24.18"</f>
        <v>24.18</v>
      </c>
      <c r="F2103" s="1" t="str">
        <f t="shared" ref="F2103:I2103" si="4227">"0"</f>
        <v>0</v>
      </c>
      <c r="G2103" s="1" t="str">
        <f t="shared" si="4227"/>
        <v>0</v>
      </c>
      <c r="H2103" s="1" t="str">
        <f t="shared" si="4227"/>
        <v>0</v>
      </c>
      <c r="I2103" s="1" t="str">
        <f t="shared" si="4227"/>
        <v>0</v>
      </c>
      <c r="J2103" s="1" t="str">
        <f t="shared" ref="J2103:J2108" si="4228">"2"</f>
        <v>2</v>
      </c>
      <c r="K2103" s="1" t="str">
        <f t="shared" ref="K2103:P2103" si="4229">"0"</f>
        <v>0</v>
      </c>
      <c r="L2103" s="1" t="str">
        <f t="shared" si="4229"/>
        <v>0</v>
      </c>
      <c r="M2103" s="1" t="str">
        <f t="shared" si="4229"/>
        <v>0</v>
      </c>
      <c r="N2103" s="1" t="str">
        <f t="shared" si="4229"/>
        <v>0</v>
      </c>
      <c r="O2103" s="1" t="str">
        <f t="shared" si="4229"/>
        <v>0</v>
      </c>
      <c r="P2103" s="1" t="str">
        <f t="shared" si="4229"/>
        <v>0</v>
      </c>
      <c r="Q2103" s="1" t="str">
        <f t="shared" si="4127"/>
        <v>0.0070</v>
      </c>
      <c r="R2103" s="1" t="s">
        <v>29</v>
      </c>
      <c r="S2103" s="1">
        <v>-0.0014</v>
      </c>
      <c r="T2103" s="1" t="str">
        <f t="shared" si="4128"/>
        <v>0</v>
      </c>
      <c r="U2103" s="1" t="str">
        <f t="shared" ref="U2103:U2111" si="4230">"0.0056"</f>
        <v>0.0056</v>
      </c>
    </row>
    <row r="2104" s="1" customFormat="1" spans="1:21">
      <c r="A2104" s="1" t="str">
        <f>"4601992033310"</f>
        <v>4601992033310</v>
      </c>
      <c r="B2104" s="1" t="s">
        <v>2128</v>
      </c>
      <c r="C2104" s="1" t="s">
        <v>24</v>
      </c>
      <c r="D2104" s="1" t="str">
        <f t="shared" si="4125"/>
        <v>2021</v>
      </c>
      <c r="E2104" s="1" t="str">
        <f>"28.00"</f>
        <v>28.00</v>
      </c>
      <c r="F2104" s="1" t="str">
        <f t="shared" ref="F2104:I2104" si="4231">"0"</f>
        <v>0</v>
      </c>
      <c r="G2104" s="1" t="str">
        <f t="shared" si="4231"/>
        <v>0</v>
      </c>
      <c r="H2104" s="1" t="str">
        <f t="shared" si="4231"/>
        <v>0</v>
      </c>
      <c r="I2104" s="1" t="str">
        <f t="shared" si="4231"/>
        <v>0</v>
      </c>
      <c r="J2104" s="1" t="str">
        <f t="shared" si="4228"/>
        <v>2</v>
      </c>
      <c r="K2104" s="1" t="str">
        <f t="shared" ref="K2104:P2104" si="4232">"0"</f>
        <v>0</v>
      </c>
      <c r="L2104" s="1" t="str">
        <f t="shared" si="4232"/>
        <v>0</v>
      </c>
      <c r="M2104" s="1" t="str">
        <f t="shared" si="4232"/>
        <v>0</v>
      </c>
      <c r="N2104" s="1" t="str">
        <f t="shared" si="4232"/>
        <v>0</v>
      </c>
      <c r="O2104" s="1" t="str">
        <f t="shared" si="4232"/>
        <v>0</v>
      </c>
      <c r="P2104" s="1" t="str">
        <f t="shared" si="4232"/>
        <v>0</v>
      </c>
      <c r="Q2104" s="1" t="str">
        <f t="shared" si="4127"/>
        <v>0.0070</v>
      </c>
      <c r="R2104" s="1" t="s">
        <v>29</v>
      </c>
      <c r="S2104" s="1">
        <v>-0.0014</v>
      </c>
      <c r="T2104" s="1" t="str">
        <f t="shared" si="4128"/>
        <v>0</v>
      </c>
      <c r="U2104" s="1" t="str">
        <f t="shared" si="4230"/>
        <v>0.0056</v>
      </c>
    </row>
    <row r="2105" s="1" customFormat="1" spans="1:21">
      <c r="A2105" s="1" t="str">
        <f>"4601992033403"</f>
        <v>4601992033403</v>
      </c>
      <c r="B2105" s="1" t="s">
        <v>2129</v>
      </c>
      <c r="C2105" s="1" t="s">
        <v>24</v>
      </c>
      <c r="D2105" s="1" t="str">
        <f t="shared" si="4125"/>
        <v>2021</v>
      </c>
      <c r="E2105" s="1" t="str">
        <f t="shared" ref="E2105:P2105" si="4233">"0"</f>
        <v>0</v>
      </c>
      <c r="F2105" s="1" t="str">
        <f t="shared" si="4233"/>
        <v>0</v>
      </c>
      <c r="G2105" s="1" t="str">
        <f t="shared" si="4233"/>
        <v>0</v>
      </c>
      <c r="H2105" s="1" t="str">
        <f t="shared" si="4233"/>
        <v>0</v>
      </c>
      <c r="I2105" s="1" t="str">
        <f t="shared" si="4233"/>
        <v>0</v>
      </c>
      <c r="J2105" s="1" t="str">
        <f t="shared" si="4233"/>
        <v>0</v>
      </c>
      <c r="K2105" s="1" t="str">
        <f t="shared" si="4233"/>
        <v>0</v>
      </c>
      <c r="L2105" s="1" t="str">
        <f t="shared" si="4233"/>
        <v>0</v>
      </c>
      <c r="M2105" s="1" t="str">
        <f t="shared" si="4233"/>
        <v>0</v>
      </c>
      <c r="N2105" s="1" t="str">
        <f t="shared" si="4233"/>
        <v>0</v>
      </c>
      <c r="O2105" s="1" t="str">
        <f t="shared" si="4233"/>
        <v>0</v>
      </c>
      <c r="P2105" s="1" t="str">
        <f t="shared" si="4233"/>
        <v>0</v>
      </c>
      <c r="Q2105" s="1" t="str">
        <f t="shared" si="4127"/>
        <v>0.0070</v>
      </c>
      <c r="R2105" s="1" t="s">
        <v>25</v>
      </c>
      <c r="T2105" s="1" t="str">
        <f t="shared" si="4128"/>
        <v>0</v>
      </c>
      <c r="U2105" s="1" t="str">
        <f>"0.0070"</f>
        <v>0.0070</v>
      </c>
    </row>
    <row r="2106" s="1" customFormat="1" spans="1:21">
      <c r="A2106" s="1" t="str">
        <f>"4601992033363"</f>
        <v>4601992033363</v>
      </c>
      <c r="B2106" s="1" t="s">
        <v>2130</v>
      </c>
      <c r="C2106" s="1" t="s">
        <v>24</v>
      </c>
      <c r="D2106" s="1" t="str">
        <f t="shared" si="4125"/>
        <v>2021</v>
      </c>
      <c r="E2106" s="1" t="str">
        <f>"48.25"</f>
        <v>48.25</v>
      </c>
      <c r="F2106" s="1" t="str">
        <f t="shared" ref="F2106:I2106" si="4234">"0"</f>
        <v>0</v>
      </c>
      <c r="G2106" s="1" t="str">
        <f t="shared" si="4234"/>
        <v>0</v>
      </c>
      <c r="H2106" s="1" t="str">
        <f t="shared" si="4234"/>
        <v>0</v>
      </c>
      <c r="I2106" s="1" t="str">
        <f t="shared" si="4234"/>
        <v>0</v>
      </c>
      <c r="J2106" s="1" t="str">
        <f>"4"</f>
        <v>4</v>
      </c>
      <c r="K2106" s="1" t="str">
        <f t="shared" ref="K2106:P2106" si="4235">"0"</f>
        <v>0</v>
      </c>
      <c r="L2106" s="1" t="str">
        <f t="shared" si="4235"/>
        <v>0</v>
      </c>
      <c r="M2106" s="1" t="str">
        <f t="shared" si="4235"/>
        <v>0</v>
      </c>
      <c r="N2106" s="1" t="str">
        <f t="shared" si="4235"/>
        <v>0</v>
      </c>
      <c r="O2106" s="1" t="str">
        <f t="shared" si="4235"/>
        <v>0</v>
      </c>
      <c r="P2106" s="1" t="str">
        <f t="shared" si="4235"/>
        <v>0</v>
      </c>
      <c r="Q2106" s="1" t="str">
        <f t="shared" si="4127"/>
        <v>0.0070</v>
      </c>
      <c r="R2106" s="1" t="s">
        <v>29</v>
      </c>
      <c r="S2106" s="1">
        <v>-0.0014</v>
      </c>
      <c r="T2106" s="1" t="str">
        <f t="shared" si="4128"/>
        <v>0</v>
      </c>
      <c r="U2106" s="1" t="str">
        <f t="shared" si="4230"/>
        <v>0.0056</v>
      </c>
    </row>
    <row r="2107" s="1" customFormat="1" spans="1:21">
      <c r="A2107" s="1" t="str">
        <f>"4601992033406"</f>
        <v>4601992033406</v>
      </c>
      <c r="B2107" s="1" t="s">
        <v>2131</v>
      </c>
      <c r="C2107" s="1" t="s">
        <v>24</v>
      </c>
      <c r="D2107" s="1" t="str">
        <f t="shared" si="4125"/>
        <v>2021</v>
      </c>
      <c r="E2107" s="1" t="str">
        <f>"36.27"</f>
        <v>36.27</v>
      </c>
      <c r="F2107" s="1" t="str">
        <f t="shared" ref="F2107:I2107" si="4236">"0"</f>
        <v>0</v>
      </c>
      <c r="G2107" s="1" t="str">
        <f t="shared" si="4236"/>
        <v>0</v>
      </c>
      <c r="H2107" s="1" t="str">
        <f t="shared" si="4236"/>
        <v>0</v>
      </c>
      <c r="I2107" s="1" t="str">
        <f t="shared" si="4236"/>
        <v>0</v>
      </c>
      <c r="J2107" s="1" t="str">
        <f>"5"</f>
        <v>5</v>
      </c>
      <c r="K2107" s="1" t="str">
        <f t="shared" ref="K2107:P2107" si="4237">"0"</f>
        <v>0</v>
      </c>
      <c r="L2107" s="1" t="str">
        <f t="shared" si="4237"/>
        <v>0</v>
      </c>
      <c r="M2107" s="1" t="str">
        <f t="shared" si="4237"/>
        <v>0</v>
      </c>
      <c r="N2107" s="1" t="str">
        <f t="shared" si="4237"/>
        <v>0</v>
      </c>
      <c r="O2107" s="1" t="str">
        <f t="shared" si="4237"/>
        <v>0</v>
      </c>
      <c r="P2107" s="1" t="str">
        <f t="shared" si="4237"/>
        <v>0</v>
      </c>
      <c r="Q2107" s="1" t="str">
        <f t="shared" si="4127"/>
        <v>0.0070</v>
      </c>
      <c r="R2107" s="1" t="s">
        <v>29</v>
      </c>
      <c r="S2107" s="1">
        <v>-0.0014</v>
      </c>
      <c r="T2107" s="1" t="str">
        <f t="shared" si="4128"/>
        <v>0</v>
      </c>
      <c r="U2107" s="1" t="str">
        <f t="shared" si="4230"/>
        <v>0.0056</v>
      </c>
    </row>
    <row r="2108" s="1" customFormat="1" spans="1:21">
      <c r="A2108" s="1" t="str">
        <f>"4601992033439"</f>
        <v>4601992033439</v>
      </c>
      <c r="B2108" s="1" t="s">
        <v>2132</v>
      </c>
      <c r="C2108" s="1" t="s">
        <v>24</v>
      </c>
      <c r="D2108" s="1" t="str">
        <f t="shared" si="4125"/>
        <v>2021</v>
      </c>
      <c r="E2108" s="1" t="str">
        <f>"24.18"</f>
        <v>24.18</v>
      </c>
      <c r="F2108" s="1" t="str">
        <f t="shared" ref="F2108:I2108" si="4238">"0"</f>
        <v>0</v>
      </c>
      <c r="G2108" s="1" t="str">
        <f t="shared" si="4238"/>
        <v>0</v>
      </c>
      <c r="H2108" s="1" t="str">
        <f t="shared" si="4238"/>
        <v>0</v>
      </c>
      <c r="I2108" s="1" t="str">
        <f t="shared" si="4238"/>
        <v>0</v>
      </c>
      <c r="J2108" s="1" t="str">
        <f t="shared" si="4228"/>
        <v>2</v>
      </c>
      <c r="K2108" s="1" t="str">
        <f t="shared" ref="K2108:P2108" si="4239">"0"</f>
        <v>0</v>
      </c>
      <c r="L2108" s="1" t="str">
        <f t="shared" si="4239"/>
        <v>0</v>
      </c>
      <c r="M2108" s="1" t="str">
        <f t="shared" si="4239"/>
        <v>0</v>
      </c>
      <c r="N2108" s="1" t="str">
        <f t="shared" si="4239"/>
        <v>0</v>
      </c>
      <c r="O2108" s="1" t="str">
        <f t="shared" si="4239"/>
        <v>0</v>
      </c>
      <c r="P2108" s="1" t="str">
        <f t="shared" si="4239"/>
        <v>0</v>
      </c>
      <c r="Q2108" s="1" t="str">
        <f t="shared" si="4127"/>
        <v>0.0070</v>
      </c>
      <c r="R2108" s="1" t="s">
        <v>29</v>
      </c>
      <c r="S2108" s="1">
        <v>-0.0014</v>
      </c>
      <c r="T2108" s="1" t="str">
        <f t="shared" si="4128"/>
        <v>0</v>
      </c>
      <c r="U2108" s="1" t="str">
        <f t="shared" si="4230"/>
        <v>0.0056</v>
      </c>
    </row>
    <row r="2109" s="1" customFormat="1" spans="1:21">
      <c r="A2109" s="1" t="str">
        <f>"4601992033478"</f>
        <v>4601992033478</v>
      </c>
      <c r="B2109" s="1" t="s">
        <v>2133</v>
      </c>
      <c r="C2109" s="1" t="s">
        <v>24</v>
      </c>
      <c r="D2109" s="1" t="str">
        <f t="shared" si="4125"/>
        <v>2021</v>
      </c>
      <c r="E2109" s="1" t="str">
        <f>"36.27"</f>
        <v>36.27</v>
      </c>
      <c r="F2109" s="1" t="str">
        <f t="shared" ref="F2109:I2109" si="4240">"0"</f>
        <v>0</v>
      </c>
      <c r="G2109" s="1" t="str">
        <f t="shared" si="4240"/>
        <v>0</v>
      </c>
      <c r="H2109" s="1" t="str">
        <f t="shared" si="4240"/>
        <v>0</v>
      </c>
      <c r="I2109" s="1" t="str">
        <f t="shared" si="4240"/>
        <v>0</v>
      </c>
      <c r="J2109" s="1" t="str">
        <f>"3"</f>
        <v>3</v>
      </c>
      <c r="K2109" s="1" t="str">
        <f t="shared" ref="K2109:P2109" si="4241">"0"</f>
        <v>0</v>
      </c>
      <c r="L2109" s="1" t="str">
        <f t="shared" si="4241"/>
        <v>0</v>
      </c>
      <c r="M2109" s="1" t="str">
        <f t="shared" si="4241"/>
        <v>0</v>
      </c>
      <c r="N2109" s="1" t="str">
        <f t="shared" si="4241"/>
        <v>0</v>
      </c>
      <c r="O2109" s="1" t="str">
        <f t="shared" si="4241"/>
        <v>0</v>
      </c>
      <c r="P2109" s="1" t="str">
        <f t="shared" si="4241"/>
        <v>0</v>
      </c>
      <c r="Q2109" s="1" t="str">
        <f t="shared" si="4127"/>
        <v>0.0070</v>
      </c>
      <c r="R2109" s="1" t="s">
        <v>29</v>
      </c>
      <c r="S2109" s="1">
        <v>-0.0014</v>
      </c>
      <c r="T2109" s="1" t="str">
        <f t="shared" si="4128"/>
        <v>0</v>
      </c>
      <c r="U2109" s="1" t="str">
        <f t="shared" si="4230"/>
        <v>0.0056</v>
      </c>
    </row>
    <row r="2110" s="1" customFormat="1" spans="1:21">
      <c r="A2110" s="1" t="str">
        <f>"4601992033442"</f>
        <v>4601992033442</v>
      </c>
      <c r="B2110" s="1" t="s">
        <v>2134</v>
      </c>
      <c r="C2110" s="1" t="s">
        <v>24</v>
      </c>
      <c r="D2110" s="1" t="str">
        <f t="shared" si="4125"/>
        <v>2021</v>
      </c>
      <c r="E2110" s="1" t="str">
        <f>"29.75"</f>
        <v>29.75</v>
      </c>
      <c r="F2110" s="1" t="str">
        <f t="shared" ref="F2110:I2110" si="4242">"0"</f>
        <v>0</v>
      </c>
      <c r="G2110" s="1" t="str">
        <f t="shared" si="4242"/>
        <v>0</v>
      </c>
      <c r="H2110" s="1" t="str">
        <f t="shared" si="4242"/>
        <v>0</v>
      </c>
      <c r="I2110" s="1" t="str">
        <f t="shared" si="4242"/>
        <v>0</v>
      </c>
      <c r="J2110" s="1" t="str">
        <f>"2"</f>
        <v>2</v>
      </c>
      <c r="K2110" s="1" t="str">
        <f t="shared" ref="K2110:P2110" si="4243">"0"</f>
        <v>0</v>
      </c>
      <c r="L2110" s="1" t="str">
        <f t="shared" si="4243"/>
        <v>0</v>
      </c>
      <c r="M2110" s="1" t="str">
        <f t="shared" si="4243"/>
        <v>0</v>
      </c>
      <c r="N2110" s="1" t="str">
        <f t="shared" si="4243"/>
        <v>0</v>
      </c>
      <c r="O2110" s="1" t="str">
        <f t="shared" si="4243"/>
        <v>0</v>
      </c>
      <c r="P2110" s="1" t="str">
        <f t="shared" si="4243"/>
        <v>0</v>
      </c>
      <c r="Q2110" s="1" t="str">
        <f t="shared" si="4127"/>
        <v>0.0070</v>
      </c>
      <c r="R2110" s="1" t="s">
        <v>29</v>
      </c>
      <c r="S2110" s="1">
        <v>-0.0014</v>
      </c>
      <c r="T2110" s="1" t="str">
        <f t="shared" si="4128"/>
        <v>0</v>
      </c>
      <c r="U2110" s="1" t="str">
        <f t="shared" si="4230"/>
        <v>0.0056</v>
      </c>
    </row>
    <row r="2111" s="1" customFormat="1" spans="1:21">
      <c r="A2111" s="1" t="str">
        <f>"4601992033473"</f>
        <v>4601992033473</v>
      </c>
      <c r="B2111" s="1" t="s">
        <v>2135</v>
      </c>
      <c r="C2111" s="1" t="s">
        <v>24</v>
      </c>
      <c r="D2111" s="1" t="str">
        <f t="shared" si="4125"/>
        <v>2021</v>
      </c>
      <c r="E2111" s="1" t="str">
        <f>"72.54"</f>
        <v>72.54</v>
      </c>
      <c r="F2111" s="1" t="str">
        <f t="shared" ref="F2111:I2111" si="4244">"0"</f>
        <v>0</v>
      </c>
      <c r="G2111" s="1" t="str">
        <f t="shared" si="4244"/>
        <v>0</v>
      </c>
      <c r="H2111" s="1" t="str">
        <f t="shared" si="4244"/>
        <v>0</v>
      </c>
      <c r="I2111" s="1" t="str">
        <f t="shared" si="4244"/>
        <v>0</v>
      </c>
      <c r="J2111" s="1" t="str">
        <f>"6"</f>
        <v>6</v>
      </c>
      <c r="K2111" s="1" t="str">
        <f t="shared" ref="K2111:P2111" si="4245">"0"</f>
        <v>0</v>
      </c>
      <c r="L2111" s="1" t="str">
        <f t="shared" si="4245"/>
        <v>0</v>
      </c>
      <c r="M2111" s="1" t="str">
        <f t="shared" si="4245"/>
        <v>0</v>
      </c>
      <c r="N2111" s="1" t="str">
        <f t="shared" si="4245"/>
        <v>0</v>
      </c>
      <c r="O2111" s="1" t="str">
        <f t="shared" si="4245"/>
        <v>0</v>
      </c>
      <c r="P2111" s="1" t="str">
        <f t="shared" si="4245"/>
        <v>0</v>
      </c>
      <c r="Q2111" s="1" t="str">
        <f t="shared" si="4127"/>
        <v>0.0070</v>
      </c>
      <c r="R2111" s="1" t="s">
        <v>29</v>
      </c>
      <c r="S2111" s="1">
        <v>-0.0014</v>
      </c>
      <c r="T2111" s="1" t="str">
        <f t="shared" si="4128"/>
        <v>0</v>
      </c>
      <c r="U2111" s="1" t="str">
        <f t="shared" si="4230"/>
        <v>0.0056</v>
      </c>
    </row>
    <row r="2112" s="1" customFormat="1" spans="1:21">
      <c r="A2112" s="1" t="str">
        <f>"4601992033587"</f>
        <v>4601992033587</v>
      </c>
      <c r="B2112" s="1" t="s">
        <v>2136</v>
      </c>
      <c r="C2112" s="1" t="s">
        <v>24</v>
      </c>
      <c r="D2112" s="1" t="str">
        <f t="shared" si="4125"/>
        <v>2021</v>
      </c>
      <c r="E2112" s="1" t="str">
        <f t="shared" ref="E2112:P2112" si="4246">"0"</f>
        <v>0</v>
      </c>
      <c r="F2112" s="1" t="str">
        <f t="shared" si="4246"/>
        <v>0</v>
      </c>
      <c r="G2112" s="1" t="str">
        <f t="shared" si="4246"/>
        <v>0</v>
      </c>
      <c r="H2112" s="1" t="str">
        <f t="shared" si="4246"/>
        <v>0</v>
      </c>
      <c r="I2112" s="1" t="str">
        <f t="shared" si="4246"/>
        <v>0</v>
      </c>
      <c r="J2112" s="1" t="str">
        <f t="shared" si="4246"/>
        <v>0</v>
      </c>
      <c r="K2112" s="1" t="str">
        <f t="shared" si="4246"/>
        <v>0</v>
      </c>
      <c r="L2112" s="1" t="str">
        <f t="shared" si="4246"/>
        <v>0</v>
      </c>
      <c r="M2112" s="1" t="str">
        <f t="shared" si="4246"/>
        <v>0</v>
      </c>
      <c r="N2112" s="1" t="str">
        <f t="shared" si="4246"/>
        <v>0</v>
      </c>
      <c r="O2112" s="1" t="str">
        <f t="shared" si="4246"/>
        <v>0</v>
      </c>
      <c r="P2112" s="1" t="str">
        <f t="shared" si="4246"/>
        <v>0</v>
      </c>
      <c r="Q2112" s="1" t="str">
        <f t="shared" si="4127"/>
        <v>0.0070</v>
      </c>
      <c r="R2112" s="1" t="s">
        <v>25</v>
      </c>
      <c r="T2112" s="1" t="str">
        <f t="shared" si="4128"/>
        <v>0</v>
      </c>
      <c r="U2112" s="1" t="str">
        <f t="shared" ref="U2112:U2117" si="4247">"0.0070"</f>
        <v>0.0070</v>
      </c>
    </row>
    <row r="2113" s="1" customFormat="1" spans="1:21">
      <c r="A2113" s="1" t="str">
        <f>"4601992033486"</f>
        <v>4601992033486</v>
      </c>
      <c r="B2113" s="1" t="s">
        <v>2137</v>
      </c>
      <c r="C2113" s="1" t="s">
        <v>24</v>
      </c>
      <c r="D2113" s="1" t="str">
        <f t="shared" si="4125"/>
        <v>2021</v>
      </c>
      <c r="E2113" s="1" t="str">
        <f>"36.27"</f>
        <v>36.27</v>
      </c>
      <c r="F2113" s="1" t="str">
        <f t="shared" ref="F2113:I2113" si="4248">"0"</f>
        <v>0</v>
      </c>
      <c r="G2113" s="1" t="str">
        <f t="shared" si="4248"/>
        <v>0</v>
      </c>
      <c r="H2113" s="1" t="str">
        <f t="shared" si="4248"/>
        <v>0</v>
      </c>
      <c r="I2113" s="1" t="str">
        <f t="shared" si="4248"/>
        <v>0</v>
      </c>
      <c r="J2113" s="1" t="str">
        <f>"3"</f>
        <v>3</v>
      </c>
      <c r="K2113" s="1" t="str">
        <f t="shared" ref="K2113:P2113" si="4249">"0"</f>
        <v>0</v>
      </c>
      <c r="L2113" s="1" t="str">
        <f t="shared" si="4249"/>
        <v>0</v>
      </c>
      <c r="M2113" s="1" t="str">
        <f t="shared" si="4249"/>
        <v>0</v>
      </c>
      <c r="N2113" s="1" t="str">
        <f t="shared" si="4249"/>
        <v>0</v>
      </c>
      <c r="O2113" s="1" t="str">
        <f t="shared" si="4249"/>
        <v>0</v>
      </c>
      <c r="P2113" s="1" t="str">
        <f t="shared" si="4249"/>
        <v>0</v>
      </c>
      <c r="Q2113" s="1" t="str">
        <f t="shared" si="4127"/>
        <v>0.0070</v>
      </c>
      <c r="R2113" s="1" t="s">
        <v>29</v>
      </c>
      <c r="S2113" s="1">
        <v>-0.0014</v>
      </c>
      <c r="T2113" s="1" t="str">
        <f t="shared" si="4128"/>
        <v>0</v>
      </c>
      <c r="U2113" s="1" t="str">
        <f t="shared" ref="U2113:U2116" si="4250">"0.0056"</f>
        <v>0.0056</v>
      </c>
    </row>
    <row r="2114" s="1" customFormat="1" spans="1:21">
      <c r="A2114" s="1" t="str">
        <f>"4601992033560"</f>
        <v>4601992033560</v>
      </c>
      <c r="B2114" s="1" t="s">
        <v>2138</v>
      </c>
      <c r="C2114" s="1" t="s">
        <v>24</v>
      </c>
      <c r="D2114" s="1" t="str">
        <f t="shared" si="4125"/>
        <v>2021</v>
      </c>
      <c r="E2114" s="1" t="str">
        <f>"24.18"</f>
        <v>24.18</v>
      </c>
      <c r="F2114" s="1" t="str">
        <f t="shared" ref="F2114:I2114" si="4251">"0"</f>
        <v>0</v>
      </c>
      <c r="G2114" s="1" t="str">
        <f t="shared" si="4251"/>
        <v>0</v>
      </c>
      <c r="H2114" s="1" t="str">
        <f t="shared" si="4251"/>
        <v>0</v>
      </c>
      <c r="I2114" s="1" t="str">
        <f t="shared" si="4251"/>
        <v>0</v>
      </c>
      <c r="J2114" s="1" t="str">
        <f>"2"</f>
        <v>2</v>
      </c>
      <c r="K2114" s="1" t="str">
        <f t="shared" ref="K2114:P2114" si="4252">"0"</f>
        <v>0</v>
      </c>
      <c r="L2114" s="1" t="str">
        <f t="shared" si="4252"/>
        <v>0</v>
      </c>
      <c r="M2114" s="1" t="str">
        <f t="shared" si="4252"/>
        <v>0</v>
      </c>
      <c r="N2114" s="1" t="str">
        <f t="shared" si="4252"/>
        <v>0</v>
      </c>
      <c r="O2114" s="1" t="str">
        <f t="shared" si="4252"/>
        <v>0</v>
      </c>
      <c r="P2114" s="1" t="str">
        <f t="shared" si="4252"/>
        <v>0</v>
      </c>
      <c r="Q2114" s="1" t="str">
        <f t="shared" si="4127"/>
        <v>0.0070</v>
      </c>
      <c r="R2114" s="1" t="s">
        <v>29</v>
      </c>
      <c r="S2114" s="1">
        <v>-0.0014</v>
      </c>
      <c r="T2114" s="1" t="str">
        <f t="shared" si="4128"/>
        <v>0</v>
      </c>
      <c r="U2114" s="1" t="str">
        <f t="shared" si="4250"/>
        <v>0.0056</v>
      </c>
    </row>
    <row r="2115" s="1" customFormat="1" spans="1:21">
      <c r="A2115" s="1" t="str">
        <f>"4601992033619"</f>
        <v>4601992033619</v>
      </c>
      <c r="B2115" s="1" t="s">
        <v>2139</v>
      </c>
      <c r="C2115" s="1" t="s">
        <v>24</v>
      </c>
      <c r="D2115" s="1" t="str">
        <f t="shared" ref="D2115:D2178" si="4253">"2021"</f>
        <v>2021</v>
      </c>
      <c r="E2115" s="1" t="str">
        <f t="shared" ref="E2115:P2115" si="4254">"0"</f>
        <v>0</v>
      </c>
      <c r="F2115" s="1" t="str">
        <f t="shared" si="4254"/>
        <v>0</v>
      </c>
      <c r="G2115" s="1" t="str">
        <f t="shared" si="4254"/>
        <v>0</v>
      </c>
      <c r="H2115" s="1" t="str">
        <f t="shared" si="4254"/>
        <v>0</v>
      </c>
      <c r="I2115" s="1" t="str">
        <f t="shared" si="4254"/>
        <v>0</v>
      </c>
      <c r="J2115" s="1" t="str">
        <f t="shared" si="4254"/>
        <v>0</v>
      </c>
      <c r="K2115" s="1" t="str">
        <f t="shared" si="4254"/>
        <v>0</v>
      </c>
      <c r="L2115" s="1" t="str">
        <f t="shared" si="4254"/>
        <v>0</v>
      </c>
      <c r="M2115" s="1" t="str">
        <f t="shared" si="4254"/>
        <v>0</v>
      </c>
      <c r="N2115" s="1" t="str">
        <f t="shared" si="4254"/>
        <v>0</v>
      </c>
      <c r="O2115" s="1" t="str">
        <f t="shared" si="4254"/>
        <v>0</v>
      </c>
      <c r="P2115" s="1" t="str">
        <f t="shared" si="4254"/>
        <v>0</v>
      </c>
      <c r="Q2115" s="1" t="str">
        <f t="shared" ref="Q2115:Q2178" si="4255">"0.0070"</f>
        <v>0.0070</v>
      </c>
      <c r="R2115" s="1" t="s">
        <v>25</v>
      </c>
      <c r="T2115" s="1" t="str">
        <f t="shared" ref="T2115:T2178" si="4256">"0"</f>
        <v>0</v>
      </c>
      <c r="U2115" s="1" t="str">
        <f t="shared" si="4247"/>
        <v>0.0070</v>
      </c>
    </row>
    <row r="2116" s="1" customFormat="1" spans="1:21">
      <c r="A2116" s="1" t="str">
        <f>"4601992033575"</f>
        <v>4601992033575</v>
      </c>
      <c r="B2116" s="1" t="s">
        <v>2140</v>
      </c>
      <c r="C2116" s="1" t="s">
        <v>24</v>
      </c>
      <c r="D2116" s="1" t="str">
        <f t="shared" si="4253"/>
        <v>2021</v>
      </c>
      <c r="E2116" s="1" t="str">
        <f>"91.39"</f>
        <v>91.39</v>
      </c>
      <c r="F2116" s="1" t="str">
        <f t="shared" ref="F2116:I2116" si="4257">"0"</f>
        <v>0</v>
      </c>
      <c r="G2116" s="1" t="str">
        <f t="shared" si="4257"/>
        <v>0</v>
      </c>
      <c r="H2116" s="1" t="str">
        <f t="shared" si="4257"/>
        <v>0</v>
      </c>
      <c r="I2116" s="1" t="str">
        <f t="shared" si="4257"/>
        <v>0</v>
      </c>
      <c r="J2116" s="1" t="str">
        <f>"4"</f>
        <v>4</v>
      </c>
      <c r="K2116" s="1" t="str">
        <f t="shared" ref="K2116:P2116" si="4258">"0"</f>
        <v>0</v>
      </c>
      <c r="L2116" s="1" t="str">
        <f t="shared" si="4258"/>
        <v>0</v>
      </c>
      <c r="M2116" s="1" t="str">
        <f t="shared" si="4258"/>
        <v>0</v>
      </c>
      <c r="N2116" s="1" t="str">
        <f t="shared" si="4258"/>
        <v>0</v>
      </c>
      <c r="O2116" s="1" t="str">
        <f t="shared" si="4258"/>
        <v>0</v>
      </c>
      <c r="P2116" s="1" t="str">
        <f t="shared" si="4258"/>
        <v>0</v>
      </c>
      <c r="Q2116" s="1" t="str">
        <f t="shared" si="4255"/>
        <v>0.0070</v>
      </c>
      <c r="R2116" s="1" t="s">
        <v>29</v>
      </c>
      <c r="S2116" s="1">
        <v>-0.0014</v>
      </c>
      <c r="T2116" s="1" t="str">
        <f t="shared" si="4256"/>
        <v>0</v>
      </c>
      <c r="U2116" s="1" t="str">
        <f t="shared" si="4250"/>
        <v>0.0056</v>
      </c>
    </row>
    <row r="2117" s="1" customFormat="1" spans="1:21">
      <c r="A2117" s="1" t="str">
        <f>"4601992033653"</f>
        <v>4601992033653</v>
      </c>
      <c r="B2117" s="1" t="s">
        <v>2141</v>
      </c>
      <c r="C2117" s="1" t="s">
        <v>24</v>
      </c>
      <c r="D2117" s="1" t="str">
        <f t="shared" si="4253"/>
        <v>2021</v>
      </c>
      <c r="E2117" s="1" t="str">
        <f t="shared" ref="E2117:P2117" si="4259">"0"</f>
        <v>0</v>
      </c>
      <c r="F2117" s="1" t="str">
        <f t="shared" si="4259"/>
        <v>0</v>
      </c>
      <c r="G2117" s="1" t="str">
        <f t="shared" si="4259"/>
        <v>0</v>
      </c>
      <c r="H2117" s="1" t="str">
        <f t="shared" si="4259"/>
        <v>0</v>
      </c>
      <c r="I2117" s="1" t="str">
        <f t="shared" si="4259"/>
        <v>0</v>
      </c>
      <c r="J2117" s="1" t="str">
        <f t="shared" si="4259"/>
        <v>0</v>
      </c>
      <c r="K2117" s="1" t="str">
        <f t="shared" si="4259"/>
        <v>0</v>
      </c>
      <c r="L2117" s="1" t="str">
        <f t="shared" si="4259"/>
        <v>0</v>
      </c>
      <c r="M2117" s="1" t="str">
        <f t="shared" si="4259"/>
        <v>0</v>
      </c>
      <c r="N2117" s="1" t="str">
        <f t="shared" si="4259"/>
        <v>0</v>
      </c>
      <c r="O2117" s="1" t="str">
        <f t="shared" si="4259"/>
        <v>0</v>
      </c>
      <c r="P2117" s="1" t="str">
        <f t="shared" si="4259"/>
        <v>0</v>
      </c>
      <c r="Q2117" s="1" t="str">
        <f t="shared" si="4255"/>
        <v>0.0070</v>
      </c>
      <c r="R2117" s="1" t="s">
        <v>25</v>
      </c>
      <c r="T2117" s="1" t="str">
        <f t="shared" si="4256"/>
        <v>0</v>
      </c>
      <c r="U2117" s="1" t="str">
        <f t="shared" si="4247"/>
        <v>0.0070</v>
      </c>
    </row>
    <row r="2118" s="1" customFormat="1" spans="1:21">
      <c r="A2118" s="1" t="str">
        <f>"4601992033670"</f>
        <v>4601992033670</v>
      </c>
      <c r="B2118" s="1" t="s">
        <v>2142</v>
      </c>
      <c r="C2118" s="1" t="s">
        <v>24</v>
      </c>
      <c r="D2118" s="1" t="str">
        <f t="shared" si="4253"/>
        <v>2021</v>
      </c>
      <c r="E2118" s="1" t="str">
        <f>"12.09"</f>
        <v>12.09</v>
      </c>
      <c r="F2118" s="1" t="str">
        <f t="shared" ref="F2118:I2118" si="4260">"0"</f>
        <v>0</v>
      </c>
      <c r="G2118" s="1" t="str">
        <f t="shared" si="4260"/>
        <v>0</v>
      </c>
      <c r="H2118" s="1" t="str">
        <f t="shared" si="4260"/>
        <v>0</v>
      </c>
      <c r="I2118" s="1" t="str">
        <f t="shared" si="4260"/>
        <v>0</v>
      </c>
      <c r="J2118" s="1" t="str">
        <f>"2"</f>
        <v>2</v>
      </c>
      <c r="K2118" s="1" t="str">
        <f t="shared" ref="K2118:P2118" si="4261">"0"</f>
        <v>0</v>
      </c>
      <c r="L2118" s="1" t="str">
        <f t="shared" si="4261"/>
        <v>0</v>
      </c>
      <c r="M2118" s="1" t="str">
        <f t="shared" si="4261"/>
        <v>0</v>
      </c>
      <c r="N2118" s="1" t="str">
        <f t="shared" si="4261"/>
        <v>0</v>
      </c>
      <c r="O2118" s="1" t="str">
        <f t="shared" si="4261"/>
        <v>0</v>
      </c>
      <c r="P2118" s="1" t="str">
        <f t="shared" si="4261"/>
        <v>0</v>
      </c>
      <c r="Q2118" s="1" t="str">
        <f t="shared" si="4255"/>
        <v>0.0070</v>
      </c>
      <c r="R2118" s="1" t="s">
        <v>29</v>
      </c>
      <c r="S2118" s="1">
        <v>-0.0014</v>
      </c>
      <c r="T2118" s="1" t="str">
        <f t="shared" si="4256"/>
        <v>0</v>
      </c>
      <c r="U2118" s="1" t="str">
        <f t="shared" ref="U2118:U2121" si="4262">"0.0056"</f>
        <v>0.0056</v>
      </c>
    </row>
    <row r="2119" s="1" customFormat="1" spans="1:21">
      <c r="A2119" s="1" t="str">
        <f>"4601992033724"</f>
        <v>4601992033724</v>
      </c>
      <c r="B2119" s="1" t="s">
        <v>2143</v>
      </c>
      <c r="C2119" s="1" t="s">
        <v>24</v>
      </c>
      <c r="D2119" s="1" t="str">
        <f t="shared" si="4253"/>
        <v>2021</v>
      </c>
      <c r="E2119" s="1" t="str">
        <f>"12.09"</f>
        <v>12.09</v>
      </c>
      <c r="F2119" s="1" t="str">
        <f t="shared" ref="F2119:I2119" si="4263">"0"</f>
        <v>0</v>
      </c>
      <c r="G2119" s="1" t="str">
        <f t="shared" si="4263"/>
        <v>0</v>
      </c>
      <c r="H2119" s="1" t="str">
        <f t="shared" si="4263"/>
        <v>0</v>
      </c>
      <c r="I2119" s="1" t="str">
        <f t="shared" si="4263"/>
        <v>0</v>
      </c>
      <c r="J2119" s="1" t="str">
        <f>"1"</f>
        <v>1</v>
      </c>
      <c r="K2119" s="1" t="str">
        <f t="shared" ref="K2119:P2119" si="4264">"0"</f>
        <v>0</v>
      </c>
      <c r="L2119" s="1" t="str">
        <f t="shared" si="4264"/>
        <v>0</v>
      </c>
      <c r="M2119" s="1" t="str">
        <f t="shared" si="4264"/>
        <v>0</v>
      </c>
      <c r="N2119" s="1" t="str">
        <f t="shared" si="4264"/>
        <v>0</v>
      </c>
      <c r="O2119" s="1" t="str">
        <f t="shared" si="4264"/>
        <v>0</v>
      </c>
      <c r="P2119" s="1" t="str">
        <f t="shared" si="4264"/>
        <v>0</v>
      </c>
      <c r="Q2119" s="1" t="str">
        <f t="shared" si="4255"/>
        <v>0.0070</v>
      </c>
      <c r="R2119" s="1" t="s">
        <v>29</v>
      </c>
      <c r="S2119" s="1">
        <v>-0.0014</v>
      </c>
      <c r="T2119" s="1" t="str">
        <f t="shared" si="4256"/>
        <v>0</v>
      </c>
      <c r="U2119" s="1" t="str">
        <f t="shared" si="4262"/>
        <v>0.0056</v>
      </c>
    </row>
    <row r="2120" s="1" customFormat="1" spans="1:21">
      <c r="A2120" s="1" t="str">
        <f>"4601992033730"</f>
        <v>4601992033730</v>
      </c>
      <c r="B2120" s="1" t="s">
        <v>2144</v>
      </c>
      <c r="C2120" s="1" t="s">
        <v>24</v>
      </c>
      <c r="D2120" s="1" t="str">
        <f t="shared" si="4253"/>
        <v>2021</v>
      </c>
      <c r="E2120" s="1" t="str">
        <f>"24.07"</f>
        <v>24.07</v>
      </c>
      <c r="F2120" s="1" t="str">
        <f t="shared" ref="F2120:I2120" si="4265">"0"</f>
        <v>0</v>
      </c>
      <c r="G2120" s="1" t="str">
        <f t="shared" si="4265"/>
        <v>0</v>
      </c>
      <c r="H2120" s="1" t="str">
        <f t="shared" si="4265"/>
        <v>0</v>
      </c>
      <c r="I2120" s="1" t="str">
        <f t="shared" si="4265"/>
        <v>0</v>
      </c>
      <c r="J2120" s="1" t="str">
        <f>"2"</f>
        <v>2</v>
      </c>
      <c r="K2120" s="1" t="str">
        <f t="shared" ref="K2120:P2120" si="4266">"0"</f>
        <v>0</v>
      </c>
      <c r="L2120" s="1" t="str">
        <f t="shared" si="4266"/>
        <v>0</v>
      </c>
      <c r="M2120" s="1" t="str">
        <f t="shared" si="4266"/>
        <v>0</v>
      </c>
      <c r="N2120" s="1" t="str">
        <f t="shared" si="4266"/>
        <v>0</v>
      </c>
      <c r="O2120" s="1" t="str">
        <f t="shared" si="4266"/>
        <v>0</v>
      </c>
      <c r="P2120" s="1" t="str">
        <f t="shared" si="4266"/>
        <v>0</v>
      </c>
      <c r="Q2120" s="1" t="str">
        <f t="shared" si="4255"/>
        <v>0.0070</v>
      </c>
      <c r="R2120" s="1" t="s">
        <v>29</v>
      </c>
      <c r="S2120" s="1">
        <v>-0.0014</v>
      </c>
      <c r="T2120" s="1" t="str">
        <f t="shared" si="4256"/>
        <v>0</v>
      </c>
      <c r="U2120" s="1" t="str">
        <f t="shared" si="4262"/>
        <v>0.0056</v>
      </c>
    </row>
    <row r="2121" s="1" customFormat="1" spans="1:21">
      <c r="A2121" s="1" t="str">
        <f>"4601992033722"</f>
        <v>4601992033722</v>
      </c>
      <c r="B2121" s="1" t="s">
        <v>2145</v>
      </c>
      <c r="C2121" s="1" t="s">
        <v>24</v>
      </c>
      <c r="D2121" s="1" t="str">
        <f t="shared" si="4253"/>
        <v>2021</v>
      </c>
      <c r="E2121" s="1" t="str">
        <f>"35.94"</f>
        <v>35.94</v>
      </c>
      <c r="F2121" s="1" t="str">
        <f t="shared" ref="F2121:I2121" si="4267">"0"</f>
        <v>0</v>
      </c>
      <c r="G2121" s="1" t="str">
        <f t="shared" si="4267"/>
        <v>0</v>
      </c>
      <c r="H2121" s="1" t="str">
        <f t="shared" si="4267"/>
        <v>0</v>
      </c>
      <c r="I2121" s="1" t="str">
        <f t="shared" si="4267"/>
        <v>0</v>
      </c>
      <c r="J2121" s="1" t="str">
        <f>"5"</f>
        <v>5</v>
      </c>
      <c r="K2121" s="1" t="str">
        <f t="shared" ref="K2121:P2121" si="4268">"0"</f>
        <v>0</v>
      </c>
      <c r="L2121" s="1" t="str">
        <f t="shared" si="4268"/>
        <v>0</v>
      </c>
      <c r="M2121" s="1" t="str">
        <f t="shared" si="4268"/>
        <v>0</v>
      </c>
      <c r="N2121" s="1" t="str">
        <f t="shared" si="4268"/>
        <v>0</v>
      </c>
      <c r="O2121" s="1" t="str">
        <f t="shared" si="4268"/>
        <v>0</v>
      </c>
      <c r="P2121" s="1" t="str">
        <f t="shared" si="4268"/>
        <v>0</v>
      </c>
      <c r="Q2121" s="1" t="str">
        <f t="shared" si="4255"/>
        <v>0.0070</v>
      </c>
      <c r="R2121" s="1" t="s">
        <v>29</v>
      </c>
      <c r="S2121" s="1">
        <v>-0.0014</v>
      </c>
      <c r="T2121" s="1" t="str">
        <f t="shared" si="4256"/>
        <v>0</v>
      </c>
      <c r="U2121" s="1" t="str">
        <f t="shared" si="4262"/>
        <v>0.0056</v>
      </c>
    </row>
    <row r="2122" s="1" customFormat="1" spans="1:21">
      <c r="A2122" s="1" t="str">
        <f>"4601992033737"</f>
        <v>4601992033737</v>
      </c>
      <c r="B2122" s="1" t="s">
        <v>2146</v>
      </c>
      <c r="C2122" s="1" t="s">
        <v>24</v>
      </c>
      <c r="D2122" s="1" t="str">
        <f t="shared" si="4253"/>
        <v>2021</v>
      </c>
      <c r="E2122" s="1" t="str">
        <f t="shared" ref="E2122:P2122" si="4269">"0"</f>
        <v>0</v>
      </c>
      <c r="F2122" s="1" t="str">
        <f t="shared" si="4269"/>
        <v>0</v>
      </c>
      <c r="G2122" s="1" t="str">
        <f t="shared" si="4269"/>
        <v>0</v>
      </c>
      <c r="H2122" s="1" t="str">
        <f t="shared" si="4269"/>
        <v>0</v>
      </c>
      <c r="I2122" s="1" t="str">
        <f t="shared" si="4269"/>
        <v>0</v>
      </c>
      <c r="J2122" s="1" t="str">
        <f t="shared" si="4269"/>
        <v>0</v>
      </c>
      <c r="K2122" s="1" t="str">
        <f t="shared" si="4269"/>
        <v>0</v>
      </c>
      <c r="L2122" s="1" t="str">
        <f t="shared" si="4269"/>
        <v>0</v>
      </c>
      <c r="M2122" s="1" t="str">
        <f t="shared" si="4269"/>
        <v>0</v>
      </c>
      <c r="N2122" s="1" t="str">
        <f t="shared" si="4269"/>
        <v>0</v>
      </c>
      <c r="O2122" s="1" t="str">
        <f t="shared" si="4269"/>
        <v>0</v>
      </c>
      <c r="P2122" s="1" t="str">
        <f t="shared" si="4269"/>
        <v>0</v>
      </c>
      <c r="Q2122" s="1" t="str">
        <f t="shared" si="4255"/>
        <v>0.0070</v>
      </c>
      <c r="R2122" s="1" t="s">
        <v>25</v>
      </c>
      <c r="T2122" s="1" t="str">
        <f t="shared" si="4256"/>
        <v>0</v>
      </c>
      <c r="U2122" s="1" t="str">
        <f t="shared" ref="U2122:U2126" si="4270">"0.0070"</f>
        <v>0.0070</v>
      </c>
    </row>
    <row r="2123" s="1" customFormat="1" spans="1:21">
      <c r="A2123" s="1" t="str">
        <f>"4601992033824"</f>
        <v>4601992033824</v>
      </c>
      <c r="B2123" s="1" t="s">
        <v>2147</v>
      </c>
      <c r="C2123" s="1" t="s">
        <v>24</v>
      </c>
      <c r="D2123" s="1" t="str">
        <f t="shared" si="4253"/>
        <v>2021</v>
      </c>
      <c r="E2123" s="1" t="str">
        <f t="shared" ref="E2123:P2123" si="4271">"0"</f>
        <v>0</v>
      </c>
      <c r="F2123" s="1" t="str">
        <f t="shared" si="4271"/>
        <v>0</v>
      </c>
      <c r="G2123" s="1" t="str">
        <f t="shared" si="4271"/>
        <v>0</v>
      </c>
      <c r="H2123" s="1" t="str">
        <f t="shared" si="4271"/>
        <v>0</v>
      </c>
      <c r="I2123" s="1" t="str">
        <f t="shared" si="4271"/>
        <v>0</v>
      </c>
      <c r="J2123" s="1" t="str">
        <f t="shared" si="4271"/>
        <v>0</v>
      </c>
      <c r="K2123" s="1" t="str">
        <f t="shared" si="4271"/>
        <v>0</v>
      </c>
      <c r="L2123" s="1" t="str">
        <f t="shared" si="4271"/>
        <v>0</v>
      </c>
      <c r="M2123" s="1" t="str">
        <f t="shared" si="4271"/>
        <v>0</v>
      </c>
      <c r="N2123" s="1" t="str">
        <f t="shared" si="4271"/>
        <v>0</v>
      </c>
      <c r="O2123" s="1" t="str">
        <f t="shared" si="4271"/>
        <v>0</v>
      </c>
      <c r="P2123" s="1" t="str">
        <f t="shared" si="4271"/>
        <v>0</v>
      </c>
      <c r="Q2123" s="1" t="str">
        <f t="shared" si="4255"/>
        <v>0.0070</v>
      </c>
      <c r="R2123" s="1" t="s">
        <v>25</v>
      </c>
      <c r="T2123" s="1" t="str">
        <f t="shared" si="4256"/>
        <v>0</v>
      </c>
      <c r="U2123" s="1" t="str">
        <f t="shared" si="4270"/>
        <v>0.0070</v>
      </c>
    </row>
    <row r="2124" s="1" customFormat="1" spans="1:21">
      <c r="A2124" s="1" t="str">
        <f>"4601992033756"</f>
        <v>4601992033756</v>
      </c>
      <c r="B2124" s="1" t="s">
        <v>2148</v>
      </c>
      <c r="C2124" s="1" t="s">
        <v>24</v>
      </c>
      <c r="D2124" s="1" t="str">
        <f t="shared" si="4253"/>
        <v>2021</v>
      </c>
      <c r="E2124" s="1" t="str">
        <f>"24.18"</f>
        <v>24.18</v>
      </c>
      <c r="F2124" s="1" t="str">
        <f t="shared" ref="F2124:I2124" si="4272">"0"</f>
        <v>0</v>
      </c>
      <c r="G2124" s="1" t="str">
        <f t="shared" si="4272"/>
        <v>0</v>
      </c>
      <c r="H2124" s="1" t="str">
        <f t="shared" si="4272"/>
        <v>0</v>
      </c>
      <c r="I2124" s="1" t="str">
        <f t="shared" si="4272"/>
        <v>0</v>
      </c>
      <c r="J2124" s="1" t="str">
        <f>"3"</f>
        <v>3</v>
      </c>
      <c r="K2124" s="1" t="str">
        <f t="shared" ref="K2124:P2124" si="4273">"0"</f>
        <v>0</v>
      </c>
      <c r="L2124" s="1" t="str">
        <f t="shared" si="4273"/>
        <v>0</v>
      </c>
      <c r="M2124" s="1" t="str">
        <f t="shared" si="4273"/>
        <v>0</v>
      </c>
      <c r="N2124" s="1" t="str">
        <f t="shared" si="4273"/>
        <v>0</v>
      </c>
      <c r="O2124" s="1" t="str">
        <f t="shared" si="4273"/>
        <v>0</v>
      </c>
      <c r="P2124" s="1" t="str">
        <f t="shared" si="4273"/>
        <v>0</v>
      </c>
      <c r="Q2124" s="1" t="str">
        <f t="shared" si="4255"/>
        <v>0.0070</v>
      </c>
      <c r="R2124" s="1" t="s">
        <v>29</v>
      </c>
      <c r="S2124" s="1">
        <v>-0.0014</v>
      </c>
      <c r="T2124" s="1" t="str">
        <f t="shared" si="4256"/>
        <v>0</v>
      </c>
      <c r="U2124" s="1" t="str">
        <f>"0.0056"</f>
        <v>0.0056</v>
      </c>
    </row>
    <row r="2125" s="1" customFormat="1" spans="1:21">
      <c r="A2125" s="1" t="str">
        <f>"4601992033764"</f>
        <v>4601992033764</v>
      </c>
      <c r="B2125" s="1" t="s">
        <v>2149</v>
      </c>
      <c r="C2125" s="1" t="s">
        <v>24</v>
      </c>
      <c r="D2125" s="1" t="str">
        <f t="shared" si="4253"/>
        <v>2021</v>
      </c>
      <c r="E2125" s="1" t="str">
        <f>"12.09"</f>
        <v>12.09</v>
      </c>
      <c r="F2125" s="1" t="str">
        <f t="shared" ref="F2125:I2125" si="4274">"0"</f>
        <v>0</v>
      </c>
      <c r="G2125" s="1" t="str">
        <f t="shared" si="4274"/>
        <v>0</v>
      </c>
      <c r="H2125" s="1" t="str">
        <f t="shared" si="4274"/>
        <v>0</v>
      </c>
      <c r="I2125" s="1" t="str">
        <f t="shared" si="4274"/>
        <v>0</v>
      </c>
      <c r="J2125" s="1" t="str">
        <f>"1"</f>
        <v>1</v>
      </c>
      <c r="K2125" s="1" t="str">
        <f t="shared" ref="K2125:P2125" si="4275">"0"</f>
        <v>0</v>
      </c>
      <c r="L2125" s="1" t="str">
        <f t="shared" si="4275"/>
        <v>0</v>
      </c>
      <c r="M2125" s="1" t="str">
        <f t="shared" si="4275"/>
        <v>0</v>
      </c>
      <c r="N2125" s="1" t="str">
        <f t="shared" si="4275"/>
        <v>0</v>
      </c>
      <c r="O2125" s="1" t="str">
        <f t="shared" si="4275"/>
        <v>0</v>
      </c>
      <c r="P2125" s="1" t="str">
        <f t="shared" si="4275"/>
        <v>0</v>
      </c>
      <c r="Q2125" s="1" t="str">
        <f t="shared" si="4255"/>
        <v>0.0070</v>
      </c>
      <c r="R2125" s="1" t="s">
        <v>25</v>
      </c>
      <c r="T2125" s="1" t="str">
        <f t="shared" si="4256"/>
        <v>0</v>
      </c>
      <c r="U2125" s="1" t="str">
        <f t="shared" si="4270"/>
        <v>0.0070</v>
      </c>
    </row>
    <row r="2126" s="1" customFormat="1" spans="1:21">
      <c r="A2126" s="1" t="str">
        <f>"4601992033859"</f>
        <v>4601992033859</v>
      </c>
      <c r="B2126" s="1" t="s">
        <v>2150</v>
      </c>
      <c r="C2126" s="1" t="s">
        <v>24</v>
      </c>
      <c r="D2126" s="1" t="str">
        <f t="shared" si="4253"/>
        <v>2021</v>
      </c>
      <c r="E2126" s="1" t="str">
        <f t="shared" ref="E2126:P2126" si="4276">"0"</f>
        <v>0</v>
      </c>
      <c r="F2126" s="1" t="str">
        <f t="shared" si="4276"/>
        <v>0</v>
      </c>
      <c r="G2126" s="1" t="str">
        <f t="shared" si="4276"/>
        <v>0</v>
      </c>
      <c r="H2126" s="1" t="str">
        <f t="shared" si="4276"/>
        <v>0</v>
      </c>
      <c r="I2126" s="1" t="str">
        <f t="shared" si="4276"/>
        <v>0</v>
      </c>
      <c r="J2126" s="1" t="str">
        <f t="shared" si="4276"/>
        <v>0</v>
      </c>
      <c r="K2126" s="1" t="str">
        <f t="shared" si="4276"/>
        <v>0</v>
      </c>
      <c r="L2126" s="1" t="str">
        <f t="shared" si="4276"/>
        <v>0</v>
      </c>
      <c r="M2126" s="1" t="str">
        <f t="shared" si="4276"/>
        <v>0</v>
      </c>
      <c r="N2126" s="1" t="str">
        <f t="shared" si="4276"/>
        <v>0</v>
      </c>
      <c r="O2126" s="1" t="str">
        <f t="shared" si="4276"/>
        <v>0</v>
      </c>
      <c r="P2126" s="1" t="str">
        <f t="shared" si="4276"/>
        <v>0</v>
      </c>
      <c r="Q2126" s="1" t="str">
        <f t="shared" si="4255"/>
        <v>0.0070</v>
      </c>
      <c r="R2126" s="1" t="s">
        <v>25</v>
      </c>
      <c r="T2126" s="1" t="str">
        <f t="shared" si="4256"/>
        <v>0</v>
      </c>
      <c r="U2126" s="1" t="str">
        <f t="shared" si="4270"/>
        <v>0.0070</v>
      </c>
    </row>
    <row r="2127" s="1" customFormat="1" spans="1:21">
      <c r="A2127" s="1" t="str">
        <f>"4601992033825"</f>
        <v>4601992033825</v>
      </c>
      <c r="B2127" s="1" t="s">
        <v>2151</v>
      </c>
      <c r="C2127" s="1" t="s">
        <v>24</v>
      </c>
      <c r="D2127" s="1" t="str">
        <f t="shared" si="4253"/>
        <v>2021</v>
      </c>
      <c r="E2127" s="1" t="str">
        <f>"48.36"</f>
        <v>48.36</v>
      </c>
      <c r="F2127" s="1" t="str">
        <f t="shared" ref="F2127:I2127" si="4277">"0"</f>
        <v>0</v>
      </c>
      <c r="G2127" s="1" t="str">
        <f t="shared" si="4277"/>
        <v>0</v>
      </c>
      <c r="H2127" s="1" t="str">
        <f t="shared" si="4277"/>
        <v>0</v>
      </c>
      <c r="I2127" s="1" t="str">
        <f t="shared" si="4277"/>
        <v>0</v>
      </c>
      <c r="J2127" s="1" t="str">
        <f>"6"</f>
        <v>6</v>
      </c>
      <c r="K2127" s="1" t="str">
        <f t="shared" ref="K2127:P2127" si="4278">"0"</f>
        <v>0</v>
      </c>
      <c r="L2127" s="1" t="str">
        <f t="shared" si="4278"/>
        <v>0</v>
      </c>
      <c r="M2127" s="1" t="str">
        <f t="shared" si="4278"/>
        <v>0</v>
      </c>
      <c r="N2127" s="1" t="str">
        <f t="shared" si="4278"/>
        <v>0</v>
      </c>
      <c r="O2127" s="1" t="str">
        <f t="shared" si="4278"/>
        <v>0</v>
      </c>
      <c r="P2127" s="1" t="str">
        <f t="shared" si="4278"/>
        <v>0</v>
      </c>
      <c r="Q2127" s="1" t="str">
        <f t="shared" si="4255"/>
        <v>0.0070</v>
      </c>
      <c r="R2127" s="1" t="s">
        <v>29</v>
      </c>
      <c r="S2127" s="1">
        <v>-0.0014</v>
      </c>
      <c r="T2127" s="1" t="str">
        <f t="shared" si="4256"/>
        <v>0</v>
      </c>
      <c r="U2127" s="1" t="str">
        <f t="shared" ref="U2127:U2132" si="4279">"0.0056"</f>
        <v>0.0056</v>
      </c>
    </row>
    <row r="2128" s="1" customFormat="1" spans="1:21">
      <c r="A2128" s="1" t="str">
        <f>"4601992033877"</f>
        <v>4601992033877</v>
      </c>
      <c r="B2128" s="1" t="s">
        <v>2152</v>
      </c>
      <c r="C2128" s="1" t="s">
        <v>24</v>
      </c>
      <c r="D2128" s="1" t="str">
        <f t="shared" si="4253"/>
        <v>2021</v>
      </c>
      <c r="E2128" s="1" t="str">
        <f t="shared" ref="E2128:P2128" si="4280">"0"</f>
        <v>0</v>
      </c>
      <c r="F2128" s="1" t="str">
        <f t="shared" si="4280"/>
        <v>0</v>
      </c>
      <c r="G2128" s="1" t="str">
        <f t="shared" si="4280"/>
        <v>0</v>
      </c>
      <c r="H2128" s="1" t="str">
        <f t="shared" si="4280"/>
        <v>0</v>
      </c>
      <c r="I2128" s="1" t="str">
        <f t="shared" si="4280"/>
        <v>0</v>
      </c>
      <c r="J2128" s="1" t="str">
        <f t="shared" si="4280"/>
        <v>0</v>
      </c>
      <c r="K2128" s="1" t="str">
        <f t="shared" si="4280"/>
        <v>0</v>
      </c>
      <c r="L2128" s="1" t="str">
        <f t="shared" si="4280"/>
        <v>0</v>
      </c>
      <c r="M2128" s="1" t="str">
        <f t="shared" si="4280"/>
        <v>0</v>
      </c>
      <c r="N2128" s="1" t="str">
        <f t="shared" si="4280"/>
        <v>0</v>
      </c>
      <c r="O2128" s="1" t="str">
        <f t="shared" si="4280"/>
        <v>0</v>
      </c>
      <c r="P2128" s="1" t="str">
        <f t="shared" si="4280"/>
        <v>0</v>
      </c>
      <c r="Q2128" s="1" t="str">
        <f t="shared" si="4255"/>
        <v>0.0070</v>
      </c>
      <c r="R2128" s="1" t="s">
        <v>25</v>
      </c>
      <c r="T2128" s="1" t="str">
        <f t="shared" si="4256"/>
        <v>0</v>
      </c>
      <c r="U2128" s="1" t="str">
        <f t="shared" ref="U2128:U2134" si="4281">"0.0070"</f>
        <v>0.0070</v>
      </c>
    </row>
    <row r="2129" s="1" customFormat="1" spans="1:21">
      <c r="A2129" s="1" t="str">
        <f>"4601992034107"</f>
        <v>4601992034107</v>
      </c>
      <c r="B2129" s="1" t="s">
        <v>2153</v>
      </c>
      <c r="C2129" s="1" t="s">
        <v>24</v>
      </c>
      <c r="D2129" s="1" t="str">
        <f t="shared" si="4253"/>
        <v>2021</v>
      </c>
      <c r="E2129" s="1" t="str">
        <f t="shared" ref="E2129:P2129" si="4282">"0"</f>
        <v>0</v>
      </c>
      <c r="F2129" s="1" t="str">
        <f t="shared" si="4282"/>
        <v>0</v>
      </c>
      <c r="G2129" s="1" t="str">
        <f t="shared" si="4282"/>
        <v>0</v>
      </c>
      <c r="H2129" s="1" t="str">
        <f t="shared" si="4282"/>
        <v>0</v>
      </c>
      <c r="I2129" s="1" t="str">
        <f t="shared" si="4282"/>
        <v>0</v>
      </c>
      <c r="J2129" s="1" t="str">
        <f t="shared" si="4282"/>
        <v>0</v>
      </c>
      <c r="K2129" s="1" t="str">
        <f t="shared" si="4282"/>
        <v>0</v>
      </c>
      <c r="L2129" s="1" t="str">
        <f t="shared" si="4282"/>
        <v>0</v>
      </c>
      <c r="M2129" s="1" t="str">
        <f t="shared" si="4282"/>
        <v>0</v>
      </c>
      <c r="N2129" s="1" t="str">
        <f t="shared" si="4282"/>
        <v>0</v>
      </c>
      <c r="O2129" s="1" t="str">
        <f t="shared" si="4282"/>
        <v>0</v>
      </c>
      <c r="P2129" s="1" t="str">
        <f t="shared" si="4282"/>
        <v>0</v>
      </c>
      <c r="Q2129" s="1" t="str">
        <f t="shared" si="4255"/>
        <v>0.0070</v>
      </c>
      <c r="R2129" s="1" t="s">
        <v>25</v>
      </c>
      <c r="T2129" s="1" t="str">
        <f t="shared" si="4256"/>
        <v>0</v>
      </c>
      <c r="U2129" s="1" t="str">
        <f t="shared" si="4281"/>
        <v>0.0070</v>
      </c>
    </row>
    <row r="2130" s="1" customFormat="1" spans="1:21">
      <c r="A2130" s="1" t="str">
        <f>"4601992034057"</f>
        <v>4601992034057</v>
      </c>
      <c r="B2130" s="1" t="s">
        <v>2154</v>
      </c>
      <c r="C2130" s="1" t="s">
        <v>24</v>
      </c>
      <c r="D2130" s="1" t="str">
        <f t="shared" si="4253"/>
        <v>2021</v>
      </c>
      <c r="E2130" s="1" t="str">
        <f>"12.09"</f>
        <v>12.09</v>
      </c>
      <c r="F2130" s="1" t="str">
        <f t="shared" ref="F2130:I2130" si="4283">"0"</f>
        <v>0</v>
      </c>
      <c r="G2130" s="1" t="str">
        <f t="shared" si="4283"/>
        <v>0</v>
      </c>
      <c r="H2130" s="1" t="str">
        <f t="shared" si="4283"/>
        <v>0</v>
      </c>
      <c r="I2130" s="1" t="str">
        <f t="shared" si="4283"/>
        <v>0</v>
      </c>
      <c r="J2130" s="1" t="str">
        <f>"1"</f>
        <v>1</v>
      </c>
      <c r="K2130" s="1" t="str">
        <f t="shared" ref="K2130:P2130" si="4284">"0"</f>
        <v>0</v>
      </c>
      <c r="L2130" s="1" t="str">
        <f t="shared" si="4284"/>
        <v>0</v>
      </c>
      <c r="M2130" s="1" t="str">
        <f t="shared" si="4284"/>
        <v>0</v>
      </c>
      <c r="N2130" s="1" t="str">
        <f t="shared" si="4284"/>
        <v>0</v>
      </c>
      <c r="O2130" s="1" t="str">
        <f t="shared" si="4284"/>
        <v>0</v>
      </c>
      <c r="P2130" s="1" t="str">
        <f t="shared" si="4284"/>
        <v>0</v>
      </c>
      <c r="Q2130" s="1" t="str">
        <f t="shared" si="4255"/>
        <v>0.0070</v>
      </c>
      <c r="R2130" s="1" t="s">
        <v>29</v>
      </c>
      <c r="S2130" s="1">
        <v>-0.0014</v>
      </c>
      <c r="T2130" s="1" t="str">
        <f t="shared" si="4256"/>
        <v>0</v>
      </c>
      <c r="U2130" s="1" t="str">
        <f t="shared" si="4279"/>
        <v>0.0056</v>
      </c>
    </row>
    <row r="2131" s="1" customFormat="1" spans="1:21">
      <c r="A2131" s="1" t="str">
        <f>"4601992034080"</f>
        <v>4601992034080</v>
      </c>
      <c r="B2131" s="1" t="s">
        <v>2155</v>
      </c>
      <c r="C2131" s="1" t="s">
        <v>24</v>
      </c>
      <c r="D2131" s="1" t="str">
        <f t="shared" si="4253"/>
        <v>2021</v>
      </c>
      <c r="E2131" s="1" t="str">
        <f>"60.45"</f>
        <v>60.45</v>
      </c>
      <c r="F2131" s="1" t="str">
        <f t="shared" ref="F2131:I2131" si="4285">"0"</f>
        <v>0</v>
      </c>
      <c r="G2131" s="1" t="str">
        <f t="shared" si="4285"/>
        <v>0</v>
      </c>
      <c r="H2131" s="1" t="str">
        <f t="shared" si="4285"/>
        <v>0</v>
      </c>
      <c r="I2131" s="1" t="str">
        <f t="shared" si="4285"/>
        <v>0</v>
      </c>
      <c r="J2131" s="1" t="str">
        <f>"4"</f>
        <v>4</v>
      </c>
      <c r="K2131" s="1" t="str">
        <f t="shared" ref="K2131:P2131" si="4286">"0"</f>
        <v>0</v>
      </c>
      <c r="L2131" s="1" t="str">
        <f t="shared" si="4286"/>
        <v>0</v>
      </c>
      <c r="M2131" s="1" t="str">
        <f t="shared" si="4286"/>
        <v>0</v>
      </c>
      <c r="N2131" s="1" t="str">
        <f t="shared" si="4286"/>
        <v>0</v>
      </c>
      <c r="O2131" s="1" t="str">
        <f t="shared" si="4286"/>
        <v>0</v>
      </c>
      <c r="P2131" s="1" t="str">
        <f t="shared" si="4286"/>
        <v>0</v>
      </c>
      <c r="Q2131" s="1" t="str">
        <f t="shared" si="4255"/>
        <v>0.0070</v>
      </c>
      <c r="R2131" s="1" t="s">
        <v>29</v>
      </c>
      <c r="S2131" s="1">
        <v>-0.0014</v>
      </c>
      <c r="T2131" s="1" t="str">
        <f t="shared" si="4256"/>
        <v>0</v>
      </c>
      <c r="U2131" s="1" t="str">
        <f t="shared" si="4279"/>
        <v>0.0056</v>
      </c>
    </row>
    <row r="2132" s="1" customFormat="1" spans="1:21">
      <c r="A2132" s="1" t="str">
        <f>"4601992034019"</f>
        <v>4601992034019</v>
      </c>
      <c r="B2132" s="1" t="s">
        <v>2156</v>
      </c>
      <c r="C2132" s="1" t="s">
        <v>24</v>
      </c>
      <c r="D2132" s="1" t="str">
        <f t="shared" si="4253"/>
        <v>2021</v>
      </c>
      <c r="E2132" s="1" t="str">
        <f>"60.45"</f>
        <v>60.45</v>
      </c>
      <c r="F2132" s="1" t="str">
        <f t="shared" ref="F2132:I2132" si="4287">"0"</f>
        <v>0</v>
      </c>
      <c r="G2132" s="1" t="str">
        <f t="shared" si="4287"/>
        <v>0</v>
      </c>
      <c r="H2132" s="1" t="str">
        <f t="shared" si="4287"/>
        <v>0</v>
      </c>
      <c r="I2132" s="1" t="str">
        <f t="shared" si="4287"/>
        <v>0</v>
      </c>
      <c r="J2132" s="1" t="str">
        <f>"5"</f>
        <v>5</v>
      </c>
      <c r="K2132" s="1" t="str">
        <f t="shared" ref="K2132:P2132" si="4288">"0"</f>
        <v>0</v>
      </c>
      <c r="L2132" s="1" t="str">
        <f t="shared" si="4288"/>
        <v>0</v>
      </c>
      <c r="M2132" s="1" t="str">
        <f t="shared" si="4288"/>
        <v>0</v>
      </c>
      <c r="N2132" s="1" t="str">
        <f t="shared" si="4288"/>
        <v>0</v>
      </c>
      <c r="O2132" s="1" t="str">
        <f t="shared" si="4288"/>
        <v>0</v>
      </c>
      <c r="P2132" s="1" t="str">
        <f t="shared" si="4288"/>
        <v>0</v>
      </c>
      <c r="Q2132" s="1" t="str">
        <f t="shared" si="4255"/>
        <v>0.0070</v>
      </c>
      <c r="R2132" s="1" t="s">
        <v>29</v>
      </c>
      <c r="S2132" s="1">
        <v>-0.0014</v>
      </c>
      <c r="T2132" s="1" t="str">
        <f t="shared" si="4256"/>
        <v>0</v>
      </c>
      <c r="U2132" s="1" t="str">
        <f t="shared" si="4279"/>
        <v>0.0056</v>
      </c>
    </row>
    <row r="2133" s="1" customFormat="1" spans="1:21">
      <c r="A2133" s="1" t="str">
        <f>"4601992034112"</f>
        <v>4601992034112</v>
      </c>
      <c r="B2133" s="1" t="s">
        <v>2157</v>
      </c>
      <c r="C2133" s="1" t="s">
        <v>24</v>
      </c>
      <c r="D2133" s="1" t="str">
        <f t="shared" si="4253"/>
        <v>2021</v>
      </c>
      <c r="E2133" s="1" t="str">
        <f t="shared" ref="E2133:P2133" si="4289">"0"</f>
        <v>0</v>
      </c>
      <c r="F2133" s="1" t="str">
        <f t="shared" si="4289"/>
        <v>0</v>
      </c>
      <c r="G2133" s="1" t="str">
        <f t="shared" si="4289"/>
        <v>0</v>
      </c>
      <c r="H2133" s="1" t="str">
        <f t="shared" si="4289"/>
        <v>0</v>
      </c>
      <c r="I2133" s="1" t="str">
        <f t="shared" si="4289"/>
        <v>0</v>
      </c>
      <c r="J2133" s="1" t="str">
        <f t="shared" si="4289"/>
        <v>0</v>
      </c>
      <c r="K2133" s="1" t="str">
        <f t="shared" si="4289"/>
        <v>0</v>
      </c>
      <c r="L2133" s="1" t="str">
        <f t="shared" si="4289"/>
        <v>0</v>
      </c>
      <c r="M2133" s="1" t="str">
        <f t="shared" si="4289"/>
        <v>0</v>
      </c>
      <c r="N2133" s="1" t="str">
        <f t="shared" si="4289"/>
        <v>0</v>
      </c>
      <c r="O2133" s="1" t="str">
        <f t="shared" si="4289"/>
        <v>0</v>
      </c>
      <c r="P2133" s="1" t="str">
        <f t="shared" si="4289"/>
        <v>0</v>
      </c>
      <c r="Q2133" s="1" t="str">
        <f t="shared" si="4255"/>
        <v>0.0070</v>
      </c>
      <c r="R2133" s="1" t="s">
        <v>25</v>
      </c>
      <c r="T2133" s="1" t="str">
        <f t="shared" si="4256"/>
        <v>0</v>
      </c>
      <c r="U2133" s="1" t="str">
        <f t="shared" si="4281"/>
        <v>0.0070</v>
      </c>
    </row>
    <row r="2134" s="1" customFormat="1" spans="1:21">
      <c r="A2134" s="1" t="str">
        <f>"4601992034123"</f>
        <v>4601992034123</v>
      </c>
      <c r="B2134" s="1" t="s">
        <v>2158</v>
      </c>
      <c r="C2134" s="1" t="s">
        <v>24</v>
      </c>
      <c r="D2134" s="1" t="str">
        <f t="shared" si="4253"/>
        <v>2021</v>
      </c>
      <c r="E2134" s="1" t="str">
        <f>"23.96"</f>
        <v>23.96</v>
      </c>
      <c r="F2134" s="1" t="str">
        <f t="shared" ref="F2134:I2134" si="4290">"0"</f>
        <v>0</v>
      </c>
      <c r="G2134" s="1" t="str">
        <f t="shared" si="4290"/>
        <v>0</v>
      </c>
      <c r="H2134" s="1" t="str">
        <f t="shared" si="4290"/>
        <v>0</v>
      </c>
      <c r="I2134" s="1" t="str">
        <f t="shared" si="4290"/>
        <v>0</v>
      </c>
      <c r="J2134" s="1" t="str">
        <f t="shared" ref="J2134:J2136" si="4291">"2"</f>
        <v>2</v>
      </c>
      <c r="K2134" s="1" t="str">
        <f t="shared" ref="K2134:P2134" si="4292">"0"</f>
        <v>0</v>
      </c>
      <c r="L2134" s="1" t="str">
        <f t="shared" si="4292"/>
        <v>0</v>
      </c>
      <c r="M2134" s="1" t="str">
        <f t="shared" si="4292"/>
        <v>0</v>
      </c>
      <c r="N2134" s="1" t="str">
        <f t="shared" si="4292"/>
        <v>0</v>
      </c>
      <c r="O2134" s="1" t="str">
        <f t="shared" si="4292"/>
        <v>0</v>
      </c>
      <c r="P2134" s="1" t="str">
        <f t="shared" si="4292"/>
        <v>0</v>
      </c>
      <c r="Q2134" s="1" t="str">
        <f t="shared" si="4255"/>
        <v>0.0070</v>
      </c>
      <c r="R2134" s="1" t="s">
        <v>25</v>
      </c>
      <c r="T2134" s="1" t="str">
        <f t="shared" si="4256"/>
        <v>0</v>
      </c>
      <c r="U2134" s="1" t="str">
        <f t="shared" si="4281"/>
        <v>0.0070</v>
      </c>
    </row>
    <row r="2135" s="1" customFormat="1" spans="1:21">
      <c r="A2135" s="1" t="str">
        <f>"4601992034249"</f>
        <v>4601992034249</v>
      </c>
      <c r="B2135" s="1" t="s">
        <v>2159</v>
      </c>
      <c r="C2135" s="1" t="s">
        <v>24</v>
      </c>
      <c r="D2135" s="1" t="str">
        <f t="shared" si="4253"/>
        <v>2021</v>
      </c>
      <c r="E2135" s="1" t="str">
        <f>"12.09"</f>
        <v>12.09</v>
      </c>
      <c r="F2135" s="1" t="str">
        <f t="shared" ref="F2135:I2135" si="4293">"0"</f>
        <v>0</v>
      </c>
      <c r="G2135" s="1" t="str">
        <f t="shared" si="4293"/>
        <v>0</v>
      </c>
      <c r="H2135" s="1" t="str">
        <f t="shared" si="4293"/>
        <v>0</v>
      </c>
      <c r="I2135" s="1" t="str">
        <f t="shared" si="4293"/>
        <v>0</v>
      </c>
      <c r="J2135" s="1" t="str">
        <f t="shared" si="4291"/>
        <v>2</v>
      </c>
      <c r="K2135" s="1" t="str">
        <f t="shared" ref="K2135:P2135" si="4294">"0"</f>
        <v>0</v>
      </c>
      <c r="L2135" s="1" t="str">
        <f t="shared" si="4294"/>
        <v>0</v>
      </c>
      <c r="M2135" s="1" t="str">
        <f t="shared" si="4294"/>
        <v>0</v>
      </c>
      <c r="N2135" s="1" t="str">
        <f t="shared" si="4294"/>
        <v>0</v>
      </c>
      <c r="O2135" s="1" t="str">
        <f t="shared" si="4294"/>
        <v>0</v>
      </c>
      <c r="P2135" s="1" t="str">
        <f t="shared" si="4294"/>
        <v>0</v>
      </c>
      <c r="Q2135" s="1" t="str">
        <f t="shared" si="4255"/>
        <v>0.0070</v>
      </c>
      <c r="R2135" s="1" t="s">
        <v>29</v>
      </c>
      <c r="S2135" s="1">
        <v>-0.0014</v>
      </c>
      <c r="T2135" s="1" t="str">
        <f t="shared" si="4256"/>
        <v>0</v>
      </c>
      <c r="U2135" s="1" t="str">
        <f t="shared" ref="U2135:U2139" si="4295">"0.0056"</f>
        <v>0.0056</v>
      </c>
    </row>
    <row r="2136" s="1" customFormat="1" spans="1:21">
      <c r="A2136" s="1" t="str">
        <f>"4601992034347"</f>
        <v>4601992034347</v>
      </c>
      <c r="B2136" s="1" t="s">
        <v>2160</v>
      </c>
      <c r="C2136" s="1" t="s">
        <v>24</v>
      </c>
      <c r="D2136" s="1" t="str">
        <f t="shared" si="4253"/>
        <v>2021</v>
      </c>
      <c r="E2136" s="1" t="str">
        <f>"24.18"</f>
        <v>24.18</v>
      </c>
      <c r="F2136" s="1" t="str">
        <f t="shared" ref="F2136:I2136" si="4296">"0"</f>
        <v>0</v>
      </c>
      <c r="G2136" s="1" t="str">
        <f t="shared" si="4296"/>
        <v>0</v>
      </c>
      <c r="H2136" s="1" t="str">
        <f t="shared" si="4296"/>
        <v>0</v>
      </c>
      <c r="I2136" s="1" t="str">
        <f t="shared" si="4296"/>
        <v>0</v>
      </c>
      <c r="J2136" s="1" t="str">
        <f t="shared" si="4291"/>
        <v>2</v>
      </c>
      <c r="K2136" s="1" t="str">
        <f t="shared" ref="K2136:P2136" si="4297">"0"</f>
        <v>0</v>
      </c>
      <c r="L2136" s="1" t="str">
        <f t="shared" si="4297"/>
        <v>0</v>
      </c>
      <c r="M2136" s="1" t="str">
        <f t="shared" si="4297"/>
        <v>0</v>
      </c>
      <c r="N2136" s="1" t="str">
        <f t="shared" si="4297"/>
        <v>0</v>
      </c>
      <c r="O2136" s="1" t="str">
        <f t="shared" si="4297"/>
        <v>0</v>
      </c>
      <c r="P2136" s="1" t="str">
        <f t="shared" si="4297"/>
        <v>0</v>
      </c>
      <c r="Q2136" s="1" t="str">
        <f t="shared" si="4255"/>
        <v>0.0070</v>
      </c>
      <c r="R2136" s="1" t="s">
        <v>29</v>
      </c>
      <c r="S2136" s="1">
        <v>-0.0014</v>
      </c>
      <c r="T2136" s="1" t="str">
        <f t="shared" si="4256"/>
        <v>0</v>
      </c>
      <c r="U2136" s="1" t="str">
        <f t="shared" si="4295"/>
        <v>0.0056</v>
      </c>
    </row>
    <row r="2137" s="1" customFormat="1" spans="1:21">
      <c r="A2137" s="1" t="str">
        <f>"4601992034184"</f>
        <v>4601992034184</v>
      </c>
      <c r="B2137" s="1" t="s">
        <v>2161</v>
      </c>
      <c r="C2137" s="1" t="s">
        <v>24</v>
      </c>
      <c r="D2137" s="1" t="str">
        <f t="shared" si="4253"/>
        <v>2021</v>
      </c>
      <c r="E2137" s="1" t="str">
        <f>"69.63"</f>
        <v>69.63</v>
      </c>
      <c r="F2137" s="1" t="str">
        <f t="shared" ref="F2137:I2137" si="4298">"0"</f>
        <v>0</v>
      </c>
      <c r="G2137" s="1" t="str">
        <f t="shared" si="4298"/>
        <v>0</v>
      </c>
      <c r="H2137" s="1" t="str">
        <f t="shared" si="4298"/>
        <v>0</v>
      </c>
      <c r="I2137" s="1" t="str">
        <f t="shared" si="4298"/>
        <v>0</v>
      </c>
      <c r="J2137" s="1" t="str">
        <f>"4"</f>
        <v>4</v>
      </c>
      <c r="K2137" s="1" t="str">
        <f t="shared" ref="K2137:P2137" si="4299">"0"</f>
        <v>0</v>
      </c>
      <c r="L2137" s="1" t="str">
        <f t="shared" si="4299"/>
        <v>0</v>
      </c>
      <c r="M2137" s="1" t="str">
        <f t="shared" si="4299"/>
        <v>0</v>
      </c>
      <c r="N2137" s="1" t="str">
        <f t="shared" si="4299"/>
        <v>0</v>
      </c>
      <c r="O2137" s="1" t="str">
        <f t="shared" si="4299"/>
        <v>0</v>
      </c>
      <c r="P2137" s="1" t="str">
        <f t="shared" si="4299"/>
        <v>0</v>
      </c>
      <c r="Q2137" s="1" t="str">
        <f t="shared" si="4255"/>
        <v>0.0070</v>
      </c>
      <c r="R2137" s="1" t="s">
        <v>29</v>
      </c>
      <c r="S2137" s="1">
        <v>-0.0014</v>
      </c>
      <c r="T2137" s="1" t="str">
        <f t="shared" si="4256"/>
        <v>0</v>
      </c>
      <c r="U2137" s="1" t="str">
        <f t="shared" si="4295"/>
        <v>0.0056</v>
      </c>
    </row>
    <row r="2138" s="1" customFormat="1" spans="1:21">
      <c r="A2138" s="1" t="str">
        <f>"4601992034351"</f>
        <v>4601992034351</v>
      </c>
      <c r="B2138" s="1" t="s">
        <v>2162</v>
      </c>
      <c r="C2138" s="1" t="s">
        <v>24</v>
      </c>
      <c r="D2138" s="1" t="str">
        <f t="shared" si="4253"/>
        <v>2021</v>
      </c>
      <c r="E2138" s="1" t="str">
        <f>"12.09"</f>
        <v>12.09</v>
      </c>
      <c r="F2138" s="1" t="str">
        <f t="shared" ref="F2138:I2138" si="4300">"0"</f>
        <v>0</v>
      </c>
      <c r="G2138" s="1" t="str">
        <f t="shared" si="4300"/>
        <v>0</v>
      </c>
      <c r="H2138" s="1" t="str">
        <f t="shared" si="4300"/>
        <v>0</v>
      </c>
      <c r="I2138" s="1" t="str">
        <f t="shared" si="4300"/>
        <v>0</v>
      </c>
      <c r="J2138" s="1" t="str">
        <f t="shared" ref="J2138:J2142" si="4301">"1"</f>
        <v>1</v>
      </c>
      <c r="K2138" s="1" t="str">
        <f t="shared" ref="K2138:P2138" si="4302">"0"</f>
        <v>0</v>
      </c>
      <c r="L2138" s="1" t="str">
        <f t="shared" si="4302"/>
        <v>0</v>
      </c>
      <c r="M2138" s="1" t="str">
        <f t="shared" si="4302"/>
        <v>0</v>
      </c>
      <c r="N2138" s="1" t="str">
        <f t="shared" si="4302"/>
        <v>0</v>
      </c>
      <c r="O2138" s="1" t="str">
        <f t="shared" si="4302"/>
        <v>0</v>
      </c>
      <c r="P2138" s="1" t="str">
        <f t="shared" si="4302"/>
        <v>0</v>
      </c>
      <c r="Q2138" s="1" t="str">
        <f t="shared" si="4255"/>
        <v>0.0070</v>
      </c>
      <c r="R2138" s="1" t="s">
        <v>29</v>
      </c>
      <c r="S2138" s="1">
        <v>-0.0014</v>
      </c>
      <c r="T2138" s="1" t="str">
        <f t="shared" si="4256"/>
        <v>0</v>
      </c>
      <c r="U2138" s="1" t="str">
        <f t="shared" si="4295"/>
        <v>0.0056</v>
      </c>
    </row>
    <row r="2139" s="1" customFormat="1" spans="1:21">
      <c r="A2139" s="1" t="str">
        <f>"4601992034394"</f>
        <v>4601992034394</v>
      </c>
      <c r="B2139" s="1" t="s">
        <v>2163</v>
      </c>
      <c r="C2139" s="1" t="s">
        <v>24</v>
      </c>
      <c r="D2139" s="1" t="str">
        <f t="shared" si="4253"/>
        <v>2021</v>
      </c>
      <c r="E2139" s="1" t="str">
        <f>"24.18"</f>
        <v>24.18</v>
      </c>
      <c r="F2139" s="1" t="str">
        <f t="shared" ref="F2139:I2139" si="4303">"0"</f>
        <v>0</v>
      </c>
      <c r="G2139" s="1" t="str">
        <f t="shared" si="4303"/>
        <v>0</v>
      </c>
      <c r="H2139" s="1" t="str">
        <f t="shared" si="4303"/>
        <v>0</v>
      </c>
      <c r="I2139" s="1" t="str">
        <f t="shared" si="4303"/>
        <v>0</v>
      </c>
      <c r="J2139" s="1" t="str">
        <f>"2"</f>
        <v>2</v>
      </c>
      <c r="K2139" s="1" t="str">
        <f t="shared" ref="K2139:P2139" si="4304">"0"</f>
        <v>0</v>
      </c>
      <c r="L2139" s="1" t="str">
        <f t="shared" si="4304"/>
        <v>0</v>
      </c>
      <c r="M2139" s="1" t="str">
        <f t="shared" si="4304"/>
        <v>0</v>
      </c>
      <c r="N2139" s="1" t="str">
        <f t="shared" si="4304"/>
        <v>0</v>
      </c>
      <c r="O2139" s="1" t="str">
        <f t="shared" si="4304"/>
        <v>0</v>
      </c>
      <c r="P2139" s="1" t="str">
        <f t="shared" si="4304"/>
        <v>0</v>
      </c>
      <c r="Q2139" s="1" t="str">
        <f t="shared" si="4255"/>
        <v>0.0070</v>
      </c>
      <c r="R2139" s="1" t="s">
        <v>29</v>
      </c>
      <c r="S2139" s="1">
        <v>-0.0014</v>
      </c>
      <c r="T2139" s="1" t="str">
        <f t="shared" si="4256"/>
        <v>0</v>
      </c>
      <c r="U2139" s="1" t="str">
        <f t="shared" si="4295"/>
        <v>0.0056</v>
      </c>
    </row>
    <row r="2140" s="1" customFormat="1" spans="1:21">
      <c r="A2140" s="1" t="str">
        <f>"4601992034468"</f>
        <v>4601992034468</v>
      </c>
      <c r="B2140" s="1" t="s">
        <v>2164</v>
      </c>
      <c r="C2140" s="1" t="s">
        <v>24</v>
      </c>
      <c r="D2140" s="1" t="str">
        <f t="shared" si="4253"/>
        <v>2021</v>
      </c>
      <c r="E2140" s="1" t="str">
        <f t="shared" ref="E2140:I2140" si="4305">"0"</f>
        <v>0</v>
      </c>
      <c r="F2140" s="1" t="str">
        <f t="shared" si="4305"/>
        <v>0</v>
      </c>
      <c r="G2140" s="1" t="str">
        <f t="shared" si="4305"/>
        <v>0</v>
      </c>
      <c r="H2140" s="1" t="str">
        <f t="shared" si="4305"/>
        <v>0</v>
      </c>
      <c r="I2140" s="1" t="str">
        <f t="shared" si="4305"/>
        <v>0</v>
      </c>
      <c r="J2140" s="1" t="str">
        <f t="shared" si="4301"/>
        <v>1</v>
      </c>
      <c r="K2140" s="1" t="str">
        <f t="shared" ref="K2140:P2140" si="4306">"0"</f>
        <v>0</v>
      </c>
      <c r="L2140" s="1" t="str">
        <f t="shared" si="4306"/>
        <v>0</v>
      </c>
      <c r="M2140" s="1" t="str">
        <f t="shared" si="4306"/>
        <v>0</v>
      </c>
      <c r="N2140" s="1" t="str">
        <f t="shared" si="4306"/>
        <v>0</v>
      </c>
      <c r="O2140" s="1" t="str">
        <f t="shared" si="4306"/>
        <v>0</v>
      </c>
      <c r="P2140" s="1" t="str">
        <f t="shared" si="4306"/>
        <v>0</v>
      </c>
      <c r="Q2140" s="1" t="str">
        <f t="shared" si="4255"/>
        <v>0.0070</v>
      </c>
      <c r="R2140" s="1" t="s">
        <v>25</v>
      </c>
      <c r="T2140" s="1" t="str">
        <f t="shared" si="4256"/>
        <v>0</v>
      </c>
      <c r="U2140" s="1" t="str">
        <f t="shared" ref="U2140:U2142" si="4307">"0.0070"</f>
        <v>0.0070</v>
      </c>
    </row>
    <row r="2141" s="1" customFormat="1" spans="1:21">
      <c r="A2141" s="1" t="str">
        <f>"4601992034465"</f>
        <v>4601992034465</v>
      </c>
      <c r="B2141" s="1" t="s">
        <v>2165</v>
      </c>
      <c r="C2141" s="1" t="s">
        <v>24</v>
      </c>
      <c r="D2141" s="1" t="str">
        <f t="shared" si="4253"/>
        <v>2021</v>
      </c>
      <c r="E2141" s="1" t="str">
        <f t="shared" ref="E2141:I2141" si="4308">"0"</f>
        <v>0</v>
      </c>
      <c r="F2141" s="1" t="str">
        <f t="shared" si="4308"/>
        <v>0</v>
      </c>
      <c r="G2141" s="1" t="str">
        <f t="shared" si="4308"/>
        <v>0</v>
      </c>
      <c r="H2141" s="1" t="str">
        <f t="shared" si="4308"/>
        <v>0</v>
      </c>
      <c r="I2141" s="1" t="str">
        <f t="shared" si="4308"/>
        <v>0</v>
      </c>
      <c r="J2141" s="1" t="str">
        <f t="shared" si="4301"/>
        <v>1</v>
      </c>
      <c r="K2141" s="1" t="str">
        <f t="shared" ref="K2141:P2141" si="4309">"0"</f>
        <v>0</v>
      </c>
      <c r="L2141" s="1" t="str">
        <f t="shared" si="4309"/>
        <v>0</v>
      </c>
      <c r="M2141" s="1" t="str">
        <f t="shared" si="4309"/>
        <v>0</v>
      </c>
      <c r="N2141" s="1" t="str">
        <f t="shared" si="4309"/>
        <v>0</v>
      </c>
      <c r="O2141" s="1" t="str">
        <f t="shared" si="4309"/>
        <v>0</v>
      </c>
      <c r="P2141" s="1" t="str">
        <f t="shared" si="4309"/>
        <v>0</v>
      </c>
      <c r="Q2141" s="1" t="str">
        <f t="shared" si="4255"/>
        <v>0.0070</v>
      </c>
      <c r="R2141" s="1" t="s">
        <v>25</v>
      </c>
      <c r="T2141" s="1" t="str">
        <f t="shared" si="4256"/>
        <v>0</v>
      </c>
      <c r="U2141" s="1" t="str">
        <f t="shared" si="4307"/>
        <v>0.0070</v>
      </c>
    </row>
    <row r="2142" s="1" customFormat="1" spans="1:21">
      <c r="A2142" s="1" t="str">
        <f>"4601992034469"</f>
        <v>4601992034469</v>
      </c>
      <c r="B2142" s="1" t="s">
        <v>2166</v>
      </c>
      <c r="C2142" s="1" t="s">
        <v>24</v>
      </c>
      <c r="D2142" s="1" t="str">
        <f t="shared" si="4253"/>
        <v>2021</v>
      </c>
      <c r="E2142" s="1" t="str">
        <f t="shared" ref="E2142:G2142" si="4310">"0"</f>
        <v>0</v>
      </c>
      <c r="F2142" s="1" t="str">
        <f t="shared" si="4310"/>
        <v>0</v>
      </c>
      <c r="G2142" s="1" t="str">
        <f t="shared" si="4310"/>
        <v>0</v>
      </c>
      <c r="H2142" s="1" t="str">
        <f>"11.98"</f>
        <v>11.98</v>
      </c>
      <c r="I2142" s="1" t="str">
        <f t="shared" ref="I2142:P2142" si="4311">"0"</f>
        <v>0</v>
      </c>
      <c r="J2142" s="1" t="str">
        <f t="shared" si="4301"/>
        <v>1</v>
      </c>
      <c r="K2142" s="1" t="str">
        <f t="shared" si="4311"/>
        <v>0</v>
      </c>
      <c r="L2142" s="1" t="str">
        <f t="shared" si="4311"/>
        <v>0</v>
      </c>
      <c r="M2142" s="1" t="str">
        <f t="shared" si="4311"/>
        <v>0</v>
      </c>
      <c r="N2142" s="1" t="str">
        <f t="shared" si="4311"/>
        <v>0</v>
      </c>
      <c r="O2142" s="1" t="str">
        <f t="shared" si="4311"/>
        <v>0</v>
      </c>
      <c r="P2142" s="1" t="str">
        <f t="shared" si="4311"/>
        <v>0</v>
      </c>
      <c r="Q2142" s="1" t="str">
        <f t="shared" si="4255"/>
        <v>0.0070</v>
      </c>
      <c r="R2142" s="1" t="s">
        <v>25</v>
      </c>
      <c r="T2142" s="1" t="str">
        <f t="shared" si="4256"/>
        <v>0</v>
      </c>
      <c r="U2142" s="1" t="str">
        <f t="shared" si="4307"/>
        <v>0.0070</v>
      </c>
    </row>
    <row r="2143" s="1" customFormat="1" spans="1:21">
      <c r="A2143" s="1" t="str">
        <f>"4601992034520"</f>
        <v>4601992034520</v>
      </c>
      <c r="B2143" s="1" t="s">
        <v>2167</v>
      </c>
      <c r="C2143" s="1" t="s">
        <v>24</v>
      </c>
      <c r="D2143" s="1" t="str">
        <f t="shared" si="4253"/>
        <v>2021</v>
      </c>
      <c r="E2143" s="1" t="str">
        <f>"28.00"</f>
        <v>28.00</v>
      </c>
      <c r="F2143" s="1" t="str">
        <f t="shared" ref="F2143:I2143" si="4312">"0"</f>
        <v>0</v>
      </c>
      <c r="G2143" s="1" t="str">
        <f t="shared" si="4312"/>
        <v>0</v>
      </c>
      <c r="H2143" s="1" t="str">
        <f t="shared" si="4312"/>
        <v>0</v>
      </c>
      <c r="I2143" s="1" t="str">
        <f t="shared" si="4312"/>
        <v>0</v>
      </c>
      <c r="J2143" s="1" t="str">
        <f>"2"</f>
        <v>2</v>
      </c>
      <c r="K2143" s="1" t="str">
        <f t="shared" ref="K2143:P2143" si="4313">"0"</f>
        <v>0</v>
      </c>
      <c r="L2143" s="1" t="str">
        <f t="shared" si="4313"/>
        <v>0</v>
      </c>
      <c r="M2143" s="1" t="str">
        <f t="shared" si="4313"/>
        <v>0</v>
      </c>
      <c r="N2143" s="1" t="str">
        <f t="shared" si="4313"/>
        <v>0</v>
      </c>
      <c r="O2143" s="1" t="str">
        <f t="shared" si="4313"/>
        <v>0</v>
      </c>
      <c r="P2143" s="1" t="str">
        <f t="shared" si="4313"/>
        <v>0</v>
      </c>
      <c r="Q2143" s="1" t="str">
        <f t="shared" si="4255"/>
        <v>0.0070</v>
      </c>
      <c r="R2143" s="1" t="s">
        <v>29</v>
      </c>
      <c r="S2143" s="1">
        <v>-0.0014</v>
      </c>
      <c r="T2143" s="1" t="str">
        <f t="shared" si="4256"/>
        <v>0</v>
      </c>
      <c r="U2143" s="1" t="str">
        <f>"0.0056"</f>
        <v>0.0056</v>
      </c>
    </row>
    <row r="2144" s="1" customFormat="1" spans="1:21">
      <c r="A2144" s="1" t="str">
        <f>"4601992034525"</f>
        <v>4601992034525</v>
      </c>
      <c r="B2144" s="1" t="s">
        <v>2168</v>
      </c>
      <c r="C2144" s="1" t="s">
        <v>24</v>
      </c>
      <c r="D2144" s="1" t="str">
        <f t="shared" si="4253"/>
        <v>2021</v>
      </c>
      <c r="E2144" s="1" t="str">
        <f>"0.17"</f>
        <v>0.17</v>
      </c>
      <c r="F2144" s="1" t="str">
        <f t="shared" ref="F2144:I2144" si="4314">"0"</f>
        <v>0</v>
      </c>
      <c r="G2144" s="1" t="str">
        <f t="shared" si="4314"/>
        <v>0</v>
      </c>
      <c r="H2144" s="1" t="str">
        <f t="shared" si="4314"/>
        <v>0</v>
      </c>
      <c r="I2144" s="1" t="str">
        <f t="shared" si="4314"/>
        <v>0</v>
      </c>
      <c r="J2144" s="1" t="str">
        <f>"3"</f>
        <v>3</v>
      </c>
      <c r="K2144" s="1" t="str">
        <f t="shared" ref="K2144:P2144" si="4315">"0"</f>
        <v>0</v>
      </c>
      <c r="L2144" s="1" t="str">
        <f t="shared" si="4315"/>
        <v>0</v>
      </c>
      <c r="M2144" s="1" t="str">
        <f t="shared" si="4315"/>
        <v>0</v>
      </c>
      <c r="N2144" s="1" t="str">
        <f t="shared" si="4315"/>
        <v>0</v>
      </c>
      <c r="O2144" s="1" t="str">
        <f t="shared" si="4315"/>
        <v>0</v>
      </c>
      <c r="P2144" s="1" t="str">
        <f t="shared" si="4315"/>
        <v>0</v>
      </c>
      <c r="Q2144" s="1" t="str">
        <f t="shared" si="4255"/>
        <v>0.0070</v>
      </c>
      <c r="R2144" s="1" t="s">
        <v>25</v>
      </c>
      <c r="T2144" s="1" t="str">
        <f t="shared" si="4256"/>
        <v>0</v>
      </c>
      <c r="U2144" s="1" t="str">
        <f t="shared" ref="U2144:U2150" si="4316">"0.0070"</f>
        <v>0.0070</v>
      </c>
    </row>
    <row r="2145" s="1" customFormat="1" spans="1:21">
      <c r="A2145" s="1" t="str">
        <f>"4601992034529"</f>
        <v>4601992034529</v>
      </c>
      <c r="B2145" s="1" t="s">
        <v>2169</v>
      </c>
      <c r="C2145" s="1" t="s">
        <v>24</v>
      </c>
      <c r="D2145" s="1" t="str">
        <f t="shared" si="4253"/>
        <v>2021</v>
      </c>
      <c r="E2145" s="1" t="str">
        <f>"12.09"</f>
        <v>12.09</v>
      </c>
      <c r="F2145" s="1" t="str">
        <f t="shared" ref="F2145:I2145" si="4317">"0"</f>
        <v>0</v>
      </c>
      <c r="G2145" s="1" t="str">
        <f t="shared" si="4317"/>
        <v>0</v>
      </c>
      <c r="H2145" s="1" t="str">
        <f t="shared" si="4317"/>
        <v>0</v>
      </c>
      <c r="I2145" s="1" t="str">
        <f t="shared" si="4317"/>
        <v>0</v>
      </c>
      <c r="J2145" s="1" t="str">
        <f>"1"</f>
        <v>1</v>
      </c>
      <c r="K2145" s="1" t="str">
        <f t="shared" ref="K2145:P2145" si="4318">"0"</f>
        <v>0</v>
      </c>
      <c r="L2145" s="1" t="str">
        <f t="shared" si="4318"/>
        <v>0</v>
      </c>
      <c r="M2145" s="1" t="str">
        <f t="shared" si="4318"/>
        <v>0</v>
      </c>
      <c r="N2145" s="1" t="str">
        <f t="shared" si="4318"/>
        <v>0</v>
      </c>
      <c r="O2145" s="1" t="str">
        <f t="shared" si="4318"/>
        <v>0</v>
      </c>
      <c r="P2145" s="1" t="str">
        <f t="shared" si="4318"/>
        <v>0</v>
      </c>
      <c r="Q2145" s="1" t="str">
        <f t="shared" si="4255"/>
        <v>0.0070</v>
      </c>
      <c r="R2145" s="1" t="s">
        <v>29</v>
      </c>
      <c r="S2145" s="1">
        <v>-0.0014</v>
      </c>
      <c r="T2145" s="1" t="str">
        <f t="shared" si="4256"/>
        <v>0</v>
      </c>
      <c r="U2145" s="1" t="str">
        <f>"0.0056"</f>
        <v>0.0056</v>
      </c>
    </row>
    <row r="2146" s="1" customFormat="1" spans="1:21">
      <c r="A2146" s="1" t="str">
        <f>"4601992034539"</f>
        <v>4601992034539</v>
      </c>
      <c r="B2146" s="1" t="s">
        <v>2170</v>
      </c>
      <c r="C2146" s="1" t="s">
        <v>24</v>
      </c>
      <c r="D2146" s="1" t="str">
        <f t="shared" si="4253"/>
        <v>2021</v>
      </c>
      <c r="E2146" s="1" t="str">
        <f t="shared" ref="E2146:P2146" si="4319">"0"</f>
        <v>0</v>
      </c>
      <c r="F2146" s="1" t="str">
        <f t="shared" si="4319"/>
        <v>0</v>
      </c>
      <c r="G2146" s="1" t="str">
        <f t="shared" si="4319"/>
        <v>0</v>
      </c>
      <c r="H2146" s="1" t="str">
        <f t="shared" si="4319"/>
        <v>0</v>
      </c>
      <c r="I2146" s="1" t="str">
        <f t="shared" si="4319"/>
        <v>0</v>
      </c>
      <c r="J2146" s="1" t="str">
        <f t="shared" si="4319"/>
        <v>0</v>
      </c>
      <c r="K2146" s="1" t="str">
        <f t="shared" si="4319"/>
        <v>0</v>
      </c>
      <c r="L2146" s="1" t="str">
        <f t="shared" si="4319"/>
        <v>0</v>
      </c>
      <c r="M2146" s="1" t="str">
        <f t="shared" si="4319"/>
        <v>0</v>
      </c>
      <c r="N2146" s="1" t="str">
        <f t="shared" si="4319"/>
        <v>0</v>
      </c>
      <c r="O2146" s="1" t="str">
        <f t="shared" si="4319"/>
        <v>0</v>
      </c>
      <c r="P2146" s="1" t="str">
        <f t="shared" si="4319"/>
        <v>0</v>
      </c>
      <c r="Q2146" s="1" t="str">
        <f t="shared" si="4255"/>
        <v>0.0070</v>
      </c>
      <c r="R2146" s="1" t="s">
        <v>25</v>
      </c>
      <c r="T2146" s="1" t="str">
        <f t="shared" si="4256"/>
        <v>0</v>
      </c>
      <c r="U2146" s="1" t="str">
        <f t="shared" si="4316"/>
        <v>0.0070</v>
      </c>
    </row>
    <row r="2147" s="1" customFormat="1" spans="1:21">
      <c r="A2147" s="1" t="str">
        <f>"4601992034599"</f>
        <v>4601992034599</v>
      </c>
      <c r="B2147" s="1" t="s">
        <v>2171</v>
      </c>
      <c r="C2147" s="1" t="s">
        <v>24</v>
      </c>
      <c r="D2147" s="1" t="str">
        <f t="shared" si="4253"/>
        <v>2021</v>
      </c>
      <c r="E2147" s="1" t="str">
        <f t="shared" ref="E2147:P2147" si="4320">"0"</f>
        <v>0</v>
      </c>
      <c r="F2147" s="1" t="str">
        <f t="shared" si="4320"/>
        <v>0</v>
      </c>
      <c r="G2147" s="1" t="str">
        <f t="shared" si="4320"/>
        <v>0</v>
      </c>
      <c r="H2147" s="1" t="str">
        <f t="shared" si="4320"/>
        <v>0</v>
      </c>
      <c r="I2147" s="1" t="str">
        <f t="shared" si="4320"/>
        <v>0</v>
      </c>
      <c r="J2147" s="1" t="str">
        <f t="shared" si="4320"/>
        <v>0</v>
      </c>
      <c r="K2147" s="1" t="str">
        <f t="shared" si="4320"/>
        <v>0</v>
      </c>
      <c r="L2147" s="1" t="str">
        <f t="shared" si="4320"/>
        <v>0</v>
      </c>
      <c r="M2147" s="1" t="str">
        <f t="shared" si="4320"/>
        <v>0</v>
      </c>
      <c r="N2147" s="1" t="str">
        <f t="shared" si="4320"/>
        <v>0</v>
      </c>
      <c r="O2147" s="1" t="str">
        <f t="shared" si="4320"/>
        <v>0</v>
      </c>
      <c r="P2147" s="1" t="str">
        <f t="shared" si="4320"/>
        <v>0</v>
      </c>
      <c r="Q2147" s="1" t="str">
        <f t="shared" si="4255"/>
        <v>0.0070</v>
      </c>
      <c r="R2147" s="1" t="s">
        <v>25</v>
      </c>
      <c r="T2147" s="1" t="str">
        <f t="shared" si="4256"/>
        <v>0</v>
      </c>
      <c r="U2147" s="1" t="str">
        <f t="shared" si="4316"/>
        <v>0.0070</v>
      </c>
    </row>
    <row r="2148" s="1" customFormat="1" spans="1:21">
      <c r="A2148" s="1" t="str">
        <f>"4601992034628"</f>
        <v>4601992034628</v>
      </c>
      <c r="B2148" s="1" t="s">
        <v>2172</v>
      </c>
      <c r="C2148" s="1" t="s">
        <v>24</v>
      </c>
      <c r="D2148" s="1" t="str">
        <f t="shared" si="4253"/>
        <v>2021</v>
      </c>
      <c r="E2148" s="1" t="str">
        <f t="shared" ref="E2148:P2148" si="4321">"0"</f>
        <v>0</v>
      </c>
      <c r="F2148" s="1" t="str">
        <f t="shared" si="4321"/>
        <v>0</v>
      </c>
      <c r="G2148" s="1" t="str">
        <f t="shared" si="4321"/>
        <v>0</v>
      </c>
      <c r="H2148" s="1" t="str">
        <f t="shared" si="4321"/>
        <v>0</v>
      </c>
      <c r="I2148" s="1" t="str">
        <f t="shared" si="4321"/>
        <v>0</v>
      </c>
      <c r="J2148" s="1" t="str">
        <f t="shared" si="4321"/>
        <v>0</v>
      </c>
      <c r="K2148" s="1" t="str">
        <f t="shared" si="4321"/>
        <v>0</v>
      </c>
      <c r="L2148" s="1" t="str">
        <f t="shared" si="4321"/>
        <v>0</v>
      </c>
      <c r="M2148" s="1" t="str">
        <f t="shared" si="4321"/>
        <v>0</v>
      </c>
      <c r="N2148" s="1" t="str">
        <f t="shared" si="4321"/>
        <v>0</v>
      </c>
      <c r="O2148" s="1" t="str">
        <f t="shared" si="4321"/>
        <v>0</v>
      </c>
      <c r="P2148" s="1" t="str">
        <f t="shared" si="4321"/>
        <v>0</v>
      </c>
      <c r="Q2148" s="1" t="str">
        <f t="shared" si="4255"/>
        <v>0.0070</v>
      </c>
      <c r="R2148" s="1" t="s">
        <v>25</v>
      </c>
      <c r="T2148" s="1" t="str">
        <f t="shared" si="4256"/>
        <v>0</v>
      </c>
      <c r="U2148" s="1" t="str">
        <f t="shared" si="4316"/>
        <v>0.0070</v>
      </c>
    </row>
    <row r="2149" s="1" customFormat="1" spans="1:21">
      <c r="A2149" s="1" t="str">
        <f>"4601992034633"</f>
        <v>4601992034633</v>
      </c>
      <c r="B2149" s="1" t="s">
        <v>2173</v>
      </c>
      <c r="C2149" s="1" t="s">
        <v>24</v>
      </c>
      <c r="D2149" s="1" t="str">
        <f t="shared" si="4253"/>
        <v>2021</v>
      </c>
      <c r="E2149" s="1" t="str">
        <f t="shared" ref="E2149:P2149" si="4322">"0"</f>
        <v>0</v>
      </c>
      <c r="F2149" s="1" t="str">
        <f t="shared" si="4322"/>
        <v>0</v>
      </c>
      <c r="G2149" s="1" t="str">
        <f t="shared" si="4322"/>
        <v>0</v>
      </c>
      <c r="H2149" s="1" t="str">
        <f t="shared" si="4322"/>
        <v>0</v>
      </c>
      <c r="I2149" s="1" t="str">
        <f t="shared" si="4322"/>
        <v>0</v>
      </c>
      <c r="J2149" s="1" t="str">
        <f t="shared" si="4322"/>
        <v>0</v>
      </c>
      <c r="K2149" s="1" t="str">
        <f t="shared" si="4322"/>
        <v>0</v>
      </c>
      <c r="L2149" s="1" t="str">
        <f t="shared" si="4322"/>
        <v>0</v>
      </c>
      <c r="M2149" s="1" t="str">
        <f t="shared" si="4322"/>
        <v>0</v>
      </c>
      <c r="N2149" s="1" t="str">
        <f t="shared" si="4322"/>
        <v>0</v>
      </c>
      <c r="O2149" s="1" t="str">
        <f t="shared" si="4322"/>
        <v>0</v>
      </c>
      <c r="P2149" s="1" t="str">
        <f t="shared" si="4322"/>
        <v>0</v>
      </c>
      <c r="Q2149" s="1" t="str">
        <f t="shared" si="4255"/>
        <v>0.0070</v>
      </c>
      <c r="R2149" s="1" t="s">
        <v>25</v>
      </c>
      <c r="T2149" s="1" t="str">
        <f t="shared" si="4256"/>
        <v>0</v>
      </c>
      <c r="U2149" s="1" t="str">
        <f t="shared" si="4316"/>
        <v>0.0070</v>
      </c>
    </row>
    <row r="2150" s="1" customFormat="1" spans="1:21">
      <c r="A2150" s="1" t="str">
        <f>"4601992034727"</f>
        <v>4601992034727</v>
      </c>
      <c r="B2150" s="1" t="s">
        <v>2174</v>
      </c>
      <c r="C2150" s="1" t="s">
        <v>24</v>
      </c>
      <c r="D2150" s="1" t="str">
        <f t="shared" si="4253"/>
        <v>2021</v>
      </c>
      <c r="E2150" s="1" t="str">
        <f t="shared" ref="E2150:P2150" si="4323">"0"</f>
        <v>0</v>
      </c>
      <c r="F2150" s="1" t="str">
        <f t="shared" si="4323"/>
        <v>0</v>
      </c>
      <c r="G2150" s="1" t="str">
        <f t="shared" si="4323"/>
        <v>0</v>
      </c>
      <c r="H2150" s="1" t="str">
        <f t="shared" si="4323"/>
        <v>0</v>
      </c>
      <c r="I2150" s="1" t="str">
        <f t="shared" si="4323"/>
        <v>0</v>
      </c>
      <c r="J2150" s="1" t="str">
        <f t="shared" si="4323"/>
        <v>0</v>
      </c>
      <c r="K2150" s="1" t="str">
        <f t="shared" si="4323"/>
        <v>0</v>
      </c>
      <c r="L2150" s="1" t="str">
        <f t="shared" si="4323"/>
        <v>0</v>
      </c>
      <c r="M2150" s="1" t="str">
        <f t="shared" si="4323"/>
        <v>0</v>
      </c>
      <c r="N2150" s="1" t="str">
        <f t="shared" si="4323"/>
        <v>0</v>
      </c>
      <c r="O2150" s="1" t="str">
        <f t="shared" si="4323"/>
        <v>0</v>
      </c>
      <c r="P2150" s="1" t="str">
        <f t="shared" si="4323"/>
        <v>0</v>
      </c>
      <c r="Q2150" s="1" t="str">
        <f t="shared" si="4255"/>
        <v>0.0070</v>
      </c>
      <c r="R2150" s="1" t="s">
        <v>25</v>
      </c>
      <c r="T2150" s="1" t="str">
        <f t="shared" si="4256"/>
        <v>0</v>
      </c>
      <c r="U2150" s="1" t="str">
        <f t="shared" si="4316"/>
        <v>0.0070</v>
      </c>
    </row>
    <row r="2151" s="1" customFormat="1" spans="1:21">
      <c r="A2151" s="1" t="str">
        <f>"4601991424859"</f>
        <v>4601991424859</v>
      </c>
      <c r="B2151" s="1" t="s">
        <v>2175</v>
      </c>
      <c r="C2151" s="1" t="s">
        <v>24</v>
      </c>
      <c r="D2151" s="1" t="str">
        <f t="shared" si="4253"/>
        <v>2021</v>
      </c>
      <c r="E2151" s="1" t="str">
        <f>"77.36"</f>
        <v>77.36</v>
      </c>
      <c r="F2151" s="1" t="str">
        <f t="shared" ref="F2151:I2151" si="4324">"0"</f>
        <v>0</v>
      </c>
      <c r="G2151" s="1" t="str">
        <f t="shared" si="4324"/>
        <v>0</v>
      </c>
      <c r="H2151" s="1" t="str">
        <f t="shared" si="4324"/>
        <v>0</v>
      </c>
      <c r="I2151" s="1" t="str">
        <f t="shared" si="4324"/>
        <v>0</v>
      </c>
      <c r="J2151" s="1" t="str">
        <f>"10"</f>
        <v>10</v>
      </c>
      <c r="K2151" s="1" t="str">
        <f t="shared" ref="K2151:P2151" si="4325">"0"</f>
        <v>0</v>
      </c>
      <c r="L2151" s="1" t="str">
        <f t="shared" si="4325"/>
        <v>0</v>
      </c>
      <c r="M2151" s="1" t="str">
        <f t="shared" si="4325"/>
        <v>0</v>
      </c>
      <c r="N2151" s="1" t="str">
        <f t="shared" si="4325"/>
        <v>0</v>
      </c>
      <c r="O2151" s="1" t="str">
        <f t="shared" si="4325"/>
        <v>0</v>
      </c>
      <c r="P2151" s="1" t="str">
        <f t="shared" si="4325"/>
        <v>0</v>
      </c>
      <c r="Q2151" s="1" t="str">
        <f t="shared" si="4255"/>
        <v>0.0070</v>
      </c>
      <c r="R2151" s="1" t="s">
        <v>29</v>
      </c>
      <c r="S2151" s="1">
        <v>-0.0014</v>
      </c>
      <c r="T2151" s="1" t="str">
        <f t="shared" si="4256"/>
        <v>0</v>
      </c>
      <c r="U2151" s="1" t="str">
        <f t="shared" ref="U2151:U2154" si="4326">"0.0056"</f>
        <v>0.0056</v>
      </c>
    </row>
    <row r="2152" s="1" customFormat="1" spans="1:21">
      <c r="A2152" s="1" t="str">
        <f>"4601992034731"</f>
        <v>4601992034731</v>
      </c>
      <c r="B2152" s="1" t="s">
        <v>2176</v>
      </c>
      <c r="C2152" s="1" t="s">
        <v>24</v>
      </c>
      <c r="D2152" s="1" t="str">
        <f t="shared" si="4253"/>
        <v>2021</v>
      </c>
      <c r="E2152" s="1" t="str">
        <f>"24.18"</f>
        <v>24.18</v>
      </c>
      <c r="F2152" s="1" t="str">
        <f t="shared" ref="F2152:I2152" si="4327">"0"</f>
        <v>0</v>
      </c>
      <c r="G2152" s="1" t="str">
        <f t="shared" si="4327"/>
        <v>0</v>
      </c>
      <c r="H2152" s="1" t="str">
        <f t="shared" si="4327"/>
        <v>0</v>
      </c>
      <c r="I2152" s="1" t="str">
        <f t="shared" si="4327"/>
        <v>0</v>
      </c>
      <c r="J2152" s="1" t="str">
        <f>"2"</f>
        <v>2</v>
      </c>
      <c r="K2152" s="1" t="str">
        <f t="shared" ref="K2152:P2152" si="4328">"0"</f>
        <v>0</v>
      </c>
      <c r="L2152" s="1" t="str">
        <f t="shared" si="4328"/>
        <v>0</v>
      </c>
      <c r="M2152" s="1" t="str">
        <f t="shared" si="4328"/>
        <v>0</v>
      </c>
      <c r="N2152" s="1" t="str">
        <f t="shared" si="4328"/>
        <v>0</v>
      </c>
      <c r="O2152" s="1" t="str">
        <f t="shared" si="4328"/>
        <v>0</v>
      </c>
      <c r="P2152" s="1" t="str">
        <f t="shared" si="4328"/>
        <v>0</v>
      </c>
      <c r="Q2152" s="1" t="str">
        <f t="shared" si="4255"/>
        <v>0.0070</v>
      </c>
      <c r="R2152" s="1" t="s">
        <v>29</v>
      </c>
      <c r="S2152" s="1">
        <v>-0.0014</v>
      </c>
      <c r="T2152" s="1" t="str">
        <f t="shared" si="4256"/>
        <v>0</v>
      </c>
      <c r="U2152" s="1" t="str">
        <f t="shared" si="4326"/>
        <v>0.0056</v>
      </c>
    </row>
    <row r="2153" s="1" customFormat="1" spans="1:21">
      <c r="A2153" s="1" t="str">
        <f>"4601992034667"</f>
        <v>4601992034667</v>
      </c>
      <c r="B2153" s="1" t="s">
        <v>2177</v>
      </c>
      <c r="C2153" s="1" t="s">
        <v>24</v>
      </c>
      <c r="D2153" s="1" t="str">
        <f t="shared" si="4253"/>
        <v>2021</v>
      </c>
      <c r="E2153" s="1" t="str">
        <f>"24.18"</f>
        <v>24.18</v>
      </c>
      <c r="F2153" s="1" t="str">
        <f t="shared" ref="F2153:I2153" si="4329">"0"</f>
        <v>0</v>
      </c>
      <c r="G2153" s="1" t="str">
        <f t="shared" si="4329"/>
        <v>0</v>
      </c>
      <c r="H2153" s="1" t="str">
        <f t="shared" si="4329"/>
        <v>0</v>
      </c>
      <c r="I2153" s="1" t="str">
        <f t="shared" si="4329"/>
        <v>0</v>
      </c>
      <c r="J2153" s="1" t="str">
        <f>"5"</f>
        <v>5</v>
      </c>
      <c r="K2153" s="1" t="str">
        <f t="shared" ref="K2153:P2153" si="4330">"0"</f>
        <v>0</v>
      </c>
      <c r="L2153" s="1" t="str">
        <f t="shared" si="4330"/>
        <v>0</v>
      </c>
      <c r="M2153" s="1" t="str">
        <f t="shared" si="4330"/>
        <v>0</v>
      </c>
      <c r="N2153" s="1" t="str">
        <f t="shared" si="4330"/>
        <v>0</v>
      </c>
      <c r="O2153" s="1" t="str">
        <f t="shared" si="4330"/>
        <v>0</v>
      </c>
      <c r="P2153" s="1" t="str">
        <f t="shared" si="4330"/>
        <v>0</v>
      </c>
      <c r="Q2153" s="1" t="str">
        <f t="shared" si="4255"/>
        <v>0.0070</v>
      </c>
      <c r="R2153" s="1" t="s">
        <v>29</v>
      </c>
      <c r="S2153" s="1">
        <v>-0.0014</v>
      </c>
      <c r="T2153" s="1" t="str">
        <f t="shared" si="4256"/>
        <v>0</v>
      </c>
      <c r="U2153" s="1" t="str">
        <f t="shared" si="4326"/>
        <v>0.0056</v>
      </c>
    </row>
    <row r="2154" s="1" customFormat="1" spans="1:21">
      <c r="A2154" s="1" t="str">
        <f>"4601992034732"</f>
        <v>4601992034732</v>
      </c>
      <c r="B2154" s="1" t="s">
        <v>2178</v>
      </c>
      <c r="C2154" s="1" t="s">
        <v>24</v>
      </c>
      <c r="D2154" s="1" t="str">
        <f t="shared" si="4253"/>
        <v>2021</v>
      </c>
      <c r="E2154" s="1" t="str">
        <f>"12.09"</f>
        <v>12.09</v>
      </c>
      <c r="F2154" s="1" t="str">
        <f t="shared" ref="F2154:I2154" si="4331">"0"</f>
        <v>0</v>
      </c>
      <c r="G2154" s="1" t="str">
        <f t="shared" si="4331"/>
        <v>0</v>
      </c>
      <c r="H2154" s="1" t="str">
        <f t="shared" si="4331"/>
        <v>0</v>
      </c>
      <c r="I2154" s="1" t="str">
        <f t="shared" si="4331"/>
        <v>0</v>
      </c>
      <c r="J2154" s="1" t="str">
        <f>"1"</f>
        <v>1</v>
      </c>
      <c r="K2154" s="1" t="str">
        <f t="shared" ref="K2154:P2154" si="4332">"0"</f>
        <v>0</v>
      </c>
      <c r="L2154" s="1" t="str">
        <f t="shared" si="4332"/>
        <v>0</v>
      </c>
      <c r="M2154" s="1" t="str">
        <f t="shared" si="4332"/>
        <v>0</v>
      </c>
      <c r="N2154" s="1" t="str">
        <f t="shared" si="4332"/>
        <v>0</v>
      </c>
      <c r="O2154" s="1" t="str">
        <f t="shared" si="4332"/>
        <v>0</v>
      </c>
      <c r="P2154" s="1" t="str">
        <f t="shared" si="4332"/>
        <v>0</v>
      </c>
      <c r="Q2154" s="1" t="str">
        <f t="shared" si="4255"/>
        <v>0.0070</v>
      </c>
      <c r="R2154" s="1" t="s">
        <v>29</v>
      </c>
      <c r="S2154" s="1">
        <v>-0.0014</v>
      </c>
      <c r="T2154" s="1" t="str">
        <f t="shared" si="4256"/>
        <v>0</v>
      </c>
      <c r="U2154" s="1" t="str">
        <f t="shared" si="4326"/>
        <v>0.0056</v>
      </c>
    </row>
    <row r="2155" s="1" customFormat="1" spans="1:21">
      <c r="A2155" s="1" t="str">
        <f>"4601991405953"</f>
        <v>4601991405953</v>
      </c>
      <c r="B2155" s="1" t="s">
        <v>2179</v>
      </c>
      <c r="C2155" s="1" t="s">
        <v>24</v>
      </c>
      <c r="D2155" s="1" t="str">
        <f t="shared" si="4253"/>
        <v>2021</v>
      </c>
      <c r="E2155" s="1" t="str">
        <f t="shared" ref="E2155:P2155" si="4333">"0"</f>
        <v>0</v>
      </c>
      <c r="F2155" s="1" t="str">
        <f t="shared" si="4333"/>
        <v>0</v>
      </c>
      <c r="G2155" s="1" t="str">
        <f t="shared" si="4333"/>
        <v>0</v>
      </c>
      <c r="H2155" s="1" t="str">
        <f t="shared" si="4333"/>
        <v>0</v>
      </c>
      <c r="I2155" s="1" t="str">
        <f t="shared" si="4333"/>
        <v>0</v>
      </c>
      <c r="J2155" s="1" t="str">
        <f t="shared" si="4333"/>
        <v>0</v>
      </c>
      <c r="K2155" s="1" t="str">
        <f t="shared" si="4333"/>
        <v>0</v>
      </c>
      <c r="L2155" s="1" t="str">
        <f t="shared" si="4333"/>
        <v>0</v>
      </c>
      <c r="M2155" s="1" t="str">
        <f t="shared" si="4333"/>
        <v>0</v>
      </c>
      <c r="N2155" s="1" t="str">
        <f t="shared" si="4333"/>
        <v>0</v>
      </c>
      <c r="O2155" s="1" t="str">
        <f t="shared" si="4333"/>
        <v>0</v>
      </c>
      <c r="P2155" s="1" t="str">
        <f t="shared" si="4333"/>
        <v>0</v>
      </c>
      <c r="Q2155" s="1" t="str">
        <f t="shared" si="4255"/>
        <v>0.0070</v>
      </c>
      <c r="R2155" s="1" t="s">
        <v>25</v>
      </c>
      <c r="T2155" s="1" t="str">
        <f t="shared" si="4256"/>
        <v>0</v>
      </c>
      <c r="U2155" s="1" t="str">
        <f>"0.0070"</f>
        <v>0.0070</v>
      </c>
    </row>
    <row r="2156" s="1" customFormat="1" spans="1:21">
      <c r="A2156" s="1" t="str">
        <f>"4601992022513"</f>
        <v>4601992022513</v>
      </c>
      <c r="B2156" s="1" t="s">
        <v>2180</v>
      </c>
      <c r="C2156" s="1" t="s">
        <v>24</v>
      </c>
      <c r="D2156" s="1" t="str">
        <f t="shared" si="4253"/>
        <v>2021</v>
      </c>
      <c r="E2156" s="1" t="str">
        <f>"36.16"</f>
        <v>36.16</v>
      </c>
      <c r="F2156" s="1" t="str">
        <f t="shared" ref="F2156:I2156" si="4334">"0"</f>
        <v>0</v>
      </c>
      <c r="G2156" s="1" t="str">
        <f t="shared" si="4334"/>
        <v>0</v>
      </c>
      <c r="H2156" s="1" t="str">
        <f t="shared" si="4334"/>
        <v>0</v>
      </c>
      <c r="I2156" s="1" t="str">
        <f t="shared" si="4334"/>
        <v>0</v>
      </c>
      <c r="J2156" s="1" t="str">
        <f>"4"</f>
        <v>4</v>
      </c>
      <c r="K2156" s="1" t="str">
        <f t="shared" ref="K2156:P2156" si="4335">"0"</f>
        <v>0</v>
      </c>
      <c r="L2156" s="1" t="str">
        <f t="shared" si="4335"/>
        <v>0</v>
      </c>
      <c r="M2156" s="1" t="str">
        <f t="shared" si="4335"/>
        <v>0</v>
      </c>
      <c r="N2156" s="1" t="str">
        <f t="shared" si="4335"/>
        <v>0</v>
      </c>
      <c r="O2156" s="1" t="str">
        <f t="shared" si="4335"/>
        <v>0</v>
      </c>
      <c r="P2156" s="1" t="str">
        <f t="shared" si="4335"/>
        <v>0</v>
      </c>
      <c r="Q2156" s="1" t="str">
        <f t="shared" si="4255"/>
        <v>0.0070</v>
      </c>
      <c r="R2156" s="1" t="s">
        <v>29</v>
      </c>
      <c r="S2156" s="1">
        <v>-0.0014</v>
      </c>
      <c r="T2156" s="1" t="str">
        <f t="shared" si="4256"/>
        <v>0</v>
      </c>
      <c r="U2156" s="1" t="str">
        <f t="shared" ref="U2156:U2160" si="4336">"0.0056"</f>
        <v>0.0056</v>
      </c>
    </row>
    <row r="2157" s="1" customFormat="1" spans="1:21">
      <c r="A2157" s="1" t="str">
        <f>"4601992035711"</f>
        <v>4601992035711</v>
      </c>
      <c r="B2157" s="1" t="s">
        <v>2181</v>
      </c>
      <c r="C2157" s="1" t="s">
        <v>24</v>
      </c>
      <c r="D2157" s="1" t="str">
        <f t="shared" si="4253"/>
        <v>2021</v>
      </c>
      <c r="E2157" s="1" t="str">
        <f t="shared" ref="E2157:P2157" si="4337">"0"</f>
        <v>0</v>
      </c>
      <c r="F2157" s="1" t="str">
        <f t="shared" si="4337"/>
        <v>0</v>
      </c>
      <c r="G2157" s="1" t="str">
        <f t="shared" si="4337"/>
        <v>0</v>
      </c>
      <c r="H2157" s="1" t="str">
        <f t="shared" si="4337"/>
        <v>0</v>
      </c>
      <c r="I2157" s="1" t="str">
        <f t="shared" si="4337"/>
        <v>0</v>
      </c>
      <c r="J2157" s="1" t="str">
        <f t="shared" si="4337"/>
        <v>0</v>
      </c>
      <c r="K2157" s="1" t="str">
        <f t="shared" si="4337"/>
        <v>0</v>
      </c>
      <c r="L2157" s="1" t="str">
        <f t="shared" si="4337"/>
        <v>0</v>
      </c>
      <c r="M2157" s="1" t="str">
        <f t="shared" si="4337"/>
        <v>0</v>
      </c>
      <c r="N2157" s="1" t="str">
        <f t="shared" si="4337"/>
        <v>0</v>
      </c>
      <c r="O2157" s="1" t="str">
        <f t="shared" si="4337"/>
        <v>0</v>
      </c>
      <c r="P2157" s="1" t="str">
        <f t="shared" si="4337"/>
        <v>0</v>
      </c>
      <c r="Q2157" s="1" t="str">
        <f t="shared" si="4255"/>
        <v>0.0070</v>
      </c>
      <c r="R2157" s="1" t="s">
        <v>25</v>
      </c>
      <c r="T2157" s="1" t="str">
        <f t="shared" si="4256"/>
        <v>0</v>
      </c>
      <c r="U2157" s="1" t="str">
        <f>"0.0070"</f>
        <v>0.0070</v>
      </c>
    </row>
    <row r="2158" s="1" customFormat="1" spans="1:21">
      <c r="A2158" s="1" t="str">
        <f>"4601992035638"</f>
        <v>4601992035638</v>
      </c>
      <c r="B2158" s="1" t="s">
        <v>2182</v>
      </c>
      <c r="C2158" s="1" t="s">
        <v>24</v>
      </c>
      <c r="D2158" s="1" t="str">
        <f t="shared" si="4253"/>
        <v>2021</v>
      </c>
      <c r="E2158" s="1" t="str">
        <f>"36.27"</f>
        <v>36.27</v>
      </c>
      <c r="F2158" s="1" t="str">
        <f t="shared" ref="F2158:I2158" si="4338">"0"</f>
        <v>0</v>
      </c>
      <c r="G2158" s="1" t="str">
        <f t="shared" si="4338"/>
        <v>0</v>
      </c>
      <c r="H2158" s="1" t="str">
        <f t="shared" si="4338"/>
        <v>0</v>
      </c>
      <c r="I2158" s="1" t="str">
        <f t="shared" si="4338"/>
        <v>0</v>
      </c>
      <c r="J2158" s="1" t="str">
        <f>"3"</f>
        <v>3</v>
      </c>
      <c r="K2158" s="1" t="str">
        <f t="shared" ref="K2158:P2158" si="4339">"0"</f>
        <v>0</v>
      </c>
      <c r="L2158" s="1" t="str">
        <f t="shared" si="4339"/>
        <v>0</v>
      </c>
      <c r="M2158" s="1" t="str">
        <f t="shared" si="4339"/>
        <v>0</v>
      </c>
      <c r="N2158" s="1" t="str">
        <f t="shared" si="4339"/>
        <v>0</v>
      </c>
      <c r="O2158" s="1" t="str">
        <f t="shared" si="4339"/>
        <v>0</v>
      </c>
      <c r="P2158" s="1" t="str">
        <f t="shared" si="4339"/>
        <v>0</v>
      </c>
      <c r="Q2158" s="1" t="str">
        <f t="shared" si="4255"/>
        <v>0.0070</v>
      </c>
      <c r="R2158" s="1" t="s">
        <v>29</v>
      </c>
      <c r="S2158" s="1">
        <v>-0.0014</v>
      </c>
      <c r="T2158" s="1" t="str">
        <f t="shared" si="4256"/>
        <v>0</v>
      </c>
      <c r="U2158" s="1" t="str">
        <f t="shared" si="4336"/>
        <v>0.0056</v>
      </c>
    </row>
    <row r="2159" s="1" customFormat="1" spans="1:21">
      <c r="A2159" s="1" t="str">
        <f>"4601992035858"</f>
        <v>4601992035858</v>
      </c>
      <c r="B2159" s="1" t="s">
        <v>2183</v>
      </c>
      <c r="C2159" s="1" t="s">
        <v>24</v>
      </c>
      <c r="D2159" s="1" t="str">
        <f t="shared" si="4253"/>
        <v>2021</v>
      </c>
      <c r="E2159" s="1" t="str">
        <f>"47.92"</f>
        <v>47.92</v>
      </c>
      <c r="F2159" s="1" t="str">
        <f t="shared" ref="F2159:I2159" si="4340">"0"</f>
        <v>0</v>
      </c>
      <c r="G2159" s="1" t="str">
        <f t="shared" si="4340"/>
        <v>0</v>
      </c>
      <c r="H2159" s="1" t="str">
        <f t="shared" si="4340"/>
        <v>0</v>
      </c>
      <c r="I2159" s="1" t="str">
        <f t="shared" si="4340"/>
        <v>0</v>
      </c>
      <c r="J2159" s="1" t="str">
        <f>"4"</f>
        <v>4</v>
      </c>
      <c r="K2159" s="1" t="str">
        <f t="shared" ref="K2159:P2159" si="4341">"0"</f>
        <v>0</v>
      </c>
      <c r="L2159" s="1" t="str">
        <f t="shared" si="4341"/>
        <v>0</v>
      </c>
      <c r="M2159" s="1" t="str">
        <f t="shared" si="4341"/>
        <v>0</v>
      </c>
      <c r="N2159" s="1" t="str">
        <f t="shared" si="4341"/>
        <v>0</v>
      </c>
      <c r="O2159" s="1" t="str">
        <f t="shared" si="4341"/>
        <v>0</v>
      </c>
      <c r="P2159" s="1" t="str">
        <f t="shared" si="4341"/>
        <v>0</v>
      </c>
      <c r="Q2159" s="1" t="str">
        <f t="shared" si="4255"/>
        <v>0.0070</v>
      </c>
      <c r="R2159" s="1" t="s">
        <v>29</v>
      </c>
      <c r="S2159" s="1">
        <v>-0.0014</v>
      </c>
      <c r="T2159" s="1" t="str">
        <f t="shared" si="4256"/>
        <v>0</v>
      </c>
      <c r="U2159" s="1" t="str">
        <f t="shared" si="4336"/>
        <v>0.0056</v>
      </c>
    </row>
    <row r="2160" s="1" customFormat="1" spans="1:21">
      <c r="A2160" s="1" t="str">
        <f>"4601992035816"</f>
        <v>4601992035816</v>
      </c>
      <c r="B2160" s="1" t="s">
        <v>2184</v>
      </c>
      <c r="C2160" s="1" t="s">
        <v>24</v>
      </c>
      <c r="D2160" s="1" t="str">
        <f t="shared" si="4253"/>
        <v>2021</v>
      </c>
      <c r="E2160" s="1" t="str">
        <f>"24.07"</f>
        <v>24.07</v>
      </c>
      <c r="F2160" s="1" t="str">
        <f t="shared" ref="F2160:I2160" si="4342">"0"</f>
        <v>0</v>
      </c>
      <c r="G2160" s="1" t="str">
        <f t="shared" si="4342"/>
        <v>0</v>
      </c>
      <c r="H2160" s="1" t="str">
        <f t="shared" si="4342"/>
        <v>0</v>
      </c>
      <c r="I2160" s="1" t="str">
        <f t="shared" si="4342"/>
        <v>0</v>
      </c>
      <c r="J2160" s="1" t="str">
        <f>"2"</f>
        <v>2</v>
      </c>
      <c r="K2160" s="1" t="str">
        <f t="shared" ref="K2160:P2160" si="4343">"0"</f>
        <v>0</v>
      </c>
      <c r="L2160" s="1" t="str">
        <f t="shared" si="4343"/>
        <v>0</v>
      </c>
      <c r="M2160" s="1" t="str">
        <f t="shared" si="4343"/>
        <v>0</v>
      </c>
      <c r="N2160" s="1" t="str">
        <f t="shared" si="4343"/>
        <v>0</v>
      </c>
      <c r="O2160" s="1" t="str">
        <f t="shared" si="4343"/>
        <v>0</v>
      </c>
      <c r="P2160" s="1" t="str">
        <f t="shared" si="4343"/>
        <v>0</v>
      </c>
      <c r="Q2160" s="1" t="str">
        <f t="shared" si="4255"/>
        <v>0.0070</v>
      </c>
      <c r="R2160" s="1" t="s">
        <v>29</v>
      </c>
      <c r="S2160" s="1">
        <v>-0.0014</v>
      </c>
      <c r="T2160" s="1" t="str">
        <f t="shared" si="4256"/>
        <v>0</v>
      </c>
      <c r="U2160" s="1" t="str">
        <f t="shared" si="4336"/>
        <v>0.0056</v>
      </c>
    </row>
    <row r="2161" s="1" customFormat="1" spans="1:21">
      <c r="A2161" s="1" t="str">
        <f>"4601992035871"</f>
        <v>4601992035871</v>
      </c>
      <c r="B2161" s="1" t="s">
        <v>2185</v>
      </c>
      <c r="C2161" s="1" t="s">
        <v>24</v>
      </c>
      <c r="D2161" s="1" t="str">
        <f t="shared" si="4253"/>
        <v>2021</v>
      </c>
      <c r="E2161" s="1" t="str">
        <f t="shared" ref="E2161:P2161" si="4344">"0"</f>
        <v>0</v>
      </c>
      <c r="F2161" s="1" t="str">
        <f t="shared" si="4344"/>
        <v>0</v>
      </c>
      <c r="G2161" s="1" t="str">
        <f t="shared" si="4344"/>
        <v>0</v>
      </c>
      <c r="H2161" s="1" t="str">
        <f t="shared" si="4344"/>
        <v>0</v>
      </c>
      <c r="I2161" s="1" t="str">
        <f t="shared" si="4344"/>
        <v>0</v>
      </c>
      <c r="J2161" s="1" t="str">
        <f t="shared" si="4344"/>
        <v>0</v>
      </c>
      <c r="K2161" s="1" t="str">
        <f t="shared" si="4344"/>
        <v>0</v>
      </c>
      <c r="L2161" s="1" t="str">
        <f t="shared" si="4344"/>
        <v>0</v>
      </c>
      <c r="M2161" s="1" t="str">
        <f t="shared" si="4344"/>
        <v>0</v>
      </c>
      <c r="N2161" s="1" t="str">
        <f t="shared" si="4344"/>
        <v>0</v>
      </c>
      <c r="O2161" s="1" t="str">
        <f t="shared" si="4344"/>
        <v>0</v>
      </c>
      <c r="P2161" s="1" t="str">
        <f t="shared" si="4344"/>
        <v>0</v>
      </c>
      <c r="Q2161" s="1" t="str">
        <f t="shared" si="4255"/>
        <v>0.0070</v>
      </c>
      <c r="R2161" s="1" t="s">
        <v>25</v>
      </c>
      <c r="T2161" s="1" t="str">
        <f t="shared" si="4256"/>
        <v>0</v>
      </c>
      <c r="U2161" s="1" t="str">
        <f>"0.0070"</f>
        <v>0.0070</v>
      </c>
    </row>
    <row r="2162" s="1" customFormat="1" spans="1:21">
      <c r="A2162" s="1" t="str">
        <f>"4601991408142"</f>
        <v>4601991408142</v>
      </c>
      <c r="B2162" s="1" t="s">
        <v>2186</v>
      </c>
      <c r="C2162" s="1" t="s">
        <v>24</v>
      </c>
      <c r="D2162" s="1" t="str">
        <f t="shared" si="4253"/>
        <v>2021</v>
      </c>
      <c r="E2162" s="1" t="str">
        <f>"145.05"</f>
        <v>145.05</v>
      </c>
      <c r="F2162" s="1" t="str">
        <f t="shared" ref="F2162:I2162" si="4345">"0"</f>
        <v>0</v>
      </c>
      <c r="G2162" s="1" t="str">
        <f t="shared" si="4345"/>
        <v>0</v>
      </c>
      <c r="H2162" s="1" t="str">
        <f t="shared" si="4345"/>
        <v>0</v>
      </c>
      <c r="I2162" s="1" t="str">
        <f t="shared" si="4345"/>
        <v>0</v>
      </c>
      <c r="J2162" s="1" t="str">
        <f>"15"</f>
        <v>15</v>
      </c>
      <c r="K2162" s="1" t="str">
        <f t="shared" ref="K2162:P2162" si="4346">"0"</f>
        <v>0</v>
      </c>
      <c r="L2162" s="1" t="str">
        <f t="shared" si="4346"/>
        <v>0</v>
      </c>
      <c r="M2162" s="1" t="str">
        <f t="shared" si="4346"/>
        <v>0</v>
      </c>
      <c r="N2162" s="1" t="str">
        <f t="shared" si="4346"/>
        <v>0</v>
      </c>
      <c r="O2162" s="1" t="str">
        <f t="shared" si="4346"/>
        <v>0</v>
      </c>
      <c r="P2162" s="1" t="str">
        <f t="shared" si="4346"/>
        <v>0</v>
      </c>
      <c r="Q2162" s="1" t="str">
        <f t="shared" si="4255"/>
        <v>0.0070</v>
      </c>
      <c r="R2162" s="1" t="s">
        <v>29</v>
      </c>
      <c r="S2162" s="1">
        <v>-0.0014</v>
      </c>
      <c r="T2162" s="1" t="str">
        <f t="shared" si="4256"/>
        <v>0</v>
      </c>
      <c r="U2162" s="1" t="str">
        <f t="shared" ref="U2162:U2164" si="4347">"0.0056"</f>
        <v>0.0056</v>
      </c>
    </row>
    <row r="2163" s="1" customFormat="1" spans="1:21">
      <c r="A2163" s="1" t="str">
        <f>"4601992035896"</f>
        <v>4601992035896</v>
      </c>
      <c r="B2163" s="1" t="s">
        <v>2187</v>
      </c>
      <c r="C2163" s="1" t="s">
        <v>24</v>
      </c>
      <c r="D2163" s="1" t="str">
        <f t="shared" si="4253"/>
        <v>2021</v>
      </c>
      <c r="E2163" s="1" t="str">
        <f>"12.09"</f>
        <v>12.09</v>
      </c>
      <c r="F2163" s="1" t="str">
        <f t="shared" ref="F2163:I2163" si="4348">"0"</f>
        <v>0</v>
      </c>
      <c r="G2163" s="1" t="str">
        <f t="shared" si="4348"/>
        <v>0</v>
      </c>
      <c r="H2163" s="1" t="str">
        <f t="shared" si="4348"/>
        <v>0</v>
      </c>
      <c r="I2163" s="1" t="str">
        <f t="shared" si="4348"/>
        <v>0</v>
      </c>
      <c r="J2163" s="1" t="str">
        <f>"1"</f>
        <v>1</v>
      </c>
      <c r="K2163" s="1" t="str">
        <f t="shared" ref="K2163:P2163" si="4349">"0"</f>
        <v>0</v>
      </c>
      <c r="L2163" s="1" t="str">
        <f t="shared" si="4349"/>
        <v>0</v>
      </c>
      <c r="M2163" s="1" t="str">
        <f t="shared" si="4349"/>
        <v>0</v>
      </c>
      <c r="N2163" s="1" t="str">
        <f t="shared" si="4349"/>
        <v>0</v>
      </c>
      <c r="O2163" s="1" t="str">
        <f t="shared" si="4349"/>
        <v>0</v>
      </c>
      <c r="P2163" s="1" t="str">
        <f t="shared" si="4349"/>
        <v>0</v>
      </c>
      <c r="Q2163" s="1" t="str">
        <f t="shared" si="4255"/>
        <v>0.0070</v>
      </c>
      <c r="R2163" s="1" t="s">
        <v>29</v>
      </c>
      <c r="S2163" s="1">
        <v>-0.0014</v>
      </c>
      <c r="T2163" s="1" t="str">
        <f t="shared" si="4256"/>
        <v>0</v>
      </c>
      <c r="U2163" s="1" t="str">
        <f t="shared" si="4347"/>
        <v>0.0056</v>
      </c>
    </row>
    <row r="2164" s="1" customFormat="1" spans="1:21">
      <c r="A2164" s="1" t="str">
        <f>"4601992035973"</f>
        <v>4601992035973</v>
      </c>
      <c r="B2164" s="1" t="s">
        <v>2188</v>
      </c>
      <c r="C2164" s="1" t="s">
        <v>24</v>
      </c>
      <c r="D2164" s="1" t="str">
        <f t="shared" si="4253"/>
        <v>2021</v>
      </c>
      <c r="E2164" s="1" t="str">
        <f>"24.85"</f>
        <v>24.85</v>
      </c>
      <c r="F2164" s="1" t="str">
        <f t="shared" ref="F2164:I2164" si="4350">"0"</f>
        <v>0</v>
      </c>
      <c r="G2164" s="1" t="str">
        <f t="shared" si="4350"/>
        <v>0</v>
      </c>
      <c r="H2164" s="1" t="str">
        <f t="shared" si="4350"/>
        <v>0</v>
      </c>
      <c r="I2164" s="1" t="str">
        <f t="shared" si="4350"/>
        <v>0</v>
      </c>
      <c r="J2164" s="1" t="str">
        <f>"2"</f>
        <v>2</v>
      </c>
      <c r="K2164" s="1" t="str">
        <f t="shared" ref="K2164:P2164" si="4351">"0"</f>
        <v>0</v>
      </c>
      <c r="L2164" s="1" t="str">
        <f t="shared" si="4351"/>
        <v>0</v>
      </c>
      <c r="M2164" s="1" t="str">
        <f t="shared" si="4351"/>
        <v>0</v>
      </c>
      <c r="N2164" s="1" t="str">
        <f t="shared" si="4351"/>
        <v>0</v>
      </c>
      <c r="O2164" s="1" t="str">
        <f t="shared" si="4351"/>
        <v>0</v>
      </c>
      <c r="P2164" s="1" t="str">
        <f t="shared" si="4351"/>
        <v>0</v>
      </c>
      <c r="Q2164" s="1" t="str">
        <f t="shared" si="4255"/>
        <v>0.0070</v>
      </c>
      <c r="R2164" s="1" t="s">
        <v>29</v>
      </c>
      <c r="S2164" s="1">
        <v>-0.0014</v>
      </c>
      <c r="T2164" s="1" t="str">
        <f t="shared" si="4256"/>
        <v>0</v>
      </c>
      <c r="U2164" s="1" t="str">
        <f t="shared" si="4347"/>
        <v>0.0056</v>
      </c>
    </row>
    <row r="2165" s="1" customFormat="1" spans="1:21">
      <c r="A2165" s="1" t="str">
        <f>"4601992035998"</f>
        <v>4601992035998</v>
      </c>
      <c r="B2165" s="1" t="s">
        <v>2189</v>
      </c>
      <c r="C2165" s="1" t="s">
        <v>24</v>
      </c>
      <c r="D2165" s="1" t="str">
        <f t="shared" si="4253"/>
        <v>2021</v>
      </c>
      <c r="E2165" s="1" t="str">
        <f t="shared" ref="E2165:P2165" si="4352">"0"</f>
        <v>0</v>
      </c>
      <c r="F2165" s="1" t="str">
        <f t="shared" si="4352"/>
        <v>0</v>
      </c>
      <c r="G2165" s="1" t="str">
        <f t="shared" si="4352"/>
        <v>0</v>
      </c>
      <c r="H2165" s="1" t="str">
        <f t="shared" si="4352"/>
        <v>0</v>
      </c>
      <c r="I2165" s="1" t="str">
        <f t="shared" si="4352"/>
        <v>0</v>
      </c>
      <c r="J2165" s="1" t="str">
        <f t="shared" si="4352"/>
        <v>0</v>
      </c>
      <c r="K2165" s="1" t="str">
        <f t="shared" si="4352"/>
        <v>0</v>
      </c>
      <c r="L2165" s="1" t="str">
        <f t="shared" si="4352"/>
        <v>0</v>
      </c>
      <c r="M2165" s="1" t="str">
        <f t="shared" si="4352"/>
        <v>0</v>
      </c>
      <c r="N2165" s="1" t="str">
        <f t="shared" si="4352"/>
        <v>0</v>
      </c>
      <c r="O2165" s="1" t="str">
        <f t="shared" si="4352"/>
        <v>0</v>
      </c>
      <c r="P2165" s="1" t="str">
        <f t="shared" si="4352"/>
        <v>0</v>
      </c>
      <c r="Q2165" s="1" t="str">
        <f t="shared" si="4255"/>
        <v>0.0070</v>
      </c>
      <c r="R2165" s="1" t="s">
        <v>25</v>
      </c>
      <c r="T2165" s="1" t="str">
        <f t="shared" si="4256"/>
        <v>0</v>
      </c>
      <c r="U2165" s="1" t="str">
        <f t="shared" ref="U2165:U2170" si="4353">"0.0070"</f>
        <v>0.0070</v>
      </c>
    </row>
    <row r="2166" s="1" customFormat="1" spans="1:21">
      <c r="A2166" s="1" t="str">
        <f>"4601992035989"</f>
        <v>4601992035989</v>
      </c>
      <c r="B2166" s="1" t="s">
        <v>2190</v>
      </c>
      <c r="C2166" s="1" t="s">
        <v>24</v>
      </c>
      <c r="D2166" s="1" t="str">
        <f t="shared" si="4253"/>
        <v>2021</v>
      </c>
      <c r="E2166" s="1" t="str">
        <f>"24.18"</f>
        <v>24.18</v>
      </c>
      <c r="F2166" s="1" t="str">
        <f t="shared" ref="F2166:I2166" si="4354">"0"</f>
        <v>0</v>
      </c>
      <c r="G2166" s="1" t="str">
        <f t="shared" si="4354"/>
        <v>0</v>
      </c>
      <c r="H2166" s="1" t="str">
        <f t="shared" si="4354"/>
        <v>0</v>
      </c>
      <c r="I2166" s="1" t="str">
        <f t="shared" si="4354"/>
        <v>0</v>
      </c>
      <c r="J2166" s="1" t="str">
        <f>"2"</f>
        <v>2</v>
      </c>
      <c r="K2166" s="1" t="str">
        <f t="shared" ref="K2166:P2166" si="4355">"0"</f>
        <v>0</v>
      </c>
      <c r="L2166" s="1" t="str">
        <f t="shared" si="4355"/>
        <v>0</v>
      </c>
      <c r="M2166" s="1" t="str">
        <f t="shared" si="4355"/>
        <v>0</v>
      </c>
      <c r="N2166" s="1" t="str">
        <f t="shared" si="4355"/>
        <v>0</v>
      </c>
      <c r="O2166" s="1" t="str">
        <f t="shared" si="4355"/>
        <v>0</v>
      </c>
      <c r="P2166" s="1" t="str">
        <f t="shared" si="4355"/>
        <v>0</v>
      </c>
      <c r="Q2166" s="1" t="str">
        <f t="shared" si="4255"/>
        <v>0.0070</v>
      </c>
      <c r="R2166" s="1" t="s">
        <v>29</v>
      </c>
      <c r="S2166" s="1">
        <v>-0.0014</v>
      </c>
      <c r="T2166" s="1" t="str">
        <f t="shared" si="4256"/>
        <v>0</v>
      </c>
      <c r="U2166" s="1" t="str">
        <f t="shared" ref="U2166:U2169" si="4356">"0.0056"</f>
        <v>0.0056</v>
      </c>
    </row>
    <row r="2167" s="1" customFormat="1" spans="1:21">
      <c r="A2167" s="1" t="str">
        <f>"4601992036113"</f>
        <v>4601992036113</v>
      </c>
      <c r="B2167" s="1" t="s">
        <v>2191</v>
      </c>
      <c r="C2167" s="1" t="s">
        <v>24</v>
      </c>
      <c r="D2167" s="1" t="str">
        <f t="shared" si="4253"/>
        <v>2021</v>
      </c>
      <c r="E2167" s="1" t="str">
        <f t="shared" ref="E2167:P2167" si="4357">"0"</f>
        <v>0</v>
      </c>
      <c r="F2167" s="1" t="str">
        <f t="shared" si="4357"/>
        <v>0</v>
      </c>
      <c r="G2167" s="1" t="str">
        <f t="shared" si="4357"/>
        <v>0</v>
      </c>
      <c r="H2167" s="1" t="str">
        <f t="shared" si="4357"/>
        <v>0</v>
      </c>
      <c r="I2167" s="1" t="str">
        <f t="shared" si="4357"/>
        <v>0</v>
      </c>
      <c r="J2167" s="1" t="str">
        <f t="shared" si="4357"/>
        <v>0</v>
      </c>
      <c r="K2167" s="1" t="str">
        <f t="shared" si="4357"/>
        <v>0</v>
      </c>
      <c r="L2167" s="1" t="str">
        <f t="shared" si="4357"/>
        <v>0</v>
      </c>
      <c r="M2167" s="1" t="str">
        <f t="shared" si="4357"/>
        <v>0</v>
      </c>
      <c r="N2167" s="1" t="str">
        <f t="shared" si="4357"/>
        <v>0</v>
      </c>
      <c r="O2167" s="1" t="str">
        <f t="shared" si="4357"/>
        <v>0</v>
      </c>
      <c r="P2167" s="1" t="str">
        <f t="shared" si="4357"/>
        <v>0</v>
      </c>
      <c r="Q2167" s="1" t="str">
        <f t="shared" si="4255"/>
        <v>0.0070</v>
      </c>
      <c r="R2167" s="1" t="s">
        <v>25</v>
      </c>
      <c r="T2167" s="1" t="str">
        <f t="shared" si="4256"/>
        <v>0</v>
      </c>
      <c r="U2167" s="1" t="str">
        <f t="shared" si="4353"/>
        <v>0.0070</v>
      </c>
    </row>
    <row r="2168" s="1" customFormat="1" spans="1:21">
      <c r="A2168" s="1" t="str">
        <f>"4601992035992"</f>
        <v>4601992035992</v>
      </c>
      <c r="B2168" s="1" t="s">
        <v>2192</v>
      </c>
      <c r="C2168" s="1" t="s">
        <v>24</v>
      </c>
      <c r="D2168" s="1" t="str">
        <f t="shared" si="4253"/>
        <v>2021</v>
      </c>
      <c r="E2168" s="1" t="str">
        <f>"36.27"</f>
        <v>36.27</v>
      </c>
      <c r="F2168" s="1" t="str">
        <f t="shared" ref="F2168:I2168" si="4358">"0"</f>
        <v>0</v>
      </c>
      <c r="G2168" s="1" t="str">
        <f t="shared" si="4358"/>
        <v>0</v>
      </c>
      <c r="H2168" s="1" t="str">
        <f t="shared" si="4358"/>
        <v>0</v>
      </c>
      <c r="I2168" s="1" t="str">
        <f t="shared" si="4358"/>
        <v>0</v>
      </c>
      <c r="J2168" s="1" t="str">
        <f>"3"</f>
        <v>3</v>
      </c>
      <c r="K2168" s="1" t="str">
        <f t="shared" ref="K2168:P2168" si="4359">"0"</f>
        <v>0</v>
      </c>
      <c r="L2168" s="1" t="str">
        <f t="shared" si="4359"/>
        <v>0</v>
      </c>
      <c r="M2168" s="1" t="str">
        <f t="shared" si="4359"/>
        <v>0</v>
      </c>
      <c r="N2168" s="1" t="str">
        <f t="shared" si="4359"/>
        <v>0</v>
      </c>
      <c r="O2168" s="1" t="str">
        <f t="shared" si="4359"/>
        <v>0</v>
      </c>
      <c r="P2168" s="1" t="str">
        <f t="shared" si="4359"/>
        <v>0</v>
      </c>
      <c r="Q2168" s="1" t="str">
        <f t="shared" si="4255"/>
        <v>0.0070</v>
      </c>
      <c r="R2168" s="1" t="s">
        <v>29</v>
      </c>
      <c r="S2168" s="1">
        <v>-0.0014</v>
      </c>
      <c r="T2168" s="1" t="str">
        <f t="shared" si="4256"/>
        <v>0</v>
      </c>
      <c r="U2168" s="1" t="str">
        <f t="shared" si="4356"/>
        <v>0.0056</v>
      </c>
    </row>
    <row r="2169" s="1" customFormat="1" spans="1:21">
      <c r="A2169" s="1" t="str">
        <f>"4601992036177"</f>
        <v>4601992036177</v>
      </c>
      <c r="B2169" s="1" t="s">
        <v>2193</v>
      </c>
      <c r="C2169" s="1" t="s">
        <v>24</v>
      </c>
      <c r="D2169" s="1" t="str">
        <f t="shared" si="4253"/>
        <v>2021</v>
      </c>
      <c r="E2169" s="1" t="str">
        <f>"145.08"</f>
        <v>145.08</v>
      </c>
      <c r="F2169" s="1" t="str">
        <f t="shared" ref="F2169:I2169" si="4360">"0"</f>
        <v>0</v>
      </c>
      <c r="G2169" s="1" t="str">
        <f t="shared" si="4360"/>
        <v>0</v>
      </c>
      <c r="H2169" s="1" t="str">
        <f t="shared" si="4360"/>
        <v>0</v>
      </c>
      <c r="I2169" s="1" t="str">
        <f t="shared" si="4360"/>
        <v>0</v>
      </c>
      <c r="J2169" s="1" t="str">
        <f>"11"</f>
        <v>11</v>
      </c>
      <c r="K2169" s="1" t="str">
        <f t="shared" ref="K2169:P2169" si="4361">"0"</f>
        <v>0</v>
      </c>
      <c r="L2169" s="1" t="str">
        <f t="shared" si="4361"/>
        <v>0</v>
      </c>
      <c r="M2169" s="1" t="str">
        <f t="shared" si="4361"/>
        <v>0</v>
      </c>
      <c r="N2169" s="1" t="str">
        <f t="shared" si="4361"/>
        <v>0</v>
      </c>
      <c r="O2169" s="1" t="str">
        <f t="shared" si="4361"/>
        <v>0</v>
      </c>
      <c r="P2169" s="1" t="str">
        <f t="shared" si="4361"/>
        <v>0</v>
      </c>
      <c r="Q2169" s="1" t="str">
        <f t="shared" si="4255"/>
        <v>0.0070</v>
      </c>
      <c r="R2169" s="1" t="s">
        <v>29</v>
      </c>
      <c r="S2169" s="1">
        <v>-0.0014</v>
      </c>
      <c r="T2169" s="1" t="str">
        <f t="shared" si="4256"/>
        <v>0</v>
      </c>
      <c r="U2169" s="1" t="str">
        <f t="shared" si="4356"/>
        <v>0.0056</v>
      </c>
    </row>
    <row r="2170" s="1" customFormat="1" spans="1:21">
      <c r="A2170" s="1" t="str">
        <f>"4601992036204"</f>
        <v>4601992036204</v>
      </c>
      <c r="B2170" s="1" t="s">
        <v>2194</v>
      </c>
      <c r="C2170" s="1" t="s">
        <v>24</v>
      </c>
      <c r="D2170" s="1" t="str">
        <f t="shared" si="4253"/>
        <v>2021</v>
      </c>
      <c r="E2170" s="1" t="str">
        <f t="shared" ref="E2170:P2170" si="4362">"0"</f>
        <v>0</v>
      </c>
      <c r="F2170" s="1" t="str">
        <f t="shared" si="4362"/>
        <v>0</v>
      </c>
      <c r="G2170" s="1" t="str">
        <f t="shared" si="4362"/>
        <v>0</v>
      </c>
      <c r="H2170" s="1" t="str">
        <f t="shared" si="4362"/>
        <v>0</v>
      </c>
      <c r="I2170" s="1" t="str">
        <f t="shared" si="4362"/>
        <v>0</v>
      </c>
      <c r="J2170" s="1" t="str">
        <f t="shared" si="4362"/>
        <v>0</v>
      </c>
      <c r="K2170" s="1" t="str">
        <f t="shared" si="4362"/>
        <v>0</v>
      </c>
      <c r="L2170" s="1" t="str">
        <f t="shared" si="4362"/>
        <v>0</v>
      </c>
      <c r="M2170" s="1" t="str">
        <f t="shared" si="4362"/>
        <v>0</v>
      </c>
      <c r="N2170" s="1" t="str">
        <f t="shared" si="4362"/>
        <v>0</v>
      </c>
      <c r="O2170" s="1" t="str">
        <f t="shared" si="4362"/>
        <v>0</v>
      </c>
      <c r="P2170" s="1" t="str">
        <f t="shared" si="4362"/>
        <v>0</v>
      </c>
      <c r="Q2170" s="1" t="str">
        <f t="shared" si="4255"/>
        <v>0.0070</v>
      </c>
      <c r="R2170" s="1" t="s">
        <v>25</v>
      </c>
      <c r="T2170" s="1" t="str">
        <f t="shared" si="4256"/>
        <v>0</v>
      </c>
      <c r="U2170" s="1" t="str">
        <f t="shared" si="4353"/>
        <v>0.0070</v>
      </c>
    </row>
    <row r="2171" s="1" customFormat="1" spans="1:21">
      <c r="A2171" s="1" t="str">
        <f>"4601992036214"</f>
        <v>4601992036214</v>
      </c>
      <c r="B2171" s="1" t="s">
        <v>2195</v>
      </c>
      <c r="C2171" s="1" t="s">
        <v>24</v>
      </c>
      <c r="D2171" s="1" t="str">
        <f t="shared" si="4253"/>
        <v>2021</v>
      </c>
      <c r="E2171" s="1" t="str">
        <f>"80.34"</f>
        <v>80.34</v>
      </c>
      <c r="F2171" s="1" t="str">
        <f t="shared" ref="F2171:I2171" si="4363">"0"</f>
        <v>0</v>
      </c>
      <c r="G2171" s="1" t="str">
        <f t="shared" si="4363"/>
        <v>0</v>
      </c>
      <c r="H2171" s="1" t="str">
        <f t="shared" si="4363"/>
        <v>0</v>
      </c>
      <c r="I2171" s="1" t="str">
        <f t="shared" si="4363"/>
        <v>0</v>
      </c>
      <c r="J2171" s="1" t="str">
        <f>"5"</f>
        <v>5</v>
      </c>
      <c r="K2171" s="1" t="str">
        <f t="shared" ref="K2171:P2171" si="4364">"0"</f>
        <v>0</v>
      </c>
      <c r="L2171" s="1" t="str">
        <f t="shared" si="4364"/>
        <v>0</v>
      </c>
      <c r="M2171" s="1" t="str">
        <f t="shared" si="4364"/>
        <v>0</v>
      </c>
      <c r="N2171" s="1" t="str">
        <f t="shared" si="4364"/>
        <v>0</v>
      </c>
      <c r="O2171" s="1" t="str">
        <f t="shared" si="4364"/>
        <v>0</v>
      </c>
      <c r="P2171" s="1" t="str">
        <f t="shared" si="4364"/>
        <v>0</v>
      </c>
      <c r="Q2171" s="1" t="str">
        <f t="shared" si="4255"/>
        <v>0.0070</v>
      </c>
      <c r="R2171" s="1" t="s">
        <v>29</v>
      </c>
      <c r="S2171" s="1">
        <v>-0.0014</v>
      </c>
      <c r="T2171" s="1" t="str">
        <f t="shared" si="4256"/>
        <v>0</v>
      </c>
      <c r="U2171" s="1" t="str">
        <f t="shared" ref="U2171:U2185" si="4365">"0.0056"</f>
        <v>0.0056</v>
      </c>
    </row>
    <row r="2172" s="1" customFormat="1" spans="1:21">
      <c r="A2172" s="1" t="str">
        <f>"4601992036222"</f>
        <v>4601992036222</v>
      </c>
      <c r="B2172" s="1" t="s">
        <v>2196</v>
      </c>
      <c r="C2172" s="1" t="s">
        <v>24</v>
      </c>
      <c r="D2172" s="1" t="str">
        <f t="shared" si="4253"/>
        <v>2021</v>
      </c>
      <c r="E2172" s="1" t="str">
        <f>"24.18"</f>
        <v>24.18</v>
      </c>
      <c r="F2172" s="1" t="str">
        <f t="shared" ref="F2172:I2172" si="4366">"0"</f>
        <v>0</v>
      </c>
      <c r="G2172" s="1" t="str">
        <f t="shared" si="4366"/>
        <v>0</v>
      </c>
      <c r="H2172" s="1" t="str">
        <f t="shared" si="4366"/>
        <v>0</v>
      </c>
      <c r="I2172" s="1" t="str">
        <f t="shared" si="4366"/>
        <v>0</v>
      </c>
      <c r="J2172" s="1" t="str">
        <f>"2"</f>
        <v>2</v>
      </c>
      <c r="K2172" s="1" t="str">
        <f t="shared" ref="K2172:P2172" si="4367">"0"</f>
        <v>0</v>
      </c>
      <c r="L2172" s="1" t="str">
        <f t="shared" si="4367"/>
        <v>0</v>
      </c>
      <c r="M2172" s="1" t="str">
        <f t="shared" si="4367"/>
        <v>0</v>
      </c>
      <c r="N2172" s="1" t="str">
        <f t="shared" si="4367"/>
        <v>0</v>
      </c>
      <c r="O2172" s="1" t="str">
        <f t="shared" si="4367"/>
        <v>0</v>
      </c>
      <c r="P2172" s="1" t="str">
        <f t="shared" si="4367"/>
        <v>0</v>
      </c>
      <c r="Q2172" s="1" t="str">
        <f t="shared" si="4255"/>
        <v>0.0070</v>
      </c>
      <c r="R2172" s="1" t="s">
        <v>29</v>
      </c>
      <c r="S2172" s="1">
        <v>-0.0014</v>
      </c>
      <c r="T2172" s="1" t="str">
        <f t="shared" si="4256"/>
        <v>0</v>
      </c>
      <c r="U2172" s="1" t="str">
        <f t="shared" si="4365"/>
        <v>0.0056</v>
      </c>
    </row>
    <row r="2173" s="1" customFormat="1" spans="1:21">
      <c r="A2173" s="1" t="str">
        <f>"4601992036244"</f>
        <v>4601992036244</v>
      </c>
      <c r="B2173" s="1" t="s">
        <v>2197</v>
      </c>
      <c r="C2173" s="1" t="s">
        <v>24</v>
      </c>
      <c r="D2173" s="1" t="str">
        <f t="shared" si="4253"/>
        <v>2021</v>
      </c>
      <c r="E2173" s="1" t="str">
        <f t="shared" ref="E2173:G2173" si="4368">"0"</f>
        <v>0</v>
      </c>
      <c r="F2173" s="1" t="str">
        <f t="shared" si="4368"/>
        <v>0</v>
      </c>
      <c r="G2173" s="1" t="str">
        <f t="shared" si="4368"/>
        <v>0</v>
      </c>
      <c r="H2173" s="1" t="str">
        <f>"159.64"</f>
        <v>159.64</v>
      </c>
      <c r="I2173" s="1" t="str">
        <f t="shared" ref="I2173:P2173" si="4369">"0"</f>
        <v>0</v>
      </c>
      <c r="J2173" s="1" t="str">
        <f t="shared" si="4369"/>
        <v>0</v>
      </c>
      <c r="K2173" s="1" t="str">
        <f t="shared" si="4369"/>
        <v>0</v>
      </c>
      <c r="L2173" s="1" t="str">
        <f t="shared" si="4369"/>
        <v>0</v>
      </c>
      <c r="M2173" s="1" t="str">
        <f t="shared" si="4369"/>
        <v>0</v>
      </c>
      <c r="N2173" s="1" t="str">
        <f t="shared" si="4369"/>
        <v>0</v>
      </c>
      <c r="O2173" s="1" t="str">
        <f t="shared" si="4369"/>
        <v>0</v>
      </c>
      <c r="P2173" s="1" t="str">
        <f t="shared" si="4369"/>
        <v>0</v>
      </c>
      <c r="Q2173" s="1" t="str">
        <f t="shared" si="4255"/>
        <v>0.0070</v>
      </c>
      <c r="R2173" s="1" t="s">
        <v>25</v>
      </c>
      <c r="T2173" s="1" t="str">
        <f t="shared" si="4256"/>
        <v>0</v>
      </c>
      <c r="U2173" s="1" t="str">
        <f>"0.0070"</f>
        <v>0.0070</v>
      </c>
    </row>
    <row r="2174" s="1" customFormat="1" spans="1:21">
      <c r="A2174" s="1" t="str">
        <f>"4601992036225"</f>
        <v>4601992036225</v>
      </c>
      <c r="B2174" s="1" t="s">
        <v>2198</v>
      </c>
      <c r="C2174" s="1" t="s">
        <v>24</v>
      </c>
      <c r="D2174" s="1" t="str">
        <f t="shared" si="4253"/>
        <v>2021</v>
      </c>
      <c r="E2174" s="1" t="str">
        <f>"24.18"</f>
        <v>24.18</v>
      </c>
      <c r="F2174" s="1" t="str">
        <f t="shared" ref="F2174:I2174" si="4370">"0"</f>
        <v>0</v>
      </c>
      <c r="G2174" s="1" t="str">
        <f t="shared" si="4370"/>
        <v>0</v>
      </c>
      <c r="H2174" s="1" t="str">
        <f t="shared" si="4370"/>
        <v>0</v>
      </c>
      <c r="I2174" s="1" t="str">
        <f t="shared" si="4370"/>
        <v>0</v>
      </c>
      <c r="J2174" s="1" t="str">
        <f>"2"</f>
        <v>2</v>
      </c>
      <c r="K2174" s="1" t="str">
        <f t="shared" ref="K2174:P2174" si="4371">"0"</f>
        <v>0</v>
      </c>
      <c r="L2174" s="1" t="str">
        <f t="shared" si="4371"/>
        <v>0</v>
      </c>
      <c r="M2174" s="1" t="str">
        <f t="shared" si="4371"/>
        <v>0</v>
      </c>
      <c r="N2174" s="1" t="str">
        <f t="shared" si="4371"/>
        <v>0</v>
      </c>
      <c r="O2174" s="1" t="str">
        <f t="shared" si="4371"/>
        <v>0</v>
      </c>
      <c r="P2174" s="1" t="str">
        <f t="shared" si="4371"/>
        <v>0</v>
      </c>
      <c r="Q2174" s="1" t="str">
        <f t="shared" si="4255"/>
        <v>0.0070</v>
      </c>
      <c r="R2174" s="1" t="s">
        <v>29</v>
      </c>
      <c r="S2174" s="1">
        <v>-0.0014</v>
      </c>
      <c r="T2174" s="1" t="str">
        <f t="shared" si="4256"/>
        <v>0</v>
      </c>
      <c r="U2174" s="1" t="str">
        <f t="shared" si="4365"/>
        <v>0.0056</v>
      </c>
    </row>
    <row r="2175" s="1" customFormat="1" spans="1:21">
      <c r="A2175" s="1" t="str">
        <f>"4601992036238"</f>
        <v>4601992036238</v>
      </c>
      <c r="B2175" s="1" t="s">
        <v>2199</v>
      </c>
      <c r="C2175" s="1" t="s">
        <v>24</v>
      </c>
      <c r="D2175" s="1" t="str">
        <f t="shared" si="4253"/>
        <v>2021</v>
      </c>
      <c r="E2175" s="1" t="str">
        <f>"48.36"</f>
        <v>48.36</v>
      </c>
      <c r="F2175" s="1" t="str">
        <f t="shared" ref="F2175:I2175" si="4372">"0"</f>
        <v>0</v>
      </c>
      <c r="G2175" s="1" t="str">
        <f t="shared" si="4372"/>
        <v>0</v>
      </c>
      <c r="H2175" s="1" t="str">
        <f t="shared" si="4372"/>
        <v>0</v>
      </c>
      <c r="I2175" s="1" t="str">
        <f t="shared" si="4372"/>
        <v>0</v>
      </c>
      <c r="J2175" s="1" t="str">
        <f>"4"</f>
        <v>4</v>
      </c>
      <c r="K2175" s="1" t="str">
        <f t="shared" ref="K2175:P2175" si="4373">"0"</f>
        <v>0</v>
      </c>
      <c r="L2175" s="1" t="str">
        <f t="shared" si="4373"/>
        <v>0</v>
      </c>
      <c r="M2175" s="1" t="str">
        <f t="shared" si="4373"/>
        <v>0</v>
      </c>
      <c r="N2175" s="1" t="str">
        <f t="shared" si="4373"/>
        <v>0</v>
      </c>
      <c r="O2175" s="1" t="str">
        <f t="shared" si="4373"/>
        <v>0</v>
      </c>
      <c r="P2175" s="1" t="str">
        <f t="shared" si="4373"/>
        <v>0</v>
      </c>
      <c r="Q2175" s="1" t="str">
        <f t="shared" si="4255"/>
        <v>0.0070</v>
      </c>
      <c r="R2175" s="1" t="s">
        <v>29</v>
      </c>
      <c r="S2175" s="1">
        <v>-0.0014</v>
      </c>
      <c r="T2175" s="1" t="str">
        <f t="shared" si="4256"/>
        <v>0</v>
      </c>
      <c r="U2175" s="1" t="str">
        <f t="shared" si="4365"/>
        <v>0.0056</v>
      </c>
    </row>
    <row r="2176" s="1" customFormat="1" spans="1:21">
      <c r="A2176" s="1" t="str">
        <f>"4601992036245"</f>
        <v>4601992036245</v>
      </c>
      <c r="B2176" s="1" t="s">
        <v>2200</v>
      </c>
      <c r="C2176" s="1" t="s">
        <v>24</v>
      </c>
      <c r="D2176" s="1" t="str">
        <f t="shared" si="4253"/>
        <v>2021</v>
      </c>
      <c r="E2176" s="1" t="str">
        <f>"36.27"</f>
        <v>36.27</v>
      </c>
      <c r="F2176" s="1" t="str">
        <f t="shared" ref="F2176:I2176" si="4374">"0"</f>
        <v>0</v>
      </c>
      <c r="G2176" s="1" t="str">
        <f t="shared" si="4374"/>
        <v>0</v>
      </c>
      <c r="H2176" s="1" t="str">
        <f t="shared" si="4374"/>
        <v>0</v>
      </c>
      <c r="I2176" s="1" t="str">
        <f t="shared" si="4374"/>
        <v>0</v>
      </c>
      <c r="J2176" s="1" t="str">
        <f>"3"</f>
        <v>3</v>
      </c>
      <c r="K2176" s="1" t="str">
        <f t="shared" ref="K2176:P2176" si="4375">"0"</f>
        <v>0</v>
      </c>
      <c r="L2176" s="1" t="str">
        <f t="shared" si="4375"/>
        <v>0</v>
      </c>
      <c r="M2176" s="1" t="str">
        <f t="shared" si="4375"/>
        <v>0</v>
      </c>
      <c r="N2176" s="1" t="str">
        <f t="shared" si="4375"/>
        <v>0</v>
      </c>
      <c r="O2176" s="1" t="str">
        <f t="shared" si="4375"/>
        <v>0</v>
      </c>
      <c r="P2176" s="1" t="str">
        <f t="shared" si="4375"/>
        <v>0</v>
      </c>
      <c r="Q2176" s="1" t="str">
        <f t="shared" si="4255"/>
        <v>0.0070</v>
      </c>
      <c r="R2176" s="1" t="s">
        <v>29</v>
      </c>
      <c r="S2176" s="1">
        <v>-0.0014</v>
      </c>
      <c r="T2176" s="1" t="str">
        <f t="shared" si="4256"/>
        <v>0</v>
      </c>
      <c r="U2176" s="1" t="str">
        <f t="shared" si="4365"/>
        <v>0.0056</v>
      </c>
    </row>
    <row r="2177" s="1" customFormat="1" spans="1:21">
      <c r="A2177" s="1" t="str">
        <f>"4601992036335"</f>
        <v>4601992036335</v>
      </c>
      <c r="B2177" s="1" t="s">
        <v>2201</v>
      </c>
      <c r="C2177" s="1" t="s">
        <v>24</v>
      </c>
      <c r="D2177" s="1" t="str">
        <f t="shared" si="4253"/>
        <v>2021</v>
      </c>
      <c r="E2177" s="1" t="str">
        <f>"60.45"</f>
        <v>60.45</v>
      </c>
      <c r="F2177" s="1" t="str">
        <f t="shared" ref="F2177:I2177" si="4376">"0"</f>
        <v>0</v>
      </c>
      <c r="G2177" s="1" t="str">
        <f t="shared" si="4376"/>
        <v>0</v>
      </c>
      <c r="H2177" s="1" t="str">
        <f t="shared" si="4376"/>
        <v>0</v>
      </c>
      <c r="I2177" s="1" t="str">
        <f t="shared" si="4376"/>
        <v>0</v>
      </c>
      <c r="J2177" s="1" t="str">
        <f>"6"</f>
        <v>6</v>
      </c>
      <c r="K2177" s="1" t="str">
        <f t="shared" ref="K2177:P2177" si="4377">"0"</f>
        <v>0</v>
      </c>
      <c r="L2177" s="1" t="str">
        <f t="shared" si="4377"/>
        <v>0</v>
      </c>
      <c r="M2177" s="1" t="str">
        <f t="shared" si="4377"/>
        <v>0</v>
      </c>
      <c r="N2177" s="1" t="str">
        <f t="shared" si="4377"/>
        <v>0</v>
      </c>
      <c r="O2177" s="1" t="str">
        <f t="shared" si="4377"/>
        <v>0</v>
      </c>
      <c r="P2177" s="1" t="str">
        <f t="shared" si="4377"/>
        <v>0</v>
      </c>
      <c r="Q2177" s="1" t="str">
        <f t="shared" si="4255"/>
        <v>0.0070</v>
      </c>
      <c r="R2177" s="1" t="s">
        <v>29</v>
      </c>
      <c r="S2177" s="1">
        <v>-0.0014</v>
      </c>
      <c r="T2177" s="1" t="str">
        <f t="shared" si="4256"/>
        <v>0</v>
      </c>
      <c r="U2177" s="1" t="str">
        <f t="shared" si="4365"/>
        <v>0.0056</v>
      </c>
    </row>
    <row r="2178" s="1" customFormat="1" spans="1:21">
      <c r="A2178" s="1" t="str">
        <f>"4601992036308"</f>
        <v>4601992036308</v>
      </c>
      <c r="B2178" s="1" t="s">
        <v>2202</v>
      </c>
      <c r="C2178" s="1" t="s">
        <v>24</v>
      </c>
      <c r="D2178" s="1" t="str">
        <f t="shared" si="4253"/>
        <v>2021</v>
      </c>
      <c r="E2178" s="1" t="str">
        <f>"72.32"</f>
        <v>72.32</v>
      </c>
      <c r="F2178" s="1" t="str">
        <f t="shared" ref="F2178:I2178" si="4378">"0"</f>
        <v>0</v>
      </c>
      <c r="G2178" s="1" t="str">
        <f t="shared" si="4378"/>
        <v>0</v>
      </c>
      <c r="H2178" s="1" t="str">
        <f t="shared" si="4378"/>
        <v>0</v>
      </c>
      <c r="I2178" s="1" t="str">
        <f t="shared" si="4378"/>
        <v>0</v>
      </c>
      <c r="J2178" s="1" t="str">
        <f>"6"</f>
        <v>6</v>
      </c>
      <c r="K2178" s="1" t="str">
        <f t="shared" ref="K2178:P2178" si="4379">"0"</f>
        <v>0</v>
      </c>
      <c r="L2178" s="1" t="str">
        <f t="shared" si="4379"/>
        <v>0</v>
      </c>
      <c r="M2178" s="1" t="str">
        <f t="shared" si="4379"/>
        <v>0</v>
      </c>
      <c r="N2178" s="1" t="str">
        <f t="shared" si="4379"/>
        <v>0</v>
      </c>
      <c r="O2178" s="1" t="str">
        <f t="shared" si="4379"/>
        <v>0</v>
      </c>
      <c r="P2178" s="1" t="str">
        <f t="shared" si="4379"/>
        <v>0</v>
      </c>
      <c r="Q2178" s="1" t="str">
        <f t="shared" si="4255"/>
        <v>0.0070</v>
      </c>
      <c r="R2178" s="1" t="s">
        <v>29</v>
      </c>
      <c r="S2178" s="1">
        <v>-0.0014</v>
      </c>
      <c r="T2178" s="1" t="str">
        <f t="shared" si="4256"/>
        <v>0</v>
      </c>
      <c r="U2178" s="1" t="str">
        <f t="shared" si="4365"/>
        <v>0.0056</v>
      </c>
    </row>
    <row r="2179" s="1" customFormat="1" spans="1:21">
      <c r="A2179" s="1" t="str">
        <f>"4601992036337"</f>
        <v>4601992036337</v>
      </c>
      <c r="B2179" s="1" t="s">
        <v>2203</v>
      </c>
      <c r="C2179" s="1" t="s">
        <v>24</v>
      </c>
      <c r="D2179" s="1" t="str">
        <f t="shared" ref="D2179:D2242" si="4380">"2021"</f>
        <v>2021</v>
      </c>
      <c r="E2179" s="1" t="str">
        <f>"36.27"</f>
        <v>36.27</v>
      </c>
      <c r="F2179" s="1" t="str">
        <f t="shared" ref="F2179:I2179" si="4381">"0"</f>
        <v>0</v>
      </c>
      <c r="G2179" s="1" t="str">
        <f t="shared" si="4381"/>
        <v>0</v>
      </c>
      <c r="H2179" s="1" t="str">
        <f t="shared" si="4381"/>
        <v>0</v>
      </c>
      <c r="I2179" s="1" t="str">
        <f t="shared" si="4381"/>
        <v>0</v>
      </c>
      <c r="J2179" s="1" t="str">
        <f>"3"</f>
        <v>3</v>
      </c>
      <c r="K2179" s="1" t="str">
        <f t="shared" ref="K2179:P2179" si="4382">"0"</f>
        <v>0</v>
      </c>
      <c r="L2179" s="1" t="str">
        <f t="shared" si="4382"/>
        <v>0</v>
      </c>
      <c r="M2179" s="1" t="str">
        <f t="shared" si="4382"/>
        <v>0</v>
      </c>
      <c r="N2179" s="1" t="str">
        <f t="shared" si="4382"/>
        <v>0</v>
      </c>
      <c r="O2179" s="1" t="str">
        <f t="shared" si="4382"/>
        <v>0</v>
      </c>
      <c r="P2179" s="1" t="str">
        <f t="shared" si="4382"/>
        <v>0</v>
      </c>
      <c r="Q2179" s="1" t="str">
        <f t="shared" ref="Q2179:Q2242" si="4383">"0.0070"</f>
        <v>0.0070</v>
      </c>
      <c r="R2179" s="1" t="s">
        <v>29</v>
      </c>
      <c r="S2179" s="1">
        <v>-0.0014</v>
      </c>
      <c r="T2179" s="1" t="str">
        <f t="shared" ref="T2179:T2242" si="4384">"0"</f>
        <v>0</v>
      </c>
      <c r="U2179" s="1" t="str">
        <f t="shared" si="4365"/>
        <v>0.0056</v>
      </c>
    </row>
    <row r="2180" s="1" customFormat="1" spans="1:21">
      <c r="A2180" s="1" t="str">
        <f>"4601992036336"</f>
        <v>4601992036336</v>
      </c>
      <c r="B2180" s="1" t="s">
        <v>2204</v>
      </c>
      <c r="C2180" s="1" t="s">
        <v>24</v>
      </c>
      <c r="D2180" s="1" t="str">
        <f t="shared" si="4380"/>
        <v>2021</v>
      </c>
      <c r="E2180" s="1" t="str">
        <f>"84.63"</f>
        <v>84.63</v>
      </c>
      <c r="F2180" s="1" t="str">
        <f t="shared" ref="F2180:I2180" si="4385">"0"</f>
        <v>0</v>
      </c>
      <c r="G2180" s="1" t="str">
        <f t="shared" si="4385"/>
        <v>0</v>
      </c>
      <c r="H2180" s="1" t="str">
        <f t="shared" si="4385"/>
        <v>0</v>
      </c>
      <c r="I2180" s="1" t="str">
        <f t="shared" si="4385"/>
        <v>0</v>
      </c>
      <c r="J2180" s="1" t="str">
        <f>"7"</f>
        <v>7</v>
      </c>
      <c r="K2180" s="1" t="str">
        <f t="shared" ref="K2180:P2180" si="4386">"0"</f>
        <v>0</v>
      </c>
      <c r="L2180" s="1" t="str">
        <f t="shared" si="4386"/>
        <v>0</v>
      </c>
      <c r="M2180" s="1" t="str">
        <f t="shared" si="4386"/>
        <v>0</v>
      </c>
      <c r="N2180" s="1" t="str">
        <f t="shared" si="4386"/>
        <v>0</v>
      </c>
      <c r="O2180" s="1" t="str">
        <f t="shared" si="4386"/>
        <v>0</v>
      </c>
      <c r="P2180" s="1" t="str">
        <f t="shared" si="4386"/>
        <v>0</v>
      </c>
      <c r="Q2180" s="1" t="str">
        <f t="shared" si="4383"/>
        <v>0.0070</v>
      </c>
      <c r="R2180" s="1" t="s">
        <v>29</v>
      </c>
      <c r="S2180" s="1">
        <v>-0.0014</v>
      </c>
      <c r="T2180" s="1" t="str">
        <f t="shared" si="4384"/>
        <v>0</v>
      </c>
      <c r="U2180" s="1" t="str">
        <f t="shared" si="4365"/>
        <v>0.0056</v>
      </c>
    </row>
    <row r="2181" s="1" customFormat="1" spans="1:21">
      <c r="A2181" s="1" t="str">
        <f>"4601992036358"</f>
        <v>4601992036358</v>
      </c>
      <c r="B2181" s="1" t="s">
        <v>2205</v>
      </c>
      <c r="C2181" s="1" t="s">
        <v>24</v>
      </c>
      <c r="D2181" s="1" t="str">
        <f t="shared" si="4380"/>
        <v>2021</v>
      </c>
      <c r="E2181" s="1" t="str">
        <f>"29.59"</f>
        <v>29.59</v>
      </c>
      <c r="F2181" s="1" t="str">
        <f t="shared" ref="F2181:I2181" si="4387">"0"</f>
        <v>0</v>
      </c>
      <c r="G2181" s="1" t="str">
        <f t="shared" si="4387"/>
        <v>0</v>
      </c>
      <c r="H2181" s="1" t="str">
        <f t="shared" si="4387"/>
        <v>0</v>
      </c>
      <c r="I2181" s="1" t="str">
        <f t="shared" si="4387"/>
        <v>0</v>
      </c>
      <c r="J2181" s="1" t="str">
        <f>"2"</f>
        <v>2</v>
      </c>
      <c r="K2181" s="1" t="str">
        <f t="shared" ref="K2181:P2181" si="4388">"0"</f>
        <v>0</v>
      </c>
      <c r="L2181" s="1" t="str">
        <f t="shared" si="4388"/>
        <v>0</v>
      </c>
      <c r="M2181" s="1" t="str">
        <f t="shared" si="4388"/>
        <v>0</v>
      </c>
      <c r="N2181" s="1" t="str">
        <f t="shared" si="4388"/>
        <v>0</v>
      </c>
      <c r="O2181" s="1" t="str">
        <f t="shared" si="4388"/>
        <v>0</v>
      </c>
      <c r="P2181" s="1" t="str">
        <f t="shared" si="4388"/>
        <v>0</v>
      </c>
      <c r="Q2181" s="1" t="str">
        <f t="shared" si="4383"/>
        <v>0.0070</v>
      </c>
      <c r="R2181" s="1" t="s">
        <v>29</v>
      </c>
      <c r="S2181" s="1">
        <v>-0.0014</v>
      </c>
      <c r="T2181" s="1" t="str">
        <f t="shared" si="4384"/>
        <v>0</v>
      </c>
      <c r="U2181" s="1" t="str">
        <f t="shared" si="4365"/>
        <v>0.0056</v>
      </c>
    </row>
    <row r="2182" s="1" customFormat="1" spans="1:21">
      <c r="A2182" s="1" t="str">
        <f>"4601992036366"</f>
        <v>4601992036366</v>
      </c>
      <c r="B2182" s="1" t="s">
        <v>2206</v>
      </c>
      <c r="C2182" s="1" t="s">
        <v>24</v>
      </c>
      <c r="D2182" s="1" t="str">
        <f t="shared" si="4380"/>
        <v>2021</v>
      </c>
      <c r="E2182" s="1" t="str">
        <f>"24.18"</f>
        <v>24.18</v>
      </c>
      <c r="F2182" s="1" t="str">
        <f t="shared" ref="F2182:I2182" si="4389">"0"</f>
        <v>0</v>
      </c>
      <c r="G2182" s="1" t="str">
        <f t="shared" si="4389"/>
        <v>0</v>
      </c>
      <c r="H2182" s="1" t="str">
        <f t="shared" si="4389"/>
        <v>0</v>
      </c>
      <c r="I2182" s="1" t="str">
        <f t="shared" si="4389"/>
        <v>0</v>
      </c>
      <c r="J2182" s="1" t="str">
        <f>"2"</f>
        <v>2</v>
      </c>
      <c r="K2182" s="1" t="str">
        <f t="shared" ref="K2182:P2182" si="4390">"0"</f>
        <v>0</v>
      </c>
      <c r="L2182" s="1" t="str">
        <f t="shared" si="4390"/>
        <v>0</v>
      </c>
      <c r="M2182" s="1" t="str">
        <f t="shared" si="4390"/>
        <v>0</v>
      </c>
      <c r="N2182" s="1" t="str">
        <f t="shared" si="4390"/>
        <v>0</v>
      </c>
      <c r="O2182" s="1" t="str">
        <f t="shared" si="4390"/>
        <v>0</v>
      </c>
      <c r="P2182" s="1" t="str">
        <f t="shared" si="4390"/>
        <v>0</v>
      </c>
      <c r="Q2182" s="1" t="str">
        <f t="shared" si="4383"/>
        <v>0.0070</v>
      </c>
      <c r="R2182" s="1" t="s">
        <v>29</v>
      </c>
      <c r="S2182" s="1">
        <v>-0.0014</v>
      </c>
      <c r="T2182" s="1" t="str">
        <f t="shared" si="4384"/>
        <v>0</v>
      </c>
      <c r="U2182" s="1" t="str">
        <f t="shared" si="4365"/>
        <v>0.0056</v>
      </c>
    </row>
    <row r="2183" s="1" customFormat="1" spans="1:21">
      <c r="A2183" s="1" t="str">
        <f>"4601992036354"</f>
        <v>4601992036354</v>
      </c>
      <c r="B2183" s="1" t="s">
        <v>2207</v>
      </c>
      <c r="C2183" s="1" t="s">
        <v>24</v>
      </c>
      <c r="D2183" s="1" t="str">
        <f t="shared" si="4380"/>
        <v>2021</v>
      </c>
      <c r="E2183" s="1" t="str">
        <f>"48.14"</f>
        <v>48.14</v>
      </c>
      <c r="F2183" s="1" t="str">
        <f t="shared" ref="F2183:I2183" si="4391">"0"</f>
        <v>0</v>
      </c>
      <c r="G2183" s="1" t="str">
        <f t="shared" si="4391"/>
        <v>0</v>
      </c>
      <c r="H2183" s="1" t="str">
        <f t="shared" si="4391"/>
        <v>0</v>
      </c>
      <c r="I2183" s="1" t="str">
        <f t="shared" si="4391"/>
        <v>0</v>
      </c>
      <c r="J2183" s="1" t="str">
        <f>"6"</f>
        <v>6</v>
      </c>
      <c r="K2183" s="1" t="str">
        <f t="shared" ref="K2183:P2183" si="4392">"0"</f>
        <v>0</v>
      </c>
      <c r="L2183" s="1" t="str">
        <f t="shared" si="4392"/>
        <v>0</v>
      </c>
      <c r="M2183" s="1" t="str">
        <f t="shared" si="4392"/>
        <v>0</v>
      </c>
      <c r="N2183" s="1" t="str">
        <f t="shared" si="4392"/>
        <v>0</v>
      </c>
      <c r="O2183" s="1" t="str">
        <f t="shared" si="4392"/>
        <v>0</v>
      </c>
      <c r="P2183" s="1" t="str">
        <f t="shared" si="4392"/>
        <v>0</v>
      </c>
      <c r="Q2183" s="1" t="str">
        <f t="shared" si="4383"/>
        <v>0.0070</v>
      </c>
      <c r="R2183" s="1" t="s">
        <v>29</v>
      </c>
      <c r="S2183" s="1">
        <v>-0.0014</v>
      </c>
      <c r="T2183" s="1" t="str">
        <f t="shared" si="4384"/>
        <v>0</v>
      </c>
      <c r="U2183" s="1" t="str">
        <f t="shared" si="4365"/>
        <v>0.0056</v>
      </c>
    </row>
    <row r="2184" s="1" customFormat="1" spans="1:21">
      <c r="A2184" s="1" t="str">
        <f>"4601992036373"</f>
        <v>4601992036373</v>
      </c>
      <c r="B2184" s="1" t="s">
        <v>2208</v>
      </c>
      <c r="C2184" s="1" t="s">
        <v>24</v>
      </c>
      <c r="D2184" s="1" t="str">
        <f t="shared" si="4380"/>
        <v>2021</v>
      </c>
      <c r="E2184" s="1" t="str">
        <f>"12.09"</f>
        <v>12.09</v>
      </c>
      <c r="F2184" s="1" t="str">
        <f t="shared" ref="F2184:I2184" si="4393">"0"</f>
        <v>0</v>
      </c>
      <c r="G2184" s="1" t="str">
        <f t="shared" si="4393"/>
        <v>0</v>
      </c>
      <c r="H2184" s="1" t="str">
        <f t="shared" si="4393"/>
        <v>0</v>
      </c>
      <c r="I2184" s="1" t="str">
        <f t="shared" si="4393"/>
        <v>0</v>
      </c>
      <c r="J2184" s="1" t="str">
        <f>"1"</f>
        <v>1</v>
      </c>
      <c r="K2184" s="1" t="str">
        <f t="shared" ref="K2184:P2184" si="4394">"0"</f>
        <v>0</v>
      </c>
      <c r="L2184" s="1" t="str">
        <f t="shared" si="4394"/>
        <v>0</v>
      </c>
      <c r="M2184" s="1" t="str">
        <f t="shared" si="4394"/>
        <v>0</v>
      </c>
      <c r="N2184" s="1" t="str">
        <f t="shared" si="4394"/>
        <v>0</v>
      </c>
      <c r="O2184" s="1" t="str">
        <f t="shared" si="4394"/>
        <v>0</v>
      </c>
      <c r="P2184" s="1" t="str">
        <f t="shared" si="4394"/>
        <v>0</v>
      </c>
      <c r="Q2184" s="1" t="str">
        <f t="shared" si="4383"/>
        <v>0.0070</v>
      </c>
      <c r="R2184" s="1" t="s">
        <v>29</v>
      </c>
      <c r="S2184" s="1">
        <v>-0.0014</v>
      </c>
      <c r="T2184" s="1" t="str">
        <f t="shared" si="4384"/>
        <v>0</v>
      </c>
      <c r="U2184" s="1" t="str">
        <f t="shared" si="4365"/>
        <v>0.0056</v>
      </c>
    </row>
    <row r="2185" s="1" customFormat="1" spans="1:21">
      <c r="A2185" s="1" t="str">
        <f>"4601992036400"</f>
        <v>4601992036400</v>
      </c>
      <c r="B2185" s="1" t="s">
        <v>2209</v>
      </c>
      <c r="C2185" s="1" t="s">
        <v>24</v>
      </c>
      <c r="D2185" s="1" t="str">
        <f t="shared" si="4380"/>
        <v>2021</v>
      </c>
      <c r="E2185" s="1" t="str">
        <f>"24.18"</f>
        <v>24.18</v>
      </c>
      <c r="F2185" s="1" t="str">
        <f t="shared" ref="F2185:I2185" si="4395">"0"</f>
        <v>0</v>
      </c>
      <c r="G2185" s="1" t="str">
        <f t="shared" si="4395"/>
        <v>0</v>
      </c>
      <c r="H2185" s="1" t="str">
        <f t="shared" si="4395"/>
        <v>0</v>
      </c>
      <c r="I2185" s="1" t="str">
        <f t="shared" si="4395"/>
        <v>0</v>
      </c>
      <c r="J2185" s="1" t="str">
        <f>"3"</f>
        <v>3</v>
      </c>
      <c r="K2185" s="1" t="str">
        <f t="shared" ref="K2185:P2185" si="4396">"0"</f>
        <v>0</v>
      </c>
      <c r="L2185" s="1" t="str">
        <f t="shared" si="4396"/>
        <v>0</v>
      </c>
      <c r="M2185" s="1" t="str">
        <f t="shared" si="4396"/>
        <v>0</v>
      </c>
      <c r="N2185" s="1" t="str">
        <f t="shared" si="4396"/>
        <v>0</v>
      </c>
      <c r="O2185" s="1" t="str">
        <f t="shared" si="4396"/>
        <v>0</v>
      </c>
      <c r="P2185" s="1" t="str">
        <f t="shared" si="4396"/>
        <v>0</v>
      </c>
      <c r="Q2185" s="1" t="str">
        <f t="shared" si="4383"/>
        <v>0.0070</v>
      </c>
      <c r="R2185" s="1" t="s">
        <v>29</v>
      </c>
      <c r="S2185" s="1">
        <v>-0.0014</v>
      </c>
      <c r="T2185" s="1" t="str">
        <f t="shared" si="4384"/>
        <v>0</v>
      </c>
      <c r="U2185" s="1" t="str">
        <f t="shared" si="4365"/>
        <v>0.0056</v>
      </c>
    </row>
    <row r="2186" s="1" customFormat="1" spans="1:21">
      <c r="A2186" s="1" t="str">
        <f>"4601992036414"</f>
        <v>4601992036414</v>
      </c>
      <c r="B2186" s="1" t="s">
        <v>2210</v>
      </c>
      <c r="C2186" s="1" t="s">
        <v>24</v>
      </c>
      <c r="D2186" s="1" t="str">
        <f t="shared" si="4380"/>
        <v>2021</v>
      </c>
      <c r="E2186" s="1" t="str">
        <f t="shared" ref="E2186:P2186" si="4397">"0"</f>
        <v>0</v>
      </c>
      <c r="F2186" s="1" t="str">
        <f t="shared" si="4397"/>
        <v>0</v>
      </c>
      <c r="G2186" s="1" t="str">
        <f t="shared" si="4397"/>
        <v>0</v>
      </c>
      <c r="H2186" s="1" t="str">
        <f t="shared" si="4397"/>
        <v>0</v>
      </c>
      <c r="I2186" s="1" t="str">
        <f t="shared" si="4397"/>
        <v>0</v>
      </c>
      <c r="J2186" s="1" t="str">
        <f t="shared" si="4397"/>
        <v>0</v>
      </c>
      <c r="K2186" s="1" t="str">
        <f t="shared" si="4397"/>
        <v>0</v>
      </c>
      <c r="L2186" s="1" t="str">
        <f t="shared" si="4397"/>
        <v>0</v>
      </c>
      <c r="M2186" s="1" t="str">
        <f t="shared" si="4397"/>
        <v>0</v>
      </c>
      <c r="N2186" s="1" t="str">
        <f t="shared" si="4397"/>
        <v>0</v>
      </c>
      <c r="O2186" s="1" t="str">
        <f t="shared" si="4397"/>
        <v>0</v>
      </c>
      <c r="P2186" s="1" t="str">
        <f t="shared" si="4397"/>
        <v>0</v>
      </c>
      <c r="Q2186" s="1" t="str">
        <f t="shared" si="4383"/>
        <v>0.0070</v>
      </c>
      <c r="R2186" s="1" t="s">
        <v>25</v>
      </c>
      <c r="T2186" s="1" t="str">
        <f t="shared" si="4384"/>
        <v>0</v>
      </c>
      <c r="U2186" s="1" t="str">
        <f t="shared" ref="U2186:U2189" si="4398">"0.0070"</f>
        <v>0.0070</v>
      </c>
    </row>
    <row r="2187" s="1" customFormat="1" spans="1:21">
      <c r="A2187" s="1" t="str">
        <f>"4601992036444"</f>
        <v>4601992036444</v>
      </c>
      <c r="B2187" s="1" t="s">
        <v>2211</v>
      </c>
      <c r="C2187" s="1" t="s">
        <v>24</v>
      </c>
      <c r="D2187" s="1" t="str">
        <f t="shared" si="4380"/>
        <v>2021</v>
      </c>
      <c r="E2187" s="1" t="str">
        <f t="shared" ref="E2187:P2187" si="4399">"0"</f>
        <v>0</v>
      </c>
      <c r="F2187" s="1" t="str">
        <f t="shared" si="4399"/>
        <v>0</v>
      </c>
      <c r="G2187" s="1" t="str">
        <f t="shared" si="4399"/>
        <v>0</v>
      </c>
      <c r="H2187" s="1" t="str">
        <f t="shared" si="4399"/>
        <v>0</v>
      </c>
      <c r="I2187" s="1" t="str">
        <f t="shared" si="4399"/>
        <v>0</v>
      </c>
      <c r="J2187" s="1" t="str">
        <f t="shared" si="4399"/>
        <v>0</v>
      </c>
      <c r="K2187" s="1" t="str">
        <f t="shared" si="4399"/>
        <v>0</v>
      </c>
      <c r="L2187" s="1" t="str">
        <f t="shared" si="4399"/>
        <v>0</v>
      </c>
      <c r="M2187" s="1" t="str">
        <f t="shared" si="4399"/>
        <v>0</v>
      </c>
      <c r="N2187" s="1" t="str">
        <f t="shared" si="4399"/>
        <v>0</v>
      </c>
      <c r="O2187" s="1" t="str">
        <f t="shared" si="4399"/>
        <v>0</v>
      </c>
      <c r="P2187" s="1" t="str">
        <f t="shared" si="4399"/>
        <v>0</v>
      </c>
      <c r="Q2187" s="1" t="str">
        <f t="shared" si="4383"/>
        <v>0.0070</v>
      </c>
      <c r="R2187" s="1" t="s">
        <v>25</v>
      </c>
      <c r="T2187" s="1" t="str">
        <f t="shared" si="4384"/>
        <v>0</v>
      </c>
      <c r="U2187" s="1" t="str">
        <f t="shared" si="4398"/>
        <v>0.0070</v>
      </c>
    </row>
    <row r="2188" s="1" customFormat="1" spans="1:21">
      <c r="A2188" s="1" t="str">
        <f>"4601992036429"</f>
        <v>4601992036429</v>
      </c>
      <c r="B2188" s="1" t="s">
        <v>2212</v>
      </c>
      <c r="C2188" s="1" t="s">
        <v>24</v>
      </c>
      <c r="D2188" s="1" t="str">
        <f t="shared" si="4380"/>
        <v>2021</v>
      </c>
      <c r="E2188" s="1" t="str">
        <f>"24.34"</f>
        <v>24.34</v>
      </c>
      <c r="F2188" s="1" t="str">
        <f t="shared" ref="F2188:I2188" si="4400">"0"</f>
        <v>0</v>
      </c>
      <c r="G2188" s="1" t="str">
        <f t="shared" si="4400"/>
        <v>0</v>
      </c>
      <c r="H2188" s="1" t="str">
        <f t="shared" si="4400"/>
        <v>0</v>
      </c>
      <c r="I2188" s="1" t="str">
        <f t="shared" si="4400"/>
        <v>0</v>
      </c>
      <c r="J2188" s="1" t="str">
        <f>"2"</f>
        <v>2</v>
      </c>
      <c r="K2188" s="1" t="str">
        <f t="shared" ref="K2188:P2188" si="4401">"0"</f>
        <v>0</v>
      </c>
      <c r="L2188" s="1" t="str">
        <f t="shared" si="4401"/>
        <v>0</v>
      </c>
      <c r="M2188" s="1" t="str">
        <f t="shared" si="4401"/>
        <v>0</v>
      </c>
      <c r="N2188" s="1" t="str">
        <f t="shared" si="4401"/>
        <v>0</v>
      </c>
      <c r="O2188" s="1" t="str">
        <f t="shared" si="4401"/>
        <v>0</v>
      </c>
      <c r="P2188" s="1" t="str">
        <f t="shared" si="4401"/>
        <v>0</v>
      </c>
      <c r="Q2188" s="1" t="str">
        <f t="shared" si="4383"/>
        <v>0.0070</v>
      </c>
      <c r="R2188" s="1" t="s">
        <v>29</v>
      </c>
      <c r="S2188" s="1">
        <v>-0.0014</v>
      </c>
      <c r="T2188" s="1" t="str">
        <f t="shared" si="4384"/>
        <v>0</v>
      </c>
      <c r="U2188" s="1" t="str">
        <f t="shared" ref="U2188:U2192" si="4402">"0.0056"</f>
        <v>0.0056</v>
      </c>
    </row>
    <row r="2189" s="1" customFormat="1" spans="1:21">
      <c r="A2189" s="1" t="str">
        <f>"4601992036438"</f>
        <v>4601992036438</v>
      </c>
      <c r="B2189" s="1" t="s">
        <v>2213</v>
      </c>
      <c r="C2189" s="1" t="s">
        <v>24</v>
      </c>
      <c r="D2189" s="1" t="str">
        <f t="shared" si="4380"/>
        <v>2021</v>
      </c>
      <c r="E2189" s="1" t="str">
        <f>"0.17"</f>
        <v>0.17</v>
      </c>
      <c r="F2189" s="1" t="str">
        <f t="shared" ref="F2189:I2189" si="4403">"0"</f>
        <v>0</v>
      </c>
      <c r="G2189" s="1" t="str">
        <f t="shared" si="4403"/>
        <v>0</v>
      </c>
      <c r="H2189" s="1" t="str">
        <f t="shared" si="4403"/>
        <v>0</v>
      </c>
      <c r="I2189" s="1" t="str">
        <f t="shared" si="4403"/>
        <v>0</v>
      </c>
      <c r="J2189" s="1" t="str">
        <f>"1"</f>
        <v>1</v>
      </c>
      <c r="K2189" s="1" t="str">
        <f t="shared" ref="K2189:P2189" si="4404">"0"</f>
        <v>0</v>
      </c>
      <c r="L2189" s="1" t="str">
        <f t="shared" si="4404"/>
        <v>0</v>
      </c>
      <c r="M2189" s="1" t="str">
        <f t="shared" si="4404"/>
        <v>0</v>
      </c>
      <c r="N2189" s="1" t="str">
        <f t="shared" si="4404"/>
        <v>0</v>
      </c>
      <c r="O2189" s="1" t="str">
        <f t="shared" si="4404"/>
        <v>0</v>
      </c>
      <c r="P2189" s="1" t="str">
        <f t="shared" si="4404"/>
        <v>0</v>
      </c>
      <c r="Q2189" s="1" t="str">
        <f t="shared" si="4383"/>
        <v>0.0070</v>
      </c>
      <c r="R2189" s="1" t="s">
        <v>25</v>
      </c>
      <c r="T2189" s="1" t="str">
        <f t="shared" si="4384"/>
        <v>0</v>
      </c>
      <c r="U2189" s="1" t="str">
        <f t="shared" si="4398"/>
        <v>0.0070</v>
      </c>
    </row>
    <row r="2190" s="1" customFormat="1" spans="1:21">
      <c r="A2190" s="1" t="str">
        <f>"4601992036440"</f>
        <v>4601992036440</v>
      </c>
      <c r="B2190" s="1" t="s">
        <v>2214</v>
      </c>
      <c r="C2190" s="1" t="s">
        <v>24</v>
      </c>
      <c r="D2190" s="1" t="str">
        <f t="shared" si="4380"/>
        <v>2021</v>
      </c>
      <c r="E2190" s="1" t="str">
        <f>"24.18"</f>
        <v>24.18</v>
      </c>
      <c r="F2190" s="1" t="str">
        <f t="shared" ref="F2190:I2190" si="4405">"0"</f>
        <v>0</v>
      </c>
      <c r="G2190" s="1" t="str">
        <f t="shared" si="4405"/>
        <v>0</v>
      </c>
      <c r="H2190" s="1" t="str">
        <f t="shared" si="4405"/>
        <v>0</v>
      </c>
      <c r="I2190" s="1" t="str">
        <f t="shared" si="4405"/>
        <v>0</v>
      </c>
      <c r="J2190" s="1" t="str">
        <f>"3"</f>
        <v>3</v>
      </c>
      <c r="K2190" s="1" t="str">
        <f t="shared" ref="K2190:P2190" si="4406">"0"</f>
        <v>0</v>
      </c>
      <c r="L2190" s="1" t="str">
        <f t="shared" si="4406"/>
        <v>0</v>
      </c>
      <c r="M2190" s="1" t="str">
        <f t="shared" si="4406"/>
        <v>0</v>
      </c>
      <c r="N2190" s="1" t="str">
        <f t="shared" si="4406"/>
        <v>0</v>
      </c>
      <c r="O2190" s="1" t="str">
        <f t="shared" si="4406"/>
        <v>0</v>
      </c>
      <c r="P2190" s="1" t="str">
        <f t="shared" si="4406"/>
        <v>0</v>
      </c>
      <c r="Q2190" s="1" t="str">
        <f t="shared" si="4383"/>
        <v>0.0070</v>
      </c>
      <c r="R2190" s="1" t="s">
        <v>29</v>
      </c>
      <c r="S2190" s="1">
        <v>-0.0014</v>
      </c>
      <c r="T2190" s="1" t="str">
        <f t="shared" si="4384"/>
        <v>0</v>
      </c>
      <c r="U2190" s="1" t="str">
        <f t="shared" si="4402"/>
        <v>0.0056</v>
      </c>
    </row>
    <row r="2191" s="1" customFormat="1" spans="1:21">
      <c r="A2191" s="1" t="str">
        <f>"4601992036459"</f>
        <v>4601992036459</v>
      </c>
      <c r="B2191" s="1" t="s">
        <v>2215</v>
      </c>
      <c r="C2191" s="1" t="s">
        <v>24</v>
      </c>
      <c r="D2191" s="1" t="str">
        <f t="shared" si="4380"/>
        <v>2021</v>
      </c>
      <c r="E2191" s="1" t="str">
        <f>"217.62"</f>
        <v>217.62</v>
      </c>
      <c r="F2191" s="1" t="str">
        <f t="shared" ref="F2191:I2191" si="4407">"0"</f>
        <v>0</v>
      </c>
      <c r="G2191" s="1" t="str">
        <f t="shared" si="4407"/>
        <v>0</v>
      </c>
      <c r="H2191" s="1" t="str">
        <f t="shared" si="4407"/>
        <v>0</v>
      </c>
      <c r="I2191" s="1" t="str">
        <f t="shared" si="4407"/>
        <v>0</v>
      </c>
      <c r="J2191" s="1" t="str">
        <f>"18"</f>
        <v>18</v>
      </c>
      <c r="K2191" s="1" t="str">
        <f t="shared" ref="K2191:P2191" si="4408">"0"</f>
        <v>0</v>
      </c>
      <c r="L2191" s="1" t="str">
        <f t="shared" si="4408"/>
        <v>0</v>
      </c>
      <c r="M2191" s="1" t="str">
        <f t="shared" si="4408"/>
        <v>0</v>
      </c>
      <c r="N2191" s="1" t="str">
        <f t="shared" si="4408"/>
        <v>0</v>
      </c>
      <c r="O2191" s="1" t="str">
        <f t="shared" si="4408"/>
        <v>0</v>
      </c>
      <c r="P2191" s="1" t="str">
        <f t="shared" si="4408"/>
        <v>0</v>
      </c>
      <c r="Q2191" s="1" t="str">
        <f t="shared" si="4383"/>
        <v>0.0070</v>
      </c>
      <c r="R2191" s="1" t="s">
        <v>29</v>
      </c>
      <c r="S2191" s="1">
        <v>-0.0014</v>
      </c>
      <c r="T2191" s="1" t="str">
        <f t="shared" si="4384"/>
        <v>0</v>
      </c>
      <c r="U2191" s="1" t="str">
        <f t="shared" si="4402"/>
        <v>0.0056</v>
      </c>
    </row>
    <row r="2192" s="1" customFormat="1" spans="1:21">
      <c r="A2192" s="1" t="str">
        <f>"4601992036466"</f>
        <v>4601992036466</v>
      </c>
      <c r="B2192" s="1" t="s">
        <v>2216</v>
      </c>
      <c r="C2192" s="1" t="s">
        <v>24</v>
      </c>
      <c r="D2192" s="1" t="str">
        <f t="shared" si="4380"/>
        <v>2021</v>
      </c>
      <c r="E2192" s="1" t="str">
        <f>"12.09"</f>
        <v>12.09</v>
      </c>
      <c r="F2192" s="1" t="str">
        <f t="shared" ref="F2192:I2192" si="4409">"0"</f>
        <v>0</v>
      </c>
      <c r="G2192" s="1" t="str">
        <f t="shared" si="4409"/>
        <v>0</v>
      </c>
      <c r="H2192" s="1" t="str">
        <f t="shared" si="4409"/>
        <v>0</v>
      </c>
      <c r="I2192" s="1" t="str">
        <f t="shared" si="4409"/>
        <v>0</v>
      </c>
      <c r="J2192" s="1" t="str">
        <f>"1"</f>
        <v>1</v>
      </c>
      <c r="K2192" s="1" t="str">
        <f t="shared" ref="K2192:P2192" si="4410">"0"</f>
        <v>0</v>
      </c>
      <c r="L2192" s="1" t="str">
        <f t="shared" si="4410"/>
        <v>0</v>
      </c>
      <c r="M2192" s="1" t="str">
        <f t="shared" si="4410"/>
        <v>0</v>
      </c>
      <c r="N2192" s="1" t="str">
        <f t="shared" si="4410"/>
        <v>0</v>
      </c>
      <c r="O2192" s="1" t="str">
        <f t="shared" si="4410"/>
        <v>0</v>
      </c>
      <c r="P2192" s="1" t="str">
        <f t="shared" si="4410"/>
        <v>0</v>
      </c>
      <c r="Q2192" s="1" t="str">
        <f t="shared" si="4383"/>
        <v>0.0070</v>
      </c>
      <c r="R2192" s="1" t="s">
        <v>29</v>
      </c>
      <c r="S2192" s="1">
        <v>-0.0014</v>
      </c>
      <c r="T2192" s="1" t="str">
        <f t="shared" si="4384"/>
        <v>0</v>
      </c>
      <c r="U2192" s="1" t="str">
        <f t="shared" si="4402"/>
        <v>0.0056</v>
      </c>
    </row>
    <row r="2193" s="1" customFormat="1" spans="1:21">
      <c r="A2193" s="1" t="str">
        <f>"4601992004768"</f>
        <v>4601992004768</v>
      </c>
      <c r="B2193" s="1" t="s">
        <v>2217</v>
      </c>
      <c r="C2193" s="1" t="s">
        <v>24</v>
      </c>
      <c r="D2193" s="1" t="str">
        <f t="shared" si="4380"/>
        <v>2021</v>
      </c>
      <c r="E2193" s="1" t="str">
        <f t="shared" ref="E2193:P2193" si="4411">"0"</f>
        <v>0</v>
      </c>
      <c r="F2193" s="1" t="str">
        <f t="shared" si="4411"/>
        <v>0</v>
      </c>
      <c r="G2193" s="1" t="str">
        <f t="shared" si="4411"/>
        <v>0</v>
      </c>
      <c r="H2193" s="1" t="str">
        <f t="shared" si="4411"/>
        <v>0</v>
      </c>
      <c r="I2193" s="1" t="str">
        <f t="shared" si="4411"/>
        <v>0</v>
      </c>
      <c r="J2193" s="1" t="str">
        <f t="shared" si="4411"/>
        <v>0</v>
      </c>
      <c r="K2193" s="1" t="str">
        <f t="shared" si="4411"/>
        <v>0</v>
      </c>
      <c r="L2193" s="1" t="str">
        <f t="shared" si="4411"/>
        <v>0</v>
      </c>
      <c r="M2193" s="1" t="str">
        <f t="shared" si="4411"/>
        <v>0</v>
      </c>
      <c r="N2193" s="1" t="str">
        <f t="shared" si="4411"/>
        <v>0</v>
      </c>
      <c r="O2193" s="1" t="str">
        <f t="shared" si="4411"/>
        <v>0</v>
      </c>
      <c r="P2193" s="1" t="str">
        <f t="shared" si="4411"/>
        <v>0</v>
      </c>
      <c r="Q2193" s="1" t="str">
        <f t="shared" si="4383"/>
        <v>0.0070</v>
      </c>
      <c r="R2193" s="1" t="s">
        <v>25</v>
      </c>
      <c r="T2193" s="1" t="str">
        <f t="shared" si="4384"/>
        <v>0</v>
      </c>
      <c r="U2193" s="1" t="str">
        <f t="shared" ref="U2193:U2198" si="4412">"0.0070"</f>
        <v>0.0070</v>
      </c>
    </row>
    <row r="2194" s="1" customFormat="1" spans="1:21">
      <c r="A2194" s="1" t="str">
        <f>"4601992036511"</f>
        <v>4601992036511</v>
      </c>
      <c r="B2194" s="1" t="s">
        <v>2218</v>
      </c>
      <c r="C2194" s="1" t="s">
        <v>24</v>
      </c>
      <c r="D2194" s="1" t="str">
        <f t="shared" si="4380"/>
        <v>2021</v>
      </c>
      <c r="E2194" s="1" t="str">
        <f t="shared" ref="E2194:P2194" si="4413">"0"</f>
        <v>0</v>
      </c>
      <c r="F2194" s="1" t="str">
        <f t="shared" si="4413"/>
        <v>0</v>
      </c>
      <c r="G2194" s="1" t="str">
        <f t="shared" si="4413"/>
        <v>0</v>
      </c>
      <c r="H2194" s="1" t="str">
        <f t="shared" si="4413"/>
        <v>0</v>
      </c>
      <c r="I2194" s="1" t="str">
        <f t="shared" si="4413"/>
        <v>0</v>
      </c>
      <c r="J2194" s="1" t="str">
        <f t="shared" si="4413"/>
        <v>0</v>
      </c>
      <c r="K2194" s="1" t="str">
        <f t="shared" si="4413"/>
        <v>0</v>
      </c>
      <c r="L2194" s="1" t="str">
        <f t="shared" si="4413"/>
        <v>0</v>
      </c>
      <c r="M2194" s="1" t="str">
        <f t="shared" si="4413"/>
        <v>0</v>
      </c>
      <c r="N2194" s="1" t="str">
        <f t="shared" si="4413"/>
        <v>0</v>
      </c>
      <c r="O2194" s="1" t="str">
        <f t="shared" si="4413"/>
        <v>0</v>
      </c>
      <c r="P2194" s="1" t="str">
        <f t="shared" si="4413"/>
        <v>0</v>
      </c>
      <c r="Q2194" s="1" t="str">
        <f t="shared" si="4383"/>
        <v>0.0070</v>
      </c>
      <c r="R2194" s="1" t="s">
        <v>25</v>
      </c>
      <c r="T2194" s="1" t="str">
        <f t="shared" si="4384"/>
        <v>0</v>
      </c>
      <c r="U2194" s="1" t="str">
        <f t="shared" si="4412"/>
        <v>0.0070</v>
      </c>
    </row>
    <row r="2195" s="1" customFormat="1" spans="1:21">
      <c r="A2195" s="1" t="str">
        <f>"4601992036487"</f>
        <v>4601992036487</v>
      </c>
      <c r="B2195" s="1" t="s">
        <v>2219</v>
      </c>
      <c r="C2195" s="1" t="s">
        <v>24</v>
      </c>
      <c r="D2195" s="1" t="str">
        <f t="shared" si="4380"/>
        <v>2021</v>
      </c>
      <c r="E2195" s="1" t="str">
        <f>"33.49"</f>
        <v>33.49</v>
      </c>
      <c r="F2195" s="1" t="str">
        <f t="shared" ref="F2195:I2195" si="4414">"0"</f>
        <v>0</v>
      </c>
      <c r="G2195" s="1" t="str">
        <f t="shared" si="4414"/>
        <v>0</v>
      </c>
      <c r="H2195" s="1" t="str">
        <f t="shared" si="4414"/>
        <v>0</v>
      </c>
      <c r="I2195" s="1" t="str">
        <f t="shared" si="4414"/>
        <v>0</v>
      </c>
      <c r="J2195" s="1" t="str">
        <f>"2"</f>
        <v>2</v>
      </c>
      <c r="K2195" s="1" t="str">
        <f t="shared" ref="K2195:P2195" si="4415">"0"</f>
        <v>0</v>
      </c>
      <c r="L2195" s="1" t="str">
        <f t="shared" si="4415"/>
        <v>0</v>
      </c>
      <c r="M2195" s="1" t="str">
        <f t="shared" si="4415"/>
        <v>0</v>
      </c>
      <c r="N2195" s="1" t="str">
        <f t="shared" si="4415"/>
        <v>0</v>
      </c>
      <c r="O2195" s="1" t="str">
        <f t="shared" si="4415"/>
        <v>0</v>
      </c>
      <c r="P2195" s="1" t="str">
        <f t="shared" si="4415"/>
        <v>0</v>
      </c>
      <c r="Q2195" s="1" t="str">
        <f t="shared" si="4383"/>
        <v>0.0070</v>
      </c>
      <c r="R2195" s="1" t="s">
        <v>29</v>
      </c>
      <c r="S2195" s="1">
        <v>-0.0014</v>
      </c>
      <c r="T2195" s="1" t="str">
        <f t="shared" si="4384"/>
        <v>0</v>
      </c>
      <c r="U2195" s="1" t="str">
        <f t="shared" ref="U2195:U2197" si="4416">"0.0056"</f>
        <v>0.0056</v>
      </c>
    </row>
    <row r="2196" s="1" customFormat="1" spans="1:21">
      <c r="A2196" s="1" t="str">
        <f>"4601992036509"</f>
        <v>4601992036509</v>
      </c>
      <c r="B2196" s="1" t="s">
        <v>2220</v>
      </c>
      <c r="C2196" s="1" t="s">
        <v>24</v>
      </c>
      <c r="D2196" s="1" t="str">
        <f t="shared" si="4380"/>
        <v>2021</v>
      </c>
      <c r="E2196" s="1" t="str">
        <f>"24.10"</f>
        <v>24.10</v>
      </c>
      <c r="F2196" s="1" t="str">
        <f t="shared" ref="F2196:I2196" si="4417">"0"</f>
        <v>0</v>
      </c>
      <c r="G2196" s="1" t="str">
        <f t="shared" si="4417"/>
        <v>0</v>
      </c>
      <c r="H2196" s="1" t="str">
        <f t="shared" si="4417"/>
        <v>0</v>
      </c>
      <c r="I2196" s="1" t="str">
        <f t="shared" si="4417"/>
        <v>0</v>
      </c>
      <c r="J2196" s="1" t="str">
        <f>"2"</f>
        <v>2</v>
      </c>
      <c r="K2196" s="1" t="str">
        <f t="shared" ref="K2196:P2196" si="4418">"0"</f>
        <v>0</v>
      </c>
      <c r="L2196" s="1" t="str">
        <f t="shared" si="4418"/>
        <v>0</v>
      </c>
      <c r="M2196" s="1" t="str">
        <f t="shared" si="4418"/>
        <v>0</v>
      </c>
      <c r="N2196" s="1" t="str">
        <f t="shared" si="4418"/>
        <v>0</v>
      </c>
      <c r="O2196" s="1" t="str">
        <f t="shared" si="4418"/>
        <v>0</v>
      </c>
      <c r="P2196" s="1" t="str">
        <f t="shared" si="4418"/>
        <v>0</v>
      </c>
      <c r="Q2196" s="1" t="str">
        <f t="shared" si="4383"/>
        <v>0.0070</v>
      </c>
      <c r="R2196" s="1" t="s">
        <v>29</v>
      </c>
      <c r="S2196" s="1">
        <v>-0.0014</v>
      </c>
      <c r="T2196" s="1" t="str">
        <f t="shared" si="4384"/>
        <v>0</v>
      </c>
      <c r="U2196" s="1" t="str">
        <f t="shared" si="4416"/>
        <v>0.0056</v>
      </c>
    </row>
    <row r="2197" s="1" customFormat="1" spans="1:21">
      <c r="A2197" s="1" t="str">
        <f>"4601992036558"</f>
        <v>4601992036558</v>
      </c>
      <c r="B2197" s="1" t="s">
        <v>2221</v>
      </c>
      <c r="C2197" s="1" t="s">
        <v>24</v>
      </c>
      <c r="D2197" s="1" t="str">
        <f t="shared" si="4380"/>
        <v>2021</v>
      </c>
      <c r="E2197" s="1" t="str">
        <f>"84.63"</f>
        <v>84.63</v>
      </c>
      <c r="F2197" s="1" t="str">
        <f t="shared" ref="F2197:I2197" si="4419">"0"</f>
        <v>0</v>
      </c>
      <c r="G2197" s="1" t="str">
        <f t="shared" si="4419"/>
        <v>0</v>
      </c>
      <c r="H2197" s="1" t="str">
        <f t="shared" si="4419"/>
        <v>0</v>
      </c>
      <c r="I2197" s="1" t="str">
        <f t="shared" si="4419"/>
        <v>0</v>
      </c>
      <c r="J2197" s="1" t="str">
        <f>"7"</f>
        <v>7</v>
      </c>
      <c r="K2197" s="1" t="str">
        <f t="shared" ref="K2197:P2197" si="4420">"0"</f>
        <v>0</v>
      </c>
      <c r="L2197" s="1" t="str">
        <f t="shared" si="4420"/>
        <v>0</v>
      </c>
      <c r="M2197" s="1" t="str">
        <f t="shared" si="4420"/>
        <v>0</v>
      </c>
      <c r="N2197" s="1" t="str">
        <f t="shared" si="4420"/>
        <v>0</v>
      </c>
      <c r="O2197" s="1" t="str">
        <f t="shared" si="4420"/>
        <v>0</v>
      </c>
      <c r="P2197" s="1" t="str">
        <f t="shared" si="4420"/>
        <v>0</v>
      </c>
      <c r="Q2197" s="1" t="str">
        <f t="shared" si="4383"/>
        <v>0.0070</v>
      </c>
      <c r="R2197" s="1" t="s">
        <v>29</v>
      </c>
      <c r="S2197" s="1">
        <v>-0.0014</v>
      </c>
      <c r="T2197" s="1" t="str">
        <f t="shared" si="4384"/>
        <v>0</v>
      </c>
      <c r="U2197" s="1" t="str">
        <f t="shared" si="4416"/>
        <v>0.0056</v>
      </c>
    </row>
    <row r="2198" s="1" customFormat="1" spans="1:21">
      <c r="A2198" s="1" t="str">
        <f>"4601992036614"</f>
        <v>4601992036614</v>
      </c>
      <c r="B2198" s="1" t="s">
        <v>2222</v>
      </c>
      <c r="C2198" s="1" t="s">
        <v>24</v>
      </c>
      <c r="D2198" s="1" t="str">
        <f t="shared" si="4380"/>
        <v>2021</v>
      </c>
      <c r="E2198" s="1" t="str">
        <f t="shared" ref="E2198:P2198" si="4421">"0"</f>
        <v>0</v>
      </c>
      <c r="F2198" s="1" t="str">
        <f t="shared" si="4421"/>
        <v>0</v>
      </c>
      <c r="G2198" s="1" t="str">
        <f t="shared" si="4421"/>
        <v>0</v>
      </c>
      <c r="H2198" s="1" t="str">
        <f t="shared" si="4421"/>
        <v>0</v>
      </c>
      <c r="I2198" s="1" t="str">
        <f t="shared" si="4421"/>
        <v>0</v>
      </c>
      <c r="J2198" s="1" t="str">
        <f t="shared" si="4421"/>
        <v>0</v>
      </c>
      <c r="K2198" s="1" t="str">
        <f t="shared" si="4421"/>
        <v>0</v>
      </c>
      <c r="L2198" s="1" t="str">
        <f t="shared" si="4421"/>
        <v>0</v>
      </c>
      <c r="M2198" s="1" t="str">
        <f t="shared" si="4421"/>
        <v>0</v>
      </c>
      <c r="N2198" s="1" t="str">
        <f t="shared" si="4421"/>
        <v>0</v>
      </c>
      <c r="O2198" s="1" t="str">
        <f t="shared" si="4421"/>
        <v>0</v>
      </c>
      <c r="P2198" s="1" t="str">
        <f t="shared" si="4421"/>
        <v>0</v>
      </c>
      <c r="Q2198" s="1" t="str">
        <f t="shared" si="4383"/>
        <v>0.0070</v>
      </c>
      <c r="R2198" s="1" t="s">
        <v>25</v>
      </c>
      <c r="T2198" s="1" t="str">
        <f t="shared" si="4384"/>
        <v>0</v>
      </c>
      <c r="U2198" s="1" t="str">
        <f t="shared" si="4412"/>
        <v>0.0070</v>
      </c>
    </row>
    <row r="2199" s="1" customFormat="1" spans="1:21">
      <c r="A2199" s="1" t="str">
        <f>"4601992036594"</f>
        <v>4601992036594</v>
      </c>
      <c r="B2199" s="1" t="s">
        <v>2223</v>
      </c>
      <c r="C2199" s="1" t="s">
        <v>24</v>
      </c>
      <c r="D2199" s="1" t="str">
        <f t="shared" si="4380"/>
        <v>2021</v>
      </c>
      <c r="E2199" s="1" t="str">
        <f>"36.27"</f>
        <v>36.27</v>
      </c>
      <c r="F2199" s="1" t="str">
        <f t="shared" ref="F2199:I2199" si="4422">"0"</f>
        <v>0</v>
      </c>
      <c r="G2199" s="1" t="str">
        <f t="shared" si="4422"/>
        <v>0</v>
      </c>
      <c r="H2199" s="1" t="str">
        <f t="shared" si="4422"/>
        <v>0</v>
      </c>
      <c r="I2199" s="1" t="str">
        <f t="shared" si="4422"/>
        <v>0</v>
      </c>
      <c r="J2199" s="1" t="str">
        <f>"3"</f>
        <v>3</v>
      </c>
      <c r="K2199" s="1" t="str">
        <f t="shared" ref="K2199:P2199" si="4423">"0"</f>
        <v>0</v>
      </c>
      <c r="L2199" s="1" t="str">
        <f t="shared" si="4423"/>
        <v>0</v>
      </c>
      <c r="M2199" s="1" t="str">
        <f t="shared" si="4423"/>
        <v>0</v>
      </c>
      <c r="N2199" s="1" t="str">
        <f t="shared" si="4423"/>
        <v>0</v>
      </c>
      <c r="O2199" s="1" t="str">
        <f t="shared" si="4423"/>
        <v>0</v>
      </c>
      <c r="P2199" s="1" t="str">
        <f t="shared" si="4423"/>
        <v>0</v>
      </c>
      <c r="Q2199" s="1" t="str">
        <f t="shared" si="4383"/>
        <v>0.0070</v>
      </c>
      <c r="R2199" s="1" t="s">
        <v>29</v>
      </c>
      <c r="S2199" s="1">
        <v>-0.0014</v>
      </c>
      <c r="T2199" s="1" t="str">
        <f t="shared" si="4384"/>
        <v>0</v>
      </c>
      <c r="U2199" s="1" t="str">
        <f t="shared" ref="U2199:U2209" si="4424">"0.0056"</f>
        <v>0.0056</v>
      </c>
    </row>
    <row r="2200" s="1" customFormat="1" spans="1:21">
      <c r="A2200" s="1" t="str">
        <f>"4601992036582"</f>
        <v>4601992036582</v>
      </c>
      <c r="B2200" s="1" t="s">
        <v>2224</v>
      </c>
      <c r="C2200" s="1" t="s">
        <v>24</v>
      </c>
      <c r="D2200" s="1" t="str">
        <f t="shared" si="4380"/>
        <v>2021</v>
      </c>
      <c r="E2200" s="1" t="str">
        <f>"1167.25"</f>
        <v>1167.25</v>
      </c>
      <c r="F2200" s="1" t="str">
        <f t="shared" ref="F2200:I2200" si="4425">"0"</f>
        <v>0</v>
      </c>
      <c r="G2200" s="1" t="str">
        <f t="shared" si="4425"/>
        <v>0</v>
      </c>
      <c r="H2200" s="1" t="str">
        <f t="shared" si="4425"/>
        <v>0</v>
      </c>
      <c r="I2200" s="1" t="str">
        <f t="shared" si="4425"/>
        <v>0</v>
      </c>
      <c r="J2200" s="1" t="str">
        <f>"82"</f>
        <v>82</v>
      </c>
      <c r="K2200" s="1" t="str">
        <f t="shared" ref="K2200:P2200" si="4426">"0"</f>
        <v>0</v>
      </c>
      <c r="L2200" s="1" t="str">
        <f t="shared" si="4426"/>
        <v>0</v>
      </c>
      <c r="M2200" s="1" t="str">
        <f t="shared" si="4426"/>
        <v>0</v>
      </c>
      <c r="N2200" s="1" t="str">
        <f t="shared" si="4426"/>
        <v>0</v>
      </c>
      <c r="O2200" s="1" t="str">
        <f t="shared" si="4426"/>
        <v>0</v>
      </c>
      <c r="P2200" s="1" t="str">
        <f t="shared" si="4426"/>
        <v>0</v>
      </c>
      <c r="Q2200" s="1" t="str">
        <f t="shared" si="4383"/>
        <v>0.0070</v>
      </c>
      <c r="R2200" s="1" t="s">
        <v>29</v>
      </c>
      <c r="S2200" s="1">
        <v>-0.0014</v>
      </c>
      <c r="T2200" s="1" t="str">
        <f t="shared" si="4384"/>
        <v>0</v>
      </c>
      <c r="U2200" s="1" t="str">
        <f t="shared" si="4424"/>
        <v>0.0056</v>
      </c>
    </row>
    <row r="2201" s="1" customFormat="1" spans="1:21">
      <c r="A2201" s="1" t="str">
        <f>"4601992036615"</f>
        <v>4601992036615</v>
      </c>
      <c r="B2201" s="1" t="s">
        <v>2225</v>
      </c>
      <c r="C2201" s="1" t="s">
        <v>24</v>
      </c>
      <c r="D2201" s="1" t="str">
        <f t="shared" si="4380"/>
        <v>2021</v>
      </c>
      <c r="E2201" s="1" t="str">
        <f>"24.18"</f>
        <v>24.18</v>
      </c>
      <c r="F2201" s="1" t="str">
        <f t="shared" ref="F2201:I2201" si="4427">"0"</f>
        <v>0</v>
      </c>
      <c r="G2201" s="1" t="str">
        <f t="shared" si="4427"/>
        <v>0</v>
      </c>
      <c r="H2201" s="1" t="str">
        <f t="shared" si="4427"/>
        <v>0</v>
      </c>
      <c r="I2201" s="1" t="str">
        <f t="shared" si="4427"/>
        <v>0</v>
      </c>
      <c r="J2201" s="1" t="str">
        <f>"2"</f>
        <v>2</v>
      </c>
      <c r="K2201" s="1" t="str">
        <f t="shared" ref="K2201:P2201" si="4428">"0"</f>
        <v>0</v>
      </c>
      <c r="L2201" s="1" t="str">
        <f t="shared" si="4428"/>
        <v>0</v>
      </c>
      <c r="M2201" s="1" t="str">
        <f t="shared" si="4428"/>
        <v>0</v>
      </c>
      <c r="N2201" s="1" t="str">
        <f t="shared" si="4428"/>
        <v>0</v>
      </c>
      <c r="O2201" s="1" t="str">
        <f t="shared" si="4428"/>
        <v>0</v>
      </c>
      <c r="P2201" s="1" t="str">
        <f t="shared" si="4428"/>
        <v>0</v>
      </c>
      <c r="Q2201" s="1" t="str">
        <f t="shared" si="4383"/>
        <v>0.0070</v>
      </c>
      <c r="R2201" s="1" t="s">
        <v>29</v>
      </c>
      <c r="S2201" s="1">
        <v>-0.0014</v>
      </c>
      <c r="T2201" s="1" t="str">
        <f t="shared" si="4384"/>
        <v>0</v>
      </c>
      <c r="U2201" s="1" t="str">
        <f t="shared" si="4424"/>
        <v>0.0056</v>
      </c>
    </row>
    <row r="2202" s="1" customFormat="1" spans="1:21">
      <c r="A2202" s="1" t="str">
        <f>"4601992036619"</f>
        <v>4601992036619</v>
      </c>
      <c r="B2202" s="1" t="s">
        <v>2226</v>
      </c>
      <c r="C2202" s="1" t="s">
        <v>24</v>
      </c>
      <c r="D2202" s="1" t="str">
        <f t="shared" si="4380"/>
        <v>2021</v>
      </c>
      <c r="E2202" s="1" t="str">
        <f>"12.09"</f>
        <v>12.09</v>
      </c>
      <c r="F2202" s="1" t="str">
        <f t="shared" ref="F2202:I2202" si="4429">"0"</f>
        <v>0</v>
      </c>
      <c r="G2202" s="1" t="str">
        <f t="shared" si="4429"/>
        <v>0</v>
      </c>
      <c r="H2202" s="1" t="str">
        <f t="shared" si="4429"/>
        <v>0</v>
      </c>
      <c r="I2202" s="1" t="str">
        <f t="shared" si="4429"/>
        <v>0</v>
      </c>
      <c r="J2202" s="1" t="str">
        <f>"1"</f>
        <v>1</v>
      </c>
      <c r="K2202" s="1" t="str">
        <f t="shared" ref="K2202:P2202" si="4430">"0"</f>
        <v>0</v>
      </c>
      <c r="L2202" s="1" t="str">
        <f t="shared" si="4430"/>
        <v>0</v>
      </c>
      <c r="M2202" s="1" t="str">
        <f t="shared" si="4430"/>
        <v>0</v>
      </c>
      <c r="N2202" s="1" t="str">
        <f t="shared" si="4430"/>
        <v>0</v>
      </c>
      <c r="O2202" s="1" t="str">
        <f t="shared" si="4430"/>
        <v>0</v>
      </c>
      <c r="P2202" s="1" t="str">
        <f t="shared" si="4430"/>
        <v>0</v>
      </c>
      <c r="Q2202" s="1" t="str">
        <f t="shared" si="4383"/>
        <v>0.0070</v>
      </c>
      <c r="R2202" s="1" t="s">
        <v>29</v>
      </c>
      <c r="S2202" s="1">
        <v>-0.0014</v>
      </c>
      <c r="T2202" s="1" t="str">
        <f t="shared" si="4384"/>
        <v>0</v>
      </c>
      <c r="U2202" s="1" t="str">
        <f t="shared" si="4424"/>
        <v>0.0056</v>
      </c>
    </row>
    <row r="2203" s="1" customFormat="1" spans="1:21">
      <c r="A2203" s="1" t="str">
        <f>"4601992036623"</f>
        <v>4601992036623</v>
      </c>
      <c r="B2203" s="1" t="s">
        <v>2227</v>
      </c>
      <c r="C2203" s="1" t="s">
        <v>24</v>
      </c>
      <c r="D2203" s="1" t="str">
        <f t="shared" si="4380"/>
        <v>2021</v>
      </c>
      <c r="E2203" s="1" t="str">
        <f>"36.27"</f>
        <v>36.27</v>
      </c>
      <c r="F2203" s="1" t="str">
        <f t="shared" ref="F2203:I2203" si="4431">"0"</f>
        <v>0</v>
      </c>
      <c r="G2203" s="1" t="str">
        <f t="shared" si="4431"/>
        <v>0</v>
      </c>
      <c r="H2203" s="1" t="str">
        <f t="shared" si="4431"/>
        <v>0</v>
      </c>
      <c r="I2203" s="1" t="str">
        <f t="shared" si="4431"/>
        <v>0</v>
      </c>
      <c r="J2203" s="1" t="str">
        <f t="shared" ref="J2203:J2206" si="4432">"3"</f>
        <v>3</v>
      </c>
      <c r="K2203" s="1" t="str">
        <f t="shared" ref="K2203:P2203" si="4433">"0"</f>
        <v>0</v>
      </c>
      <c r="L2203" s="1" t="str">
        <f t="shared" si="4433"/>
        <v>0</v>
      </c>
      <c r="M2203" s="1" t="str">
        <f t="shared" si="4433"/>
        <v>0</v>
      </c>
      <c r="N2203" s="1" t="str">
        <f t="shared" si="4433"/>
        <v>0</v>
      </c>
      <c r="O2203" s="1" t="str">
        <f t="shared" si="4433"/>
        <v>0</v>
      </c>
      <c r="P2203" s="1" t="str">
        <f t="shared" si="4433"/>
        <v>0</v>
      </c>
      <c r="Q2203" s="1" t="str">
        <f t="shared" si="4383"/>
        <v>0.0070</v>
      </c>
      <c r="R2203" s="1" t="s">
        <v>29</v>
      </c>
      <c r="S2203" s="1">
        <v>-0.0014</v>
      </c>
      <c r="T2203" s="1" t="str">
        <f t="shared" si="4384"/>
        <v>0</v>
      </c>
      <c r="U2203" s="1" t="str">
        <f t="shared" si="4424"/>
        <v>0.0056</v>
      </c>
    </row>
    <row r="2204" s="1" customFormat="1" spans="1:21">
      <c r="A2204" s="1" t="str">
        <f>"4601992036667"</f>
        <v>4601992036667</v>
      </c>
      <c r="B2204" s="1" t="s">
        <v>2228</v>
      </c>
      <c r="C2204" s="1" t="s">
        <v>24</v>
      </c>
      <c r="D2204" s="1" t="str">
        <f t="shared" si="4380"/>
        <v>2021</v>
      </c>
      <c r="E2204" s="1" t="str">
        <f>"72.54"</f>
        <v>72.54</v>
      </c>
      <c r="F2204" s="1" t="str">
        <f t="shared" ref="F2204:I2204" si="4434">"0"</f>
        <v>0</v>
      </c>
      <c r="G2204" s="1" t="str">
        <f t="shared" si="4434"/>
        <v>0</v>
      </c>
      <c r="H2204" s="1" t="str">
        <f t="shared" si="4434"/>
        <v>0</v>
      </c>
      <c r="I2204" s="1" t="str">
        <f t="shared" si="4434"/>
        <v>0</v>
      </c>
      <c r="J2204" s="1" t="str">
        <f>"6"</f>
        <v>6</v>
      </c>
      <c r="K2204" s="1" t="str">
        <f t="shared" ref="K2204:P2204" si="4435">"0"</f>
        <v>0</v>
      </c>
      <c r="L2204" s="1" t="str">
        <f t="shared" si="4435"/>
        <v>0</v>
      </c>
      <c r="M2204" s="1" t="str">
        <f t="shared" si="4435"/>
        <v>0</v>
      </c>
      <c r="N2204" s="1" t="str">
        <f t="shared" si="4435"/>
        <v>0</v>
      </c>
      <c r="O2204" s="1" t="str">
        <f t="shared" si="4435"/>
        <v>0</v>
      </c>
      <c r="P2204" s="1" t="str">
        <f t="shared" si="4435"/>
        <v>0</v>
      </c>
      <c r="Q2204" s="1" t="str">
        <f t="shared" si="4383"/>
        <v>0.0070</v>
      </c>
      <c r="R2204" s="1" t="s">
        <v>29</v>
      </c>
      <c r="S2204" s="1">
        <v>-0.0014</v>
      </c>
      <c r="T2204" s="1" t="str">
        <f t="shared" si="4384"/>
        <v>0</v>
      </c>
      <c r="U2204" s="1" t="str">
        <f t="shared" si="4424"/>
        <v>0.0056</v>
      </c>
    </row>
    <row r="2205" s="1" customFormat="1" spans="1:21">
      <c r="A2205" s="1" t="str">
        <f>"4601992036642"</f>
        <v>4601992036642</v>
      </c>
      <c r="B2205" s="1" t="s">
        <v>2229</v>
      </c>
      <c r="C2205" s="1" t="s">
        <v>24</v>
      </c>
      <c r="D2205" s="1" t="str">
        <f t="shared" si="4380"/>
        <v>2021</v>
      </c>
      <c r="E2205" s="1" t="str">
        <f>"24.18"</f>
        <v>24.18</v>
      </c>
      <c r="F2205" s="1" t="str">
        <f t="shared" ref="F2205:I2205" si="4436">"0"</f>
        <v>0</v>
      </c>
      <c r="G2205" s="1" t="str">
        <f t="shared" si="4436"/>
        <v>0</v>
      </c>
      <c r="H2205" s="1" t="str">
        <f t="shared" si="4436"/>
        <v>0</v>
      </c>
      <c r="I2205" s="1" t="str">
        <f t="shared" si="4436"/>
        <v>0</v>
      </c>
      <c r="J2205" s="1" t="str">
        <f t="shared" si="4432"/>
        <v>3</v>
      </c>
      <c r="K2205" s="1" t="str">
        <f t="shared" ref="K2205:P2205" si="4437">"0"</f>
        <v>0</v>
      </c>
      <c r="L2205" s="1" t="str">
        <f t="shared" si="4437"/>
        <v>0</v>
      </c>
      <c r="M2205" s="1" t="str">
        <f t="shared" si="4437"/>
        <v>0</v>
      </c>
      <c r="N2205" s="1" t="str">
        <f t="shared" si="4437"/>
        <v>0</v>
      </c>
      <c r="O2205" s="1" t="str">
        <f t="shared" si="4437"/>
        <v>0</v>
      </c>
      <c r="P2205" s="1" t="str">
        <f t="shared" si="4437"/>
        <v>0</v>
      </c>
      <c r="Q2205" s="1" t="str">
        <f t="shared" si="4383"/>
        <v>0.0070</v>
      </c>
      <c r="R2205" s="1" t="s">
        <v>29</v>
      </c>
      <c r="S2205" s="1">
        <v>-0.0014</v>
      </c>
      <c r="T2205" s="1" t="str">
        <f t="shared" si="4384"/>
        <v>0</v>
      </c>
      <c r="U2205" s="1" t="str">
        <f t="shared" si="4424"/>
        <v>0.0056</v>
      </c>
    </row>
    <row r="2206" s="1" customFormat="1" spans="1:21">
      <c r="A2206" s="1" t="str">
        <f>"4601992036672"</f>
        <v>4601992036672</v>
      </c>
      <c r="B2206" s="1" t="s">
        <v>2230</v>
      </c>
      <c r="C2206" s="1" t="s">
        <v>24</v>
      </c>
      <c r="D2206" s="1" t="str">
        <f t="shared" si="4380"/>
        <v>2021</v>
      </c>
      <c r="E2206" s="1" t="str">
        <f>"73.07"</f>
        <v>73.07</v>
      </c>
      <c r="F2206" s="1" t="str">
        <f t="shared" ref="F2206:I2206" si="4438">"0"</f>
        <v>0</v>
      </c>
      <c r="G2206" s="1" t="str">
        <f t="shared" si="4438"/>
        <v>0</v>
      </c>
      <c r="H2206" s="1" t="str">
        <f t="shared" si="4438"/>
        <v>0</v>
      </c>
      <c r="I2206" s="1" t="str">
        <f t="shared" si="4438"/>
        <v>0</v>
      </c>
      <c r="J2206" s="1" t="str">
        <f t="shared" si="4432"/>
        <v>3</v>
      </c>
      <c r="K2206" s="1" t="str">
        <f t="shared" ref="K2206:P2206" si="4439">"0"</f>
        <v>0</v>
      </c>
      <c r="L2206" s="1" t="str">
        <f t="shared" si="4439"/>
        <v>0</v>
      </c>
      <c r="M2206" s="1" t="str">
        <f t="shared" si="4439"/>
        <v>0</v>
      </c>
      <c r="N2206" s="1" t="str">
        <f t="shared" si="4439"/>
        <v>0</v>
      </c>
      <c r="O2206" s="1" t="str">
        <f t="shared" si="4439"/>
        <v>0</v>
      </c>
      <c r="P2206" s="1" t="str">
        <f t="shared" si="4439"/>
        <v>0</v>
      </c>
      <c r="Q2206" s="1" t="str">
        <f t="shared" si="4383"/>
        <v>0.0070</v>
      </c>
      <c r="R2206" s="1" t="s">
        <v>29</v>
      </c>
      <c r="S2206" s="1">
        <v>-0.0014</v>
      </c>
      <c r="T2206" s="1" t="str">
        <f t="shared" si="4384"/>
        <v>0</v>
      </c>
      <c r="U2206" s="1" t="str">
        <f t="shared" si="4424"/>
        <v>0.0056</v>
      </c>
    </row>
    <row r="2207" s="1" customFormat="1" spans="1:21">
      <c r="A2207" s="1" t="str">
        <f>"4601992036689"</f>
        <v>4601992036689</v>
      </c>
      <c r="B2207" s="1" t="s">
        <v>2231</v>
      </c>
      <c r="C2207" s="1" t="s">
        <v>24</v>
      </c>
      <c r="D2207" s="1" t="str">
        <f t="shared" si="4380"/>
        <v>2021</v>
      </c>
      <c r="E2207" s="1" t="str">
        <f>"24.04"</f>
        <v>24.04</v>
      </c>
      <c r="F2207" s="1" t="str">
        <f t="shared" ref="F2207:I2207" si="4440">"0"</f>
        <v>0</v>
      </c>
      <c r="G2207" s="1" t="str">
        <f t="shared" si="4440"/>
        <v>0</v>
      </c>
      <c r="H2207" s="1" t="str">
        <f t="shared" si="4440"/>
        <v>0</v>
      </c>
      <c r="I2207" s="1" t="str">
        <f t="shared" si="4440"/>
        <v>0</v>
      </c>
      <c r="J2207" s="1" t="str">
        <f>"9"</f>
        <v>9</v>
      </c>
      <c r="K2207" s="1" t="str">
        <f t="shared" ref="K2207:P2207" si="4441">"0"</f>
        <v>0</v>
      </c>
      <c r="L2207" s="1" t="str">
        <f t="shared" si="4441"/>
        <v>0</v>
      </c>
      <c r="M2207" s="1" t="str">
        <f t="shared" si="4441"/>
        <v>0</v>
      </c>
      <c r="N2207" s="1" t="str">
        <f t="shared" si="4441"/>
        <v>0</v>
      </c>
      <c r="O2207" s="1" t="str">
        <f t="shared" si="4441"/>
        <v>0</v>
      </c>
      <c r="P2207" s="1" t="str">
        <f t="shared" si="4441"/>
        <v>0</v>
      </c>
      <c r="Q2207" s="1" t="str">
        <f t="shared" si="4383"/>
        <v>0.0070</v>
      </c>
      <c r="R2207" s="1" t="s">
        <v>29</v>
      </c>
      <c r="S2207" s="1">
        <v>-0.0014</v>
      </c>
      <c r="T2207" s="1" t="str">
        <f t="shared" si="4384"/>
        <v>0</v>
      </c>
      <c r="U2207" s="1" t="str">
        <f t="shared" si="4424"/>
        <v>0.0056</v>
      </c>
    </row>
    <row r="2208" s="1" customFormat="1" spans="1:21">
      <c r="A2208" s="1" t="str">
        <f>"4601992036692"</f>
        <v>4601992036692</v>
      </c>
      <c r="B2208" s="1" t="s">
        <v>2232</v>
      </c>
      <c r="C2208" s="1" t="s">
        <v>24</v>
      </c>
      <c r="D2208" s="1" t="str">
        <f t="shared" si="4380"/>
        <v>2021</v>
      </c>
      <c r="E2208" s="1" t="str">
        <f>"11.98"</f>
        <v>11.98</v>
      </c>
      <c r="F2208" s="1" t="str">
        <f t="shared" ref="F2208:I2208" si="4442">"0"</f>
        <v>0</v>
      </c>
      <c r="G2208" s="1" t="str">
        <f t="shared" si="4442"/>
        <v>0</v>
      </c>
      <c r="H2208" s="1" t="str">
        <f t="shared" si="4442"/>
        <v>0</v>
      </c>
      <c r="I2208" s="1" t="str">
        <f t="shared" si="4442"/>
        <v>0</v>
      </c>
      <c r="J2208" s="1" t="str">
        <f>"2"</f>
        <v>2</v>
      </c>
      <c r="K2208" s="1" t="str">
        <f t="shared" ref="K2208:P2208" si="4443">"0"</f>
        <v>0</v>
      </c>
      <c r="L2208" s="1" t="str">
        <f t="shared" si="4443"/>
        <v>0</v>
      </c>
      <c r="M2208" s="1" t="str">
        <f t="shared" si="4443"/>
        <v>0</v>
      </c>
      <c r="N2208" s="1" t="str">
        <f t="shared" si="4443"/>
        <v>0</v>
      </c>
      <c r="O2208" s="1" t="str">
        <f t="shared" si="4443"/>
        <v>0</v>
      </c>
      <c r="P2208" s="1" t="str">
        <f t="shared" si="4443"/>
        <v>0</v>
      </c>
      <c r="Q2208" s="1" t="str">
        <f t="shared" si="4383"/>
        <v>0.0070</v>
      </c>
      <c r="R2208" s="1" t="s">
        <v>29</v>
      </c>
      <c r="S2208" s="1">
        <v>-0.0014</v>
      </c>
      <c r="T2208" s="1" t="str">
        <f t="shared" si="4384"/>
        <v>0</v>
      </c>
      <c r="U2208" s="1" t="str">
        <f t="shared" si="4424"/>
        <v>0.0056</v>
      </c>
    </row>
    <row r="2209" s="1" customFormat="1" spans="1:21">
      <c r="A2209" s="1" t="str">
        <f>"4601992036725"</f>
        <v>4601992036725</v>
      </c>
      <c r="B2209" s="1" t="s">
        <v>2233</v>
      </c>
      <c r="C2209" s="1" t="s">
        <v>24</v>
      </c>
      <c r="D2209" s="1" t="str">
        <f t="shared" si="4380"/>
        <v>2021</v>
      </c>
      <c r="E2209" s="1" t="str">
        <f>"36.68"</f>
        <v>36.68</v>
      </c>
      <c r="F2209" s="1" t="str">
        <f t="shared" ref="F2209:I2209" si="4444">"0"</f>
        <v>0</v>
      </c>
      <c r="G2209" s="1" t="str">
        <f t="shared" si="4444"/>
        <v>0</v>
      </c>
      <c r="H2209" s="1" t="str">
        <f t="shared" si="4444"/>
        <v>0</v>
      </c>
      <c r="I2209" s="1" t="str">
        <f t="shared" si="4444"/>
        <v>0</v>
      </c>
      <c r="J2209" s="1" t="str">
        <f>"2"</f>
        <v>2</v>
      </c>
      <c r="K2209" s="1" t="str">
        <f t="shared" ref="K2209:P2209" si="4445">"0"</f>
        <v>0</v>
      </c>
      <c r="L2209" s="1" t="str">
        <f t="shared" si="4445"/>
        <v>0</v>
      </c>
      <c r="M2209" s="1" t="str">
        <f t="shared" si="4445"/>
        <v>0</v>
      </c>
      <c r="N2209" s="1" t="str">
        <f t="shared" si="4445"/>
        <v>0</v>
      </c>
      <c r="O2209" s="1" t="str">
        <f t="shared" si="4445"/>
        <v>0</v>
      </c>
      <c r="P2209" s="1" t="str">
        <f t="shared" si="4445"/>
        <v>0</v>
      </c>
      <c r="Q2209" s="1" t="str">
        <f t="shared" si="4383"/>
        <v>0.0070</v>
      </c>
      <c r="R2209" s="1" t="s">
        <v>29</v>
      </c>
      <c r="S2209" s="1">
        <v>-0.0014</v>
      </c>
      <c r="T2209" s="1" t="str">
        <f t="shared" si="4384"/>
        <v>0</v>
      </c>
      <c r="U2209" s="1" t="str">
        <f t="shared" si="4424"/>
        <v>0.0056</v>
      </c>
    </row>
    <row r="2210" s="1" customFormat="1" spans="1:21">
      <c r="A2210" s="1" t="str">
        <f>"4601992036760"</f>
        <v>4601992036760</v>
      </c>
      <c r="B2210" s="1" t="s">
        <v>2234</v>
      </c>
      <c r="C2210" s="1" t="s">
        <v>24</v>
      </c>
      <c r="D2210" s="1" t="str">
        <f t="shared" si="4380"/>
        <v>2021</v>
      </c>
      <c r="E2210" s="1" t="str">
        <f t="shared" ref="E2210:P2210" si="4446">"0"</f>
        <v>0</v>
      </c>
      <c r="F2210" s="1" t="str">
        <f t="shared" si="4446"/>
        <v>0</v>
      </c>
      <c r="G2210" s="1" t="str">
        <f t="shared" si="4446"/>
        <v>0</v>
      </c>
      <c r="H2210" s="1" t="str">
        <f t="shared" si="4446"/>
        <v>0</v>
      </c>
      <c r="I2210" s="1" t="str">
        <f t="shared" si="4446"/>
        <v>0</v>
      </c>
      <c r="J2210" s="1" t="str">
        <f t="shared" si="4446"/>
        <v>0</v>
      </c>
      <c r="K2210" s="1" t="str">
        <f t="shared" si="4446"/>
        <v>0</v>
      </c>
      <c r="L2210" s="1" t="str">
        <f t="shared" si="4446"/>
        <v>0</v>
      </c>
      <c r="M2210" s="1" t="str">
        <f t="shared" si="4446"/>
        <v>0</v>
      </c>
      <c r="N2210" s="1" t="str">
        <f t="shared" si="4446"/>
        <v>0</v>
      </c>
      <c r="O2210" s="1" t="str">
        <f t="shared" si="4446"/>
        <v>0</v>
      </c>
      <c r="P2210" s="1" t="str">
        <f t="shared" si="4446"/>
        <v>0</v>
      </c>
      <c r="Q2210" s="1" t="str">
        <f t="shared" si="4383"/>
        <v>0.0070</v>
      </c>
      <c r="R2210" s="1" t="s">
        <v>25</v>
      </c>
      <c r="T2210" s="1" t="str">
        <f t="shared" si="4384"/>
        <v>0</v>
      </c>
      <c r="U2210" s="1" t="str">
        <f t="shared" ref="U2210:U2214" si="4447">"0.0070"</f>
        <v>0.0070</v>
      </c>
    </row>
    <row r="2211" s="1" customFormat="1" spans="1:21">
      <c r="A2211" s="1" t="str">
        <f>"4601992036738"</f>
        <v>4601992036738</v>
      </c>
      <c r="B2211" s="1" t="s">
        <v>2235</v>
      </c>
      <c r="C2211" s="1" t="s">
        <v>24</v>
      </c>
      <c r="D2211" s="1" t="str">
        <f t="shared" si="4380"/>
        <v>2021</v>
      </c>
      <c r="E2211" s="1" t="str">
        <f>"12.09"</f>
        <v>12.09</v>
      </c>
      <c r="F2211" s="1" t="str">
        <f t="shared" ref="F2211:I2211" si="4448">"0"</f>
        <v>0</v>
      </c>
      <c r="G2211" s="1" t="str">
        <f t="shared" si="4448"/>
        <v>0</v>
      </c>
      <c r="H2211" s="1" t="str">
        <f t="shared" si="4448"/>
        <v>0</v>
      </c>
      <c r="I2211" s="1" t="str">
        <f t="shared" si="4448"/>
        <v>0</v>
      </c>
      <c r="J2211" s="1" t="str">
        <f t="shared" ref="J2211:J2216" si="4449">"1"</f>
        <v>1</v>
      </c>
      <c r="K2211" s="1" t="str">
        <f t="shared" ref="K2211:P2211" si="4450">"0"</f>
        <v>0</v>
      </c>
      <c r="L2211" s="1" t="str">
        <f t="shared" si="4450"/>
        <v>0</v>
      </c>
      <c r="M2211" s="1" t="str">
        <f t="shared" si="4450"/>
        <v>0</v>
      </c>
      <c r="N2211" s="1" t="str">
        <f t="shared" si="4450"/>
        <v>0</v>
      </c>
      <c r="O2211" s="1" t="str">
        <f t="shared" si="4450"/>
        <v>0</v>
      </c>
      <c r="P2211" s="1" t="str">
        <f t="shared" si="4450"/>
        <v>0</v>
      </c>
      <c r="Q2211" s="1" t="str">
        <f t="shared" si="4383"/>
        <v>0.0070</v>
      </c>
      <c r="R2211" s="1" t="s">
        <v>29</v>
      </c>
      <c r="S2211" s="1">
        <v>-0.0014</v>
      </c>
      <c r="T2211" s="1" t="str">
        <f t="shared" si="4384"/>
        <v>0</v>
      </c>
      <c r="U2211" s="1" t="str">
        <f t="shared" ref="U2211:U2222" si="4451">"0.0056"</f>
        <v>0.0056</v>
      </c>
    </row>
    <row r="2212" s="1" customFormat="1" spans="1:21">
      <c r="A2212" s="1" t="str">
        <f>"4601992036736"</f>
        <v>4601992036736</v>
      </c>
      <c r="B2212" s="1" t="s">
        <v>2236</v>
      </c>
      <c r="C2212" s="1" t="s">
        <v>24</v>
      </c>
      <c r="D2212" s="1" t="str">
        <f t="shared" si="4380"/>
        <v>2021</v>
      </c>
      <c r="E2212" s="1" t="str">
        <f>"12.09"</f>
        <v>12.09</v>
      </c>
      <c r="F2212" s="1" t="str">
        <f t="shared" ref="F2212:I2212" si="4452">"0"</f>
        <v>0</v>
      </c>
      <c r="G2212" s="1" t="str">
        <f t="shared" si="4452"/>
        <v>0</v>
      </c>
      <c r="H2212" s="1" t="str">
        <f t="shared" si="4452"/>
        <v>0</v>
      </c>
      <c r="I2212" s="1" t="str">
        <f t="shared" si="4452"/>
        <v>0</v>
      </c>
      <c r="J2212" s="1" t="str">
        <f t="shared" si="4449"/>
        <v>1</v>
      </c>
      <c r="K2212" s="1" t="str">
        <f t="shared" ref="K2212:P2212" si="4453">"0"</f>
        <v>0</v>
      </c>
      <c r="L2212" s="1" t="str">
        <f t="shared" si="4453"/>
        <v>0</v>
      </c>
      <c r="M2212" s="1" t="str">
        <f t="shared" si="4453"/>
        <v>0</v>
      </c>
      <c r="N2212" s="1" t="str">
        <f t="shared" si="4453"/>
        <v>0</v>
      </c>
      <c r="O2212" s="1" t="str">
        <f t="shared" si="4453"/>
        <v>0</v>
      </c>
      <c r="P2212" s="1" t="str">
        <f t="shared" si="4453"/>
        <v>0</v>
      </c>
      <c r="Q2212" s="1" t="str">
        <f t="shared" si="4383"/>
        <v>0.0070</v>
      </c>
      <c r="R2212" s="1" t="s">
        <v>29</v>
      </c>
      <c r="S2212" s="1">
        <v>-0.0014</v>
      </c>
      <c r="T2212" s="1" t="str">
        <f t="shared" si="4384"/>
        <v>0</v>
      </c>
      <c r="U2212" s="1" t="str">
        <f t="shared" si="4451"/>
        <v>0.0056</v>
      </c>
    </row>
    <row r="2213" s="1" customFormat="1" spans="1:21">
      <c r="A2213" s="1" t="str">
        <f>"4601992036772"</f>
        <v>4601992036772</v>
      </c>
      <c r="B2213" s="1" t="s">
        <v>2237</v>
      </c>
      <c r="C2213" s="1" t="s">
        <v>24</v>
      </c>
      <c r="D2213" s="1" t="str">
        <f t="shared" si="4380"/>
        <v>2021</v>
      </c>
      <c r="E2213" s="1" t="str">
        <f t="shared" ref="E2213:P2213" si="4454">"0"</f>
        <v>0</v>
      </c>
      <c r="F2213" s="1" t="str">
        <f t="shared" si="4454"/>
        <v>0</v>
      </c>
      <c r="G2213" s="1" t="str">
        <f t="shared" si="4454"/>
        <v>0</v>
      </c>
      <c r="H2213" s="1" t="str">
        <f t="shared" si="4454"/>
        <v>0</v>
      </c>
      <c r="I2213" s="1" t="str">
        <f t="shared" si="4454"/>
        <v>0</v>
      </c>
      <c r="J2213" s="1" t="str">
        <f t="shared" si="4454"/>
        <v>0</v>
      </c>
      <c r="K2213" s="1" t="str">
        <f t="shared" si="4454"/>
        <v>0</v>
      </c>
      <c r="L2213" s="1" t="str">
        <f t="shared" si="4454"/>
        <v>0</v>
      </c>
      <c r="M2213" s="1" t="str">
        <f t="shared" si="4454"/>
        <v>0</v>
      </c>
      <c r="N2213" s="1" t="str">
        <f t="shared" si="4454"/>
        <v>0</v>
      </c>
      <c r="O2213" s="1" t="str">
        <f t="shared" si="4454"/>
        <v>0</v>
      </c>
      <c r="P2213" s="1" t="str">
        <f t="shared" si="4454"/>
        <v>0</v>
      </c>
      <c r="Q2213" s="1" t="str">
        <f t="shared" si="4383"/>
        <v>0.0070</v>
      </c>
      <c r="R2213" s="1" t="s">
        <v>25</v>
      </c>
      <c r="T2213" s="1" t="str">
        <f t="shared" si="4384"/>
        <v>0</v>
      </c>
      <c r="U2213" s="1" t="str">
        <f t="shared" si="4447"/>
        <v>0.0070</v>
      </c>
    </row>
    <row r="2214" s="1" customFormat="1" spans="1:21">
      <c r="A2214" s="1" t="str">
        <f>"4601992036796"</f>
        <v>4601992036796</v>
      </c>
      <c r="B2214" s="1" t="s">
        <v>2238</v>
      </c>
      <c r="C2214" s="1" t="s">
        <v>24</v>
      </c>
      <c r="D2214" s="1" t="str">
        <f t="shared" si="4380"/>
        <v>2021</v>
      </c>
      <c r="E2214" s="1" t="str">
        <f t="shared" ref="E2214:P2214" si="4455">"0"</f>
        <v>0</v>
      </c>
      <c r="F2214" s="1" t="str">
        <f t="shared" si="4455"/>
        <v>0</v>
      </c>
      <c r="G2214" s="1" t="str">
        <f t="shared" si="4455"/>
        <v>0</v>
      </c>
      <c r="H2214" s="1" t="str">
        <f t="shared" si="4455"/>
        <v>0</v>
      </c>
      <c r="I2214" s="1" t="str">
        <f t="shared" si="4455"/>
        <v>0</v>
      </c>
      <c r="J2214" s="1" t="str">
        <f t="shared" si="4455"/>
        <v>0</v>
      </c>
      <c r="K2214" s="1" t="str">
        <f t="shared" si="4455"/>
        <v>0</v>
      </c>
      <c r="L2214" s="1" t="str">
        <f t="shared" si="4455"/>
        <v>0</v>
      </c>
      <c r="M2214" s="1" t="str">
        <f t="shared" si="4455"/>
        <v>0</v>
      </c>
      <c r="N2214" s="1" t="str">
        <f t="shared" si="4455"/>
        <v>0</v>
      </c>
      <c r="O2214" s="1" t="str">
        <f t="shared" si="4455"/>
        <v>0</v>
      </c>
      <c r="P2214" s="1" t="str">
        <f t="shared" si="4455"/>
        <v>0</v>
      </c>
      <c r="Q2214" s="1" t="str">
        <f t="shared" si="4383"/>
        <v>0.0070</v>
      </c>
      <c r="R2214" s="1" t="s">
        <v>25</v>
      </c>
      <c r="T2214" s="1" t="str">
        <f t="shared" si="4384"/>
        <v>0</v>
      </c>
      <c r="U2214" s="1" t="str">
        <f t="shared" si="4447"/>
        <v>0.0070</v>
      </c>
    </row>
    <row r="2215" s="1" customFormat="1" spans="1:21">
      <c r="A2215" s="1" t="str">
        <f>"4601992036787"</f>
        <v>4601992036787</v>
      </c>
      <c r="B2215" s="1" t="s">
        <v>2239</v>
      </c>
      <c r="C2215" s="1" t="s">
        <v>24</v>
      </c>
      <c r="D2215" s="1" t="str">
        <f t="shared" si="4380"/>
        <v>2021</v>
      </c>
      <c r="E2215" s="1" t="str">
        <f>"12.25"</f>
        <v>12.25</v>
      </c>
      <c r="F2215" s="1" t="str">
        <f t="shared" ref="F2215:I2215" si="4456">"0"</f>
        <v>0</v>
      </c>
      <c r="G2215" s="1" t="str">
        <f t="shared" si="4456"/>
        <v>0</v>
      </c>
      <c r="H2215" s="1" t="str">
        <f t="shared" si="4456"/>
        <v>0</v>
      </c>
      <c r="I2215" s="1" t="str">
        <f t="shared" si="4456"/>
        <v>0</v>
      </c>
      <c r="J2215" s="1" t="str">
        <f t="shared" si="4449"/>
        <v>1</v>
      </c>
      <c r="K2215" s="1" t="str">
        <f t="shared" ref="K2215:P2215" si="4457">"0"</f>
        <v>0</v>
      </c>
      <c r="L2215" s="1" t="str">
        <f t="shared" si="4457"/>
        <v>0</v>
      </c>
      <c r="M2215" s="1" t="str">
        <f t="shared" si="4457"/>
        <v>0</v>
      </c>
      <c r="N2215" s="1" t="str">
        <f t="shared" si="4457"/>
        <v>0</v>
      </c>
      <c r="O2215" s="1" t="str">
        <f t="shared" si="4457"/>
        <v>0</v>
      </c>
      <c r="P2215" s="1" t="str">
        <f t="shared" si="4457"/>
        <v>0</v>
      </c>
      <c r="Q2215" s="1" t="str">
        <f t="shared" si="4383"/>
        <v>0.0070</v>
      </c>
      <c r="R2215" s="1" t="s">
        <v>29</v>
      </c>
      <c r="S2215" s="1">
        <v>-0.0014</v>
      </c>
      <c r="T2215" s="1" t="str">
        <f t="shared" si="4384"/>
        <v>0</v>
      </c>
      <c r="U2215" s="1" t="str">
        <f t="shared" si="4451"/>
        <v>0.0056</v>
      </c>
    </row>
    <row r="2216" s="1" customFormat="1" spans="1:21">
      <c r="A2216" s="1" t="str">
        <f>"4601992036783"</f>
        <v>4601992036783</v>
      </c>
      <c r="B2216" s="1" t="s">
        <v>2240</v>
      </c>
      <c r="C2216" s="1" t="s">
        <v>24</v>
      </c>
      <c r="D2216" s="1" t="str">
        <f t="shared" si="4380"/>
        <v>2021</v>
      </c>
      <c r="E2216" s="1" t="str">
        <f>"12.25"</f>
        <v>12.25</v>
      </c>
      <c r="F2216" s="1" t="str">
        <f t="shared" ref="F2216:I2216" si="4458">"0"</f>
        <v>0</v>
      </c>
      <c r="G2216" s="1" t="str">
        <f t="shared" si="4458"/>
        <v>0</v>
      </c>
      <c r="H2216" s="1" t="str">
        <f t="shared" si="4458"/>
        <v>0</v>
      </c>
      <c r="I2216" s="1" t="str">
        <f t="shared" si="4458"/>
        <v>0</v>
      </c>
      <c r="J2216" s="1" t="str">
        <f t="shared" si="4449"/>
        <v>1</v>
      </c>
      <c r="K2216" s="1" t="str">
        <f t="shared" ref="K2216:P2216" si="4459">"0"</f>
        <v>0</v>
      </c>
      <c r="L2216" s="1" t="str">
        <f t="shared" si="4459"/>
        <v>0</v>
      </c>
      <c r="M2216" s="1" t="str">
        <f t="shared" si="4459"/>
        <v>0</v>
      </c>
      <c r="N2216" s="1" t="str">
        <f t="shared" si="4459"/>
        <v>0</v>
      </c>
      <c r="O2216" s="1" t="str">
        <f t="shared" si="4459"/>
        <v>0</v>
      </c>
      <c r="P2216" s="1" t="str">
        <f t="shared" si="4459"/>
        <v>0</v>
      </c>
      <c r="Q2216" s="1" t="str">
        <f t="shared" si="4383"/>
        <v>0.0070</v>
      </c>
      <c r="R2216" s="1" t="s">
        <v>29</v>
      </c>
      <c r="S2216" s="1">
        <v>-0.0014</v>
      </c>
      <c r="T2216" s="1" t="str">
        <f t="shared" si="4384"/>
        <v>0</v>
      </c>
      <c r="U2216" s="1" t="str">
        <f t="shared" si="4451"/>
        <v>0.0056</v>
      </c>
    </row>
    <row r="2217" s="1" customFormat="1" spans="1:21">
      <c r="A2217" s="1" t="str">
        <f>"4601992036785"</f>
        <v>4601992036785</v>
      </c>
      <c r="B2217" s="1" t="s">
        <v>2241</v>
      </c>
      <c r="C2217" s="1" t="s">
        <v>24</v>
      </c>
      <c r="D2217" s="1" t="str">
        <f t="shared" si="4380"/>
        <v>2021</v>
      </c>
      <c r="E2217" s="1" t="str">
        <f>"60.45"</f>
        <v>60.45</v>
      </c>
      <c r="F2217" s="1" t="str">
        <f t="shared" ref="F2217:I2217" si="4460">"0"</f>
        <v>0</v>
      </c>
      <c r="G2217" s="1" t="str">
        <f t="shared" si="4460"/>
        <v>0</v>
      </c>
      <c r="H2217" s="1" t="str">
        <f t="shared" si="4460"/>
        <v>0</v>
      </c>
      <c r="I2217" s="1" t="str">
        <f t="shared" si="4460"/>
        <v>0</v>
      </c>
      <c r="J2217" s="1" t="str">
        <f>"5"</f>
        <v>5</v>
      </c>
      <c r="K2217" s="1" t="str">
        <f t="shared" ref="K2217:P2217" si="4461">"0"</f>
        <v>0</v>
      </c>
      <c r="L2217" s="1" t="str">
        <f t="shared" si="4461"/>
        <v>0</v>
      </c>
      <c r="M2217" s="1" t="str">
        <f t="shared" si="4461"/>
        <v>0</v>
      </c>
      <c r="N2217" s="1" t="str">
        <f t="shared" si="4461"/>
        <v>0</v>
      </c>
      <c r="O2217" s="1" t="str">
        <f t="shared" si="4461"/>
        <v>0</v>
      </c>
      <c r="P2217" s="1" t="str">
        <f t="shared" si="4461"/>
        <v>0</v>
      </c>
      <c r="Q2217" s="1" t="str">
        <f t="shared" si="4383"/>
        <v>0.0070</v>
      </c>
      <c r="R2217" s="1" t="s">
        <v>29</v>
      </c>
      <c r="S2217" s="1">
        <v>-0.0014</v>
      </c>
      <c r="T2217" s="1" t="str">
        <f t="shared" si="4384"/>
        <v>0</v>
      </c>
      <c r="U2217" s="1" t="str">
        <f t="shared" si="4451"/>
        <v>0.0056</v>
      </c>
    </row>
    <row r="2218" s="1" customFormat="1" spans="1:21">
      <c r="A2218" s="1" t="str">
        <f>"4601992036871"</f>
        <v>4601992036871</v>
      </c>
      <c r="B2218" s="1" t="s">
        <v>2242</v>
      </c>
      <c r="C2218" s="1" t="s">
        <v>24</v>
      </c>
      <c r="D2218" s="1" t="str">
        <f t="shared" si="4380"/>
        <v>2021</v>
      </c>
      <c r="E2218" s="1" t="str">
        <f>"11.98"</f>
        <v>11.98</v>
      </c>
      <c r="F2218" s="1" t="str">
        <f t="shared" ref="F2218:I2218" si="4462">"0"</f>
        <v>0</v>
      </c>
      <c r="G2218" s="1" t="str">
        <f t="shared" si="4462"/>
        <v>0</v>
      </c>
      <c r="H2218" s="1" t="str">
        <f t="shared" si="4462"/>
        <v>0</v>
      </c>
      <c r="I2218" s="1" t="str">
        <f t="shared" si="4462"/>
        <v>0</v>
      </c>
      <c r="J2218" s="1" t="str">
        <f t="shared" ref="J2218:J2222" si="4463">"2"</f>
        <v>2</v>
      </c>
      <c r="K2218" s="1" t="str">
        <f t="shared" ref="K2218:P2218" si="4464">"0"</f>
        <v>0</v>
      </c>
      <c r="L2218" s="1" t="str">
        <f t="shared" si="4464"/>
        <v>0</v>
      </c>
      <c r="M2218" s="1" t="str">
        <f t="shared" si="4464"/>
        <v>0</v>
      </c>
      <c r="N2218" s="1" t="str">
        <f t="shared" si="4464"/>
        <v>0</v>
      </c>
      <c r="O2218" s="1" t="str">
        <f t="shared" si="4464"/>
        <v>0</v>
      </c>
      <c r="P2218" s="1" t="str">
        <f t="shared" si="4464"/>
        <v>0</v>
      </c>
      <c r="Q2218" s="1" t="str">
        <f t="shared" si="4383"/>
        <v>0.0070</v>
      </c>
      <c r="R2218" s="1" t="s">
        <v>29</v>
      </c>
      <c r="S2218" s="1">
        <v>-0.0014</v>
      </c>
      <c r="T2218" s="1" t="str">
        <f t="shared" si="4384"/>
        <v>0</v>
      </c>
      <c r="U2218" s="1" t="str">
        <f t="shared" si="4451"/>
        <v>0.0056</v>
      </c>
    </row>
    <row r="2219" s="1" customFormat="1" spans="1:21">
      <c r="A2219" s="1" t="str">
        <f>"4601992036847"</f>
        <v>4601992036847</v>
      </c>
      <c r="B2219" s="1" t="s">
        <v>2243</v>
      </c>
      <c r="C2219" s="1" t="s">
        <v>24</v>
      </c>
      <c r="D2219" s="1" t="str">
        <f t="shared" si="4380"/>
        <v>2021</v>
      </c>
      <c r="E2219" s="1" t="str">
        <f>"24.50"</f>
        <v>24.50</v>
      </c>
      <c r="F2219" s="1" t="str">
        <f t="shared" ref="F2219:I2219" si="4465">"0"</f>
        <v>0</v>
      </c>
      <c r="G2219" s="1" t="str">
        <f t="shared" si="4465"/>
        <v>0</v>
      </c>
      <c r="H2219" s="1" t="str">
        <f t="shared" si="4465"/>
        <v>0</v>
      </c>
      <c r="I2219" s="1" t="str">
        <f t="shared" si="4465"/>
        <v>0</v>
      </c>
      <c r="J2219" s="1" t="str">
        <f t="shared" si="4463"/>
        <v>2</v>
      </c>
      <c r="K2219" s="1" t="str">
        <f t="shared" ref="K2219:P2219" si="4466">"0"</f>
        <v>0</v>
      </c>
      <c r="L2219" s="1" t="str">
        <f t="shared" si="4466"/>
        <v>0</v>
      </c>
      <c r="M2219" s="1" t="str">
        <f t="shared" si="4466"/>
        <v>0</v>
      </c>
      <c r="N2219" s="1" t="str">
        <f t="shared" si="4466"/>
        <v>0</v>
      </c>
      <c r="O2219" s="1" t="str">
        <f t="shared" si="4466"/>
        <v>0</v>
      </c>
      <c r="P2219" s="1" t="str">
        <f t="shared" si="4466"/>
        <v>0</v>
      </c>
      <c r="Q2219" s="1" t="str">
        <f t="shared" si="4383"/>
        <v>0.0070</v>
      </c>
      <c r="R2219" s="1" t="s">
        <v>29</v>
      </c>
      <c r="S2219" s="1">
        <v>-0.0014</v>
      </c>
      <c r="T2219" s="1" t="str">
        <f t="shared" si="4384"/>
        <v>0</v>
      </c>
      <c r="U2219" s="1" t="str">
        <f t="shared" si="4451"/>
        <v>0.0056</v>
      </c>
    </row>
    <row r="2220" s="1" customFormat="1" spans="1:21">
      <c r="A2220" s="1" t="str">
        <f>"4601992036817"</f>
        <v>4601992036817</v>
      </c>
      <c r="B2220" s="1" t="s">
        <v>2244</v>
      </c>
      <c r="C2220" s="1" t="s">
        <v>24</v>
      </c>
      <c r="D2220" s="1" t="str">
        <f t="shared" si="4380"/>
        <v>2021</v>
      </c>
      <c r="E2220" s="1" t="str">
        <f>"36.27"</f>
        <v>36.27</v>
      </c>
      <c r="F2220" s="1" t="str">
        <f t="shared" ref="F2220:I2220" si="4467">"0"</f>
        <v>0</v>
      </c>
      <c r="G2220" s="1" t="str">
        <f t="shared" si="4467"/>
        <v>0</v>
      </c>
      <c r="H2220" s="1" t="str">
        <f t="shared" si="4467"/>
        <v>0</v>
      </c>
      <c r="I2220" s="1" t="str">
        <f t="shared" si="4467"/>
        <v>0</v>
      </c>
      <c r="J2220" s="1" t="str">
        <f>"6"</f>
        <v>6</v>
      </c>
      <c r="K2220" s="1" t="str">
        <f t="shared" ref="K2220:P2220" si="4468">"0"</f>
        <v>0</v>
      </c>
      <c r="L2220" s="1" t="str">
        <f t="shared" si="4468"/>
        <v>0</v>
      </c>
      <c r="M2220" s="1" t="str">
        <f t="shared" si="4468"/>
        <v>0</v>
      </c>
      <c r="N2220" s="1" t="str">
        <f t="shared" si="4468"/>
        <v>0</v>
      </c>
      <c r="O2220" s="1" t="str">
        <f t="shared" si="4468"/>
        <v>0</v>
      </c>
      <c r="P2220" s="1" t="str">
        <f t="shared" si="4468"/>
        <v>0</v>
      </c>
      <c r="Q2220" s="1" t="str">
        <f t="shared" si="4383"/>
        <v>0.0070</v>
      </c>
      <c r="R2220" s="1" t="s">
        <v>29</v>
      </c>
      <c r="S2220" s="1">
        <v>-0.0014</v>
      </c>
      <c r="T2220" s="1" t="str">
        <f t="shared" si="4384"/>
        <v>0</v>
      </c>
      <c r="U2220" s="1" t="str">
        <f t="shared" si="4451"/>
        <v>0.0056</v>
      </c>
    </row>
    <row r="2221" s="1" customFormat="1" spans="1:21">
      <c r="A2221" s="1" t="str">
        <f>"4601992036881"</f>
        <v>4601992036881</v>
      </c>
      <c r="B2221" s="1" t="s">
        <v>2245</v>
      </c>
      <c r="C2221" s="1" t="s">
        <v>24</v>
      </c>
      <c r="D2221" s="1" t="str">
        <f t="shared" si="4380"/>
        <v>2021</v>
      </c>
      <c r="E2221" s="1" t="str">
        <f>"12.09"</f>
        <v>12.09</v>
      </c>
      <c r="F2221" s="1" t="str">
        <f t="shared" ref="F2221:I2221" si="4469">"0"</f>
        <v>0</v>
      </c>
      <c r="G2221" s="1" t="str">
        <f t="shared" si="4469"/>
        <v>0</v>
      </c>
      <c r="H2221" s="1" t="str">
        <f t="shared" si="4469"/>
        <v>0</v>
      </c>
      <c r="I2221" s="1" t="str">
        <f t="shared" si="4469"/>
        <v>0</v>
      </c>
      <c r="J2221" s="1" t="str">
        <f>"1"</f>
        <v>1</v>
      </c>
      <c r="K2221" s="1" t="str">
        <f t="shared" ref="K2221:P2221" si="4470">"0"</f>
        <v>0</v>
      </c>
      <c r="L2221" s="1" t="str">
        <f t="shared" si="4470"/>
        <v>0</v>
      </c>
      <c r="M2221" s="1" t="str">
        <f t="shared" si="4470"/>
        <v>0</v>
      </c>
      <c r="N2221" s="1" t="str">
        <f t="shared" si="4470"/>
        <v>0</v>
      </c>
      <c r="O2221" s="1" t="str">
        <f t="shared" si="4470"/>
        <v>0</v>
      </c>
      <c r="P2221" s="1" t="str">
        <f t="shared" si="4470"/>
        <v>0</v>
      </c>
      <c r="Q2221" s="1" t="str">
        <f t="shared" si="4383"/>
        <v>0.0070</v>
      </c>
      <c r="R2221" s="1" t="s">
        <v>29</v>
      </c>
      <c r="S2221" s="1">
        <v>-0.0014</v>
      </c>
      <c r="T2221" s="1" t="str">
        <f t="shared" si="4384"/>
        <v>0</v>
      </c>
      <c r="U2221" s="1" t="str">
        <f t="shared" si="4451"/>
        <v>0.0056</v>
      </c>
    </row>
    <row r="2222" s="1" customFormat="1" spans="1:21">
      <c r="A2222" s="1" t="str">
        <f>"4601992036900"</f>
        <v>4601992036900</v>
      </c>
      <c r="B2222" s="1" t="s">
        <v>2246</v>
      </c>
      <c r="C2222" s="1" t="s">
        <v>24</v>
      </c>
      <c r="D2222" s="1" t="str">
        <f t="shared" si="4380"/>
        <v>2021</v>
      </c>
      <c r="E2222" s="1" t="str">
        <f>"12.12"</f>
        <v>12.12</v>
      </c>
      <c r="F2222" s="1" t="str">
        <f t="shared" ref="F2222:I2222" si="4471">"0"</f>
        <v>0</v>
      </c>
      <c r="G2222" s="1" t="str">
        <f t="shared" si="4471"/>
        <v>0</v>
      </c>
      <c r="H2222" s="1" t="str">
        <f t="shared" si="4471"/>
        <v>0</v>
      </c>
      <c r="I2222" s="1" t="str">
        <f t="shared" si="4471"/>
        <v>0</v>
      </c>
      <c r="J2222" s="1" t="str">
        <f t="shared" si="4463"/>
        <v>2</v>
      </c>
      <c r="K2222" s="1" t="str">
        <f t="shared" ref="K2222:P2222" si="4472">"0"</f>
        <v>0</v>
      </c>
      <c r="L2222" s="1" t="str">
        <f t="shared" si="4472"/>
        <v>0</v>
      </c>
      <c r="M2222" s="1" t="str">
        <f t="shared" si="4472"/>
        <v>0</v>
      </c>
      <c r="N2222" s="1" t="str">
        <f t="shared" si="4472"/>
        <v>0</v>
      </c>
      <c r="O2222" s="1" t="str">
        <f t="shared" si="4472"/>
        <v>0</v>
      </c>
      <c r="P2222" s="1" t="str">
        <f t="shared" si="4472"/>
        <v>0</v>
      </c>
      <c r="Q2222" s="1" t="str">
        <f t="shared" si="4383"/>
        <v>0.0070</v>
      </c>
      <c r="R2222" s="1" t="s">
        <v>29</v>
      </c>
      <c r="S2222" s="1">
        <v>-0.0014</v>
      </c>
      <c r="T2222" s="1" t="str">
        <f t="shared" si="4384"/>
        <v>0</v>
      </c>
      <c r="U2222" s="1" t="str">
        <f t="shared" si="4451"/>
        <v>0.0056</v>
      </c>
    </row>
    <row r="2223" s="1" customFormat="1" spans="1:21">
      <c r="A2223" s="1" t="str">
        <f>"4601992036920"</f>
        <v>4601992036920</v>
      </c>
      <c r="B2223" s="1" t="s">
        <v>2247</v>
      </c>
      <c r="C2223" s="1" t="s">
        <v>24</v>
      </c>
      <c r="D2223" s="1" t="str">
        <f t="shared" si="4380"/>
        <v>2021</v>
      </c>
      <c r="E2223" s="1" t="str">
        <f t="shared" ref="E2223:P2223" si="4473">"0"</f>
        <v>0</v>
      </c>
      <c r="F2223" s="1" t="str">
        <f t="shared" si="4473"/>
        <v>0</v>
      </c>
      <c r="G2223" s="1" t="str">
        <f t="shared" si="4473"/>
        <v>0</v>
      </c>
      <c r="H2223" s="1" t="str">
        <f t="shared" si="4473"/>
        <v>0</v>
      </c>
      <c r="I2223" s="1" t="str">
        <f t="shared" si="4473"/>
        <v>0</v>
      </c>
      <c r="J2223" s="1" t="str">
        <f t="shared" si="4473"/>
        <v>0</v>
      </c>
      <c r="K2223" s="1" t="str">
        <f t="shared" si="4473"/>
        <v>0</v>
      </c>
      <c r="L2223" s="1" t="str">
        <f t="shared" si="4473"/>
        <v>0</v>
      </c>
      <c r="M2223" s="1" t="str">
        <f t="shared" si="4473"/>
        <v>0</v>
      </c>
      <c r="N2223" s="1" t="str">
        <f t="shared" si="4473"/>
        <v>0</v>
      </c>
      <c r="O2223" s="1" t="str">
        <f t="shared" si="4473"/>
        <v>0</v>
      </c>
      <c r="P2223" s="1" t="str">
        <f t="shared" si="4473"/>
        <v>0</v>
      </c>
      <c r="Q2223" s="1" t="str">
        <f t="shared" si="4383"/>
        <v>0.0070</v>
      </c>
      <c r="R2223" s="1" t="s">
        <v>25</v>
      </c>
      <c r="T2223" s="1" t="str">
        <f t="shared" si="4384"/>
        <v>0</v>
      </c>
      <c r="U2223" s="1" t="str">
        <f t="shared" ref="U2223:U2227" si="4474">"0.0070"</f>
        <v>0.0070</v>
      </c>
    </row>
    <row r="2224" s="1" customFormat="1" spans="1:21">
      <c r="A2224" s="1" t="str">
        <f>"4601992036926"</f>
        <v>4601992036926</v>
      </c>
      <c r="B2224" s="1" t="s">
        <v>2248</v>
      </c>
      <c r="C2224" s="1" t="s">
        <v>24</v>
      </c>
      <c r="D2224" s="1" t="str">
        <f t="shared" si="4380"/>
        <v>2021</v>
      </c>
      <c r="E2224" s="1" t="str">
        <f t="shared" ref="E2224:P2224" si="4475">"0"</f>
        <v>0</v>
      </c>
      <c r="F2224" s="1" t="str">
        <f t="shared" si="4475"/>
        <v>0</v>
      </c>
      <c r="G2224" s="1" t="str">
        <f t="shared" si="4475"/>
        <v>0</v>
      </c>
      <c r="H2224" s="1" t="str">
        <f t="shared" si="4475"/>
        <v>0</v>
      </c>
      <c r="I2224" s="1" t="str">
        <f t="shared" si="4475"/>
        <v>0</v>
      </c>
      <c r="J2224" s="1" t="str">
        <f t="shared" si="4475"/>
        <v>0</v>
      </c>
      <c r="K2224" s="1" t="str">
        <f t="shared" si="4475"/>
        <v>0</v>
      </c>
      <c r="L2224" s="1" t="str">
        <f t="shared" si="4475"/>
        <v>0</v>
      </c>
      <c r="M2224" s="1" t="str">
        <f t="shared" si="4475"/>
        <v>0</v>
      </c>
      <c r="N2224" s="1" t="str">
        <f t="shared" si="4475"/>
        <v>0</v>
      </c>
      <c r="O2224" s="1" t="str">
        <f t="shared" si="4475"/>
        <v>0</v>
      </c>
      <c r="P2224" s="1" t="str">
        <f t="shared" si="4475"/>
        <v>0</v>
      </c>
      <c r="Q2224" s="1" t="str">
        <f t="shared" si="4383"/>
        <v>0.0070</v>
      </c>
      <c r="R2224" s="1" t="s">
        <v>25</v>
      </c>
      <c r="T2224" s="1" t="str">
        <f t="shared" si="4384"/>
        <v>0</v>
      </c>
      <c r="U2224" s="1" t="str">
        <f t="shared" si="4474"/>
        <v>0.0070</v>
      </c>
    </row>
    <row r="2225" s="1" customFormat="1" spans="1:21">
      <c r="A2225" s="1" t="str">
        <f>"4601992036943"</f>
        <v>4601992036943</v>
      </c>
      <c r="B2225" s="1" t="s">
        <v>2249</v>
      </c>
      <c r="C2225" s="1" t="s">
        <v>24</v>
      </c>
      <c r="D2225" s="1" t="str">
        <f t="shared" si="4380"/>
        <v>2021</v>
      </c>
      <c r="E2225" s="1" t="str">
        <f t="shared" ref="E2225:P2225" si="4476">"0"</f>
        <v>0</v>
      </c>
      <c r="F2225" s="1" t="str">
        <f t="shared" si="4476"/>
        <v>0</v>
      </c>
      <c r="G2225" s="1" t="str">
        <f t="shared" si="4476"/>
        <v>0</v>
      </c>
      <c r="H2225" s="1" t="str">
        <f t="shared" si="4476"/>
        <v>0</v>
      </c>
      <c r="I2225" s="1" t="str">
        <f t="shared" si="4476"/>
        <v>0</v>
      </c>
      <c r="J2225" s="1" t="str">
        <f t="shared" si="4476"/>
        <v>0</v>
      </c>
      <c r="K2225" s="1" t="str">
        <f t="shared" si="4476"/>
        <v>0</v>
      </c>
      <c r="L2225" s="1" t="str">
        <f t="shared" si="4476"/>
        <v>0</v>
      </c>
      <c r="M2225" s="1" t="str">
        <f t="shared" si="4476"/>
        <v>0</v>
      </c>
      <c r="N2225" s="1" t="str">
        <f t="shared" si="4476"/>
        <v>0</v>
      </c>
      <c r="O2225" s="1" t="str">
        <f t="shared" si="4476"/>
        <v>0</v>
      </c>
      <c r="P2225" s="1" t="str">
        <f t="shared" si="4476"/>
        <v>0</v>
      </c>
      <c r="Q2225" s="1" t="str">
        <f t="shared" si="4383"/>
        <v>0.0070</v>
      </c>
      <c r="R2225" s="1" t="s">
        <v>25</v>
      </c>
      <c r="T2225" s="1" t="str">
        <f t="shared" si="4384"/>
        <v>0</v>
      </c>
      <c r="U2225" s="1" t="str">
        <f t="shared" si="4474"/>
        <v>0.0070</v>
      </c>
    </row>
    <row r="2226" s="1" customFormat="1" spans="1:21">
      <c r="A2226" s="1" t="str">
        <f>"4601992037016"</f>
        <v>4601992037016</v>
      </c>
      <c r="B2226" s="1" t="s">
        <v>2250</v>
      </c>
      <c r="C2226" s="1" t="s">
        <v>24</v>
      </c>
      <c r="D2226" s="1" t="str">
        <f t="shared" si="4380"/>
        <v>2021</v>
      </c>
      <c r="E2226" s="1" t="str">
        <f t="shared" ref="E2226:P2226" si="4477">"0"</f>
        <v>0</v>
      </c>
      <c r="F2226" s="1" t="str">
        <f t="shared" si="4477"/>
        <v>0</v>
      </c>
      <c r="G2226" s="1" t="str">
        <f t="shared" si="4477"/>
        <v>0</v>
      </c>
      <c r="H2226" s="1" t="str">
        <f t="shared" si="4477"/>
        <v>0</v>
      </c>
      <c r="I2226" s="1" t="str">
        <f t="shared" si="4477"/>
        <v>0</v>
      </c>
      <c r="J2226" s="1" t="str">
        <f t="shared" si="4477"/>
        <v>0</v>
      </c>
      <c r="K2226" s="1" t="str">
        <f t="shared" si="4477"/>
        <v>0</v>
      </c>
      <c r="L2226" s="1" t="str">
        <f t="shared" si="4477"/>
        <v>0</v>
      </c>
      <c r="M2226" s="1" t="str">
        <f t="shared" si="4477"/>
        <v>0</v>
      </c>
      <c r="N2226" s="1" t="str">
        <f t="shared" si="4477"/>
        <v>0</v>
      </c>
      <c r="O2226" s="1" t="str">
        <f t="shared" si="4477"/>
        <v>0</v>
      </c>
      <c r="P2226" s="1" t="str">
        <f t="shared" si="4477"/>
        <v>0</v>
      </c>
      <c r="Q2226" s="1" t="str">
        <f t="shared" si="4383"/>
        <v>0.0070</v>
      </c>
      <c r="R2226" s="1" t="s">
        <v>25</v>
      </c>
      <c r="T2226" s="1" t="str">
        <f t="shared" si="4384"/>
        <v>0</v>
      </c>
      <c r="U2226" s="1" t="str">
        <f t="shared" si="4474"/>
        <v>0.0070</v>
      </c>
    </row>
    <row r="2227" s="1" customFormat="1" spans="1:21">
      <c r="A2227" s="1" t="str">
        <f>"4601992036987"</f>
        <v>4601992036987</v>
      </c>
      <c r="B2227" s="1" t="s">
        <v>2251</v>
      </c>
      <c r="C2227" s="1" t="s">
        <v>24</v>
      </c>
      <c r="D2227" s="1" t="str">
        <f t="shared" si="4380"/>
        <v>2021</v>
      </c>
      <c r="E2227" s="1" t="str">
        <f t="shared" ref="E2227:P2227" si="4478">"0"</f>
        <v>0</v>
      </c>
      <c r="F2227" s="1" t="str">
        <f t="shared" si="4478"/>
        <v>0</v>
      </c>
      <c r="G2227" s="1" t="str">
        <f t="shared" si="4478"/>
        <v>0</v>
      </c>
      <c r="H2227" s="1" t="str">
        <f t="shared" si="4478"/>
        <v>0</v>
      </c>
      <c r="I2227" s="1" t="str">
        <f t="shared" si="4478"/>
        <v>0</v>
      </c>
      <c r="J2227" s="1" t="str">
        <f t="shared" si="4478"/>
        <v>0</v>
      </c>
      <c r="K2227" s="1" t="str">
        <f t="shared" si="4478"/>
        <v>0</v>
      </c>
      <c r="L2227" s="1" t="str">
        <f t="shared" si="4478"/>
        <v>0</v>
      </c>
      <c r="M2227" s="1" t="str">
        <f t="shared" si="4478"/>
        <v>0</v>
      </c>
      <c r="N2227" s="1" t="str">
        <f t="shared" si="4478"/>
        <v>0</v>
      </c>
      <c r="O2227" s="1" t="str">
        <f t="shared" si="4478"/>
        <v>0</v>
      </c>
      <c r="P2227" s="1" t="str">
        <f t="shared" si="4478"/>
        <v>0</v>
      </c>
      <c r="Q2227" s="1" t="str">
        <f t="shared" si="4383"/>
        <v>0.0070</v>
      </c>
      <c r="R2227" s="1" t="s">
        <v>25</v>
      </c>
      <c r="T2227" s="1" t="str">
        <f t="shared" si="4384"/>
        <v>0</v>
      </c>
      <c r="U2227" s="1" t="str">
        <f t="shared" si="4474"/>
        <v>0.0070</v>
      </c>
    </row>
    <row r="2228" s="1" customFormat="1" spans="1:21">
      <c r="A2228" s="1" t="str">
        <f>"4601992036967"</f>
        <v>4601992036967</v>
      </c>
      <c r="B2228" s="1" t="s">
        <v>2252</v>
      </c>
      <c r="C2228" s="1" t="s">
        <v>24</v>
      </c>
      <c r="D2228" s="1" t="str">
        <f t="shared" si="4380"/>
        <v>2021</v>
      </c>
      <c r="E2228" s="1" t="str">
        <f>"72.32"</f>
        <v>72.32</v>
      </c>
      <c r="F2228" s="1" t="str">
        <f t="shared" ref="F2228:I2228" si="4479">"0"</f>
        <v>0</v>
      </c>
      <c r="G2228" s="1" t="str">
        <f t="shared" si="4479"/>
        <v>0</v>
      </c>
      <c r="H2228" s="1" t="str">
        <f t="shared" si="4479"/>
        <v>0</v>
      </c>
      <c r="I2228" s="1" t="str">
        <f t="shared" si="4479"/>
        <v>0</v>
      </c>
      <c r="J2228" s="1" t="str">
        <f>"5"</f>
        <v>5</v>
      </c>
      <c r="K2228" s="1" t="str">
        <f t="shared" ref="K2228:P2228" si="4480">"0"</f>
        <v>0</v>
      </c>
      <c r="L2228" s="1" t="str">
        <f t="shared" si="4480"/>
        <v>0</v>
      </c>
      <c r="M2228" s="1" t="str">
        <f t="shared" si="4480"/>
        <v>0</v>
      </c>
      <c r="N2228" s="1" t="str">
        <f t="shared" si="4480"/>
        <v>0</v>
      </c>
      <c r="O2228" s="1" t="str">
        <f t="shared" si="4480"/>
        <v>0</v>
      </c>
      <c r="P2228" s="1" t="str">
        <f t="shared" si="4480"/>
        <v>0</v>
      </c>
      <c r="Q2228" s="1" t="str">
        <f t="shared" si="4383"/>
        <v>0.0070</v>
      </c>
      <c r="R2228" s="1" t="s">
        <v>29</v>
      </c>
      <c r="S2228" s="1">
        <v>-0.0014</v>
      </c>
      <c r="T2228" s="1" t="str">
        <f t="shared" si="4384"/>
        <v>0</v>
      </c>
      <c r="U2228" s="1" t="str">
        <f t="shared" ref="U2228:U2231" si="4481">"0.0056"</f>
        <v>0.0056</v>
      </c>
    </row>
    <row r="2229" s="1" customFormat="1" spans="1:21">
      <c r="A2229" s="1" t="str">
        <f>"4601992036970"</f>
        <v>4601992036970</v>
      </c>
      <c r="B2229" s="1" t="s">
        <v>2253</v>
      </c>
      <c r="C2229" s="1" t="s">
        <v>24</v>
      </c>
      <c r="D2229" s="1" t="str">
        <f t="shared" si="4380"/>
        <v>2021</v>
      </c>
      <c r="E2229" s="1" t="str">
        <f t="shared" ref="E2229:I2229" si="4482">"0"</f>
        <v>0</v>
      </c>
      <c r="F2229" s="1" t="str">
        <f t="shared" si="4482"/>
        <v>0</v>
      </c>
      <c r="G2229" s="1" t="str">
        <f t="shared" si="4482"/>
        <v>0</v>
      </c>
      <c r="H2229" s="1" t="str">
        <f t="shared" si="4482"/>
        <v>0</v>
      </c>
      <c r="I2229" s="1" t="str">
        <f t="shared" si="4482"/>
        <v>0</v>
      </c>
      <c r="J2229" s="1" t="str">
        <f>"2"</f>
        <v>2</v>
      </c>
      <c r="K2229" s="1" t="str">
        <f t="shared" ref="K2229:P2229" si="4483">"0"</f>
        <v>0</v>
      </c>
      <c r="L2229" s="1" t="str">
        <f t="shared" si="4483"/>
        <v>0</v>
      </c>
      <c r="M2229" s="1" t="str">
        <f t="shared" si="4483"/>
        <v>0</v>
      </c>
      <c r="N2229" s="1" t="str">
        <f t="shared" si="4483"/>
        <v>0</v>
      </c>
      <c r="O2229" s="1" t="str">
        <f t="shared" si="4483"/>
        <v>0</v>
      </c>
      <c r="P2229" s="1" t="str">
        <f t="shared" si="4483"/>
        <v>0</v>
      </c>
      <c r="Q2229" s="1" t="str">
        <f t="shared" si="4383"/>
        <v>0.0070</v>
      </c>
      <c r="R2229" s="1" t="s">
        <v>25</v>
      </c>
      <c r="T2229" s="1" t="str">
        <f t="shared" si="4384"/>
        <v>0</v>
      </c>
      <c r="U2229" s="1" t="str">
        <f t="shared" ref="U2229:U2235" si="4484">"0.0070"</f>
        <v>0.0070</v>
      </c>
    </row>
    <row r="2230" s="1" customFormat="1" spans="1:21">
      <c r="A2230" s="1" t="str">
        <f>"4601992037041"</f>
        <v>4601992037041</v>
      </c>
      <c r="B2230" s="1" t="s">
        <v>2254</v>
      </c>
      <c r="C2230" s="1" t="s">
        <v>24</v>
      </c>
      <c r="D2230" s="1" t="str">
        <f t="shared" si="4380"/>
        <v>2021</v>
      </c>
      <c r="E2230" s="1" t="str">
        <f>"12.09"</f>
        <v>12.09</v>
      </c>
      <c r="F2230" s="1" t="str">
        <f t="shared" ref="F2230:I2230" si="4485">"0"</f>
        <v>0</v>
      </c>
      <c r="G2230" s="1" t="str">
        <f t="shared" si="4485"/>
        <v>0</v>
      </c>
      <c r="H2230" s="1" t="str">
        <f t="shared" si="4485"/>
        <v>0</v>
      </c>
      <c r="I2230" s="1" t="str">
        <f t="shared" si="4485"/>
        <v>0</v>
      </c>
      <c r="J2230" s="1" t="str">
        <f>"1"</f>
        <v>1</v>
      </c>
      <c r="K2230" s="1" t="str">
        <f t="shared" ref="K2230:P2230" si="4486">"0"</f>
        <v>0</v>
      </c>
      <c r="L2230" s="1" t="str">
        <f t="shared" si="4486"/>
        <v>0</v>
      </c>
      <c r="M2230" s="1" t="str">
        <f t="shared" si="4486"/>
        <v>0</v>
      </c>
      <c r="N2230" s="1" t="str">
        <f t="shared" si="4486"/>
        <v>0</v>
      </c>
      <c r="O2230" s="1" t="str">
        <f t="shared" si="4486"/>
        <v>0</v>
      </c>
      <c r="P2230" s="1" t="str">
        <f t="shared" si="4486"/>
        <v>0</v>
      </c>
      <c r="Q2230" s="1" t="str">
        <f t="shared" si="4383"/>
        <v>0.0070</v>
      </c>
      <c r="R2230" s="1" t="s">
        <v>29</v>
      </c>
      <c r="S2230" s="1">
        <v>-0.0014</v>
      </c>
      <c r="T2230" s="1" t="str">
        <f t="shared" si="4384"/>
        <v>0</v>
      </c>
      <c r="U2230" s="1" t="str">
        <f t="shared" si="4481"/>
        <v>0.0056</v>
      </c>
    </row>
    <row r="2231" s="1" customFormat="1" spans="1:21">
      <c r="A2231" s="1" t="str">
        <f>"4601992037052"</f>
        <v>4601992037052</v>
      </c>
      <c r="B2231" s="1" t="s">
        <v>2255</v>
      </c>
      <c r="C2231" s="1" t="s">
        <v>24</v>
      </c>
      <c r="D2231" s="1" t="str">
        <f t="shared" si="4380"/>
        <v>2021</v>
      </c>
      <c r="E2231" s="1" t="str">
        <f>"36.27"</f>
        <v>36.27</v>
      </c>
      <c r="F2231" s="1" t="str">
        <f t="shared" ref="F2231:I2231" si="4487">"0"</f>
        <v>0</v>
      </c>
      <c r="G2231" s="1" t="str">
        <f t="shared" si="4487"/>
        <v>0</v>
      </c>
      <c r="H2231" s="1" t="str">
        <f t="shared" si="4487"/>
        <v>0</v>
      </c>
      <c r="I2231" s="1" t="str">
        <f t="shared" si="4487"/>
        <v>0</v>
      </c>
      <c r="J2231" s="1" t="str">
        <f>"3"</f>
        <v>3</v>
      </c>
      <c r="K2231" s="1" t="str">
        <f t="shared" ref="K2231:P2231" si="4488">"0"</f>
        <v>0</v>
      </c>
      <c r="L2231" s="1" t="str">
        <f t="shared" si="4488"/>
        <v>0</v>
      </c>
      <c r="M2231" s="1" t="str">
        <f t="shared" si="4488"/>
        <v>0</v>
      </c>
      <c r="N2231" s="1" t="str">
        <f t="shared" si="4488"/>
        <v>0</v>
      </c>
      <c r="O2231" s="1" t="str">
        <f t="shared" si="4488"/>
        <v>0</v>
      </c>
      <c r="P2231" s="1" t="str">
        <f t="shared" si="4488"/>
        <v>0</v>
      </c>
      <c r="Q2231" s="1" t="str">
        <f t="shared" si="4383"/>
        <v>0.0070</v>
      </c>
      <c r="R2231" s="1" t="s">
        <v>29</v>
      </c>
      <c r="S2231" s="1">
        <v>-0.0014</v>
      </c>
      <c r="T2231" s="1" t="str">
        <f t="shared" si="4384"/>
        <v>0</v>
      </c>
      <c r="U2231" s="1" t="str">
        <f t="shared" si="4481"/>
        <v>0.0056</v>
      </c>
    </row>
    <row r="2232" s="1" customFormat="1" spans="1:21">
      <c r="A2232" s="1" t="str">
        <f>"4601992037063"</f>
        <v>4601992037063</v>
      </c>
      <c r="B2232" s="1" t="s">
        <v>2256</v>
      </c>
      <c r="C2232" s="1" t="s">
        <v>24</v>
      </c>
      <c r="D2232" s="1" t="str">
        <f t="shared" si="4380"/>
        <v>2021</v>
      </c>
      <c r="E2232" s="1" t="str">
        <f t="shared" ref="E2232:P2232" si="4489">"0"</f>
        <v>0</v>
      </c>
      <c r="F2232" s="1" t="str">
        <f t="shared" si="4489"/>
        <v>0</v>
      </c>
      <c r="G2232" s="1" t="str">
        <f t="shared" si="4489"/>
        <v>0</v>
      </c>
      <c r="H2232" s="1" t="str">
        <f t="shared" si="4489"/>
        <v>0</v>
      </c>
      <c r="I2232" s="1" t="str">
        <f t="shared" si="4489"/>
        <v>0</v>
      </c>
      <c r="J2232" s="1" t="str">
        <f t="shared" si="4489"/>
        <v>0</v>
      </c>
      <c r="K2232" s="1" t="str">
        <f t="shared" si="4489"/>
        <v>0</v>
      </c>
      <c r="L2232" s="1" t="str">
        <f t="shared" si="4489"/>
        <v>0</v>
      </c>
      <c r="M2232" s="1" t="str">
        <f t="shared" si="4489"/>
        <v>0</v>
      </c>
      <c r="N2232" s="1" t="str">
        <f t="shared" si="4489"/>
        <v>0</v>
      </c>
      <c r="O2232" s="1" t="str">
        <f t="shared" si="4489"/>
        <v>0</v>
      </c>
      <c r="P2232" s="1" t="str">
        <f t="shared" si="4489"/>
        <v>0</v>
      </c>
      <c r="Q2232" s="1" t="str">
        <f t="shared" si="4383"/>
        <v>0.0070</v>
      </c>
      <c r="R2232" s="1" t="s">
        <v>25</v>
      </c>
      <c r="T2232" s="1" t="str">
        <f t="shared" si="4384"/>
        <v>0</v>
      </c>
      <c r="U2232" s="1" t="str">
        <f t="shared" si="4484"/>
        <v>0.0070</v>
      </c>
    </row>
    <row r="2233" s="1" customFormat="1" spans="1:21">
      <c r="A2233" s="1" t="str">
        <f>"4601992037059"</f>
        <v>4601992037059</v>
      </c>
      <c r="B2233" s="1" t="s">
        <v>2257</v>
      </c>
      <c r="C2233" s="1" t="s">
        <v>24</v>
      </c>
      <c r="D2233" s="1" t="str">
        <f t="shared" si="4380"/>
        <v>2021</v>
      </c>
      <c r="E2233" s="1" t="str">
        <f>"61.25"</f>
        <v>61.25</v>
      </c>
      <c r="F2233" s="1" t="str">
        <f t="shared" ref="F2233:I2233" si="4490">"0"</f>
        <v>0</v>
      </c>
      <c r="G2233" s="1" t="str">
        <f t="shared" si="4490"/>
        <v>0</v>
      </c>
      <c r="H2233" s="1" t="str">
        <f t="shared" si="4490"/>
        <v>0</v>
      </c>
      <c r="I2233" s="1" t="str">
        <f t="shared" si="4490"/>
        <v>0</v>
      </c>
      <c r="J2233" s="1" t="str">
        <f>"6"</f>
        <v>6</v>
      </c>
      <c r="K2233" s="1" t="str">
        <f t="shared" ref="K2233:P2233" si="4491">"0"</f>
        <v>0</v>
      </c>
      <c r="L2233" s="1" t="str">
        <f t="shared" si="4491"/>
        <v>0</v>
      </c>
      <c r="M2233" s="1" t="str">
        <f t="shared" si="4491"/>
        <v>0</v>
      </c>
      <c r="N2233" s="1" t="str">
        <f t="shared" si="4491"/>
        <v>0</v>
      </c>
      <c r="O2233" s="1" t="str">
        <f t="shared" si="4491"/>
        <v>0</v>
      </c>
      <c r="P2233" s="1" t="str">
        <f t="shared" si="4491"/>
        <v>0</v>
      </c>
      <c r="Q2233" s="1" t="str">
        <f t="shared" si="4383"/>
        <v>0.0070</v>
      </c>
      <c r="R2233" s="1" t="s">
        <v>25</v>
      </c>
      <c r="T2233" s="1" t="str">
        <f t="shared" si="4384"/>
        <v>0</v>
      </c>
      <c r="U2233" s="1" t="str">
        <f t="shared" si="4484"/>
        <v>0.0070</v>
      </c>
    </row>
    <row r="2234" s="1" customFormat="1" spans="1:21">
      <c r="A2234" s="1" t="str">
        <f>"4601992037072"</f>
        <v>4601992037072</v>
      </c>
      <c r="B2234" s="1" t="s">
        <v>2258</v>
      </c>
      <c r="C2234" s="1" t="s">
        <v>24</v>
      </c>
      <c r="D2234" s="1" t="str">
        <f t="shared" si="4380"/>
        <v>2021</v>
      </c>
      <c r="E2234" s="1" t="str">
        <f t="shared" ref="E2234:P2234" si="4492">"0"</f>
        <v>0</v>
      </c>
      <c r="F2234" s="1" t="str">
        <f t="shared" si="4492"/>
        <v>0</v>
      </c>
      <c r="G2234" s="1" t="str">
        <f t="shared" si="4492"/>
        <v>0</v>
      </c>
      <c r="H2234" s="1" t="str">
        <f t="shared" si="4492"/>
        <v>0</v>
      </c>
      <c r="I2234" s="1" t="str">
        <f t="shared" si="4492"/>
        <v>0</v>
      </c>
      <c r="J2234" s="1" t="str">
        <f t="shared" si="4492"/>
        <v>0</v>
      </c>
      <c r="K2234" s="1" t="str">
        <f t="shared" si="4492"/>
        <v>0</v>
      </c>
      <c r="L2234" s="1" t="str">
        <f t="shared" si="4492"/>
        <v>0</v>
      </c>
      <c r="M2234" s="1" t="str">
        <f t="shared" si="4492"/>
        <v>0</v>
      </c>
      <c r="N2234" s="1" t="str">
        <f t="shared" si="4492"/>
        <v>0</v>
      </c>
      <c r="O2234" s="1" t="str">
        <f t="shared" si="4492"/>
        <v>0</v>
      </c>
      <c r="P2234" s="1" t="str">
        <f t="shared" si="4492"/>
        <v>0</v>
      </c>
      <c r="Q2234" s="1" t="str">
        <f t="shared" si="4383"/>
        <v>0.0070</v>
      </c>
      <c r="R2234" s="1" t="s">
        <v>25</v>
      </c>
      <c r="T2234" s="1" t="str">
        <f t="shared" si="4384"/>
        <v>0</v>
      </c>
      <c r="U2234" s="1" t="str">
        <f t="shared" si="4484"/>
        <v>0.0070</v>
      </c>
    </row>
    <row r="2235" s="1" customFormat="1" spans="1:21">
      <c r="A2235" s="1" t="str">
        <f>"4601992037084"</f>
        <v>4601992037084</v>
      </c>
      <c r="B2235" s="1" t="s">
        <v>2259</v>
      </c>
      <c r="C2235" s="1" t="s">
        <v>24</v>
      </c>
      <c r="D2235" s="1" t="str">
        <f t="shared" si="4380"/>
        <v>2021</v>
      </c>
      <c r="E2235" s="1" t="str">
        <f t="shared" ref="E2235:I2235" si="4493">"0"</f>
        <v>0</v>
      </c>
      <c r="F2235" s="1" t="str">
        <f t="shared" si="4493"/>
        <v>0</v>
      </c>
      <c r="G2235" s="1" t="str">
        <f t="shared" si="4493"/>
        <v>0</v>
      </c>
      <c r="H2235" s="1" t="str">
        <f t="shared" si="4493"/>
        <v>0</v>
      </c>
      <c r="I2235" s="1" t="str">
        <f t="shared" si="4493"/>
        <v>0</v>
      </c>
      <c r="J2235" s="1" t="str">
        <f t="shared" ref="J2235:J2239" si="4494">"1"</f>
        <v>1</v>
      </c>
      <c r="K2235" s="1" t="str">
        <f t="shared" ref="K2235:P2235" si="4495">"0"</f>
        <v>0</v>
      </c>
      <c r="L2235" s="1" t="str">
        <f t="shared" si="4495"/>
        <v>0</v>
      </c>
      <c r="M2235" s="1" t="str">
        <f t="shared" si="4495"/>
        <v>0</v>
      </c>
      <c r="N2235" s="1" t="str">
        <f t="shared" si="4495"/>
        <v>0</v>
      </c>
      <c r="O2235" s="1" t="str">
        <f t="shared" si="4495"/>
        <v>0</v>
      </c>
      <c r="P2235" s="1" t="str">
        <f t="shared" si="4495"/>
        <v>0</v>
      </c>
      <c r="Q2235" s="1" t="str">
        <f t="shared" si="4383"/>
        <v>0.0070</v>
      </c>
      <c r="R2235" s="1" t="s">
        <v>25</v>
      </c>
      <c r="T2235" s="1" t="str">
        <f t="shared" si="4384"/>
        <v>0</v>
      </c>
      <c r="U2235" s="1" t="str">
        <f t="shared" si="4484"/>
        <v>0.0070</v>
      </c>
    </row>
    <row r="2236" s="1" customFormat="1" spans="1:21">
      <c r="A2236" s="1" t="str">
        <f>"4601992037095"</f>
        <v>4601992037095</v>
      </c>
      <c r="B2236" s="1" t="s">
        <v>2260</v>
      </c>
      <c r="C2236" s="1" t="s">
        <v>24</v>
      </c>
      <c r="D2236" s="1" t="str">
        <f t="shared" si="4380"/>
        <v>2021</v>
      </c>
      <c r="E2236" s="1" t="str">
        <f>"24.18"</f>
        <v>24.18</v>
      </c>
      <c r="F2236" s="1" t="str">
        <f t="shared" ref="F2236:I2236" si="4496">"0"</f>
        <v>0</v>
      </c>
      <c r="G2236" s="1" t="str">
        <f t="shared" si="4496"/>
        <v>0</v>
      </c>
      <c r="H2236" s="1" t="str">
        <f t="shared" si="4496"/>
        <v>0</v>
      </c>
      <c r="I2236" s="1" t="str">
        <f t="shared" si="4496"/>
        <v>0</v>
      </c>
      <c r="J2236" s="1" t="str">
        <f t="shared" si="4494"/>
        <v>1</v>
      </c>
      <c r="K2236" s="1" t="str">
        <f t="shared" ref="K2236:P2236" si="4497">"0"</f>
        <v>0</v>
      </c>
      <c r="L2236" s="1" t="str">
        <f t="shared" si="4497"/>
        <v>0</v>
      </c>
      <c r="M2236" s="1" t="str">
        <f t="shared" si="4497"/>
        <v>0</v>
      </c>
      <c r="N2236" s="1" t="str">
        <f t="shared" si="4497"/>
        <v>0</v>
      </c>
      <c r="O2236" s="1" t="str">
        <f t="shared" si="4497"/>
        <v>0</v>
      </c>
      <c r="P2236" s="1" t="str">
        <f t="shared" si="4497"/>
        <v>0</v>
      </c>
      <c r="Q2236" s="1" t="str">
        <f t="shared" si="4383"/>
        <v>0.0070</v>
      </c>
      <c r="R2236" s="1" t="s">
        <v>29</v>
      </c>
      <c r="S2236" s="1">
        <v>-0.0014</v>
      </c>
      <c r="T2236" s="1" t="str">
        <f t="shared" si="4384"/>
        <v>0</v>
      </c>
      <c r="U2236" s="1" t="str">
        <f t="shared" ref="U2236:U2241" si="4498">"0.0056"</f>
        <v>0.0056</v>
      </c>
    </row>
    <row r="2237" s="1" customFormat="1" spans="1:21">
      <c r="A2237" s="1" t="str">
        <f>"4601992037076"</f>
        <v>4601992037076</v>
      </c>
      <c r="B2237" s="1" t="s">
        <v>2261</v>
      </c>
      <c r="C2237" s="1" t="s">
        <v>24</v>
      </c>
      <c r="D2237" s="1" t="str">
        <f t="shared" si="4380"/>
        <v>2021</v>
      </c>
      <c r="E2237" s="1" t="str">
        <f>"25.98"</f>
        <v>25.98</v>
      </c>
      <c r="F2237" s="1" t="str">
        <f t="shared" ref="F2237:I2237" si="4499">"0"</f>
        <v>0</v>
      </c>
      <c r="G2237" s="1" t="str">
        <f t="shared" si="4499"/>
        <v>0</v>
      </c>
      <c r="H2237" s="1" t="str">
        <f t="shared" si="4499"/>
        <v>0</v>
      </c>
      <c r="I2237" s="1" t="str">
        <f t="shared" si="4499"/>
        <v>0</v>
      </c>
      <c r="J2237" s="1" t="str">
        <f t="shared" ref="J2237:J2241" si="4500">"2"</f>
        <v>2</v>
      </c>
      <c r="K2237" s="1" t="str">
        <f t="shared" ref="K2237:P2237" si="4501">"0"</f>
        <v>0</v>
      </c>
      <c r="L2237" s="1" t="str">
        <f t="shared" si="4501"/>
        <v>0</v>
      </c>
      <c r="M2237" s="1" t="str">
        <f t="shared" si="4501"/>
        <v>0</v>
      </c>
      <c r="N2237" s="1" t="str">
        <f t="shared" si="4501"/>
        <v>0</v>
      </c>
      <c r="O2237" s="1" t="str">
        <f t="shared" si="4501"/>
        <v>0</v>
      </c>
      <c r="P2237" s="1" t="str">
        <f t="shared" si="4501"/>
        <v>0</v>
      </c>
      <c r="Q2237" s="1" t="str">
        <f t="shared" si="4383"/>
        <v>0.0070</v>
      </c>
      <c r="R2237" s="1" t="s">
        <v>25</v>
      </c>
      <c r="T2237" s="1" t="str">
        <f t="shared" si="4384"/>
        <v>0</v>
      </c>
      <c r="U2237" s="1" t="str">
        <f t="shared" ref="U2237:U2244" si="4502">"0.0070"</f>
        <v>0.0070</v>
      </c>
    </row>
    <row r="2238" s="1" customFormat="1" spans="1:21">
      <c r="A2238" s="1" t="str">
        <f>"4601992037107"</f>
        <v>4601992037107</v>
      </c>
      <c r="B2238" s="1" t="s">
        <v>2262</v>
      </c>
      <c r="C2238" s="1" t="s">
        <v>24</v>
      </c>
      <c r="D2238" s="1" t="str">
        <f t="shared" si="4380"/>
        <v>2021</v>
      </c>
      <c r="E2238" s="1" t="str">
        <f>"24.07"</f>
        <v>24.07</v>
      </c>
      <c r="F2238" s="1" t="str">
        <f t="shared" ref="F2238:I2238" si="4503">"0"</f>
        <v>0</v>
      </c>
      <c r="G2238" s="1" t="str">
        <f t="shared" si="4503"/>
        <v>0</v>
      </c>
      <c r="H2238" s="1" t="str">
        <f t="shared" si="4503"/>
        <v>0</v>
      </c>
      <c r="I2238" s="1" t="str">
        <f t="shared" si="4503"/>
        <v>0</v>
      </c>
      <c r="J2238" s="1" t="str">
        <f t="shared" si="4500"/>
        <v>2</v>
      </c>
      <c r="K2238" s="1" t="str">
        <f t="shared" ref="K2238:P2238" si="4504">"0"</f>
        <v>0</v>
      </c>
      <c r="L2238" s="1" t="str">
        <f t="shared" si="4504"/>
        <v>0</v>
      </c>
      <c r="M2238" s="1" t="str">
        <f t="shared" si="4504"/>
        <v>0</v>
      </c>
      <c r="N2238" s="1" t="str">
        <f t="shared" si="4504"/>
        <v>0</v>
      </c>
      <c r="O2238" s="1" t="str">
        <f t="shared" si="4504"/>
        <v>0</v>
      </c>
      <c r="P2238" s="1" t="str">
        <f t="shared" si="4504"/>
        <v>0</v>
      </c>
      <c r="Q2238" s="1" t="str">
        <f t="shared" si="4383"/>
        <v>0.0070</v>
      </c>
      <c r="R2238" s="1" t="s">
        <v>29</v>
      </c>
      <c r="S2238" s="1">
        <v>-0.0014</v>
      </c>
      <c r="T2238" s="1" t="str">
        <f t="shared" si="4384"/>
        <v>0</v>
      </c>
      <c r="U2238" s="1" t="str">
        <f t="shared" si="4498"/>
        <v>0.0056</v>
      </c>
    </row>
    <row r="2239" s="1" customFormat="1" spans="1:21">
      <c r="A2239" s="1" t="str">
        <f>"4601992037117"</f>
        <v>4601992037117</v>
      </c>
      <c r="B2239" s="1" t="s">
        <v>2263</v>
      </c>
      <c r="C2239" s="1" t="s">
        <v>24</v>
      </c>
      <c r="D2239" s="1" t="str">
        <f t="shared" si="4380"/>
        <v>2021</v>
      </c>
      <c r="E2239" s="1" t="str">
        <f>"12.09"</f>
        <v>12.09</v>
      </c>
      <c r="F2239" s="1" t="str">
        <f t="shared" ref="F2239:I2239" si="4505">"0"</f>
        <v>0</v>
      </c>
      <c r="G2239" s="1" t="str">
        <f t="shared" si="4505"/>
        <v>0</v>
      </c>
      <c r="H2239" s="1" t="str">
        <f t="shared" si="4505"/>
        <v>0</v>
      </c>
      <c r="I2239" s="1" t="str">
        <f t="shared" si="4505"/>
        <v>0</v>
      </c>
      <c r="J2239" s="1" t="str">
        <f t="shared" si="4494"/>
        <v>1</v>
      </c>
      <c r="K2239" s="1" t="str">
        <f t="shared" ref="K2239:P2239" si="4506">"0"</f>
        <v>0</v>
      </c>
      <c r="L2239" s="1" t="str">
        <f t="shared" si="4506"/>
        <v>0</v>
      </c>
      <c r="M2239" s="1" t="str">
        <f t="shared" si="4506"/>
        <v>0</v>
      </c>
      <c r="N2239" s="1" t="str">
        <f t="shared" si="4506"/>
        <v>0</v>
      </c>
      <c r="O2239" s="1" t="str">
        <f t="shared" si="4506"/>
        <v>0</v>
      </c>
      <c r="P2239" s="1" t="str">
        <f t="shared" si="4506"/>
        <v>0</v>
      </c>
      <c r="Q2239" s="1" t="str">
        <f t="shared" si="4383"/>
        <v>0.0070</v>
      </c>
      <c r="R2239" s="1" t="s">
        <v>25</v>
      </c>
      <c r="T2239" s="1" t="str">
        <f t="shared" si="4384"/>
        <v>0</v>
      </c>
      <c r="U2239" s="1" t="str">
        <f t="shared" si="4502"/>
        <v>0.0070</v>
      </c>
    </row>
    <row r="2240" s="1" customFormat="1" spans="1:21">
      <c r="A2240" s="1" t="str">
        <f>"4601992037137"</f>
        <v>4601992037137</v>
      </c>
      <c r="B2240" s="1" t="s">
        <v>2264</v>
      </c>
      <c r="C2240" s="1" t="s">
        <v>24</v>
      </c>
      <c r="D2240" s="1" t="str">
        <f t="shared" si="4380"/>
        <v>2021</v>
      </c>
      <c r="E2240" s="1" t="str">
        <f>"36.27"</f>
        <v>36.27</v>
      </c>
      <c r="F2240" s="1" t="str">
        <f t="shared" ref="F2240:I2240" si="4507">"0"</f>
        <v>0</v>
      </c>
      <c r="G2240" s="1" t="str">
        <f t="shared" si="4507"/>
        <v>0</v>
      </c>
      <c r="H2240" s="1" t="str">
        <f t="shared" si="4507"/>
        <v>0</v>
      </c>
      <c r="I2240" s="1" t="str">
        <f t="shared" si="4507"/>
        <v>0</v>
      </c>
      <c r="J2240" s="1" t="str">
        <f>"3"</f>
        <v>3</v>
      </c>
      <c r="K2240" s="1" t="str">
        <f t="shared" ref="K2240:P2240" si="4508">"0"</f>
        <v>0</v>
      </c>
      <c r="L2240" s="1" t="str">
        <f t="shared" si="4508"/>
        <v>0</v>
      </c>
      <c r="M2240" s="1" t="str">
        <f t="shared" si="4508"/>
        <v>0</v>
      </c>
      <c r="N2240" s="1" t="str">
        <f t="shared" si="4508"/>
        <v>0</v>
      </c>
      <c r="O2240" s="1" t="str">
        <f t="shared" si="4508"/>
        <v>0</v>
      </c>
      <c r="P2240" s="1" t="str">
        <f t="shared" si="4508"/>
        <v>0</v>
      </c>
      <c r="Q2240" s="1" t="str">
        <f t="shared" si="4383"/>
        <v>0.0070</v>
      </c>
      <c r="R2240" s="1" t="s">
        <v>29</v>
      </c>
      <c r="S2240" s="1">
        <v>-0.0014</v>
      </c>
      <c r="T2240" s="1" t="str">
        <f t="shared" si="4384"/>
        <v>0</v>
      </c>
      <c r="U2240" s="1" t="str">
        <f t="shared" si="4498"/>
        <v>0.0056</v>
      </c>
    </row>
    <row r="2241" s="1" customFormat="1" spans="1:21">
      <c r="A2241" s="1" t="str">
        <f>"4601992037133"</f>
        <v>4601992037133</v>
      </c>
      <c r="B2241" s="1" t="s">
        <v>2265</v>
      </c>
      <c r="C2241" s="1" t="s">
        <v>24</v>
      </c>
      <c r="D2241" s="1" t="str">
        <f t="shared" si="4380"/>
        <v>2021</v>
      </c>
      <c r="E2241" s="1" t="str">
        <f>"28.00"</f>
        <v>28.00</v>
      </c>
      <c r="F2241" s="1" t="str">
        <f t="shared" ref="F2241:I2241" si="4509">"0"</f>
        <v>0</v>
      </c>
      <c r="G2241" s="1" t="str">
        <f t="shared" si="4509"/>
        <v>0</v>
      </c>
      <c r="H2241" s="1" t="str">
        <f t="shared" si="4509"/>
        <v>0</v>
      </c>
      <c r="I2241" s="1" t="str">
        <f t="shared" si="4509"/>
        <v>0</v>
      </c>
      <c r="J2241" s="1" t="str">
        <f t="shared" si="4500"/>
        <v>2</v>
      </c>
      <c r="K2241" s="1" t="str">
        <f t="shared" ref="K2241:P2241" si="4510">"0"</f>
        <v>0</v>
      </c>
      <c r="L2241" s="1" t="str">
        <f t="shared" si="4510"/>
        <v>0</v>
      </c>
      <c r="M2241" s="1" t="str">
        <f t="shared" si="4510"/>
        <v>0</v>
      </c>
      <c r="N2241" s="1" t="str">
        <f t="shared" si="4510"/>
        <v>0</v>
      </c>
      <c r="O2241" s="1" t="str">
        <f t="shared" si="4510"/>
        <v>0</v>
      </c>
      <c r="P2241" s="1" t="str">
        <f t="shared" si="4510"/>
        <v>0</v>
      </c>
      <c r="Q2241" s="1" t="str">
        <f t="shared" si="4383"/>
        <v>0.0070</v>
      </c>
      <c r="R2241" s="1" t="s">
        <v>29</v>
      </c>
      <c r="S2241" s="1">
        <v>-0.0014</v>
      </c>
      <c r="T2241" s="1" t="str">
        <f t="shared" si="4384"/>
        <v>0</v>
      </c>
      <c r="U2241" s="1" t="str">
        <f t="shared" si="4498"/>
        <v>0.0056</v>
      </c>
    </row>
    <row r="2242" s="1" customFormat="1" spans="1:21">
      <c r="A2242" s="1" t="str">
        <f>"4601992037141"</f>
        <v>4601992037141</v>
      </c>
      <c r="B2242" s="1" t="s">
        <v>2266</v>
      </c>
      <c r="C2242" s="1" t="s">
        <v>24</v>
      </c>
      <c r="D2242" s="1" t="str">
        <f t="shared" si="4380"/>
        <v>2021</v>
      </c>
      <c r="E2242" s="1" t="str">
        <f t="shared" ref="E2242:I2242" si="4511">"0"</f>
        <v>0</v>
      </c>
      <c r="F2242" s="1" t="str">
        <f t="shared" si="4511"/>
        <v>0</v>
      </c>
      <c r="G2242" s="1" t="str">
        <f t="shared" si="4511"/>
        <v>0</v>
      </c>
      <c r="H2242" s="1" t="str">
        <f t="shared" si="4511"/>
        <v>0</v>
      </c>
      <c r="I2242" s="1" t="str">
        <f t="shared" si="4511"/>
        <v>0</v>
      </c>
      <c r="J2242" s="1" t="str">
        <f>"3"</f>
        <v>3</v>
      </c>
      <c r="K2242" s="1" t="str">
        <f t="shared" ref="K2242:P2242" si="4512">"0"</f>
        <v>0</v>
      </c>
      <c r="L2242" s="1" t="str">
        <f t="shared" si="4512"/>
        <v>0</v>
      </c>
      <c r="M2242" s="1" t="str">
        <f t="shared" si="4512"/>
        <v>0</v>
      </c>
      <c r="N2242" s="1" t="str">
        <f t="shared" si="4512"/>
        <v>0</v>
      </c>
      <c r="O2242" s="1" t="str">
        <f t="shared" si="4512"/>
        <v>0</v>
      </c>
      <c r="P2242" s="1" t="str">
        <f t="shared" si="4512"/>
        <v>0</v>
      </c>
      <c r="Q2242" s="1" t="str">
        <f t="shared" si="4383"/>
        <v>0.0070</v>
      </c>
      <c r="R2242" s="1" t="s">
        <v>25</v>
      </c>
      <c r="T2242" s="1" t="str">
        <f t="shared" si="4384"/>
        <v>0</v>
      </c>
      <c r="U2242" s="1" t="str">
        <f t="shared" si="4502"/>
        <v>0.0070</v>
      </c>
    </row>
    <row r="2243" s="1" customFormat="1" spans="1:21">
      <c r="A2243" s="1" t="str">
        <f>"4601992037180"</f>
        <v>4601992037180</v>
      </c>
      <c r="B2243" s="1" t="s">
        <v>2267</v>
      </c>
      <c r="C2243" s="1" t="s">
        <v>24</v>
      </c>
      <c r="D2243" s="1" t="str">
        <f t="shared" ref="D2243:D2306" si="4513">"2021"</f>
        <v>2021</v>
      </c>
      <c r="E2243" s="1" t="str">
        <f t="shared" ref="E2243:P2243" si="4514">"0"</f>
        <v>0</v>
      </c>
      <c r="F2243" s="1" t="str">
        <f t="shared" si="4514"/>
        <v>0</v>
      </c>
      <c r="G2243" s="1" t="str">
        <f t="shared" si="4514"/>
        <v>0</v>
      </c>
      <c r="H2243" s="1" t="str">
        <f t="shared" si="4514"/>
        <v>0</v>
      </c>
      <c r="I2243" s="1" t="str">
        <f t="shared" si="4514"/>
        <v>0</v>
      </c>
      <c r="J2243" s="1" t="str">
        <f t="shared" si="4514"/>
        <v>0</v>
      </c>
      <c r="K2243" s="1" t="str">
        <f t="shared" si="4514"/>
        <v>0</v>
      </c>
      <c r="L2243" s="1" t="str">
        <f t="shared" si="4514"/>
        <v>0</v>
      </c>
      <c r="M2243" s="1" t="str">
        <f t="shared" si="4514"/>
        <v>0</v>
      </c>
      <c r="N2243" s="1" t="str">
        <f t="shared" si="4514"/>
        <v>0</v>
      </c>
      <c r="O2243" s="1" t="str">
        <f t="shared" si="4514"/>
        <v>0</v>
      </c>
      <c r="P2243" s="1" t="str">
        <f t="shared" si="4514"/>
        <v>0</v>
      </c>
      <c r="Q2243" s="1" t="str">
        <f t="shared" ref="Q2243:Q2306" si="4515">"0.0070"</f>
        <v>0.0070</v>
      </c>
      <c r="R2243" s="1" t="s">
        <v>25</v>
      </c>
      <c r="T2243" s="1" t="str">
        <f t="shared" ref="T2243:T2306" si="4516">"0"</f>
        <v>0</v>
      </c>
      <c r="U2243" s="1" t="str">
        <f t="shared" si="4502"/>
        <v>0.0070</v>
      </c>
    </row>
    <row r="2244" s="1" customFormat="1" spans="1:21">
      <c r="A2244" s="1" t="str">
        <f>"4601992037225"</f>
        <v>4601992037225</v>
      </c>
      <c r="B2244" s="1" t="s">
        <v>2268</v>
      </c>
      <c r="C2244" s="1" t="s">
        <v>24</v>
      </c>
      <c r="D2244" s="1" t="str">
        <f t="shared" si="4513"/>
        <v>2021</v>
      </c>
      <c r="E2244" s="1" t="str">
        <f t="shared" ref="E2244:P2244" si="4517">"0"</f>
        <v>0</v>
      </c>
      <c r="F2244" s="1" t="str">
        <f t="shared" si="4517"/>
        <v>0</v>
      </c>
      <c r="G2244" s="1" t="str">
        <f t="shared" si="4517"/>
        <v>0</v>
      </c>
      <c r="H2244" s="1" t="str">
        <f t="shared" si="4517"/>
        <v>0</v>
      </c>
      <c r="I2244" s="1" t="str">
        <f t="shared" si="4517"/>
        <v>0</v>
      </c>
      <c r="J2244" s="1" t="str">
        <f t="shared" si="4517"/>
        <v>0</v>
      </c>
      <c r="K2244" s="1" t="str">
        <f t="shared" si="4517"/>
        <v>0</v>
      </c>
      <c r="L2244" s="1" t="str">
        <f t="shared" si="4517"/>
        <v>0</v>
      </c>
      <c r="M2244" s="1" t="str">
        <f t="shared" si="4517"/>
        <v>0</v>
      </c>
      <c r="N2244" s="1" t="str">
        <f t="shared" si="4517"/>
        <v>0</v>
      </c>
      <c r="O2244" s="1" t="str">
        <f t="shared" si="4517"/>
        <v>0</v>
      </c>
      <c r="P2244" s="1" t="str">
        <f t="shared" si="4517"/>
        <v>0</v>
      </c>
      <c r="Q2244" s="1" t="str">
        <f t="shared" si="4515"/>
        <v>0.0070</v>
      </c>
      <c r="R2244" s="1" t="s">
        <v>25</v>
      </c>
      <c r="T2244" s="1" t="str">
        <f t="shared" si="4516"/>
        <v>0</v>
      </c>
      <c r="U2244" s="1" t="str">
        <f t="shared" si="4502"/>
        <v>0.0070</v>
      </c>
    </row>
    <row r="2245" s="1" customFormat="1" spans="1:21">
      <c r="A2245" s="1" t="str">
        <f>"4601992037176"</f>
        <v>4601992037176</v>
      </c>
      <c r="B2245" s="1" t="s">
        <v>2269</v>
      </c>
      <c r="C2245" s="1" t="s">
        <v>24</v>
      </c>
      <c r="D2245" s="1" t="str">
        <f t="shared" si="4513"/>
        <v>2021</v>
      </c>
      <c r="E2245" s="1" t="str">
        <f>"12.09"</f>
        <v>12.09</v>
      </c>
      <c r="F2245" s="1" t="str">
        <f t="shared" ref="F2245:I2245" si="4518">"0"</f>
        <v>0</v>
      </c>
      <c r="G2245" s="1" t="str">
        <f t="shared" si="4518"/>
        <v>0</v>
      </c>
      <c r="H2245" s="1" t="str">
        <f t="shared" si="4518"/>
        <v>0</v>
      </c>
      <c r="I2245" s="1" t="str">
        <f t="shared" si="4518"/>
        <v>0</v>
      </c>
      <c r="J2245" s="1" t="str">
        <f>"1"</f>
        <v>1</v>
      </c>
      <c r="K2245" s="1" t="str">
        <f t="shared" ref="K2245:P2245" si="4519">"0"</f>
        <v>0</v>
      </c>
      <c r="L2245" s="1" t="str">
        <f t="shared" si="4519"/>
        <v>0</v>
      </c>
      <c r="M2245" s="1" t="str">
        <f t="shared" si="4519"/>
        <v>0</v>
      </c>
      <c r="N2245" s="1" t="str">
        <f t="shared" si="4519"/>
        <v>0</v>
      </c>
      <c r="O2245" s="1" t="str">
        <f t="shared" si="4519"/>
        <v>0</v>
      </c>
      <c r="P2245" s="1" t="str">
        <f t="shared" si="4519"/>
        <v>0</v>
      </c>
      <c r="Q2245" s="1" t="str">
        <f t="shared" si="4515"/>
        <v>0.0070</v>
      </c>
      <c r="R2245" s="1" t="s">
        <v>29</v>
      </c>
      <c r="S2245" s="1">
        <v>-0.0014</v>
      </c>
      <c r="T2245" s="1" t="str">
        <f t="shared" si="4516"/>
        <v>0</v>
      </c>
      <c r="U2245" s="1" t="str">
        <f t="shared" ref="U2245:U2247" si="4520">"0.0056"</f>
        <v>0.0056</v>
      </c>
    </row>
    <row r="2246" s="1" customFormat="1" spans="1:21">
      <c r="A2246" s="1" t="str">
        <f>"4601992037202"</f>
        <v>4601992037202</v>
      </c>
      <c r="B2246" s="1" t="s">
        <v>2270</v>
      </c>
      <c r="C2246" s="1" t="s">
        <v>24</v>
      </c>
      <c r="D2246" s="1" t="str">
        <f t="shared" si="4513"/>
        <v>2021</v>
      </c>
      <c r="E2246" s="1" t="str">
        <f>"24.18"</f>
        <v>24.18</v>
      </c>
      <c r="F2246" s="1" t="str">
        <f t="shared" ref="F2246:I2246" si="4521">"0"</f>
        <v>0</v>
      </c>
      <c r="G2246" s="1" t="str">
        <f t="shared" si="4521"/>
        <v>0</v>
      </c>
      <c r="H2246" s="1" t="str">
        <f t="shared" si="4521"/>
        <v>0</v>
      </c>
      <c r="I2246" s="1" t="str">
        <f t="shared" si="4521"/>
        <v>0</v>
      </c>
      <c r="J2246" s="1" t="str">
        <f>"2"</f>
        <v>2</v>
      </c>
      <c r="K2246" s="1" t="str">
        <f t="shared" ref="K2246:P2246" si="4522">"0"</f>
        <v>0</v>
      </c>
      <c r="L2246" s="1" t="str">
        <f t="shared" si="4522"/>
        <v>0</v>
      </c>
      <c r="M2246" s="1" t="str">
        <f t="shared" si="4522"/>
        <v>0</v>
      </c>
      <c r="N2246" s="1" t="str">
        <f t="shared" si="4522"/>
        <v>0</v>
      </c>
      <c r="O2246" s="1" t="str">
        <f t="shared" si="4522"/>
        <v>0</v>
      </c>
      <c r="P2246" s="1" t="str">
        <f t="shared" si="4522"/>
        <v>0</v>
      </c>
      <c r="Q2246" s="1" t="str">
        <f t="shared" si="4515"/>
        <v>0.0070</v>
      </c>
      <c r="R2246" s="1" t="s">
        <v>29</v>
      </c>
      <c r="S2246" s="1">
        <v>-0.0014</v>
      </c>
      <c r="T2246" s="1" t="str">
        <f t="shared" si="4516"/>
        <v>0</v>
      </c>
      <c r="U2246" s="1" t="str">
        <f t="shared" si="4520"/>
        <v>0.0056</v>
      </c>
    </row>
    <row r="2247" s="1" customFormat="1" spans="1:21">
      <c r="A2247" s="1" t="str">
        <f>"4601992037218"</f>
        <v>4601992037218</v>
      </c>
      <c r="B2247" s="1" t="s">
        <v>2271</v>
      </c>
      <c r="C2247" s="1" t="s">
        <v>24</v>
      </c>
      <c r="D2247" s="1" t="str">
        <f t="shared" si="4513"/>
        <v>2021</v>
      </c>
      <c r="E2247" s="1" t="str">
        <f>"72.54"</f>
        <v>72.54</v>
      </c>
      <c r="F2247" s="1" t="str">
        <f t="shared" ref="F2247:I2247" si="4523">"0"</f>
        <v>0</v>
      </c>
      <c r="G2247" s="1" t="str">
        <f t="shared" si="4523"/>
        <v>0</v>
      </c>
      <c r="H2247" s="1" t="str">
        <f t="shared" si="4523"/>
        <v>0</v>
      </c>
      <c r="I2247" s="1" t="str">
        <f t="shared" si="4523"/>
        <v>0</v>
      </c>
      <c r="J2247" s="1" t="str">
        <f>"7"</f>
        <v>7</v>
      </c>
      <c r="K2247" s="1" t="str">
        <f t="shared" ref="K2247:P2247" si="4524">"0"</f>
        <v>0</v>
      </c>
      <c r="L2247" s="1" t="str">
        <f t="shared" si="4524"/>
        <v>0</v>
      </c>
      <c r="M2247" s="1" t="str">
        <f t="shared" si="4524"/>
        <v>0</v>
      </c>
      <c r="N2247" s="1" t="str">
        <f t="shared" si="4524"/>
        <v>0</v>
      </c>
      <c r="O2247" s="1" t="str">
        <f t="shared" si="4524"/>
        <v>0</v>
      </c>
      <c r="P2247" s="1" t="str">
        <f t="shared" si="4524"/>
        <v>0</v>
      </c>
      <c r="Q2247" s="1" t="str">
        <f t="shared" si="4515"/>
        <v>0.0070</v>
      </c>
      <c r="R2247" s="1" t="s">
        <v>29</v>
      </c>
      <c r="S2247" s="1">
        <v>-0.0014</v>
      </c>
      <c r="T2247" s="1" t="str">
        <f t="shared" si="4516"/>
        <v>0</v>
      </c>
      <c r="U2247" s="1" t="str">
        <f t="shared" si="4520"/>
        <v>0.0056</v>
      </c>
    </row>
    <row r="2248" s="1" customFormat="1" spans="1:21">
      <c r="A2248" s="1" t="str">
        <f>"4601992037281"</f>
        <v>4601992037281</v>
      </c>
      <c r="B2248" s="1" t="s">
        <v>2272</v>
      </c>
      <c r="C2248" s="1" t="s">
        <v>24</v>
      </c>
      <c r="D2248" s="1" t="str">
        <f t="shared" si="4513"/>
        <v>2021</v>
      </c>
      <c r="E2248" s="1" t="str">
        <f t="shared" ref="E2248:P2248" si="4525">"0"</f>
        <v>0</v>
      </c>
      <c r="F2248" s="1" t="str">
        <f t="shared" si="4525"/>
        <v>0</v>
      </c>
      <c r="G2248" s="1" t="str">
        <f t="shared" si="4525"/>
        <v>0</v>
      </c>
      <c r="H2248" s="1" t="str">
        <f t="shared" si="4525"/>
        <v>0</v>
      </c>
      <c r="I2248" s="1" t="str">
        <f t="shared" si="4525"/>
        <v>0</v>
      </c>
      <c r="J2248" s="1" t="str">
        <f t="shared" si="4525"/>
        <v>0</v>
      </c>
      <c r="K2248" s="1" t="str">
        <f t="shared" si="4525"/>
        <v>0</v>
      </c>
      <c r="L2248" s="1" t="str">
        <f t="shared" si="4525"/>
        <v>0</v>
      </c>
      <c r="M2248" s="1" t="str">
        <f t="shared" si="4525"/>
        <v>0</v>
      </c>
      <c r="N2248" s="1" t="str">
        <f t="shared" si="4525"/>
        <v>0</v>
      </c>
      <c r="O2248" s="1" t="str">
        <f t="shared" si="4525"/>
        <v>0</v>
      </c>
      <c r="P2248" s="1" t="str">
        <f t="shared" si="4525"/>
        <v>0</v>
      </c>
      <c r="Q2248" s="1" t="str">
        <f t="shared" si="4515"/>
        <v>0.0070</v>
      </c>
      <c r="R2248" s="1" t="s">
        <v>25</v>
      </c>
      <c r="T2248" s="1" t="str">
        <f t="shared" si="4516"/>
        <v>0</v>
      </c>
      <c r="U2248" s="1" t="str">
        <f t="shared" ref="U2248:U2252" si="4526">"0.0070"</f>
        <v>0.0070</v>
      </c>
    </row>
    <row r="2249" s="1" customFormat="1" spans="1:21">
      <c r="A2249" s="1" t="str">
        <f>"4601992037300"</f>
        <v>4601992037300</v>
      </c>
      <c r="B2249" s="1" t="s">
        <v>2273</v>
      </c>
      <c r="C2249" s="1" t="s">
        <v>24</v>
      </c>
      <c r="D2249" s="1" t="str">
        <f t="shared" si="4513"/>
        <v>2021</v>
      </c>
      <c r="E2249" s="1" t="str">
        <f t="shared" ref="E2249:P2249" si="4527">"0"</f>
        <v>0</v>
      </c>
      <c r="F2249" s="1" t="str">
        <f t="shared" si="4527"/>
        <v>0</v>
      </c>
      <c r="G2249" s="1" t="str">
        <f t="shared" si="4527"/>
        <v>0</v>
      </c>
      <c r="H2249" s="1" t="str">
        <f t="shared" si="4527"/>
        <v>0</v>
      </c>
      <c r="I2249" s="1" t="str">
        <f t="shared" si="4527"/>
        <v>0</v>
      </c>
      <c r="J2249" s="1" t="str">
        <f t="shared" si="4527"/>
        <v>0</v>
      </c>
      <c r="K2249" s="1" t="str">
        <f t="shared" si="4527"/>
        <v>0</v>
      </c>
      <c r="L2249" s="1" t="str">
        <f t="shared" si="4527"/>
        <v>0</v>
      </c>
      <c r="M2249" s="1" t="str">
        <f t="shared" si="4527"/>
        <v>0</v>
      </c>
      <c r="N2249" s="1" t="str">
        <f t="shared" si="4527"/>
        <v>0</v>
      </c>
      <c r="O2249" s="1" t="str">
        <f t="shared" si="4527"/>
        <v>0</v>
      </c>
      <c r="P2249" s="1" t="str">
        <f t="shared" si="4527"/>
        <v>0</v>
      </c>
      <c r="Q2249" s="1" t="str">
        <f t="shared" si="4515"/>
        <v>0.0070</v>
      </c>
      <c r="R2249" s="1" t="s">
        <v>25</v>
      </c>
      <c r="T2249" s="1" t="str">
        <f t="shared" si="4516"/>
        <v>0</v>
      </c>
      <c r="U2249" s="1" t="str">
        <f t="shared" si="4526"/>
        <v>0.0070</v>
      </c>
    </row>
    <row r="2250" s="1" customFormat="1" spans="1:21">
      <c r="A2250" s="1" t="str">
        <f>"4601992037324"</f>
        <v>4601992037324</v>
      </c>
      <c r="B2250" s="1" t="s">
        <v>2274</v>
      </c>
      <c r="C2250" s="1" t="s">
        <v>24</v>
      </c>
      <c r="D2250" s="1" t="str">
        <f t="shared" si="4513"/>
        <v>2021</v>
      </c>
      <c r="E2250" s="1" t="str">
        <f t="shared" ref="E2250:P2250" si="4528">"0"</f>
        <v>0</v>
      </c>
      <c r="F2250" s="1" t="str">
        <f t="shared" si="4528"/>
        <v>0</v>
      </c>
      <c r="G2250" s="1" t="str">
        <f t="shared" si="4528"/>
        <v>0</v>
      </c>
      <c r="H2250" s="1" t="str">
        <f t="shared" si="4528"/>
        <v>0</v>
      </c>
      <c r="I2250" s="1" t="str">
        <f t="shared" si="4528"/>
        <v>0</v>
      </c>
      <c r="J2250" s="1" t="str">
        <f t="shared" si="4528"/>
        <v>0</v>
      </c>
      <c r="K2250" s="1" t="str">
        <f t="shared" si="4528"/>
        <v>0</v>
      </c>
      <c r="L2250" s="1" t="str">
        <f t="shared" si="4528"/>
        <v>0</v>
      </c>
      <c r="M2250" s="1" t="str">
        <f t="shared" si="4528"/>
        <v>0</v>
      </c>
      <c r="N2250" s="1" t="str">
        <f t="shared" si="4528"/>
        <v>0</v>
      </c>
      <c r="O2250" s="1" t="str">
        <f t="shared" si="4528"/>
        <v>0</v>
      </c>
      <c r="P2250" s="1" t="str">
        <f t="shared" si="4528"/>
        <v>0</v>
      </c>
      <c r="Q2250" s="1" t="str">
        <f t="shared" si="4515"/>
        <v>0.0070</v>
      </c>
      <c r="R2250" s="1" t="s">
        <v>25</v>
      </c>
      <c r="T2250" s="1" t="str">
        <f t="shared" si="4516"/>
        <v>0</v>
      </c>
      <c r="U2250" s="1" t="str">
        <f t="shared" si="4526"/>
        <v>0.0070</v>
      </c>
    </row>
    <row r="2251" s="1" customFormat="1" spans="1:21">
      <c r="A2251" s="1" t="str">
        <f>"4601992037380"</f>
        <v>4601992037380</v>
      </c>
      <c r="B2251" s="1" t="s">
        <v>2275</v>
      </c>
      <c r="C2251" s="1" t="s">
        <v>24</v>
      </c>
      <c r="D2251" s="1" t="str">
        <f t="shared" si="4513"/>
        <v>2021</v>
      </c>
      <c r="E2251" s="1" t="str">
        <f t="shared" ref="E2251:P2251" si="4529">"0"</f>
        <v>0</v>
      </c>
      <c r="F2251" s="1" t="str">
        <f t="shared" si="4529"/>
        <v>0</v>
      </c>
      <c r="G2251" s="1" t="str">
        <f t="shared" si="4529"/>
        <v>0</v>
      </c>
      <c r="H2251" s="1" t="str">
        <f t="shared" si="4529"/>
        <v>0</v>
      </c>
      <c r="I2251" s="1" t="str">
        <f t="shared" si="4529"/>
        <v>0</v>
      </c>
      <c r="J2251" s="1" t="str">
        <f t="shared" si="4529"/>
        <v>0</v>
      </c>
      <c r="K2251" s="1" t="str">
        <f t="shared" si="4529"/>
        <v>0</v>
      </c>
      <c r="L2251" s="1" t="str">
        <f t="shared" si="4529"/>
        <v>0</v>
      </c>
      <c r="M2251" s="1" t="str">
        <f t="shared" si="4529"/>
        <v>0</v>
      </c>
      <c r="N2251" s="1" t="str">
        <f t="shared" si="4529"/>
        <v>0</v>
      </c>
      <c r="O2251" s="1" t="str">
        <f t="shared" si="4529"/>
        <v>0</v>
      </c>
      <c r="P2251" s="1" t="str">
        <f t="shared" si="4529"/>
        <v>0</v>
      </c>
      <c r="Q2251" s="1" t="str">
        <f t="shared" si="4515"/>
        <v>0.0070</v>
      </c>
      <c r="R2251" s="1" t="s">
        <v>25</v>
      </c>
      <c r="T2251" s="1" t="str">
        <f t="shared" si="4516"/>
        <v>0</v>
      </c>
      <c r="U2251" s="1" t="str">
        <f t="shared" si="4526"/>
        <v>0.0070</v>
      </c>
    </row>
    <row r="2252" s="1" customFormat="1" spans="1:21">
      <c r="A2252" s="1" t="str">
        <f>"4601992037387"</f>
        <v>4601992037387</v>
      </c>
      <c r="B2252" s="1" t="s">
        <v>2276</v>
      </c>
      <c r="C2252" s="1" t="s">
        <v>24</v>
      </c>
      <c r="D2252" s="1" t="str">
        <f t="shared" si="4513"/>
        <v>2021</v>
      </c>
      <c r="E2252" s="1" t="str">
        <f t="shared" ref="E2252:P2252" si="4530">"0"</f>
        <v>0</v>
      </c>
      <c r="F2252" s="1" t="str">
        <f t="shared" si="4530"/>
        <v>0</v>
      </c>
      <c r="G2252" s="1" t="str">
        <f t="shared" si="4530"/>
        <v>0</v>
      </c>
      <c r="H2252" s="1" t="str">
        <f t="shared" si="4530"/>
        <v>0</v>
      </c>
      <c r="I2252" s="1" t="str">
        <f t="shared" si="4530"/>
        <v>0</v>
      </c>
      <c r="J2252" s="1" t="str">
        <f t="shared" si="4530"/>
        <v>0</v>
      </c>
      <c r="K2252" s="1" t="str">
        <f t="shared" si="4530"/>
        <v>0</v>
      </c>
      <c r="L2252" s="1" t="str">
        <f t="shared" si="4530"/>
        <v>0</v>
      </c>
      <c r="M2252" s="1" t="str">
        <f t="shared" si="4530"/>
        <v>0</v>
      </c>
      <c r="N2252" s="1" t="str">
        <f t="shared" si="4530"/>
        <v>0</v>
      </c>
      <c r="O2252" s="1" t="str">
        <f t="shared" si="4530"/>
        <v>0</v>
      </c>
      <c r="P2252" s="1" t="str">
        <f t="shared" si="4530"/>
        <v>0</v>
      </c>
      <c r="Q2252" s="1" t="str">
        <f t="shared" si="4515"/>
        <v>0.0070</v>
      </c>
      <c r="R2252" s="1" t="s">
        <v>25</v>
      </c>
      <c r="T2252" s="1" t="str">
        <f t="shared" si="4516"/>
        <v>0</v>
      </c>
      <c r="U2252" s="1" t="str">
        <f t="shared" si="4526"/>
        <v>0.0070</v>
      </c>
    </row>
    <row r="2253" s="1" customFormat="1" spans="1:21">
      <c r="A2253" s="1" t="str">
        <f>"4601992037346"</f>
        <v>4601992037346</v>
      </c>
      <c r="B2253" s="1" t="s">
        <v>2277</v>
      </c>
      <c r="C2253" s="1" t="s">
        <v>24</v>
      </c>
      <c r="D2253" s="1" t="str">
        <f t="shared" si="4513"/>
        <v>2021</v>
      </c>
      <c r="E2253" s="1" t="str">
        <f>"36.27"</f>
        <v>36.27</v>
      </c>
      <c r="F2253" s="1" t="str">
        <f t="shared" ref="F2253:I2253" si="4531">"0"</f>
        <v>0</v>
      </c>
      <c r="G2253" s="1" t="str">
        <f t="shared" si="4531"/>
        <v>0</v>
      </c>
      <c r="H2253" s="1" t="str">
        <f t="shared" si="4531"/>
        <v>0</v>
      </c>
      <c r="I2253" s="1" t="str">
        <f t="shared" si="4531"/>
        <v>0</v>
      </c>
      <c r="J2253" s="1" t="str">
        <f>"3"</f>
        <v>3</v>
      </c>
      <c r="K2253" s="1" t="str">
        <f t="shared" ref="K2253:P2253" si="4532">"0"</f>
        <v>0</v>
      </c>
      <c r="L2253" s="1" t="str">
        <f t="shared" si="4532"/>
        <v>0</v>
      </c>
      <c r="M2253" s="1" t="str">
        <f t="shared" si="4532"/>
        <v>0</v>
      </c>
      <c r="N2253" s="1" t="str">
        <f t="shared" si="4532"/>
        <v>0</v>
      </c>
      <c r="O2253" s="1" t="str">
        <f t="shared" si="4532"/>
        <v>0</v>
      </c>
      <c r="P2253" s="1" t="str">
        <f t="shared" si="4532"/>
        <v>0</v>
      </c>
      <c r="Q2253" s="1" t="str">
        <f t="shared" si="4515"/>
        <v>0.0070</v>
      </c>
      <c r="R2253" s="1" t="s">
        <v>29</v>
      </c>
      <c r="S2253" s="1">
        <v>-0.0014</v>
      </c>
      <c r="T2253" s="1" t="str">
        <f t="shared" si="4516"/>
        <v>0</v>
      </c>
      <c r="U2253" s="1" t="str">
        <f t="shared" ref="U2253:U2258" si="4533">"0.0056"</f>
        <v>0.0056</v>
      </c>
    </row>
    <row r="2254" s="1" customFormat="1" spans="1:21">
      <c r="A2254" s="1" t="str">
        <f>"4601992037307"</f>
        <v>4601992037307</v>
      </c>
      <c r="B2254" s="1" t="s">
        <v>2278</v>
      </c>
      <c r="C2254" s="1" t="s">
        <v>24</v>
      </c>
      <c r="D2254" s="1" t="str">
        <f t="shared" si="4513"/>
        <v>2021</v>
      </c>
      <c r="E2254" s="1" t="str">
        <f>"36.75"</f>
        <v>36.75</v>
      </c>
      <c r="F2254" s="1" t="str">
        <f t="shared" ref="F2254:I2254" si="4534">"0"</f>
        <v>0</v>
      </c>
      <c r="G2254" s="1" t="str">
        <f t="shared" si="4534"/>
        <v>0</v>
      </c>
      <c r="H2254" s="1" t="str">
        <f t="shared" si="4534"/>
        <v>0</v>
      </c>
      <c r="I2254" s="1" t="str">
        <f t="shared" si="4534"/>
        <v>0</v>
      </c>
      <c r="J2254" s="1" t="str">
        <f>"3"</f>
        <v>3</v>
      </c>
      <c r="K2254" s="1" t="str">
        <f t="shared" ref="K2254:P2254" si="4535">"0"</f>
        <v>0</v>
      </c>
      <c r="L2254" s="1" t="str">
        <f t="shared" si="4535"/>
        <v>0</v>
      </c>
      <c r="M2254" s="1" t="str">
        <f t="shared" si="4535"/>
        <v>0</v>
      </c>
      <c r="N2254" s="1" t="str">
        <f t="shared" si="4535"/>
        <v>0</v>
      </c>
      <c r="O2254" s="1" t="str">
        <f t="shared" si="4535"/>
        <v>0</v>
      </c>
      <c r="P2254" s="1" t="str">
        <f t="shared" si="4535"/>
        <v>0</v>
      </c>
      <c r="Q2254" s="1" t="str">
        <f t="shared" si="4515"/>
        <v>0.0070</v>
      </c>
      <c r="R2254" s="1" t="s">
        <v>25</v>
      </c>
      <c r="T2254" s="1" t="str">
        <f t="shared" si="4516"/>
        <v>0</v>
      </c>
      <c r="U2254" s="1" t="str">
        <f t="shared" ref="U2254:U2256" si="4536">"0.0070"</f>
        <v>0.0070</v>
      </c>
    </row>
    <row r="2255" s="1" customFormat="1" spans="1:21">
      <c r="A2255" s="1" t="str">
        <f>"4601992037458"</f>
        <v>4601992037458</v>
      </c>
      <c r="B2255" s="1" t="s">
        <v>2279</v>
      </c>
      <c r="C2255" s="1" t="s">
        <v>24</v>
      </c>
      <c r="D2255" s="1" t="str">
        <f t="shared" si="4513"/>
        <v>2021</v>
      </c>
      <c r="E2255" s="1" t="str">
        <f t="shared" ref="E2255:P2255" si="4537">"0"</f>
        <v>0</v>
      </c>
      <c r="F2255" s="1" t="str">
        <f t="shared" si="4537"/>
        <v>0</v>
      </c>
      <c r="G2255" s="1" t="str">
        <f t="shared" si="4537"/>
        <v>0</v>
      </c>
      <c r="H2255" s="1" t="str">
        <f t="shared" si="4537"/>
        <v>0</v>
      </c>
      <c r="I2255" s="1" t="str">
        <f t="shared" si="4537"/>
        <v>0</v>
      </c>
      <c r="J2255" s="1" t="str">
        <f t="shared" si="4537"/>
        <v>0</v>
      </c>
      <c r="K2255" s="1" t="str">
        <f t="shared" si="4537"/>
        <v>0</v>
      </c>
      <c r="L2255" s="1" t="str">
        <f t="shared" si="4537"/>
        <v>0</v>
      </c>
      <c r="M2255" s="1" t="str">
        <f t="shared" si="4537"/>
        <v>0</v>
      </c>
      <c r="N2255" s="1" t="str">
        <f t="shared" si="4537"/>
        <v>0</v>
      </c>
      <c r="O2255" s="1" t="str">
        <f t="shared" si="4537"/>
        <v>0</v>
      </c>
      <c r="P2255" s="1" t="str">
        <f t="shared" si="4537"/>
        <v>0</v>
      </c>
      <c r="Q2255" s="1" t="str">
        <f t="shared" si="4515"/>
        <v>0.0070</v>
      </c>
      <c r="R2255" s="1" t="s">
        <v>25</v>
      </c>
      <c r="T2255" s="1" t="str">
        <f t="shared" si="4516"/>
        <v>0</v>
      </c>
      <c r="U2255" s="1" t="str">
        <f t="shared" si="4536"/>
        <v>0.0070</v>
      </c>
    </row>
    <row r="2256" s="1" customFormat="1" spans="1:21">
      <c r="A2256" s="1" t="str">
        <f>"4601992037088"</f>
        <v>4601992037088</v>
      </c>
      <c r="B2256" s="1" t="s">
        <v>2280</v>
      </c>
      <c r="C2256" s="1" t="s">
        <v>24</v>
      </c>
      <c r="D2256" s="1" t="str">
        <f t="shared" si="4513"/>
        <v>2021</v>
      </c>
      <c r="E2256" s="1" t="str">
        <f t="shared" ref="E2256:P2256" si="4538">"0"</f>
        <v>0</v>
      </c>
      <c r="F2256" s="1" t="str">
        <f t="shared" si="4538"/>
        <v>0</v>
      </c>
      <c r="G2256" s="1" t="str">
        <f t="shared" si="4538"/>
        <v>0</v>
      </c>
      <c r="H2256" s="1" t="str">
        <f t="shared" si="4538"/>
        <v>0</v>
      </c>
      <c r="I2256" s="1" t="str">
        <f t="shared" si="4538"/>
        <v>0</v>
      </c>
      <c r="J2256" s="1" t="str">
        <f t="shared" si="4538"/>
        <v>0</v>
      </c>
      <c r="K2256" s="1" t="str">
        <f t="shared" si="4538"/>
        <v>0</v>
      </c>
      <c r="L2256" s="1" t="str">
        <f t="shared" si="4538"/>
        <v>0</v>
      </c>
      <c r="M2256" s="1" t="str">
        <f t="shared" si="4538"/>
        <v>0</v>
      </c>
      <c r="N2256" s="1" t="str">
        <f t="shared" si="4538"/>
        <v>0</v>
      </c>
      <c r="O2256" s="1" t="str">
        <f t="shared" si="4538"/>
        <v>0</v>
      </c>
      <c r="P2256" s="1" t="str">
        <f t="shared" si="4538"/>
        <v>0</v>
      </c>
      <c r="Q2256" s="1" t="str">
        <f t="shared" si="4515"/>
        <v>0.0070</v>
      </c>
      <c r="R2256" s="1" t="s">
        <v>25</v>
      </c>
      <c r="T2256" s="1" t="str">
        <f t="shared" si="4516"/>
        <v>0</v>
      </c>
      <c r="U2256" s="1" t="str">
        <f t="shared" si="4536"/>
        <v>0.0070</v>
      </c>
    </row>
    <row r="2257" s="1" customFormat="1" spans="1:21">
      <c r="A2257" s="1" t="str">
        <f>"4601992037455"</f>
        <v>4601992037455</v>
      </c>
      <c r="B2257" s="1" t="s">
        <v>2281</v>
      </c>
      <c r="C2257" s="1" t="s">
        <v>24</v>
      </c>
      <c r="D2257" s="1" t="str">
        <f t="shared" si="4513"/>
        <v>2021</v>
      </c>
      <c r="E2257" s="1" t="str">
        <f>"87.15"</f>
        <v>87.15</v>
      </c>
      <c r="F2257" s="1" t="str">
        <f t="shared" ref="F2257:I2257" si="4539">"0"</f>
        <v>0</v>
      </c>
      <c r="G2257" s="1" t="str">
        <f t="shared" si="4539"/>
        <v>0</v>
      </c>
      <c r="H2257" s="1" t="str">
        <f t="shared" si="4539"/>
        <v>0</v>
      </c>
      <c r="I2257" s="1" t="str">
        <f t="shared" si="4539"/>
        <v>0</v>
      </c>
      <c r="J2257" s="1" t="str">
        <f>"9"</f>
        <v>9</v>
      </c>
      <c r="K2257" s="1" t="str">
        <f t="shared" ref="K2257:P2257" si="4540">"0"</f>
        <v>0</v>
      </c>
      <c r="L2257" s="1" t="str">
        <f t="shared" si="4540"/>
        <v>0</v>
      </c>
      <c r="M2257" s="1" t="str">
        <f t="shared" si="4540"/>
        <v>0</v>
      </c>
      <c r="N2257" s="1" t="str">
        <f t="shared" si="4540"/>
        <v>0</v>
      </c>
      <c r="O2257" s="1" t="str">
        <f t="shared" si="4540"/>
        <v>0</v>
      </c>
      <c r="P2257" s="1" t="str">
        <f t="shared" si="4540"/>
        <v>0</v>
      </c>
      <c r="Q2257" s="1" t="str">
        <f t="shared" si="4515"/>
        <v>0.0070</v>
      </c>
      <c r="R2257" s="1" t="s">
        <v>29</v>
      </c>
      <c r="S2257" s="1">
        <v>-0.0014</v>
      </c>
      <c r="T2257" s="1" t="str">
        <f t="shared" si="4516"/>
        <v>0</v>
      </c>
      <c r="U2257" s="1" t="str">
        <f t="shared" si="4533"/>
        <v>0.0056</v>
      </c>
    </row>
    <row r="2258" s="1" customFormat="1" spans="1:21">
      <c r="A2258" s="1" t="str">
        <f>"4601992037513"</f>
        <v>4601992037513</v>
      </c>
      <c r="B2258" s="1" t="s">
        <v>2282</v>
      </c>
      <c r="C2258" s="1" t="s">
        <v>24</v>
      </c>
      <c r="D2258" s="1" t="str">
        <f t="shared" si="4513"/>
        <v>2021</v>
      </c>
      <c r="E2258" s="1" t="str">
        <f t="shared" ref="E2258:E2263" si="4541">"12.09"</f>
        <v>12.09</v>
      </c>
      <c r="F2258" s="1" t="str">
        <f t="shared" ref="F2258:I2258" si="4542">"0"</f>
        <v>0</v>
      </c>
      <c r="G2258" s="1" t="str">
        <f t="shared" si="4542"/>
        <v>0</v>
      </c>
      <c r="H2258" s="1" t="str">
        <f t="shared" si="4542"/>
        <v>0</v>
      </c>
      <c r="I2258" s="1" t="str">
        <f t="shared" si="4542"/>
        <v>0</v>
      </c>
      <c r="J2258" s="1" t="str">
        <f t="shared" ref="J2258:J2263" si="4543">"1"</f>
        <v>1</v>
      </c>
      <c r="K2258" s="1" t="str">
        <f t="shared" ref="K2258:P2258" si="4544">"0"</f>
        <v>0</v>
      </c>
      <c r="L2258" s="1" t="str">
        <f t="shared" si="4544"/>
        <v>0</v>
      </c>
      <c r="M2258" s="1" t="str">
        <f t="shared" si="4544"/>
        <v>0</v>
      </c>
      <c r="N2258" s="1" t="str">
        <f t="shared" si="4544"/>
        <v>0</v>
      </c>
      <c r="O2258" s="1" t="str">
        <f t="shared" si="4544"/>
        <v>0</v>
      </c>
      <c r="P2258" s="1" t="str">
        <f t="shared" si="4544"/>
        <v>0</v>
      </c>
      <c r="Q2258" s="1" t="str">
        <f t="shared" si="4515"/>
        <v>0.0070</v>
      </c>
      <c r="R2258" s="1" t="s">
        <v>29</v>
      </c>
      <c r="S2258" s="1">
        <v>-0.0014</v>
      </c>
      <c r="T2258" s="1" t="str">
        <f t="shared" si="4516"/>
        <v>0</v>
      </c>
      <c r="U2258" s="1" t="str">
        <f t="shared" si="4533"/>
        <v>0.0056</v>
      </c>
    </row>
    <row r="2259" s="1" customFormat="1" spans="1:21">
      <c r="A2259" s="1" t="str">
        <f>"4601992037528"</f>
        <v>4601992037528</v>
      </c>
      <c r="B2259" s="1" t="s">
        <v>2283</v>
      </c>
      <c r="C2259" s="1" t="s">
        <v>24</v>
      </c>
      <c r="D2259" s="1" t="str">
        <f t="shared" si="4513"/>
        <v>2021</v>
      </c>
      <c r="E2259" s="1" t="str">
        <f t="shared" ref="E2259:P2259" si="4545">"0"</f>
        <v>0</v>
      </c>
      <c r="F2259" s="1" t="str">
        <f t="shared" si="4545"/>
        <v>0</v>
      </c>
      <c r="G2259" s="1" t="str">
        <f t="shared" si="4545"/>
        <v>0</v>
      </c>
      <c r="H2259" s="1" t="str">
        <f t="shared" si="4545"/>
        <v>0</v>
      </c>
      <c r="I2259" s="1" t="str">
        <f t="shared" si="4545"/>
        <v>0</v>
      </c>
      <c r="J2259" s="1" t="str">
        <f t="shared" si="4545"/>
        <v>0</v>
      </c>
      <c r="K2259" s="1" t="str">
        <f t="shared" si="4545"/>
        <v>0</v>
      </c>
      <c r="L2259" s="1" t="str">
        <f t="shared" si="4545"/>
        <v>0</v>
      </c>
      <c r="M2259" s="1" t="str">
        <f t="shared" si="4545"/>
        <v>0</v>
      </c>
      <c r="N2259" s="1" t="str">
        <f t="shared" si="4545"/>
        <v>0</v>
      </c>
      <c r="O2259" s="1" t="str">
        <f t="shared" si="4545"/>
        <v>0</v>
      </c>
      <c r="P2259" s="1" t="str">
        <f t="shared" si="4545"/>
        <v>0</v>
      </c>
      <c r="Q2259" s="1" t="str">
        <f t="shared" si="4515"/>
        <v>0.0070</v>
      </c>
      <c r="R2259" s="1" t="s">
        <v>25</v>
      </c>
      <c r="T2259" s="1" t="str">
        <f t="shared" si="4516"/>
        <v>0</v>
      </c>
      <c r="U2259" s="1" t="str">
        <f t="shared" ref="U2259:U2266" si="4546">"0.0070"</f>
        <v>0.0070</v>
      </c>
    </row>
    <row r="2260" s="1" customFormat="1" spans="1:21">
      <c r="A2260" s="1" t="str">
        <f>"4601992037522"</f>
        <v>4601992037522</v>
      </c>
      <c r="B2260" s="1" t="s">
        <v>2284</v>
      </c>
      <c r="C2260" s="1" t="s">
        <v>24</v>
      </c>
      <c r="D2260" s="1" t="str">
        <f t="shared" si="4513"/>
        <v>2021</v>
      </c>
      <c r="E2260" s="1" t="str">
        <f t="shared" si="4541"/>
        <v>12.09</v>
      </c>
      <c r="F2260" s="1" t="str">
        <f t="shared" ref="F2260:I2260" si="4547">"0"</f>
        <v>0</v>
      </c>
      <c r="G2260" s="1" t="str">
        <f t="shared" si="4547"/>
        <v>0</v>
      </c>
      <c r="H2260" s="1" t="str">
        <f t="shared" si="4547"/>
        <v>0</v>
      </c>
      <c r="I2260" s="1" t="str">
        <f t="shared" si="4547"/>
        <v>0</v>
      </c>
      <c r="J2260" s="1" t="str">
        <f t="shared" si="4543"/>
        <v>1</v>
      </c>
      <c r="K2260" s="1" t="str">
        <f t="shared" ref="K2260:P2260" si="4548">"0"</f>
        <v>0</v>
      </c>
      <c r="L2260" s="1" t="str">
        <f t="shared" si="4548"/>
        <v>0</v>
      </c>
      <c r="M2260" s="1" t="str">
        <f t="shared" si="4548"/>
        <v>0</v>
      </c>
      <c r="N2260" s="1" t="str">
        <f t="shared" si="4548"/>
        <v>0</v>
      </c>
      <c r="O2260" s="1" t="str">
        <f t="shared" si="4548"/>
        <v>0</v>
      </c>
      <c r="P2260" s="1" t="str">
        <f t="shared" si="4548"/>
        <v>0</v>
      </c>
      <c r="Q2260" s="1" t="str">
        <f t="shared" si="4515"/>
        <v>0.0070</v>
      </c>
      <c r="R2260" s="1" t="s">
        <v>29</v>
      </c>
      <c r="S2260" s="1">
        <v>-0.0014</v>
      </c>
      <c r="T2260" s="1" t="str">
        <f t="shared" si="4516"/>
        <v>0</v>
      </c>
      <c r="U2260" s="1" t="str">
        <f>"0.0056"</f>
        <v>0.0056</v>
      </c>
    </row>
    <row r="2261" s="1" customFormat="1" spans="1:21">
      <c r="A2261" s="1" t="str">
        <f>"4601992037540"</f>
        <v>4601992037540</v>
      </c>
      <c r="B2261" s="1" t="s">
        <v>2285</v>
      </c>
      <c r="C2261" s="1" t="s">
        <v>24</v>
      </c>
      <c r="D2261" s="1" t="str">
        <f t="shared" si="4513"/>
        <v>2021</v>
      </c>
      <c r="E2261" s="1" t="str">
        <f t="shared" ref="E2261:P2261" si="4549">"0"</f>
        <v>0</v>
      </c>
      <c r="F2261" s="1" t="str">
        <f t="shared" si="4549"/>
        <v>0</v>
      </c>
      <c r="G2261" s="1" t="str">
        <f t="shared" si="4549"/>
        <v>0</v>
      </c>
      <c r="H2261" s="1" t="str">
        <f t="shared" si="4549"/>
        <v>0</v>
      </c>
      <c r="I2261" s="1" t="str">
        <f t="shared" si="4549"/>
        <v>0</v>
      </c>
      <c r="J2261" s="1" t="str">
        <f t="shared" si="4549"/>
        <v>0</v>
      </c>
      <c r="K2261" s="1" t="str">
        <f t="shared" si="4549"/>
        <v>0</v>
      </c>
      <c r="L2261" s="1" t="str">
        <f t="shared" si="4549"/>
        <v>0</v>
      </c>
      <c r="M2261" s="1" t="str">
        <f t="shared" si="4549"/>
        <v>0</v>
      </c>
      <c r="N2261" s="1" t="str">
        <f t="shared" si="4549"/>
        <v>0</v>
      </c>
      <c r="O2261" s="1" t="str">
        <f t="shared" si="4549"/>
        <v>0</v>
      </c>
      <c r="P2261" s="1" t="str">
        <f t="shared" si="4549"/>
        <v>0</v>
      </c>
      <c r="Q2261" s="1" t="str">
        <f t="shared" si="4515"/>
        <v>0.0070</v>
      </c>
      <c r="R2261" s="1" t="s">
        <v>25</v>
      </c>
      <c r="T2261" s="1" t="str">
        <f t="shared" si="4516"/>
        <v>0</v>
      </c>
      <c r="U2261" s="1" t="str">
        <f t="shared" si="4546"/>
        <v>0.0070</v>
      </c>
    </row>
    <row r="2262" s="1" customFormat="1" spans="1:21">
      <c r="A2262" s="1" t="str">
        <f>"4601992037557"</f>
        <v>4601992037557</v>
      </c>
      <c r="B2262" s="1" t="s">
        <v>2286</v>
      </c>
      <c r="C2262" s="1" t="s">
        <v>24</v>
      </c>
      <c r="D2262" s="1" t="str">
        <f t="shared" si="4513"/>
        <v>2021</v>
      </c>
      <c r="E2262" s="1" t="str">
        <f t="shared" ref="E2262:P2262" si="4550">"0"</f>
        <v>0</v>
      </c>
      <c r="F2262" s="1" t="str">
        <f t="shared" si="4550"/>
        <v>0</v>
      </c>
      <c r="G2262" s="1" t="str">
        <f t="shared" si="4550"/>
        <v>0</v>
      </c>
      <c r="H2262" s="1" t="str">
        <f t="shared" si="4550"/>
        <v>0</v>
      </c>
      <c r="I2262" s="1" t="str">
        <f t="shared" si="4550"/>
        <v>0</v>
      </c>
      <c r="J2262" s="1" t="str">
        <f t="shared" si="4550"/>
        <v>0</v>
      </c>
      <c r="K2262" s="1" t="str">
        <f t="shared" si="4550"/>
        <v>0</v>
      </c>
      <c r="L2262" s="1" t="str">
        <f t="shared" si="4550"/>
        <v>0</v>
      </c>
      <c r="M2262" s="1" t="str">
        <f t="shared" si="4550"/>
        <v>0</v>
      </c>
      <c r="N2262" s="1" t="str">
        <f t="shared" si="4550"/>
        <v>0</v>
      </c>
      <c r="O2262" s="1" t="str">
        <f t="shared" si="4550"/>
        <v>0</v>
      </c>
      <c r="P2262" s="1" t="str">
        <f t="shared" si="4550"/>
        <v>0</v>
      </c>
      <c r="Q2262" s="1" t="str">
        <f t="shared" si="4515"/>
        <v>0.0070</v>
      </c>
      <c r="R2262" s="1" t="s">
        <v>25</v>
      </c>
      <c r="T2262" s="1" t="str">
        <f t="shared" si="4516"/>
        <v>0</v>
      </c>
      <c r="U2262" s="1" t="str">
        <f t="shared" si="4546"/>
        <v>0.0070</v>
      </c>
    </row>
    <row r="2263" s="1" customFormat="1" spans="1:21">
      <c r="A2263" s="1" t="str">
        <f>"4601992037550"</f>
        <v>4601992037550</v>
      </c>
      <c r="B2263" s="1" t="s">
        <v>2287</v>
      </c>
      <c r="C2263" s="1" t="s">
        <v>24</v>
      </c>
      <c r="D2263" s="1" t="str">
        <f t="shared" si="4513"/>
        <v>2021</v>
      </c>
      <c r="E2263" s="1" t="str">
        <f t="shared" si="4541"/>
        <v>12.09</v>
      </c>
      <c r="F2263" s="1" t="str">
        <f t="shared" ref="F2263:I2263" si="4551">"0"</f>
        <v>0</v>
      </c>
      <c r="G2263" s="1" t="str">
        <f t="shared" si="4551"/>
        <v>0</v>
      </c>
      <c r="H2263" s="1" t="str">
        <f t="shared" si="4551"/>
        <v>0</v>
      </c>
      <c r="I2263" s="1" t="str">
        <f t="shared" si="4551"/>
        <v>0</v>
      </c>
      <c r="J2263" s="1" t="str">
        <f t="shared" si="4543"/>
        <v>1</v>
      </c>
      <c r="K2263" s="1" t="str">
        <f t="shared" ref="K2263:P2263" si="4552">"0"</f>
        <v>0</v>
      </c>
      <c r="L2263" s="1" t="str">
        <f t="shared" si="4552"/>
        <v>0</v>
      </c>
      <c r="M2263" s="1" t="str">
        <f t="shared" si="4552"/>
        <v>0</v>
      </c>
      <c r="N2263" s="1" t="str">
        <f t="shared" si="4552"/>
        <v>0</v>
      </c>
      <c r="O2263" s="1" t="str">
        <f t="shared" si="4552"/>
        <v>0</v>
      </c>
      <c r="P2263" s="1" t="str">
        <f t="shared" si="4552"/>
        <v>0</v>
      </c>
      <c r="Q2263" s="1" t="str">
        <f t="shared" si="4515"/>
        <v>0.0070</v>
      </c>
      <c r="R2263" s="1" t="s">
        <v>25</v>
      </c>
      <c r="T2263" s="1" t="str">
        <f t="shared" si="4516"/>
        <v>0</v>
      </c>
      <c r="U2263" s="1" t="str">
        <f t="shared" si="4546"/>
        <v>0.0070</v>
      </c>
    </row>
    <row r="2264" s="1" customFormat="1" spans="1:21">
      <c r="A2264" s="1" t="str">
        <f>"4601992037594"</f>
        <v>4601992037594</v>
      </c>
      <c r="B2264" s="1" t="s">
        <v>2288</v>
      </c>
      <c r="C2264" s="1" t="s">
        <v>24</v>
      </c>
      <c r="D2264" s="1" t="str">
        <f t="shared" si="4513"/>
        <v>2021</v>
      </c>
      <c r="E2264" s="1" t="str">
        <f t="shared" ref="E2264:P2264" si="4553">"0"</f>
        <v>0</v>
      </c>
      <c r="F2264" s="1" t="str">
        <f t="shared" si="4553"/>
        <v>0</v>
      </c>
      <c r="G2264" s="1" t="str">
        <f t="shared" si="4553"/>
        <v>0</v>
      </c>
      <c r="H2264" s="1" t="str">
        <f t="shared" si="4553"/>
        <v>0</v>
      </c>
      <c r="I2264" s="1" t="str">
        <f t="shared" si="4553"/>
        <v>0</v>
      </c>
      <c r="J2264" s="1" t="str">
        <f t="shared" si="4553"/>
        <v>0</v>
      </c>
      <c r="K2264" s="1" t="str">
        <f t="shared" si="4553"/>
        <v>0</v>
      </c>
      <c r="L2264" s="1" t="str">
        <f t="shared" si="4553"/>
        <v>0</v>
      </c>
      <c r="M2264" s="1" t="str">
        <f t="shared" si="4553"/>
        <v>0</v>
      </c>
      <c r="N2264" s="1" t="str">
        <f t="shared" si="4553"/>
        <v>0</v>
      </c>
      <c r="O2264" s="1" t="str">
        <f t="shared" si="4553"/>
        <v>0</v>
      </c>
      <c r="P2264" s="1" t="str">
        <f t="shared" si="4553"/>
        <v>0</v>
      </c>
      <c r="Q2264" s="1" t="str">
        <f t="shared" si="4515"/>
        <v>0.0070</v>
      </c>
      <c r="R2264" s="1" t="s">
        <v>25</v>
      </c>
      <c r="T2264" s="1" t="str">
        <f t="shared" si="4516"/>
        <v>0</v>
      </c>
      <c r="U2264" s="1" t="str">
        <f t="shared" si="4546"/>
        <v>0.0070</v>
      </c>
    </row>
    <row r="2265" s="1" customFormat="1" spans="1:21">
      <c r="A2265" s="1" t="str">
        <f>"4601992037670"</f>
        <v>4601992037670</v>
      </c>
      <c r="B2265" s="1" t="s">
        <v>2289</v>
      </c>
      <c r="C2265" s="1" t="s">
        <v>24</v>
      </c>
      <c r="D2265" s="1" t="str">
        <f t="shared" si="4513"/>
        <v>2021</v>
      </c>
      <c r="E2265" s="1" t="str">
        <f t="shared" ref="E2265:P2265" si="4554">"0"</f>
        <v>0</v>
      </c>
      <c r="F2265" s="1" t="str">
        <f t="shared" si="4554"/>
        <v>0</v>
      </c>
      <c r="G2265" s="1" t="str">
        <f t="shared" si="4554"/>
        <v>0</v>
      </c>
      <c r="H2265" s="1" t="str">
        <f t="shared" si="4554"/>
        <v>0</v>
      </c>
      <c r="I2265" s="1" t="str">
        <f t="shared" si="4554"/>
        <v>0</v>
      </c>
      <c r="J2265" s="1" t="str">
        <f t="shared" si="4554"/>
        <v>0</v>
      </c>
      <c r="K2265" s="1" t="str">
        <f t="shared" si="4554"/>
        <v>0</v>
      </c>
      <c r="L2265" s="1" t="str">
        <f t="shared" si="4554"/>
        <v>0</v>
      </c>
      <c r="M2265" s="1" t="str">
        <f t="shared" si="4554"/>
        <v>0</v>
      </c>
      <c r="N2265" s="1" t="str">
        <f t="shared" si="4554"/>
        <v>0</v>
      </c>
      <c r="O2265" s="1" t="str">
        <f t="shared" si="4554"/>
        <v>0</v>
      </c>
      <c r="P2265" s="1" t="str">
        <f t="shared" si="4554"/>
        <v>0</v>
      </c>
      <c r="Q2265" s="1" t="str">
        <f t="shared" si="4515"/>
        <v>0.0070</v>
      </c>
      <c r="R2265" s="1" t="s">
        <v>25</v>
      </c>
      <c r="T2265" s="1" t="str">
        <f t="shared" si="4516"/>
        <v>0</v>
      </c>
      <c r="U2265" s="1" t="str">
        <f t="shared" si="4546"/>
        <v>0.0070</v>
      </c>
    </row>
    <row r="2266" s="1" customFormat="1" spans="1:21">
      <c r="A2266" s="1" t="str">
        <f>"4601992037655"</f>
        <v>4601992037655</v>
      </c>
      <c r="B2266" s="1" t="s">
        <v>2290</v>
      </c>
      <c r="C2266" s="1" t="s">
        <v>24</v>
      </c>
      <c r="D2266" s="1" t="str">
        <f t="shared" si="4513"/>
        <v>2021</v>
      </c>
      <c r="E2266" s="1" t="str">
        <f t="shared" ref="E2266:P2266" si="4555">"0"</f>
        <v>0</v>
      </c>
      <c r="F2266" s="1" t="str">
        <f t="shared" si="4555"/>
        <v>0</v>
      </c>
      <c r="G2266" s="1" t="str">
        <f t="shared" si="4555"/>
        <v>0</v>
      </c>
      <c r="H2266" s="1" t="str">
        <f t="shared" si="4555"/>
        <v>0</v>
      </c>
      <c r="I2266" s="1" t="str">
        <f t="shared" si="4555"/>
        <v>0</v>
      </c>
      <c r="J2266" s="1" t="str">
        <f t="shared" si="4555"/>
        <v>0</v>
      </c>
      <c r="K2266" s="1" t="str">
        <f t="shared" si="4555"/>
        <v>0</v>
      </c>
      <c r="L2266" s="1" t="str">
        <f t="shared" si="4555"/>
        <v>0</v>
      </c>
      <c r="M2266" s="1" t="str">
        <f t="shared" si="4555"/>
        <v>0</v>
      </c>
      <c r="N2266" s="1" t="str">
        <f t="shared" si="4555"/>
        <v>0</v>
      </c>
      <c r="O2266" s="1" t="str">
        <f t="shared" si="4555"/>
        <v>0</v>
      </c>
      <c r="P2266" s="1" t="str">
        <f t="shared" si="4555"/>
        <v>0</v>
      </c>
      <c r="Q2266" s="1" t="str">
        <f t="shared" si="4515"/>
        <v>0.0070</v>
      </c>
      <c r="R2266" s="1" t="s">
        <v>25</v>
      </c>
      <c r="T2266" s="1" t="str">
        <f t="shared" si="4516"/>
        <v>0</v>
      </c>
      <c r="U2266" s="1" t="str">
        <f t="shared" si="4546"/>
        <v>0.0070</v>
      </c>
    </row>
    <row r="2267" s="1" customFormat="1" spans="1:21">
      <c r="A2267" s="1" t="str">
        <f>"4601992037624"</f>
        <v>4601992037624</v>
      </c>
      <c r="B2267" s="1" t="s">
        <v>2291</v>
      </c>
      <c r="C2267" s="1" t="s">
        <v>24</v>
      </c>
      <c r="D2267" s="1" t="str">
        <f t="shared" si="4513"/>
        <v>2021</v>
      </c>
      <c r="E2267" s="1" t="str">
        <f>"84.52"</f>
        <v>84.52</v>
      </c>
      <c r="F2267" s="1" t="str">
        <f t="shared" ref="F2267:I2267" si="4556">"0"</f>
        <v>0</v>
      </c>
      <c r="G2267" s="1" t="str">
        <f t="shared" si="4556"/>
        <v>0</v>
      </c>
      <c r="H2267" s="1" t="str">
        <f t="shared" si="4556"/>
        <v>0</v>
      </c>
      <c r="I2267" s="1" t="str">
        <f t="shared" si="4556"/>
        <v>0</v>
      </c>
      <c r="J2267" s="1" t="str">
        <f>"6"</f>
        <v>6</v>
      </c>
      <c r="K2267" s="1" t="str">
        <f t="shared" ref="K2267:P2267" si="4557">"0"</f>
        <v>0</v>
      </c>
      <c r="L2267" s="1" t="str">
        <f t="shared" si="4557"/>
        <v>0</v>
      </c>
      <c r="M2267" s="1" t="str">
        <f t="shared" si="4557"/>
        <v>0</v>
      </c>
      <c r="N2267" s="1" t="str">
        <f t="shared" si="4557"/>
        <v>0</v>
      </c>
      <c r="O2267" s="1" t="str">
        <f t="shared" si="4557"/>
        <v>0</v>
      </c>
      <c r="P2267" s="1" t="str">
        <f t="shared" si="4557"/>
        <v>0</v>
      </c>
      <c r="Q2267" s="1" t="str">
        <f t="shared" si="4515"/>
        <v>0.0070</v>
      </c>
      <c r="R2267" s="1" t="s">
        <v>29</v>
      </c>
      <c r="S2267" s="1">
        <v>-0.0014</v>
      </c>
      <c r="T2267" s="1" t="str">
        <f t="shared" si="4516"/>
        <v>0</v>
      </c>
      <c r="U2267" s="1" t="str">
        <f t="shared" ref="U2267:U2275" si="4558">"0.0056"</f>
        <v>0.0056</v>
      </c>
    </row>
    <row r="2268" s="1" customFormat="1" spans="1:21">
      <c r="A2268" s="1" t="str">
        <f>"4601992037591"</f>
        <v>4601992037591</v>
      </c>
      <c r="B2268" s="1" t="s">
        <v>2292</v>
      </c>
      <c r="C2268" s="1" t="s">
        <v>24</v>
      </c>
      <c r="D2268" s="1" t="str">
        <f t="shared" si="4513"/>
        <v>2021</v>
      </c>
      <c r="E2268" s="1" t="str">
        <f>"24.18"</f>
        <v>24.18</v>
      </c>
      <c r="F2268" s="1" t="str">
        <f t="shared" ref="F2268:I2268" si="4559">"0"</f>
        <v>0</v>
      </c>
      <c r="G2268" s="1" t="str">
        <f t="shared" si="4559"/>
        <v>0</v>
      </c>
      <c r="H2268" s="1" t="str">
        <f t="shared" si="4559"/>
        <v>0</v>
      </c>
      <c r="I2268" s="1" t="str">
        <f t="shared" si="4559"/>
        <v>0</v>
      </c>
      <c r="J2268" s="1" t="str">
        <f>"2"</f>
        <v>2</v>
      </c>
      <c r="K2268" s="1" t="str">
        <f t="shared" ref="K2268:P2268" si="4560">"0"</f>
        <v>0</v>
      </c>
      <c r="L2268" s="1" t="str">
        <f t="shared" si="4560"/>
        <v>0</v>
      </c>
      <c r="M2268" s="1" t="str">
        <f t="shared" si="4560"/>
        <v>0</v>
      </c>
      <c r="N2268" s="1" t="str">
        <f t="shared" si="4560"/>
        <v>0</v>
      </c>
      <c r="O2268" s="1" t="str">
        <f t="shared" si="4560"/>
        <v>0</v>
      </c>
      <c r="P2268" s="1" t="str">
        <f t="shared" si="4560"/>
        <v>0</v>
      </c>
      <c r="Q2268" s="1" t="str">
        <f t="shared" si="4515"/>
        <v>0.0070</v>
      </c>
      <c r="R2268" s="1" t="s">
        <v>29</v>
      </c>
      <c r="S2268" s="1">
        <v>-0.0014</v>
      </c>
      <c r="T2268" s="1" t="str">
        <f t="shared" si="4516"/>
        <v>0</v>
      </c>
      <c r="U2268" s="1" t="str">
        <f t="shared" si="4558"/>
        <v>0.0056</v>
      </c>
    </row>
    <row r="2269" s="1" customFormat="1" spans="1:21">
      <c r="A2269" s="1" t="str">
        <f>"4601992037732"</f>
        <v>4601992037732</v>
      </c>
      <c r="B2269" s="1" t="s">
        <v>2293</v>
      </c>
      <c r="C2269" s="1" t="s">
        <v>24</v>
      </c>
      <c r="D2269" s="1" t="str">
        <f t="shared" si="4513"/>
        <v>2021</v>
      </c>
      <c r="E2269" s="1" t="str">
        <f>"12.09"</f>
        <v>12.09</v>
      </c>
      <c r="F2269" s="1" t="str">
        <f t="shared" ref="F2269:I2269" si="4561">"0"</f>
        <v>0</v>
      </c>
      <c r="G2269" s="1" t="str">
        <f t="shared" si="4561"/>
        <v>0</v>
      </c>
      <c r="H2269" s="1" t="str">
        <f t="shared" si="4561"/>
        <v>0</v>
      </c>
      <c r="I2269" s="1" t="str">
        <f t="shared" si="4561"/>
        <v>0</v>
      </c>
      <c r="J2269" s="1" t="str">
        <f>"1"</f>
        <v>1</v>
      </c>
      <c r="K2269" s="1" t="str">
        <f t="shared" ref="K2269:P2269" si="4562">"0"</f>
        <v>0</v>
      </c>
      <c r="L2269" s="1" t="str">
        <f t="shared" si="4562"/>
        <v>0</v>
      </c>
      <c r="M2269" s="1" t="str">
        <f t="shared" si="4562"/>
        <v>0</v>
      </c>
      <c r="N2269" s="1" t="str">
        <f t="shared" si="4562"/>
        <v>0</v>
      </c>
      <c r="O2269" s="1" t="str">
        <f t="shared" si="4562"/>
        <v>0</v>
      </c>
      <c r="P2269" s="1" t="str">
        <f t="shared" si="4562"/>
        <v>0</v>
      </c>
      <c r="Q2269" s="1" t="str">
        <f t="shared" si="4515"/>
        <v>0.0070</v>
      </c>
      <c r="R2269" s="1" t="s">
        <v>29</v>
      </c>
      <c r="S2269" s="1">
        <v>-0.0014</v>
      </c>
      <c r="T2269" s="1" t="str">
        <f t="shared" si="4516"/>
        <v>0</v>
      </c>
      <c r="U2269" s="1" t="str">
        <f t="shared" si="4558"/>
        <v>0.0056</v>
      </c>
    </row>
    <row r="2270" s="1" customFormat="1" spans="1:21">
      <c r="A2270" s="1" t="str">
        <f>"4601992037698"</f>
        <v>4601992037698</v>
      </c>
      <c r="B2270" s="1" t="s">
        <v>2294</v>
      </c>
      <c r="C2270" s="1" t="s">
        <v>24</v>
      </c>
      <c r="D2270" s="1" t="str">
        <f t="shared" si="4513"/>
        <v>2021</v>
      </c>
      <c r="E2270" s="1" t="str">
        <f>"36.27"</f>
        <v>36.27</v>
      </c>
      <c r="F2270" s="1" t="str">
        <f t="shared" ref="F2270:I2270" si="4563">"0"</f>
        <v>0</v>
      </c>
      <c r="G2270" s="1" t="str">
        <f t="shared" si="4563"/>
        <v>0</v>
      </c>
      <c r="H2270" s="1" t="str">
        <f t="shared" si="4563"/>
        <v>0</v>
      </c>
      <c r="I2270" s="1" t="str">
        <f t="shared" si="4563"/>
        <v>0</v>
      </c>
      <c r="J2270" s="1" t="str">
        <f>"3"</f>
        <v>3</v>
      </c>
      <c r="K2270" s="1" t="str">
        <f t="shared" ref="K2270:P2270" si="4564">"0"</f>
        <v>0</v>
      </c>
      <c r="L2270" s="1" t="str">
        <f t="shared" si="4564"/>
        <v>0</v>
      </c>
      <c r="M2270" s="1" t="str">
        <f t="shared" si="4564"/>
        <v>0</v>
      </c>
      <c r="N2270" s="1" t="str">
        <f t="shared" si="4564"/>
        <v>0</v>
      </c>
      <c r="O2270" s="1" t="str">
        <f t="shared" si="4564"/>
        <v>0</v>
      </c>
      <c r="P2270" s="1" t="str">
        <f t="shared" si="4564"/>
        <v>0</v>
      </c>
      <c r="Q2270" s="1" t="str">
        <f t="shared" si="4515"/>
        <v>0.0070</v>
      </c>
      <c r="R2270" s="1" t="s">
        <v>29</v>
      </c>
      <c r="S2270" s="1">
        <v>-0.0014</v>
      </c>
      <c r="T2270" s="1" t="str">
        <f t="shared" si="4516"/>
        <v>0</v>
      </c>
      <c r="U2270" s="1" t="str">
        <f t="shared" si="4558"/>
        <v>0.0056</v>
      </c>
    </row>
    <row r="2271" s="1" customFormat="1" spans="1:21">
      <c r="A2271" s="1" t="str">
        <f>"4601992037687"</f>
        <v>4601992037687</v>
      </c>
      <c r="B2271" s="1" t="s">
        <v>2295</v>
      </c>
      <c r="C2271" s="1" t="s">
        <v>24</v>
      </c>
      <c r="D2271" s="1" t="str">
        <f t="shared" si="4513"/>
        <v>2021</v>
      </c>
      <c r="E2271" s="1" t="str">
        <f>"209.67"</f>
        <v>209.67</v>
      </c>
      <c r="F2271" s="1" t="str">
        <f t="shared" ref="F2271:I2271" si="4565">"0"</f>
        <v>0</v>
      </c>
      <c r="G2271" s="1" t="str">
        <f t="shared" si="4565"/>
        <v>0</v>
      </c>
      <c r="H2271" s="1" t="str">
        <f t="shared" si="4565"/>
        <v>0</v>
      </c>
      <c r="I2271" s="1" t="str">
        <f t="shared" si="4565"/>
        <v>0</v>
      </c>
      <c r="J2271" s="1" t="str">
        <f>"12"</f>
        <v>12</v>
      </c>
      <c r="K2271" s="1" t="str">
        <f t="shared" ref="K2271:P2271" si="4566">"0"</f>
        <v>0</v>
      </c>
      <c r="L2271" s="1" t="str">
        <f t="shared" si="4566"/>
        <v>0</v>
      </c>
      <c r="M2271" s="1" t="str">
        <f t="shared" si="4566"/>
        <v>0</v>
      </c>
      <c r="N2271" s="1" t="str">
        <f t="shared" si="4566"/>
        <v>0</v>
      </c>
      <c r="O2271" s="1" t="str">
        <f t="shared" si="4566"/>
        <v>0</v>
      </c>
      <c r="P2271" s="1" t="str">
        <f t="shared" si="4566"/>
        <v>0</v>
      </c>
      <c r="Q2271" s="1" t="str">
        <f t="shared" si="4515"/>
        <v>0.0070</v>
      </c>
      <c r="R2271" s="1" t="s">
        <v>29</v>
      </c>
      <c r="S2271" s="1">
        <v>-0.0014</v>
      </c>
      <c r="T2271" s="1" t="str">
        <f t="shared" si="4516"/>
        <v>0</v>
      </c>
      <c r="U2271" s="1" t="str">
        <f t="shared" si="4558"/>
        <v>0.0056</v>
      </c>
    </row>
    <row r="2272" s="1" customFormat="1" spans="1:21">
      <c r="A2272" s="1" t="str">
        <f>"4601992037744"</f>
        <v>4601992037744</v>
      </c>
      <c r="B2272" s="1" t="s">
        <v>2296</v>
      </c>
      <c r="C2272" s="1" t="s">
        <v>24</v>
      </c>
      <c r="D2272" s="1" t="str">
        <f t="shared" si="4513"/>
        <v>2021</v>
      </c>
      <c r="E2272" s="1" t="str">
        <f>"96.72"</f>
        <v>96.72</v>
      </c>
      <c r="F2272" s="1" t="str">
        <f t="shared" ref="F2272:I2272" si="4567">"0"</f>
        <v>0</v>
      </c>
      <c r="G2272" s="1" t="str">
        <f t="shared" si="4567"/>
        <v>0</v>
      </c>
      <c r="H2272" s="1" t="str">
        <f t="shared" si="4567"/>
        <v>0</v>
      </c>
      <c r="I2272" s="1" t="str">
        <f t="shared" si="4567"/>
        <v>0</v>
      </c>
      <c r="J2272" s="1" t="str">
        <f>"9"</f>
        <v>9</v>
      </c>
      <c r="K2272" s="1" t="str">
        <f t="shared" ref="K2272:P2272" si="4568">"0"</f>
        <v>0</v>
      </c>
      <c r="L2272" s="1" t="str">
        <f t="shared" si="4568"/>
        <v>0</v>
      </c>
      <c r="M2272" s="1" t="str">
        <f t="shared" si="4568"/>
        <v>0</v>
      </c>
      <c r="N2272" s="1" t="str">
        <f t="shared" si="4568"/>
        <v>0</v>
      </c>
      <c r="O2272" s="1" t="str">
        <f t="shared" si="4568"/>
        <v>0</v>
      </c>
      <c r="P2272" s="1" t="str">
        <f t="shared" si="4568"/>
        <v>0</v>
      </c>
      <c r="Q2272" s="1" t="str">
        <f t="shared" si="4515"/>
        <v>0.0070</v>
      </c>
      <c r="R2272" s="1" t="s">
        <v>29</v>
      </c>
      <c r="S2272" s="1">
        <v>-0.0014</v>
      </c>
      <c r="T2272" s="1" t="str">
        <f t="shared" si="4516"/>
        <v>0</v>
      </c>
      <c r="U2272" s="1" t="str">
        <f t="shared" si="4558"/>
        <v>0.0056</v>
      </c>
    </row>
    <row r="2273" s="1" customFormat="1" spans="1:21">
      <c r="A2273" s="1" t="str">
        <f>"4601992037768"</f>
        <v>4601992037768</v>
      </c>
      <c r="B2273" s="1" t="s">
        <v>2297</v>
      </c>
      <c r="C2273" s="1" t="s">
        <v>24</v>
      </c>
      <c r="D2273" s="1" t="str">
        <f t="shared" si="4513"/>
        <v>2021</v>
      </c>
      <c r="E2273" s="1" t="str">
        <f>"12.09"</f>
        <v>12.09</v>
      </c>
      <c r="F2273" s="1" t="str">
        <f t="shared" ref="F2273:I2273" si="4569">"0"</f>
        <v>0</v>
      </c>
      <c r="G2273" s="1" t="str">
        <f t="shared" si="4569"/>
        <v>0</v>
      </c>
      <c r="H2273" s="1" t="str">
        <f t="shared" si="4569"/>
        <v>0</v>
      </c>
      <c r="I2273" s="1" t="str">
        <f t="shared" si="4569"/>
        <v>0</v>
      </c>
      <c r="J2273" s="1" t="str">
        <f>"1"</f>
        <v>1</v>
      </c>
      <c r="K2273" s="1" t="str">
        <f t="shared" ref="K2273:P2273" si="4570">"0"</f>
        <v>0</v>
      </c>
      <c r="L2273" s="1" t="str">
        <f t="shared" si="4570"/>
        <v>0</v>
      </c>
      <c r="M2273" s="1" t="str">
        <f t="shared" si="4570"/>
        <v>0</v>
      </c>
      <c r="N2273" s="1" t="str">
        <f t="shared" si="4570"/>
        <v>0</v>
      </c>
      <c r="O2273" s="1" t="str">
        <f t="shared" si="4570"/>
        <v>0</v>
      </c>
      <c r="P2273" s="1" t="str">
        <f t="shared" si="4570"/>
        <v>0</v>
      </c>
      <c r="Q2273" s="1" t="str">
        <f t="shared" si="4515"/>
        <v>0.0070</v>
      </c>
      <c r="R2273" s="1" t="s">
        <v>29</v>
      </c>
      <c r="S2273" s="1">
        <v>-0.0014</v>
      </c>
      <c r="T2273" s="1" t="str">
        <f t="shared" si="4516"/>
        <v>0</v>
      </c>
      <c r="U2273" s="1" t="str">
        <f t="shared" si="4558"/>
        <v>0.0056</v>
      </c>
    </row>
    <row r="2274" s="1" customFormat="1" spans="1:21">
      <c r="A2274" s="1" t="str">
        <f>"4601992037781"</f>
        <v>4601992037781</v>
      </c>
      <c r="B2274" s="1" t="s">
        <v>2298</v>
      </c>
      <c r="C2274" s="1" t="s">
        <v>24</v>
      </c>
      <c r="D2274" s="1" t="str">
        <f t="shared" si="4513"/>
        <v>2021</v>
      </c>
      <c r="E2274" s="1" t="str">
        <f>"48.25"</f>
        <v>48.25</v>
      </c>
      <c r="F2274" s="1" t="str">
        <f t="shared" ref="F2274:I2274" si="4571">"0"</f>
        <v>0</v>
      </c>
      <c r="G2274" s="1" t="str">
        <f t="shared" si="4571"/>
        <v>0</v>
      </c>
      <c r="H2274" s="1" t="str">
        <f t="shared" si="4571"/>
        <v>0</v>
      </c>
      <c r="I2274" s="1" t="str">
        <f t="shared" si="4571"/>
        <v>0</v>
      </c>
      <c r="J2274" s="1" t="str">
        <f>"4"</f>
        <v>4</v>
      </c>
      <c r="K2274" s="1" t="str">
        <f t="shared" ref="K2274:P2274" si="4572">"0"</f>
        <v>0</v>
      </c>
      <c r="L2274" s="1" t="str">
        <f t="shared" si="4572"/>
        <v>0</v>
      </c>
      <c r="M2274" s="1" t="str">
        <f t="shared" si="4572"/>
        <v>0</v>
      </c>
      <c r="N2274" s="1" t="str">
        <f t="shared" si="4572"/>
        <v>0</v>
      </c>
      <c r="O2274" s="1" t="str">
        <f t="shared" si="4572"/>
        <v>0</v>
      </c>
      <c r="P2274" s="1" t="str">
        <f t="shared" si="4572"/>
        <v>0</v>
      </c>
      <c r="Q2274" s="1" t="str">
        <f t="shared" si="4515"/>
        <v>0.0070</v>
      </c>
      <c r="R2274" s="1" t="s">
        <v>29</v>
      </c>
      <c r="S2274" s="1">
        <v>-0.0014</v>
      </c>
      <c r="T2274" s="1" t="str">
        <f t="shared" si="4516"/>
        <v>0</v>
      </c>
      <c r="U2274" s="1" t="str">
        <f t="shared" si="4558"/>
        <v>0.0056</v>
      </c>
    </row>
    <row r="2275" s="1" customFormat="1" spans="1:21">
      <c r="A2275" s="1" t="str">
        <f>"4601992037809"</f>
        <v>4601992037809</v>
      </c>
      <c r="B2275" s="1" t="s">
        <v>2299</v>
      </c>
      <c r="C2275" s="1" t="s">
        <v>24</v>
      </c>
      <c r="D2275" s="1" t="str">
        <f t="shared" si="4513"/>
        <v>2021</v>
      </c>
      <c r="E2275" s="1" t="str">
        <f>"24.18"</f>
        <v>24.18</v>
      </c>
      <c r="F2275" s="1" t="str">
        <f t="shared" ref="F2275:I2275" si="4573">"0"</f>
        <v>0</v>
      </c>
      <c r="G2275" s="1" t="str">
        <f t="shared" si="4573"/>
        <v>0</v>
      </c>
      <c r="H2275" s="1" t="str">
        <f t="shared" si="4573"/>
        <v>0</v>
      </c>
      <c r="I2275" s="1" t="str">
        <f t="shared" si="4573"/>
        <v>0</v>
      </c>
      <c r="J2275" s="1" t="str">
        <f>"2"</f>
        <v>2</v>
      </c>
      <c r="K2275" s="1" t="str">
        <f t="shared" ref="K2275:P2275" si="4574">"0"</f>
        <v>0</v>
      </c>
      <c r="L2275" s="1" t="str">
        <f t="shared" si="4574"/>
        <v>0</v>
      </c>
      <c r="M2275" s="1" t="str">
        <f t="shared" si="4574"/>
        <v>0</v>
      </c>
      <c r="N2275" s="1" t="str">
        <f t="shared" si="4574"/>
        <v>0</v>
      </c>
      <c r="O2275" s="1" t="str">
        <f t="shared" si="4574"/>
        <v>0</v>
      </c>
      <c r="P2275" s="1" t="str">
        <f t="shared" si="4574"/>
        <v>0</v>
      </c>
      <c r="Q2275" s="1" t="str">
        <f t="shared" si="4515"/>
        <v>0.0070</v>
      </c>
      <c r="R2275" s="1" t="s">
        <v>29</v>
      </c>
      <c r="S2275" s="1">
        <v>-0.0014</v>
      </c>
      <c r="T2275" s="1" t="str">
        <f t="shared" si="4516"/>
        <v>0</v>
      </c>
      <c r="U2275" s="1" t="str">
        <f t="shared" si="4558"/>
        <v>0.0056</v>
      </c>
    </row>
    <row r="2276" s="1" customFormat="1" spans="1:21">
      <c r="A2276" s="1" t="str">
        <f>"4601992037811"</f>
        <v>4601992037811</v>
      </c>
      <c r="B2276" s="1" t="s">
        <v>2300</v>
      </c>
      <c r="C2276" s="1" t="s">
        <v>24</v>
      </c>
      <c r="D2276" s="1" t="str">
        <f t="shared" si="4513"/>
        <v>2021</v>
      </c>
      <c r="E2276" s="1" t="str">
        <f>"12.09"</f>
        <v>12.09</v>
      </c>
      <c r="F2276" s="1" t="str">
        <f t="shared" ref="F2276:I2276" si="4575">"0"</f>
        <v>0</v>
      </c>
      <c r="G2276" s="1" t="str">
        <f t="shared" si="4575"/>
        <v>0</v>
      </c>
      <c r="H2276" s="1" t="str">
        <f t="shared" si="4575"/>
        <v>0</v>
      </c>
      <c r="I2276" s="1" t="str">
        <f t="shared" si="4575"/>
        <v>0</v>
      </c>
      <c r="J2276" s="1" t="str">
        <f>"1"</f>
        <v>1</v>
      </c>
      <c r="K2276" s="1" t="str">
        <f t="shared" ref="K2276:P2276" si="4576">"0"</f>
        <v>0</v>
      </c>
      <c r="L2276" s="1" t="str">
        <f t="shared" si="4576"/>
        <v>0</v>
      </c>
      <c r="M2276" s="1" t="str">
        <f t="shared" si="4576"/>
        <v>0</v>
      </c>
      <c r="N2276" s="1" t="str">
        <f t="shared" si="4576"/>
        <v>0</v>
      </c>
      <c r="O2276" s="1" t="str">
        <f t="shared" si="4576"/>
        <v>0</v>
      </c>
      <c r="P2276" s="1" t="str">
        <f t="shared" si="4576"/>
        <v>0</v>
      </c>
      <c r="Q2276" s="1" t="str">
        <f t="shared" si="4515"/>
        <v>0.0070</v>
      </c>
      <c r="R2276" s="1" t="s">
        <v>25</v>
      </c>
      <c r="T2276" s="1" t="str">
        <f t="shared" si="4516"/>
        <v>0</v>
      </c>
      <c r="U2276" s="1" t="str">
        <f>"0.0070"</f>
        <v>0.0070</v>
      </c>
    </row>
    <row r="2277" s="1" customFormat="1" spans="1:21">
      <c r="A2277" s="1" t="str">
        <f>"4601992037915"</f>
        <v>4601992037915</v>
      </c>
      <c r="B2277" s="1" t="s">
        <v>2301</v>
      </c>
      <c r="C2277" s="1" t="s">
        <v>24</v>
      </c>
      <c r="D2277" s="1" t="str">
        <f t="shared" si="4513"/>
        <v>2021</v>
      </c>
      <c r="E2277" s="1" t="str">
        <f t="shared" ref="E2277:P2277" si="4577">"0"</f>
        <v>0</v>
      </c>
      <c r="F2277" s="1" t="str">
        <f t="shared" si="4577"/>
        <v>0</v>
      </c>
      <c r="G2277" s="1" t="str">
        <f t="shared" si="4577"/>
        <v>0</v>
      </c>
      <c r="H2277" s="1" t="str">
        <f t="shared" si="4577"/>
        <v>0</v>
      </c>
      <c r="I2277" s="1" t="str">
        <f t="shared" si="4577"/>
        <v>0</v>
      </c>
      <c r="J2277" s="1" t="str">
        <f t="shared" si="4577"/>
        <v>0</v>
      </c>
      <c r="K2277" s="1" t="str">
        <f t="shared" si="4577"/>
        <v>0</v>
      </c>
      <c r="L2277" s="1" t="str">
        <f t="shared" si="4577"/>
        <v>0</v>
      </c>
      <c r="M2277" s="1" t="str">
        <f t="shared" si="4577"/>
        <v>0</v>
      </c>
      <c r="N2277" s="1" t="str">
        <f t="shared" si="4577"/>
        <v>0</v>
      </c>
      <c r="O2277" s="1" t="str">
        <f t="shared" si="4577"/>
        <v>0</v>
      </c>
      <c r="P2277" s="1" t="str">
        <f t="shared" si="4577"/>
        <v>0</v>
      </c>
      <c r="Q2277" s="1" t="str">
        <f t="shared" si="4515"/>
        <v>0.0070</v>
      </c>
      <c r="R2277" s="1" t="s">
        <v>25</v>
      </c>
      <c r="T2277" s="1" t="str">
        <f t="shared" si="4516"/>
        <v>0</v>
      </c>
      <c r="U2277" s="1" t="str">
        <f>"0.0070"</f>
        <v>0.0070</v>
      </c>
    </row>
    <row r="2278" s="1" customFormat="1" spans="1:21">
      <c r="A2278" s="1" t="str">
        <f>"4601992037847"</f>
        <v>4601992037847</v>
      </c>
      <c r="B2278" s="1" t="s">
        <v>2302</v>
      </c>
      <c r="C2278" s="1" t="s">
        <v>24</v>
      </c>
      <c r="D2278" s="1" t="str">
        <f t="shared" si="4513"/>
        <v>2021</v>
      </c>
      <c r="E2278" s="1" t="str">
        <f>"72.54"</f>
        <v>72.54</v>
      </c>
      <c r="F2278" s="1" t="str">
        <f t="shared" ref="F2278:I2278" si="4578">"0"</f>
        <v>0</v>
      </c>
      <c r="G2278" s="1" t="str">
        <f t="shared" si="4578"/>
        <v>0</v>
      </c>
      <c r="H2278" s="1" t="str">
        <f t="shared" si="4578"/>
        <v>0</v>
      </c>
      <c r="I2278" s="1" t="str">
        <f t="shared" si="4578"/>
        <v>0</v>
      </c>
      <c r="J2278" s="1" t="str">
        <f>"5"</f>
        <v>5</v>
      </c>
      <c r="K2278" s="1" t="str">
        <f t="shared" ref="K2278:P2278" si="4579">"0"</f>
        <v>0</v>
      </c>
      <c r="L2278" s="1" t="str">
        <f t="shared" si="4579"/>
        <v>0</v>
      </c>
      <c r="M2278" s="1" t="str">
        <f t="shared" si="4579"/>
        <v>0</v>
      </c>
      <c r="N2278" s="1" t="str">
        <f t="shared" si="4579"/>
        <v>0</v>
      </c>
      <c r="O2278" s="1" t="str">
        <f t="shared" si="4579"/>
        <v>0</v>
      </c>
      <c r="P2278" s="1" t="str">
        <f t="shared" si="4579"/>
        <v>0</v>
      </c>
      <c r="Q2278" s="1" t="str">
        <f t="shared" si="4515"/>
        <v>0.0070</v>
      </c>
      <c r="R2278" s="1" t="s">
        <v>29</v>
      </c>
      <c r="S2278" s="1">
        <v>-0.0014</v>
      </c>
      <c r="T2278" s="1" t="str">
        <f t="shared" si="4516"/>
        <v>0</v>
      </c>
      <c r="U2278" s="1" t="str">
        <f t="shared" ref="U2278:U2281" si="4580">"0.0056"</f>
        <v>0.0056</v>
      </c>
    </row>
    <row r="2279" s="1" customFormat="1" spans="1:21">
      <c r="A2279" s="1" t="str">
        <f>"4601992037927"</f>
        <v>4601992037927</v>
      </c>
      <c r="B2279" s="1" t="s">
        <v>2303</v>
      </c>
      <c r="C2279" s="1" t="s">
        <v>24</v>
      </c>
      <c r="D2279" s="1" t="str">
        <f t="shared" si="4513"/>
        <v>2021</v>
      </c>
      <c r="E2279" s="1" t="str">
        <f>"24.18"</f>
        <v>24.18</v>
      </c>
      <c r="F2279" s="1" t="str">
        <f t="shared" ref="F2279:I2279" si="4581">"0"</f>
        <v>0</v>
      </c>
      <c r="G2279" s="1" t="str">
        <f t="shared" si="4581"/>
        <v>0</v>
      </c>
      <c r="H2279" s="1" t="str">
        <f t="shared" si="4581"/>
        <v>0</v>
      </c>
      <c r="I2279" s="1" t="str">
        <f t="shared" si="4581"/>
        <v>0</v>
      </c>
      <c r="J2279" s="1" t="str">
        <f t="shared" ref="J2279:J2284" si="4582">"2"</f>
        <v>2</v>
      </c>
      <c r="K2279" s="1" t="str">
        <f t="shared" ref="K2279:P2279" si="4583">"0"</f>
        <v>0</v>
      </c>
      <c r="L2279" s="1" t="str">
        <f t="shared" si="4583"/>
        <v>0</v>
      </c>
      <c r="M2279" s="1" t="str">
        <f t="shared" si="4583"/>
        <v>0</v>
      </c>
      <c r="N2279" s="1" t="str">
        <f t="shared" si="4583"/>
        <v>0</v>
      </c>
      <c r="O2279" s="1" t="str">
        <f t="shared" si="4583"/>
        <v>0</v>
      </c>
      <c r="P2279" s="1" t="str">
        <f t="shared" si="4583"/>
        <v>0</v>
      </c>
      <c r="Q2279" s="1" t="str">
        <f t="shared" si="4515"/>
        <v>0.0070</v>
      </c>
      <c r="R2279" s="1" t="s">
        <v>29</v>
      </c>
      <c r="S2279" s="1">
        <v>-0.0014</v>
      </c>
      <c r="T2279" s="1" t="str">
        <f t="shared" si="4516"/>
        <v>0</v>
      </c>
      <c r="U2279" s="1" t="str">
        <f t="shared" si="4580"/>
        <v>0.0056</v>
      </c>
    </row>
    <row r="2280" s="1" customFormat="1" spans="1:21">
      <c r="A2280" s="1" t="str">
        <f>"4601992037948"</f>
        <v>4601992037948</v>
      </c>
      <c r="B2280" s="1" t="s">
        <v>2304</v>
      </c>
      <c r="C2280" s="1" t="s">
        <v>24</v>
      </c>
      <c r="D2280" s="1" t="str">
        <f t="shared" si="4513"/>
        <v>2021</v>
      </c>
      <c r="E2280" s="1" t="str">
        <f>"73.66"</f>
        <v>73.66</v>
      </c>
      <c r="F2280" s="1" t="str">
        <f t="shared" ref="F2280:I2280" si="4584">"0"</f>
        <v>0</v>
      </c>
      <c r="G2280" s="1" t="str">
        <f t="shared" si="4584"/>
        <v>0</v>
      </c>
      <c r="H2280" s="1" t="str">
        <f t="shared" si="4584"/>
        <v>0</v>
      </c>
      <c r="I2280" s="1" t="str">
        <f t="shared" si="4584"/>
        <v>0</v>
      </c>
      <c r="J2280" s="1" t="str">
        <f>"6"</f>
        <v>6</v>
      </c>
      <c r="K2280" s="1" t="str">
        <f t="shared" ref="K2280:P2280" si="4585">"0"</f>
        <v>0</v>
      </c>
      <c r="L2280" s="1" t="str">
        <f t="shared" si="4585"/>
        <v>0</v>
      </c>
      <c r="M2280" s="1" t="str">
        <f t="shared" si="4585"/>
        <v>0</v>
      </c>
      <c r="N2280" s="1" t="str">
        <f t="shared" si="4585"/>
        <v>0</v>
      </c>
      <c r="O2280" s="1" t="str">
        <f t="shared" si="4585"/>
        <v>0</v>
      </c>
      <c r="P2280" s="1" t="str">
        <f t="shared" si="4585"/>
        <v>0</v>
      </c>
      <c r="Q2280" s="1" t="str">
        <f t="shared" si="4515"/>
        <v>0.0070</v>
      </c>
      <c r="R2280" s="1" t="s">
        <v>29</v>
      </c>
      <c r="S2280" s="1">
        <v>-0.0014</v>
      </c>
      <c r="T2280" s="1" t="str">
        <f t="shared" si="4516"/>
        <v>0</v>
      </c>
      <c r="U2280" s="1" t="str">
        <f t="shared" si="4580"/>
        <v>0.0056</v>
      </c>
    </row>
    <row r="2281" s="1" customFormat="1" spans="1:21">
      <c r="A2281" s="1" t="str">
        <f>"4601992037977"</f>
        <v>4601992037977</v>
      </c>
      <c r="B2281" s="1" t="s">
        <v>2305</v>
      </c>
      <c r="C2281" s="1" t="s">
        <v>24</v>
      </c>
      <c r="D2281" s="1" t="str">
        <f t="shared" si="4513"/>
        <v>2021</v>
      </c>
      <c r="E2281" s="1" t="str">
        <f>"24.34"</f>
        <v>24.34</v>
      </c>
      <c r="F2281" s="1" t="str">
        <f t="shared" ref="F2281:I2281" si="4586">"0"</f>
        <v>0</v>
      </c>
      <c r="G2281" s="1" t="str">
        <f t="shared" si="4586"/>
        <v>0</v>
      </c>
      <c r="H2281" s="1" t="str">
        <f t="shared" si="4586"/>
        <v>0</v>
      </c>
      <c r="I2281" s="1" t="str">
        <f t="shared" si="4586"/>
        <v>0</v>
      </c>
      <c r="J2281" s="1" t="str">
        <f t="shared" si="4582"/>
        <v>2</v>
      </c>
      <c r="K2281" s="1" t="str">
        <f t="shared" ref="K2281:P2281" si="4587">"0"</f>
        <v>0</v>
      </c>
      <c r="L2281" s="1" t="str">
        <f t="shared" si="4587"/>
        <v>0</v>
      </c>
      <c r="M2281" s="1" t="str">
        <f t="shared" si="4587"/>
        <v>0</v>
      </c>
      <c r="N2281" s="1" t="str">
        <f t="shared" si="4587"/>
        <v>0</v>
      </c>
      <c r="O2281" s="1" t="str">
        <f t="shared" si="4587"/>
        <v>0</v>
      </c>
      <c r="P2281" s="1" t="str">
        <f t="shared" si="4587"/>
        <v>0</v>
      </c>
      <c r="Q2281" s="1" t="str">
        <f t="shared" si="4515"/>
        <v>0.0070</v>
      </c>
      <c r="R2281" s="1" t="s">
        <v>29</v>
      </c>
      <c r="S2281" s="1">
        <v>-0.0014</v>
      </c>
      <c r="T2281" s="1" t="str">
        <f t="shared" si="4516"/>
        <v>0</v>
      </c>
      <c r="U2281" s="1" t="str">
        <f t="shared" si="4580"/>
        <v>0.0056</v>
      </c>
    </row>
    <row r="2282" s="1" customFormat="1" spans="1:21">
      <c r="A2282" s="1" t="str">
        <f>"4601992037973"</f>
        <v>4601992037973</v>
      </c>
      <c r="B2282" s="1" t="s">
        <v>2306</v>
      </c>
      <c r="C2282" s="1" t="s">
        <v>24</v>
      </c>
      <c r="D2282" s="1" t="str">
        <f t="shared" si="4513"/>
        <v>2021</v>
      </c>
      <c r="E2282" s="1" t="str">
        <f t="shared" ref="E2282:P2282" si="4588">"0"</f>
        <v>0</v>
      </c>
      <c r="F2282" s="1" t="str">
        <f t="shared" si="4588"/>
        <v>0</v>
      </c>
      <c r="G2282" s="1" t="str">
        <f t="shared" si="4588"/>
        <v>0</v>
      </c>
      <c r="H2282" s="1" t="str">
        <f t="shared" si="4588"/>
        <v>0</v>
      </c>
      <c r="I2282" s="1" t="str">
        <f t="shared" si="4588"/>
        <v>0</v>
      </c>
      <c r="J2282" s="1" t="str">
        <f t="shared" si="4588"/>
        <v>0</v>
      </c>
      <c r="K2282" s="1" t="str">
        <f t="shared" si="4588"/>
        <v>0</v>
      </c>
      <c r="L2282" s="1" t="str">
        <f t="shared" si="4588"/>
        <v>0</v>
      </c>
      <c r="M2282" s="1" t="str">
        <f t="shared" si="4588"/>
        <v>0</v>
      </c>
      <c r="N2282" s="1" t="str">
        <f t="shared" si="4588"/>
        <v>0</v>
      </c>
      <c r="O2282" s="1" t="str">
        <f t="shared" si="4588"/>
        <v>0</v>
      </c>
      <c r="P2282" s="1" t="str">
        <f t="shared" si="4588"/>
        <v>0</v>
      </c>
      <c r="Q2282" s="1" t="str">
        <f t="shared" si="4515"/>
        <v>0.0070</v>
      </c>
      <c r="R2282" s="1" t="s">
        <v>25</v>
      </c>
      <c r="T2282" s="1" t="str">
        <f t="shared" si="4516"/>
        <v>0</v>
      </c>
      <c r="U2282" s="1" t="str">
        <f t="shared" ref="U2282:U2287" si="4589">"0.0070"</f>
        <v>0.0070</v>
      </c>
    </row>
    <row r="2283" s="1" customFormat="1" spans="1:21">
      <c r="A2283" s="1" t="str">
        <f>"4601992038002"</f>
        <v>4601992038002</v>
      </c>
      <c r="B2283" s="1" t="s">
        <v>2307</v>
      </c>
      <c r="C2283" s="1" t="s">
        <v>24</v>
      </c>
      <c r="D2283" s="1" t="str">
        <f t="shared" si="4513"/>
        <v>2021</v>
      </c>
      <c r="E2283" s="1" t="str">
        <f t="shared" ref="E2283:G2283" si="4590">"0"</f>
        <v>0</v>
      </c>
      <c r="F2283" s="1" t="str">
        <f t="shared" si="4590"/>
        <v>0</v>
      </c>
      <c r="G2283" s="1" t="str">
        <f t="shared" si="4590"/>
        <v>0</v>
      </c>
      <c r="H2283" s="1" t="str">
        <f>"12.09"</f>
        <v>12.09</v>
      </c>
      <c r="I2283" s="1" t="str">
        <f t="shared" ref="I2283:P2283" si="4591">"0"</f>
        <v>0</v>
      </c>
      <c r="J2283" s="1" t="str">
        <f t="shared" si="4591"/>
        <v>0</v>
      </c>
      <c r="K2283" s="1" t="str">
        <f t="shared" si="4591"/>
        <v>0</v>
      </c>
      <c r="L2283" s="1" t="str">
        <f t="shared" si="4591"/>
        <v>0</v>
      </c>
      <c r="M2283" s="1" t="str">
        <f t="shared" si="4591"/>
        <v>0</v>
      </c>
      <c r="N2283" s="1" t="str">
        <f t="shared" si="4591"/>
        <v>0</v>
      </c>
      <c r="O2283" s="1" t="str">
        <f t="shared" si="4591"/>
        <v>0</v>
      </c>
      <c r="P2283" s="1" t="str">
        <f t="shared" si="4591"/>
        <v>0</v>
      </c>
      <c r="Q2283" s="1" t="str">
        <f t="shared" si="4515"/>
        <v>0.0070</v>
      </c>
      <c r="R2283" s="1" t="s">
        <v>25</v>
      </c>
      <c r="T2283" s="1" t="str">
        <f t="shared" si="4516"/>
        <v>0</v>
      </c>
      <c r="U2283" s="1" t="str">
        <f t="shared" si="4589"/>
        <v>0.0070</v>
      </c>
    </row>
    <row r="2284" s="1" customFormat="1" spans="1:21">
      <c r="A2284" s="1" t="str">
        <f>"4601992037990"</f>
        <v>4601992037990</v>
      </c>
      <c r="B2284" s="1" t="s">
        <v>2308</v>
      </c>
      <c r="C2284" s="1" t="s">
        <v>24</v>
      </c>
      <c r="D2284" s="1" t="str">
        <f t="shared" si="4513"/>
        <v>2021</v>
      </c>
      <c r="E2284" s="1" t="str">
        <f>"12.09"</f>
        <v>12.09</v>
      </c>
      <c r="F2284" s="1" t="str">
        <f t="shared" ref="F2284:I2284" si="4592">"0"</f>
        <v>0</v>
      </c>
      <c r="G2284" s="1" t="str">
        <f t="shared" si="4592"/>
        <v>0</v>
      </c>
      <c r="H2284" s="1" t="str">
        <f t="shared" si="4592"/>
        <v>0</v>
      </c>
      <c r="I2284" s="1" t="str">
        <f t="shared" si="4592"/>
        <v>0</v>
      </c>
      <c r="J2284" s="1" t="str">
        <f t="shared" si="4582"/>
        <v>2</v>
      </c>
      <c r="K2284" s="1" t="str">
        <f t="shared" ref="K2284:P2284" si="4593">"0"</f>
        <v>0</v>
      </c>
      <c r="L2284" s="1" t="str">
        <f t="shared" si="4593"/>
        <v>0</v>
      </c>
      <c r="M2284" s="1" t="str">
        <f t="shared" si="4593"/>
        <v>0</v>
      </c>
      <c r="N2284" s="1" t="str">
        <f t="shared" si="4593"/>
        <v>0</v>
      </c>
      <c r="O2284" s="1" t="str">
        <f t="shared" si="4593"/>
        <v>0</v>
      </c>
      <c r="P2284" s="1" t="str">
        <f t="shared" si="4593"/>
        <v>0</v>
      </c>
      <c r="Q2284" s="1" t="str">
        <f t="shared" si="4515"/>
        <v>0.0070</v>
      </c>
      <c r="R2284" s="1" t="s">
        <v>29</v>
      </c>
      <c r="S2284" s="1">
        <v>-0.0014</v>
      </c>
      <c r="T2284" s="1" t="str">
        <f t="shared" si="4516"/>
        <v>0</v>
      </c>
      <c r="U2284" s="1" t="str">
        <f t="shared" ref="U2284:U2290" si="4594">"0.0056"</f>
        <v>0.0056</v>
      </c>
    </row>
    <row r="2285" s="1" customFormat="1" spans="1:21">
      <c r="A2285" s="1" t="str">
        <f>"4601992037978"</f>
        <v>4601992037978</v>
      </c>
      <c r="B2285" s="1" t="s">
        <v>2309</v>
      </c>
      <c r="C2285" s="1" t="s">
        <v>24</v>
      </c>
      <c r="D2285" s="1" t="str">
        <f t="shared" si="4513"/>
        <v>2021</v>
      </c>
      <c r="E2285" s="1" t="str">
        <f t="shared" ref="E2285:P2285" si="4595">"0"</f>
        <v>0</v>
      </c>
      <c r="F2285" s="1" t="str">
        <f t="shared" si="4595"/>
        <v>0</v>
      </c>
      <c r="G2285" s="1" t="str">
        <f t="shared" si="4595"/>
        <v>0</v>
      </c>
      <c r="H2285" s="1" t="str">
        <f t="shared" si="4595"/>
        <v>0</v>
      </c>
      <c r="I2285" s="1" t="str">
        <f t="shared" si="4595"/>
        <v>0</v>
      </c>
      <c r="J2285" s="1" t="str">
        <f t="shared" si="4595"/>
        <v>0</v>
      </c>
      <c r="K2285" s="1" t="str">
        <f t="shared" si="4595"/>
        <v>0</v>
      </c>
      <c r="L2285" s="1" t="str">
        <f t="shared" si="4595"/>
        <v>0</v>
      </c>
      <c r="M2285" s="1" t="str">
        <f t="shared" si="4595"/>
        <v>0</v>
      </c>
      <c r="N2285" s="1" t="str">
        <f t="shared" si="4595"/>
        <v>0</v>
      </c>
      <c r="O2285" s="1" t="str">
        <f t="shared" si="4595"/>
        <v>0</v>
      </c>
      <c r="P2285" s="1" t="str">
        <f t="shared" si="4595"/>
        <v>0</v>
      </c>
      <c r="Q2285" s="1" t="str">
        <f t="shared" si="4515"/>
        <v>0.0070</v>
      </c>
      <c r="R2285" s="1" t="s">
        <v>25</v>
      </c>
      <c r="T2285" s="1" t="str">
        <f t="shared" si="4516"/>
        <v>0</v>
      </c>
      <c r="U2285" s="1" t="str">
        <f t="shared" si="4589"/>
        <v>0.0070</v>
      </c>
    </row>
    <row r="2286" s="1" customFormat="1" spans="1:21">
      <c r="A2286" s="1" t="str">
        <f>"4601992038062"</f>
        <v>4601992038062</v>
      </c>
      <c r="B2286" s="1" t="s">
        <v>2310</v>
      </c>
      <c r="C2286" s="1" t="s">
        <v>24</v>
      </c>
      <c r="D2286" s="1" t="str">
        <f t="shared" si="4513"/>
        <v>2021</v>
      </c>
      <c r="E2286" s="1" t="str">
        <f t="shared" ref="E2286:P2286" si="4596">"0"</f>
        <v>0</v>
      </c>
      <c r="F2286" s="1" t="str">
        <f t="shared" si="4596"/>
        <v>0</v>
      </c>
      <c r="G2286" s="1" t="str">
        <f t="shared" si="4596"/>
        <v>0</v>
      </c>
      <c r="H2286" s="1" t="str">
        <f t="shared" si="4596"/>
        <v>0</v>
      </c>
      <c r="I2286" s="1" t="str">
        <f t="shared" si="4596"/>
        <v>0</v>
      </c>
      <c r="J2286" s="1" t="str">
        <f t="shared" si="4596"/>
        <v>0</v>
      </c>
      <c r="K2286" s="1" t="str">
        <f t="shared" si="4596"/>
        <v>0</v>
      </c>
      <c r="L2286" s="1" t="str">
        <f t="shared" si="4596"/>
        <v>0</v>
      </c>
      <c r="M2286" s="1" t="str">
        <f t="shared" si="4596"/>
        <v>0</v>
      </c>
      <c r="N2286" s="1" t="str">
        <f t="shared" si="4596"/>
        <v>0</v>
      </c>
      <c r="O2286" s="1" t="str">
        <f t="shared" si="4596"/>
        <v>0</v>
      </c>
      <c r="P2286" s="1" t="str">
        <f t="shared" si="4596"/>
        <v>0</v>
      </c>
      <c r="Q2286" s="1" t="str">
        <f t="shared" si="4515"/>
        <v>0.0070</v>
      </c>
      <c r="R2286" s="1" t="s">
        <v>25</v>
      </c>
      <c r="T2286" s="1" t="str">
        <f t="shared" si="4516"/>
        <v>0</v>
      </c>
      <c r="U2286" s="1" t="str">
        <f t="shared" si="4589"/>
        <v>0.0070</v>
      </c>
    </row>
    <row r="2287" s="1" customFormat="1" spans="1:21">
      <c r="A2287" s="1" t="str">
        <f>"4601992038038"</f>
        <v>4601992038038</v>
      </c>
      <c r="B2287" s="1" t="s">
        <v>2311</v>
      </c>
      <c r="C2287" s="1" t="s">
        <v>24</v>
      </c>
      <c r="D2287" s="1" t="str">
        <f t="shared" si="4513"/>
        <v>2021</v>
      </c>
      <c r="E2287" s="1" t="str">
        <f t="shared" ref="E2287:P2287" si="4597">"0"</f>
        <v>0</v>
      </c>
      <c r="F2287" s="1" t="str">
        <f t="shared" si="4597"/>
        <v>0</v>
      </c>
      <c r="G2287" s="1" t="str">
        <f t="shared" si="4597"/>
        <v>0</v>
      </c>
      <c r="H2287" s="1" t="str">
        <f t="shared" si="4597"/>
        <v>0</v>
      </c>
      <c r="I2287" s="1" t="str">
        <f t="shared" si="4597"/>
        <v>0</v>
      </c>
      <c r="J2287" s="1" t="str">
        <f t="shared" si="4597"/>
        <v>0</v>
      </c>
      <c r="K2287" s="1" t="str">
        <f t="shared" si="4597"/>
        <v>0</v>
      </c>
      <c r="L2287" s="1" t="str">
        <f t="shared" si="4597"/>
        <v>0</v>
      </c>
      <c r="M2287" s="1" t="str">
        <f t="shared" si="4597"/>
        <v>0</v>
      </c>
      <c r="N2287" s="1" t="str">
        <f t="shared" si="4597"/>
        <v>0</v>
      </c>
      <c r="O2287" s="1" t="str">
        <f t="shared" si="4597"/>
        <v>0</v>
      </c>
      <c r="P2287" s="1" t="str">
        <f t="shared" si="4597"/>
        <v>0</v>
      </c>
      <c r="Q2287" s="1" t="str">
        <f t="shared" si="4515"/>
        <v>0.0070</v>
      </c>
      <c r="R2287" s="1" t="s">
        <v>25</v>
      </c>
      <c r="T2287" s="1" t="str">
        <f t="shared" si="4516"/>
        <v>0</v>
      </c>
      <c r="U2287" s="1" t="str">
        <f t="shared" si="4589"/>
        <v>0.0070</v>
      </c>
    </row>
    <row r="2288" s="1" customFormat="1" spans="1:21">
      <c r="A2288" s="1" t="str">
        <f>"4601992038055"</f>
        <v>4601992038055</v>
      </c>
      <c r="B2288" s="1" t="s">
        <v>2312</v>
      </c>
      <c r="C2288" s="1" t="s">
        <v>24</v>
      </c>
      <c r="D2288" s="1" t="str">
        <f t="shared" si="4513"/>
        <v>2021</v>
      </c>
      <c r="E2288" s="1" t="str">
        <f>"24.18"</f>
        <v>24.18</v>
      </c>
      <c r="F2288" s="1" t="str">
        <f t="shared" ref="F2288:I2288" si="4598">"0"</f>
        <v>0</v>
      </c>
      <c r="G2288" s="1" t="str">
        <f t="shared" si="4598"/>
        <v>0</v>
      </c>
      <c r="H2288" s="1" t="str">
        <f t="shared" si="4598"/>
        <v>0</v>
      </c>
      <c r="I2288" s="1" t="str">
        <f t="shared" si="4598"/>
        <v>0</v>
      </c>
      <c r="J2288" s="1" t="str">
        <f>"2"</f>
        <v>2</v>
      </c>
      <c r="K2288" s="1" t="str">
        <f t="shared" ref="K2288:P2288" si="4599">"0"</f>
        <v>0</v>
      </c>
      <c r="L2288" s="1" t="str">
        <f t="shared" si="4599"/>
        <v>0</v>
      </c>
      <c r="M2288" s="1" t="str">
        <f t="shared" si="4599"/>
        <v>0</v>
      </c>
      <c r="N2288" s="1" t="str">
        <f t="shared" si="4599"/>
        <v>0</v>
      </c>
      <c r="O2288" s="1" t="str">
        <f t="shared" si="4599"/>
        <v>0</v>
      </c>
      <c r="P2288" s="1" t="str">
        <f t="shared" si="4599"/>
        <v>0</v>
      </c>
      <c r="Q2288" s="1" t="str">
        <f t="shared" si="4515"/>
        <v>0.0070</v>
      </c>
      <c r="R2288" s="1" t="s">
        <v>29</v>
      </c>
      <c r="S2288" s="1">
        <v>-0.0014</v>
      </c>
      <c r="T2288" s="1" t="str">
        <f t="shared" si="4516"/>
        <v>0</v>
      </c>
      <c r="U2288" s="1" t="str">
        <f t="shared" si="4594"/>
        <v>0.0056</v>
      </c>
    </row>
    <row r="2289" s="1" customFormat="1" spans="1:21">
      <c r="A2289" s="1" t="str">
        <f>"4601992020288"</f>
        <v>4601992020288</v>
      </c>
      <c r="B2289" s="1" t="s">
        <v>2313</v>
      </c>
      <c r="C2289" s="1" t="s">
        <v>24</v>
      </c>
      <c r="D2289" s="1" t="str">
        <f t="shared" si="4513"/>
        <v>2021</v>
      </c>
      <c r="E2289" s="1" t="str">
        <f>"59.90"</f>
        <v>59.90</v>
      </c>
      <c r="F2289" s="1" t="str">
        <f t="shared" ref="F2289:I2289" si="4600">"0"</f>
        <v>0</v>
      </c>
      <c r="G2289" s="1" t="str">
        <f t="shared" si="4600"/>
        <v>0</v>
      </c>
      <c r="H2289" s="1" t="str">
        <f t="shared" si="4600"/>
        <v>0</v>
      </c>
      <c r="I2289" s="1" t="str">
        <f t="shared" si="4600"/>
        <v>0</v>
      </c>
      <c r="J2289" s="1" t="str">
        <f>"5"</f>
        <v>5</v>
      </c>
      <c r="K2289" s="1" t="str">
        <f t="shared" ref="K2289:P2289" si="4601">"0"</f>
        <v>0</v>
      </c>
      <c r="L2289" s="1" t="str">
        <f t="shared" si="4601"/>
        <v>0</v>
      </c>
      <c r="M2289" s="1" t="str">
        <f t="shared" si="4601"/>
        <v>0</v>
      </c>
      <c r="N2289" s="1" t="str">
        <f t="shared" si="4601"/>
        <v>0</v>
      </c>
      <c r="O2289" s="1" t="str">
        <f t="shared" si="4601"/>
        <v>0</v>
      </c>
      <c r="P2289" s="1" t="str">
        <f t="shared" si="4601"/>
        <v>0</v>
      </c>
      <c r="Q2289" s="1" t="str">
        <f t="shared" si="4515"/>
        <v>0.0070</v>
      </c>
      <c r="R2289" s="1" t="s">
        <v>29</v>
      </c>
      <c r="S2289" s="1">
        <v>-0.0014</v>
      </c>
      <c r="T2289" s="1" t="str">
        <f t="shared" si="4516"/>
        <v>0</v>
      </c>
      <c r="U2289" s="1" t="str">
        <f t="shared" si="4594"/>
        <v>0.0056</v>
      </c>
    </row>
    <row r="2290" s="1" customFormat="1" spans="1:21">
      <c r="A2290" s="1" t="str">
        <f>"4601992017404"</f>
        <v>4601992017404</v>
      </c>
      <c r="B2290" s="1" t="s">
        <v>2314</v>
      </c>
      <c r="C2290" s="1" t="s">
        <v>24</v>
      </c>
      <c r="D2290" s="1" t="str">
        <f t="shared" si="4513"/>
        <v>2021</v>
      </c>
      <c r="E2290" s="1" t="str">
        <f>"12.25"</f>
        <v>12.25</v>
      </c>
      <c r="F2290" s="1" t="str">
        <f t="shared" ref="F2290:I2290" si="4602">"0"</f>
        <v>0</v>
      </c>
      <c r="G2290" s="1" t="str">
        <f t="shared" si="4602"/>
        <v>0</v>
      </c>
      <c r="H2290" s="1" t="str">
        <f t="shared" si="4602"/>
        <v>0</v>
      </c>
      <c r="I2290" s="1" t="str">
        <f t="shared" si="4602"/>
        <v>0</v>
      </c>
      <c r="J2290" s="1" t="str">
        <f>"1"</f>
        <v>1</v>
      </c>
      <c r="K2290" s="1" t="str">
        <f t="shared" ref="K2290:P2290" si="4603">"0"</f>
        <v>0</v>
      </c>
      <c r="L2290" s="1" t="str">
        <f t="shared" si="4603"/>
        <v>0</v>
      </c>
      <c r="M2290" s="1" t="str">
        <f t="shared" si="4603"/>
        <v>0</v>
      </c>
      <c r="N2290" s="1" t="str">
        <f t="shared" si="4603"/>
        <v>0</v>
      </c>
      <c r="O2290" s="1" t="str">
        <f t="shared" si="4603"/>
        <v>0</v>
      </c>
      <c r="P2290" s="1" t="str">
        <f t="shared" si="4603"/>
        <v>0</v>
      </c>
      <c r="Q2290" s="1" t="str">
        <f t="shared" si="4515"/>
        <v>0.0070</v>
      </c>
      <c r="R2290" s="1" t="s">
        <v>29</v>
      </c>
      <c r="S2290" s="1">
        <v>-0.0014</v>
      </c>
      <c r="T2290" s="1" t="str">
        <f t="shared" si="4516"/>
        <v>0</v>
      </c>
      <c r="U2290" s="1" t="str">
        <f t="shared" si="4594"/>
        <v>0.0056</v>
      </c>
    </row>
    <row r="2291" s="1" customFormat="1" spans="1:21">
      <c r="A2291" s="1" t="str">
        <f>"4601992036734"</f>
        <v>4601992036734</v>
      </c>
      <c r="B2291" s="1" t="s">
        <v>2315</v>
      </c>
      <c r="C2291" s="1" t="s">
        <v>24</v>
      </c>
      <c r="D2291" s="1" t="str">
        <f t="shared" si="4513"/>
        <v>2021</v>
      </c>
      <c r="E2291" s="1" t="str">
        <f>"61.25"</f>
        <v>61.25</v>
      </c>
      <c r="F2291" s="1" t="str">
        <f>"10336.65"</f>
        <v>10336.65</v>
      </c>
      <c r="G2291" s="1" t="str">
        <f t="shared" ref="G2291:L2291" si="4604">"0"</f>
        <v>0</v>
      </c>
      <c r="H2291" s="1" t="str">
        <f t="shared" si="4604"/>
        <v>0</v>
      </c>
      <c r="I2291" s="1" t="str">
        <f>"168.7616"</f>
        <v>168.7616</v>
      </c>
      <c r="J2291" s="1" t="str">
        <f>"7"</f>
        <v>7</v>
      </c>
      <c r="K2291" s="1" t="str">
        <f>"1"</f>
        <v>1</v>
      </c>
      <c r="L2291" s="1" t="str">
        <f t="shared" si="4604"/>
        <v>0</v>
      </c>
      <c r="M2291" s="1" t="str">
        <f>"0.1429"</f>
        <v>0.1429</v>
      </c>
      <c r="N2291" s="1" t="str">
        <f t="shared" ref="N2291:P2291" si="4605">"0"</f>
        <v>0</v>
      </c>
      <c r="O2291" s="1" t="str">
        <f t="shared" si="4605"/>
        <v>0</v>
      </c>
      <c r="P2291" s="1" t="str">
        <f t="shared" si="4605"/>
        <v>0</v>
      </c>
      <c r="Q2291" s="1" t="str">
        <f t="shared" si="4515"/>
        <v>0.0070</v>
      </c>
      <c r="R2291" s="1" t="s">
        <v>69</v>
      </c>
      <c r="S2291" s="1" t="str">
        <f>"0.0014"</f>
        <v>0.0014</v>
      </c>
      <c r="T2291" s="1" t="str">
        <f t="shared" si="4516"/>
        <v>0</v>
      </c>
      <c r="U2291" s="1" t="str">
        <f>"0.0084"</f>
        <v>0.0084</v>
      </c>
    </row>
    <row r="2292" s="1" customFormat="1" spans="1:21">
      <c r="A2292" s="1" t="str">
        <f>"4601992036551"</f>
        <v>4601992036551</v>
      </c>
      <c r="B2292" s="1" t="s">
        <v>2316</v>
      </c>
      <c r="C2292" s="1" t="s">
        <v>24</v>
      </c>
      <c r="D2292" s="1" t="str">
        <f t="shared" si="4513"/>
        <v>2021</v>
      </c>
      <c r="E2292" s="1" t="str">
        <f t="shared" ref="E2292:P2292" si="4606">"0"</f>
        <v>0</v>
      </c>
      <c r="F2292" s="1" t="str">
        <f t="shared" si="4606"/>
        <v>0</v>
      </c>
      <c r="G2292" s="1" t="str">
        <f t="shared" si="4606"/>
        <v>0</v>
      </c>
      <c r="H2292" s="1" t="str">
        <f t="shared" si="4606"/>
        <v>0</v>
      </c>
      <c r="I2292" s="1" t="str">
        <f t="shared" si="4606"/>
        <v>0</v>
      </c>
      <c r="J2292" s="1" t="str">
        <f t="shared" si="4606"/>
        <v>0</v>
      </c>
      <c r="K2292" s="1" t="str">
        <f t="shared" si="4606"/>
        <v>0</v>
      </c>
      <c r="L2292" s="1" t="str">
        <f t="shared" si="4606"/>
        <v>0</v>
      </c>
      <c r="M2292" s="1" t="str">
        <f t="shared" si="4606"/>
        <v>0</v>
      </c>
      <c r="N2292" s="1" t="str">
        <f t="shared" si="4606"/>
        <v>0</v>
      </c>
      <c r="O2292" s="1" t="str">
        <f t="shared" si="4606"/>
        <v>0</v>
      </c>
      <c r="P2292" s="1" t="str">
        <f t="shared" si="4606"/>
        <v>0</v>
      </c>
      <c r="Q2292" s="1" t="str">
        <f t="shared" si="4515"/>
        <v>0.0070</v>
      </c>
      <c r="R2292" s="1" t="s">
        <v>25</v>
      </c>
      <c r="T2292" s="1" t="str">
        <f t="shared" si="4516"/>
        <v>0</v>
      </c>
      <c r="U2292" s="1" t="str">
        <f t="shared" ref="U2292:U2295" si="4607">"0.0070"</f>
        <v>0.0070</v>
      </c>
    </row>
    <row r="2293" s="1" customFormat="1" spans="1:21">
      <c r="A2293" s="1" t="str">
        <f>"4601991424522"</f>
        <v>4601991424522</v>
      </c>
      <c r="B2293" s="1" t="s">
        <v>2317</v>
      </c>
      <c r="C2293" s="1" t="s">
        <v>24</v>
      </c>
      <c r="D2293" s="1" t="str">
        <f t="shared" si="4513"/>
        <v>2021</v>
      </c>
      <c r="E2293" s="1" t="str">
        <f t="shared" ref="E2293:P2293" si="4608">"0"</f>
        <v>0</v>
      </c>
      <c r="F2293" s="1" t="str">
        <f t="shared" si="4608"/>
        <v>0</v>
      </c>
      <c r="G2293" s="1" t="str">
        <f t="shared" si="4608"/>
        <v>0</v>
      </c>
      <c r="H2293" s="1" t="str">
        <f t="shared" si="4608"/>
        <v>0</v>
      </c>
      <c r="I2293" s="1" t="str">
        <f t="shared" si="4608"/>
        <v>0</v>
      </c>
      <c r="J2293" s="1" t="str">
        <f t="shared" si="4608"/>
        <v>0</v>
      </c>
      <c r="K2293" s="1" t="str">
        <f t="shared" si="4608"/>
        <v>0</v>
      </c>
      <c r="L2293" s="1" t="str">
        <f t="shared" si="4608"/>
        <v>0</v>
      </c>
      <c r="M2293" s="1" t="str">
        <f t="shared" si="4608"/>
        <v>0</v>
      </c>
      <c r="N2293" s="1" t="str">
        <f t="shared" si="4608"/>
        <v>0</v>
      </c>
      <c r="O2293" s="1" t="str">
        <f t="shared" si="4608"/>
        <v>0</v>
      </c>
      <c r="P2293" s="1" t="str">
        <f t="shared" si="4608"/>
        <v>0</v>
      </c>
      <c r="Q2293" s="1" t="str">
        <f t="shared" si="4515"/>
        <v>0.0070</v>
      </c>
      <c r="R2293" s="1" t="s">
        <v>25</v>
      </c>
      <c r="T2293" s="1" t="str">
        <f t="shared" si="4516"/>
        <v>0</v>
      </c>
      <c r="U2293" s="1" t="str">
        <f t="shared" si="4607"/>
        <v>0.0070</v>
      </c>
    </row>
    <row r="2294" s="1" customFormat="1" spans="1:21">
      <c r="A2294" s="1" t="str">
        <f>"4601992038726"</f>
        <v>4601992038726</v>
      </c>
      <c r="B2294" s="1" t="s">
        <v>2318</v>
      </c>
      <c r="C2294" s="1" t="s">
        <v>24</v>
      </c>
      <c r="D2294" s="1" t="str">
        <f t="shared" si="4513"/>
        <v>2021</v>
      </c>
      <c r="E2294" s="1" t="str">
        <f>"96.72"</f>
        <v>96.72</v>
      </c>
      <c r="F2294" s="1" t="str">
        <f t="shared" ref="F2294:I2294" si="4609">"0"</f>
        <v>0</v>
      </c>
      <c r="G2294" s="1" t="str">
        <f t="shared" si="4609"/>
        <v>0</v>
      </c>
      <c r="H2294" s="1" t="str">
        <f t="shared" si="4609"/>
        <v>0</v>
      </c>
      <c r="I2294" s="1" t="str">
        <f t="shared" si="4609"/>
        <v>0</v>
      </c>
      <c r="J2294" s="1" t="str">
        <f>"8"</f>
        <v>8</v>
      </c>
      <c r="K2294" s="1" t="str">
        <f t="shared" ref="K2294:P2294" si="4610">"0"</f>
        <v>0</v>
      </c>
      <c r="L2294" s="1" t="str">
        <f t="shared" si="4610"/>
        <v>0</v>
      </c>
      <c r="M2294" s="1" t="str">
        <f t="shared" si="4610"/>
        <v>0</v>
      </c>
      <c r="N2294" s="1" t="str">
        <f t="shared" si="4610"/>
        <v>0</v>
      </c>
      <c r="O2294" s="1" t="str">
        <f t="shared" si="4610"/>
        <v>0</v>
      </c>
      <c r="P2294" s="1" t="str">
        <f t="shared" si="4610"/>
        <v>0</v>
      </c>
      <c r="Q2294" s="1" t="str">
        <f t="shared" si="4515"/>
        <v>0.0070</v>
      </c>
      <c r="R2294" s="1" t="s">
        <v>29</v>
      </c>
      <c r="S2294" s="1">
        <v>-0.0014</v>
      </c>
      <c r="T2294" s="1" t="str">
        <f t="shared" si="4516"/>
        <v>0</v>
      </c>
      <c r="U2294" s="1" t="str">
        <f t="shared" ref="U2294:U2304" si="4611">"0.0056"</f>
        <v>0.0056</v>
      </c>
    </row>
    <row r="2295" s="1" customFormat="1" spans="1:21">
      <c r="A2295" s="1" t="str">
        <f>"4601992038798"</f>
        <v>4601992038798</v>
      </c>
      <c r="B2295" s="1" t="s">
        <v>2319</v>
      </c>
      <c r="C2295" s="1" t="s">
        <v>24</v>
      </c>
      <c r="D2295" s="1" t="str">
        <f t="shared" si="4513"/>
        <v>2021</v>
      </c>
      <c r="E2295" s="1" t="str">
        <f>"12.09"</f>
        <v>12.09</v>
      </c>
      <c r="F2295" s="1" t="str">
        <f t="shared" ref="F2295:I2295" si="4612">"0"</f>
        <v>0</v>
      </c>
      <c r="G2295" s="1" t="str">
        <f t="shared" si="4612"/>
        <v>0</v>
      </c>
      <c r="H2295" s="1" t="str">
        <f t="shared" si="4612"/>
        <v>0</v>
      </c>
      <c r="I2295" s="1" t="str">
        <f t="shared" si="4612"/>
        <v>0</v>
      </c>
      <c r="J2295" s="1" t="str">
        <f>"1"</f>
        <v>1</v>
      </c>
      <c r="K2295" s="1" t="str">
        <f t="shared" ref="K2295:P2295" si="4613">"0"</f>
        <v>0</v>
      </c>
      <c r="L2295" s="1" t="str">
        <f t="shared" si="4613"/>
        <v>0</v>
      </c>
      <c r="M2295" s="1" t="str">
        <f t="shared" si="4613"/>
        <v>0</v>
      </c>
      <c r="N2295" s="1" t="str">
        <f t="shared" si="4613"/>
        <v>0</v>
      </c>
      <c r="O2295" s="1" t="str">
        <f t="shared" si="4613"/>
        <v>0</v>
      </c>
      <c r="P2295" s="1" t="str">
        <f t="shared" si="4613"/>
        <v>0</v>
      </c>
      <c r="Q2295" s="1" t="str">
        <f t="shared" si="4515"/>
        <v>0.0070</v>
      </c>
      <c r="R2295" s="1" t="s">
        <v>25</v>
      </c>
      <c r="T2295" s="1" t="str">
        <f t="shared" si="4516"/>
        <v>0</v>
      </c>
      <c r="U2295" s="1" t="str">
        <f t="shared" si="4607"/>
        <v>0.0070</v>
      </c>
    </row>
    <row r="2296" s="1" customFormat="1" spans="1:21">
      <c r="A2296" s="1" t="str">
        <f>"4601992038694"</f>
        <v>4601992038694</v>
      </c>
      <c r="B2296" s="1" t="s">
        <v>2320</v>
      </c>
      <c r="C2296" s="1" t="s">
        <v>24</v>
      </c>
      <c r="D2296" s="1" t="str">
        <f t="shared" si="4513"/>
        <v>2021</v>
      </c>
      <c r="E2296" s="1" t="str">
        <f>"86.54"</f>
        <v>86.54</v>
      </c>
      <c r="F2296" s="1" t="str">
        <f t="shared" ref="F2296:I2296" si="4614">"0"</f>
        <v>0</v>
      </c>
      <c r="G2296" s="1" t="str">
        <f t="shared" si="4614"/>
        <v>0</v>
      </c>
      <c r="H2296" s="1" t="str">
        <f t="shared" si="4614"/>
        <v>0</v>
      </c>
      <c r="I2296" s="1" t="str">
        <f t="shared" si="4614"/>
        <v>0</v>
      </c>
      <c r="J2296" s="1" t="str">
        <f>"4"</f>
        <v>4</v>
      </c>
      <c r="K2296" s="1" t="str">
        <f t="shared" ref="K2296:P2296" si="4615">"0"</f>
        <v>0</v>
      </c>
      <c r="L2296" s="1" t="str">
        <f t="shared" si="4615"/>
        <v>0</v>
      </c>
      <c r="M2296" s="1" t="str">
        <f t="shared" si="4615"/>
        <v>0</v>
      </c>
      <c r="N2296" s="1" t="str">
        <f t="shared" si="4615"/>
        <v>0</v>
      </c>
      <c r="O2296" s="1" t="str">
        <f t="shared" si="4615"/>
        <v>0</v>
      </c>
      <c r="P2296" s="1" t="str">
        <f t="shared" si="4615"/>
        <v>0</v>
      </c>
      <c r="Q2296" s="1" t="str">
        <f t="shared" si="4515"/>
        <v>0.0070</v>
      </c>
      <c r="R2296" s="1" t="s">
        <v>29</v>
      </c>
      <c r="S2296" s="1">
        <v>-0.0014</v>
      </c>
      <c r="T2296" s="1" t="str">
        <f t="shared" si="4516"/>
        <v>0</v>
      </c>
      <c r="U2296" s="1" t="str">
        <f t="shared" si="4611"/>
        <v>0.0056</v>
      </c>
    </row>
    <row r="2297" s="1" customFormat="1" spans="1:21">
      <c r="A2297" s="1" t="str">
        <f>"4601992038829"</f>
        <v>4601992038829</v>
      </c>
      <c r="B2297" s="1" t="s">
        <v>2321</v>
      </c>
      <c r="C2297" s="1" t="s">
        <v>24</v>
      </c>
      <c r="D2297" s="1" t="str">
        <f t="shared" si="4513"/>
        <v>2021</v>
      </c>
      <c r="E2297" s="1" t="str">
        <f>"120.34"</f>
        <v>120.34</v>
      </c>
      <c r="F2297" s="1" t="str">
        <f t="shared" ref="F2297:I2297" si="4616">"0"</f>
        <v>0</v>
      </c>
      <c r="G2297" s="1" t="str">
        <f t="shared" si="4616"/>
        <v>0</v>
      </c>
      <c r="H2297" s="1" t="str">
        <f t="shared" si="4616"/>
        <v>0</v>
      </c>
      <c r="I2297" s="1" t="str">
        <f t="shared" si="4616"/>
        <v>0</v>
      </c>
      <c r="J2297" s="1" t="str">
        <f>"6"</f>
        <v>6</v>
      </c>
      <c r="K2297" s="1" t="str">
        <f t="shared" ref="K2297:P2297" si="4617">"0"</f>
        <v>0</v>
      </c>
      <c r="L2297" s="1" t="str">
        <f t="shared" si="4617"/>
        <v>0</v>
      </c>
      <c r="M2297" s="1" t="str">
        <f t="shared" si="4617"/>
        <v>0</v>
      </c>
      <c r="N2297" s="1" t="str">
        <f t="shared" si="4617"/>
        <v>0</v>
      </c>
      <c r="O2297" s="1" t="str">
        <f t="shared" si="4617"/>
        <v>0</v>
      </c>
      <c r="P2297" s="1" t="str">
        <f t="shared" si="4617"/>
        <v>0</v>
      </c>
      <c r="Q2297" s="1" t="str">
        <f t="shared" si="4515"/>
        <v>0.0070</v>
      </c>
      <c r="R2297" s="1" t="s">
        <v>29</v>
      </c>
      <c r="S2297" s="1">
        <v>-0.0014</v>
      </c>
      <c r="T2297" s="1" t="str">
        <f t="shared" si="4516"/>
        <v>0</v>
      </c>
      <c r="U2297" s="1" t="str">
        <f t="shared" si="4611"/>
        <v>0.0056</v>
      </c>
    </row>
    <row r="2298" s="1" customFormat="1" spans="1:21">
      <c r="A2298" s="1" t="str">
        <f>"4601992038841"</f>
        <v>4601992038841</v>
      </c>
      <c r="B2298" s="1" t="s">
        <v>2322</v>
      </c>
      <c r="C2298" s="1" t="s">
        <v>24</v>
      </c>
      <c r="D2298" s="1" t="str">
        <f t="shared" si="4513"/>
        <v>2021</v>
      </c>
      <c r="E2298" s="1" t="str">
        <f>"11.98"</f>
        <v>11.98</v>
      </c>
      <c r="F2298" s="1" t="str">
        <f t="shared" ref="F2298:I2298" si="4618">"0"</f>
        <v>0</v>
      </c>
      <c r="G2298" s="1" t="str">
        <f t="shared" si="4618"/>
        <v>0</v>
      </c>
      <c r="H2298" s="1" t="str">
        <f t="shared" si="4618"/>
        <v>0</v>
      </c>
      <c r="I2298" s="1" t="str">
        <f t="shared" si="4618"/>
        <v>0</v>
      </c>
      <c r="J2298" s="1" t="str">
        <f t="shared" ref="J2298:J2301" si="4619">"2"</f>
        <v>2</v>
      </c>
      <c r="K2298" s="1" t="str">
        <f>"2"</f>
        <v>2</v>
      </c>
      <c r="L2298" s="1" t="str">
        <f t="shared" ref="L2298:P2298" si="4620">"0"</f>
        <v>0</v>
      </c>
      <c r="M2298" s="1" t="str">
        <f>"1.0000"</f>
        <v>1.0000</v>
      </c>
      <c r="N2298" s="1" t="str">
        <f t="shared" si="4620"/>
        <v>0</v>
      </c>
      <c r="O2298" s="1" t="str">
        <f t="shared" si="4620"/>
        <v>0</v>
      </c>
      <c r="P2298" s="1" t="str">
        <f t="shared" si="4620"/>
        <v>0</v>
      </c>
      <c r="Q2298" s="1" t="str">
        <f t="shared" si="4515"/>
        <v>0.0070</v>
      </c>
      <c r="R2298" s="1" t="s">
        <v>29</v>
      </c>
      <c r="S2298" s="1">
        <v>-0.0014</v>
      </c>
      <c r="T2298" s="1" t="str">
        <f t="shared" si="4516"/>
        <v>0</v>
      </c>
      <c r="U2298" s="1" t="str">
        <f t="shared" si="4611"/>
        <v>0.0056</v>
      </c>
    </row>
    <row r="2299" s="1" customFormat="1" spans="1:21">
      <c r="A2299" s="1" t="str">
        <f>"4601992038869"</f>
        <v>4601992038869</v>
      </c>
      <c r="B2299" s="1" t="s">
        <v>2323</v>
      </c>
      <c r="C2299" s="1" t="s">
        <v>24</v>
      </c>
      <c r="D2299" s="1" t="str">
        <f t="shared" si="4513"/>
        <v>2021</v>
      </c>
      <c r="E2299" s="1" t="str">
        <f>"23.96"</f>
        <v>23.96</v>
      </c>
      <c r="F2299" s="1" t="str">
        <f t="shared" ref="F2299:I2299" si="4621">"0"</f>
        <v>0</v>
      </c>
      <c r="G2299" s="1" t="str">
        <f t="shared" si="4621"/>
        <v>0</v>
      </c>
      <c r="H2299" s="1" t="str">
        <f t="shared" si="4621"/>
        <v>0</v>
      </c>
      <c r="I2299" s="1" t="str">
        <f t="shared" si="4621"/>
        <v>0</v>
      </c>
      <c r="J2299" s="1" t="str">
        <f t="shared" si="4619"/>
        <v>2</v>
      </c>
      <c r="K2299" s="1" t="str">
        <f t="shared" ref="K2299:P2299" si="4622">"0"</f>
        <v>0</v>
      </c>
      <c r="L2299" s="1" t="str">
        <f t="shared" si="4622"/>
        <v>0</v>
      </c>
      <c r="M2299" s="1" t="str">
        <f t="shared" si="4622"/>
        <v>0</v>
      </c>
      <c r="N2299" s="1" t="str">
        <f t="shared" si="4622"/>
        <v>0</v>
      </c>
      <c r="O2299" s="1" t="str">
        <f t="shared" si="4622"/>
        <v>0</v>
      </c>
      <c r="P2299" s="1" t="str">
        <f t="shared" si="4622"/>
        <v>0</v>
      </c>
      <c r="Q2299" s="1" t="str">
        <f t="shared" si="4515"/>
        <v>0.0070</v>
      </c>
      <c r="R2299" s="1" t="s">
        <v>29</v>
      </c>
      <c r="S2299" s="1">
        <v>-0.0014</v>
      </c>
      <c r="T2299" s="1" t="str">
        <f t="shared" si="4516"/>
        <v>0</v>
      </c>
      <c r="U2299" s="1" t="str">
        <f t="shared" si="4611"/>
        <v>0.0056</v>
      </c>
    </row>
    <row r="2300" s="1" customFormat="1" spans="1:21">
      <c r="A2300" s="1" t="str">
        <f>"4601992038888"</f>
        <v>4601992038888</v>
      </c>
      <c r="B2300" s="1" t="s">
        <v>2324</v>
      </c>
      <c r="C2300" s="1" t="s">
        <v>24</v>
      </c>
      <c r="D2300" s="1" t="str">
        <f t="shared" si="4513"/>
        <v>2021</v>
      </c>
      <c r="E2300" s="1" t="str">
        <f>"24.18"</f>
        <v>24.18</v>
      </c>
      <c r="F2300" s="1" t="str">
        <f t="shared" ref="F2300:I2300" si="4623">"0"</f>
        <v>0</v>
      </c>
      <c r="G2300" s="1" t="str">
        <f t="shared" si="4623"/>
        <v>0</v>
      </c>
      <c r="H2300" s="1" t="str">
        <f t="shared" si="4623"/>
        <v>0</v>
      </c>
      <c r="I2300" s="1" t="str">
        <f t="shared" si="4623"/>
        <v>0</v>
      </c>
      <c r="J2300" s="1" t="str">
        <f t="shared" si="4619"/>
        <v>2</v>
      </c>
      <c r="K2300" s="1" t="str">
        <f t="shared" ref="K2300:P2300" si="4624">"0"</f>
        <v>0</v>
      </c>
      <c r="L2300" s="1" t="str">
        <f t="shared" si="4624"/>
        <v>0</v>
      </c>
      <c r="M2300" s="1" t="str">
        <f t="shared" si="4624"/>
        <v>0</v>
      </c>
      <c r="N2300" s="1" t="str">
        <f t="shared" si="4624"/>
        <v>0</v>
      </c>
      <c r="O2300" s="1" t="str">
        <f t="shared" si="4624"/>
        <v>0</v>
      </c>
      <c r="P2300" s="1" t="str">
        <f t="shared" si="4624"/>
        <v>0</v>
      </c>
      <c r="Q2300" s="1" t="str">
        <f t="shared" si="4515"/>
        <v>0.0070</v>
      </c>
      <c r="R2300" s="1" t="s">
        <v>29</v>
      </c>
      <c r="S2300" s="1">
        <v>-0.0014</v>
      </c>
      <c r="T2300" s="1" t="str">
        <f t="shared" si="4516"/>
        <v>0</v>
      </c>
      <c r="U2300" s="1" t="str">
        <f t="shared" si="4611"/>
        <v>0.0056</v>
      </c>
    </row>
    <row r="2301" s="1" customFormat="1" spans="1:21">
      <c r="A2301" s="1" t="str">
        <f>"4601992038868"</f>
        <v>4601992038868</v>
      </c>
      <c r="B2301" s="1" t="s">
        <v>2325</v>
      </c>
      <c r="C2301" s="1" t="s">
        <v>24</v>
      </c>
      <c r="D2301" s="1" t="str">
        <f t="shared" si="4513"/>
        <v>2021</v>
      </c>
      <c r="E2301" s="1" t="str">
        <f>"24.07"</f>
        <v>24.07</v>
      </c>
      <c r="F2301" s="1" t="str">
        <f t="shared" ref="F2301:I2301" si="4625">"0"</f>
        <v>0</v>
      </c>
      <c r="G2301" s="1" t="str">
        <f t="shared" si="4625"/>
        <v>0</v>
      </c>
      <c r="H2301" s="1" t="str">
        <f t="shared" si="4625"/>
        <v>0</v>
      </c>
      <c r="I2301" s="1" t="str">
        <f t="shared" si="4625"/>
        <v>0</v>
      </c>
      <c r="J2301" s="1" t="str">
        <f t="shared" si="4619"/>
        <v>2</v>
      </c>
      <c r="K2301" s="1" t="str">
        <f t="shared" ref="K2301:P2301" si="4626">"0"</f>
        <v>0</v>
      </c>
      <c r="L2301" s="1" t="str">
        <f t="shared" si="4626"/>
        <v>0</v>
      </c>
      <c r="M2301" s="1" t="str">
        <f t="shared" si="4626"/>
        <v>0</v>
      </c>
      <c r="N2301" s="1" t="str">
        <f t="shared" si="4626"/>
        <v>0</v>
      </c>
      <c r="O2301" s="1" t="str">
        <f t="shared" si="4626"/>
        <v>0</v>
      </c>
      <c r="P2301" s="1" t="str">
        <f t="shared" si="4626"/>
        <v>0</v>
      </c>
      <c r="Q2301" s="1" t="str">
        <f t="shared" si="4515"/>
        <v>0.0070</v>
      </c>
      <c r="R2301" s="1" t="s">
        <v>29</v>
      </c>
      <c r="S2301" s="1">
        <v>-0.0014</v>
      </c>
      <c r="T2301" s="1" t="str">
        <f t="shared" si="4516"/>
        <v>0</v>
      </c>
      <c r="U2301" s="1" t="str">
        <f t="shared" si="4611"/>
        <v>0.0056</v>
      </c>
    </row>
    <row r="2302" s="1" customFormat="1" spans="1:21">
      <c r="A2302" s="1" t="str">
        <f>"4601992038900"</f>
        <v>4601992038900</v>
      </c>
      <c r="B2302" s="1" t="s">
        <v>2326</v>
      </c>
      <c r="C2302" s="1" t="s">
        <v>24</v>
      </c>
      <c r="D2302" s="1" t="str">
        <f t="shared" si="4513"/>
        <v>2021</v>
      </c>
      <c r="E2302" s="1" t="str">
        <f>"12.09"</f>
        <v>12.09</v>
      </c>
      <c r="F2302" s="1" t="str">
        <f t="shared" ref="F2302:I2302" si="4627">"0"</f>
        <v>0</v>
      </c>
      <c r="G2302" s="1" t="str">
        <f t="shared" si="4627"/>
        <v>0</v>
      </c>
      <c r="H2302" s="1" t="str">
        <f t="shared" si="4627"/>
        <v>0</v>
      </c>
      <c r="I2302" s="1" t="str">
        <f t="shared" si="4627"/>
        <v>0</v>
      </c>
      <c r="J2302" s="1" t="str">
        <f>"1"</f>
        <v>1</v>
      </c>
      <c r="K2302" s="1" t="str">
        <f t="shared" ref="K2302:P2302" si="4628">"0"</f>
        <v>0</v>
      </c>
      <c r="L2302" s="1" t="str">
        <f t="shared" si="4628"/>
        <v>0</v>
      </c>
      <c r="M2302" s="1" t="str">
        <f t="shared" si="4628"/>
        <v>0</v>
      </c>
      <c r="N2302" s="1" t="str">
        <f t="shared" si="4628"/>
        <v>0</v>
      </c>
      <c r="O2302" s="1" t="str">
        <f t="shared" si="4628"/>
        <v>0</v>
      </c>
      <c r="P2302" s="1" t="str">
        <f t="shared" si="4628"/>
        <v>0</v>
      </c>
      <c r="Q2302" s="1" t="str">
        <f t="shared" si="4515"/>
        <v>0.0070</v>
      </c>
      <c r="R2302" s="1" t="s">
        <v>29</v>
      </c>
      <c r="S2302" s="1">
        <v>-0.0014</v>
      </c>
      <c r="T2302" s="1" t="str">
        <f t="shared" si="4516"/>
        <v>0</v>
      </c>
      <c r="U2302" s="1" t="str">
        <f t="shared" si="4611"/>
        <v>0.0056</v>
      </c>
    </row>
    <row r="2303" s="1" customFormat="1" spans="1:21">
      <c r="A2303" s="1" t="str">
        <f>"4601992038921"</f>
        <v>4601992038921</v>
      </c>
      <c r="B2303" s="1" t="s">
        <v>2327</v>
      </c>
      <c r="C2303" s="1" t="s">
        <v>24</v>
      </c>
      <c r="D2303" s="1" t="str">
        <f t="shared" si="4513"/>
        <v>2021</v>
      </c>
      <c r="E2303" s="1" t="str">
        <f>"84.63"</f>
        <v>84.63</v>
      </c>
      <c r="F2303" s="1" t="str">
        <f t="shared" ref="F2303:I2303" si="4629">"0"</f>
        <v>0</v>
      </c>
      <c r="G2303" s="1" t="str">
        <f t="shared" si="4629"/>
        <v>0</v>
      </c>
      <c r="H2303" s="1" t="str">
        <f t="shared" si="4629"/>
        <v>0</v>
      </c>
      <c r="I2303" s="1" t="str">
        <f t="shared" si="4629"/>
        <v>0</v>
      </c>
      <c r="J2303" s="1" t="str">
        <f>"7"</f>
        <v>7</v>
      </c>
      <c r="K2303" s="1" t="str">
        <f t="shared" ref="K2303:P2303" si="4630">"0"</f>
        <v>0</v>
      </c>
      <c r="L2303" s="1" t="str">
        <f t="shared" si="4630"/>
        <v>0</v>
      </c>
      <c r="M2303" s="1" t="str">
        <f t="shared" si="4630"/>
        <v>0</v>
      </c>
      <c r="N2303" s="1" t="str">
        <f t="shared" si="4630"/>
        <v>0</v>
      </c>
      <c r="O2303" s="1" t="str">
        <f t="shared" si="4630"/>
        <v>0</v>
      </c>
      <c r="P2303" s="1" t="str">
        <f t="shared" si="4630"/>
        <v>0</v>
      </c>
      <c r="Q2303" s="1" t="str">
        <f t="shared" si="4515"/>
        <v>0.0070</v>
      </c>
      <c r="R2303" s="1" t="s">
        <v>29</v>
      </c>
      <c r="S2303" s="1">
        <v>-0.0014</v>
      </c>
      <c r="T2303" s="1" t="str">
        <f t="shared" si="4516"/>
        <v>0</v>
      </c>
      <c r="U2303" s="1" t="str">
        <f t="shared" si="4611"/>
        <v>0.0056</v>
      </c>
    </row>
    <row r="2304" s="1" customFormat="1" spans="1:21">
      <c r="A2304" s="1" t="str">
        <f>"4601992038905"</f>
        <v>4601992038905</v>
      </c>
      <c r="B2304" s="1" t="s">
        <v>2328</v>
      </c>
      <c r="C2304" s="1" t="s">
        <v>24</v>
      </c>
      <c r="D2304" s="1" t="str">
        <f t="shared" si="4513"/>
        <v>2021</v>
      </c>
      <c r="E2304" s="1" t="str">
        <f>"24.18"</f>
        <v>24.18</v>
      </c>
      <c r="F2304" s="1" t="str">
        <f t="shared" ref="F2304:I2304" si="4631">"0"</f>
        <v>0</v>
      </c>
      <c r="G2304" s="1" t="str">
        <f t="shared" si="4631"/>
        <v>0</v>
      </c>
      <c r="H2304" s="1" t="str">
        <f t="shared" si="4631"/>
        <v>0</v>
      </c>
      <c r="I2304" s="1" t="str">
        <f t="shared" si="4631"/>
        <v>0</v>
      </c>
      <c r="J2304" s="1" t="str">
        <f>"2"</f>
        <v>2</v>
      </c>
      <c r="K2304" s="1" t="str">
        <f t="shared" ref="K2304:P2304" si="4632">"0"</f>
        <v>0</v>
      </c>
      <c r="L2304" s="1" t="str">
        <f t="shared" si="4632"/>
        <v>0</v>
      </c>
      <c r="M2304" s="1" t="str">
        <f t="shared" si="4632"/>
        <v>0</v>
      </c>
      <c r="N2304" s="1" t="str">
        <f t="shared" si="4632"/>
        <v>0</v>
      </c>
      <c r="O2304" s="1" t="str">
        <f t="shared" si="4632"/>
        <v>0</v>
      </c>
      <c r="P2304" s="1" t="str">
        <f t="shared" si="4632"/>
        <v>0</v>
      </c>
      <c r="Q2304" s="1" t="str">
        <f t="shared" si="4515"/>
        <v>0.0070</v>
      </c>
      <c r="R2304" s="1" t="s">
        <v>29</v>
      </c>
      <c r="S2304" s="1">
        <v>-0.0014</v>
      </c>
      <c r="T2304" s="1" t="str">
        <f t="shared" si="4516"/>
        <v>0</v>
      </c>
      <c r="U2304" s="1" t="str">
        <f t="shared" si="4611"/>
        <v>0.0056</v>
      </c>
    </row>
    <row r="2305" s="1" customFormat="1" spans="1:21">
      <c r="A2305" s="1" t="str">
        <f>"4601992038971"</f>
        <v>4601992038971</v>
      </c>
      <c r="B2305" s="1" t="s">
        <v>2329</v>
      </c>
      <c r="C2305" s="1" t="s">
        <v>24</v>
      </c>
      <c r="D2305" s="1" t="str">
        <f t="shared" si="4513"/>
        <v>2021</v>
      </c>
      <c r="E2305" s="1" t="str">
        <f t="shared" ref="E2305:P2305" si="4633">"0"</f>
        <v>0</v>
      </c>
      <c r="F2305" s="1" t="str">
        <f t="shared" si="4633"/>
        <v>0</v>
      </c>
      <c r="G2305" s="1" t="str">
        <f t="shared" si="4633"/>
        <v>0</v>
      </c>
      <c r="H2305" s="1" t="str">
        <f t="shared" si="4633"/>
        <v>0</v>
      </c>
      <c r="I2305" s="1" t="str">
        <f t="shared" si="4633"/>
        <v>0</v>
      </c>
      <c r="J2305" s="1" t="str">
        <f t="shared" si="4633"/>
        <v>0</v>
      </c>
      <c r="K2305" s="1" t="str">
        <f t="shared" si="4633"/>
        <v>0</v>
      </c>
      <c r="L2305" s="1" t="str">
        <f t="shared" si="4633"/>
        <v>0</v>
      </c>
      <c r="M2305" s="1" t="str">
        <f t="shared" si="4633"/>
        <v>0</v>
      </c>
      <c r="N2305" s="1" t="str">
        <f t="shared" si="4633"/>
        <v>0</v>
      </c>
      <c r="O2305" s="1" t="str">
        <f t="shared" si="4633"/>
        <v>0</v>
      </c>
      <c r="P2305" s="1" t="str">
        <f t="shared" si="4633"/>
        <v>0</v>
      </c>
      <c r="Q2305" s="1" t="str">
        <f t="shared" si="4515"/>
        <v>0.0070</v>
      </c>
      <c r="R2305" s="1" t="s">
        <v>25</v>
      </c>
      <c r="T2305" s="1" t="str">
        <f t="shared" si="4516"/>
        <v>0</v>
      </c>
      <c r="U2305" s="1" t="str">
        <f t="shared" ref="U2305:U2309" si="4634">"0.0070"</f>
        <v>0.0070</v>
      </c>
    </row>
    <row r="2306" s="1" customFormat="1" spans="1:21">
      <c r="A2306" s="1" t="str">
        <f>"4601992038962"</f>
        <v>4601992038962</v>
      </c>
      <c r="B2306" s="1" t="s">
        <v>2330</v>
      </c>
      <c r="C2306" s="1" t="s">
        <v>24</v>
      </c>
      <c r="D2306" s="1" t="str">
        <f t="shared" si="4513"/>
        <v>2021</v>
      </c>
      <c r="E2306" s="1" t="str">
        <f>"12.09"</f>
        <v>12.09</v>
      </c>
      <c r="F2306" s="1" t="str">
        <f t="shared" ref="F2306:I2306" si="4635">"0"</f>
        <v>0</v>
      </c>
      <c r="G2306" s="1" t="str">
        <f t="shared" si="4635"/>
        <v>0</v>
      </c>
      <c r="H2306" s="1" t="str">
        <f t="shared" si="4635"/>
        <v>0</v>
      </c>
      <c r="I2306" s="1" t="str">
        <f t="shared" si="4635"/>
        <v>0</v>
      </c>
      <c r="J2306" s="1" t="str">
        <f>"1"</f>
        <v>1</v>
      </c>
      <c r="K2306" s="1" t="str">
        <f t="shared" ref="K2306:P2306" si="4636">"0"</f>
        <v>0</v>
      </c>
      <c r="L2306" s="1" t="str">
        <f t="shared" si="4636"/>
        <v>0</v>
      </c>
      <c r="M2306" s="1" t="str">
        <f t="shared" si="4636"/>
        <v>0</v>
      </c>
      <c r="N2306" s="1" t="str">
        <f t="shared" si="4636"/>
        <v>0</v>
      </c>
      <c r="O2306" s="1" t="str">
        <f t="shared" si="4636"/>
        <v>0</v>
      </c>
      <c r="P2306" s="1" t="str">
        <f t="shared" si="4636"/>
        <v>0</v>
      </c>
      <c r="Q2306" s="1" t="str">
        <f t="shared" si="4515"/>
        <v>0.0070</v>
      </c>
      <c r="R2306" s="1" t="s">
        <v>25</v>
      </c>
      <c r="T2306" s="1" t="str">
        <f t="shared" si="4516"/>
        <v>0</v>
      </c>
      <c r="U2306" s="1" t="str">
        <f t="shared" si="4634"/>
        <v>0.0070</v>
      </c>
    </row>
    <row r="2307" s="1" customFormat="1" spans="1:21">
      <c r="A2307" s="1" t="str">
        <f>"4601992039025"</f>
        <v>4601992039025</v>
      </c>
      <c r="B2307" s="1" t="s">
        <v>2331</v>
      </c>
      <c r="C2307" s="1" t="s">
        <v>24</v>
      </c>
      <c r="D2307" s="1" t="str">
        <f t="shared" ref="D2307:D2370" si="4637">"2021"</f>
        <v>2021</v>
      </c>
      <c r="E2307" s="1" t="str">
        <f t="shared" ref="E2307:G2307" si="4638">"0"</f>
        <v>0</v>
      </c>
      <c r="F2307" s="1" t="str">
        <f t="shared" si="4638"/>
        <v>0</v>
      </c>
      <c r="G2307" s="1" t="str">
        <f t="shared" si="4638"/>
        <v>0</v>
      </c>
      <c r="H2307" s="1" t="str">
        <f>"36.27"</f>
        <v>36.27</v>
      </c>
      <c r="I2307" s="1" t="str">
        <f t="shared" ref="I2307:P2307" si="4639">"0"</f>
        <v>0</v>
      </c>
      <c r="J2307" s="1" t="str">
        <f t="shared" si="4639"/>
        <v>0</v>
      </c>
      <c r="K2307" s="1" t="str">
        <f t="shared" si="4639"/>
        <v>0</v>
      </c>
      <c r="L2307" s="1" t="str">
        <f t="shared" si="4639"/>
        <v>0</v>
      </c>
      <c r="M2307" s="1" t="str">
        <f t="shared" si="4639"/>
        <v>0</v>
      </c>
      <c r="N2307" s="1" t="str">
        <f t="shared" si="4639"/>
        <v>0</v>
      </c>
      <c r="O2307" s="1" t="str">
        <f t="shared" si="4639"/>
        <v>0</v>
      </c>
      <c r="P2307" s="1" t="str">
        <f t="shared" si="4639"/>
        <v>0</v>
      </c>
      <c r="Q2307" s="1" t="str">
        <f t="shared" ref="Q2307:Q2370" si="4640">"0.0070"</f>
        <v>0.0070</v>
      </c>
      <c r="R2307" s="1" t="s">
        <v>25</v>
      </c>
      <c r="T2307" s="1" t="str">
        <f t="shared" ref="T2307:T2370" si="4641">"0"</f>
        <v>0</v>
      </c>
      <c r="U2307" s="1" t="str">
        <f t="shared" si="4634"/>
        <v>0.0070</v>
      </c>
    </row>
    <row r="2308" s="1" customFormat="1" spans="1:21">
      <c r="A2308" s="1" t="str">
        <f>"4601992039035"</f>
        <v>4601992039035</v>
      </c>
      <c r="B2308" s="1" t="s">
        <v>2332</v>
      </c>
      <c r="C2308" s="1" t="s">
        <v>24</v>
      </c>
      <c r="D2308" s="1" t="str">
        <f t="shared" si="4637"/>
        <v>2021</v>
      </c>
      <c r="E2308" s="1" t="str">
        <f t="shared" ref="E2308:P2308" si="4642">"0"</f>
        <v>0</v>
      </c>
      <c r="F2308" s="1" t="str">
        <f t="shared" si="4642"/>
        <v>0</v>
      </c>
      <c r="G2308" s="1" t="str">
        <f t="shared" si="4642"/>
        <v>0</v>
      </c>
      <c r="H2308" s="1" t="str">
        <f t="shared" si="4642"/>
        <v>0</v>
      </c>
      <c r="I2308" s="1" t="str">
        <f t="shared" si="4642"/>
        <v>0</v>
      </c>
      <c r="J2308" s="1" t="str">
        <f t="shared" si="4642"/>
        <v>0</v>
      </c>
      <c r="K2308" s="1" t="str">
        <f t="shared" si="4642"/>
        <v>0</v>
      </c>
      <c r="L2308" s="1" t="str">
        <f t="shared" si="4642"/>
        <v>0</v>
      </c>
      <c r="M2308" s="1" t="str">
        <f t="shared" si="4642"/>
        <v>0</v>
      </c>
      <c r="N2308" s="1" t="str">
        <f t="shared" si="4642"/>
        <v>0</v>
      </c>
      <c r="O2308" s="1" t="str">
        <f t="shared" si="4642"/>
        <v>0</v>
      </c>
      <c r="P2308" s="1" t="str">
        <f t="shared" si="4642"/>
        <v>0</v>
      </c>
      <c r="Q2308" s="1" t="str">
        <f t="shared" si="4640"/>
        <v>0.0070</v>
      </c>
      <c r="R2308" s="1" t="s">
        <v>25</v>
      </c>
      <c r="T2308" s="1" t="str">
        <f t="shared" si="4641"/>
        <v>0</v>
      </c>
      <c r="U2308" s="1" t="str">
        <f t="shared" si="4634"/>
        <v>0.0070</v>
      </c>
    </row>
    <row r="2309" s="1" customFormat="1" spans="1:21">
      <c r="A2309" s="1" t="str">
        <f>"4601992039063"</f>
        <v>4601992039063</v>
      </c>
      <c r="B2309" s="1" t="s">
        <v>2333</v>
      </c>
      <c r="C2309" s="1" t="s">
        <v>24</v>
      </c>
      <c r="D2309" s="1" t="str">
        <f t="shared" si="4637"/>
        <v>2021</v>
      </c>
      <c r="E2309" s="1" t="str">
        <f t="shared" ref="E2309:P2309" si="4643">"0"</f>
        <v>0</v>
      </c>
      <c r="F2309" s="1" t="str">
        <f t="shared" si="4643"/>
        <v>0</v>
      </c>
      <c r="G2309" s="1" t="str">
        <f t="shared" si="4643"/>
        <v>0</v>
      </c>
      <c r="H2309" s="1" t="str">
        <f t="shared" si="4643"/>
        <v>0</v>
      </c>
      <c r="I2309" s="1" t="str">
        <f t="shared" si="4643"/>
        <v>0</v>
      </c>
      <c r="J2309" s="1" t="str">
        <f t="shared" si="4643"/>
        <v>0</v>
      </c>
      <c r="K2309" s="1" t="str">
        <f t="shared" si="4643"/>
        <v>0</v>
      </c>
      <c r="L2309" s="1" t="str">
        <f t="shared" si="4643"/>
        <v>0</v>
      </c>
      <c r="M2309" s="1" t="str">
        <f t="shared" si="4643"/>
        <v>0</v>
      </c>
      <c r="N2309" s="1" t="str">
        <f t="shared" si="4643"/>
        <v>0</v>
      </c>
      <c r="O2309" s="1" t="str">
        <f t="shared" si="4643"/>
        <v>0</v>
      </c>
      <c r="P2309" s="1" t="str">
        <f t="shared" si="4643"/>
        <v>0</v>
      </c>
      <c r="Q2309" s="1" t="str">
        <f t="shared" si="4640"/>
        <v>0.0070</v>
      </c>
      <c r="R2309" s="1" t="s">
        <v>25</v>
      </c>
      <c r="T2309" s="1" t="str">
        <f t="shared" si="4641"/>
        <v>0</v>
      </c>
      <c r="U2309" s="1" t="str">
        <f t="shared" si="4634"/>
        <v>0.0070</v>
      </c>
    </row>
    <row r="2310" s="1" customFormat="1" spans="1:21">
      <c r="A2310" s="1" t="str">
        <f>"4601992039031"</f>
        <v>4601992039031</v>
      </c>
      <c r="B2310" s="1" t="s">
        <v>2334</v>
      </c>
      <c r="C2310" s="1" t="s">
        <v>24</v>
      </c>
      <c r="D2310" s="1" t="str">
        <f t="shared" si="4637"/>
        <v>2021</v>
      </c>
      <c r="E2310" s="1" t="str">
        <f>"12.09"</f>
        <v>12.09</v>
      </c>
      <c r="F2310" s="1" t="str">
        <f t="shared" ref="F2310:I2310" si="4644">"0"</f>
        <v>0</v>
      </c>
      <c r="G2310" s="1" t="str">
        <f t="shared" si="4644"/>
        <v>0</v>
      </c>
      <c r="H2310" s="1" t="str">
        <f t="shared" si="4644"/>
        <v>0</v>
      </c>
      <c r="I2310" s="1" t="str">
        <f t="shared" si="4644"/>
        <v>0</v>
      </c>
      <c r="J2310" s="1" t="str">
        <f>"1"</f>
        <v>1</v>
      </c>
      <c r="K2310" s="1" t="str">
        <f t="shared" ref="K2310:P2310" si="4645">"0"</f>
        <v>0</v>
      </c>
      <c r="L2310" s="1" t="str">
        <f t="shared" si="4645"/>
        <v>0</v>
      </c>
      <c r="M2310" s="1" t="str">
        <f t="shared" si="4645"/>
        <v>0</v>
      </c>
      <c r="N2310" s="1" t="str">
        <f t="shared" si="4645"/>
        <v>0</v>
      </c>
      <c r="O2310" s="1" t="str">
        <f t="shared" si="4645"/>
        <v>0</v>
      </c>
      <c r="P2310" s="1" t="str">
        <f t="shared" si="4645"/>
        <v>0</v>
      </c>
      <c r="Q2310" s="1" t="str">
        <f t="shared" si="4640"/>
        <v>0.0070</v>
      </c>
      <c r="R2310" s="1" t="s">
        <v>29</v>
      </c>
      <c r="S2310" s="1">
        <v>-0.0014</v>
      </c>
      <c r="T2310" s="1" t="str">
        <f t="shared" si="4641"/>
        <v>0</v>
      </c>
      <c r="U2310" s="1" t="str">
        <f t="shared" ref="U2310:U2313" si="4646">"0.0056"</f>
        <v>0.0056</v>
      </c>
    </row>
    <row r="2311" s="1" customFormat="1" spans="1:21">
      <c r="A2311" s="1" t="str">
        <f>"4601992039123"</f>
        <v>4601992039123</v>
      </c>
      <c r="B2311" s="1" t="s">
        <v>2335</v>
      </c>
      <c r="C2311" s="1" t="s">
        <v>24</v>
      </c>
      <c r="D2311" s="1" t="str">
        <f t="shared" si="4637"/>
        <v>2021</v>
      </c>
      <c r="E2311" s="1" t="str">
        <f t="shared" ref="E2311:P2311" si="4647">"0"</f>
        <v>0</v>
      </c>
      <c r="F2311" s="1" t="str">
        <f t="shared" si="4647"/>
        <v>0</v>
      </c>
      <c r="G2311" s="1" t="str">
        <f t="shared" si="4647"/>
        <v>0</v>
      </c>
      <c r="H2311" s="1" t="str">
        <f t="shared" si="4647"/>
        <v>0</v>
      </c>
      <c r="I2311" s="1" t="str">
        <f t="shared" si="4647"/>
        <v>0</v>
      </c>
      <c r="J2311" s="1" t="str">
        <f t="shared" si="4647"/>
        <v>0</v>
      </c>
      <c r="K2311" s="1" t="str">
        <f t="shared" si="4647"/>
        <v>0</v>
      </c>
      <c r="L2311" s="1" t="str">
        <f t="shared" si="4647"/>
        <v>0</v>
      </c>
      <c r="M2311" s="1" t="str">
        <f t="shared" si="4647"/>
        <v>0</v>
      </c>
      <c r="N2311" s="1" t="str">
        <f t="shared" si="4647"/>
        <v>0</v>
      </c>
      <c r="O2311" s="1" t="str">
        <f t="shared" si="4647"/>
        <v>0</v>
      </c>
      <c r="P2311" s="1" t="str">
        <f t="shared" si="4647"/>
        <v>0</v>
      </c>
      <c r="Q2311" s="1" t="str">
        <f t="shared" si="4640"/>
        <v>0.0070</v>
      </c>
      <c r="R2311" s="1" t="s">
        <v>25</v>
      </c>
      <c r="T2311" s="1" t="str">
        <f t="shared" si="4641"/>
        <v>0</v>
      </c>
      <c r="U2311" s="1" t="str">
        <f>"0.0070"</f>
        <v>0.0070</v>
      </c>
    </row>
    <row r="2312" s="1" customFormat="1" spans="1:21">
      <c r="A2312" s="1" t="str">
        <f>"4601992039041"</f>
        <v>4601992039041</v>
      </c>
      <c r="B2312" s="1" t="s">
        <v>2336</v>
      </c>
      <c r="C2312" s="1" t="s">
        <v>24</v>
      </c>
      <c r="D2312" s="1" t="str">
        <f t="shared" si="4637"/>
        <v>2021</v>
      </c>
      <c r="E2312" s="1" t="str">
        <f>"24.18"</f>
        <v>24.18</v>
      </c>
      <c r="F2312" s="1" t="str">
        <f t="shared" ref="F2312:I2312" si="4648">"0"</f>
        <v>0</v>
      </c>
      <c r="G2312" s="1" t="str">
        <f t="shared" si="4648"/>
        <v>0</v>
      </c>
      <c r="H2312" s="1" t="str">
        <f t="shared" si="4648"/>
        <v>0</v>
      </c>
      <c r="I2312" s="1" t="str">
        <f t="shared" si="4648"/>
        <v>0</v>
      </c>
      <c r="J2312" s="1" t="str">
        <f>"2"</f>
        <v>2</v>
      </c>
      <c r="K2312" s="1" t="str">
        <f t="shared" ref="K2312:P2312" si="4649">"0"</f>
        <v>0</v>
      </c>
      <c r="L2312" s="1" t="str">
        <f t="shared" si="4649"/>
        <v>0</v>
      </c>
      <c r="M2312" s="1" t="str">
        <f t="shared" si="4649"/>
        <v>0</v>
      </c>
      <c r="N2312" s="1" t="str">
        <f t="shared" si="4649"/>
        <v>0</v>
      </c>
      <c r="O2312" s="1" t="str">
        <f t="shared" si="4649"/>
        <v>0</v>
      </c>
      <c r="P2312" s="1" t="str">
        <f t="shared" si="4649"/>
        <v>0</v>
      </c>
      <c r="Q2312" s="1" t="str">
        <f t="shared" si="4640"/>
        <v>0.0070</v>
      </c>
      <c r="R2312" s="1" t="s">
        <v>29</v>
      </c>
      <c r="S2312" s="1">
        <v>-0.0014</v>
      </c>
      <c r="T2312" s="1" t="str">
        <f t="shared" si="4641"/>
        <v>0</v>
      </c>
      <c r="U2312" s="1" t="str">
        <f t="shared" si="4646"/>
        <v>0.0056</v>
      </c>
    </row>
    <row r="2313" s="1" customFormat="1" spans="1:21">
      <c r="A2313" s="1" t="str">
        <f>"4601992039088"</f>
        <v>4601992039088</v>
      </c>
      <c r="B2313" s="1" t="s">
        <v>2337</v>
      </c>
      <c r="C2313" s="1" t="s">
        <v>24</v>
      </c>
      <c r="D2313" s="1" t="str">
        <f t="shared" si="4637"/>
        <v>2021</v>
      </c>
      <c r="E2313" s="1" t="str">
        <f>"50.29"</f>
        <v>50.29</v>
      </c>
      <c r="F2313" s="1" t="str">
        <f t="shared" ref="F2313:I2313" si="4650">"0"</f>
        <v>0</v>
      </c>
      <c r="G2313" s="1" t="str">
        <f t="shared" si="4650"/>
        <v>0</v>
      </c>
      <c r="H2313" s="1" t="str">
        <f t="shared" si="4650"/>
        <v>0</v>
      </c>
      <c r="I2313" s="1" t="str">
        <f t="shared" si="4650"/>
        <v>0</v>
      </c>
      <c r="J2313" s="1" t="str">
        <f>"3"</f>
        <v>3</v>
      </c>
      <c r="K2313" s="1" t="str">
        <f t="shared" ref="K2313:P2313" si="4651">"0"</f>
        <v>0</v>
      </c>
      <c r="L2313" s="1" t="str">
        <f t="shared" si="4651"/>
        <v>0</v>
      </c>
      <c r="M2313" s="1" t="str">
        <f t="shared" si="4651"/>
        <v>0</v>
      </c>
      <c r="N2313" s="1" t="str">
        <f t="shared" si="4651"/>
        <v>0</v>
      </c>
      <c r="O2313" s="1" t="str">
        <f t="shared" si="4651"/>
        <v>0</v>
      </c>
      <c r="P2313" s="1" t="str">
        <f t="shared" si="4651"/>
        <v>0</v>
      </c>
      <c r="Q2313" s="1" t="str">
        <f t="shared" si="4640"/>
        <v>0.0070</v>
      </c>
      <c r="R2313" s="1" t="s">
        <v>29</v>
      </c>
      <c r="S2313" s="1">
        <v>-0.0014</v>
      </c>
      <c r="T2313" s="1" t="str">
        <f t="shared" si="4641"/>
        <v>0</v>
      </c>
      <c r="U2313" s="1" t="str">
        <f t="shared" si="4646"/>
        <v>0.0056</v>
      </c>
    </row>
    <row r="2314" s="1" customFormat="1" spans="1:21">
      <c r="A2314" s="1" t="str">
        <f>"4601992039125"</f>
        <v>4601992039125</v>
      </c>
      <c r="B2314" s="1" t="s">
        <v>2338</v>
      </c>
      <c r="C2314" s="1" t="s">
        <v>24</v>
      </c>
      <c r="D2314" s="1" t="str">
        <f t="shared" si="4637"/>
        <v>2021</v>
      </c>
      <c r="E2314" s="1" t="str">
        <f>"60.45"</f>
        <v>60.45</v>
      </c>
      <c r="F2314" s="1" t="str">
        <f t="shared" ref="F2314:I2314" si="4652">"0"</f>
        <v>0</v>
      </c>
      <c r="G2314" s="1" t="str">
        <f t="shared" si="4652"/>
        <v>0</v>
      </c>
      <c r="H2314" s="1" t="str">
        <f t="shared" si="4652"/>
        <v>0</v>
      </c>
      <c r="I2314" s="1" t="str">
        <f t="shared" si="4652"/>
        <v>0</v>
      </c>
      <c r="J2314" s="1" t="str">
        <f>"5"</f>
        <v>5</v>
      </c>
      <c r="K2314" s="1" t="str">
        <f t="shared" ref="K2314:P2314" si="4653">"0"</f>
        <v>0</v>
      </c>
      <c r="L2314" s="1" t="str">
        <f t="shared" si="4653"/>
        <v>0</v>
      </c>
      <c r="M2314" s="1" t="str">
        <f t="shared" si="4653"/>
        <v>0</v>
      </c>
      <c r="N2314" s="1" t="str">
        <f t="shared" si="4653"/>
        <v>0</v>
      </c>
      <c r="O2314" s="1" t="str">
        <f t="shared" si="4653"/>
        <v>0</v>
      </c>
      <c r="P2314" s="1" t="str">
        <f t="shared" si="4653"/>
        <v>0</v>
      </c>
      <c r="Q2314" s="1" t="str">
        <f t="shared" si="4640"/>
        <v>0.0070</v>
      </c>
      <c r="R2314" s="1" t="s">
        <v>25</v>
      </c>
      <c r="T2314" s="1" t="str">
        <f t="shared" si="4641"/>
        <v>0</v>
      </c>
      <c r="U2314" s="1" t="str">
        <f>"0.0070"</f>
        <v>0.0070</v>
      </c>
    </row>
    <row r="2315" s="1" customFormat="1" spans="1:21">
      <c r="A2315" s="1" t="str">
        <f>"4601992039157"</f>
        <v>4601992039157</v>
      </c>
      <c r="B2315" s="1" t="s">
        <v>2339</v>
      </c>
      <c r="C2315" s="1" t="s">
        <v>24</v>
      </c>
      <c r="D2315" s="1" t="str">
        <f t="shared" si="4637"/>
        <v>2021</v>
      </c>
      <c r="E2315" s="1" t="str">
        <f>"60.45"</f>
        <v>60.45</v>
      </c>
      <c r="F2315" s="1" t="str">
        <f t="shared" ref="F2315:I2315" si="4654">"0"</f>
        <v>0</v>
      </c>
      <c r="G2315" s="1" t="str">
        <f t="shared" si="4654"/>
        <v>0</v>
      </c>
      <c r="H2315" s="1" t="str">
        <f t="shared" si="4654"/>
        <v>0</v>
      </c>
      <c r="I2315" s="1" t="str">
        <f t="shared" si="4654"/>
        <v>0</v>
      </c>
      <c r="J2315" s="1" t="str">
        <f>"4"</f>
        <v>4</v>
      </c>
      <c r="K2315" s="1" t="str">
        <f t="shared" ref="K2315:P2315" si="4655">"0"</f>
        <v>0</v>
      </c>
      <c r="L2315" s="1" t="str">
        <f t="shared" si="4655"/>
        <v>0</v>
      </c>
      <c r="M2315" s="1" t="str">
        <f t="shared" si="4655"/>
        <v>0</v>
      </c>
      <c r="N2315" s="1" t="str">
        <f t="shared" si="4655"/>
        <v>0</v>
      </c>
      <c r="O2315" s="1" t="str">
        <f t="shared" si="4655"/>
        <v>0</v>
      </c>
      <c r="P2315" s="1" t="str">
        <f t="shared" si="4655"/>
        <v>0</v>
      </c>
      <c r="Q2315" s="1" t="str">
        <f t="shared" si="4640"/>
        <v>0.0070</v>
      </c>
      <c r="R2315" s="1" t="s">
        <v>29</v>
      </c>
      <c r="S2315" s="1">
        <v>-0.0014</v>
      </c>
      <c r="T2315" s="1" t="str">
        <f t="shared" si="4641"/>
        <v>0</v>
      </c>
      <c r="U2315" s="1" t="str">
        <f t="shared" ref="U2315:U2318" si="4656">"0.0056"</f>
        <v>0.0056</v>
      </c>
    </row>
    <row r="2316" s="1" customFormat="1" spans="1:21">
      <c r="A2316" s="1" t="str">
        <f>"4601992039204"</f>
        <v>4601992039204</v>
      </c>
      <c r="B2316" s="1" t="s">
        <v>2340</v>
      </c>
      <c r="C2316" s="1" t="s">
        <v>24</v>
      </c>
      <c r="D2316" s="1" t="str">
        <f t="shared" si="4637"/>
        <v>2021</v>
      </c>
      <c r="E2316" s="1" t="str">
        <f>"11.98"</f>
        <v>11.98</v>
      </c>
      <c r="F2316" s="1" t="str">
        <f t="shared" ref="F2316:I2316" si="4657">"0"</f>
        <v>0</v>
      </c>
      <c r="G2316" s="1" t="str">
        <f t="shared" si="4657"/>
        <v>0</v>
      </c>
      <c r="H2316" s="1" t="str">
        <f t="shared" si="4657"/>
        <v>0</v>
      </c>
      <c r="I2316" s="1" t="str">
        <f t="shared" si="4657"/>
        <v>0</v>
      </c>
      <c r="J2316" s="1" t="str">
        <f>"1"</f>
        <v>1</v>
      </c>
      <c r="K2316" s="1" t="str">
        <f t="shared" ref="K2316:P2316" si="4658">"0"</f>
        <v>0</v>
      </c>
      <c r="L2316" s="1" t="str">
        <f t="shared" si="4658"/>
        <v>0</v>
      </c>
      <c r="M2316" s="1" t="str">
        <f t="shared" si="4658"/>
        <v>0</v>
      </c>
      <c r="N2316" s="1" t="str">
        <f t="shared" si="4658"/>
        <v>0</v>
      </c>
      <c r="O2316" s="1" t="str">
        <f t="shared" si="4658"/>
        <v>0</v>
      </c>
      <c r="P2316" s="1" t="str">
        <f t="shared" si="4658"/>
        <v>0</v>
      </c>
      <c r="Q2316" s="1" t="str">
        <f t="shared" si="4640"/>
        <v>0.0070</v>
      </c>
      <c r="R2316" s="1" t="s">
        <v>29</v>
      </c>
      <c r="S2316" s="1">
        <v>-0.0014</v>
      </c>
      <c r="T2316" s="1" t="str">
        <f t="shared" si="4641"/>
        <v>0</v>
      </c>
      <c r="U2316" s="1" t="str">
        <f t="shared" si="4656"/>
        <v>0.0056</v>
      </c>
    </row>
    <row r="2317" s="1" customFormat="1" spans="1:21">
      <c r="A2317" s="1" t="str">
        <f>"4601992039151"</f>
        <v>4601992039151</v>
      </c>
      <c r="B2317" s="1" t="s">
        <v>2341</v>
      </c>
      <c r="C2317" s="1" t="s">
        <v>24</v>
      </c>
      <c r="D2317" s="1" t="str">
        <f t="shared" si="4637"/>
        <v>2021</v>
      </c>
      <c r="E2317" s="1" t="str">
        <f>"24.18"</f>
        <v>24.18</v>
      </c>
      <c r="F2317" s="1" t="str">
        <f t="shared" ref="F2317:I2317" si="4659">"0"</f>
        <v>0</v>
      </c>
      <c r="G2317" s="1" t="str">
        <f t="shared" si="4659"/>
        <v>0</v>
      </c>
      <c r="H2317" s="1" t="str">
        <f t="shared" si="4659"/>
        <v>0</v>
      </c>
      <c r="I2317" s="1" t="str">
        <f t="shared" si="4659"/>
        <v>0</v>
      </c>
      <c r="J2317" s="1" t="str">
        <f>"2"</f>
        <v>2</v>
      </c>
      <c r="K2317" s="1" t="str">
        <f t="shared" ref="K2317:P2317" si="4660">"0"</f>
        <v>0</v>
      </c>
      <c r="L2317" s="1" t="str">
        <f t="shared" si="4660"/>
        <v>0</v>
      </c>
      <c r="M2317" s="1" t="str">
        <f t="shared" si="4660"/>
        <v>0</v>
      </c>
      <c r="N2317" s="1" t="str">
        <f t="shared" si="4660"/>
        <v>0</v>
      </c>
      <c r="O2317" s="1" t="str">
        <f t="shared" si="4660"/>
        <v>0</v>
      </c>
      <c r="P2317" s="1" t="str">
        <f t="shared" si="4660"/>
        <v>0</v>
      </c>
      <c r="Q2317" s="1" t="str">
        <f t="shared" si="4640"/>
        <v>0.0070</v>
      </c>
      <c r="R2317" s="1" t="s">
        <v>29</v>
      </c>
      <c r="S2317" s="1">
        <v>-0.0014</v>
      </c>
      <c r="T2317" s="1" t="str">
        <f t="shared" si="4641"/>
        <v>0</v>
      </c>
      <c r="U2317" s="1" t="str">
        <f t="shared" si="4656"/>
        <v>0.0056</v>
      </c>
    </row>
    <row r="2318" s="1" customFormat="1" spans="1:21">
      <c r="A2318" s="1" t="str">
        <f>"4601992039215"</f>
        <v>4601992039215</v>
      </c>
      <c r="B2318" s="1" t="s">
        <v>2342</v>
      </c>
      <c r="C2318" s="1" t="s">
        <v>24</v>
      </c>
      <c r="D2318" s="1" t="str">
        <f t="shared" si="4637"/>
        <v>2021</v>
      </c>
      <c r="E2318" s="1" t="str">
        <f>"24.50"</f>
        <v>24.50</v>
      </c>
      <c r="F2318" s="1" t="str">
        <f t="shared" ref="F2318:I2318" si="4661">"0"</f>
        <v>0</v>
      </c>
      <c r="G2318" s="1" t="str">
        <f t="shared" si="4661"/>
        <v>0</v>
      </c>
      <c r="H2318" s="1" t="str">
        <f t="shared" si="4661"/>
        <v>0</v>
      </c>
      <c r="I2318" s="1" t="str">
        <f t="shared" si="4661"/>
        <v>0</v>
      </c>
      <c r="J2318" s="1" t="str">
        <f>"2"</f>
        <v>2</v>
      </c>
      <c r="K2318" s="1" t="str">
        <f t="shared" ref="K2318:P2318" si="4662">"0"</f>
        <v>0</v>
      </c>
      <c r="L2318" s="1" t="str">
        <f t="shared" si="4662"/>
        <v>0</v>
      </c>
      <c r="M2318" s="1" t="str">
        <f t="shared" si="4662"/>
        <v>0</v>
      </c>
      <c r="N2318" s="1" t="str">
        <f t="shared" si="4662"/>
        <v>0</v>
      </c>
      <c r="O2318" s="1" t="str">
        <f t="shared" si="4662"/>
        <v>0</v>
      </c>
      <c r="P2318" s="1" t="str">
        <f t="shared" si="4662"/>
        <v>0</v>
      </c>
      <c r="Q2318" s="1" t="str">
        <f t="shared" si="4640"/>
        <v>0.0070</v>
      </c>
      <c r="R2318" s="1" t="s">
        <v>29</v>
      </c>
      <c r="S2318" s="1">
        <v>-0.0014</v>
      </c>
      <c r="T2318" s="1" t="str">
        <f t="shared" si="4641"/>
        <v>0</v>
      </c>
      <c r="U2318" s="1" t="str">
        <f t="shared" si="4656"/>
        <v>0.0056</v>
      </c>
    </row>
    <row r="2319" s="1" customFormat="1" spans="1:21">
      <c r="A2319" s="1" t="str">
        <f>"4601992039224"</f>
        <v>4601992039224</v>
      </c>
      <c r="B2319" s="1" t="s">
        <v>2343</v>
      </c>
      <c r="C2319" s="1" t="s">
        <v>24</v>
      </c>
      <c r="D2319" s="1" t="str">
        <f t="shared" si="4637"/>
        <v>2021</v>
      </c>
      <c r="E2319" s="1" t="str">
        <f t="shared" ref="E2319:I2319" si="4663">"0"</f>
        <v>0</v>
      </c>
      <c r="F2319" s="1" t="str">
        <f t="shared" si="4663"/>
        <v>0</v>
      </c>
      <c r="G2319" s="1" t="str">
        <f t="shared" si="4663"/>
        <v>0</v>
      </c>
      <c r="H2319" s="1" t="str">
        <f t="shared" si="4663"/>
        <v>0</v>
      </c>
      <c r="I2319" s="1" t="str">
        <f t="shared" si="4663"/>
        <v>0</v>
      </c>
      <c r="J2319" s="1" t="str">
        <f>"1"</f>
        <v>1</v>
      </c>
      <c r="K2319" s="1" t="str">
        <f t="shared" ref="K2319:P2319" si="4664">"0"</f>
        <v>0</v>
      </c>
      <c r="L2319" s="1" t="str">
        <f t="shared" si="4664"/>
        <v>0</v>
      </c>
      <c r="M2319" s="1" t="str">
        <f t="shared" si="4664"/>
        <v>0</v>
      </c>
      <c r="N2319" s="1" t="str">
        <f t="shared" si="4664"/>
        <v>0</v>
      </c>
      <c r="O2319" s="1" t="str">
        <f t="shared" si="4664"/>
        <v>0</v>
      </c>
      <c r="P2319" s="1" t="str">
        <f t="shared" si="4664"/>
        <v>0</v>
      </c>
      <c r="Q2319" s="1" t="str">
        <f t="shared" si="4640"/>
        <v>0.0070</v>
      </c>
      <c r="R2319" s="1" t="s">
        <v>25</v>
      </c>
      <c r="T2319" s="1" t="str">
        <f t="shared" si="4641"/>
        <v>0</v>
      </c>
      <c r="U2319" s="1" t="str">
        <f t="shared" ref="U2319:U2322" si="4665">"0.0070"</f>
        <v>0.0070</v>
      </c>
    </row>
    <row r="2320" s="1" customFormat="1" spans="1:21">
      <c r="A2320" s="1" t="str">
        <f>"4601992039280"</f>
        <v>4601992039280</v>
      </c>
      <c r="B2320" s="1" t="s">
        <v>2344</v>
      </c>
      <c r="C2320" s="1" t="s">
        <v>24</v>
      </c>
      <c r="D2320" s="1" t="str">
        <f t="shared" si="4637"/>
        <v>2021</v>
      </c>
      <c r="E2320" s="1" t="str">
        <f>"96.72"</f>
        <v>96.72</v>
      </c>
      <c r="F2320" s="1" t="str">
        <f t="shared" ref="F2320:I2320" si="4666">"0"</f>
        <v>0</v>
      </c>
      <c r="G2320" s="1" t="str">
        <f t="shared" si="4666"/>
        <v>0</v>
      </c>
      <c r="H2320" s="1" t="str">
        <f t="shared" si="4666"/>
        <v>0</v>
      </c>
      <c r="I2320" s="1" t="str">
        <f t="shared" si="4666"/>
        <v>0</v>
      </c>
      <c r="J2320" s="1" t="str">
        <f>"8"</f>
        <v>8</v>
      </c>
      <c r="K2320" s="1" t="str">
        <f t="shared" ref="K2320:P2320" si="4667">"0"</f>
        <v>0</v>
      </c>
      <c r="L2320" s="1" t="str">
        <f t="shared" si="4667"/>
        <v>0</v>
      </c>
      <c r="M2320" s="1" t="str">
        <f t="shared" si="4667"/>
        <v>0</v>
      </c>
      <c r="N2320" s="1" t="str">
        <f t="shared" si="4667"/>
        <v>0</v>
      </c>
      <c r="O2320" s="1" t="str">
        <f t="shared" si="4667"/>
        <v>0</v>
      </c>
      <c r="P2320" s="1" t="str">
        <f t="shared" si="4667"/>
        <v>0</v>
      </c>
      <c r="Q2320" s="1" t="str">
        <f t="shared" si="4640"/>
        <v>0.0070</v>
      </c>
      <c r="R2320" s="1" t="s">
        <v>29</v>
      </c>
      <c r="S2320" s="1">
        <v>-0.0014</v>
      </c>
      <c r="T2320" s="1" t="str">
        <f t="shared" si="4641"/>
        <v>0</v>
      </c>
      <c r="U2320" s="1" t="str">
        <f t="shared" ref="U2320:U2325" si="4668">"0.0056"</f>
        <v>0.0056</v>
      </c>
    </row>
    <row r="2321" s="1" customFormat="1" spans="1:21">
      <c r="A2321" s="1" t="str">
        <f>"4601992039318"</f>
        <v>4601992039318</v>
      </c>
      <c r="B2321" s="1" t="s">
        <v>2345</v>
      </c>
      <c r="C2321" s="1" t="s">
        <v>24</v>
      </c>
      <c r="D2321" s="1" t="str">
        <f t="shared" si="4637"/>
        <v>2021</v>
      </c>
      <c r="E2321" s="1" t="str">
        <f t="shared" ref="E2321:P2321" si="4669">"0"</f>
        <v>0</v>
      </c>
      <c r="F2321" s="1" t="str">
        <f t="shared" si="4669"/>
        <v>0</v>
      </c>
      <c r="G2321" s="1" t="str">
        <f t="shared" si="4669"/>
        <v>0</v>
      </c>
      <c r="H2321" s="1" t="str">
        <f t="shared" si="4669"/>
        <v>0</v>
      </c>
      <c r="I2321" s="1" t="str">
        <f t="shared" si="4669"/>
        <v>0</v>
      </c>
      <c r="J2321" s="1" t="str">
        <f t="shared" si="4669"/>
        <v>0</v>
      </c>
      <c r="K2321" s="1" t="str">
        <f t="shared" si="4669"/>
        <v>0</v>
      </c>
      <c r="L2321" s="1" t="str">
        <f t="shared" si="4669"/>
        <v>0</v>
      </c>
      <c r="M2321" s="1" t="str">
        <f t="shared" si="4669"/>
        <v>0</v>
      </c>
      <c r="N2321" s="1" t="str">
        <f t="shared" si="4669"/>
        <v>0</v>
      </c>
      <c r="O2321" s="1" t="str">
        <f t="shared" si="4669"/>
        <v>0</v>
      </c>
      <c r="P2321" s="1" t="str">
        <f t="shared" si="4669"/>
        <v>0</v>
      </c>
      <c r="Q2321" s="1" t="str">
        <f t="shared" si="4640"/>
        <v>0.0070</v>
      </c>
      <c r="R2321" s="1" t="s">
        <v>25</v>
      </c>
      <c r="T2321" s="1" t="str">
        <f t="shared" si="4641"/>
        <v>0</v>
      </c>
      <c r="U2321" s="1" t="str">
        <f t="shared" si="4665"/>
        <v>0.0070</v>
      </c>
    </row>
    <row r="2322" s="1" customFormat="1" spans="1:21">
      <c r="A2322" s="1" t="str">
        <f>"4601992039320"</f>
        <v>4601992039320</v>
      </c>
      <c r="B2322" s="1" t="s">
        <v>2346</v>
      </c>
      <c r="C2322" s="1" t="s">
        <v>24</v>
      </c>
      <c r="D2322" s="1" t="str">
        <f t="shared" si="4637"/>
        <v>2021</v>
      </c>
      <c r="E2322" s="1" t="str">
        <f t="shared" ref="E2322:P2322" si="4670">"0"</f>
        <v>0</v>
      </c>
      <c r="F2322" s="1" t="str">
        <f t="shared" si="4670"/>
        <v>0</v>
      </c>
      <c r="G2322" s="1" t="str">
        <f t="shared" si="4670"/>
        <v>0</v>
      </c>
      <c r="H2322" s="1" t="str">
        <f t="shared" si="4670"/>
        <v>0</v>
      </c>
      <c r="I2322" s="1" t="str">
        <f t="shared" si="4670"/>
        <v>0</v>
      </c>
      <c r="J2322" s="1" t="str">
        <f t="shared" si="4670"/>
        <v>0</v>
      </c>
      <c r="K2322" s="1" t="str">
        <f t="shared" si="4670"/>
        <v>0</v>
      </c>
      <c r="L2322" s="1" t="str">
        <f t="shared" si="4670"/>
        <v>0</v>
      </c>
      <c r="M2322" s="1" t="str">
        <f t="shared" si="4670"/>
        <v>0</v>
      </c>
      <c r="N2322" s="1" t="str">
        <f t="shared" si="4670"/>
        <v>0</v>
      </c>
      <c r="O2322" s="1" t="str">
        <f t="shared" si="4670"/>
        <v>0</v>
      </c>
      <c r="P2322" s="1" t="str">
        <f t="shared" si="4670"/>
        <v>0</v>
      </c>
      <c r="Q2322" s="1" t="str">
        <f t="shared" si="4640"/>
        <v>0.0070</v>
      </c>
      <c r="R2322" s="1" t="s">
        <v>25</v>
      </c>
      <c r="T2322" s="1" t="str">
        <f t="shared" si="4641"/>
        <v>0</v>
      </c>
      <c r="U2322" s="1" t="str">
        <f t="shared" si="4665"/>
        <v>0.0070</v>
      </c>
    </row>
    <row r="2323" s="1" customFormat="1" spans="1:21">
      <c r="A2323" s="1" t="str">
        <f>"4601992039278"</f>
        <v>4601992039278</v>
      </c>
      <c r="B2323" s="1" t="s">
        <v>2347</v>
      </c>
      <c r="C2323" s="1" t="s">
        <v>24</v>
      </c>
      <c r="D2323" s="1" t="str">
        <f t="shared" si="4637"/>
        <v>2021</v>
      </c>
      <c r="E2323" s="1" t="str">
        <f>"72.32"</f>
        <v>72.32</v>
      </c>
      <c r="F2323" s="1" t="str">
        <f t="shared" ref="F2323:I2323" si="4671">"0"</f>
        <v>0</v>
      </c>
      <c r="G2323" s="1" t="str">
        <f t="shared" si="4671"/>
        <v>0</v>
      </c>
      <c r="H2323" s="1" t="str">
        <f t="shared" si="4671"/>
        <v>0</v>
      </c>
      <c r="I2323" s="1" t="str">
        <f t="shared" si="4671"/>
        <v>0</v>
      </c>
      <c r="J2323" s="1" t="str">
        <f>"9"</f>
        <v>9</v>
      </c>
      <c r="K2323" s="1" t="str">
        <f t="shared" ref="K2323:P2323" si="4672">"0"</f>
        <v>0</v>
      </c>
      <c r="L2323" s="1" t="str">
        <f t="shared" si="4672"/>
        <v>0</v>
      </c>
      <c r="M2323" s="1" t="str">
        <f t="shared" si="4672"/>
        <v>0</v>
      </c>
      <c r="N2323" s="1" t="str">
        <f t="shared" si="4672"/>
        <v>0</v>
      </c>
      <c r="O2323" s="1" t="str">
        <f t="shared" si="4672"/>
        <v>0</v>
      </c>
      <c r="P2323" s="1" t="str">
        <f t="shared" si="4672"/>
        <v>0</v>
      </c>
      <c r="Q2323" s="1" t="str">
        <f t="shared" si="4640"/>
        <v>0.0070</v>
      </c>
      <c r="R2323" s="1" t="s">
        <v>29</v>
      </c>
      <c r="S2323" s="1">
        <v>-0.0014</v>
      </c>
      <c r="T2323" s="1" t="str">
        <f t="shared" si="4641"/>
        <v>0</v>
      </c>
      <c r="U2323" s="1" t="str">
        <f t="shared" si="4668"/>
        <v>0.0056</v>
      </c>
    </row>
    <row r="2324" s="1" customFormat="1" spans="1:21">
      <c r="A2324" s="1" t="str">
        <f>"4601992039353"</f>
        <v>4601992039353</v>
      </c>
      <c r="B2324" s="1" t="s">
        <v>2348</v>
      </c>
      <c r="C2324" s="1" t="s">
        <v>24</v>
      </c>
      <c r="D2324" s="1" t="str">
        <f t="shared" si="4637"/>
        <v>2021</v>
      </c>
      <c r="E2324" s="1" t="str">
        <f>"24.18"</f>
        <v>24.18</v>
      </c>
      <c r="F2324" s="1" t="str">
        <f t="shared" ref="F2324:I2324" si="4673">"0"</f>
        <v>0</v>
      </c>
      <c r="G2324" s="1" t="str">
        <f t="shared" si="4673"/>
        <v>0</v>
      </c>
      <c r="H2324" s="1" t="str">
        <f t="shared" si="4673"/>
        <v>0</v>
      </c>
      <c r="I2324" s="1" t="str">
        <f t="shared" si="4673"/>
        <v>0</v>
      </c>
      <c r="J2324" s="1" t="str">
        <f>"2"</f>
        <v>2</v>
      </c>
      <c r="K2324" s="1" t="str">
        <f t="shared" ref="K2324:P2324" si="4674">"0"</f>
        <v>0</v>
      </c>
      <c r="L2324" s="1" t="str">
        <f t="shared" si="4674"/>
        <v>0</v>
      </c>
      <c r="M2324" s="1" t="str">
        <f t="shared" si="4674"/>
        <v>0</v>
      </c>
      <c r="N2324" s="1" t="str">
        <f t="shared" si="4674"/>
        <v>0</v>
      </c>
      <c r="O2324" s="1" t="str">
        <f t="shared" si="4674"/>
        <v>0</v>
      </c>
      <c r="P2324" s="1" t="str">
        <f t="shared" si="4674"/>
        <v>0</v>
      </c>
      <c r="Q2324" s="1" t="str">
        <f t="shared" si="4640"/>
        <v>0.0070</v>
      </c>
      <c r="R2324" s="1" t="s">
        <v>29</v>
      </c>
      <c r="S2324" s="1">
        <v>-0.0014</v>
      </c>
      <c r="T2324" s="1" t="str">
        <f t="shared" si="4641"/>
        <v>0</v>
      </c>
      <c r="U2324" s="1" t="str">
        <f t="shared" si="4668"/>
        <v>0.0056</v>
      </c>
    </row>
    <row r="2325" s="1" customFormat="1" spans="1:21">
      <c r="A2325" s="1" t="str">
        <f>"4601992039341"</f>
        <v>4601992039341</v>
      </c>
      <c r="B2325" s="1" t="s">
        <v>2349</v>
      </c>
      <c r="C2325" s="1" t="s">
        <v>24</v>
      </c>
      <c r="D2325" s="1" t="str">
        <f t="shared" si="4637"/>
        <v>2021</v>
      </c>
      <c r="E2325" s="1" t="str">
        <f>"12.09"</f>
        <v>12.09</v>
      </c>
      <c r="F2325" s="1" t="str">
        <f t="shared" ref="F2325:I2325" si="4675">"0"</f>
        <v>0</v>
      </c>
      <c r="G2325" s="1" t="str">
        <f t="shared" si="4675"/>
        <v>0</v>
      </c>
      <c r="H2325" s="1" t="str">
        <f t="shared" si="4675"/>
        <v>0</v>
      </c>
      <c r="I2325" s="1" t="str">
        <f t="shared" si="4675"/>
        <v>0</v>
      </c>
      <c r="J2325" s="1" t="str">
        <f t="shared" ref="J2325:J2328" si="4676">"1"</f>
        <v>1</v>
      </c>
      <c r="K2325" s="1" t="str">
        <f t="shared" ref="K2325:P2325" si="4677">"0"</f>
        <v>0</v>
      </c>
      <c r="L2325" s="1" t="str">
        <f t="shared" si="4677"/>
        <v>0</v>
      </c>
      <c r="M2325" s="1" t="str">
        <f t="shared" si="4677"/>
        <v>0</v>
      </c>
      <c r="N2325" s="1" t="str">
        <f t="shared" si="4677"/>
        <v>0</v>
      </c>
      <c r="O2325" s="1" t="str">
        <f t="shared" si="4677"/>
        <v>0</v>
      </c>
      <c r="P2325" s="1" t="str">
        <f t="shared" si="4677"/>
        <v>0</v>
      </c>
      <c r="Q2325" s="1" t="str">
        <f t="shared" si="4640"/>
        <v>0.0070</v>
      </c>
      <c r="R2325" s="1" t="s">
        <v>29</v>
      </c>
      <c r="S2325" s="1">
        <v>-0.0014</v>
      </c>
      <c r="T2325" s="1" t="str">
        <f t="shared" si="4641"/>
        <v>0</v>
      </c>
      <c r="U2325" s="1" t="str">
        <f t="shared" si="4668"/>
        <v>0.0056</v>
      </c>
    </row>
    <row r="2326" s="1" customFormat="1" spans="1:21">
      <c r="A2326" s="1" t="str">
        <f>"4601992039362"</f>
        <v>4601992039362</v>
      </c>
      <c r="B2326" s="1" t="s">
        <v>2350</v>
      </c>
      <c r="C2326" s="1" t="s">
        <v>24</v>
      </c>
      <c r="D2326" s="1" t="str">
        <f t="shared" si="4637"/>
        <v>2021</v>
      </c>
      <c r="E2326" s="1" t="str">
        <f>"12.09"</f>
        <v>12.09</v>
      </c>
      <c r="F2326" s="1" t="str">
        <f t="shared" ref="F2326:I2326" si="4678">"0"</f>
        <v>0</v>
      </c>
      <c r="G2326" s="1" t="str">
        <f t="shared" si="4678"/>
        <v>0</v>
      </c>
      <c r="H2326" s="1" t="str">
        <f t="shared" si="4678"/>
        <v>0</v>
      </c>
      <c r="I2326" s="1" t="str">
        <f t="shared" si="4678"/>
        <v>0</v>
      </c>
      <c r="J2326" s="1" t="str">
        <f t="shared" si="4676"/>
        <v>1</v>
      </c>
      <c r="K2326" s="1" t="str">
        <f t="shared" ref="K2326:P2326" si="4679">"0"</f>
        <v>0</v>
      </c>
      <c r="L2326" s="1" t="str">
        <f t="shared" si="4679"/>
        <v>0</v>
      </c>
      <c r="M2326" s="1" t="str">
        <f t="shared" si="4679"/>
        <v>0</v>
      </c>
      <c r="N2326" s="1" t="str">
        <f t="shared" si="4679"/>
        <v>0</v>
      </c>
      <c r="O2326" s="1" t="str">
        <f t="shared" si="4679"/>
        <v>0</v>
      </c>
      <c r="P2326" s="1" t="str">
        <f t="shared" si="4679"/>
        <v>0</v>
      </c>
      <c r="Q2326" s="1" t="str">
        <f t="shared" si="4640"/>
        <v>0.0070</v>
      </c>
      <c r="R2326" s="1" t="s">
        <v>25</v>
      </c>
      <c r="T2326" s="1" t="str">
        <f t="shared" si="4641"/>
        <v>0</v>
      </c>
      <c r="U2326" s="1" t="str">
        <f t="shared" ref="U2326:U2329" si="4680">"0.0070"</f>
        <v>0.0070</v>
      </c>
    </row>
    <row r="2327" s="1" customFormat="1" spans="1:21">
      <c r="A2327" s="1" t="str">
        <f>"4601992039383"</f>
        <v>4601992039383</v>
      </c>
      <c r="B2327" s="1" t="s">
        <v>2351</v>
      </c>
      <c r="C2327" s="1" t="s">
        <v>24</v>
      </c>
      <c r="D2327" s="1" t="str">
        <f t="shared" si="4637"/>
        <v>2021</v>
      </c>
      <c r="E2327" s="1" t="str">
        <f>"36.75"</f>
        <v>36.75</v>
      </c>
      <c r="F2327" s="1" t="str">
        <f t="shared" ref="F2327:I2327" si="4681">"0"</f>
        <v>0</v>
      </c>
      <c r="G2327" s="1" t="str">
        <f t="shared" si="4681"/>
        <v>0</v>
      </c>
      <c r="H2327" s="1" t="str">
        <f t="shared" si="4681"/>
        <v>0</v>
      </c>
      <c r="I2327" s="1" t="str">
        <f t="shared" si="4681"/>
        <v>0</v>
      </c>
      <c r="J2327" s="1" t="str">
        <f>"4"</f>
        <v>4</v>
      </c>
      <c r="K2327" s="1" t="str">
        <f t="shared" ref="K2327:P2327" si="4682">"0"</f>
        <v>0</v>
      </c>
      <c r="L2327" s="1" t="str">
        <f t="shared" si="4682"/>
        <v>0</v>
      </c>
      <c r="M2327" s="1" t="str">
        <f t="shared" si="4682"/>
        <v>0</v>
      </c>
      <c r="N2327" s="1" t="str">
        <f t="shared" si="4682"/>
        <v>0</v>
      </c>
      <c r="O2327" s="1" t="str">
        <f t="shared" si="4682"/>
        <v>0</v>
      </c>
      <c r="P2327" s="1" t="str">
        <f t="shared" si="4682"/>
        <v>0</v>
      </c>
      <c r="Q2327" s="1" t="str">
        <f t="shared" si="4640"/>
        <v>0.0070</v>
      </c>
      <c r="R2327" s="1" t="s">
        <v>29</v>
      </c>
      <c r="S2327" s="1">
        <v>-0.0014</v>
      </c>
      <c r="T2327" s="1" t="str">
        <f t="shared" si="4641"/>
        <v>0</v>
      </c>
      <c r="U2327" s="1" t="str">
        <f t="shared" ref="U2327:U2331" si="4683">"0.0056"</f>
        <v>0.0056</v>
      </c>
    </row>
    <row r="2328" s="1" customFormat="1" spans="1:21">
      <c r="A2328" s="1" t="str">
        <f>"4601992039405"</f>
        <v>4601992039405</v>
      </c>
      <c r="B2328" s="1" t="s">
        <v>2352</v>
      </c>
      <c r="C2328" s="1" t="s">
        <v>24</v>
      </c>
      <c r="D2328" s="1" t="str">
        <f t="shared" si="4637"/>
        <v>2021</v>
      </c>
      <c r="E2328" s="1" t="str">
        <f t="shared" ref="E2328:E2331" si="4684">"24.18"</f>
        <v>24.18</v>
      </c>
      <c r="F2328" s="1" t="str">
        <f t="shared" ref="F2328:I2328" si="4685">"0"</f>
        <v>0</v>
      </c>
      <c r="G2328" s="1" t="str">
        <f t="shared" si="4685"/>
        <v>0</v>
      </c>
      <c r="H2328" s="1" t="str">
        <f t="shared" si="4685"/>
        <v>0</v>
      </c>
      <c r="I2328" s="1" t="str">
        <f t="shared" si="4685"/>
        <v>0</v>
      </c>
      <c r="J2328" s="1" t="str">
        <f t="shared" si="4676"/>
        <v>1</v>
      </c>
      <c r="K2328" s="1" t="str">
        <f t="shared" ref="K2328:P2328" si="4686">"0"</f>
        <v>0</v>
      </c>
      <c r="L2328" s="1" t="str">
        <f t="shared" si="4686"/>
        <v>0</v>
      </c>
      <c r="M2328" s="1" t="str">
        <f t="shared" si="4686"/>
        <v>0</v>
      </c>
      <c r="N2328" s="1" t="str">
        <f t="shared" si="4686"/>
        <v>0</v>
      </c>
      <c r="O2328" s="1" t="str">
        <f t="shared" si="4686"/>
        <v>0</v>
      </c>
      <c r="P2328" s="1" t="str">
        <f t="shared" si="4686"/>
        <v>0</v>
      </c>
      <c r="Q2328" s="1" t="str">
        <f t="shared" si="4640"/>
        <v>0.0070</v>
      </c>
      <c r="R2328" s="1" t="s">
        <v>25</v>
      </c>
      <c r="T2328" s="1" t="str">
        <f t="shared" si="4641"/>
        <v>0</v>
      </c>
      <c r="U2328" s="1" t="str">
        <f t="shared" si="4680"/>
        <v>0.0070</v>
      </c>
    </row>
    <row r="2329" s="1" customFormat="1" spans="1:21">
      <c r="A2329" s="1" t="str">
        <f>"4601992039469"</f>
        <v>4601992039469</v>
      </c>
      <c r="B2329" s="1" t="s">
        <v>2353</v>
      </c>
      <c r="C2329" s="1" t="s">
        <v>24</v>
      </c>
      <c r="D2329" s="1" t="str">
        <f t="shared" si="4637"/>
        <v>2021</v>
      </c>
      <c r="E2329" s="1" t="str">
        <f t="shared" ref="E2329:P2329" si="4687">"0"</f>
        <v>0</v>
      </c>
      <c r="F2329" s="1" t="str">
        <f t="shared" si="4687"/>
        <v>0</v>
      </c>
      <c r="G2329" s="1" t="str">
        <f t="shared" si="4687"/>
        <v>0</v>
      </c>
      <c r="H2329" s="1" t="str">
        <f t="shared" si="4687"/>
        <v>0</v>
      </c>
      <c r="I2329" s="1" t="str">
        <f t="shared" si="4687"/>
        <v>0</v>
      </c>
      <c r="J2329" s="1" t="str">
        <f t="shared" si="4687"/>
        <v>0</v>
      </c>
      <c r="K2329" s="1" t="str">
        <f t="shared" si="4687"/>
        <v>0</v>
      </c>
      <c r="L2329" s="1" t="str">
        <f t="shared" si="4687"/>
        <v>0</v>
      </c>
      <c r="M2329" s="1" t="str">
        <f t="shared" si="4687"/>
        <v>0</v>
      </c>
      <c r="N2329" s="1" t="str">
        <f t="shared" si="4687"/>
        <v>0</v>
      </c>
      <c r="O2329" s="1" t="str">
        <f t="shared" si="4687"/>
        <v>0</v>
      </c>
      <c r="P2329" s="1" t="str">
        <f t="shared" si="4687"/>
        <v>0</v>
      </c>
      <c r="Q2329" s="1" t="str">
        <f t="shared" si="4640"/>
        <v>0.0070</v>
      </c>
      <c r="R2329" s="1" t="s">
        <v>25</v>
      </c>
      <c r="T2329" s="1" t="str">
        <f t="shared" si="4641"/>
        <v>0</v>
      </c>
      <c r="U2329" s="1" t="str">
        <f t="shared" si="4680"/>
        <v>0.0070</v>
      </c>
    </row>
    <row r="2330" s="1" customFormat="1" spans="1:21">
      <c r="A2330" s="1" t="str">
        <f>"4601992039417"</f>
        <v>4601992039417</v>
      </c>
      <c r="B2330" s="1" t="s">
        <v>2354</v>
      </c>
      <c r="C2330" s="1" t="s">
        <v>24</v>
      </c>
      <c r="D2330" s="1" t="str">
        <f t="shared" si="4637"/>
        <v>2021</v>
      </c>
      <c r="E2330" s="1" t="str">
        <f t="shared" si="4684"/>
        <v>24.18</v>
      </c>
      <c r="F2330" s="1" t="str">
        <f t="shared" ref="F2330:I2330" si="4688">"0"</f>
        <v>0</v>
      </c>
      <c r="G2330" s="1" t="str">
        <f t="shared" si="4688"/>
        <v>0</v>
      </c>
      <c r="H2330" s="1" t="str">
        <f t="shared" si="4688"/>
        <v>0</v>
      </c>
      <c r="I2330" s="1" t="str">
        <f t="shared" si="4688"/>
        <v>0</v>
      </c>
      <c r="J2330" s="1" t="str">
        <f t="shared" ref="J2330:J2335" si="4689">"2"</f>
        <v>2</v>
      </c>
      <c r="K2330" s="1" t="str">
        <f t="shared" ref="K2330:P2330" si="4690">"0"</f>
        <v>0</v>
      </c>
      <c r="L2330" s="1" t="str">
        <f t="shared" si="4690"/>
        <v>0</v>
      </c>
      <c r="M2330" s="1" t="str">
        <f t="shared" si="4690"/>
        <v>0</v>
      </c>
      <c r="N2330" s="1" t="str">
        <f t="shared" si="4690"/>
        <v>0</v>
      </c>
      <c r="O2330" s="1" t="str">
        <f t="shared" si="4690"/>
        <v>0</v>
      </c>
      <c r="P2330" s="1" t="str">
        <f t="shared" si="4690"/>
        <v>0</v>
      </c>
      <c r="Q2330" s="1" t="str">
        <f t="shared" si="4640"/>
        <v>0.0070</v>
      </c>
      <c r="R2330" s="1" t="s">
        <v>29</v>
      </c>
      <c r="S2330" s="1">
        <v>-0.0014</v>
      </c>
      <c r="T2330" s="1" t="str">
        <f t="shared" si="4641"/>
        <v>0</v>
      </c>
      <c r="U2330" s="1" t="str">
        <f t="shared" si="4683"/>
        <v>0.0056</v>
      </c>
    </row>
    <row r="2331" s="1" customFormat="1" spans="1:21">
      <c r="A2331" s="1" t="str">
        <f>"4601992039489"</f>
        <v>4601992039489</v>
      </c>
      <c r="B2331" s="1" t="s">
        <v>2355</v>
      </c>
      <c r="C2331" s="1" t="s">
        <v>24</v>
      </c>
      <c r="D2331" s="1" t="str">
        <f t="shared" si="4637"/>
        <v>2021</v>
      </c>
      <c r="E2331" s="1" t="str">
        <f t="shared" si="4684"/>
        <v>24.18</v>
      </c>
      <c r="F2331" s="1" t="str">
        <f t="shared" ref="F2331:I2331" si="4691">"0"</f>
        <v>0</v>
      </c>
      <c r="G2331" s="1" t="str">
        <f t="shared" si="4691"/>
        <v>0</v>
      </c>
      <c r="H2331" s="1" t="str">
        <f t="shared" si="4691"/>
        <v>0</v>
      </c>
      <c r="I2331" s="1" t="str">
        <f t="shared" si="4691"/>
        <v>0</v>
      </c>
      <c r="J2331" s="1" t="str">
        <f t="shared" si="4689"/>
        <v>2</v>
      </c>
      <c r="K2331" s="1" t="str">
        <f t="shared" ref="K2331:P2331" si="4692">"0"</f>
        <v>0</v>
      </c>
      <c r="L2331" s="1" t="str">
        <f t="shared" si="4692"/>
        <v>0</v>
      </c>
      <c r="M2331" s="1" t="str">
        <f t="shared" si="4692"/>
        <v>0</v>
      </c>
      <c r="N2331" s="1" t="str">
        <f t="shared" si="4692"/>
        <v>0</v>
      </c>
      <c r="O2331" s="1" t="str">
        <f t="shared" si="4692"/>
        <v>0</v>
      </c>
      <c r="P2331" s="1" t="str">
        <f t="shared" si="4692"/>
        <v>0</v>
      </c>
      <c r="Q2331" s="1" t="str">
        <f t="shared" si="4640"/>
        <v>0.0070</v>
      </c>
      <c r="R2331" s="1" t="s">
        <v>29</v>
      </c>
      <c r="S2331" s="1">
        <v>-0.0014</v>
      </c>
      <c r="T2331" s="1" t="str">
        <f t="shared" si="4641"/>
        <v>0</v>
      </c>
      <c r="U2331" s="1" t="str">
        <f t="shared" si="4683"/>
        <v>0.0056</v>
      </c>
    </row>
    <row r="2332" s="1" customFormat="1" spans="1:21">
      <c r="A2332" s="1" t="str">
        <f>"4601992039501"</f>
        <v>4601992039501</v>
      </c>
      <c r="B2332" s="1" t="s">
        <v>2356</v>
      </c>
      <c r="C2332" s="1" t="s">
        <v>24</v>
      </c>
      <c r="D2332" s="1" t="str">
        <f t="shared" si="4637"/>
        <v>2021</v>
      </c>
      <c r="E2332" s="1" t="str">
        <f t="shared" ref="E2332:G2332" si="4693">"0"</f>
        <v>0</v>
      </c>
      <c r="F2332" s="1" t="str">
        <f t="shared" si="4693"/>
        <v>0</v>
      </c>
      <c r="G2332" s="1" t="str">
        <f t="shared" si="4693"/>
        <v>0</v>
      </c>
      <c r="H2332" s="1" t="str">
        <f>"12.09"</f>
        <v>12.09</v>
      </c>
      <c r="I2332" s="1" t="str">
        <f t="shared" ref="I2332:P2332" si="4694">"0"</f>
        <v>0</v>
      </c>
      <c r="J2332" s="1" t="str">
        <f t="shared" si="4694"/>
        <v>0</v>
      </c>
      <c r="K2332" s="1" t="str">
        <f t="shared" si="4694"/>
        <v>0</v>
      </c>
      <c r="L2332" s="1" t="str">
        <f t="shared" si="4694"/>
        <v>0</v>
      </c>
      <c r="M2332" s="1" t="str">
        <f t="shared" si="4694"/>
        <v>0</v>
      </c>
      <c r="N2332" s="1" t="str">
        <f t="shared" si="4694"/>
        <v>0</v>
      </c>
      <c r="O2332" s="1" t="str">
        <f t="shared" si="4694"/>
        <v>0</v>
      </c>
      <c r="P2332" s="1" t="str">
        <f t="shared" si="4694"/>
        <v>0</v>
      </c>
      <c r="Q2332" s="1" t="str">
        <f t="shared" si="4640"/>
        <v>0.0070</v>
      </c>
      <c r="R2332" s="1" t="s">
        <v>25</v>
      </c>
      <c r="T2332" s="1" t="str">
        <f t="shared" si="4641"/>
        <v>0</v>
      </c>
      <c r="U2332" s="1" t="str">
        <f>"0.0070"</f>
        <v>0.0070</v>
      </c>
    </row>
    <row r="2333" s="1" customFormat="1" spans="1:21">
      <c r="A2333" s="1" t="str">
        <f>"4601992039479"</f>
        <v>4601992039479</v>
      </c>
      <c r="B2333" s="1" t="s">
        <v>2357</v>
      </c>
      <c r="C2333" s="1" t="s">
        <v>24</v>
      </c>
      <c r="D2333" s="1" t="str">
        <f t="shared" si="4637"/>
        <v>2021</v>
      </c>
      <c r="E2333" s="1" t="str">
        <f>"12.09"</f>
        <v>12.09</v>
      </c>
      <c r="F2333" s="1" t="str">
        <f t="shared" ref="F2333:I2333" si="4695">"0"</f>
        <v>0</v>
      </c>
      <c r="G2333" s="1" t="str">
        <f t="shared" si="4695"/>
        <v>0</v>
      </c>
      <c r="H2333" s="1" t="str">
        <f t="shared" si="4695"/>
        <v>0</v>
      </c>
      <c r="I2333" s="1" t="str">
        <f t="shared" si="4695"/>
        <v>0</v>
      </c>
      <c r="J2333" s="1" t="str">
        <f>"1"</f>
        <v>1</v>
      </c>
      <c r="K2333" s="1" t="str">
        <f t="shared" ref="K2333:P2333" si="4696">"0"</f>
        <v>0</v>
      </c>
      <c r="L2333" s="1" t="str">
        <f t="shared" si="4696"/>
        <v>0</v>
      </c>
      <c r="M2333" s="1" t="str">
        <f t="shared" si="4696"/>
        <v>0</v>
      </c>
      <c r="N2333" s="1" t="str">
        <f t="shared" si="4696"/>
        <v>0</v>
      </c>
      <c r="O2333" s="1" t="str">
        <f t="shared" si="4696"/>
        <v>0</v>
      </c>
      <c r="P2333" s="1" t="str">
        <f t="shared" si="4696"/>
        <v>0</v>
      </c>
      <c r="Q2333" s="1" t="str">
        <f t="shared" si="4640"/>
        <v>0.0070</v>
      </c>
      <c r="R2333" s="1" t="s">
        <v>29</v>
      </c>
      <c r="S2333" s="1">
        <v>-0.0014</v>
      </c>
      <c r="T2333" s="1" t="str">
        <f t="shared" si="4641"/>
        <v>0</v>
      </c>
      <c r="U2333" s="1" t="str">
        <f t="shared" ref="U2333:U2341" si="4697">"0.0056"</f>
        <v>0.0056</v>
      </c>
    </row>
    <row r="2334" s="1" customFormat="1" spans="1:21">
      <c r="A2334" s="1" t="str">
        <f>"4601992039491"</f>
        <v>4601992039491</v>
      </c>
      <c r="B2334" s="1" t="s">
        <v>2358</v>
      </c>
      <c r="C2334" s="1" t="s">
        <v>24</v>
      </c>
      <c r="D2334" s="1" t="str">
        <f t="shared" si="4637"/>
        <v>2021</v>
      </c>
      <c r="E2334" s="1" t="str">
        <f>"12.09"</f>
        <v>12.09</v>
      </c>
      <c r="F2334" s="1" t="str">
        <f t="shared" ref="F2334:I2334" si="4698">"0"</f>
        <v>0</v>
      </c>
      <c r="G2334" s="1" t="str">
        <f t="shared" si="4698"/>
        <v>0</v>
      </c>
      <c r="H2334" s="1" t="str">
        <f t="shared" si="4698"/>
        <v>0</v>
      </c>
      <c r="I2334" s="1" t="str">
        <f t="shared" si="4698"/>
        <v>0</v>
      </c>
      <c r="J2334" s="1" t="str">
        <f>"1"</f>
        <v>1</v>
      </c>
      <c r="K2334" s="1" t="str">
        <f t="shared" ref="K2334:P2334" si="4699">"0"</f>
        <v>0</v>
      </c>
      <c r="L2334" s="1" t="str">
        <f t="shared" si="4699"/>
        <v>0</v>
      </c>
      <c r="M2334" s="1" t="str">
        <f t="shared" si="4699"/>
        <v>0</v>
      </c>
      <c r="N2334" s="1" t="str">
        <f t="shared" si="4699"/>
        <v>0</v>
      </c>
      <c r="O2334" s="1" t="str">
        <f t="shared" si="4699"/>
        <v>0</v>
      </c>
      <c r="P2334" s="1" t="str">
        <f t="shared" si="4699"/>
        <v>0</v>
      </c>
      <c r="Q2334" s="1" t="str">
        <f t="shared" si="4640"/>
        <v>0.0070</v>
      </c>
      <c r="R2334" s="1" t="s">
        <v>29</v>
      </c>
      <c r="S2334" s="1">
        <v>-0.0014</v>
      </c>
      <c r="T2334" s="1" t="str">
        <f t="shared" si="4641"/>
        <v>0</v>
      </c>
      <c r="U2334" s="1" t="str">
        <f t="shared" si="4697"/>
        <v>0.0056</v>
      </c>
    </row>
    <row r="2335" s="1" customFormat="1" spans="1:21">
      <c r="A2335" s="1" t="str">
        <f>"4601992039517"</f>
        <v>4601992039517</v>
      </c>
      <c r="B2335" s="1" t="s">
        <v>2359</v>
      </c>
      <c r="C2335" s="1" t="s">
        <v>24</v>
      </c>
      <c r="D2335" s="1" t="str">
        <f t="shared" si="4637"/>
        <v>2021</v>
      </c>
      <c r="E2335" s="1" t="str">
        <f>"24.50"</f>
        <v>24.50</v>
      </c>
      <c r="F2335" s="1" t="str">
        <f t="shared" ref="F2335:I2335" si="4700">"0"</f>
        <v>0</v>
      </c>
      <c r="G2335" s="1" t="str">
        <f t="shared" si="4700"/>
        <v>0</v>
      </c>
      <c r="H2335" s="1" t="str">
        <f t="shared" si="4700"/>
        <v>0</v>
      </c>
      <c r="I2335" s="1" t="str">
        <f t="shared" si="4700"/>
        <v>0</v>
      </c>
      <c r="J2335" s="1" t="str">
        <f t="shared" si="4689"/>
        <v>2</v>
      </c>
      <c r="K2335" s="1" t="str">
        <f t="shared" ref="K2335:P2335" si="4701">"0"</f>
        <v>0</v>
      </c>
      <c r="L2335" s="1" t="str">
        <f t="shared" si="4701"/>
        <v>0</v>
      </c>
      <c r="M2335" s="1" t="str">
        <f t="shared" si="4701"/>
        <v>0</v>
      </c>
      <c r="N2335" s="1" t="str">
        <f t="shared" si="4701"/>
        <v>0</v>
      </c>
      <c r="O2335" s="1" t="str">
        <f t="shared" si="4701"/>
        <v>0</v>
      </c>
      <c r="P2335" s="1" t="str">
        <f t="shared" si="4701"/>
        <v>0</v>
      </c>
      <c r="Q2335" s="1" t="str">
        <f t="shared" si="4640"/>
        <v>0.0070</v>
      </c>
      <c r="R2335" s="1" t="s">
        <v>29</v>
      </c>
      <c r="S2335" s="1">
        <v>-0.0014</v>
      </c>
      <c r="T2335" s="1" t="str">
        <f t="shared" si="4641"/>
        <v>0</v>
      </c>
      <c r="U2335" s="1" t="str">
        <f t="shared" si="4697"/>
        <v>0.0056</v>
      </c>
    </row>
    <row r="2336" s="1" customFormat="1" spans="1:21">
      <c r="A2336" s="1" t="str">
        <f>"4601992039525"</f>
        <v>4601992039525</v>
      </c>
      <c r="B2336" s="1" t="s">
        <v>2360</v>
      </c>
      <c r="C2336" s="1" t="s">
        <v>24</v>
      </c>
      <c r="D2336" s="1" t="str">
        <f t="shared" si="4637"/>
        <v>2021</v>
      </c>
      <c r="E2336" s="1" t="str">
        <f>"48.25"</f>
        <v>48.25</v>
      </c>
      <c r="F2336" s="1" t="str">
        <f t="shared" ref="F2336:I2336" si="4702">"0"</f>
        <v>0</v>
      </c>
      <c r="G2336" s="1" t="str">
        <f t="shared" si="4702"/>
        <v>0</v>
      </c>
      <c r="H2336" s="1" t="str">
        <f t="shared" si="4702"/>
        <v>0</v>
      </c>
      <c r="I2336" s="1" t="str">
        <f t="shared" si="4702"/>
        <v>0</v>
      </c>
      <c r="J2336" s="1" t="str">
        <f>"4"</f>
        <v>4</v>
      </c>
      <c r="K2336" s="1" t="str">
        <f t="shared" ref="K2336:P2336" si="4703">"0"</f>
        <v>0</v>
      </c>
      <c r="L2336" s="1" t="str">
        <f t="shared" si="4703"/>
        <v>0</v>
      </c>
      <c r="M2336" s="1" t="str">
        <f t="shared" si="4703"/>
        <v>0</v>
      </c>
      <c r="N2336" s="1" t="str">
        <f t="shared" si="4703"/>
        <v>0</v>
      </c>
      <c r="O2336" s="1" t="str">
        <f t="shared" si="4703"/>
        <v>0</v>
      </c>
      <c r="P2336" s="1" t="str">
        <f t="shared" si="4703"/>
        <v>0</v>
      </c>
      <c r="Q2336" s="1" t="str">
        <f t="shared" si="4640"/>
        <v>0.0070</v>
      </c>
      <c r="R2336" s="1" t="s">
        <v>29</v>
      </c>
      <c r="S2336" s="1">
        <v>-0.0014</v>
      </c>
      <c r="T2336" s="1" t="str">
        <f t="shared" si="4641"/>
        <v>0</v>
      </c>
      <c r="U2336" s="1" t="str">
        <f t="shared" si="4697"/>
        <v>0.0056</v>
      </c>
    </row>
    <row r="2337" s="1" customFormat="1" spans="1:21">
      <c r="A2337" s="1" t="str">
        <f>"4601992039574"</f>
        <v>4601992039574</v>
      </c>
      <c r="B2337" s="1" t="s">
        <v>2361</v>
      </c>
      <c r="C2337" s="1" t="s">
        <v>24</v>
      </c>
      <c r="D2337" s="1" t="str">
        <f t="shared" si="4637"/>
        <v>2021</v>
      </c>
      <c r="E2337" s="1" t="str">
        <f>"77.37"</f>
        <v>77.37</v>
      </c>
      <c r="F2337" s="1" t="str">
        <f t="shared" ref="F2337:I2337" si="4704">"0"</f>
        <v>0</v>
      </c>
      <c r="G2337" s="1" t="str">
        <f t="shared" si="4704"/>
        <v>0</v>
      </c>
      <c r="H2337" s="1" t="str">
        <f t="shared" si="4704"/>
        <v>0</v>
      </c>
      <c r="I2337" s="1" t="str">
        <f t="shared" si="4704"/>
        <v>0</v>
      </c>
      <c r="J2337" s="1" t="str">
        <f>"7"</f>
        <v>7</v>
      </c>
      <c r="K2337" s="1" t="str">
        <f t="shared" ref="K2337:P2337" si="4705">"0"</f>
        <v>0</v>
      </c>
      <c r="L2337" s="1" t="str">
        <f t="shared" si="4705"/>
        <v>0</v>
      </c>
      <c r="M2337" s="1" t="str">
        <f t="shared" si="4705"/>
        <v>0</v>
      </c>
      <c r="N2337" s="1" t="str">
        <f t="shared" si="4705"/>
        <v>0</v>
      </c>
      <c r="O2337" s="1" t="str">
        <f t="shared" si="4705"/>
        <v>0</v>
      </c>
      <c r="P2337" s="1" t="str">
        <f t="shared" si="4705"/>
        <v>0</v>
      </c>
      <c r="Q2337" s="1" t="str">
        <f t="shared" si="4640"/>
        <v>0.0070</v>
      </c>
      <c r="R2337" s="1" t="s">
        <v>29</v>
      </c>
      <c r="S2337" s="1">
        <v>-0.0014</v>
      </c>
      <c r="T2337" s="1" t="str">
        <f t="shared" si="4641"/>
        <v>0</v>
      </c>
      <c r="U2337" s="1" t="str">
        <f t="shared" si="4697"/>
        <v>0.0056</v>
      </c>
    </row>
    <row r="2338" s="1" customFormat="1" spans="1:21">
      <c r="A2338" s="1" t="str">
        <f>"4601992039530"</f>
        <v>4601992039530</v>
      </c>
      <c r="B2338" s="1" t="s">
        <v>2362</v>
      </c>
      <c r="C2338" s="1" t="s">
        <v>24</v>
      </c>
      <c r="D2338" s="1" t="str">
        <f t="shared" si="4637"/>
        <v>2021</v>
      </c>
      <c r="E2338" s="1" t="str">
        <f>"120.68"</f>
        <v>120.68</v>
      </c>
      <c r="F2338" s="1" t="str">
        <f t="shared" ref="F2338:I2338" si="4706">"0"</f>
        <v>0</v>
      </c>
      <c r="G2338" s="1" t="str">
        <f t="shared" si="4706"/>
        <v>0</v>
      </c>
      <c r="H2338" s="1" t="str">
        <f t="shared" si="4706"/>
        <v>0</v>
      </c>
      <c r="I2338" s="1" t="str">
        <f t="shared" si="4706"/>
        <v>0</v>
      </c>
      <c r="J2338" s="1" t="str">
        <f>"10"</f>
        <v>10</v>
      </c>
      <c r="K2338" s="1" t="str">
        <f t="shared" ref="K2338:P2338" si="4707">"0"</f>
        <v>0</v>
      </c>
      <c r="L2338" s="1" t="str">
        <f t="shared" si="4707"/>
        <v>0</v>
      </c>
      <c r="M2338" s="1" t="str">
        <f t="shared" si="4707"/>
        <v>0</v>
      </c>
      <c r="N2338" s="1" t="str">
        <f t="shared" si="4707"/>
        <v>0</v>
      </c>
      <c r="O2338" s="1" t="str">
        <f t="shared" si="4707"/>
        <v>0</v>
      </c>
      <c r="P2338" s="1" t="str">
        <f t="shared" si="4707"/>
        <v>0</v>
      </c>
      <c r="Q2338" s="1" t="str">
        <f t="shared" si="4640"/>
        <v>0.0070</v>
      </c>
      <c r="R2338" s="1" t="s">
        <v>29</v>
      </c>
      <c r="S2338" s="1">
        <v>-0.0014</v>
      </c>
      <c r="T2338" s="1" t="str">
        <f t="shared" si="4641"/>
        <v>0</v>
      </c>
      <c r="U2338" s="1" t="str">
        <f t="shared" si="4697"/>
        <v>0.0056</v>
      </c>
    </row>
    <row r="2339" s="1" customFormat="1" spans="1:21">
      <c r="A2339" s="1" t="str">
        <f>"4601992039599"</f>
        <v>4601992039599</v>
      </c>
      <c r="B2339" s="1" t="s">
        <v>2363</v>
      </c>
      <c r="C2339" s="1" t="s">
        <v>24</v>
      </c>
      <c r="D2339" s="1" t="str">
        <f t="shared" si="4637"/>
        <v>2021</v>
      </c>
      <c r="E2339" s="1" t="str">
        <f>"24.18"</f>
        <v>24.18</v>
      </c>
      <c r="F2339" s="1" t="str">
        <f t="shared" ref="F2339:I2339" si="4708">"0"</f>
        <v>0</v>
      </c>
      <c r="G2339" s="1" t="str">
        <f t="shared" si="4708"/>
        <v>0</v>
      </c>
      <c r="H2339" s="1" t="str">
        <f t="shared" si="4708"/>
        <v>0</v>
      </c>
      <c r="I2339" s="1" t="str">
        <f t="shared" si="4708"/>
        <v>0</v>
      </c>
      <c r="J2339" s="1" t="str">
        <f>"2"</f>
        <v>2</v>
      </c>
      <c r="K2339" s="1" t="str">
        <f t="shared" ref="K2339:P2339" si="4709">"0"</f>
        <v>0</v>
      </c>
      <c r="L2339" s="1" t="str">
        <f t="shared" si="4709"/>
        <v>0</v>
      </c>
      <c r="M2339" s="1" t="str">
        <f t="shared" si="4709"/>
        <v>0</v>
      </c>
      <c r="N2339" s="1" t="str">
        <f t="shared" si="4709"/>
        <v>0</v>
      </c>
      <c r="O2339" s="1" t="str">
        <f t="shared" si="4709"/>
        <v>0</v>
      </c>
      <c r="P2339" s="1" t="str">
        <f t="shared" si="4709"/>
        <v>0</v>
      </c>
      <c r="Q2339" s="1" t="str">
        <f t="shared" si="4640"/>
        <v>0.0070</v>
      </c>
      <c r="R2339" s="1" t="s">
        <v>29</v>
      </c>
      <c r="S2339" s="1">
        <v>-0.0014</v>
      </c>
      <c r="T2339" s="1" t="str">
        <f t="shared" si="4641"/>
        <v>0</v>
      </c>
      <c r="U2339" s="1" t="str">
        <f t="shared" si="4697"/>
        <v>0.0056</v>
      </c>
    </row>
    <row r="2340" s="1" customFormat="1" spans="1:21">
      <c r="A2340" s="1" t="str">
        <f>"4601992039601"</f>
        <v>4601992039601</v>
      </c>
      <c r="B2340" s="1" t="s">
        <v>2364</v>
      </c>
      <c r="C2340" s="1" t="s">
        <v>24</v>
      </c>
      <c r="D2340" s="1" t="str">
        <f t="shared" si="4637"/>
        <v>2021</v>
      </c>
      <c r="E2340" s="1" t="str">
        <f>"12.09"</f>
        <v>12.09</v>
      </c>
      <c r="F2340" s="1" t="str">
        <f t="shared" ref="F2340:I2340" si="4710">"0"</f>
        <v>0</v>
      </c>
      <c r="G2340" s="1" t="str">
        <f t="shared" si="4710"/>
        <v>0</v>
      </c>
      <c r="H2340" s="1" t="str">
        <f t="shared" si="4710"/>
        <v>0</v>
      </c>
      <c r="I2340" s="1" t="str">
        <f t="shared" si="4710"/>
        <v>0</v>
      </c>
      <c r="J2340" s="1" t="str">
        <f>"1"</f>
        <v>1</v>
      </c>
      <c r="K2340" s="1" t="str">
        <f t="shared" ref="K2340:P2340" si="4711">"0"</f>
        <v>0</v>
      </c>
      <c r="L2340" s="1" t="str">
        <f t="shared" si="4711"/>
        <v>0</v>
      </c>
      <c r="M2340" s="1" t="str">
        <f t="shared" si="4711"/>
        <v>0</v>
      </c>
      <c r="N2340" s="1" t="str">
        <f t="shared" si="4711"/>
        <v>0</v>
      </c>
      <c r="O2340" s="1" t="str">
        <f t="shared" si="4711"/>
        <v>0</v>
      </c>
      <c r="P2340" s="1" t="str">
        <f t="shared" si="4711"/>
        <v>0</v>
      </c>
      <c r="Q2340" s="1" t="str">
        <f t="shared" si="4640"/>
        <v>0.0070</v>
      </c>
      <c r="R2340" s="1" t="s">
        <v>29</v>
      </c>
      <c r="S2340" s="1">
        <v>-0.0014</v>
      </c>
      <c r="T2340" s="1" t="str">
        <f t="shared" si="4641"/>
        <v>0</v>
      </c>
      <c r="U2340" s="1" t="str">
        <f t="shared" si="4697"/>
        <v>0.0056</v>
      </c>
    </row>
    <row r="2341" s="1" customFormat="1" spans="1:21">
      <c r="A2341" s="1" t="str">
        <f>"4601992039602"</f>
        <v>4601992039602</v>
      </c>
      <c r="B2341" s="1" t="s">
        <v>2365</v>
      </c>
      <c r="C2341" s="1" t="s">
        <v>24</v>
      </c>
      <c r="D2341" s="1" t="str">
        <f t="shared" si="4637"/>
        <v>2021</v>
      </c>
      <c r="E2341" s="1" t="str">
        <f>"12.09"</f>
        <v>12.09</v>
      </c>
      <c r="F2341" s="1" t="str">
        <f t="shared" ref="F2341:I2341" si="4712">"0"</f>
        <v>0</v>
      </c>
      <c r="G2341" s="1" t="str">
        <f t="shared" si="4712"/>
        <v>0</v>
      </c>
      <c r="H2341" s="1" t="str">
        <f t="shared" si="4712"/>
        <v>0</v>
      </c>
      <c r="I2341" s="1" t="str">
        <f t="shared" si="4712"/>
        <v>0</v>
      </c>
      <c r="J2341" s="1" t="str">
        <f>"1"</f>
        <v>1</v>
      </c>
      <c r="K2341" s="1" t="str">
        <f t="shared" ref="K2341:P2341" si="4713">"0"</f>
        <v>0</v>
      </c>
      <c r="L2341" s="1" t="str">
        <f t="shared" si="4713"/>
        <v>0</v>
      </c>
      <c r="M2341" s="1" t="str">
        <f t="shared" si="4713"/>
        <v>0</v>
      </c>
      <c r="N2341" s="1" t="str">
        <f t="shared" si="4713"/>
        <v>0</v>
      </c>
      <c r="O2341" s="1" t="str">
        <f t="shared" si="4713"/>
        <v>0</v>
      </c>
      <c r="P2341" s="1" t="str">
        <f t="shared" si="4713"/>
        <v>0</v>
      </c>
      <c r="Q2341" s="1" t="str">
        <f t="shared" si="4640"/>
        <v>0.0070</v>
      </c>
      <c r="R2341" s="1" t="s">
        <v>29</v>
      </c>
      <c r="S2341" s="1">
        <v>-0.0014</v>
      </c>
      <c r="T2341" s="1" t="str">
        <f t="shared" si="4641"/>
        <v>0</v>
      </c>
      <c r="U2341" s="1" t="str">
        <f t="shared" si="4697"/>
        <v>0.0056</v>
      </c>
    </row>
    <row r="2342" s="1" customFormat="1" spans="1:21">
      <c r="A2342" s="1" t="str">
        <f>"4601992039666"</f>
        <v>4601992039666</v>
      </c>
      <c r="B2342" s="1" t="s">
        <v>2366</v>
      </c>
      <c r="C2342" s="1" t="s">
        <v>24</v>
      </c>
      <c r="D2342" s="1" t="str">
        <f t="shared" si="4637"/>
        <v>2021</v>
      </c>
      <c r="E2342" s="1" t="str">
        <f t="shared" ref="E2342:P2342" si="4714">"0"</f>
        <v>0</v>
      </c>
      <c r="F2342" s="1" t="str">
        <f t="shared" si="4714"/>
        <v>0</v>
      </c>
      <c r="G2342" s="1" t="str">
        <f t="shared" si="4714"/>
        <v>0</v>
      </c>
      <c r="H2342" s="1" t="str">
        <f t="shared" si="4714"/>
        <v>0</v>
      </c>
      <c r="I2342" s="1" t="str">
        <f t="shared" si="4714"/>
        <v>0</v>
      </c>
      <c r="J2342" s="1" t="str">
        <f t="shared" si="4714"/>
        <v>0</v>
      </c>
      <c r="K2342" s="1" t="str">
        <f t="shared" si="4714"/>
        <v>0</v>
      </c>
      <c r="L2342" s="1" t="str">
        <f t="shared" si="4714"/>
        <v>0</v>
      </c>
      <c r="M2342" s="1" t="str">
        <f t="shared" si="4714"/>
        <v>0</v>
      </c>
      <c r="N2342" s="1" t="str">
        <f t="shared" si="4714"/>
        <v>0</v>
      </c>
      <c r="O2342" s="1" t="str">
        <f t="shared" si="4714"/>
        <v>0</v>
      </c>
      <c r="P2342" s="1" t="str">
        <f t="shared" si="4714"/>
        <v>0</v>
      </c>
      <c r="Q2342" s="1" t="str">
        <f t="shared" si="4640"/>
        <v>0.0070</v>
      </c>
      <c r="R2342" s="1" t="s">
        <v>25</v>
      </c>
      <c r="T2342" s="1" t="str">
        <f t="shared" si="4641"/>
        <v>0</v>
      </c>
      <c r="U2342" s="1" t="str">
        <f t="shared" ref="U2342:U2347" si="4715">"0.0070"</f>
        <v>0.0070</v>
      </c>
    </row>
    <row r="2343" s="1" customFormat="1" spans="1:21">
      <c r="A2343" s="1" t="str">
        <f>"4601992039637"</f>
        <v>4601992039637</v>
      </c>
      <c r="B2343" s="1" t="s">
        <v>2367</v>
      </c>
      <c r="C2343" s="1" t="s">
        <v>24</v>
      </c>
      <c r="D2343" s="1" t="str">
        <f t="shared" si="4637"/>
        <v>2021</v>
      </c>
      <c r="E2343" s="1" t="str">
        <f>"24.18"</f>
        <v>24.18</v>
      </c>
      <c r="F2343" s="1" t="str">
        <f t="shared" ref="F2343:I2343" si="4716">"0"</f>
        <v>0</v>
      </c>
      <c r="G2343" s="1" t="str">
        <f t="shared" si="4716"/>
        <v>0</v>
      </c>
      <c r="H2343" s="1" t="str">
        <f t="shared" si="4716"/>
        <v>0</v>
      </c>
      <c r="I2343" s="1" t="str">
        <f t="shared" si="4716"/>
        <v>0</v>
      </c>
      <c r="J2343" s="1" t="str">
        <f>"2"</f>
        <v>2</v>
      </c>
      <c r="K2343" s="1" t="str">
        <f t="shared" ref="K2343:P2343" si="4717">"0"</f>
        <v>0</v>
      </c>
      <c r="L2343" s="1" t="str">
        <f t="shared" si="4717"/>
        <v>0</v>
      </c>
      <c r="M2343" s="1" t="str">
        <f t="shared" si="4717"/>
        <v>0</v>
      </c>
      <c r="N2343" s="1" t="str">
        <f t="shared" si="4717"/>
        <v>0</v>
      </c>
      <c r="O2343" s="1" t="str">
        <f t="shared" si="4717"/>
        <v>0</v>
      </c>
      <c r="P2343" s="1" t="str">
        <f t="shared" si="4717"/>
        <v>0</v>
      </c>
      <c r="Q2343" s="1" t="str">
        <f t="shared" si="4640"/>
        <v>0.0070</v>
      </c>
      <c r="R2343" s="1" t="s">
        <v>29</v>
      </c>
      <c r="S2343" s="1">
        <v>-0.0014</v>
      </c>
      <c r="T2343" s="1" t="str">
        <f t="shared" si="4641"/>
        <v>0</v>
      </c>
      <c r="U2343" s="1" t="str">
        <f t="shared" ref="U2343:U2346" si="4718">"0.0056"</f>
        <v>0.0056</v>
      </c>
    </row>
    <row r="2344" s="1" customFormat="1" spans="1:21">
      <c r="A2344" s="1" t="str">
        <f>"4601992039607"</f>
        <v>4601992039607</v>
      </c>
      <c r="B2344" s="1" t="s">
        <v>2368</v>
      </c>
      <c r="C2344" s="1" t="s">
        <v>24</v>
      </c>
      <c r="D2344" s="1" t="str">
        <f t="shared" si="4637"/>
        <v>2021</v>
      </c>
      <c r="E2344" s="1" t="str">
        <f>"28.00"</f>
        <v>28.00</v>
      </c>
      <c r="F2344" s="1" t="str">
        <f t="shared" ref="F2344:I2344" si="4719">"0"</f>
        <v>0</v>
      </c>
      <c r="G2344" s="1" t="str">
        <f t="shared" si="4719"/>
        <v>0</v>
      </c>
      <c r="H2344" s="1" t="str">
        <f t="shared" si="4719"/>
        <v>0</v>
      </c>
      <c r="I2344" s="1" t="str">
        <f t="shared" si="4719"/>
        <v>0</v>
      </c>
      <c r="J2344" s="1" t="str">
        <f>"3"</f>
        <v>3</v>
      </c>
      <c r="K2344" s="1" t="str">
        <f t="shared" ref="K2344:P2344" si="4720">"0"</f>
        <v>0</v>
      </c>
      <c r="L2344" s="1" t="str">
        <f t="shared" si="4720"/>
        <v>0</v>
      </c>
      <c r="M2344" s="1" t="str">
        <f t="shared" si="4720"/>
        <v>0</v>
      </c>
      <c r="N2344" s="1" t="str">
        <f t="shared" si="4720"/>
        <v>0</v>
      </c>
      <c r="O2344" s="1" t="str">
        <f t="shared" si="4720"/>
        <v>0</v>
      </c>
      <c r="P2344" s="1" t="str">
        <f t="shared" si="4720"/>
        <v>0</v>
      </c>
      <c r="Q2344" s="1" t="str">
        <f t="shared" si="4640"/>
        <v>0.0070</v>
      </c>
      <c r="R2344" s="1" t="s">
        <v>29</v>
      </c>
      <c r="S2344" s="1">
        <v>-0.0014</v>
      </c>
      <c r="T2344" s="1" t="str">
        <f t="shared" si="4641"/>
        <v>0</v>
      </c>
      <c r="U2344" s="1" t="str">
        <f t="shared" si="4718"/>
        <v>0.0056</v>
      </c>
    </row>
    <row r="2345" s="1" customFormat="1" spans="1:21">
      <c r="A2345" s="1" t="str">
        <f>"4601992039690"</f>
        <v>4601992039690</v>
      </c>
      <c r="B2345" s="1" t="s">
        <v>2369</v>
      </c>
      <c r="C2345" s="1" t="s">
        <v>24</v>
      </c>
      <c r="D2345" s="1" t="str">
        <f t="shared" si="4637"/>
        <v>2021</v>
      </c>
      <c r="E2345" s="1" t="str">
        <f t="shared" ref="E2345:P2345" si="4721">"0"</f>
        <v>0</v>
      </c>
      <c r="F2345" s="1" t="str">
        <f t="shared" si="4721"/>
        <v>0</v>
      </c>
      <c r="G2345" s="1" t="str">
        <f t="shared" si="4721"/>
        <v>0</v>
      </c>
      <c r="H2345" s="1" t="str">
        <f t="shared" si="4721"/>
        <v>0</v>
      </c>
      <c r="I2345" s="1" t="str">
        <f t="shared" si="4721"/>
        <v>0</v>
      </c>
      <c r="J2345" s="1" t="str">
        <f t="shared" si="4721"/>
        <v>0</v>
      </c>
      <c r="K2345" s="1" t="str">
        <f t="shared" si="4721"/>
        <v>0</v>
      </c>
      <c r="L2345" s="1" t="str">
        <f t="shared" si="4721"/>
        <v>0</v>
      </c>
      <c r="M2345" s="1" t="str">
        <f t="shared" si="4721"/>
        <v>0</v>
      </c>
      <c r="N2345" s="1" t="str">
        <f t="shared" si="4721"/>
        <v>0</v>
      </c>
      <c r="O2345" s="1" t="str">
        <f t="shared" si="4721"/>
        <v>0</v>
      </c>
      <c r="P2345" s="1" t="str">
        <f t="shared" si="4721"/>
        <v>0</v>
      </c>
      <c r="Q2345" s="1" t="str">
        <f t="shared" si="4640"/>
        <v>0.0070</v>
      </c>
      <c r="R2345" s="1" t="s">
        <v>25</v>
      </c>
      <c r="T2345" s="1" t="str">
        <f t="shared" si="4641"/>
        <v>0</v>
      </c>
      <c r="U2345" s="1" t="str">
        <f t="shared" si="4715"/>
        <v>0.0070</v>
      </c>
    </row>
    <row r="2346" s="1" customFormat="1" spans="1:21">
      <c r="A2346" s="1" t="str">
        <f>"4601992039659"</f>
        <v>4601992039659</v>
      </c>
      <c r="B2346" s="1" t="s">
        <v>2370</v>
      </c>
      <c r="C2346" s="1" t="s">
        <v>24</v>
      </c>
      <c r="D2346" s="1" t="str">
        <f t="shared" si="4637"/>
        <v>2021</v>
      </c>
      <c r="E2346" s="1" t="str">
        <f>"24.18"</f>
        <v>24.18</v>
      </c>
      <c r="F2346" s="1" t="str">
        <f t="shared" ref="F2346:I2346" si="4722">"0"</f>
        <v>0</v>
      </c>
      <c r="G2346" s="1" t="str">
        <f t="shared" si="4722"/>
        <v>0</v>
      </c>
      <c r="H2346" s="1" t="str">
        <f t="shared" si="4722"/>
        <v>0</v>
      </c>
      <c r="I2346" s="1" t="str">
        <f t="shared" si="4722"/>
        <v>0</v>
      </c>
      <c r="J2346" s="1" t="str">
        <f>"2"</f>
        <v>2</v>
      </c>
      <c r="K2346" s="1" t="str">
        <f t="shared" ref="K2346:P2346" si="4723">"0"</f>
        <v>0</v>
      </c>
      <c r="L2346" s="1" t="str">
        <f t="shared" si="4723"/>
        <v>0</v>
      </c>
      <c r="M2346" s="1" t="str">
        <f t="shared" si="4723"/>
        <v>0</v>
      </c>
      <c r="N2346" s="1" t="str">
        <f t="shared" si="4723"/>
        <v>0</v>
      </c>
      <c r="O2346" s="1" t="str">
        <f t="shared" si="4723"/>
        <v>0</v>
      </c>
      <c r="P2346" s="1" t="str">
        <f t="shared" si="4723"/>
        <v>0</v>
      </c>
      <c r="Q2346" s="1" t="str">
        <f t="shared" si="4640"/>
        <v>0.0070</v>
      </c>
      <c r="R2346" s="1" t="s">
        <v>29</v>
      </c>
      <c r="S2346" s="1">
        <v>-0.0014</v>
      </c>
      <c r="T2346" s="1" t="str">
        <f t="shared" si="4641"/>
        <v>0</v>
      </c>
      <c r="U2346" s="1" t="str">
        <f t="shared" si="4718"/>
        <v>0.0056</v>
      </c>
    </row>
    <row r="2347" s="1" customFormat="1" spans="1:21">
      <c r="A2347" s="1" t="str">
        <f>"4601992039783"</f>
        <v>4601992039783</v>
      </c>
      <c r="B2347" s="1" t="s">
        <v>2371</v>
      </c>
      <c r="C2347" s="1" t="s">
        <v>24</v>
      </c>
      <c r="D2347" s="1" t="str">
        <f t="shared" si="4637"/>
        <v>2021</v>
      </c>
      <c r="E2347" s="1" t="str">
        <f t="shared" ref="E2347:P2347" si="4724">"0"</f>
        <v>0</v>
      </c>
      <c r="F2347" s="1" t="str">
        <f t="shared" si="4724"/>
        <v>0</v>
      </c>
      <c r="G2347" s="1" t="str">
        <f t="shared" si="4724"/>
        <v>0</v>
      </c>
      <c r="H2347" s="1" t="str">
        <f t="shared" si="4724"/>
        <v>0</v>
      </c>
      <c r="I2347" s="1" t="str">
        <f t="shared" si="4724"/>
        <v>0</v>
      </c>
      <c r="J2347" s="1" t="str">
        <f t="shared" si="4724"/>
        <v>0</v>
      </c>
      <c r="K2347" s="1" t="str">
        <f t="shared" si="4724"/>
        <v>0</v>
      </c>
      <c r="L2347" s="1" t="str">
        <f t="shared" si="4724"/>
        <v>0</v>
      </c>
      <c r="M2347" s="1" t="str">
        <f t="shared" si="4724"/>
        <v>0</v>
      </c>
      <c r="N2347" s="1" t="str">
        <f t="shared" si="4724"/>
        <v>0</v>
      </c>
      <c r="O2347" s="1" t="str">
        <f t="shared" si="4724"/>
        <v>0</v>
      </c>
      <c r="P2347" s="1" t="str">
        <f t="shared" si="4724"/>
        <v>0</v>
      </c>
      <c r="Q2347" s="1" t="str">
        <f t="shared" si="4640"/>
        <v>0.0070</v>
      </c>
      <c r="R2347" s="1" t="s">
        <v>25</v>
      </c>
      <c r="T2347" s="1" t="str">
        <f t="shared" si="4641"/>
        <v>0</v>
      </c>
      <c r="U2347" s="1" t="str">
        <f t="shared" si="4715"/>
        <v>0.0070</v>
      </c>
    </row>
    <row r="2348" s="1" customFormat="1" spans="1:21">
      <c r="A2348" s="1" t="str">
        <f>"4601992039743"</f>
        <v>4601992039743</v>
      </c>
      <c r="B2348" s="1" t="s">
        <v>2372</v>
      </c>
      <c r="C2348" s="1" t="s">
        <v>24</v>
      </c>
      <c r="D2348" s="1" t="str">
        <f t="shared" si="4637"/>
        <v>2021</v>
      </c>
      <c r="E2348" s="1" t="str">
        <f>"60.34"</f>
        <v>60.34</v>
      </c>
      <c r="F2348" s="1" t="str">
        <f t="shared" ref="F2348:I2348" si="4725">"0"</f>
        <v>0</v>
      </c>
      <c r="G2348" s="1" t="str">
        <f t="shared" si="4725"/>
        <v>0</v>
      </c>
      <c r="H2348" s="1" t="str">
        <f t="shared" si="4725"/>
        <v>0</v>
      </c>
      <c r="I2348" s="1" t="str">
        <f t="shared" si="4725"/>
        <v>0</v>
      </c>
      <c r="J2348" s="1" t="str">
        <f>"6"</f>
        <v>6</v>
      </c>
      <c r="K2348" s="1" t="str">
        <f t="shared" ref="K2348:P2348" si="4726">"0"</f>
        <v>0</v>
      </c>
      <c r="L2348" s="1" t="str">
        <f t="shared" si="4726"/>
        <v>0</v>
      </c>
      <c r="M2348" s="1" t="str">
        <f t="shared" si="4726"/>
        <v>0</v>
      </c>
      <c r="N2348" s="1" t="str">
        <f t="shared" si="4726"/>
        <v>0</v>
      </c>
      <c r="O2348" s="1" t="str">
        <f t="shared" si="4726"/>
        <v>0</v>
      </c>
      <c r="P2348" s="1" t="str">
        <f t="shared" si="4726"/>
        <v>0</v>
      </c>
      <c r="Q2348" s="1" t="str">
        <f t="shared" si="4640"/>
        <v>0.0070</v>
      </c>
      <c r="R2348" s="1" t="s">
        <v>29</v>
      </c>
      <c r="S2348" s="1">
        <v>-0.0014</v>
      </c>
      <c r="T2348" s="1" t="str">
        <f t="shared" si="4641"/>
        <v>0</v>
      </c>
      <c r="U2348" s="1" t="str">
        <f t="shared" ref="U2348:U2350" si="4727">"0.0056"</f>
        <v>0.0056</v>
      </c>
    </row>
    <row r="2349" s="1" customFormat="1" spans="1:21">
      <c r="A2349" s="1" t="str">
        <f>"4601992039737"</f>
        <v>4601992039737</v>
      </c>
      <c r="B2349" s="1" t="s">
        <v>2373</v>
      </c>
      <c r="C2349" s="1" t="s">
        <v>24</v>
      </c>
      <c r="D2349" s="1" t="str">
        <f t="shared" si="4637"/>
        <v>2021</v>
      </c>
      <c r="E2349" s="1" t="str">
        <f>"60.45"</f>
        <v>60.45</v>
      </c>
      <c r="F2349" s="1" t="str">
        <f t="shared" ref="F2349:I2349" si="4728">"0"</f>
        <v>0</v>
      </c>
      <c r="G2349" s="1" t="str">
        <f t="shared" si="4728"/>
        <v>0</v>
      </c>
      <c r="H2349" s="1" t="str">
        <f t="shared" si="4728"/>
        <v>0</v>
      </c>
      <c r="I2349" s="1" t="str">
        <f t="shared" si="4728"/>
        <v>0</v>
      </c>
      <c r="J2349" s="1" t="str">
        <f>"5"</f>
        <v>5</v>
      </c>
      <c r="K2349" s="1" t="str">
        <f t="shared" ref="K2349:P2349" si="4729">"0"</f>
        <v>0</v>
      </c>
      <c r="L2349" s="1" t="str">
        <f t="shared" si="4729"/>
        <v>0</v>
      </c>
      <c r="M2349" s="1" t="str">
        <f t="shared" si="4729"/>
        <v>0</v>
      </c>
      <c r="N2349" s="1" t="str">
        <f t="shared" si="4729"/>
        <v>0</v>
      </c>
      <c r="O2349" s="1" t="str">
        <f t="shared" si="4729"/>
        <v>0</v>
      </c>
      <c r="P2349" s="1" t="str">
        <f t="shared" si="4729"/>
        <v>0</v>
      </c>
      <c r="Q2349" s="1" t="str">
        <f t="shared" si="4640"/>
        <v>0.0070</v>
      </c>
      <c r="R2349" s="1" t="s">
        <v>29</v>
      </c>
      <c r="S2349" s="1">
        <v>-0.0014</v>
      </c>
      <c r="T2349" s="1" t="str">
        <f t="shared" si="4641"/>
        <v>0</v>
      </c>
      <c r="U2349" s="1" t="str">
        <f t="shared" si="4727"/>
        <v>0.0056</v>
      </c>
    </row>
    <row r="2350" s="1" customFormat="1" spans="1:21">
      <c r="A2350" s="1" t="str">
        <f>"4601992039806"</f>
        <v>4601992039806</v>
      </c>
      <c r="B2350" s="1" t="s">
        <v>2374</v>
      </c>
      <c r="C2350" s="1" t="s">
        <v>24</v>
      </c>
      <c r="D2350" s="1" t="str">
        <f t="shared" si="4637"/>
        <v>2021</v>
      </c>
      <c r="E2350" s="1" t="str">
        <f>"36.27"</f>
        <v>36.27</v>
      </c>
      <c r="F2350" s="1" t="str">
        <f t="shared" ref="F2350:I2350" si="4730">"0"</f>
        <v>0</v>
      </c>
      <c r="G2350" s="1" t="str">
        <f t="shared" si="4730"/>
        <v>0</v>
      </c>
      <c r="H2350" s="1" t="str">
        <f t="shared" si="4730"/>
        <v>0</v>
      </c>
      <c r="I2350" s="1" t="str">
        <f t="shared" si="4730"/>
        <v>0</v>
      </c>
      <c r="J2350" s="1" t="str">
        <f>"3"</f>
        <v>3</v>
      </c>
      <c r="K2350" s="1" t="str">
        <f t="shared" ref="K2350:P2350" si="4731">"0"</f>
        <v>0</v>
      </c>
      <c r="L2350" s="1" t="str">
        <f t="shared" si="4731"/>
        <v>0</v>
      </c>
      <c r="M2350" s="1" t="str">
        <f t="shared" si="4731"/>
        <v>0</v>
      </c>
      <c r="N2350" s="1" t="str">
        <f t="shared" si="4731"/>
        <v>0</v>
      </c>
      <c r="O2350" s="1" t="str">
        <f t="shared" si="4731"/>
        <v>0</v>
      </c>
      <c r="P2350" s="1" t="str">
        <f t="shared" si="4731"/>
        <v>0</v>
      </c>
      <c r="Q2350" s="1" t="str">
        <f t="shared" si="4640"/>
        <v>0.0070</v>
      </c>
      <c r="R2350" s="1" t="s">
        <v>29</v>
      </c>
      <c r="S2350" s="1">
        <v>-0.0014</v>
      </c>
      <c r="T2350" s="1" t="str">
        <f t="shared" si="4641"/>
        <v>0</v>
      </c>
      <c r="U2350" s="1" t="str">
        <f t="shared" si="4727"/>
        <v>0.0056</v>
      </c>
    </row>
    <row r="2351" s="1" customFormat="1" spans="1:21">
      <c r="A2351" s="1" t="str">
        <f>"4601992039825"</f>
        <v>4601992039825</v>
      </c>
      <c r="B2351" s="1" t="s">
        <v>2375</v>
      </c>
      <c r="C2351" s="1" t="s">
        <v>24</v>
      </c>
      <c r="D2351" s="1" t="str">
        <f t="shared" si="4637"/>
        <v>2021</v>
      </c>
      <c r="E2351" s="1" t="str">
        <f t="shared" ref="E2351:P2351" si="4732">"0"</f>
        <v>0</v>
      </c>
      <c r="F2351" s="1" t="str">
        <f t="shared" si="4732"/>
        <v>0</v>
      </c>
      <c r="G2351" s="1" t="str">
        <f t="shared" si="4732"/>
        <v>0</v>
      </c>
      <c r="H2351" s="1" t="str">
        <f t="shared" si="4732"/>
        <v>0</v>
      </c>
      <c r="I2351" s="1" t="str">
        <f t="shared" si="4732"/>
        <v>0</v>
      </c>
      <c r="J2351" s="1" t="str">
        <f t="shared" si="4732"/>
        <v>0</v>
      </c>
      <c r="K2351" s="1" t="str">
        <f t="shared" si="4732"/>
        <v>0</v>
      </c>
      <c r="L2351" s="1" t="str">
        <f t="shared" si="4732"/>
        <v>0</v>
      </c>
      <c r="M2351" s="1" t="str">
        <f t="shared" si="4732"/>
        <v>0</v>
      </c>
      <c r="N2351" s="1" t="str">
        <f t="shared" si="4732"/>
        <v>0</v>
      </c>
      <c r="O2351" s="1" t="str">
        <f t="shared" si="4732"/>
        <v>0</v>
      </c>
      <c r="P2351" s="1" t="str">
        <f t="shared" si="4732"/>
        <v>0</v>
      </c>
      <c r="Q2351" s="1" t="str">
        <f t="shared" si="4640"/>
        <v>0.0070</v>
      </c>
      <c r="R2351" s="1" t="s">
        <v>25</v>
      </c>
      <c r="T2351" s="1" t="str">
        <f t="shared" si="4641"/>
        <v>0</v>
      </c>
      <c r="U2351" s="1" t="str">
        <f>"0.0070"</f>
        <v>0.0070</v>
      </c>
    </row>
    <row r="2352" s="1" customFormat="1" spans="1:21">
      <c r="A2352" s="1" t="str">
        <f>"4601992039769"</f>
        <v>4601992039769</v>
      </c>
      <c r="B2352" s="1" t="s">
        <v>2376</v>
      </c>
      <c r="C2352" s="1" t="s">
        <v>24</v>
      </c>
      <c r="D2352" s="1" t="str">
        <f t="shared" si="4637"/>
        <v>2021</v>
      </c>
      <c r="E2352" s="1" t="str">
        <f t="shared" ref="E2352:E2356" si="4733">"12.09"</f>
        <v>12.09</v>
      </c>
      <c r="F2352" s="1" t="str">
        <f t="shared" ref="F2352:I2352" si="4734">"0"</f>
        <v>0</v>
      </c>
      <c r="G2352" s="1" t="str">
        <f t="shared" si="4734"/>
        <v>0</v>
      </c>
      <c r="H2352" s="1" t="str">
        <f t="shared" si="4734"/>
        <v>0</v>
      </c>
      <c r="I2352" s="1" t="str">
        <f t="shared" si="4734"/>
        <v>0</v>
      </c>
      <c r="J2352" s="1" t="str">
        <f>"1"</f>
        <v>1</v>
      </c>
      <c r="K2352" s="1" t="str">
        <f t="shared" ref="K2352:P2352" si="4735">"0"</f>
        <v>0</v>
      </c>
      <c r="L2352" s="1" t="str">
        <f t="shared" si="4735"/>
        <v>0</v>
      </c>
      <c r="M2352" s="1" t="str">
        <f t="shared" si="4735"/>
        <v>0</v>
      </c>
      <c r="N2352" s="1" t="str">
        <f t="shared" si="4735"/>
        <v>0</v>
      </c>
      <c r="O2352" s="1" t="str">
        <f t="shared" si="4735"/>
        <v>0</v>
      </c>
      <c r="P2352" s="1" t="str">
        <f t="shared" si="4735"/>
        <v>0</v>
      </c>
      <c r="Q2352" s="1" t="str">
        <f t="shared" si="4640"/>
        <v>0.0070</v>
      </c>
      <c r="R2352" s="1" t="s">
        <v>29</v>
      </c>
      <c r="S2352" s="1">
        <v>-0.0014</v>
      </c>
      <c r="T2352" s="1" t="str">
        <f t="shared" si="4641"/>
        <v>0</v>
      </c>
      <c r="U2352" s="1" t="str">
        <f t="shared" ref="U2352:U2357" si="4736">"0.0056"</f>
        <v>0.0056</v>
      </c>
    </row>
    <row r="2353" s="1" customFormat="1" spans="1:21">
      <c r="A2353" s="1" t="str">
        <f>"4601992039787"</f>
        <v>4601992039787</v>
      </c>
      <c r="B2353" s="1" t="s">
        <v>2377</v>
      </c>
      <c r="C2353" s="1" t="s">
        <v>24</v>
      </c>
      <c r="D2353" s="1" t="str">
        <f t="shared" si="4637"/>
        <v>2021</v>
      </c>
      <c r="E2353" s="1" t="str">
        <f>"24.18"</f>
        <v>24.18</v>
      </c>
      <c r="F2353" s="1" t="str">
        <f t="shared" ref="F2353:I2353" si="4737">"0"</f>
        <v>0</v>
      </c>
      <c r="G2353" s="1" t="str">
        <f t="shared" si="4737"/>
        <v>0</v>
      </c>
      <c r="H2353" s="1" t="str">
        <f t="shared" si="4737"/>
        <v>0</v>
      </c>
      <c r="I2353" s="1" t="str">
        <f t="shared" si="4737"/>
        <v>0</v>
      </c>
      <c r="J2353" s="1" t="str">
        <f>"2"</f>
        <v>2</v>
      </c>
      <c r="K2353" s="1" t="str">
        <f t="shared" ref="K2353:P2353" si="4738">"0"</f>
        <v>0</v>
      </c>
      <c r="L2353" s="1" t="str">
        <f t="shared" si="4738"/>
        <v>0</v>
      </c>
      <c r="M2353" s="1" t="str">
        <f t="shared" si="4738"/>
        <v>0</v>
      </c>
      <c r="N2353" s="1" t="str">
        <f t="shared" si="4738"/>
        <v>0</v>
      </c>
      <c r="O2353" s="1" t="str">
        <f t="shared" si="4738"/>
        <v>0</v>
      </c>
      <c r="P2353" s="1" t="str">
        <f t="shared" si="4738"/>
        <v>0</v>
      </c>
      <c r="Q2353" s="1" t="str">
        <f t="shared" si="4640"/>
        <v>0.0070</v>
      </c>
      <c r="R2353" s="1" t="s">
        <v>29</v>
      </c>
      <c r="S2353" s="1">
        <v>-0.0014</v>
      </c>
      <c r="T2353" s="1" t="str">
        <f t="shared" si="4641"/>
        <v>0</v>
      </c>
      <c r="U2353" s="1" t="str">
        <f t="shared" si="4736"/>
        <v>0.0056</v>
      </c>
    </row>
    <row r="2354" s="1" customFormat="1" spans="1:21">
      <c r="A2354" s="1" t="str">
        <f>"4601992039874"</f>
        <v>4601992039874</v>
      </c>
      <c r="B2354" s="1" t="s">
        <v>2378</v>
      </c>
      <c r="C2354" s="1" t="s">
        <v>24</v>
      </c>
      <c r="D2354" s="1" t="str">
        <f t="shared" si="4637"/>
        <v>2021</v>
      </c>
      <c r="E2354" s="1" t="str">
        <f t="shared" si="4733"/>
        <v>12.09</v>
      </c>
      <c r="F2354" s="1" t="str">
        <f t="shared" ref="F2354:I2354" si="4739">"0"</f>
        <v>0</v>
      </c>
      <c r="G2354" s="1" t="str">
        <f t="shared" si="4739"/>
        <v>0</v>
      </c>
      <c r="H2354" s="1" t="str">
        <f t="shared" si="4739"/>
        <v>0</v>
      </c>
      <c r="I2354" s="1" t="str">
        <f t="shared" si="4739"/>
        <v>0</v>
      </c>
      <c r="J2354" s="1" t="str">
        <f>"4"</f>
        <v>4</v>
      </c>
      <c r="K2354" s="1" t="str">
        <f t="shared" ref="K2354:P2354" si="4740">"0"</f>
        <v>0</v>
      </c>
      <c r="L2354" s="1" t="str">
        <f t="shared" si="4740"/>
        <v>0</v>
      </c>
      <c r="M2354" s="1" t="str">
        <f t="shared" si="4740"/>
        <v>0</v>
      </c>
      <c r="N2354" s="1" t="str">
        <f t="shared" si="4740"/>
        <v>0</v>
      </c>
      <c r="O2354" s="1" t="str">
        <f t="shared" si="4740"/>
        <v>0</v>
      </c>
      <c r="P2354" s="1" t="str">
        <f t="shared" si="4740"/>
        <v>0</v>
      </c>
      <c r="Q2354" s="1" t="str">
        <f t="shared" si="4640"/>
        <v>0.0070</v>
      </c>
      <c r="R2354" s="1" t="s">
        <v>29</v>
      </c>
      <c r="S2354" s="1">
        <v>-0.0014</v>
      </c>
      <c r="T2354" s="1" t="str">
        <f t="shared" si="4641"/>
        <v>0</v>
      </c>
      <c r="U2354" s="1" t="str">
        <f t="shared" si="4736"/>
        <v>0.0056</v>
      </c>
    </row>
    <row r="2355" s="1" customFormat="1" spans="1:21">
      <c r="A2355" s="1" t="str">
        <f>"4601992039868"</f>
        <v>4601992039868</v>
      </c>
      <c r="B2355" s="1" t="s">
        <v>2379</v>
      </c>
      <c r="C2355" s="1" t="s">
        <v>24</v>
      </c>
      <c r="D2355" s="1" t="str">
        <f t="shared" si="4637"/>
        <v>2021</v>
      </c>
      <c r="E2355" s="1" t="str">
        <f>"96.39"</f>
        <v>96.39</v>
      </c>
      <c r="F2355" s="1" t="str">
        <f t="shared" ref="F2355:I2355" si="4741">"0"</f>
        <v>0</v>
      </c>
      <c r="G2355" s="1" t="str">
        <f t="shared" si="4741"/>
        <v>0</v>
      </c>
      <c r="H2355" s="1" t="str">
        <f t="shared" si="4741"/>
        <v>0</v>
      </c>
      <c r="I2355" s="1" t="str">
        <f t="shared" si="4741"/>
        <v>0</v>
      </c>
      <c r="J2355" s="1" t="str">
        <f>"7"</f>
        <v>7</v>
      </c>
      <c r="K2355" s="1" t="str">
        <f t="shared" ref="K2355:P2355" si="4742">"0"</f>
        <v>0</v>
      </c>
      <c r="L2355" s="1" t="str">
        <f t="shared" si="4742"/>
        <v>0</v>
      </c>
      <c r="M2355" s="1" t="str">
        <f t="shared" si="4742"/>
        <v>0</v>
      </c>
      <c r="N2355" s="1" t="str">
        <f t="shared" si="4742"/>
        <v>0</v>
      </c>
      <c r="O2355" s="1" t="str">
        <f t="shared" si="4742"/>
        <v>0</v>
      </c>
      <c r="P2355" s="1" t="str">
        <f t="shared" si="4742"/>
        <v>0</v>
      </c>
      <c r="Q2355" s="1" t="str">
        <f t="shared" si="4640"/>
        <v>0.0070</v>
      </c>
      <c r="R2355" s="1" t="s">
        <v>29</v>
      </c>
      <c r="S2355" s="1">
        <v>-0.0014</v>
      </c>
      <c r="T2355" s="1" t="str">
        <f t="shared" si="4641"/>
        <v>0</v>
      </c>
      <c r="U2355" s="1" t="str">
        <f t="shared" si="4736"/>
        <v>0.0056</v>
      </c>
    </row>
    <row r="2356" s="1" customFormat="1" spans="1:21">
      <c r="A2356" s="1" t="str">
        <f>"4601992039900"</f>
        <v>4601992039900</v>
      </c>
      <c r="B2356" s="1" t="s">
        <v>2380</v>
      </c>
      <c r="C2356" s="1" t="s">
        <v>24</v>
      </c>
      <c r="D2356" s="1" t="str">
        <f t="shared" si="4637"/>
        <v>2021</v>
      </c>
      <c r="E2356" s="1" t="str">
        <f t="shared" si="4733"/>
        <v>12.09</v>
      </c>
      <c r="F2356" s="1" t="str">
        <f t="shared" ref="F2356:I2356" si="4743">"0"</f>
        <v>0</v>
      </c>
      <c r="G2356" s="1" t="str">
        <f t="shared" si="4743"/>
        <v>0</v>
      </c>
      <c r="H2356" s="1" t="str">
        <f t="shared" si="4743"/>
        <v>0</v>
      </c>
      <c r="I2356" s="1" t="str">
        <f t="shared" si="4743"/>
        <v>0</v>
      </c>
      <c r="J2356" s="1" t="str">
        <f>"1"</f>
        <v>1</v>
      </c>
      <c r="K2356" s="1" t="str">
        <f t="shared" ref="K2356:P2356" si="4744">"0"</f>
        <v>0</v>
      </c>
      <c r="L2356" s="1" t="str">
        <f t="shared" si="4744"/>
        <v>0</v>
      </c>
      <c r="M2356" s="1" t="str">
        <f t="shared" si="4744"/>
        <v>0</v>
      </c>
      <c r="N2356" s="1" t="str">
        <f t="shared" si="4744"/>
        <v>0</v>
      </c>
      <c r="O2356" s="1" t="str">
        <f t="shared" si="4744"/>
        <v>0</v>
      </c>
      <c r="P2356" s="1" t="str">
        <f t="shared" si="4744"/>
        <v>0</v>
      </c>
      <c r="Q2356" s="1" t="str">
        <f t="shared" si="4640"/>
        <v>0.0070</v>
      </c>
      <c r="R2356" s="1" t="s">
        <v>29</v>
      </c>
      <c r="S2356" s="1">
        <v>-0.0014</v>
      </c>
      <c r="T2356" s="1" t="str">
        <f t="shared" si="4641"/>
        <v>0</v>
      </c>
      <c r="U2356" s="1" t="str">
        <f t="shared" si="4736"/>
        <v>0.0056</v>
      </c>
    </row>
    <row r="2357" s="1" customFormat="1" spans="1:21">
      <c r="A2357" s="1" t="str">
        <f>"4601992039902"</f>
        <v>4601992039902</v>
      </c>
      <c r="B2357" s="1" t="s">
        <v>2381</v>
      </c>
      <c r="C2357" s="1" t="s">
        <v>24</v>
      </c>
      <c r="D2357" s="1" t="str">
        <f t="shared" si="4637"/>
        <v>2021</v>
      </c>
      <c r="E2357" s="1" t="str">
        <f>"24.18"</f>
        <v>24.18</v>
      </c>
      <c r="F2357" s="1" t="str">
        <f t="shared" ref="F2357:I2357" si="4745">"0"</f>
        <v>0</v>
      </c>
      <c r="G2357" s="1" t="str">
        <f t="shared" si="4745"/>
        <v>0</v>
      </c>
      <c r="H2357" s="1" t="str">
        <f t="shared" si="4745"/>
        <v>0</v>
      </c>
      <c r="I2357" s="1" t="str">
        <f t="shared" si="4745"/>
        <v>0</v>
      </c>
      <c r="J2357" s="1" t="str">
        <f>"2"</f>
        <v>2</v>
      </c>
      <c r="K2357" s="1" t="str">
        <f t="shared" ref="K2357:P2357" si="4746">"0"</f>
        <v>0</v>
      </c>
      <c r="L2357" s="1" t="str">
        <f t="shared" si="4746"/>
        <v>0</v>
      </c>
      <c r="M2357" s="1" t="str">
        <f t="shared" si="4746"/>
        <v>0</v>
      </c>
      <c r="N2357" s="1" t="str">
        <f t="shared" si="4746"/>
        <v>0</v>
      </c>
      <c r="O2357" s="1" t="str">
        <f t="shared" si="4746"/>
        <v>0</v>
      </c>
      <c r="P2357" s="1" t="str">
        <f t="shared" si="4746"/>
        <v>0</v>
      </c>
      <c r="Q2357" s="1" t="str">
        <f t="shared" si="4640"/>
        <v>0.0070</v>
      </c>
      <c r="R2357" s="1" t="s">
        <v>29</v>
      </c>
      <c r="S2357" s="1">
        <v>-0.0014</v>
      </c>
      <c r="T2357" s="1" t="str">
        <f t="shared" si="4641"/>
        <v>0</v>
      </c>
      <c r="U2357" s="1" t="str">
        <f t="shared" si="4736"/>
        <v>0.0056</v>
      </c>
    </row>
    <row r="2358" s="1" customFormat="1" spans="1:21">
      <c r="A2358" s="1" t="str">
        <f>"4601992039919"</f>
        <v>4601992039919</v>
      </c>
      <c r="B2358" s="1" t="s">
        <v>2382</v>
      </c>
      <c r="C2358" s="1" t="s">
        <v>24</v>
      </c>
      <c r="D2358" s="1" t="str">
        <f t="shared" si="4637"/>
        <v>2021</v>
      </c>
      <c r="E2358" s="1" t="str">
        <f t="shared" ref="E2358:P2358" si="4747">"0"</f>
        <v>0</v>
      </c>
      <c r="F2358" s="1" t="str">
        <f t="shared" si="4747"/>
        <v>0</v>
      </c>
      <c r="G2358" s="1" t="str">
        <f t="shared" si="4747"/>
        <v>0</v>
      </c>
      <c r="H2358" s="1" t="str">
        <f t="shared" si="4747"/>
        <v>0</v>
      </c>
      <c r="I2358" s="1" t="str">
        <f t="shared" si="4747"/>
        <v>0</v>
      </c>
      <c r="J2358" s="1" t="str">
        <f t="shared" si="4747"/>
        <v>0</v>
      </c>
      <c r="K2358" s="1" t="str">
        <f t="shared" si="4747"/>
        <v>0</v>
      </c>
      <c r="L2358" s="1" t="str">
        <f t="shared" si="4747"/>
        <v>0</v>
      </c>
      <c r="M2358" s="1" t="str">
        <f t="shared" si="4747"/>
        <v>0</v>
      </c>
      <c r="N2358" s="1" t="str">
        <f t="shared" si="4747"/>
        <v>0</v>
      </c>
      <c r="O2358" s="1" t="str">
        <f t="shared" si="4747"/>
        <v>0</v>
      </c>
      <c r="P2358" s="1" t="str">
        <f t="shared" si="4747"/>
        <v>0</v>
      </c>
      <c r="Q2358" s="1" t="str">
        <f t="shared" si="4640"/>
        <v>0.0070</v>
      </c>
      <c r="R2358" s="1" t="s">
        <v>25</v>
      </c>
      <c r="T2358" s="1" t="str">
        <f t="shared" si="4641"/>
        <v>0</v>
      </c>
      <c r="U2358" s="1" t="str">
        <f t="shared" ref="U2358:U2362" si="4748">"0.0070"</f>
        <v>0.0070</v>
      </c>
    </row>
    <row r="2359" s="1" customFormat="1" spans="1:21">
      <c r="A2359" s="1" t="str">
        <f>"4601992040063"</f>
        <v>4601992040063</v>
      </c>
      <c r="B2359" s="1" t="s">
        <v>2383</v>
      </c>
      <c r="C2359" s="1" t="s">
        <v>24</v>
      </c>
      <c r="D2359" s="1" t="str">
        <f t="shared" si="4637"/>
        <v>2021</v>
      </c>
      <c r="E2359" s="1" t="str">
        <f t="shared" ref="E2359:P2359" si="4749">"0"</f>
        <v>0</v>
      </c>
      <c r="F2359" s="1" t="str">
        <f t="shared" si="4749"/>
        <v>0</v>
      </c>
      <c r="G2359" s="1" t="str">
        <f t="shared" si="4749"/>
        <v>0</v>
      </c>
      <c r="H2359" s="1" t="str">
        <f t="shared" si="4749"/>
        <v>0</v>
      </c>
      <c r="I2359" s="1" t="str">
        <f t="shared" si="4749"/>
        <v>0</v>
      </c>
      <c r="J2359" s="1" t="str">
        <f t="shared" si="4749"/>
        <v>0</v>
      </c>
      <c r="K2359" s="1" t="str">
        <f t="shared" si="4749"/>
        <v>0</v>
      </c>
      <c r="L2359" s="1" t="str">
        <f t="shared" si="4749"/>
        <v>0</v>
      </c>
      <c r="M2359" s="1" t="str">
        <f t="shared" si="4749"/>
        <v>0</v>
      </c>
      <c r="N2359" s="1" t="str">
        <f t="shared" si="4749"/>
        <v>0</v>
      </c>
      <c r="O2359" s="1" t="str">
        <f t="shared" si="4749"/>
        <v>0</v>
      </c>
      <c r="P2359" s="1" t="str">
        <f t="shared" si="4749"/>
        <v>0</v>
      </c>
      <c r="Q2359" s="1" t="str">
        <f t="shared" si="4640"/>
        <v>0.0070</v>
      </c>
      <c r="R2359" s="1" t="s">
        <v>25</v>
      </c>
      <c r="T2359" s="1" t="str">
        <f t="shared" si="4641"/>
        <v>0</v>
      </c>
      <c r="U2359" s="1" t="str">
        <f t="shared" si="4748"/>
        <v>0.0070</v>
      </c>
    </row>
    <row r="2360" s="1" customFormat="1" spans="1:21">
      <c r="A2360" s="1" t="str">
        <f>"4601992039991"</f>
        <v>4601992039991</v>
      </c>
      <c r="B2360" s="1" t="s">
        <v>2384</v>
      </c>
      <c r="C2360" s="1" t="s">
        <v>24</v>
      </c>
      <c r="D2360" s="1" t="str">
        <f t="shared" si="4637"/>
        <v>2021</v>
      </c>
      <c r="E2360" s="1" t="str">
        <f>"24.18"</f>
        <v>24.18</v>
      </c>
      <c r="F2360" s="1" t="str">
        <f t="shared" ref="F2360:I2360" si="4750">"0"</f>
        <v>0</v>
      </c>
      <c r="G2360" s="1" t="str">
        <f t="shared" si="4750"/>
        <v>0</v>
      </c>
      <c r="H2360" s="1" t="str">
        <f t="shared" si="4750"/>
        <v>0</v>
      </c>
      <c r="I2360" s="1" t="str">
        <f t="shared" si="4750"/>
        <v>0</v>
      </c>
      <c r="J2360" s="1" t="str">
        <f>"3"</f>
        <v>3</v>
      </c>
      <c r="K2360" s="1" t="str">
        <f t="shared" ref="K2360:P2360" si="4751">"0"</f>
        <v>0</v>
      </c>
      <c r="L2360" s="1" t="str">
        <f t="shared" si="4751"/>
        <v>0</v>
      </c>
      <c r="M2360" s="1" t="str">
        <f t="shared" si="4751"/>
        <v>0</v>
      </c>
      <c r="N2360" s="1" t="str">
        <f t="shared" si="4751"/>
        <v>0</v>
      </c>
      <c r="O2360" s="1" t="str">
        <f t="shared" si="4751"/>
        <v>0</v>
      </c>
      <c r="P2360" s="1" t="str">
        <f t="shared" si="4751"/>
        <v>0</v>
      </c>
      <c r="Q2360" s="1" t="str">
        <f t="shared" si="4640"/>
        <v>0.0070</v>
      </c>
      <c r="R2360" s="1" t="s">
        <v>29</v>
      </c>
      <c r="S2360" s="1">
        <v>-0.0014</v>
      </c>
      <c r="T2360" s="1" t="str">
        <f t="shared" si="4641"/>
        <v>0</v>
      </c>
      <c r="U2360" s="1" t="str">
        <f t="shared" ref="U2360:U2363" si="4752">"0.0056"</f>
        <v>0.0056</v>
      </c>
    </row>
    <row r="2361" s="1" customFormat="1" spans="1:21">
      <c r="A2361" s="1" t="str">
        <f>"4601992040009"</f>
        <v>4601992040009</v>
      </c>
      <c r="B2361" s="1" t="s">
        <v>2385</v>
      </c>
      <c r="C2361" s="1" t="s">
        <v>24</v>
      </c>
      <c r="D2361" s="1" t="str">
        <f t="shared" si="4637"/>
        <v>2021</v>
      </c>
      <c r="E2361" s="1" t="str">
        <f>"181.35"</f>
        <v>181.35</v>
      </c>
      <c r="F2361" s="1" t="str">
        <f t="shared" ref="F2361:I2361" si="4753">"0"</f>
        <v>0</v>
      </c>
      <c r="G2361" s="1" t="str">
        <f t="shared" si="4753"/>
        <v>0</v>
      </c>
      <c r="H2361" s="1" t="str">
        <f t="shared" si="4753"/>
        <v>0</v>
      </c>
      <c r="I2361" s="1" t="str">
        <f t="shared" si="4753"/>
        <v>0</v>
      </c>
      <c r="J2361" s="1" t="str">
        <f>"14"</f>
        <v>14</v>
      </c>
      <c r="K2361" s="1" t="str">
        <f t="shared" ref="K2361:P2361" si="4754">"0"</f>
        <v>0</v>
      </c>
      <c r="L2361" s="1" t="str">
        <f t="shared" si="4754"/>
        <v>0</v>
      </c>
      <c r="M2361" s="1" t="str">
        <f t="shared" si="4754"/>
        <v>0</v>
      </c>
      <c r="N2361" s="1" t="str">
        <f t="shared" si="4754"/>
        <v>0</v>
      </c>
      <c r="O2361" s="1" t="str">
        <f t="shared" si="4754"/>
        <v>0</v>
      </c>
      <c r="P2361" s="1" t="str">
        <f t="shared" si="4754"/>
        <v>0</v>
      </c>
      <c r="Q2361" s="1" t="str">
        <f t="shared" si="4640"/>
        <v>0.0070</v>
      </c>
      <c r="R2361" s="1" t="s">
        <v>29</v>
      </c>
      <c r="S2361" s="1">
        <v>-0.0014</v>
      </c>
      <c r="T2361" s="1" t="str">
        <f t="shared" si="4641"/>
        <v>0</v>
      </c>
      <c r="U2361" s="1" t="str">
        <f t="shared" si="4752"/>
        <v>0.0056</v>
      </c>
    </row>
    <row r="2362" s="1" customFormat="1" spans="1:21">
      <c r="A2362" s="1" t="str">
        <f>"4601992040056"</f>
        <v>4601992040056</v>
      </c>
      <c r="B2362" s="1" t="s">
        <v>2386</v>
      </c>
      <c r="C2362" s="1" t="s">
        <v>24</v>
      </c>
      <c r="D2362" s="1" t="str">
        <f t="shared" si="4637"/>
        <v>2021</v>
      </c>
      <c r="E2362" s="1" t="str">
        <f t="shared" ref="E2362:P2362" si="4755">"0"</f>
        <v>0</v>
      </c>
      <c r="F2362" s="1" t="str">
        <f t="shared" si="4755"/>
        <v>0</v>
      </c>
      <c r="G2362" s="1" t="str">
        <f t="shared" si="4755"/>
        <v>0</v>
      </c>
      <c r="H2362" s="1" t="str">
        <f t="shared" si="4755"/>
        <v>0</v>
      </c>
      <c r="I2362" s="1" t="str">
        <f t="shared" si="4755"/>
        <v>0</v>
      </c>
      <c r="J2362" s="1" t="str">
        <f t="shared" si="4755"/>
        <v>0</v>
      </c>
      <c r="K2362" s="1" t="str">
        <f t="shared" si="4755"/>
        <v>0</v>
      </c>
      <c r="L2362" s="1" t="str">
        <f t="shared" si="4755"/>
        <v>0</v>
      </c>
      <c r="M2362" s="1" t="str">
        <f t="shared" si="4755"/>
        <v>0</v>
      </c>
      <c r="N2362" s="1" t="str">
        <f t="shared" si="4755"/>
        <v>0</v>
      </c>
      <c r="O2362" s="1" t="str">
        <f t="shared" si="4755"/>
        <v>0</v>
      </c>
      <c r="P2362" s="1" t="str">
        <f t="shared" si="4755"/>
        <v>0</v>
      </c>
      <c r="Q2362" s="1" t="str">
        <f t="shared" si="4640"/>
        <v>0.0070</v>
      </c>
      <c r="R2362" s="1" t="s">
        <v>25</v>
      </c>
      <c r="T2362" s="1" t="str">
        <f t="shared" si="4641"/>
        <v>0</v>
      </c>
      <c r="U2362" s="1" t="str">
        <f t="shared" si="4748"/>
        <v>0.0070</v>
      </c>
    </row>
    <row r="2363" s="1" customFormat="1" spans="1:21">
      <c r="A2363" s="1" t="str">
        <f>"4601992039967"</f>
        <v>4601992039967</v>
      </c>
      <c r="B2363" s="1" t="s">
        <v>2387</v>
      </c>
      <c r="C2363" s="1" t="s">
        <v>24</v>
      </c>
      <c r="D2363" s="1" t="str">
        <f t="shared" si="4637"/>
        <v>2021</v>
      </c>
      <c r="E2363" s="1" t="str">
        <f>"157.17"</f>
        <v>157.17</v>
      </c>
      <c r="F2363" s="1" t="str">
        <f t="shared" ref="F2363:I2363" si="4756">"0"</f>
        <v>0</v>
      </c>
      <c r="G2363" s="1" t="str">
        <f t="shared" si="4756"/>
        <v>0</v>
      </c>
      <c r="H2363" s="1" t="str">
        <f t="shared" si="4756"/>
        <v>0</v>
      </c>
      <c r="I2363" s="1" t="str">
        <f t="shared" si="4756"/>
        <v>0</v>
      </c>
      <c r="J2363" s="1" t="str">
        <f>"10"</f>
        <v>10</v>
      </c>
      <c r="K2363" s="1" t="str">
        <f t="shared" ref="K2363:P2363" si="4757">"0"</f>
        <v>0</v>
      </c>
      <c r="L2363" s="1" t="str">
        <f t="shared" si="4757"/>
        <v>0</v>
      </c>
      <c r="M2363" s="1" t="str">
        <f t="shared" si="4757"/>
        <v>0</v>
      </c>
      <c r="N2363" s="1" t="str">
        <f t="shared" si="4757"/>
        <v>0</v>
      </c>
      <c r="O2363" s="1" t="str">
        <f t="shared" si="4757"/>
        <v>0</v>
      </c>
      <c r="P2363" s="1" t="str">
        <f t="shared" si="4757"/>
        <v>0</v>
      </c>
      <c r="Q2363" s="1" t="str">
        <f t="shared" si="4640"/>
        <v>0.0070</v>
      </c>
      <c r="R2363" s="1" t="s">
        <v>29</v>
      </c>
      <c r="S2363" s="1">
        <v>-0.0014</v>
      </c>
      <c r="T2363" s="1" t="str">
        <f t="shared" si="4641"/>
        <v>0</v>
      </c>
      <c r="U2363" s="1" t="str">
        <f t="shared" si="4752"/>
        <v>0.0056</v>
      </c>
    </row>
    <row r="2364" s="1" customFormat="1" spans="1:21">
      <c r="A2364" s="1" t="str">
        <f>"4601992040145"</f>
        <v>4601992040145</v>
      </c>
      <c r="B2364" s="1" t="s">
        <v>2388</v>
      </c>
      <c r="C2364" s="1" t="s">
        <v>24</v>
      </c>
      <c r="D2364" s="1" t="str">
        <f t="shared" si="4637"/>
        <v>2021</v>
      </c>
      <c r="E2364" s="1" t="str">
        <f t="shared" ref="E2364:P2364" si="4758">"0"</f>
        <v>0</v>
      </c>
      <c r="F2364" s="1" t="str">
        <f t="shared" si="4758"/>
        <v>0</v>
      </c>
      <c r="G2364" s="1" t="str">
        <f t="shared" si="4758"/>
        <v>0</v>
      </c>
      <c r="H2364" s="1" t="str">
        <f t="shared" si="4758"/>
        <v>0</v>
      </c>
      <c r="I2364" s="1" t="str">
        <f t="shared" si="4758"/>
        <v>0</v>
      </c>
      <c r="J2364" s="1" t="str">
        <f t="shared" si="4758"/>
        <v>0</v>
      </c>
      <c r="K2364" s="1" t="str">
        <f t="shared" si="4758"/>
        <v>0</v>
      </c>
      <c r="L2364" s="1" t="str">
        <f t="shared" si="4758"/>
        <v>0</v>
      </c>
      <c r="M2364" s="1" t="str">
        <f t="shared" si="4758"/>
        <v>0</v>
      </c>
      <c r="N2364" s="1" t="str">
        <f t="shared" si="4758"/>
        <v>0</v>
      </c>
      <c r="O2364" s="1" t="str">
        <f t="shared" si="4758"/>
        <v>0</v>
      </c>
      <c r="P2364" s="1" t="str">
        <f t="shared" si="4758"/>
        <v>0</v>
      </c>
      <c r="Q2364" s="1" t="str">
        <f t="shared" si="4640"/>
        <v>0.0070</v>
      </c>
      <c r="R2364" s="1" t="s">
        <v>25</v>
      </c>
      <c r="T2364" s="1" t="str">
        <f t="shared" si="4641"/>
        <v>0</v>
      </c>
      <c r="U2364" s="1" t="str">
        <f t="shared" ref="U2364:U2370" si="4759">"0.0070"</f>
        <v>0.0070</v>
      </c>
    </row>
    <row r="2365" s="1" customFormat="1" spans="1:21">
      <c r="A2365" s="1" t="str">
        <f>"4601992040172"</f>
        <v>4601992040172</v>
      </c>
      <c r="B2365" s="1" t="s">
        <v>2389</v>
      </c>
      <c r="C2365" s="1" t="s">
        <v>24</v>
      </c>
      <c r="D2365" s="1" t="str">
        <f t="shared" si="4637"/>
        <v>2021</v>
      </c>
      <c r="E2365" s="1" t="str">
        <f t="shared" ref="E2365:P2365" si="4760">"0"</f>
        <v>0</v>
      </c>
      <c r="F2365" s="1" t="str">
        <f t="shared" si="4760"/>
        <v>0</v>
      </c>
      <c r="G2365" s="1" t="str">
        <f t="shared" si="4760"/>
        <v>0</v>
      </c>
      <c r="H2365" s="1" t="str">
        <f t="shared" si="4760"/>
        <v>0</v>
      </c>
      <c r="I2365" s="1" t="str">
        <f t="shared" si="4760"/>
        <v>0</v>
      </c>
      <c r="J2365" s="1" t="str">
        <f t="shared" si="4760"/>
        <v>0</v>
      </c>
      <c r="K2365" s="1" t="str">
        <f t="shared" si="4760"/>
        <v>0</v>
      </c>
      <c r="L2365" s="1" t="str">
        <f t="shared" si="4760"/>
        <v>0</v>
      </c>
      <c r="M2365" s="1" t="str">
        <f t="shared" si="4760"/>
        <v>0</v>
      </c>
      <c r="N2365" s="1" t="str">
        <f t="shared" si="4760"/>
        <v>0</v>
      </c>
      <c r="O2365" s="1" t="str">
        <f t="shared" si="4760"/>
        <v>0</v>
      </c>
      <c r="P2365" s="1" t="str">
        <f t="shared" si="4760"/>
        <v>0</v>
      </c>
      <c r="Q2365" s="1" t="str">
        <f t="shared" si="4640"/>
        <v>0.0070</v>
      </c>
      <c r="R2365" s="1" t="s">
        <v>25</v>
      </c>
      <c r="T2365" s="1" t="str">
        <f t="shared" si="4641"/>
        <v>0</v>
      </c>
      <c r="U2365" s="1" t="str">
        <f t="shared" si="4759"/>
        <v>0.0070</v>
      </c>
    </row>
    <row r="2366" s="1" customFormat="1" spans="1:21">
      <c r="A2366" s="1" t="str">
        <f>"4601992040079"</f>
        <v>4601992040079</v>
      </c>
      <c r="B2366" s="1" t="s">
        <v>2390</v>
      </c>
      <c r="C2366" s="1" t="s">
        <v>24</v>
      </c>
      <c r="D2366" s="1" t="str">
        <f t="shared" si="4637"/>
        <v>2021</v>
      </c>
      <c r="E2366" s="1" t="str">
        <f>"24.18"</f>
        <v>24.18</v>
      </c>
      <c r="F2366" s="1" t="str">
        <f t="shared" ref="F2366:I2366" si="4761">"0"</f>
        <v>0</v>
      </c>
      <c r="G2366" s="1" t="str">
        <f t="shared" si="4761"/>
        <v>0</v>
      </c>
      <c r="H2366" s="1" t="str">
        <f t="shared" si="4761"/>
        <v>0</v>
      </c>
      <c r="I2366" s="1" t="str">
        <f t="shared" si="4761"/>
        <v>0</v>
      </c>
      <c r="J2366" s="1" t="str">
        <f>"2"</f>
        <v>2</v>
      </c>
      <c r="K2366" s="1" t="str">
        <f t="shared" ref="K2366:P2366" si="4762">"0"</f>
        <v>0</v>
      </c>
      <c r="L2366" s="1" t="str">
        <f t="shared" si="4762"/>
        <v>0</v>
      </c>
      <c r="M2366" s="1" t="str">
        <f t="shared" si="4762"/>
        <v>0</v>
      </c>
      <c r="N2366" s="1" t="str">
        <f t="shared" si="4762"/>
        <v>0</v>
      </c>
      <c r="O2366" s="1" t="str">
        <f t="shared" si="4762"/>
        <v>0</v>
      </c>
      <c r="P2366" s="1" t="str">
        <f t="shared" si="4762"/>
        <v>0</v>
      </c>
      <c r="Q2366" s="1" t="str">
        <f t="shared" si="4640"/>
        <v>0.0070</v>
      </c>
      <c r="R2366" s="1" t="s">
        <v>29</v>
      </c>
      <c r="S2366" s="1">
        <v>-0.0014</v>
      </c>
      <c r="T2366" s="1" t="str">
        <f t="shared" si="4641"/>
        <v>0</v>
      </c>
      <c r="U2366" s="1" t="str">
        <f>"0.0056"</f>
        <v>0.0056</v>
      </c>
    </row>
    <row r="2367" s="1" customFormat="1" spans="1:21">
      <c r="A2367" s="1" t="str">
        <f>"4601992040233"</f>
        <v>4601992040233</v>
      </c>
      <c r="B2367" s="1" t="s">
        <v>2391</v>
      </c>
      <c r="C2367" s="1" t="s">
        <v>24</v>
      </c>
      <c r="D2367" s="1" t="str">
        <f t="shared" si="4637"/>
        <v>2021</v>
      </c>
      <c r="E2367" s="1" t="str">
        <f t="shared" ref="E2367:P2367" si="4763">"0"</f>
        <v>0</v>
      </c>
      <c r="F2367" s="1" t="str">
        <f t="shared" si="4763"/>
        <v>0</v>
      </c>
      <c r="G2367" s="1" t="str">
        <f t="shared" si="4763"/>
        <v>0</v>
      </c>
      <c r="H2367" s="1" t="str">
        <f t="shared" si="4763"/>
        <v>0</v>
      </c>
      <c r="I2367" s="1" t="str">
        <f t="shared" si="4763"/>
        <v>0</v>
      </c>
      <c r="J2367" s="1" t="str">
        <f t="shared" si="4763"/>
        <v>0</v>
      </c>
      <c r="K2367" s="1" t="str">
        <f t="shared" si="4763"/>
        <v>0</v>
      </c>
      <c r="L2367" s="1" t="str">
        <f t="shared" si="4763"/>
        <v>0</v>
      </c>
      <c r="M2367" s="1" t="str">
        <f t="shared" si="4763"/>
        <v>0</v>
      </c>
      <c r="N2367" s="1" t="str">
        <f t="shared" si="4763"/>
        <v>0</v>
      </c>
      <c r="O2367" s="1" t="str">
        <f t="shared" si="4763"/>
        <v>0</v>
      </c>
      <c r="P2367" s="1" t="str">
        <f t="shared" si="4763"/>
        <v>0</v>
      </c>
      <c r="Q2367" s="1" t="str">
        <f t="shared" si="4640"/>
        <v>0.0070</v>
      </c>
      <c r="R2367" s="1" t="s">
        <v>25</v>
      </c>
      <c r="T2367" s="1" t="str">
        <f t="shared" si="4641"/>
        <v>0</v>
      </c>
      <c r="U2367" s="1" t="str">
        <f t="shared" si="4759"/>
        <v>0.0070</v>
      </c>
    </row>
    <row r="2368" s="1" customFormat="1" spans="1:21">
      <c r="A2368" s="1" t="str">
        <f>"4601992040279"</f>
        <v>4601992040279</v>
      </c>
      <c r="B2368" s="1" t="s">
        <v>2392</v>
      </c>
      <c r="C2368" s="1" t="s">
        <v>24</v>
      </c>
      <c r="D2368" s="1" t="str">
        <f t="shared" si="4637"/>
        <v>2021</v>
      </c>
      <c r="E2368" s="1" t="str">
        <f t="shared" ref="E2368:P2368" si="4764">"0"</f>
        <v>0</v>
      </c>
      <c r="F2368" s="1" t="str">
        <f t="shared" si="4764"/>
        <v>0</v>
      </c>
      <c r="G2368" s="1" t="str">
        <f t="shared" si="4764"/>
        <v>0</v>
      </c>
      <c r="H2368" s="1" t="str">
        <f t="shared" si="4764"/>
        <v>0</v>
      </c>
      <c r="I2368" s="1" t="str">
        <f t="shared" si="4764"/>
        <v>0</v>
      </c>
      <c r="J2368" s="1" t="str">
        <f t="shared" si="4764"/>
        <v>0</v>
      </c>
      <c r="K2368" s="1" t="str">
        <f t="shared" si="4764"/>
        <v>0</v>
      </c>
      <c r="L2368" s="1" t="str">
        <f t="shared" si="4764"/>
        <v>0</v>
      </c>
      <c r="M2368" s="1" t="str">
        <f t="shared" si="4764"/>
        <v>0</v>
      </c>
      <c r="N2368" s="1" t="str">
        <f t="shared" si="4764"/>
        <v>0</v>
      </c>
      <c r="O2368" s="1" t="str">
        <f t="shared" si="4764"/>
        <v>0</v>
      </c>
      <c r="P2368" s="1" t="str">
        <f t="shared" si="4764"/>
        <v>0</v>
      </c>
      <c r="Q2368" s="1" t="str">
        <f t="shared" si="4640"/>
        <v>0.0070</v>
      </c>
      <c r="R2368" s="1" t="s">
        <v>25</v>
      </c>
      <c r="T2368" s="1" t="str">
        <f t="shared" si="4641"/>
        <v>0</v>
      </c>
      <c r="U2368" s="1" t="str">
        <f t="shared" si="4759"/>
        <v>0.0070</v>
      </c>
    </row>
    <row r="2369" s="1" customFormat="1" spans="1:21">
      <c r="A2369" s="1" t="str">
        <f>"4601992040296"</f>
        <v>4601992040296</v>
      </c>
      <c r="B2369" s="1" t="s">
        <v>2393</v>
      </c>
      <c r="C2369" s="1" t="s">
        <v>24</v>
      </c>
      <c r="D2369" s="1" t="str">
        <f t="shared" si="4637"/>
        <v>2021</v>
      </c>
      <c r="E2369" s="1" t="str">
        <f t="shared" ref="E2369:P2369" si="4765">"0"</f>
        <v>0</v>
      </c>
      <c r="F2369" s="1" t="str">
        <f t="shared" si="4765"/>
        <v>0</v>
      </c>
      <c r="G2369" s="1" t="str">
        <f t="shared" si="4765"/>
        <v>0</v>
      </c>
      <c r="H2369" s="1" t="str">
        <f t="shared" si="4765"/>
        <v>0</v>
      </c>
      <c r="I2369" s="1" t="str">
        <f t="shared" si="4765"/>
        <v>0</v>
      </c>
      <c r="J2369" s="1" t="str">
        <f t="shared" si="4765"/>
        <v>0</v>
      </c>
      <c r="K2369" s="1" t="str">
        <f t="shared" si="4765"/>
        <v>0</v>
      </c>
      <c r="L2369" s="1" t="str">
        <f t="shared" si="4765"/>
        <v>0</v>
      </c>
      <c r="M2369" s="1" t="str">
        <f t="shared" si="4765"/>
        <v>0</v>
      </c>
      <c r="N2369" s="1" t="str">
        <f t="shared" si="4765"/>
        <v>0</v>
      </c>
      <c r="O2369" s="1" t="str">
        <f t="shared" si="4765"/>
        <v>0</v>
      </c>
      <c r="P2369" s="1" t="str">
        <f t="shared" si="4765"/>
        <v>0</v>
      </c>
      <c r="Q2369" s="1" t="str">
        <f t="shared" si="4640"/>
        <v>0.0070</v>
      </c>
      <c r="R2369" s="1" t="s">
        <v>25</v>
      </c>
      <c r="T2369" s="1" t="str">
        <f t="shared" si="4641"/>
        <v>0</v>
      </c>
      <c r="U2369" s="1" t="str">
        <f t="shared" si="4759"/>
        <v>0.0070</v>
      </c>
    </row>
    <row r="2370" s="1" customFormat="1" spans="1:21">
      <c r="A2370" s="1" t="str">
        <f>"4601992040376"</f>
        <v>4601992040376</v>
      </c>
      <c r="B2370" s="1" t="s">
        <v>2394</v>
      </c>
      <c r="C2370" s="1" t="s">
        <v>24</v>
      </c>
      <c r="D2370" s="1" t="str">
        <f t="shared" si="4637"/>
        <v>2021</v>
      </c>
      <c r="E2370" s="1" t="str">
        <f t="shared" ref="E2370:P2370" si="4766">"0"</f>
        <v>0</v>
      </c>
      <c r="F2370" s="1" t="str">
        <f t="shared" si="4766"/>
        <v>0</v>
      </c>
      <c r="G2370" s="1" t="str">
        <f t="shared" si="4766"/>
        <v>0</v>
      </c>
      <c r="H2370" s="1" t="str">
        <f t="shared" si="4766"/>
        <v>0</v>
      </c>
      <c r="I2370" s="1" t="str">
        <f t="shared" si="4766"/>
        <v>0</v>
      </c>
      <c r="J2370" s="1" t="str">
        <f t="shared" si="4766"/>
        <v>0</v>
      </c>
      <c r="K2370" s="1" t="str">
        <f t="shared" si="4766"/>
        <v>0</v>
      </c>
      <c r="L2370" s="1" t="str">
        <f t="shared" si="4766"/>
        <v>0</v>
      </c>
      <c r="M2370" s="1" t="str">
        <f t="shared" si="4766"/>
        <v>0</v>
      </c>
      <c r="N2370" s="1" t="str">
        <f t="shared" si="4766"/>
        <v>0</v>
      </c>
      <c r="O2370" s="1" t="str">
        <f t="shared" si="4766"/>
        <v>0</v>
      </c>
      <c r="P2370" s="1" t="str">
        <f t="shared" si="4766"/>
        <v>0</v>
      </c>
      <c r="Q2370" s="1" t="str">
        <f t="shared" si="4640"/>
        <v>0.0070</v>
      </c>
      <c r="R2370" s="1" t="s">
        <v>25</v>
      </c>
      <c r="T2370" s="1" t="str">
        <f t="shared" si="4641"/>
        <v>0</v>
      </c>
      <c r="U2370" s="1" t="str">
        <f t="shared" si="4759"/>
        <v>0.0070</v>
      </c>
    </row>
    <row r="2371" s="1" customFormat="1" spans="1:21">
      <c r="A2371" s="1" t="str">
        <f>"4601992040266"</f>
        <v>4601992040266</v>
      </c>
      <c r="B2371" s="1" t="s">
        <v>2395</v>
      </c>
      <c r="C2371" s="1" t="s">
        <v>24</v>
      </c>
      <c r="D2371" s="1" t="str">
        <f t="shared" ref="D2371:D2434" si="4767">"2021"</f>
        <v>2021</v>
      </c>
      <c r="E2371" s="1" t="str">
        <f>"24.18"</f>
        <v>24.18</v>
      </c>
      <c r="F2371" s="1" t="str">
        <f t="shared" ref="F2371:I2371" si="4768">"0"</f>
        <v>0</v>
      </c>
      <c r="G2371" s="1" t="str">
        <f t="shared" si="4768"/>
        <v>0</v>
      </c>
      <c r="H2371" s="1" t="str">
        <f t="shared" si="4768"/>
        <v>0</v>
      </c>
      <c r="I2371" s="1" t="str">
        <f t="shared" si="4768"/>
        <v>0</v>
      </c>
      <c r="J2371" s="1" t="str">
        <f>"2"</f>
        <v>2</v>
      </c>
      <c r="K2371" s="1" t="str">
        <f t="shared" ref="K2371:P2371" si="4769">"0"</f>
        <v>0</v>
      </c>
      <c r="L2371" s="1" t="str">
        <f t="shared" si="4769"/>
        <v>0</v>
      </c>
      <c r="M2371" s="1" t="str">
        <f t="shared" si="4769"/>
        <v>0</v>
      </c>
      <c r="N2371" s="1" t="str">
        <f t="shared" si="4769"/>
        <v>0</v>
      </c>
      <c r="O2371" s="1" t="str">
        <f t="shared" si="4769"/>
        <v>0</v>
      </c>
      <c r="P2371" s="1" t="str">
        <f t="shared" si="4769"/>
        <v>0</v>
      </c>
      <c r="Q2371" s="1" t="str">
        <f t="shared" ref="Q2371:Q2434" si="4770">"0.0070"</f>
        <v>0.0070</v>
      </c>
      <c r="R2371" s="1" t="s">
        <v>29</v>
      </c>
      <c r="S2371" s="1">
        <v>-0.0014</v>
      </c>
      <c r="T2371" s="1" t="str">
        <f t="shared" ref="T2371:T2434" si="4771">"0"</f>
        <v>0</v>
      </c>
      <c r="U2371" s="1" t="str">
        <f t="shared" ref="U2371:U2375" si="4772">"0.0056"</f>
        <v>0.0056</v>
      </c>
    </row>
    <row r="2372" s="1" customFormat="1" spans="1:21">
      <c r="A2372" s="1" t="str">
        <f>"4601992040412"</f>
        <v>4601992040412</v>
      </c>
      <c r="B2372" s="1" t="s">
        <v>2396</v>
      </c>
      <c r="C2372" s="1" t="s">
        <v>24</v>
      </c>
      <c r="D2372" s="1" t="str">
        <f t="shared" si="4767"/>
        <v>2021</v>
      </c>
      <c r="E2372" s="1" t="str">
        <f t="shared" ref="E2372:P2372" si="4773">"0"</f>
        <v>0</v>
      </c>
      <c r="F2372" s="1" t="str">
        <f t="shared" si="4773"/>
        <v>0</v>
      </c>
      <c r="G2372" s="1" t="str">
        <f t="shared" si="4773"/>
        <v>0</v>
      </c>
      <c r="H2372" s="1" t="str">
        <f t="shared" si="4773"/>
        <v>0</v>
      </c>
      <c r="I2372" s="1" t="str">
        <f t="shared" si="4773"/>
        <v>0</v>
      </c>
      <c r="J2372" s="1" t="str">
        <f t="shared" si="4773"/>
        <v>0</v>
      </c>
      <c r="K2372" s="1" t="str">
        <f t="shared" si="4773"/>
        <v>0</v>
      </c>
      <c r="L2372" s="1" t="str">
        <f t="shared" si="4773"/>
        <v>0</v>
      </c>
      <c r="M2372" s="1" t="str">
        <f t="shared" si="4773"/>
        <v>0</v>
      </c>
      <c r="N2372" s="1" t="str">
        <f t="shared" si="4773"/>
        <v>0</v>
      </c>
      <c r="O2372" s="1" t="str">
        <f t="shared" si="4773"/>
        <v>0</v>
      </c>
      <c r="P2372" s="1" t="str">
        <f t="shared" si="4773"/>
        <v>0</v>
      </c>
      <c r="Q2372" s="1" t="str">
        <f t="shared" si="4770"/>
        <v>0.0070</v>
      </c>
      <c r="R2372" s="1" t="s">
        <v>25</v>
      </c>
      <c r="T2372" s="1" t="str">
        <f t="shared" si="4771"/>
        <v>0</v>
      </c>
      <c r="U2372" s="1" t="str">
        <f t="shared" ref="U2372:U2377" si="4774">"0.0070"</f>
        <v>0.0070</v>
      </c>
    </row>
    <row r="2373" s="1" customFormat="1" spans="1:21">
      <c r="A2373" s="1" t="str">
        <f>"4601992040390"</f>
        <v>4601992040390</v>
      </c>
      <c r="B2373" s="1" t="s">
        <v>2397</v>
      </c>
      <c r="C2373" s="1" t="s">
        <v>24</v>
      </c>
      <c r="D2373" s="1" t="str">
        <f t="shared" si="4767"/>
        <v>2021</v>
      </c>
      <c r="E2373" s="1" t="str">
        <f>"24.07"</f>
        <v>24.07</v>
      </c>
      <c r="F2373" s="1" t="str">
        <f t="shared" ref="F2373:I2373" si="4775">"0"</f>
        <v>0</v>
      </c>
      <c r="G2373" s="1" t="str">
        <f t="shared" si="4775"/>
        <v>0</v>
      </c>
      <c r="H2373" s="1" t="str">
        <f t="shared" si="4775"/>
        <v>0</v>
      </c>
      <c r="I2373" s="1" t="str">
        <f t="shared" si="4775"/>
        <v>0</v>
      </c>
      <c r="J2373" s="1" t="str">
        <f>"2"</f>
        <v>2</v>
      </c>
      <c r="K2373" s="1" t="str">
        <f t="shared" ref="K2373:P2373" si="4776">"0"</f>
        <v>0</v>
      </c>
      <c r="L2373" s="1" t="str">
        <f t="shared" si="4776"/>
        <v>0</v>
      </c>
      <c r="M2373" s="1" t="str">
        <f t="shared" si="4776"/>
        <v>0</v>
      </c>
      <c r="N2373" s="1" t="str">
        <f t="shared" si="4776"/>
        <v>0</v>
      </c>
      <c r="O2373" s="1" t="str">
        <f t="shared" si="4776"/>
        <v>0</v>
      </c>
      <c r="P2373" s="1" t="str">
        <f t="shared" si="4776"/>
        <v>0</v>
      </c>
      <c r="Q2373" s="1" t="str">
        <f t="shared" si="4770"/>
        <v>0.0070</v>
      </c>
      <c r="R2373" s="1" t="s">
        <v>29</v>
      </c>
      <c r="S2373" s="1">
        <v>-0.0014</v>
      </c>
      <c r="T2373" s="1" t="str">
        <f t="shared" si="4771"/>
        <v>0</v>
      </c>
      <c r="U2373" s="1" t="str">
        <f t="shared" si="4772"/>
        <v>0.0056</v>
      </c>
    </row>
    <row r="2374" s="1" customFormat="1" spans="1:21">
      <c r="A2374" s="1" t="str">
        <f>"4601992040381"</f>
        <v>4601992040381</v>
      </c>
      <c r="B2374" s="1" t="s">
        <v>2398</v>
      </c>
      <c r="C2374" s="1" t="s">
        <v>24</v>
      </c>
      <c r="D2374" s="1" t="str">
        <f t="shared" si="4767"/>
        <v>2021</v>
      </c>
      <c r="E2374" s="1" t="str">
        <f>"24.18"</f>
        <v>24.18</v>
      </c>
      <c r="F2374" s="1" t="str">
        <f t="shared" ref="F2374:I2374" si="4777">"0"</f>
        <v>0</v>
      </c>
      <c r="G2374" s="1" t="str">
        <f t="shared" si="4777"/>
        <v>0</v>
      </c>
      <c r="H2374" s="1" t="str">
        <f t="shared" si="4777"/>
        <v>0</v>
      </c>
      <c r="I2374" s="1" t="str">
        <f t="shared" si="4777"/>
        <v>0</v>
      </c>
      <c r="J2374" s="1" t="str">
        <f t="shared" ref="J2374:J2378" si="4778">"1"</f>
        <v>1</v>
      </c>
      <c r="K2374" s="1" t="str">
        <f t="shared" ref="K2374:P2374" si="4779">"0"</f>
        <v>0</v>
      </c>
      <c r="L2374" s="1" t="str">
        <f t="shared" si="4779"/>
        <v>0</v>
      </c>
      <c r="M2374" s="1" t="str">
        <f t="shared" si="4779"/>
        <v>0</v>
      </c>
      <c r="N2374" s="1" t="str">
        <f t="shared" si="4779"/>
        <v>0</v>
      </c>
      <c r="O2374" s="1" t="str">
        <f t="shared" si="4779"/>
        <v>0</v>
      </c>
      <c r="P2374" s="1" t="str">
        <f t="shared" si="4779"/>
        <v>0</v>
      </c>
      <c r="Q2374" s="1" t="str">
        <f t="shared" si="4770"/>
        <v>0.0070</v>
      </c>
      <c r="R2374" s="1" t="s">
        <v>29</v>
      </c>
      <c r="S2374" s="1">
        <v>-0.0014</v>
      </c>
      <c r="T2374" s="1" t="str">
        <f t="shared" si="4771"/>
        <v>0</v>
      </c>
      <c r="U2374" s="1" t="str">
        <f t="shared" si="4772"/>
        <v>0.0056</v>
      </c>
    </row>
    <row r="2375" s="1" customFormat="1" spans="1:21">
      <c r="A2375" s="1" t="str">
        <f>"4601992040415"</f>
        <v>4601992040415</v>
      </c>
      <c r="B2375" s="1" t="s">
        <v>2399</v>
      </c>
      <c r="C2375" s="1" t="s">
        <v>24</v>
      </c>
      <c r="D2375" s="1" t="str">
        <f t="shared" si="4767"/>
        <v>2021</v>
      </c>
      <c r="E2375" s="1" t="str">
        <f>"60.34"</f>
        <v>60.34</v>
      </c>
      <c r="F2375" s="1" t="str">
        <f t="shared" ref="F2375:I2375" si="4780">"0"</f>
        <v>0</v>
      </c>
      <c r="G2375" s="1" t="str">
        <f t="shared" si="4780"/>
        <v>0</v>
      </c>
      <c r="H2375" s="1" t="str">
        <f t="shared" si="4780"/>
        <v>0</v>
      </c>
      <c r="I2375" s="1" t="str">
        <f t="shared" si="4780"/>
        <v>0</v>
      </c>
      <c r="J2375" s="1" t="str">
        <f>"5"</f>
        <v>5</v>
      </c>
      <c r="K2375" s="1" t="str">
        <f t="shared" ref="K2375:P2375" si="4781">"0"</f>
        <v>0</v>
      </c>
      <c r="L2375" s="1" t="str">
        <f t="shared" si="4781"/>
        <v>0</v>
      </c>
      <c r="M2375" s="1" t="str">
        <f t="shared" si="4781"/>
        <v>0</v>
      </c>
      <c r="N2375" s="1" t="str">
        <f t="shared" si="4781"/>
        <v>0</v>
      </c>
      <c r="O2375" s="1" t="str">
        <f t="shared" si="4781"/>
        <v>0</v>
      </c>
      <c r="P2375" s="1" t="str">
        <f t="shared" si="4781"/>
        <v>0</v>
      </c>
      <c r="Q2375" s="1" t="str">
        <f t="shared" si="4770"/>
        <v>0.0070</v>
      </c>
      <c r="R2375" s="1" t="s">
        <v>29</v>
      </c>
      <c r="S2375" s="1">
        <v>-0.0014</v>
      </c>
      <c r="T2375" s="1" t="str">
        <f t="shared" si="4771"/>
        <v>0</v>
      </c>
      <c r="U2375" s="1" t="str">
        <f t="shared" si="4772"/>
        <v>0.0056</v>
      </c>
    </row>
    <row r="2376" s="1" customFormat="1" spans="1:21">
      <c r="A2376" s="1" t="str">
        <f>"4601992040509"</f>
        <v>4601992040509</v>
      </c>
      <c r="B2376" s="1" t="s">
        <v>2400</v>
      </c>
      <c r="C2376" s="1" t="s">
        <v>24</v>
      </c>
      <c r="D2376" s="1" t="str">
        <f t="shared" si="4767"/>
        <v>2021</v>
      </c>
      <c r="E2376" s="1" t="str">
        <f t="shared" ref="E2376:P2376" si="4782">"0"</f>
        <v>0</v>
      </c>
      <c r="F2376" s="1" t="str">
        <f t="shared" si="4782"/>
        <v>0</v>
      </c>
      <c r="G2376" s="1" t="str">
        <f t="shared" si="4782"/>
        <v>0</v>
      </c>
      <c r="H2376" s="1" t="str">
        <f t="shared" si="4782"/>
        <v>0</v>
      </c>
      <c r="I2376" s="1" t="str">
        <f t="shared" si="4782"/>
        <v>0</v>
      </c>
      <c r="J2376" s="1" t="str">
        <f t="shared" si="4782"/>
        <v>0</v>
      </c>
      <c r="K2376" s="1" t="str">
        <f t="shared" si="4782"/>
        <v>0</v>
      </c>
      <c r="L2376" s="1" t="str">
        <f t="shared" si="4782"/>
        <v>0</v>
      </c>
      <c r="M2376" s="1" t="str">
        <f t="shared" si="4782"/>
        <v>0</v>
      </c>
      <c r="N2376" s="1" t="str">
        <f t="shared" si="4782"/>
        <v>0</v>
      </c>
      <c r="O2376" s="1" t="str">
        <f t="shared" si="4782"/>
        <v>0</v>
      </c>
      <c r="P2376" s="1" t="str">
        <f t="shared" si="4782"/>
        <v>0</v>
      </c>
      <c r="Q2376" s="1" t="str">
        <f t="shared" si="4770"/>
        <v>0.0070</v>
      </c>
      <c r="R2376" s="1" t="s">
        <v>25</v>
      </c>
      <c r="T2376" s="1" t="str">
        <f t="shared" si="4771"/>
        <v>0</v>
      </c>
      <c r="U2376" s="1" t="str">
        <f t="shared" si="4774"/>
        <v>0.0070</v>
      </c>
    </row>
    <row r="2377" s="1" customFormat="1" spans="1:21">
      <c r="A2377" s="1" t="str">
        <f>"4601992040422"</f>
        <v>4601992040422</v>
      </c>
      <c r="B2377" s="1" t="s">
        <v>2401</v>
      </c>
      <c r="C2377" s="1" t="s">
        <v>24</v>
      </c>
      <c r="D2377" s="1" t="str">
        <f t="shared" si="4767"/>
        <v>2021</v>
      </c>
      <c r="E2377" s="1" t="str">
        <f t="shared" ref="E2377:G2377" si="4783">"0"</f>
        <v>0</v>
      </c>
      <c r="F2377" s="1" t="str">
        <f t="shared" si="4783"/>
        <v>0</v>
      </c>
      <c r="G2377" s="1" t="str">
        <f t="shared" si="4783"/>
        <v>0</v>
      </c>
      <c r="H2377" s="1" t="str">
        <f>"40.09"</f>
        <v>40.09</v>
      </c>
      <c r="I2377" s="1" t="str">
        <f t="shared" ref="I2377:P2377" si="4784">"0"</f>
        <v>0</v>
      </c>
      <c r="J2377" s="1" t="str">
        <f t="shared" si="4778"/>
        <v>1</v>
      </c>
      <c r="K2377" s="1" t="str">
        <f t="shared" si="4784"/>
        <v>0</v>
      </c>
      <c r="L2377" s="1" t="str">
        <f t="shared" si="4784"/>
        <v>0</v>
      </c>
      <c r="M2377" s="1" t="str">
        <f t="shared" si="4784"/>
        <v>0</v>
      </c>
      <c r="N2377" s="1" t="str">
        <f t="shared" si="4784"/>
        <v>0</v>
      </c>
      <c r="O2377" s="1" t="str">
        <f t="shared" si="4784"/>
        <v>0</v>
      </c>
      <c r="P2377" s="1" t="str">
        <f t="shared" si="4784"/>
        <v>0</v>
      </c>
      <c r="Q2377" s="1" t="str">
        <f t="shared" si="4770"/>
        <v>0.0070</v>
      </c>
      <c r="R2377" s="1" t="s">
        <v>25</v>
      </c>
      <c r="T2377" s="1" t="str">
        <f t="shared" si="4771"/>
        <v>0</v>
      </c>
      <c r="U2377" s="1" t="str">
        <f t="shared" si="4774"/>
        <v>0.0070</v>
      </c>
    </row>
    <row r="2378" s="1" customFormat="1" spans="1:21">
      <c r="A2378" s="1" t="str">
        <f>"4601992040421"</f>
        <v>4601992040421</v>
      </c>
      <c r="B2378" s="1" t="s">
        <v>2402</v>
      </c>
      <c r="C2378" s="1" t="s">
        <v>24</v>
      </c>
      <c r="D2378" s="1" t="str">
        <f t="shared" si="4767"/>
        <v>2021</v>
      </c>
      <c r="E2378" s="1" t="str">
        <f>"12.09"</f>
        <v>12.09</v>
      </c>
      <c r="F2378" s="1" t="str">
        <f t="shared" ref="F2378:I2378" si="4785">"0"</f>
        <v>0</v>
      </c>
      <c r="G2378" s="1" t="str">
        <f t="shared" si="4785"/>
        <v>0</v>
      </c>
      <c r="H2378" s="1" t="str">
        <f t="shared" si="4785"/>
        <v>0</v>
      </c>
      <c r="I2378" s="1" t="str">
        <f t="shared" si="4785"/>
        <v>0</v>
      </c>
      <c r="J2378" s="1" t="str">
        <f t="shared" si="4778"/>
        <v>1</v>
      </c>
      <c r="K2378" s="1" t="str">
        <f t="shared" ref="K2378:P2378" si="4786">"0"</f>
        <v>0</v>
      </c>
      <c r="L2378" s="1" t="str">
        <f t="shared" si="4786"/>
        <v>0</v>
      </c>
      <c r="M2378" s="1" t="str">
        <f t="shared" si="4786"/>
        <v>0</v>
      </c>
      <c r="N2378" s="1" t="str">
        <f t="shared" si="4786"/>
        <v>0</v>
      </c>
      <c r="O2378" s="1" t="str">
        <f t="shared" si="4786"/>
        <v>0</v>
      </c>
      <c r="P2378" s="1" t="str">
        <f t="shared" si="4786"/>
        <v>0</v>
      </c>
      <c r="Q2378" s="1" t="str">
        <f t="shared" si="4770"/>
        <v>0.0070</v>
      </c>
      <c r="R2378" s="1" t="s">
        <v>29</v>
      </c>
      <c r="S2378" s="1">
        <v>-0.0014</v>
      </c>
      <c r="T2378" s="1" t="str">
        <f t="shared" si="4771"/>
        <v>0</v>
      </c>
      <c r="U2378" s="1" t="str">
        <f t="shared" ref="U2378:U2382" si="4787">"0.0056"</f>
        <v>0.0056</v>
      </c>
    </row>
    <row r="2379" s="1" customFormat="1" spans="1:21">
      <c r="A2379" s="1" t="str">
        <f>"4601992040575"</f>
        <v>4601992040575</v>
      </c>
      <c r="B2379" s="1" t="s">
        <v>2403</v>
      </c>
      <c r="C2379" s="1" t="s">
        <v>24</v>
      </c>
      <c r="D2379" s="1" t="str">
        <f t="shared" si="4767"/>
        <v>2021</v>
      </c>
      <c r="E2379" s="1" t="str">
        <f t="shared" ref="E2379:P2379" si="4788">"0"</f>
        <v>0</v>
      </c>
      <c r="F2379" s="1" t="str">
        <f t="shared" si="4788"/>
        <v>0</v>
      </c>
      <c r="G2379" s="1" t="str">
        <f t="shared" si="4788"/>
        <v>0</v>
      </c>
      <c r="H2379" s="1" t="str">
        <f t="shared" si="4788"/>
        <v>0</v>
      </c>
      <c r="I2379" s="1" t="str">
        <f t="shared" si="4788"/>
        <v>0</v>
      </c>
      <c r="J2379" s="1" t="str">
        <f t="shared" si="4788"/>
        <v>0</v>
      </c>
      <c r="K2379" s="1" t="str">
        <f t="shared" si="4788"/>
        <v>0</v>
      </c>
      <c r="L2379" s="1" t="str">
        <f t="shared" si="4788"/>
        <v>0</v>
      </c>
      <c r="M2379" s="1" t="str">
        <f t="shared" si="4788"/>
        <v>0</v>
      </c>
      <c r="N2379" s="1" t="str">
        <f t="shared" si="4788"/>
        <v>0</v>
      </c>
      <c r="O2379" s="1" t="str">
        <f t="shared" si="4788"/>
        <v>0</v>
      </c>
      <c r="P2379" s="1" t="str">
        <f t="shared" si="4788"/>
        <v>0</v>
      </c>
      <c r="Q2379" s="1" t="str">
        <f t="shared" si="4770"/>
        <v>0.0070</v>
      </c>
      <c r="R2379" s="1" t="s">
        <v>25</v>
      </c>
      <c r="T2379" s="1" t="str">
        <f t="shared" si="4771"/>
        <v>0</v>
      </c>
      <c r="U2379" s="1" t="str">
        <f t="shared" ref="U2379:U2384" si="4789">"0.0070"</f>
        <v>0.0070</v>
      </c>
    </row>
    <row r="2380" s="1" customFormat="1" spans="1:21">
      <c r="A2380" s="1" t="str">
        <f>"4601992040431"</f>
        <v>4601992040431</v>
      </c>
      <c r="B2380" s="1" t="s">
        <v>2404</v>
      </c>
      <c r="C2380" s="1" t="s">
        <v>24</v>
      </c>
      <c r="D2380" s="1" t="str">
        <f t="shared" si="4767"/>
        <v>2021</v>
      </c>
      <c r="E2380" s="1" t="str">
        <f>"96.72"</f>
        <v>96.72</v>
      </c>
      <c r="F2380" s="1" t="str">
        <f t="shared" ref="F2380:I2380" si="4790">"0"</f>
        <v>0</v>
      </c>
      <c r="G2380" s="1" t="str">
        <f t="shared" si="4790"/>
        <v>0</v>
      </c>
      <c r="H2380" s="1" t="str">
        <f t="shared" si="4790"/>
        <v>0</v>
      </c>
      <c r="I2380" s="1" t="str">
        <f t="shared" si="4790"/>
        <v>0</v>
      </c>
      <c r="J2380" s="1" t="str">
        <f>"10"</f>
        <v>10</v>
      </c>
      <c r="K2380" s="1" t="str">
        <f t="shared" ref="K2380:P2380" si="4791">"0"</f>
        <v>0</v>
      </c>
      <c r="L2380" s="1" t="str">
        <f t="shared" si="4791"/>
        <v>0</v>
      </c>
      <c r="M2380" s="1" t="str">
        <f t="shared" si="4791"/>
        <v>0</v>
      </c>
      <c r="N2380" s="1" t="str">
        <f t="shared" si="4791"/>
        <v>0</v>
      </c>
      <c r="O2380" s="1" t="str">
        <f t="shared" si="4791"/>
        <v>0</v>
      </c>
      <c r="P2380" s="1" t="str">
        <f t="shared" si="4791"/>
        <v>0</v>
      </c>
      <c r="Q2380" s="1" t="str">
        <f t="shared" si="4770"/>
        <v>0.0070</v>
      </c>
      <c r="R2380" s="1" t="s">
        <v>29</v>
      </c>
      <c r="S2380" s="1">
        <v>-0.0014</v>
      </c>
      <c r="T2380" s="1" t="str">
        <f t="shared" si="4771"/>
        <v>0</v>
      </c>
      <c r="U2380" s="1" t="str">
        <f t="shared" si="4787"/>
        <v>0.0056</v>
      </c>
    </row>
    <row r="2381" s="1" customFormat="1" spans="1:21">
      <c r="A2381" s="1" t="str">
        <f>"4601992040582"</f>
        <v>4601992040582</v>
      </c>
      <c r="B2381" s="1" t="s">
        <v>2405</v>
      </c>
      <c r="C2381" s="1" t="s">
        <v>24</v>
      </c>
      <c r="D2381" s="1" t="str">
        <f t="shared" si="4767"/>
        <v>2021</v>
      </c>
      <c r="E2381" s="1" t="str">
        <f t="shared" ref="E2381:P2381" si="4792">"0"</f>
        <v>0</v>
      </c>
      <c r="F2381" s="1" t="str">
        <f t="shared" si="4792"/>
        <v>0</v>
      </c>
      <c r="G2381" s="1" t="str">
        <f t="shared" si="4792"/>
        <v>0</v>
      </c>
      <c r="H2381" s="1" t="str">
        <f t="shared" si="4792"/>
        <v>0</v>
      </c>
      <c r="I2381" s="1" t="str">
        <f t="shared" si="4792"/>
        <v>0</v>
      </c>
      <c r="J2381" s="1" t="str">
        <f t="shared" si="4792"/>
        <v>0</v>
      </c>
      <c r="K2381" s="1" t="str">
        <f t="shared" si="4792"/>
        <v>0</v>
      </c>
      <c r="L2381" s="1" t="str">
        <f t="shared" si="4792"/>
        <v>0</v>
      </c>
      <c r="M2381" s="1" t="str">
        <f t="shared" si="4792"/>
        <v>0</v>
      </c>
      <c r="N2381" s="1" t="str">
        <f t="shared" si="4792"/>
        <v>0</v>
      </c>
      <c r="O2381" s="1" t="str">
        <f t="shared" si="4792"/>
        <v>0</v>
      </c>
      <c r="P2381" s="1" t="str">
        <f t="shared" si="4792"/>
        <v>0</v>
      </c>
      <c r="Q2381" s="1" t="str">
        <f t="shared" si="4770"/>
        <v>0.0070</v>
      </c>
      <c r="R2381" s="1" t="s">
        <v>25</v>
      </c>
      <c r="T2381" s="1" t="str">
        <f t="shared" si="4771"/>
        <v>0</v>
      </c>
      <c r="U2381" s="1" t="str">
        <f t="shared" si="4789"/>
        <v>0.0070</v>
      </c>
    </row>
    <row r="2382" s="1" customFormat="1" spans="1:21">
      <c r="A2382" s="1" t="str">
        <f>"4601992040533"</f>
        <v>4601992040533</v>
      </c>
      <c r="B2382" s="1" t="s">
        <v>2406</v>
      </c>
      <c r="C2382" s="1" t="s">
        <v>24</v>
      </c>
      <c r="D2382" s="1" t="str">
        <f t="shared" si="4767"/>
        <v>2021</v>
      </c>
      <c r="E2382" s="1" t="str">
        <f>"24.18"</f>
        <v>24.18</v>
      </c>
      <c r="F2382" s="1" t="str">
        <f t="shared" ref="F2382:I2382" si="4793">"0"</f>
        <v>0</v>
      </c>
      <c r="G2382" s="1" t="str">
        <f t="shared" si="4793"/>
        <v>0</v>
      </c>
      <c r="H2382" s="1" t="str">
        <f t="shared" si="4793"/>
        <v>0</v>
      </c>
      <c r="I2382" s="1" t="str">
        <f t="shared" si="4793"/>
        <v>0</v>
      </c>
      <c r="J2382" s="1" t="str">
        <f>"2"</f>
        <v>2</v>
      </c>
      <c r="K2382" s="1" t="str">
        <f t="shared" ref="K2382:P2382" si="4794">"0"</f>
        <v>0</v>
      </c>
      <c r="L2382" s="1" t="str">
        <f t="shared" si="4794"/>
        <v>0</v>
      </c>
      <c r="M2382" s="1" t="str">
        <f t="shared" si="4794"/>
        <v>0</v>
      </c>
      <c r="N2382" s="1" t="str">
        <f t="shared" si="4794"/>
        <v>0</v>
      </c>
      <c r="O2382" s="1" t="str">
        <f t="shared" si="4794"/>
        <v>0</v>
      </c>
      <c r="P2382" s="1" t="str">
        <f t="shared" si="4794"/>
        <v>0</v>
      </c>
      <c r="Q2382" s="1" t="str">
        <f t="shared" si="4770"/>
        <v>0.0070</v>
      </c>
      <c r="R2382" s="1" t="s">
        <v>29</v>
      </c>
      <c r="S2382" s="1">
        <v>-0.0014</v>
      </c>
      <c r="T2382" s="1" t="str">
        <f t="shared" si="4771"/>
        <v>0</v>
      </c>
      <c r="U2382" s="1" t="str">
        <f t="shared" si="4787"/>
        <v>0.0056</v>
      </c>
    </row>
    <row r="2383" s="1" customFormat="1" spans="1:21">
      <c r="A2383" s="1" t="str">
        <f>"4601992040610"</f>
        <v>4601992040610</v>
      </c>
      <c r="B2383" s="1" t="s">
        <v>2407</v>
      </c>
      <c r="C2383" s="1" t="s">
        <v>24</v>
      </c>
      <c r="D2383" s="1" t="str">
        <f t="shared" si="4767"/>
        <v>2021</v>
      </c>
      <c r="E2383" s="1" t="str">
        <f t="shared" ref="E2383:P2383" si="4795">"0"</f>
        <v>0</v>
      </c>
      <c r="F2383" s="1" t="str">
        <f t="shared" si="4795"/>
        <v>0</v>
      </c>
      <c r="G2383" s="1" t="str">
        <f t="shared" si="4795"/>
        <v>0</v>
      </c>
      <c r="H2383" s="1" t="str">
        <f t="shared" si="4795"/>
        <v>0</v>
      </c>
      <c r="I2383" s="1" t="str">
        <f t="shared" si="4795"/>
        <v>0</v>
      </c>
      <c r="J2383" s="1" t="str">
        <f t="shared" si="4795"/>
        <v>0</v>
      </c>
      <c r="K2383" s="1" t="str">
        <f t="shared" si="4795"/>
        <v>0</v>
      </c>
      <c r="L2383" s="1" t="str">
        <f t="shared" si="4795"/>
        <v>0</v>
      </c>
      <c r="M2383" s="1" t="str">
        <f t="shared" si="4795"/>
        <v>0</v>
      </c>
      <c r="N2383" s="1" t="str">
        <f t="shared" si="4795"/>
        <v>0</v>
      </c>
      <c r="O2383" s="1" t="str">
        <f t="shared" si="4795"/>
        <v>0</v>
      </c>
      <c r="P2383" s="1" t="str">
        <f t="shared" si="4795"/>
        <v>0</v>
      </c>
      <c r="Q2383" s="1" t="str">
        <f t="shared" si="4770"/>
        <v>0.0070</v>
      </c>
      <c r="R2383" s="1" t="s">
        <v>25</v>
      </c>
      <c r="T2383" s="1" t="str">
        <f t="shared" si="4771"/>
        <v>0</v>
      </c>
      <c r="U2383" s="1" t="str">
        <f t="shared" si="4789"/>
        <v>0.0070</v>
      </c>
    </row>
    <row r="2384" s="1" customFormat="1" spans="1:21">
      <c r="A2384" s="1" t="str">
        <f>"4601992022499"</f>
        <v>4601992022499</v>
      </c>
      <c r="B2384" s="1" t="s">
        <v>2408</v>
      </c>
      <c r="C2384" s="1" t="s">
        <v>24</v>
      </c>
      <c r="D2384" s="1" t="str">
        <f t="shared" si="4767"/>
        <v>2021</v>
      </c>
      <c r="E2384" s="1" t="str">
        <f t="shared" ref="E2384:P2384" si="4796">"0"</f>
        <v>0</v>
      </c>
      <c r="F2384" s="1" t="str">
        <f t="shared" si="4796"/>
        <v>0</v>
      </c>
      <c r="G2384" s="1" t="str">
        <f t="shared" si="4796"/>
        <v>0</v>
      </c>
      <c r="H2384" s="1" t="str">
        <f t="shared" si="4796"/>
        <v>0</v>
      </c>
      <c r="I2384" s="1" t="str">
        <f t="shared" si="4796"/>
        <v>0</v>
      </c>
      <c r="J2384" s="1" t="str">
        <f t="shared" si="4796"/>
        <v>0</v>
      </c>
      <c r="K2384" s="1" t="str">
        <f t="shared" si="4796"/>
        <v>0</v>
      </c>
      <c r="L2384" s="1" t="str">
        <f t="shared" si="4796"/>
        <v>0</v>
      </c>
      <c r="M2384" s="1" t="str">
        <f t="shared" si="4796"/>
        <v>0</v>
      </c>
      <c r="N2384" s="1" t="str">
        <f t="shared" si="4796"/>
        <v>0</v>
      </c>
      <c r="O2384" s="1" t="str">
        <f t="shared" si="4796"/>
        <v>0</v>
      </c>
      <c r="P2384" s="1" t="str">
        <f t="shared" si="4796"/>
        <v>0</v>
      </c>
      <c r="Q2384" s="1" t="str">
        <f t="shared" si="4770"/>
        <v>0.0070</v>
      </c>
      <c r="R2384" s="1" t="s">
        <v>25</v>
      </c>
      <c r="T2384" s="1" t="str">
        <f t="shared" si="4771"/>
        <v>0</v>
      </c>
      <c r="U2384" s="1" t="str">
        <f t="shared" si="4789"/>
        <v>0.0070</v>
      </c>
    </row>
    <row r="2385" s="1" customFormat="1" spans="1:21">
      <c r="A2385" s="1" t="str">
        <f>"4601992040640"</f>
        <v>4601992040640</v>
      </c>
      <c r="B2385" s="1" t="s">
        <v>2409</v>
      </c>
      <c r="C2385" s="1" t="s">
        <v>24</v>
      </c>
      <c r="D2385" s="1" t="str">
        <f t="shared" si="4767"/>
        <v>2021</v>
      </c>
      <c r="E2385" s="1" t="str">
        <f>"12.09"</f>
        <v>12.09</v>
      </c>
      <c r="F2385" s="1" t="str">
        <f t="shared" ref="F2385:I2385" si="4797">"0"</f>
        <v>0</v>
      </c>
      <c r="G2385" s="1" t="str">
        <f t="shared" si="4797"/>
        <v>0</v>
      </c>
      <c r="H2385" s="1" t="str">
        <f t="shared" si="4797"/>
        <v>0</v>
      </c>
      <c r="I2385" s="1" t="str">
        <f t="shared" si="4797"/>
        <v>0</v>
      </c>
      <c r="J2385" s="1" t="str">
        <f>"2"</f>
        <v>2</v>
      </c>
      <c r="K2385" s="1" t="str">
        <f t="shared" ref="K2385:P2385" si="4798">"0"</f>
        <v>0</v>
      </c>
      <c r="L2385" s="1" t="str">
        <f t="shared" si="4798"/>
        <v>0</v>
      </c>
      <c r="M2385" s="1" t="str">
        <f t="shared" si="4798"/>
        <v>0</v>
      </c>
      <c r="N2385" s="1" t="str">
        <f t="shared" si="4798"/>
        <v>0</v>
      </c>
      <c r="O2385" s="1" t="str">
        <f t="shared" si="4798"/>
        <v>0</v>
      </c>
      <c r="P2385" s="1" t="str">
        <f t="shared" si="4798"/>
        <v>0</v>
      </c>
      <c r="Q2385" s="1" t="str">
        <f t="shared" si="4770"/>
        <v>0.0070</v>
      </c>
      <c r="R2385" s="1" t="s">
        <v>29</v>
      </c>
      <c r="S2385" s="1">
        <v>-0.0014</v>
      </c>
      <c r="T2385" s="1" t="str">
        <f t="shared" si="4771"/>
        <v>0</v>
      </c>
      <c r="U2385" s="1" t="str">
        <f>"0.0056"</f>
        <v>0.0056</v>
      </c>
    </row>
    <row r="2386" s="1" customFormat="1" spans="1:21">
      <c r="A2386" s="1" t="str">
        <f>"4601992041051"</f>
        <v>4601992041051</v>
      </c>
      <c r="B2386" s="1" t="s">
        <v>2410</v>
      </c>
      <c r="C2386" s="1" t="s">
        <v>24</v>
      </c>
      <c r="D2386" s="1" t="str">
        <f t="shared" si="4767"/>
        <v>2021</v>
      </c>
      <c r="E2386" s="1" t="str">
        <f t="shared" ref="E2386:P2386" si="4799">"0"</f>
        <v>0</v>
      </c>
      <c r="F2386" s="1" t="str">
        <f t="shared" si="4799"/>
        <v>0</v>
      </c>
      <c r="G2386" s="1" t="str">
        <f t="shared" si="4799"/>
        <v>0</v>
      </c>
      <c r="H2386" s="1" t="str">
        <f t="shared" si="4799"/>
        <v>0</v>
      </c>
      <c r="I2386" s="1" t="str">
        <f t="shared" si="4799"/>
        <v>0</v>
      </c>
      <c r="J2386" s="1" t="str">
        <f t="shared" si="4799"/>
        <v>0</v>
      </c>
      <c r="K2386" s="1" t="str">
        <f t="shared" si="4799"/>
        <v>0</v>
      </c>
      <c r="L2386" s="1" t="str">
        <f t="shared" si="4799"/>
        <v>0</v>
      </c>
      <c r="M2386" s="1" t="str">
        <f t="shared" si="4799"/>
        <v>0</v>
      </c>
      <c r="N2386" s="1" t="str">
        <f t="shared" si="4799"/>
        <v>0</v>
      </c>
      <c r="O2386" s="1" t="str">
        <f t="shared" si="4799"/>
        <v>0</v>
      </c>
      <c r="P2386" s="1" t="str">
        <f t="shared" si="4799"/>
        <v>0</v>
      </c>
      <c r="Q2386" s="1" t="str">
        <f t="shared" si="4770"/>
        <v>0.0070</v>
      </c>
      <c r="R2386" s="1" t="s">
        <v>25</v>
      </c>
      <c r="T2386" s="1" t="str">
        <f t="shared" si="4771"/>
        <v>0</v>
      </c>
      <c r="U2386" s="1" t="str">
        <f t="shared" ref="U2386:U2390" si="4800">"0.0070"</f>
        <v>0.0070</v>
      </c>
    </row>
    <row r="2387" s="1" customFormat="1" spans="1:21">
      <c r="A2387" s="1" t="str">
        <f>"4601992040064"</f>
        <v>4601992040064</v>
      </c>
      <c r="B2387" s="1" t="s">
        <v>2411</v>
      </c>
      <c r="C2387" s="1" t="s">
        <v>24</v>
      </c>
      <c r="D2387" s="1" t="str">
        <f t="shared" si="4767"/>
        <v>2021</v>
      </c>
      <c r="E2387" s="1" t="str">
        <f>"12.09"</f>
        <v>12.09</v>
      </c>
      <c r="F2387" s="1" t="str">
        <f t="shared" ref="F2387:I2387" si="4801">"0"</f>
        <v>0</v>
      </c>
      <c r="G2387" s="1" t="str">
        <f t="shared" si="4801"/>
        <v>0</v>
      </c>
      <c r="H2387" s="1" t="str">
        <f t="shared" si="4801"/>
        <v>0</v>
      </c>
      <c r="I2387" s="1" t="str">
        <f t="shared" si="4801"/>
        <v>0</v>
      </c>
      <c r="J2387" s="1" t="str">
        <f>"1"</f>
        <v>1</v>
      </c>
      <c r="K2387" s="1" t="str">
        <f t="shared" ref="K2387:P2387" si="4802">"0"</f>
        <v>0</v>
      </c>
      <c r="L2387" s="1" t="str">
        <f t="shared" si="4802"/>
        <v>0</v>
      </c>
      <c r="M2387" s="1" t="str">
        <f t="shared" si="4802"/>
        <v>0</v>
      </c>
      <c r="N2387" s="1" t="str">
        <f t="shared" si="4802"/>
        <v>0</v>
      </c>
      <c r="O2387" s="1" t="str">
        <f t="shared" si="4802"/>
        <v>0</v>
      </c>
      <c r="P2387" s="1" t="str">
        <f t="shared" si="4802"/>
        <v>0</v>
      </c>
      <c r="Q2387" s="1" t="str">
        <f t="shared" si="4770"/>
        <v>0.0070</v>
      </c>
      <c r="R2387" s="1" t="s">
        <v>29</v>
      </c>
      <c r="S2387" s="1">
        <v>-0.0014</v>
      </c>
      <c r="T2387" s="1" t="str">
        <f t="shared" si="4771"/>
        <v>0</v>
      </c>
      <c r="U2387" s="1" t="str">
        <f t="shared" ref="U2387:U2395" si="4803">"0.0056"</f>
        <v>0.0056</v>
      </c>
    </row>
    <row r="2388" s="1" customFormat="1" spans="1:21">
      <c r="A2388" s="1" t="str">
        <f>"4601992041054"</f>
        <v>4601992041054</v>
      </c>
      <c r="B2388" s="1" t="s">
        <v>2412</v>
      </c>
      <c r="C2388" s="1" t="s">
        <v>24</v>
      </c>
      <c r="D2388" s="1" t="str">
        <f t="shared" si="4767"/>
        <v>2021</v>
      </c>
      <c r="E2388" s="1" t="str">
        <f t="shared" ref="E2388:P2388" si="4804">"0"</f>
        <v>0</v>
      </c>
      <c r="F2388" s="1" t="str">
        <f t="shared" si="4804"/>
        <v>0</v>
      </c>
      <c r="G2388" s="1" t="str">
        <f t="shared" si="4804"/>
        <v>0</v>
      </c>
      <c r="H2388" s="1" t="str">
        <f t="shared" si="4804"/>
        <v>0</v>
      </c>
      <c r="I2388" s="1" t="str">
        <f t="shared" si="4804"/>
        <v>0</v>
      </c>
      <c r="J2388" s="1" t="str">
        <f t="shared" si="4804"/>
        <v>0</v>
      </c>
      <c r="K2388" s="1" t="str">
        <f t="shared" si="4804"/>
        <v>0</v>
      </c>
      <c r="L2388" s="1" t="str">
        <f t="shared" si="4804"/>
        <v>0</v>
      </c>
      <c r="M2388" s="1" t="str">
        <f t="shared" si="4804"/>
        <v>0</v>
      </c>
      <c r="N2388" s="1" t="str">
        <f t="shared" si="4804"/>
        <v>0</v>
      </c>
      <c r="O2388" s="1" t="str">
        <f t="shared" si="4804"/>
        <v>0</v>
      </c>
      <c r="P2388" s="1" t="str">
        <f t="shared" si="4804"/>
        <v>0</v>
      </c>
      <c r="Q2388" s="1" t="str">
        <f t="shared" si="4770"/>
        <v>0.0070</v>
      </c>
      <c r="R2388" s="1" t="s">
        <v>25</v>
      </c>
      <c r="T2388" s="1" t="str">
        <f t="shared" si="4771"/>
        <v>0</v>
      </c>
      <c r="U2388" s="1" t="str">
        <f t="shared" si="4800"/>
        <v>0.0070</v>
      </c>
    </row>
    <row r="2389" s="1" customFormat="1" spans="1:21">
      <c r="A2389" s="1" t="str">
        <f>"4601992041196"</f>
        <v>4601992041196</v>
      </c>
      <c r="B2389" s="1" t="s">
        <v>2413</v>
      </c>
      <c r="C2389" s="1" t="s">
        <v>24</v>
      </c>
      <c r="D2389" s="1" t="str">
        <f t="shared" si="4767"/>
        <v>2021</v>
      </c>
      <c r="E2389" s="1" t="str">
        <f t="shared" ref="E2389:P2389" si="4805">"0"</f>
        <v>0</v>
      </c>
      <c r="F2389" s="1" t="str">
        <f t="shared" si="4805"/>
        <v>0</v>
      </c>
      <c r="G2389" s="1" t="str">
        <f t="shared" si="4805"/>
        <v>0</v>
      </c>
      <c r="H2389" s="1" t="str">
        <f t="shared" si="4805"/>
        <v>0</v>
      </c>
      <c r="I2389" s="1" t="str">
        <f t="shared" si="4805"/>
        <v>0</v>
      </c>
      <c r="J2389" s="1" t="str">
        <f t="shared" si="4805"/>
        <v>0</v>
      </c>
      <c r="K2389" s="1" t="str">
        <f t="shared" si="4805"/>
        <v>0</v>
      </c>
      <c r="L2389" s="1" t="str">
        <f t="shared" si="4805"/>
        <v>0</v>
      </c>
      <c r="M2389" s="1" t="str">
        <f t="shared" si="4805"/>
        <v>0</v>
      </c>
      <c r="N2389" s="1" t="str">
        <f t="shared" si="4805"/>
        <v>0</v>
      </c>
      <c r="O2389" s="1" t="str">
        <f t="shared" si="4805"/>
        <v>0</v>
      </c>
      <c r="P2389" s="1" t="str">
        <f t="shared" si="4805"/>
        <v>0</v>
      </c>
      <c r="Q2389" s="1" t="str">
        <f t="shared" si="4770"/>
        <v>0.0070</v>
      </c>
      <c r="R2389" s="1" t="s">
        <v>25</v>
      </c>
      <c r="T2389" s="1" t="str">
        <f t="shared" si="4771"/>
        <v>0</v>
      </c>
      <c r="U2389" s="1" t="str">
        <f t="shared" si="4800"/>
        <v>0.0070</v>
      </c>
    </row>
    <row r="2390" s="1" customFormat="1" spans="1:21">
      <c r="A2390" s="1" t="str">
        <f>"4601991426626"</f>
        <v>4601991426626</v>
      </c>
      <c r="B2390" s="1" t="s">
        <v>2414</v>
      </c>
      <c r="C2390" s="1" t="s">
        <v>24</v>
      </c>
      <c r="D2390" s="1" t="str">
        <f t="shared" si="4767"/>
        <v>2021</v>
      </c>
      <c r="E2390" s="1" t="str">
        <f t="shared" ref="E2390:P2390" si="4806">"0"</f>
        <v>0</v>
      </c>
      <c r="F2390" s="1" t="str">
        <f t="shared" si="4806"/>
        <v>0</v>
      </c>
      <c r="G2390" s="1" t="str">
        <f t="shared" si="4806"/>
        <v>0</v>
      </c>
      <c r="H2390" s="1" t="str">
        <f t="shared" si="4806"/>
        <v>0</v>
      </c>
      <c r="I2390" s="1" t="str">
        <f t="shared" si="4806"/>
        <v>0</v>
      </c>
      <c r="J2390" s="1" t="str">
        <f t="shared" si="4806"/>
        <v>0</v>
      </c>
      <c r="K2390" s="1" t="str">
        <f t="shared" si="4806"/>
        <v>0</v>
      </c>
      <c r="L2390" s="1" t="str">
        <f t="shared" si="4806"/>
        <v>0</v>
      </c>
      <c r="M2390" s="1" t="str">
        <f t="shared" si="4806"/>
        <v>0</v>
      </c>
      <c r="N2390" s="1" t="str">
        <f t="shared" si="4806"/>
        <v>0</v>
      </c>
      <c r="O2390" s="1" t="str">
        <f t="shared" si="4806"/>
        <v>0</v>
      </c>
      <c r="P2390" s="1" t="str">
        <f t="shared" si="4806"/>
        <v>0</v>
      </c>
      <c r="Q2390" s="1" t="str">
        <f t="shared" si="4770"/>
        <v>0.0070</v>
      </c>
      <c r="R2390" s="1" t="s">
        <v>25</v>
      </c>
      <c r="T2390" s="1" t="str">
        <f t="shared" si="4771"/>
        <v>0</v>
      </c>
      <c r="U2390" s="1" t="str">
        <f t="shared" si="4800"/>
        <v>0.0070</v>
      </c>
    </row>
    <row r="2391" s="1" customFormat="1" spans="1:21">
      <c r="A2391" s="1" t="str">
        <f>"4601992041212"</f>
        <v>4601992041212</v>
      </c>
      <c r="B2391" s="1" t="s">
        <v>2415</v>
      </c>
      <c r="C2391" s="1" t="s">
        <v>24</v>
      </c>
      <c r="D2391" s="1" t="str">
        <f t="shared" si="4767"/>
        <v>2021</v>
      </c>
      <c r="E2391" s="1" t="str">
        <f>"72.44"</f>
        <v>72.44</v>
      </c>
      <c r="F2391" s="1" t="str">
        <f t="shared" ref="F2391:I2391" si="4807">"0"</f>
        <v>0</v>
      </c>
      <c r="G2391" s="1" t="str">
        <f t="shared" si="4807"/>
        <v>0</v>
      </c>
      <c r="H2391" s="1" t="str">
        <f t="shared" si="4807"/>
        <v>0</v>
      </c>
      <c r="I2391" s="1" t="str">
        <f t="shared" si="4807"/>
        <v>0</v>
      </c>
      <c r="J2391" s="1" t="str">
        <f>"6"</f>
        <v>6</v>
      </c>
      <c r="K2391" s="1" t="str">
        <f t="shared" ref="K2391:P2391" si="4808">"0"</f>
        <v>0</v>
      </c>
      <c r="L2391" s="1" t="str">
        <f t="shared" si="4808"/>
        <v>0</v>
      </c>
      <c r="M2391" s="1" t="str">
        <f t="shared" si="4808"/>
        <v>0</v>
      </c>
      <c r="N2391" s="1" t="str">
        <f t="shared" si="4808"/>
        <v>0</v>
      </c>
      <c r="O2391" s="1" t="str">
        <f t="shared" si="4808"/>
        <v>0</v>
      </c>
      <c r="P2391" s="1" t="str">
        <f t="shared" si="4808"/>
        <v>0</v>
      </c>
      <c r="Q2391" s="1" t="str">
        <f t="shared" si="4770"/>
        <v>0.0070</v>
      </c>
      <c r="R2391" s="1" t="s">
        <v>29</v>
      </c>
      <c r="S2391" s="1">
        <v>-0.0014</v>
      </c>
      <c r="T2391" s="1" t="str">
        <f t="shared" si="4771"/>
        <v>0</v>
      </c>
      <c r="U2391" s="1" t="str">
        <f t="shared" si="4803"/>
        <v>0.0056</v>
      </c>
    </row>
    <row r="2392" s="1" customFormat="1" spans="1:21">
      <c r="A2392" s="1" t="str">
        <f>"4601991409709"</f>
        <v>4601991409709</v>
      </c>
      <c r="B2392" s="1" t="s">
        <v>2416</v>
      </c>
      <c r="C2392" s="1" t="s">
        <v>24</v>
      </c>
      <c r="D2392" s="1" t="str">
        <f t="shared" si="4767"/>
        <v>2021</v>
      </c>
      <c r="E2392" s="1" t="str">
        <f>"12.09"</f>
        <v>12.09</v>
      </c>
      <c r="F2392" s="1" t="str">
        <f t="shared" ref="F2392:I2392" si="4809">"0"</f>
        <v>0</v>
      </c>
      <c r="G2392" s="1" t="str">
        <f t="shared" si="4809"/>
        <v>0</v>
      </c>
      <c r="H2392" s="1" t="str">
        <f t="shared" si="4809"/>
        <v>0</v>
      </c>
      <c r="I2392" s="1" t="str">
        <f t="shared" si="4809"/>
        <v>0</v>
      </c>
      <c r="J2392" s="1" t="str">
        <f t="shared" ref="J2392:J2397" si="4810">"1"</f>
        <v>1</v>
      </c>
      <c r="K2392" s="1" t="str">
        <f t="shared" ref="K2392:P2392" si="4811">"0"</f>
        <v>0</v>
      </c>
      <c r="L2392" s="1" t="str">
        <f t="shared" si="4811"/>
        <v>0</v>
      </c>
      <c r="M2392" s="1" t="str">
        <f t="shared" si="4811"/>
        <v>0</v>
      </c>
      <c r="N2392" s="1" t="str">
        <f t="shared" si="4811"/>
        <v>0</v>
      </c>
      <c r="O2392" s="1" t="str">
        <f t="shared" si="4811"/>
        <v>0</v>
      </c>
      <c r="P2392" s="1" t="str">
        <f t="shared" si="4811"/>
        <v>0</v>
      </c>
      <c r="Q2392" s="1" t="str">
        <f t="shared" si="4770"/>
        <v>0.0070</v>
      </c>
      <c r="R2392" s="1" t="s">
        <v>29</v>
      </c>
      <c r="S2392" s="1">
        <v>-0.0014</v>
      </c>
      <c r="T2392" s="1" t="str">
        <f t="shared" si="4771"/>
        <v>0</v>
      </c>
      <c r="U2392" s="1" t="str">
        <f t="shared" si="4803"/>
        <v>0.0056</v>
      </c>
    </row>
    <row r="2393" s="1" customFormat="1" spans="1:21">
      <c r="A2393" s="1" t="str">
        <f>"4601992041221"</f>
        <v>4601992041221</v>
      </c>
      <c r="B2393" s="1" t="s">
        <v>2417</v>
      </c>
      <c r="C2393" s="1" t="s">
        <v>24</v>
      </c>
      <c r="D2393" s="1" t="str">
        <f t="shared" si="4767"/>
        <v>2021</v>
      </c>
      <c r="E2393" s="1" t="str">
        <f>"870.75"</f>
        <v>870.75</v>
      </c>
      <c r="F2393" s="1" t="str">
        <f t="shared" ref="F2393:I2393" si="4812">"0"</f>
        <v>0</v>
      </c>
      <c r="G2393" s="1" t="str">
        <f t="shared" si="4812"/>
        <v>0</v>
      </c>
      <c r="H2393" s="1" t="str">
        <f t="shared" si="4812"/>
        <v>0</v>
      </c>
      <c r="I2393" s="1" t="str">
        <f t="shared" si="4812"/>
        <v>0</v>
      </c>
      <c r="J2393" s="1" t="str">
        <f>"48"</f>
        <v>48</v>
      </c>
      <c r="K2393" s="1" t="str">
        <f t="shared" ref="K2393:P2393" si="4813">"0"</f>
        <v>0</v>
      </c>
      <c r="L2393" s="1" t="str">
        <f t="shared" si="4813"/>
        <v>0</v>
      </c>
      <c r="M2393" s="1" t="str">
        <f t="shared" si="4813"/>
        <v>0</v>
      </c>
      <c r="N2393" s="1" t="str">
        <f t="shared" si="4813"/>
        <v>0</v>
      </c>
      <c r="O2393" s="1" t="str">
        <f t="shared" si="4813"/>
        <v>0</v>
      </c>
      <c r="P2393" s="1" t="str">
        <f t="shared" si="4813"/>
        <v>0</v>
      </c>
      <c r="Q2393" s="1" t="str">
        <f t="shared" si="4770"/>
        <v>0.0070</v>
      </c>
      <c r="R2393" s="1" t="s">
        <v>29</v>
      </c>
      <c r="S2393" s="1">
        <v>-0.0014</v>
      </c>
      <c r="T2393" s="1" t="str">
        <f t="shared" si="4771"/>
        <v>0</v>
      </c>
      <c r="U2393" s="1" t="str">
        <f t="shared" si="4803"/>
        <v>0.0056</v>
      </c>
    </row>
    <row r="2394" s="1" customFormat="1" spans="1:21">
      <c r="A2394" s="1" t="str">
        <f>"4601992006364"</f>
        <v>4601992006364</v>
      </c>
      <c r="B2394" s="1" t="s">
        <v>2418</v>
      </c>
      <c r="C2394" s="1" t="s">
        <v>24</v>
      </c>
      <c r="D2394" s="1" t="str">
        <f t="shared" si="4767"/>
        <v>2021</v>
      </c>
      <c r="E2394" s="1" t="str">
        <f>"34.30"</f>
        <v>34.30</v>
      </c>
      <c r="F2394" s="1" t="str">
        <f t="shared" ref="F2394:I2394" si="4814">"0"</f>
        <v>0</v>
      </c>
      <c r="G2394" s="1" t="str">
        <f t="shared" si="4814"/>
        <v>0</v>
      </c>
      <c r="H2394" s="1" t="str">
        <f t="shared" si="4814"/>
        <v>0</v>
      </c>
      <c r="I2394" s="1" t="str">
        <f t="shared" si="4814"/>
        <v>0</v>
      </c>
      <c r="J2394" s="1" t="str">
        <f>"2"</f>
        <v>2</v>
      </c>
      <c r="K2394" s="1" t="str">
        <f t="shared" ref="K2394:P2394" si="4815">"0"</f>
        <v>0</v>
      </c>
      <c r="L2394" s="1" t="str">
        <f t="shared" si="4815"/>
        <v>0</v>
      </c>
      <c r="M2394" s="1" t="str">
        <f t="shared" si="4815"/>
        <v>0</v>
      </c>
      <c r="N2394" s="1" t="str">
        <f t="shared" si="4815"/>
        <v>0</v>
      </c>
      <c r="O2394" s="1" t="str">
        <f t="shared" si="4815"/>
        <v>0</v>
      </c>
      <c r="P2394" s="1" t="str">
        <f t="shared" si="4815"/>
        <v>0</v>
      </c>
      <c r="Q2394" s="1" t="str">
        <f t="shared" si="4770"/>
        <v>0.0070</v>
      </c>
      <c r="R2394" s="1" t="s">
        <v>29</v>
      </c>
      <c r="S2394" s="1">
        <v>-0.0014</v>
      </c>
      <c r="T2394" s="1" t="str">
        <f t="shared" si="4771"/>
        <v>0</v>
      </c>
      <c r="U2394" s="1" t="str">
        <f t="shared" si="4803"/>
        <v>0.0056</v>
      </c>
    </row>
    <row r="2395" s="1" customFormat="1" spans="1:21">
      <c r="A2395" s="1" t="str">
        <f>"4601992041248"</f>
        <v>4601992041248</v>
      </c>
      <c r="B2395" s="1" t="s">
        <v>2419</v>
      </c>
      <c r="C2395" s="1" t="s">
        <v>24</v>
      </c>
      <c r="D2395" s="1" t="str">
        <f t="shared" si="4767"/>
        <v>2021</v>
      </c>
      <c r="E2395" s="1" t="str">
        <f>"24.18"</f>
        <v>24.18</v>
      </c>
      <c r="F2395" s="1" t="str">
        <f t="shared" ref="F2395:I2395" si="4816">"0"</f>
        <v>0</v>
      </c>
      <c r="G2395" s="1" t="str">
        <f t="shared" si="4816"/>
        <v>0</v>
      </c>
      <c r="H2395" s="1" t="str">
        <f t="shared" si="4816"/>
        <v>0</v>
      </c>
      <c r="I2395" s="1" t="str">
        <f t="shared" si="4816"/>
        <v>0</v>
      </c>
      <c r="J2395" s="1" t="str">
        <f t="shared" si="4810"/>
        <v>1</v>
      </c>
      <c r="K2395" s="1" t="str">
        <f t="shared" ref="K2395:P2395" si="4817">"0"</f>
        <v>0</v>
      </c>
      <c r="L2395" s="1" t="str">
        <f t="shared" si="4817"/>
        <v>0</v>
      </c>
      <c r="M2395" s="1" t="str">
        <f t="shared" si="4817"/>
        <v>0</v>
      </c>
      <c r="N2395" s="1" t="str">
        <f t="shared" si="4817"/>
        <v>0</v>
      </c>
      <c r="O2395" s="1" t="str">
        <f t="shared" si="4817"/>
        <v>0</v>
      </c>
      <c r="P2395" s="1" t="str">
        <f t="shared" si="4817"/>
        <v>0</v>
      </c>
      <c r="Q2395" s="1" t="str">
        <f t="shared" si="4770"/>
        <v>0.0070</v>
      </c>
      <c r="R2395" s="1" t="s">
        <v>29</v>
      </c>
      <c r="S2395" s="1">
        <v>-0.0014</v>
      </c>
      <c r="T2395" s="1" t="str">
        <f t="shared" si="4771"/>
        <v>0</v>
      </c>
      <c r="U2395" s="1" t="str">
        <f t="shared" si="4803"/>
        <v>0.0056</v>
      </c>
    </row>
    <row r="2396" s="1" customFormat="1" spans="1:21">
      <c r="A2396" s="1" t="str">
        <f>"4601992041276"</f>
        <v>4601992041276</v>
      </c>
      <c r="B2396" s="1" t="s">
        <v>2420</v>
      </c>
      <c r="C2396" s="1" t="s">
        <v>24</v>
      </c>
      <c r="D2396" s="1" t="str">
        <f t="shared" si="4767"/>
        <v>2021</v>
      </c>
      <c r="E2396" s="1" t="str">
        <f t="shared" ref="E2396:I2396" si="4818">"0"</f>
        <v>0</v>
      </c>
      <c r="F2396" s="1" t="str">
        <f t="shared" si="4818"/>
        <v>0</v>
      </c>
      <c r="G2396" s="1" t="str">
        <f t="shared" si="4818"/>
        <v>0</v>
      </c>
      <c r="H2396" s="1" t="str">
        <f t="shared" si="4818"/>
        <v>0</v>
      </c>
      <c r="I2396" s="1" t="str">
        <f t="shared" si="4818"/>
        <v>0</v>
      </c>
      <c r="J2396" s="1" t="str">
        <f t="shared" si="4810"/>
        <v>1</v>
      </c>
      <c r="K2396" s="1" t="str">
        <f t="shared" ref="K2396:P2396" si="4819">"0"</f>
        <v>0</v>
      </c>
      <c r="L2396" s="1" t="str">
        <f t="shared" si="4819"/>
        <v>0</v>
      </c>
      <c r="M2396" s="1" t="str">
        <f t="shared" si="4819"/>
        <v>0</v>
      </c>
      <c r="N2396" s="1" t="str">
        <f t="shared" si="4819"/>
        <v>0</v>
      </c>
      <c r="O2396" s="1" t="str">
        <f t="shared" si="4819"/>
        <v>0</v>
      </c>
      <c r="P2396" s="1" t="str">
        <f t="shared" si="4819"/>
        <v>0</v>
      </c>
      <c r="Q2396" s="1" t="str">
        <f t="shared" si="4770"/>
        <v>0.0070</v>
      </c>
      <c r="R2396" s="1" t="s">
        <v>25</v>
      </c>
      <c r="T2396" s="1" t="str">
        <f t="shared" si="4771"/>
        <v>0</v>
      </c>
      <c r="U2396" s="1" t="str">
        <f t="shared" ref="U2396:U2400" si="4820">"0.0070"</f>
        <v>0.0070</v>
      </c>
    </row>
    <row r="2397" s="1" customFormat="1" spans="1:21">
      <c r="A2397" s="1" t="str">
        <f>"4601992041296"</f>
        <v>4601992041296</v>
      </c>
      <c r="B2397" s="1" t="s">
        <v>2421</v>
      </c>
      <c r="C2397" s="1" t="s">
        <v>24</v>
      </c>
      <c r="D2397" s="1" t="str">
        <f t="shared" si="4767"/>
        <v>2021</v>
      </c>
      <c r="E2397" s="1" t="str">
        <f>"12.09"</f>
        <v>12.09</v>
      </c>
      <c r="F2397" s="1" t="str">
        <f t="shared" ref="F2397:I2397" si="4821">"0"</f>
        <v>0</v>
      </c>
      <c r="G2397" s="1" t="str">
        <f t="shared" si="4821"/>
        <v>0</v>
      </c>
      <c r="H2397" s="1" t="str">
        <f t="shared" si="4821"/>
        <v>0</v>
      </c>
      <c r="I2397" s="1" t="str">
        <f t="shared" si="4821"/>
        <v>0</v>
      </c>
      <c r="J2397" s="1" t="str">
        <f t="shared" si="4810"/>
        <v>1</v>
      </c>
      <c r="K2397" s="1" t="str">
        <f t="shared" ref="K2397:P2397" si="4822">"0"</f>
        <v>0</v>
      </c>
      <c r="L2397" s="1" t="str">
        <f t="shared" si="4822"/>
        <v>0</v>
      </c>
      <c r="M2397" s="1" t="str">
        <f t="shared" si="4822"/>
        <v>0</v>
      </c>
      <c r="N2397" s="1" t="str">
        <f t="shared" si="4822"/>
        <v>0</v>
      </c>
      <c r="O2397" s="1" t="str">
        <f t="shared" si="4822"/>
        <v>0</v>
      </c>
      <c r="P2397" s="1" t="str">
        <f t="shared" si="4822"/>
        <v>0</v>
      </c>
      <c r="Q2397" s="1" t="str">
        <f t="shared" si="4770"/>
        <v>0.0070</v>
      </c>
      <c r="R2397" s="1" t="s">
        <v>29</v>
      </c>
      <c r="S2397" s="1">
        <v>-0.0014</v>
      </c>
      <c r="T2397" s="1" t="str">
        <f t="shared" si="4771"/>
        <v>0</v>
      </c>
      <c r="U2397" s="1" t="str">
        <f t="shared" ref="U2397:U2402" si="4823">"0.0056"</f>
        <v>0.0056</v>
      </c>
    </row>
    <row r="2398" s="1" customFormat="1" spans="1:21">
      <c r="A2398" s="1" t="str">
        <f>"4601992041306"</f>
        <v>4601992041306</v>
      </c>
      <c r="B2398" s="1" t="s">
        <v>2422</v>
      </c>
      <c r="C2398" s="1" t="s">
        <v>24</v>
      </c>
      <c r="D2398" s="1" t="str">
        <f t="shared" si="4767"/>
        <v>2021</v>
      </c>
      <c r="E2398" s="1" t="str">
        <f t="shared" ref="E2398:P2398" si="4824">"0"</f>
        <v>0</v>
      </c>
      <c r="F2398" s="1" t="str">
        <f t="shared" si="4824"/>
        <v>0</v>
      </c>
      <c r="G2398" s="1" t="str">
        <f t="shared" si="4824"/>
        <v>0</v>
      </c>
      <c r="H2398" s="1" t="str">
        <f t="shared" si="4824"/>
        <v>0</v>
      </c>
      <c r="I2398" s="1" t="str">
        <f t="shared" si="4824"/>
        <v>0</v>
      </c>
      <c r="J2398" s="1" t="str">
        <f t="shared" si="4824"/>
        <v>0</v>
      </c>
      <c r="K2398" s="1" t="str">
        <f t="shared" si="4824"/>
        <v>0</v>
      </c>
      <c r="L2398" s="1" t="str">
        <f t="shared" si="4824"/>
        <v>0</v>
      </c>
      <c r="M2398" s="1" t="str">
        <f t="shared" si="4824"/>
        <v>0</v>
      </c>
      <c r="N2398" s="1" t="str">
        <f t="shared" si="4824"/>
        <v>0</v>
      </c>
      <c r="O2398" s="1" t="str">
        <f t="shared" si="4824"/>
        <v>0</v>
      </c>
      <c r="P2398" s="1" t="str">
        <f t="shared" si="4824"/>
        <v>0</v>
      </c>
      <c r="Q2398" s="1" t="str">
        <f t="shared" si="4770"/>
        <v>0.0070</v>
      </c>
      <c r="R2398" s="1" t="s">
        <v>25</v>
      </c>
      <c r="T2398" s="1" t="str">
        <f t="shared" si="4771"/>
        <v>0</v>
      </c>
      <c r="U2398" s="1" t="str">
        <f t="shared" si="4820"/>
        <v>0.0070</v>
      </c>
    </row>
    <row r="2399" s="1" customFormat="1" spans="1:21">
      <c r="A2399" s="1" t="str">
        <f>"4601992041378"</f>
        <v>4601992041378</v>
      </c>
      <c r="B2399" s="1" t="s">
        <v>2423</v>
      </c>
      <c r="C2399" s="1" t="s">
        <v>24</v>
      </c>
      <c r="D2399" s="1" t="str">
        <f t="shared" si="4767"/>
        <v>2021</v>
      </c>
      <c r="E2399" s="1" t="str">
        <f t="shared" ref="E2399:P2399" si="4825">"0"</f>
        <v>0</v>
      </c>
      <c r="F2399" s="1" t="str">
        <f t="shared" si="4825"/>
        <v>0</v>
      </c>
      <c r="G2399" s="1" t="str">
        <f t="shared" si="4825"/>
        <v>0</v>
      </c>
      <c r="H2399" s="1" t="str">
        <f t="shared" si="4825"/>
        <v>0</v>
      </c>
      <c r="I2399" s="1" t="str">
        <f t="shared" si="4825"/>
        <v>0</v>
      </c>
      <c r="J2399" s="1" t="str">
        <f t="shared" si="4825"/>
        <v>0</v>
      </c>
      <c r="K2399" s="1" t="str">
        <f t="shared" si="4825"/>
        <v>0</v>
      </c>
      <c r="L2399" s="1" t="str">
        <f t="shared" si="4825"/>
        <v>0</v>
      </c>
      <c r="M2399" s="1" t="str">
        <f t="shared" si="4825"/>
        <v>0</v>
      </c>
      <c r="N2399" s="1" t="str">
        <f t="shared" si="4825"/>
        <v>0</v>
      </c>
      <c r="O2399" s="1" t="str">
        <f t="shared" si="4825"/>
        <v>0</v>
      </c>
      <c r="P2399" s="1" t="str">
        <f t="shared" si="4825"/>
        <v>0</v>
      </c>
      <c r="Q2399" s="1" t="str">
        <f t="shared" si="4770"/>
        <v>0.0070</v>
      </c>
      <c r="R2399" s="1" t="s">
        <v>25</v>
      </c>
      <c r="T2399" s="1" t="str">
        <f t="shared" si="4771"/>
        <v>0</v>
      </c>
      <c r="U2399" s="1" t="str">
        <f t="shared" si="4820"/>
        <v>0.0070</v>
      </c>
    </row>
    <row r="2400" s="1" customFormat="1" spans="1:21">
      <c r="A2400" s="1" t="str">
        <f>"4601992041388"</f>
        <v>4601992041388</v>
      </c>
      <c r="B2400" s="1" t="s">
        <v>2424</v>
      </c>
      <c r="C2400" s="1" t="s">
        <v>24</v>
      </c>
      <c r="D2400" s="1" t="str">
        <f t="shared" si="4767"/>
        <v>2021</v>
      </c>
      <c r="E2400" s="1" t="str">
        <f t="shared" ref="E2400:P2400" si="4826">"0"</f>
        <v>0</v>
      </c>
      <c r="F2400" s="1" t="str">
        <f t="shared" si="4826"/>
        <v>0</v>
      </c>
      <c r="G2400" s="1" t="str">
        <f t="shared" si="4826"/>
        <v>0</v>
      </c>
      <c r="H2400" s="1" t="str">
        <f t="shared" si="4826"/>
        <v>0</v>
      </c>
      <c r="I2400" s="1" t="str">
        <f t="shared" si="4826"/>
        <v>0</v>
      </c>
      <c r="J2400" s="1" t="str">
        <f t="shared" si="4826"/>
        <v>0</v>
      </c>
      <c r="K2400" s="1" t="str">
        <f t="shared" si="4826"/>
        <v>0</v>
      </c>
      <c r="L2400" s="1" t="str">
        <f t="shared" si="4826"/>
        <v>0</v>
      </c>
      <c r="M2400" s="1" t="str">
        <f t="shared" si="4826"/>
        <v>0</v>
      </c>
      <c r="N2400" s="1" t="str">
        <f t="shared" si="4826"/>
        <v>0</v>
      </c>
      <c r="O2400" s="1" t="str">
        <f t="shared" si="4826"/>
        <v>0</v>
      </c>
      <c r="P2400" s="1" t="str">
        <f t="shared" si="4826"/>
        <v>0</v>
      </c>
      <c r="Q2400" s="1" t="str">
        <f t="shared" si="4770"/>
        <v>0.0070</v>
      </c>
      <c r="R2400" s="1" t="s">
        <v>25</v>
      </c>
      <c r="T2400" s="1" t="str">
        <f t="shared" si="4771"/>
        <v>0</v>
      </c>
      <c r="U2400" s="1" t="str">
        <f t="shared" si="4820"/>
        <v>0.0070</v>
      </c>
    </row>
    <row r="2401" s="1" customFormat="1" spans="1:21">
      <c r="A2401" s="1" t="str">
        <f>"4601992041390"</f>
        <v>4601992041390</v>
      </c>
      <c r="B2401" s="1" t="s">
        <v>2425</v>
      </c>
      <c r="C2401" s="1" t="s">
        <v>24</v>
      </c>
      <c r="D2401" s="1" t="str">
        <f t="shared" si="4767"/>
        <v>2021</v>
      </c>
      <c r="E2401" s="1" t="str">
        <f>"12.09"</f>
        <v>12.09</v>
      </c>
      <c r="F2401" s="1" t="str">
        <f t="shared" ref="F2401:I2401" si="4827">"0"</f>
        <v>0</v>
      </c>
      <c r="G2401" s="1" t="str">
        <f t="shared" si="4827"/>
        <v>0</v>
      </c>
      <c r="H2401" s="1" t="str">
        <f t="shared" si="4827"/>
        <v>0</v>
      </c>
      <c r="I2401" s="1" t="str">
        <f t="shared" si="4827"/>
        <v>0</v>
      </c>
      <c r="J2401" s="1" t="str">
        <f>"1"</f>
        <v>1</v>
      </c>
      <c r="K2401" s="1" t="str">
        <f t="shared" ref="K2401:P2401" si="4828">"0"</f>
        <v>0</v>
      </c>
      <c r="L2401" s="1" t="str">
        <f t="shared" si="4828"/>
        <v>0</v>
      </c>
      <c r="M2401" s="1" t="str">
        <f t="shared" si="4828"/>
        <v>0</v>
      </c>
      <c r="N2401" s="1" t="str">
        <f t="shared" si="4828"/>
        <v>0</v>
      </c>
      <c r="O2401" s="1" t="str">
        <f t="shared" si="4828"/>
        <v>0</v>
      </c>
      <c r="P2401" s="1" t="str">
        <f t="shared" si="4828"/>
        <v>0</v>
      </c>
      <c r="Q2401" s="1" t="str">
        <f t="shared" si="4770"/>
        <v>0.0070</v>
      </c>
      <c r="R2401" s="1" t="s">
        <v>29</v>
      </c>
      <c r="S2401" s="1">
        <v>-0.0014</v>
      </c>
      <c r="T2401" s="1" t="str">
        <f t="shared" si="4771"/>
        <v>0</v>
      </c>
      <c r="U2401" s="1" t="str">
        <f t="shared" si="4823"/>
        <v>0.0056</v>
      </c>
    </row>
    <row r="2402" s="1" customFormat="1" spans="1:21">
      <c r="A2402" s="1" t="str">
        <f>"4601992041414"</f>
        <v>4601992041414</v>
      </c>
      <c r="B2402" s="1" t="s">
        <v>2426</v>
      </c>
      <c r="C2402" s="1" t="s">
        <v>24</v>
      </c>
      <c r="D2402" s="1" t="str">
        <f t="shared" si="4767"/>
        <v>2021</v>
      </c>
      <c r="E2402" s="1" t="str">
        <f>"108.81"</f>
        <v>108.81</v>
      </c>
      <c r="F2402" s="1" t="str">
        <f t="shared" ref="F2402:I2402" si="4829">"0"</f>
        <v>0</v>
      </c>
      <c r="G2402" s="1" t="str">
        <f t="shared" si="4829"/>
        <v>0</v>
      </c>
      <c r="H2402" s="1" t="str">
        <f t="shared" si="4829"/>
        <v>0</v>
      </c>
      <c r="I2402" s="1" t="str">
        <f t="shared" si="4829"/>
        <v>0</v>
      </c>
      <c r="J2402" s="1" t="str">
        <f>"8"</f>
        <v>8</v>
      </c>
      <c r="K2402" s="1" t="str">
        <f t="shared" ref="K2402:P2402" si="4830">"0"</f>
        <v>0</v>
      </c>
      <c r="L2402" s="1" t="str">
        <f t="shared" si="4830"/>
        <v>0</v>
      </c>
      <c r="M2402" s="1" t="str">
        <f t="shared" si="4830"/>
        <v>0</v>
      </c>
      <c r="N2402" s="1" t="str">
        <f t="shared" si="4830"/>
        <v>0</v>
      </c>
      <c r="O2402" s="1" t="str">
        <f t="shared" si="4830"/>
        <v>0</v>
      </c>
      <c r="P2402" s="1" t="str">
        <f t="shared" si="4830"/>
        <v>0</v>
      </c>
      <c r="Q2402" s="1" t="str">
        <f t="shared" si="4770"/>
        <v>0.0070</v>
      </c>
      <c r="R2402" s="1" t="s">
        <v>29</v>
      </c>
      <c r="S2402" s="1">
        <v>-0.0014</v>
      </c>
      <c r="T2402" s="1" t="str">
        <f t="shared" si="4771"/>
        <v>0</v>
      </c>
      <c r="U2402" s="1" t="str">
        <f t="shared" si="4823"/>
        <v>0.0056</v>
      </c>
    </row>
    <row r="2403" s="1" customFormat="1" spans="1:21">
      <c r="A2403" s="1" t="str">
        <f>"4601992041423"</f>
        <v>4601992041423</v>
      </c>
      <c r="B2403" s="1" t="s">
        <v>2427</v>
      </c>
      <c r="C2403" s="1" t="s">
        <v>24</v>
      </c>
      <c r="D2403" s="1" t="str">
        <f t="shared" si="4767"/>
        <v>2021</v>
      </c>
      <c r="E2403" s="1" t="str">
        <f t="shared" ref="E2403:P2403" si="4831">"0"</f>
        <v>0</v>
      </c>
      <c r="F2403" s="1" t="str">
        <f t="shared" si="4831"/>
        <v>0</v>
      </c>
      <c r="G2403" s="1" t="str">
        <f t="shared" si="4831"/>
        <v>0</v>
      </c>
      <c r="H2403" s="1" t="str">
        <f t="shared" si="4831"/>
        <v>0</v>
      </c>
      <c r="I2403" s="1" t="str">
        <f t="shared" si="4831"/>
        <v>0</v>
      </c>
      <c r="J2403" s="1" t="str">
        <f t="shared" si="4831"/>
        <v>0</v>
      </c>
      <c r="K2403" s="1" t="str">
        <f t="shared" si="4831"/>
        <v>0</v>
      </c>
      <c r="L2403" s="1" t="str">
        <f t="shared" si="4831"/>
        <v>0</v>
      </c>
      <c r="M2403" s="1" t="str">
        <f t="shared" si="4831"/>
        <v>0</v>
      </c>
      <c r="N2403" s="1" t="str">
        <f t="shared" si="4831"/>
        <v>0</v>
      </c>
      <c r="O2403" s="1" t="str">
        <f t="shared" si="4831"/>
        <v>0</v>
      </c>
      <c r="P2403" s="1" t="str">
        <f t="shared" si="4831"/>
        <v>0</v>
      </c>
      <c r="Q2403" s="1" t="str">
        <f t="shared" si="4770"/>
        <v>0.0070</v>
      </c>
      <c r="R2403" s="1" t="s">
        <v>25</v>
      </c>
      <c r="T2403" s="1" t="str">
        <f t="shared" si="4771"/>
        <v>0</v>
      </c>
      <c r="U2403" s="1" t="str">
        <f t="shared" ref="U2403:U2406" si="4832">"0.0070"</f>
        <v>0.0070</v>
      </c>
    </row>
    <row r="2404" s="1" customFormat="1" spans="1:21">
      <c r="A2404" s="1" t="str">
        <f>"4601992041411"</f>
        <v>4601992041411</v>
      </c>
      <c r="B2404" s="1" t="s">
        <v>2428</v>
      </c>
      <c r="C2404" s="1" t="s">
        <v>24</v>
      </c>
      <c r="D2404" s="1" t="str">
        <f t="shared" si="4767"/>
        <v>2021</v>
      </c>
      <c r="E2404" s="1" t="str">
        <f>"12.09"</f>
        <v>12.09</v>
      </c>
      <c r="F2404" s="1" t="str">
        <f t="shared" ref="F2404:I2404" si="4833">"0"</f>
        <v>0</v>
      </c>
      <c r="G2404" s="1" t="str">
        <f t="shared" si="4833"/>
        <v>0</v>
      </c>
      <c r="H2404" s="1" t="str">
        <f t="shared" si="4833"/>
        <v>0</v>
      </c>
      <c r="I2404" s="1" t="str">
        <f t="shared" si="4833"/>
        <v>0</v>
      </c>
      <c r="J2404" s="1" t="str">
        <f>"1"</f>
        <v>1</v>
      </c>
      <c r="K2404" s="1" t="str">
        <f t="shared" ref="K2404:P2404" si="4834">"0"</f>
        <v>0</v>
      </c>
      <c r="L2404" s="1" t="str">
        <f t="shared" si="4834"/>
        <v>0</v>
      </c>
      <c r="M2404" s="1" t="str">
        <f t="shared" si="4834"/>
        <v>0</v>
      </c>
      <c r="N2404" s="1" t="str">
        <f t="shared" si="4834"/>
        <v>0</v>
      </c>
      <c r="O2404" s="1" t="str">
        <f t="shared" si="4834"/>
        <v>0</v>
      </c>
      <c r="P2404" s="1" t="str">
        <f t="shared" si="4834"/>
        <v>0</v>
      </c>
      <c r="Q2404" s="1" t="str">
        <f t="shared" si="4770"/>
        <v>0.0070</v>
      </c>
      <c r="R2404" s="1" t="s">
        <v>29</v>
      </c>
      <c r="S2404" s="1">
        <v>-0.0014</v>
      </c>
      <c r="T2404" s="1" t="str">
        <f t="shared" si="4771"/>
        <v>0</v>
      </c>
      <c r="U2404" s="1" t="str">
        <f t="shared" ref="U2404:U2418" si="4835">"0.0056"</f>
        <v>0.0056</v>
      </c>
    </row>
    <row r="2405" s="1" customFormat="1" spans="1:21">
      <c r="A2405" s="1" t="str">
        <f>"4601992041456"</f>
        <v>4601992041456</v>
      </c>
      <c r="B2405" s="1" t="s">
        <v>2429</v>
      </c>
      <c r="C2405" s="1" t="s">
        <v>24</v>
      </c>
      <c r="D2405" s="1" t="str">
        <f t="shared" si="4767"/>
        <v>2021</v>
      </c>
      <c r="E2405" s="1" t="str">
        <f t="shared" ref="E2405:P2405" si="4836">"0"</f>
        <v>0</v>
      </c>
      <c r="F2405" s="1" t="str">
        <f t="shared" si="4836"/>
        <v>0</v>
      </c>
      <c r="G2405" s="1" t="str">
        <f t="shared" si="4836"/>
        <v>0</v>
      </c>
      <c r="H2405" s="1" t="str">
        <f t="shared" si="4836"/>
        <v>0</v>
      </c>
      <c r="I2405" s="1" t="str">
        <f t="shared" si="4836"/>
        <v>0</v>
      </c>
      <c r="J2405" s="1" t="str">
        <f t="shared" si="4836"/>
        <v>0</v>
      </c>
      <c r="K2405" s="1" t="str">
        <f t="shared" si="4836"/>
        <v>0</v>
      </c>
      <c r="L2405" s="1" t="str">
        <f t="shared" si="4836"/>
        <v>0</v>
      </c>
      <c r="M2405" s="1" t="str">
        <f t="shared" si="4836"/>
        <v>0</v>
      </c>
      <c r="N2405" s="1" t="str">
        <f t="shared" si="4836"/>
        <v>0</v>
      </c>
      <c r="O2405" s="1" t="str">
        <f t="shared" si="4836"/>
        <v>0</v>
      </c>
      <c r="P2405" s="1" t="str">
        <f t="shared" si="4836"/>
        <v>0</v>
      </c>
      <c r="Q2405" s="1" t="str">
        <f t="shared" si="4770"/>
        <v>0.0070</v>
      </c>
      <c r="R2405" s="1" t="s">
        <v>25</v>
      </c>
      <c r="T2405" s="1" t="str">
        <f t="shared" si="4771"/>
        <v>0</v>
      </c>
      <c r="U2405" s="1" t="str">
        <f t="shared" si="4832"/>
        <v>0.0070</v>
      </c>
    </row>
    <row r="2406" s="1" customFormat="1" spans="1:21">
      <c r="A2406" s="1" t="str">
        <f>"4601992041496"</f>
        <v>4601992041496</v>
      </c>
      <c r="B2406" s="1" t="s">
        <v>2430</v>
      </c>
      <c r="C2406" s="1" t="s">
        <v>24</v>
      </c>
      <c r="D2406" s="1" t="str">
        <f t="shared" si="4767"/>
        <v>2021</v>
      </c>
      <c r="E2406" s="1" t="str">
        <f t="shared" ref="E2406:P2406" si="4837">"0"</f>
        <v>0</v>
      </c>
      <c r="F2406" s="1" t="str">
        <f t="shared" si="4837"/>
        <v>0</v>
      </c>
      <c r="G2406" s="1" t="str">
        <f t="shared" si="4837"/>
        <v>0</v>
      </c>
      <c r="H2406" s="1" t="str">
        <f t="shared" si="4837"/>
        <v>0</v>
      </c>
      <c r="I2406" s="1" t="str">
        <f t="shared" si="4837"/>
        <v>0</v>
      </c>
      <c r="J2406" s="1" t="str">
        <f t="shared" si="4837"/>
        <v>0</v>
      </c>
      <c r="K2406" s="1" t="str">
        <f t="shared" si="4837"/>
        <v>0</v>
      </c>
      <c r="L2406" s="1" t="str">
        <f t="shared" si="4837"/>
        <v>0</v>
      </c>
      <c r="M2406" s="1" t="str">
        <f t="shared" si="4837"/>
        <v>0</v>
      </c>
      <c r="N2406" s="1" t="str">
        <f t="shared" si="4837"/>
        <v>0</v>
      </c>
      <c r="O2406" s="1" t="str">
        <f t="shared" si="4837"/>
        <v>0</v>
      </c>
      <c r="P2406" s="1" t="str">
        <f t="shared" si="4837"/>
        <v>0</v>
      </c>
      <c r="Q2406" s="1" t="str">
        <f t="shared" si="4770"/>
        <v>0.0070</v>
      </c>
      <c r="R2406" s="1" t="s">
        <v>25</v>
      </c>
      <c r="T2406" s="1" t="str">
        <f t="shared" si="4771"/>
        <v>0</v>
      </c>
      <c r="U2406" s="1" t="str">
        <f t="shared" si="4832"/>
        <v>0.0070</v>
      </c>
    </row>
    <row r="2407" s="1" customFormat="1" spans="1:21">
      <c r="A2407" s="1" t="str">
        <f>"4601992041441"</f>
        <v>4601992041441</v>
      </c>
      <c r="B2407" s="1" t="s">
        <v>2431</v>
      </c>
      <c r="C2407" s="1" t="s">
        <v>24</v>
      </c>
      <c r="D2407" s="1" t="str">
        <f t="shared" si="4767"/>
        <v>2021</v>
      </c>
      <c r="E2407" s="1" t="str">
        <f>"24.50"</f>
        <v>24.50</v>
      </c>
      <c r="F2407" s="1" t="str">
        <f t="shared" ref="F2407:I2407" si="4838">"0"</f>
        <v>0</v>
      </c>
      <c r="G2407" s="1" t="str">
        <f t="shared" si="4838"/>
        <v>0</v>
      </c>
      <c r="H2407" s="1" t="str">
        <f t="shared" si="4838"/>
        <v>0</v>
      </c>
      <c r="I2407" s="1" t="str">
        <f t="shared" si="4838"/>
        <v>0</v>
      </c>
      <c r="J2407" s="1" t="str">
        <f>"2"</f>
        <v>2</v>
      </c>
      <c r="K2407" s="1" t="str">
        <f t="shared" ref="K2407:P2407" si="4839">"0"</f>
        <v>0</v>
      </c>
      <c r="L2407" s="1" t="str">
        <f t="shared" si="4839"/>
        <v>0</v>
      </c>
      <c r="M2407" s="1" t="str">
        <f t="shared" si="4839"/>
        <v>0</v>
      </c>
      <c r="N2407" s="1" t="str">
        <f t="shared" si="4839"/>
        <v>0</v>
      </c>
      <c r="O2407" s="1" t="str">
        <f t="shared" si="4839"/>
        <v>0</v>
      </c>
      <c r="P2407" s="1" t="str">
        <f t="shared" si="4839"/>
        <v>0</v>
      </c>
      <c r="Q2407" s="1" t="str">
        <f t="shared" si="4770"/>
        <v>0.0070</v>
      </c>
      <c r="R2407" s="1" t="s">
        <v>29</v>
      </c>
      <c r="S2407" s="1">
        <v>-0.0014</v>
      </c>
      <c r="T2407" s="1" t="str">
        <f t="shared" si="4771"/>
        <v>0</v>
      </c>
      <c r="U2407" s="1" t="str">
        <f t="shared" si="4835"/>
        <v>0.0056</v>
      </c>
    </row>
    <row r="2408" s="1" customFormat="1" spans="1:21">
      <c r="A2408" s="1" t="str">
        <f>"4601992041461"</f>
        <v>4601992041461</v>
      </c>
      <c r="B2408" s="1" t="s">
        <v>2432</v>
      </c>
      <c r="C2408" s="1" t="s">
        <v>24</v>
      </c>
      <c r="D2408" s="1" t="str">
        <f t="shared" si="4767"/>
        <v>2021</v>
      </c>
      <c r="E2408" s="1" t="str">
        <f>"36.27"</f>
        <v>36.27</v>
      </c>
      <c r="F2408" s="1" t="str">
        <f t="shared" ref="F2408:I2408" si="4840">"0"</f>
        <v>0</v>
      </c>
      <c r="G2408" s="1" t="str">
        <f t="shared" si="4840"/>
        <v>0</v>
      </c>
      <c r="H2408" s="1" t="str">
        <f t="shared" si="4840"/>
        <v>0</v>
      </c>
      <c r="I2408" s="1" t="str">
        <f t="shared" si="4840"/>
        <v>0</v>
      </c>
      <c r="J2408" s="1" t="str">
        <f>"7"</f>
        <v>7</v>
      </c>
      <c r="K2408" s="1" t="str">
        <f t="shared" ref="K2408:P2408" si="4841">"0"</f>
        <v>0</v>
      </c>
      <c r="L2408" s="1" t="str">
        <f t="shared" si="4841"/>
        <v>0</v>
      </c>
      <c r="M2408" s="1" t="str">
        <f t="shared" si="4841"/>
        <v>0</v>
      </c>
      <c r="N2408" s="1" t="str">
        <f t="shared" si="4841"/>
        <v>0</v>
      </c>
      <c r="O2408" s="1" t="str">
        <f t="shared" si="4841"/>
        <v>0</v>
      </c>
      <c r="P2408" s="1" t="str">
        <f t="shared" si="4841"/>
        <v>0</v>
      </c>
      <c r="Q2408" s="1" t="str">
        <f t="shared" si="4770"/>
        <v>0.0070</v>
      </c>
      <c r="R2408" s="1" t="s">
        <v>29</v>
      </c>
      <c r="S2408" s="1">
        <v>-0.0014</v>
      </c>
      <c r="T2408" s="1" t="str">
        <f t="shared" si="4771"/>
        <v>0</v>
      </c>
      <c r="U2408" s="1" t="str">
        <f t="shared" si="4835"/>
        <v>0.0056</v>
      </c>
    </row>
    <row r="2409" s="1" customFormat="1" spans="1:21">
      <c r="A2409" s="1" t="str">
        <f>"4601992041495"</f>
        <v>4601992041495</v>
      </c>
      <c r="B2409" s="1" t="s">
        <v>2433</v>
      </c>
      <c r="C2409" s="1" t="s">
        <v>24</v>
      </c>
      <c r="D2409" s="1" t="str">
        <f t="shared" si="4767"/>
        <v>2021</v>
      </c>
      <c r="E2409" s="1" t="str">
        <f>"35.94"</f>
        <v>35.94</v>
      </c>
      <c r="F2409" s="1" t="str">
        <f t="shared" ref="F2409:I2409" si="4842">"0"</f>
        <v>0</v>
      </c>
      <c r="G2409" s="1" t="str">
        <f t="shared" si="4842"/>
        <v>0</v>
      </c>
      <c r="H2409" s="1" t="str">
        <f t="shared" si="4842"/>
        <v>0</v>
      </c>
      <c r="I2409" s="1" t="str">
        <f t="shared" si="4842"/>
        <v>0</v>
      </c>
      <c r="J2409" s="1" t="str">
        <f>"5"</f>
        <v>5</v>
      </c>
      <c r="K2409" s="1" t="str">
        <f t="shared" ref="K2409:P2409" si="4843">"0"</f>
        <v>0</v>
      </c>
      <c r="L2409" s="1" t="str">
        <f t="shared" si="4843"/>
        <v>0</v>
      </c>
      <c r="M2409" s="1" t="str">
        <f t="shared" si="4843"/>
        <v>0</v>
      </c>
      <c r="N2409" s="1" t="str">
        <f t="shared" si="4843"/>
        <v>0</v>
      </c>
      <c r="O2409" s="1" t="str">
        <f t="shared" si="4843"/>
        <v>0</v>
      </c>
      <c r="P2409" s="1" t="str">
        <f t="shared" si="4843"/>
        <v>0</v>
      </c>
      <c r="Q2409" s="1" t="str">
        <f t="shared" si="4770"/>
        <v>0.0070</v>
      </c>
      <c r="R2409" s="1" t="s">
        <v>29</v>
      </c>
      <c r="S2409" s="1">
        <v>-0.0014</v>
      </c>
      <c r="T2409" s="1" t="str">
        <f t="shared" si="4771"/>
        <v>0</v>
      </c>
      <c r="U2409" s="1" t="str">
        <f t="shared" si="4835"/>
        <v>0.0056</v>
      </c>
    </row>
    <row r="2410" s="1" customFormat="1" spans="1:21">
      <c r="A2410" s="1" t="str">
        <f>"4601992041517"</f>
        <v>4601992041517</v>
      </c>
      <c r="B2410" s="1" t="s">
        <v>2434</v>
      </c>
      <c r="C2410" s="1" t="s">
        <v>24</v>
      </c>
      <c r="D2410" s="1" t="str">
        <f t="shared" si="4767"/>
        <v>2021</v>
      </c>
      <c r="E2410" s="1" t="str">
        <f>"24.18"</f>
        <v>24.18</v>
      </c>
      <c r="F2410" s="1" t="str">
        <f t="shared" ref="F2410:I2410" si="4844">"0"</f>
        <v>0</v>
      </c>
      <c r="G2410" s="1" t="str">
        <f t="shared" si="4844"/>
        <v>0</v>
      </c>
      <c r="H2410" s="1" t="str">
        <f t="shared" si="4844"/>
        <v>0</v>
      </c>
      <c r="I2410" s="1" t="str">
        <f t="shared" si="4844"/>
        <v>0</v>
      </c>
      <c r="J2410" s="1" t="str">
        <f>"2"</f>
        <v>2</v>
      </c>
      <c r="K2410" s="1" t="str">
        <f t="shared" ref="K2410:P2410" si="4845">"0"</f>
        <v>0</v>
      </c>
      <c r="L2410" s="1" t="str">
        <f t="shared" si="4845"/>
        <v>0</v>
      </c>
      <c r="M2410" s="1" t="str">
        <f t="shared" si="4845"/>
        <v>0</v>
      </c>
      <c r="N2410" s="1" t="str">
        <f t="shared" si="4845"/>
        <v>0</v>
      </c>
      <c r="O2410" s="1" t="str">
        <f t="shared" si="4845"/>
        <v>0</v>
      </c>
      <c r="P2410" s="1" t="str">
        <f t="shared" si="4845"/>
        <v>0</v>
      </c>
      <c r="Q2410" s="1" t="str">
        <f t="shared" si="4770"/>
        <v>0.0070</v>
      </c>
      <c r="R2410" s="1" t="s">
        <v>29</v>
      </c>
      <c r="S2410" s="1">
        <v>-0.0014</v>
      </c>
      <c r="T2410" s="1" t="str">
        <f t="shared" si="4771"/>
        <v>0</v>
      </c>
      <c r="U2410" s="1" t="str">
        <f t="shared" si="4835"/>
        <v>0.0056</v>
      </c>
    </row>
    <row r="2411" s="1" customFormat="1" spans="1:21">
      <c r="A2411" s="1" t="str">
        <f>"4601992041539"</f>
        <v>4601992041539</v>
      </c>
      <c r="B2411" s="1" t="s">
        <v>2435</v>
      </c>
      <c r="C2411" s="1" t="s">
        <v>24</v>
      </c>
      <c r="D2411" s="1" t="str">
        <f t="shared" si="4767"/>
        <v>2021</v>
      </c>
      <c r="E2411" s="1" t="str">
        <f t="shared" ref="E2411:E2417" si="4846">"12.09"</f>
        <v>12.09</v>
      </c>
      <c r="F2411" s="1" t="str">
        <f t="shared" ref="F2411:I2411" si="4847">"0"</f>
        <v>0</v>
      </c>
      <c r="G2411" s="1" t="str">
        <f t="shared" si="4847"/>
        <v>0</v>
      </c>
      <c r="H2411" s="1" t="str">
        <f t="shared" si="4847"/>
        <v>0</v>
      </c>
      <c r="I2411" s="1" t="str">
        <f t="shared" si="4847"/>
        <v>0</v>
      </c>
      <c r="J2411" s="1" t="str">
        <f>"1"</f>
        <v>1</v>
      </c>
      <c r="K2411" s="1" t="str">
        <f t="shared" ref="K2411:P2411" si="4848">"0"</f>
        <v>0</v>
      </c>
      <c r="L2411" s="1" t="str">
        <f t="shared" si="4848"/>
        <v>0</v>
      </c>
      <c r="M2411" s="1" t="str">
        <f t="shared" si="4848"/>
        <v>0</v>
      </c>
      <c r="N2411" s="1" t="str">
        <f t="shared" si="4848"/>
        <v>0</v>
      </c>
      <c r="O2411" s="1" t="str">
        <f t="shared" si="4848"/>
        <v>0</v>
      </c>
      <c r="P2411" s="1" t="str">
        <f t="shared" si="4848"/>
        <v>0</v>
      </c>
      <c r="Q2411" s="1" t="str">
        <f t="shared" si="4770"/>
        <v>0.0070</v>
      </c>
      <c r="R2411" s="1" t="s">
        <v>29</v>
      </c>
      <c r="S2411" s="1">
        <v>-0.0014</v>
      </c>
      <c r="T2411" s="1" t="str">
        <f t="shared" si="4771"/>
        <v>0</v>
      </c>
      <c r="U2411" s="1" t="str">
        <f t="shared" si="4835"/>
        <v>0.0056</v>
      </c>
    </row>
    <row r="2412" s="1" customFormat="1" spans="1:21">
      <c r="A2412" s="1" t="str">
        <f>"4601992041555"</f>
        <v>4601992041555</v>
      </c>
      <c r="B2412" s="1" t="s">
        <v>2436</v>
      </c>
      <c r="C2412" s="1" t="s">
        <v>24</v>
      </c>
      <c r="D2412" s="1" t="str">
        <f t="shared" si="4767"/>
        <v>2021</v>
      </c>
      <c r="E2412" s="1" t="str">
        <f t="shared" si="4846"/>
        <v>12.09</v>
      </c>
      <c r="F2412" s="1" t="str">
        <f t="shared" ref="F2412:I2412" si="4849">"0"</f>
        <v>0</v>
      </c>
      <c r="G2412" s="1" t="str">
        <f t="shared" si="4849"/>
        <v>0</v>
      </c>
      <c r="H2412" s="1" t="str">
        <f t="shared" si="4849"/>
        <v>0</v>
      </c>
      <c r="I2412" s="1" t="str">
        <f t="shared" si="4849"/>
        <v>0</v>
      </c>
      <c r="J2412" s="1" t="str">
        <f>"1"</f>
        <v>1</v>
      </c>
      <c r="K2412" s="1" t="str">
        <f t="shared" ref="K2412:P2412" si="4850">"0"</f>
        <v>0</v>
      </c>
      <c r="L2412" s="1" t="str">
        <f t="shared" si="4850"/>
        <v>0</v>
      </c>
      <c r="M2412" s="1" t="str">
        <f t="shared" si="4850"/>
        <v>0</v>
      </c>
      <c r="N2412" s="1" t="str">
        <f t="shared" si="4850"/>
        <v>0</v>
      </c>
      <c r="O2412" s="1" t="str">
        <f t="shared" si="4850"/>
        <v>0</v>
      </c>
      <c r="P2412" s="1" t="str">
        <f t="shared" si="4850"/>
        <v>0</v>
      </c>
      <c r="Q2412" s="1" t="str">
        <f t="shared" si="4770"/>
        <v>0.0070</v>
      </c>
      <c r="R2412" s="1" t="s">
        <v>29</v>
      </c>
      <c r="S2412" s="1">
        <v>-0.0014</v>
      </c>
      <c r="T2412" s="1" t="str">
        <f t="shared" si="4771"/>
        <v>0</v>
      </c>
      <c r="U2412" s="1" t="str">
        <f t="shared" si="4835"/>
        <v>0.0056</v>
      </c>
    </row>
    <row r="2413" s="1" customFormat="1" spans="1:21">
      <c r="A2413" s="1" t="str">
        <f>"4601992041563"</f>
        <v>4601992041563</v>
      </c>
      <c r="B2413" s="1" t="s">
        <v>2437</v>
      </c>
      <c r="C2413" s="1" t="s">
        <v>24</v>
      </c>
      <c r="D2413" s="1" t="str">
        <f t="shared" si="4767"/>
        <v>2021</v>
      </c>
      <c r="E2413" s="1" t="str">
        <f>"72.43"</f>
        <v>72.43</v>
      </c>
      <c r="F2413" s="1" t="str">
        <f t="shared" ref="F2413:I2413" si="4851">"0"</f>
        <v>0</v>
      </c>
      <c r="G2413" s="1" t="str">
        <f t="shared" si="4851"/>
        <v>0</v>
      </c>
      <c r="H2413" s="1" t="str">
        <f t="shared" si="4851"/>
        <v>0</v>
      </c>
      <c r="I2413" s="1" t="str">
        <f t="shared" si="4851"/>
        <v>0</v>
      </c>
      <c r="J2413" s="1" t="str">
        <f>"7"</f>
        <v>7</v>
      </c>
      <c r="K2413" s="1" t="str">
        <f t="shared" ref="K2413:P2413" si="4852">"0"</f>
        <v>0</v>
      </c>
      <c r="L2413" s="1" t="str">
        <f t="shared" si="4852"/>
        <v>0</v>
      </c>
      <c r="M2413" s="1" t="str">
        <f t="shared" si="4852"/>
        <v>0</v>
      </c>
      <c r="N2413" s="1" t="str">
        <f t="shared" si="4852"/>
        <v>0</v>
      </c>
      <c r="O2413" s="1" t="str">
        <f t="shared" si="4852"/>
        <v>0</v>
      </c>
      <c r="P2413" s="1" t="str">
        <f t="shared" si="4852"/>
        <v>0</v>
      </c>
      <c r="Q2413" s="1" t="str">
        <f t="shared" si="4770"/>
        <v>0.0070</v>
      </c>
      <c r="R2413" s="1" t="s">
        <v>29</v>
      </c>
      <c r="S2413" s="1">
        <v>-0.0014</v>
      </c>
      <c r="T2413" s="1" t="str">
        <f t="shared" si="4771"/>
        <v>0</v>
      </c>
      <c r="U2413" s="1" t="str">
        <f t="shared" si="4835"/>
        <v>0.0056</v>
      </c>
    </row>
    <row r="2414" s="1" customFormat="1" spans="1:21">
      <c r="A2414" s="1" t="str">
        <f>"4601992041601"</f>
        <v>4601992041601</v>
      </c>
      <c r="B2414" s="1" t="s">
        <v>2438</v>
      </c>
      <c r="C2414" s="1" t="s">
        <v>24</v>
      </c>
      <c r="D2414" s="1" t="str">
        <f t="shared" si="4767"/>
        <v>2021</v>
      </c>
      <c r="E2414" s="1" t="str">
        <f>"363.03"</f>
        <v>363.03</v>
      </c>
      <c r="F2414" s="1" t="str">
        <f t="shared" ref="F2414:I2414" si="4853">"0"</f>
        <v>0</v>
      </c>
      <c r="G2414" s="1" t="str">
        <f t="shared" si="4853"/>
        <v>0</v>
      </c>
      <c r="H2414" s="1" t="str">
        <f t="shared" si="4853"/>
        <v>0</v>
      </c>
      <c r="I2414" s="1" t="str">
        <f t="shared" si="4853"/>
        <v>0</v>
      </c>
      <c r="J2414" s="1" t="str">
        <f>"17"</f>
        <v>17</v>
      </c>
      <c r="K2414" s="1" t="str">
        <f t="shared" ref="K2414:P2414" si="4854">"0"</f>
        <v>0</v>
      </c>
      <c r="L2414" s="1" t="str">
        <f t="shared" si="4854"/>
        <v>0</v>
      </c>
      <c r="M2414" s="1" t="str">
        <f t="shared" si="4854"/>
        <v>0</v>
      </c>
      <c r="N2414" s="1" t="str">
        <f t="shared" si="4854"/>
        <v>0</v>
      </c>
      <c r="O2414" s="1" t="str">
        <f t="shared" si="4854"/>
        <v>0</v>
      </c>
      <c r="P2414" s="1" t="str">
        <f t="shared" si="4854"/>
        <v>0</v>
      </c>
      <c r="Q2414" s="1" t="str">
        <f t="shared" si="4770"/>
        <v>0.0070</v>
      </c>
      <c r="R2414" s="1" t="s">
        <v>29</v>
      </c>
      <c r="S2414" s="1">
        <v>-0.0014</v>
      </c>
      <c r="T2414" s="1" t="str">
        <f t="shared" si="4771"/>
        <v>0</v>
      </c>
      <c r="U2414" s="1" t="str">
        <f t="shared" si="4835"/>
        <v>0.0056</v>
      </c>
    </row>
    <row r="2415" s="1" customFormat="1" spans="1:21">
      <c r="A2415" s="1" t="str">
        <f>"4601992041586"</f>
        <v>4601992041586</v>
      </c>
      <c r="B2415" s="1" t="s">
        <v>2439</v>
      </c>
      <c r="C2415" s="1" t="s">
        <v>24</v>
      </c>
      <c r="D2415" s="1" t="str">
        <f t="shared" si="4767"/>
        <v>2021</v>
      </c>
      <c r="E2415" s="1" t="str">
        <f>"24.18"</f>
        <v>24.18</v>
      </c>
      <c r="F2415" s="1" t="str">
        <f t="shared" ref="F2415:I2415" si="4855">"0"</f>
        <v>0</v>
      </c>
      <c r="G2415" s="1" t="str">
        <f t="shared" si="4855"/>
        <v>0</v>
      </c>
      <c r="H2415" s="1" t="str">
        <f t="shared" si="4855"/>
        <v>0</v>
      </c>
      <c r="I2415" s="1" t="str">
        <f t="shared" si="4855"/>
        <v>0</v>
      </c>
      <c r="J2415" s="1" t="str">
        <f>"2"</f>
        <v>2</v>
      </c>
      <c r="K2415" s="1" t="str">
        <f t="shared" ref="K2415:P2415" si="4856">"0"</f>
        <v>0</v>
      </c>
      <c r="L2415" s="1" t="str">
        <f t="shared" si="4856"/>
        <v>0</v>
      </c>
      <c r="M2415" s="1" t="str">
        <f t="shared" si="4856"/>
        <v>0</v>
      </c>
      <c r="N2415" s="1" t="str">
        <f t="shared" si="4856"/>
        <v>0</v>
      </c>
      <c r="O2415" s="1" t="str">
        <f t="shared" si="4856"/>
        <v>0</v>
      </c>
      <c r="P2415" s="1" t="str">
        <f t="shared" si="4856"/>
        <v>0</v>
      </c>
      <c r="Q2415" s="1" t="str">
        <f t="shared" si="4770"/>
        <v>0.0070</v>
      </c>
      <c r="R2415" s="1" t="s">
        <v>29</v>
      </c>
      <c r="S2415" s="1">
        <v>-0.0014</v>
      </c>
      <c r="T2415" s="1" t="str">
        <f t="shared" si="4771"/>
        <v>0</v>
      </c>
      <c r="U2415" s="1" t="str">
        <f t="shared" si="4835"/>
        <v>0.0056</v>
      </c>
    </row>
    <row r="2416" s="1" customFormat="1" spans="1:21">
      <c r="A2416" s="1" t="str">
        <f>"4601992041629"</f>
        <v>4601992041629</v>
      </c>
      <c r="B2416" s="1" t="s">
        <v>2440</v>
      </c>
      <c r="C2416" s="1" t="s">
        <v>24</v>
      </c>
      <c r="D2416" s="1" t="str">
        <f t="shared" si="4767"/>
        <v>2021</v>
      </c>
      <c r="E2416" s="1" t="str">
        <f t="shared" si="4846"/>
        <v>12.09</v>
      </c>
      <c r="F2416" s="1" t="str">
        <f t="shared" ref="F2416:I2416" si="4857">"0"</f>
        <v>0</v>
      </c>
      <c r="G2416" s="1" t="str">
        <f t="shared" si="4857"/>
        <v>0</v>
      </c>
      <c r="H2416" s="1" t="str">
        <f t="shared" si="4857"/>
        <v>0</v>
      </c>
      <c r="I2416" s="1" t="str">
        <f t="shared" si="4857"/>
        <v>0</v>
      </c>
      <c r="J2416" s="1" t="str">
        <f>"3"</f>
        <v>3</v>
      </c>
      <c r="K2416" s="1" t="str">
        <f t="shared" ref="K2416:P2416" si="4858">"0"</f>
        <v>0</v>
      </c>
      <c r="L2416" s="1" t="str">
        <f t="shared" si="4858"/>
        <v>0</v>
      </c>
      <c r="M2416" s="1" t="str">
        <f t="shared" si="4858"/>
        <v>0</v>
      </c>
      <c r="N2416" s="1" t="str">
        <f t="shared" si="4858"/>
        <v>0</v>
      </c>
      <c r="O2416" s="1" t="str">
        <f t="shared" si="4858"/>
        <v>0</v>
      </c>
      <c r="P2416" s="1" t="str">
        <f t="shared" si="4858"/>
        <v>0</v>
      </c>
      <c r="Q2416" s="1" t="str">
        <f t="shared" si="4770"/>
        <v>0.0070</v>
      </c>
      <c r="R2416" s="1" t="s">
        <v>29</v>
      </c>
      <c r="S2416" s="1">
        <v>-0.0014</v>
      </c>
      <c r="T2416" s="1" t="str">
        <f t="shared" si="4771"/>
        <v>0</v>
      </c>
      <c r="U2416" s="1" t="str">
        <f t="shared" si="4835"/>
        <v>0.0056</v>
      </c>
    </row>
    <row r="2417" s="1" customFormat="1" spans="1:21">
      <c r="A2417" s="1" t="str">
        <f>"4601992041641"</f>
        <v>4601992041641</v>
      </c>
      <c r="B2417" s="1" t="s">
        <v>2441</v>
      </c>
      <c r="C2417" s="1" t="s">
        <v>24</v>
      </c>
      <c r="D2417" s="1" t="str">
        <f t="shared" si="4767"/>
        <v>2021</v>
      </c>
      <c r="E2417" s="1" t="str">
        <f t="shared" si="4846"/>
        <v>12.09</v>
      </c>
      <c r="F2417" s="1" t="str">
        <f t="shared" ref="F2417:I2417" si="4859">"0"</f>
        <v>0</v>
      </c>
      <c r="G2417" s="1" t="str">
        <f t="shared" si="4859"/>
        <v>0</v>
      </c>
      <c r="H2417" s="1" t="str">
        <f t="shared" si="4859"/>
        <v>0</v>
      </c>
      <c r="I2417" s="1" t="str">
        <f t="shared" si="4859"/>
        <v>0</v>
      </c>
      <c r="J2417" s="1" t="str">
        <f>"1"</f>
        <v>1</v>
      </c>
      <c r="K2417" s="1" t="str">
        <f t="shared" ref="K2417:P2417" si="4860">"0"</f>
        <v>0</v>
      </c>
      <c r="L2417" s="1" t="str">
        <f t="shared" si="4860"/>
        <v>0</v>
      </c>
      <c r="M2417" s="1" t="str">
        <f t="shared" si="4860"/>
        <v>0</v>
      </c>
      <c r="N2417" s="1" t="str">
        <f t="shared" si="4860"/>
        <v>0</v>
      </c>
      <c r="O2417" s="1" t="str">
        <f t="shared" si="4860"/>
        <v>0</v>
      </c>
      <c r="P2417" s="1" t="str">
        <f t="shared" si="4860"/>
        <v>0</v>
      </c>
      <c r="Q2417" s="1" t="str">
        <f t="shared" si="4770"/>
        <v>0.0070</v>
      </c>
      <c r="R2417" s="1" t="s">
        <v>29</v>
      </c>
      <c r="S2417" s="1">
        <v>-0.0014</v>
      </c>
      <c r="T2417" s="1" t="str">
        <f t="shared" si="4771"/>
        <v>0</v>
      </c>
      <c r="U2417" s="1" t="str">
        <f t="shared" si="4835"/>
        <v>0.0056</v>
      </c>
    </row>
    <row r="2418" s="1" customFormat="1" spans="1:21">
      <c r="A2418" s="1" t="str">
        <f>"4601992041704"</f>
        <v>4601992041704</v>
      </c>
      <c r="B2418" s="1" t="s">
        <v>2442</v>
      </c>
      <c r="C2418" s="1" t="s">
        <v>24</v>
      </c>
      <c r="D2418" s="1" t="str">
        <f t="shared" si="4767"/>
        <v>2021</v>
      </c>
      <c r="E2418" s="1" t="str">
        <f>"108.59"</f>
        <v>108.59</v>
      </c>
      <c r="F2418" s="1" t="str">
        <f t="shared" ref="F2418:I2418" si="4861">"0"</f>
        <v>0</v>
      </c>
      <c r="G2418" s="1" t="str">
        <f t="shared" si="4861"/>
        <v>0</v>
      </c>
      <c r="H2418" s="1" t="str">
        <f t="shared" si="4861"/>
        <v>0</v>
      </c>
      <c r="I2418" s="1" t="str">
        <f t="shared" si="4861"/>
        <v>0</v>
      </c>
      <c r="J2418" s="1" t="str">
        <f>"7"</f>
        <v>7</v>
      </c>
      <c r="K2418" s="1" t="str">
        <f t="shared" ref="K2418:P2418" si="4862">"0"</f>
        <v>0</v>
      </c>
      <c r="L2418" s="1" t="str">
        <f t="shared" si="4862"/>
        <v>0</v>
      </c>
      <c r="M2418" s="1" t="str">
        <f t="shared" si="4862"/>
        <v>0</v>
      </c>
      <c r="N2418" s="1" t="str">
        <f t="shared" si="4862"/>
        <v>0</v>
      </c>
      <c r="O2418" s="1" t="str">
        <f t="shared" si="4862"/>
        <v>0</v>
      </c>
      <c r="P2418" s="1" t="str">
        <f t="shared" si="4862"/>
        <v>0</v>
      </c>
      <c r="Q2418" s="1" t="str">
        <f t="shared" si="4770"/>
        <v>0.0070</v>
      </c>
      <c r="R2418" s="1" t="s">
        <v>29</v>
      </c>
      <c r="S2418" s="1">
        <v>-0.0014</v>
      </c>
      <c r="T2418" s="1" t="str">
        <f t="shared" si="4771"/>
        <v>0</v>
      </c>
      <c r="U2418" s="1" t="str">
        <f t="shared" si="4835"/>
        <v>0.0056</v>
      </c>
    </row>
    <row r="2419" s="1" customFormat="1" spans="1:21">
      <c r="A2419" s="1" t="str">
        <f>"4601992041705"</f>
        <v>4601992041705</v>
      </c>
      <c r="B2419" s="1" t="s">
        <v>2443</v>
      </c>
      <c r="C2419" s="1" t="s">
        <v>24</v>
      </c>
      <c r="D2419" s="1" t="str">
        <f t="shared" si="4767"/>
        <v>2021</v>
      </c>
      <c r="E2419" s="1" t="str">
        <f t="shared" ref="E2419:P2419" si="4863">"0"</f>
        <v>0</v>
      </c>
      <c r="F2419" s="1" t="str">
        <f t="shared" si="4863"/>
        <v>0</v>
      </c>
      <c r="G2419" s="1" t="str">
        <f t="shared" si="4863"/>
        <v>0</v>
      </c>
      <c r="H2419" s="1" t="str">
        <f t="shared" si="4863"/>
        <v>0</v>
      </c>
      <c r="I2419" s="1" t="str">
        <f t="shared" si="4863"/>
        <v>0</v>
      </c>
      <c r="J2419" s="1" t="str">
        <f t="shared" si="4863"/>
        <v>0</v>
      </c>
      <c r="K2419" s="1" t="str">
        <f t="shared" si="4863"/>
        <v>0</v>
      </c>
      <c r="L2419" s="1" t="str">
        <f t="shared" si="4863"/>
        <v>0</v>
      </c>
      <c r="M2419" s="1" t="str">
        <f t="shared" si="4863"/>
        <v>0</v>
      </c>
      <c r="N2419" s="1" t="str">
        <f t="shared" si="4863"/>
        <v>0</v>
      </c>
      <c r="O2419" s="1" t="str">
        <f t="shared" si="4863"/>
        <v>0</v>
      </c>
      <c r="P2419" s="1" t="str">
        <f t="shared" si="4863"/>
        <v>0</v>
      </c>
      <c r="Q2419" s="1" t="str">
        <f t="shared" si="4770"/>
        <v>0.0070</v>
      </c>
      <c r="R2419" s="1" t="s">
        <v>25</v>
      </c>
      <c r="T2419" s="1" t="str">
        <f t="shared" si="4771"/>
        <v>0</v>
      </c>
      <c r="U2419" s="1" t="str">
        <f>"0.0070"</f>
        <v>0.0070</v>
      </c>
    </row>
    <row r="2420" s="1" customFormat="1" spans="1:21">
      <c r="A2420" s="1" t="str">
        <f>"4601992041646"</f>
        <v>4601992041646</v>
      </c>
      <c r="B2420" s="1" t="s">
        <v>2444</v>
      </c>
      <c r="C2420" s="1" t="s">
        <v>24</v>
      </c>
      <c r="D2420" s="1" t="str">
        <f t="shared" si="4767"/>
        <v>2021</v>
      </c>
      <c r="E2420" s="1" t="str">
        <f>"15.75"</f>
        <v>15.75</v>
      </c>
      <c r="F2420" s="1" t="str">
        <f t="shared" ref="F2420:I2420" si="4864">"0"</f>
        <v>0</v>
      </c>
      <c r="G2420" s="1" t="str">
        <f t="shared" si="4864"/>
        <v>0</v>
      </c>
      <c r="H2420" s="1" t="str">
        <f t="shared" si="4864"/>
        <v>0</v>
      </c>
      <c r="I2420" s="1" t="str">
        <f t="shared" si="4864"/>
        <v>0</v>
      </c>
      <c r="J2420" s="1" t="str">
        <f>"1"</f>
        <v>1</v>
      </c>
      <c r="K2420" s="1" t="str">
        <f t="shared" ref="K2420:P2420" si="4865">"0"</f>
        <v>0</v>
      </c>
      <c r="L2420" s="1" t="str">
        <f t="shared" si="4865"/>
        <v>0</v>
      </c>
      <c r="M2420" s="1" t="str">
        <f t="shared" si="4865"/>
        <v>0</v>
      </c>
      <c r="N2420" s="1" t="str">
        <f t="shared" si="4865"/>
        <v>0</v>
      </c>
      <c r="O2420" s="1" t="str">
        <f t="shared" si="4865"/>
        <v>0</v>
      </c>
      <c r="P2420" s="1" t="str">
        <f t="shared" si="4865"/>
        <v>0</v>
      </c>
      <c r="Q2420" s="1" t="str">
        <f t="shared" si="4770"/>
        <v>0.0070</v>
      </c>
      <c r="R2420" s="1" t="s">
        <v>29</v>
      </c>
      <c r="S2420" s="1">
        <v>-0.0014</v>
      </c>
      <c r="T2420" s="1" t="str">
        <f t="shared" si="4771"/>
        <v>0</v>
      </c>
      <c r="U2420" s="1" t="str">
        <f t="shared" ref="U2420:U2429" si="4866">"0.0056"</f>
        <v>0.0056</v>
      </c>
    </row>
    <row r="2421" s="1" customFormat="1" spans="1:21">
      <c r="A2421" s="1" t="str">
        <f>"4601992041735"</f>
        <v>4601992041735</v>
      </c>
      <c r="B2421" s="1" t="s">
        <v>2445</v>
      </c>
      <c r="C2421" s="1" t="s">
        <v>24</v>
      </c>
      <c r="D2421" s="1" t="str">
        <f t="shared" si="4767"/>
        <v>2021</v>
      </c>
      <c r="E2421" s="1" t="str">
        <f t="shared" ref="E2421:P2421" si="4867">"0"</f>
        <v>0</v>
      </c>
      <c r="F2421" s="1" t="str">
        <f t="shared" si="4867"/>
        <v>0</v>
      </c>
      <c r="G2421" s="1" t="str">
        <f t="shared" si="4867"/>
        <v>0</v>
      </c>
      <c r="H2421" s="1" t="str">
        <f t="shared" si="4867"/>
        <v>0</v>
      </c>
      <c r="I2421" s="1" t="str">
        <f t="shared" si="4867"/>
        <v>0</v>
      </c>
      <c r="J2421" s="1" t="str">
        <f t="shared" si="4867"/>
        <v>0</v>
      </c>
      <c r="K2421" s="1" t="str">
        <f t="shared" si="4867"/>
        <v>0</v>
      </c>
      <c r="L2421" s="1" t="str">
        <f t="shared" si="4867"/>
        <v>0</v>
      </c>
      <c r="M2421" s="1" t="str">
        <f t="shared" si="4867"/>
        <v>0</v>
      </c>
      <c r="N2421" s="1" t="str">
        <f t="shared" si="4867"/>
        <v>0</v>
      </c>
      <c r="O2421" s="1" t="str">
        <f t="shared" si="4867"/>
        <v>0</v>
      </c>
      <c r="P2421" s="1" t="str">
        <f t="shared" si="4867"/>
        <v>0</v>
      </c>
      <c r="Q2421" s="1" t="str">
        <f t="shared" si="4770"/>
        <v>0.0070</v>
      </c>
      <c r="R2421" s="1" t="s">
        <v>25</v>
      </c>
      <c r="T2421" s="1" t="str">
        <f t="shared" si="4771"/>
        <v>0</v>
      </c>
      <c r="U2421" s="1" t="str">
        <f>"0.0070"</f>
        <v>0.0070</v>
      </c>
    </row>
    <row r="2422" s="1" customFormat="1" spans="1:21">
      <c r="A2422" s="1" t="str">
        <f>"4601992041706"</f>
        <v>4601992041706</v>
      </c>
      <c r="B2422" s="1" t="s">
        <v>2446</v>
      </c>
      <c r="C2422" s="1" t="s">
        <v>24</v>
      </c>
      <c r="D2422" s="1" t="str">
        <f t="shared" si="4767"/>
        <v>2021</v>
      </c>
      <c r="E2422" s="1" t="str">
        <f>"24.07"</f>
        <v>24.07</v>
      </c>
      <c r="F2422" s="1" t="str">
        <f t="shared" ref="F2422:I2422" si="4868">"0"</f>
        <v>0</v>
      </c>
      <c r="G2422" s="1" t="str">
        <f t="shared" si="4868"/>
        <v>0</v>
      </c>
      <c r="H2422" s="1" t="str">
        <f t="shared" si="4868"/>
        <v>0</v>
      </c>
      <c r="I2422" s="1" t="str">
        <f t="shared" si="4868"/>
        <v>0</v>
      </c>
      <c r="J2422" s="1" t="str">
        <f>"2"</f>
        <v>2</v>
      </c>
      <c r="K2422" s="1" t="str">
        <f t="shared" ref="K2422:P2422" si="4869">"0"</f>
        <v>0</v>
      </c>
      <c r="L2422" s="1" t="str">
        <f t="shared" si="4869"/>
        <v>0</v>
      </c>
      <c r="M2422" s="1" t="str">
        <f t="shared" si="4869"/>
        <v>0</v>
      </c>
      <c r="N2422" s="1" t="str">
        <f t="shared" si="4869"/>
        <v>0</v>
      </c>
      <c r="O2422" s="1" t="str">
        <f t="shared" si="4869"/>
        <v>0</v>
      </c>
      <c r="P2422" s="1" t="str">
        <f t="shared" si="4869"/>
        <v>0</v>
      </c>
      <c r="Q2422" s="1" t="str">
        <f t="shared" si="4770"/>
        <v>0.0070</v>
      </c>
      <c r="R2422" s="1" t="s">
        <v>29</v>
      </c>
      <c r="S2422" s="1">
        <v>-0.0014</v>
      </c>
      <c r="T2422" s="1" t="str">
        <f t="shared" si="4771"/>
        <v>0</v>
      </c>
      <c r="U2422" s="1" t="str">
        <f t="shared" si="4866"/>
        <v>0.0056</v>
      </c>
    </row>
    <row r="2423" s="1" customFormat="1" spans="1:21">
      <c r="A2423" s="1" t="str">
        <f>"4601992041805"</f>
        <v>4601992041805</v>
      </c>
      <c r="B2423" s="1" t="s">
        <v>2447</v>
      </c>
      <c r="C2423" s="1" t="s">
        <v>24</v>
      </c>
      <c r="D2423" s="1" t="str">
        <f t="shared" si="4767"/>
        <v>2021</v>
      </c>
      <c r="E2423" s="1" t="str">
        <f>"12.09"</f>
        <v>12.09</v>
      </c>
      <c r="F2423" s="1" t="str">
        <f t="shared" ref="F2423:I2423" si="4870">"0"</f>
        <v>0</v>
      </c>
      <c r="G2423" s="1" t="str">
        <f t="shared" si="4870"/>
        <v>0</v>
      </c>
      <c r="H2423" s="1" t="str">
        <f t="shared" si="4870"/>
        <v>0</v>
      </c>
      <c r="I2423" s="1" t="str">
        <f t="shared" si="4870"/>
        <v>0</v>
      </c>
      <c r="J2423" s="1" t="str">
        <f>"1"</f>
        <v>1</v>
      </c>
      <c r="K2423" s="1" t="str">
        <f t="shared" ref="K2423:P2423" si="4871">"0"</f>
        <v>0</v>
      </c>
      <c r="L2423" s="1" t="str">
        <f t="shared" si="4871"/>
        <v>0</v>
      </c>
      <c r="M2423" s="1" t="str">
        <f t="shared" si="4871"/>
        <v>0</v>
      </c>
      <c r="N2423" s="1" t="str">
        <f t="shared" si="4871"/>
        <v>0</v>
      </c>
      <c r="O2423" s="1" t="str">
        <f t="shared" si="4871"/>
        <v>0</v>
      </c>
      <c r="P2423" s="1" t="str">
        <f t="shared" si="4871"/>
        <v>0</v>
      </c>
      <c r="Q2423" s="1" t="str">
        <f t="shared" si="4770"/>
        <v>0.0070</v>
      </c>
      <c r="R2423" s="1" t="s">
        <v>29</v>
      </c>
      <c r="S2423" s="1">
        <v>-0.0014</v>
      </c>
      <c r="T2423" s="1" t="str">
        <f t="shared" si="4771"/>
        <v>0</v>
      </c>
      <c r="U2423" s="1" t="str">
        <f t="shared" si="4866"/>
        <v>0.0056</v>
      </c>
    </row>
    <row r="2424" s="1" customFormat="1" spans="1:21">
      <c r="A2424" s="1" t="str">
        <f>"4601992041748"</f>
        <v>4601992041748</v>
      </c>
      <c r="B2424" s="1" t="s">
        <v>2448</v>
      </c>
      <c r="C2424" s="1" t="s">
        <v>24</v>
      </c>
      <c r="D2424" s="1" t="str">
        <f t="shared" si="4767"/>
        <v>2021</v>
      </c>
      <c r="E2424" s="1" t="str">
        <f>"72.54"</f>
        <v>72.54</v>
      </c>
      <c r="F2424" s="1" t="str">
        <f t="shared" ref="F2424:I2424" si="4872">"0"</f>
        <v>0</v>
      </c>
      <c r="G2424" s="1" t="str">
        <f t="shared" si="4872"/>
        <v>0</v>
      </c>
      <c r="H2424" s="1" t="str">
        <f t="shared" si="4872"/>
        <v>0</v>
      </c>
      <c r="I2424" s="1" t="str">
        <f t="shared" si="4872"/>
        <v>0</v>
      </c>
      <c r="J2424" s="1" t="str">
        <f t="shared" ref="J2424:J2428" si="4873">"5"</f>
        <v>5</v>
      </c>
      <c r="K2424" s="1" t="str">
        <f t="shared" ref="K2424:P2424" si="4874">"0"</f>
        <v>0</v>
      </c>
      <c r="L2424" s="1" t="str">
        <f t="shared" si="4874"/>
        <v>0</v>
      </c>
      <c r="M2424" s="1" t="str">
        <f t="shared" si="4874"/>
        <v>0</v>
      </c>
      <c r="N2424" s="1" t="str">
        <f t="shared" si="4874"/>
        <v>0</v>
      </c>
      <c r="O2424" s="1" t="str">
        <f t="shared" si="4874"/>
        <v>0</v>
      </c>
      <c r="P2424" s="1" t="str">
        <f t="shared" si="4874"/>
        <v>0</v>
      </c>
      <c r="Q2424" s="1" t="str">
        <f t="shared" si="4770"/>
        <v>0.0070</v>
      </c>
      <c r="R2424" s="1" t="s">
        <v>29</v>
      </c>
      <c r="S2424" s="1">
        <v>-0.0014</v>
      </c>
      <c r="T2424" s="1" t="str">
        <f t="shared" si="4771"/>
        <v>0</v>
      </c>
      <c r="U2424" s="1" t="str">
        <f t="shared" si="4866"/>
        <v>0.0056</v>
      </c>
    </row>
    <row r="2425" s="1" customFormat="1" spans="1:21">
      <c r="A2425" s="1" t="str">
        <f>"4601992041828"</f>
        <v>4601992041828</v>
      </c>
      <c r="B2425" s="1" t="s">
        <v>2449</v>
      </c>
      <c r="C2425" s="1" t="s">
        <v>24</v>
      </c>
      <c r="D2425" s="1" t="str">
        <f t="shared" si="4767"/>
        <v>2021</v>
      </c>
      <c r="E2425" s="1" t="str">
        <f>"36.30"</f>
        <v>36.30</v>
      </c>
      <c r="F2425" s="1" t="str">
        <f t="shared" ref="F2425:I2425" si="4875">"0"</f>
        <v>0</v>
      </c>
      <c r="G2425" s="1" t="str">
        <f t="shared" si="4875"/>
        <v>0</v>
      </c>
      <c r="H2425" s="1" t="str">
        <f t="shared" si="4875"/>
        <v>0</v>
      </c>
      <c r="I2425" s="1" t="str">
        <f t="shared" si="4875"/>
        <v>0</v>
      </c>
      <c r="J2425" s="1" t="str">
        <f t="shared" si="4873"/>
        <v>5</v>
      </c>
      <c r="K2425" s="1" t="str">
        <f t="shared" ref="K2425:P2425" si="4876">"0"</f>
        <v>0</v>
      </c>
      <c r="L2425" s="1" t="str">
        <f t="shared" si="4876"/>
        <v>0</v>
      </c>
      <c r="M2425" s="1" t="str">
        <f t="shared" si="4876"/>
        <v>0</v>
      </c>
      <c r="N2425" s="1" t="str">
        <f t="shared" si="4876"/>
        <v>0</v>
      </c>
      <c r="O2425" s="1" t="str">
        <f t="shared" si="4876"/>
        <v>0</v>
      </c>
      <c r="P2425" s="1" t="str">
        <f t="shared" si="4876"/>
        <v>0</v>
      </c>
      <c r="Q2425" s="1" t="str">
        <f t="shared" si="4770"/>
        <v>0.0070</v>
      </c>
      <c r="R2425" s="1" t="s">
        <v>29</v>
      </c>
      <c r="S2425" s="1">
        <v>-0.0014</v>
      </c>
      <c r="T2425" s="1" t="str">
        <f t="shared" si="4771"/>
        <v>0</v>
      </c>
      <c r="U2425" s="1" t="str">
        <f t="shared" si="4866"/>
        <v>0.0056</v>
      </c>
    </row>
    <row r="2426" s="1" customFormat="1" spans="1:21">
      <c r="A2426" s="1" t="str">
        <f>"4601992041788"</f>
        <v>4601992041788</v>
      </c>
      <c r="B2426" s="1" t="s">
        <v>2450</v>
      </c>
      <c r="C2426" s="1" t="s">
        <v>24</v>
      </c>
      <c r="D2426" s="1" t="str">
        <f t="shared" si="4767"/>
        <v>2021</v>
      </c>
      <c r="E2426" s="1" t="str">
        <f>"12.09"</f>
        <v>12.09</v>
      </c>
      <c r="F2426" s="1" t="str">
        <f t="shared" ref="F2426:I2426" si="4877">"0"</f>
        <v>0</v>
      </c>
      <c r="G2426" s="1" t="str">
        <f t="shared" si="4877"/>
        <v>0</v>
      </c>
      <c r="H2426" s="1" t="str">
        <f t="shared" si="4877"/>
        <v>0</v>
      </c>
      <c r="I2426" s="1" t="str">
        <f t="shared" si="4877"/>
        <v>0</v>
      </c>
      <c r="J2426" s="1" t="str">
        <f>"2"</f>
        <v>2</v>
      </c>
      <c r="K2426" s="1" t="str">
        <f t="shared" ref="K2426:P2426" si="4878">"0"</f>
        <v>0</v>
      </c>
      <c r="L2426" s="1" t="str">
        <f t="shared" si="4878"/>
        <v>0</v>
      </c>
      <c r="M2426" s="1" t="str">
        <f t="shared" si="4878"/>
        <v>0</v>
      </c>
      <c r="N2426" s="1" t="str">
        <f t="shared" si="4878"/>
        <v>0</v>
      </c>
      <c r="O2426" s="1" t="str">
        <f t="shared" si="4878"/>
        <v>0</v>
      </c>
      <c r="P2426" s="1" t="str">
        <f t="shared" si="4878"/>
        <v>0</v>
      </c>
      <c r="Q2426" s="1" t="str">
        <f t="shared" si="4770"/>
        <v>0.0070</v>
      </c>
      <c r="R2426" s="1" t="s">
        <v>29</v>
      </c>
      <c r="S2426" s="1">
        <v>-0.0014</v>
      </c>
      <c r="T2426" s="1" t="str">
        <f t="shared" si="4771"/>
        <v>0</v>
      </c>
      <c r="U2426" s="1" t="str">
        <f t="shared" si="4866"/>
        <v>0.0056</v>
      </c>
    </row>
    <row r="2427" s="1" customFormat="1" spans="1:21">
      <c r="A2427" s="1" t="str">
        <f>"4601992042013"</f>
        <v>4601992042013</v>
      </c>
      <c r="B2427" s="1" t="s">
        <v>2451</v>
      </c>
      <c r="C2427" s="1" t="s">
        <v>24</v>
      </c>
      <c r="D2427" s="1" t="str">
        <f t="shared" si="4767"/>
        <v>2021</v>
      </c>
      <c r="E2427" s="1" t="str">
        <f>"84.63"</f>
        <v>84.63</v>
      </c>
      <c r="F2427" s="1" t="str">
        <f t="shared" ref="F2427:I2427" si="4879">"0"</f>
        <v>0</v>
      </c>
      <c r="G2427" s="1" t="str">
        <f t="shared" si="4879"/>
        <v>0</v>
      </c>
      <c r="H2427" s="1" t="str">
        <f t="shared" si="4879"/>
        <v>0</v>
      </c>
      <c r="I2427" s="1" t="str">
        <f t="shared" si="4879"/>
        <v>0</v>
      </c>
      <c r="J2427" s="1" t="str">
        <f>"7"</f>
        <v>7</v>
      </c>
      <c r="K2427" s="1" t="str">
        <f t="shared" ref="K2427:P2427" si="4880">"0"</f>
        <v>0</v>
      </c>
      <c r="L2427" s="1" t="str">
        <f t="shared" si="4880"/>
        <v>0</v>
      </c>
      <c r="M2427" s="1" t="str">
        <f t="shared" si="4880"/>
        <v>0</v>
      </c>
      <c r="N2427" s="1" t="str">
        <f t="shared" si="4880"/>
        <v>0</v>
      </c>
      <c r="O2427" s="1" t="str">
        <f t="shared" si="4880"/>
        <v>0</v>
      </c>
      <c r="P2427" s="1" t="str">
        <f t="shared" si="4880"/>
        <v>0</v>
      </c>
      <c r="Q2427" s="1" t="str">
        <f t="shared" si="4770"/>
        <v>0.0070</v>
      </c>
      <c r="R2427" s="1" t="s">
        <v>29</v>
      </c>
      <c r="S2427" s="1">
        <v>-0.0014</v>
      </c>
      <c r="T2427" s="1" t="str">
        <f t="shared" si="4771"/>
        <v>0</v>
      </c>
      <c r="U2427" s="1" t="str">
        <f t="shared" si="4866"/>
        <v>0.0056</v>
      </c>
    </row>
    <row r="2428" s="1" customFormat="1" spans="1:21">
      <c r="A2428" s="1" t="str">
        <f>"4601992041922"</f>
        <v>4601992041922</v>
      </c>
      <c r="B2428" s="1" t="s">
        <v>2452</v>
      </c>
      <c r="C2428" s="1" t="s">
        <v>24</v>
      </c>
      <c r="D2428" s="1" t="str">
        <f t="shared" si="4767"/>
        <v>2021</v>
      </c>
      <c r="E2428" s="1" t="str">
        <f>"96.72"</f>
        <v>96.72</v>
      </c>
      <c r="F2428" s="1" t="str">
        <f t="shared" ref="F2428:I2428" si="4881">"0"</f>
        <v>0</v>
      </c>
      <c r="G2428" s="1" t="str">
        <f t="shared" si="4881"/>
        <v>0</v>
      </c>
      <c r="H2428" s="1" t="str">
        <f t="shared" si="4881"/>
        <v>0</v>
      </c>
      <c r="I2428" s="1" t="str">
        <f t="shared" si="4881"/>
        <v>0</v>
      </c>
      <c r="J2428" s="1" t="str">
        <f t="shared" si="4873"/>
        <v>5</v>
      </c>
      <c r="K2428" s="1" t="str">
        <f t="shared" ref="K2428:P2428" si="4882">"0"</f>
        <v>0</v>
      </c>
      <c r="L2428" s="1" t="str">
        <f t="shared" si="4882"/>
        <v>0</v>
      </c>
      <c r="M2428" s="1" t="str">
        <f t="shared" si="4882"/>
        <v>0</v>
      </c>
      <c r="N2428" s="1" t="str">
        <f t="shared" si="4882"/>
        <v>0</v>
      </c>
      <c r="O2428" s="1" t="str">
        <f t="shared" si="4882"/>
        <v>0</v>
      </c>
      <c r="P2428" s="1" t="str">
        <f t="shared" si="4882"/>
        <v>0</v>
      </c>
      <c r="Q2428" s="1" t="str">
        <f t="shared" si="4770"/>
        <v>0.0070</v>
      </c>
      <c r="R2428" s="1" t="s">
        <v>29</v>
      </c>
      <c r="S2428" s="1">
        <v>-0.0014</v>
      </c>
      <c r="T2428" s="1" t="str">
        <f t="shared" si="4771"/>
        <v>0</v>
      </c>
      <c r="U2428" s="1" t="str">
        <f t="shared" si="4866"/>
        <v>0.0056</v>
      </c>
    </row>
    <row r="2429" s="1" customFormat="1" spans="1:21">
      <c r="A2429" s="1" t="str">
        <f>"4601992042001"</f>
        <v>4601992042001</v>
      </c>
      <c r="B2429" s="1" t="s">
        <v>2453</v>
      </c>
      <c r="C2429" s="1" t="s">
        <v>24</v>
      </c>
      <c r="D2429" s="1" t="str">
        <f t="shared" si="4767"/>
        <v>2021</v>
      </c>
      <c r="E2429" s="1" t="str">
        <f>"72.54"</f>
        <v>72.54</v>
      </c>
      <c r="F2429" s="1" t="str">
        <f t="shared" ref="F2429:I2429" si="4883">"0"</f>
        <v>0</v>
      </c>
      <c r="G2429" s="1" t="str">
        <f t="shared" si="4883"/>
        <v>0</v>
      </c>
      <c r="H2429" s="1" t="str">
        <f t="shared" si="4883"/>
        <v>0</v>
      </c>
      <c r="I2429" s="1" t="str">
        <f t="shared" si="4883"/>
        <v>0</v>
      </c>
      <c r="J2429" s="1" t="str">
        <f>"6"</f>
        <v>6</v>
      </c>
      <c r="K2429" s="1" t="str">
        <f t="shared" ref="K2429:P2429" si="4884">"0"</f>
        <v>0</v>
      </c>
      <c r="L2429" s="1" t="str">
        <f t="shared" si="4884"/>
        <v>0</v>
      </c>
      <c r="M2429" s="1" t="str">
        <f t="shared" si="4884"/>
        <v>0</v>
      </c>
      <c r="N2429" s="1" t="str">
        <f t="shared" si="4884"/>
        <v>0</v>
      </c>
      <c r="O2429" s="1" t="str">
        <f t="shared" si="4884"/>
        <v>0</v>
      </c>
      <c r="P2429" s="1" t="str">
        <f t="shared" si="4884"/>
        <v>0</v>
      </c>
      <c r="Q2429" s="1" t="str">
        <f t="shared" si="4770"/>
        <v>0.0070</v>
      </c>
      <c r="R2429" s="1" t="s">
        <v>29</v>
      </c>
      <c r="S2429" s="1">
        <v>-0.0014</v>
      </c>
      <c r="T2429" s="1" t="str">
        <f t="shared" si="4771"/>
        <v>0</v>
      </c>
      <c r="U2429" s="1" t="str">
        <f t="shared" si="4866"/>
        <v>0.0056</v>
      </c>
    </row>
    <row r="2430" s="1" customFormat="1" spans="1:21">
      <c r="A2430" s="1" t="str">
        <f>"4601992042113"</f>
        <v>4601992042113</v>
      </c>
      <c r="B2430" s="1" t="s">
        <v>2454</v>
      </c>
      <c r="C2430" s="1" t="s">
        <v>24</v>
      </c>
      <c r="D2430" s="1" t="str">
        <f t="shared" si="4767"/>
        <v>2021</v>
      </c>
      <c r="E2430" s="1" t="str">
        <f t="shared" ref="E2430:P2430" si="4885">"0"</f>
        <v>0</v>
      </c>
      <c r="F2430" s="1" t="str">
        <f t="shared" si="4885"/>
        <v>0</v>
      </c>
      <c r="G2430" s="1" t="str">
        <f t="shared" si="4885"/>
        <v>0</v>
      </c>
      <c r="H2430" s="1" t="str">
        <f t="shared" si="4885"/>
        <v>0</v>
      </c>
      <c r="I2430" s="1" t="str">
        <f t="shared" si="4885"/>
        <v>0</v>
      </c>
      <c r="J2430" s="1" t="str">
        <f t="shared" si="4885"/>
        <v>0</v>
      </c>
      <c r="K2430" s="1" t="str">
        <f t="shared" si="4885"/>
        <v>0</v>
      </c>
      <c r="L2430" s="1" t="str">
        <f t="shared" si="4885"/>
        <v>0</v>
      </c>
      <c r="M2430" s="1" t="str">
        <f t="shared" si="4885"/>
        <v>0</v>
      </c>
      <c r="N2430" s="1" t="str">
        <f t="shared" si="4885"/>
        <v>0</v>
      </c>
      <c r="O2430" s="1" t="str">
        <f t="shared" si="4885"/>
        <v>0</v>
      </c>
      <c r="P2430" s="1" t="str">
        <f t="shared" si="4885"/>
        <v>0</v>
      </c>
      <c r="Q2430" s="1" t="str">
        <f t="shared" si="4770"/>
        <v>0.0070</v>
      </c>
      <c r="R2430" s="1" t="s">
        <v>25</v>
      </c>
      <c r="T2430" s="1" t="str">
        <f t="shared" si="4771"/>
        <v>0</v>
      </c>
      <c r="U2430" s="1" t="str">
        <f t="shared" ref="U2430:U2434" si="4886">"0.0070"</f>
        <v>0.0070</v>
      </c>
    </row>
    <row r="2431" s="1" customFormat="1" spans="1:21">
      <c r="A2431" s="1" t="str">
        <f>"4601992042024"</f>
        <v>4601992042024</v>
      </c>
      <c r="B2431" s="1" t="s">
        <v>2455</v>
      </c>
      <c r="C2431" s="1" t="s">
        <v>24</v>
      </c>
      <c r="D2431" s="1" t="str">
        <f t="shared" si="4767"/>
        <v>2021</v>
      </c>
      <c r="E2431" s="1" t="str">
        <f>"12.25"</f>
        <v>12.25</v>
      </c>
      <c r="F2431" s="1" t="str">
        <f t="shared" ref="F2431:I2431" si="4887">"0"</f>
        <v>0</v>
      </c>
      <c r="G2431" s="1" t="str">
        <f t="shared" si="4887"/>
        <v>0</v>
      </c>
      <c r="H2431" s="1" t="str">
        <f t="shared" si="4887"/>
        <v>0</v>
      </c>
      <c r="I2431" s="1" t="str">
        <f t="shared" si="4887"/>
        <v>0</v>
      </c>
      <c r="J2431" s="1" t="str">
        <f t="shared" ref="J2431:J2437" si="4888">"1"</f>
        <v>1</v>
      </c>
      <c r="K2431" s="1" t="str">
        <f t="shared" ref="K2431:P2431" si="4889">"0"</f>
        <v>0</v>
      </c>
      <c r="L2431" s="1" t="str">
        <f t="shared" si="4889"/>
        <v>0</v>
      </c>
      <c r="M2431" s="1" t="str">
        <f t="shared" si="4889"/>
        <v>0</v>
      </c>
      <c r="N2431" s="1" t="str">
        <f t="shared" si="4889"/>
        <v>0</v>
      </c>
      <c r="O2431" s="1" t="str">
        <f t="shared" si="4889"/>
        <v>0</v>
      </c>
      <c r="P2431" s="1" t="str">
        <f t="shared" si="4889"/>
        <v>0</v>
      </c>
      <c r="Q2431" s="1" t="str">
        <f t="shared" si="4770"/>
        <v>0.0070</v>
      </c>
      <c r="R2431" s="1" t="s">
        <v>25</v>
      </c>
      <c r="T2431" s="1" t="str">
        <f t="shared" si="4771"/>
        <v>0</v>
      </c>
      <c r="U2431" s="1" t="str">
        <f t="shared" si="4886"/>
        <v>0.0070</v>
      </c>
    </row>
    <row r="2432" s="1" customFormat="1" spans="1:21">
      <c r="A2432" s="1" t="str">
        <f>"4601992042076"</f>
        <v>4601992042076</v>
      </c>
      <c r="B2432" s="1" t="s">
        <v>2456</v>
      </c>
      <c r="C2432" s="1" t="s">
        <v>24</v>
      </c>
      <c r="D2432" s="1" t="str">
        <f t="shared" si="4767"/>
        <v>2021</v>
      </c>
      <c r="E2432" s="1" t="str">
        <f>"67.77"</f>
        <v>67.77</v>
      </c>
      <c r="F2432" s="1" t="str">
        <f t="shared" ref="F2432:I2432" si="4890">"0"</f>
        <v>0</v>
      </c>
      <c r="G2432" s="1" t="str">
        <f t="shared" si="4890"/>
        <v>0</v>
      </c>
      <c r="H2432" s="1" t="str">
        <f t="shared" si="4890"/>
        <v>0</v>
      </c>
      <c r="I2432" s="1" t="str">
        <f t="shared" si="4890"/>
        <v>0</v>
      </c>
      <c r="J2432" s="1" t="str">
        <f>"5"</f>
        <v>5</v>
      </c>
      <c r="K2432" s="1" t="str">
        <f t="shared" ref="K2432:P2432" si="4891">"0"</f>
        <v>0</v>
      </c>
      <c r="L2432" s="1" t="str">
        <f t="shared" si="4891"/>
        <v>0</v>
      </c>
      <c r="M2432" s="1" t="str">
        <f t="shared" si="4891"/>
        <v>0</v>
      </c>
      <c r="N2432" s="1" t="str">
        <f t="shared" si="4891"/>
        <v>0</v>
      </c>
      <c r="O2432" s="1" t="str">
        <f t="shared" si="4891"/>
        <v>0</v>
      </c>
      <c r="P2432" s="1" t="str">
        <f t="shared" si="4891"/>
        <v>0</v>
      </c>
      <c r="Q2432" s="1" t="str">
        <f t="shared" si="4770"/>
        <v>0.0070</v>
      </c>
      <c r="R2432" s="1" t="s">
        <v>29</v>
      </c>
      <c r="S2432" s="1">
        <v>-0.0014</v>
      </c>
      <c r="T2432" s="1" t="str">
        <f t="shared" si="4771"/>
        <v>0</v>
      </c>
      <c r="U2432" s="1" t="str">
        <f t="shared" ref="U2432:U2437" si="4892">"0.0056"</f>
        <v>0.0056</v>
      </c>
    </row>
    <row r="2433" s="1" customFormat="1" spans="1:21">
      <c r="A2433" s="1" t="str">
        <f>"4601992042084"</f>
        <v>4601992042084</v>
      </c>
      <c r="B2433" s="1" t="s">
        <v>2457</v>
      </c>
      <c r="C2433" s="1" t="s">
        <v>24</v>
      </c>
      <c r="D2433" s="1" t="str">
        <f t="shared" si="4767"/>
        <v>2021</v>
      </c>
      <c r="E2433" s="1" t="str">
        <f>"23.96"</f>
        <v>23.96</v>
      </c>
      <c r="F2433" s="1" t="str">
        <f t="shared" ref="F2433:I2433" si="4893">"0"</f>
        <v>0</v>
      </c>
      <c r="G2433" s="1" t="str">
        <f t="shared" si="4893"/>
        <v>0</v>
      </c>
      <c r="H2433" s="1" t="str">
        <f t="shared" si="4893"/>
        <v>0</v>
      </c>
      <c r="I2433" s="1" t="str">
        <f t="shared" si="4893"/>
        <v>0</v>
      </c>
      <c r="J2433" s="1" t="str">
        <f>"2"</f>
        <v>2</v>
      </c>
      <c r="K2433" s="1" t="str">
        <f t="shared" ref="K2433:P2433" si="4894">"0"</f>
        <v>0</v>
      </c>
      <c r="L2433" s="1" t="str">
        <f t="shared" si="4894"/>
        <v>0</v>
      </c>
      <c r="M2433" s="1" t="str">
        <f t="shared" si="4894"/>
        <v>0</v>
      </c>
      <c r="N2433" s="1" t="str">
        <f t="shared" si="4894"/>
        <v>0</v>
      </c>
      <c r="O2433" s="1" t="str">
        <f t="shared" si="4894"/>
        <v>0</v>
      </c>
      <c r="P2433" s="1" t="str">
        <f t="shared" si="4894"/>
        <v>0</v>
      </c>
      <c r="Q2433" s="1" t="str">
        <f t="shared" si="4770"/>
        <v>0.0070</v>
      </c>
      <c r="R2433" s="1" t="s">
        <v>29</v>
      </c>
      <c r="S2433" s="1">
        <v>-0.0014</v>
      </c>
      <c r="T2433" s="1" t="str">
        <f t="shared" si="4771"/>
        <v>0</v>
      </c>
      <c r="U2433" s="1" t="str">
        <f t="shared" si="4892"/>
        <v>0.0056</v>
      </c>
    </row>
    <row r="2434" s="1" customFormat="1" spans="1:21">
      <c r="A2434" s="1" t="str">
        <f>"4601992042172"</f>
        <v>4601992042172</v>
      </c>
      <c r="B2434" s="1" t="s">
        <v>2458</v>
      </c>
      <c r="C2434" s="1" t="s">
        <v>24</v>
      </c>
      <c r="D2434" s="1" t="str">
        <f t="shared" si="4767"/>
        <v>2021</v>
      </c>
      <c r="E2434" s="1" t="str">
        <f t="shared" ref="E2434:P2434" si="4895">"0"</f>
        <v>0</v>
      </c>
      <c r="F2434" s="1" t="str">
        <f t="shared" si="4895"/>
        <v>0</v>
      </c>
      <c r="G2434" s="1" t="str">
        <f t="shared" si="4895"/>
        <v>0</v>
      </c>
      <c r="H2434" s="1" t="str">
        <f t="shared" si="4895"/>
        <v>0</v>
      </c>
      <c r="I2434" s="1" t="str">
        <f t="shared" si="4895"/>
        <v>0</v>
      </c>
      <c r="J2434" s="1" t="str">
        <f t="shared" si="4895"/>
        <v>0</v>
      </c>
      <c r="K2434" s="1" t="str">
        <f t="shared" si="4895"/>
        <v>0</v>
      </c>
      <c r="L2434" s="1" t="str">
        <f t="shared" si="4895"/>
        <v>0</v>
      </c>
      <c r="M2434" s="1" t="str">
        <f t="shared" si="4895"/>
        <v>0</v>
      </c>
      <c r="N2434" s="1" t="str">
        <f t="shared" si="4895"/>
        <v>0</v>
      </c>
      <c r="O2434" s="1" t="str">
        <f t="shared" si="4895"/>
        <v>0</v>
      </c>
      <c r="P2434" s="1" t="str">
        <f t="shared" si="4895"/>
        <v>0</v>
      </c>
      <c r="Q2434" s="1" t="str">
        <f t="shared" si="4770"/>
        <v>0.0070</v>
      </c>
      <c r="R2434" s="1" t="s">
        <v>25</v>
      </c>
      <c r="T2434" s="1" t="str">
        <f t="shared" si="4771"/>
        <v>0</v>
      </c>
      <c r="U2434" s="1" t="str">
        <f t="shared" si="4886"/>
        <v>0.0070</v>
      </c>
    </row>
    <row r="2435" s="1" customFormat="1" spans="1:21">
      <c r="A2435" s="1" t="str">
        <f>"4601992042189"</f>
        <v>4601992042189</v>
      </c>
      <c r="B2435" s="1" t="s">
        <v>2459</v>
      </c>
      <c r="C2435" s="1" t="s">
        <v>24</v>
      </c>
      <c r="D2435" s="1" t="str">
        <f t="shared" ref="D2435:D2498" si="4896">"2021"</f>
        <v>2021</v>
      </c>
      <c r="E2435" s="1" t="str">
        <f>"12.09"</f>
        <v>12.09</v>
      </c>
      <c r="F2435" s="1" t="str">
        <f t="shared" ref="F2435:I2435" si="4897">"0"</f>
        <v>0</v>
      </c>
      <c r="G2435" s="1" t="str">
        <f t="shared" si="4897"/>
        <v>0</v>
      </c>
      <c r="H2435" s="1" t="str">
        <f t="shared" si="4897"/>
        <v>0</v>
      </c>
      <c r="I2435" s="1" t="str">
        <f t="shared" si="4897"/>
        <v>0</v>
      </c>
      <c r="J2435" s="1" t="str">
        <f t="shared" si="4888"/>
        <v>1</v>
      </c>
      <c r="K2435" s="1" t="str">
        <f t="shared" ref="K2435:P2435" si="4898">"0"</f>
        <v>0</v>
      </c>
      <c r="L2435" s="1" t="str">
        <f t="shared" si="4898"/>
        <v>0</v>
      </c>
      <c r="M2435" s="1" t="str">
        <f t="shared" si="4898"/>
        <v>0</v>
      </c>
      <c r="N2435" s="1" t="str">
        <f t="shared" si="4898"/>
        <v>0</v>
      </c>
      <c r="O2435" s="1" t="str">
        <f t="shared" si="4898"/>
        <v>0</v>
      </c>
      <c r="P2435" s="1" t="str">
        <f t="shared" si="4898"/>
        <v>0</v>
      </c>
      <c r="Q2435" s="1" t="str">
        <f t="shared" ref="Q2435:Q2498" si="4899">"0.0070"</f>
        <v>0.0070</v>
      </c>
      <c r="R2435" s="1" t="s">
        <v>29</v>
      </c>
      <c r="S2435" s="1">
        <v>-0.0014</v>
      </c>
      <c r="T2435" s="1" t="str">
        <f t="shared" ref="T2435:T2498" si="4900">"0"</f>
        <v>0</v>
      </c>
      <c r="U2435" s="1" t="str">
        <f t="shared" si="4892"/>
        <v>0.0056</v>
      </c>
    </row>
    <row r="2436" s="1" customFormat="1" spans="1:21">
      <c r="A2436" s="1" t="str">
        <f>"4601992042123"</f>
        <v>4601992042123</v>
      </c>
      <c r="B2436" s="1" t="s">
        <v>2460</v>
      </c>
      <c r="C2436" s="1" t="s">
        <v>24</v>
      </c>
      <c r="D2436" s="1" t="str">
        <f t="shared" si="4896"/>
        <v>2021</v>
      </c>
      <c r="E2436" s="1" t="str">
        <f>"11.98"</f>
        <v>11.98</v>
      </c>
      <c r="F2436" s="1" t="str">
        <f t="shared" ref="F2436:I2436" si="4901">"0"</f>
        <v>0</v>
      </c>
      <c r="G2436" s="1" t="str">
        <f t="shared" si="4901"/>
        <v>0</v>
      </c>
      <c r="H2436" s="1" t="str">
        <f t="shared" si="4901"/>
        <v>0</v>
      </c>
      <c r="I2436" s="1" t="str">
        <f t="shared" si="4901"/>
        <v>0</v>
      </c>
      <c r="J2436" s="1" t="str">
        <f t="shared" si="4888"/>
        <v>1</v>
      </c>
      <c r="K2436" s="1" t="str">
        <f t="shared" ref="K2436:P2436" si="4902">"0"</f>
        <v>0</v>
      </c>
      <c r="L2436" s="1" t="str">
        <f t="shared" si="4902"/>
        <v>0</v>
      </c>
      <c r="M2436" s="1" t="str">
        <f t="shared" si="4902"/>
        <v>0</v>
      </c>
      <c r="N2436" s="1" t="str">
        <f t="shared" si="4902"/>
        <v>0</v>
      </c>
      <c r="O2436" s="1" t="str">
        <f t="shared" si="4902"/>
        <v>0</v>
      </c>
      <c r="P2436" s="1" t="str">
        <f t="shared" si="4902"/>
        <v>0</v>
      </c>
      <c r="Q2436" s="1" t="str">
        <f t="shared" si="4899"/>
        <v>0.0070</v>
      </c>
      <c r="R2436" s="1" t="s">
        <v>29</v>
      </c>
      <c r="S2436" s="1">
        <v>-0.0014</v>
      </c>
      <c r="T2436" s="1" t="str">
        <f t="shared" si="4900"/>
        <v>0</v>
      </c>
      <c r="U2436" s="1" t="str">
        <f t="shared" si="4892"/>
        <v>0.0056</v>
      </c>
    </row>
    <row r="2437" s="1" customFormat="1" spans="1:21">
      <c r="A2437" s="1" t="str">
        <f>"4601992042193"</f>
        <v>4601992042193</v>
      </c>
      <c r="B2437" s="1" t="s">
        <v>2461</v>
      </c>
      <c r="C2437" s="1" t="s">
        <v>24</v>
      </c>
      <c r="D2437" s="1" t="str">
        <f t="shared" si="4896"/>
        <v>2021</v>
      </c>
      <c r="E2437" s="1" t="str">
        <f>"12.09"</f>
        <v>12.09</v>
      </c>
      <c r="F2437" s="1" t="str">
        <f t="shared" ref="F2437:I2437" si="4903">"0"</f>
        <v>0</v>
      </c>
      <c r="G2437" s="1" t="str">
        <f t="shared" si="4903"/>
        <v>0</v>
      </c>
      <c r="H2437" s="1" t="str">
        <f t="shared" si="4903"/>
        <v>0</v>
      </c>
      <c r="I2437" s="1" t="str">
        <f t="shared" si="4903"/>
        <v>0</v>
      </c>
      <c r="J2437" s="1" t="str">
        <f t="shared" si="4888"/>
        <v>1</v>
      </c>
      <c r="K2437" s="1" t="str">
        <f t="shared" ref="K2437:P2437" si="4904">"0"</f>
        <v>0</v>
      </c>
      <c r="L2437" s="1" t="str">
        <f t="shared" si="4904"/>
        <v>0</v>
      </c>
      <c r="M2437" s="1" t="str">
        <f t="shared" si="4904"/>
        <v>0</v>
      </c>
      <c r="N2437" s="1" t="str">
        <f t="shared" si="4904"/>
        <v>0</v>
      </c>
      <c r="O2437" s="1" t="str">
        <f t="shared" si="4904"/>
        <v>0</v>
      </c>
      <c r="P2437" s="1" t="str">
        <f t="shared" si="4904"/>
        <v>0</v>
      </c>
      <c r="Q2437" s="1" t="str">
        <f t="shared" si="4899"/>
        <v>0.0070</v>
      </c>
      <c r="R2437" s="1" t="s">
        <v>29</v>
      </c>
      <c r="S2437" s="1">
        <v>-0.0014</v>
      </c>
      <c r="T2437" s="1" t="str">
        <f t="shared" si="4900"/>
        <v>0</v>
      </c>
      <c r="U2437" s="1" t="str">
        <f t="shared" si="4892"/>
        <v>0.0056</v>
      </c>
    </row>
    <row r="2438" s="1" customFormat="1" spans="1:21">
      <c r="A2438" s="1" t="str">
        <f>"4601992042384"</f>
        <v>4601992042384</v>
      </c>
      <c r="B2438" s="1" t="s">
        <v>2462</v>
      </c>
      <c r="C2438" s="1" t="s">
        <v>24</v>
      </c>
      <c r="D2438" s="1" t="str">
        <f t="shared" si="4896"/>
        <v>2021</v>
      </c>
      <c r="E2438" s="1" t="str">
        <f t="shared" ref="E2438:P2438" si="4905">"0"</f>
        <v>0</v>
      </c>
      <c r="F2438" s="1" t="str">
        <f t="shared" si="4905"/>
        <v>0</v>
      </c>
      <c r="G2438" s="1" t="str">
        <f t="shared" si="4905"/>
        <v>0</v>
      </c>
      <c r="H2438" s="1" t="str">
        <f t="shared" si="4905"/>
        <v>0</v>
      </c>
      <c r="I2438" s="1" t="str">
        <f t="shared" si="4905"/>
        <v>0</v>
      </c>
      <c r="J2438" s="1" t="str">
        <f t="shared" si="4905"/>
        <v>0</v>
      </c>
      <c r="K2438" s="1" t="str">
        <f t="shared" si="4905"/>
        <v>0</v>
      </c>
      <c r="L2438" s="1" t="str">
        <f t="shared" si="4905"/>
        <v>0</v>
      </c>
      <c r="M2438" s="1" t="str">
        <f t="shared" si="4905"/>
        <v>0</v>
      </c>
      <c r="N2438" s="1" t="str">
        <f t="shared" si="4905"/>
        <v>0</v>
      </c>
      <c r="O2438" s="1" t="str">
        <f t="shared" si="4905"/>
        <v>0</v>
      </c>
      <c r="P2438" s="1" t="str">
        <f t="shared" si="4905"/>
        <v>0</v>
      </c>
      <c r="Q2438" s="1" t="str">
        <f t="shared" si="4899"/>
        <v>0.0070</v>
      </c>
      <c r="R2438" s="1" t="s">
        <v>25</v>
      </c>
      <c r="T2438" s="1" t="str">
        <f t="shared" si="4900"/>
        <v>0</v>
      </c>
      <c r="U2438" s="1" t="str">
        <f t="shared" ref="U2438:U2440" si="4906">"0.0070"</f>
        <v>0.0070</v>
      </c>
    </row>
    <row r="2439" s="1" customFormat="1" spans="1:21">
      <c r="A2439" s="1" t="str">
        <f>"4601992042223"</f>
        <v>4601992042223</v>
      </c>
      <c r="B2439" s="1" t="s">
        <v>2463</v>
      </c>
      <c r="C2439" s="1" t="s">
        <v>24</v>
      </c>
      <c r="D2439" s="1" t="str">
        <f t="shared" si="4896"/>
        <v>2021</v>
      </c>
      <c r="E2439" s="1" t="str">
        <f>"604.50"</f>
        <v>604.50</v>
      </c>
      <c r="F2439" s="1" t="str">
        <f t="shared" ref="F2439:I2439" si="4907">"0"</f>
        <v>0</v>
      </c>
      <c r="G2439" s="1" t="str">
        <f t="shared" si="4907"/>
        <v>0</v>
      </c>
      <c r="H2439" s="1" t="str">
        <f>"0.12"</f>
        <v>0.12</v>
      </c>
      <c r="I2439" s="1" t="str">
        <f t="shared" si="4907"/>
        <v>0</v>
      </c>
      <c r="J2439" s="1" t="str">
        <f>"52"</f>
        <v>52</v>
      </c>
      <c r="K2439" s="1" t="str">
        <f t="shared" ref="K2439:P2439" si="4908">"0"</f>
        <v>0</v>
      </c>
      <c r="L2439" s="1" t="str">
        <f t="shared" si="4908"/>
        <v>0</v>
      </c>
      <c r="M2439" s="1" t="str">
        <f t="shared" si="4908"/>
        <v>0</v>
      </c>
      <c r="N2439" s="1" t="str">
        <f t="shared" si="4908"/>
        <v>0</v>
      </c>
      <c r="O2439" s="1" t="str">
        <f t="shared" si="4908"/>
        <v>0</v>
      </c>
      <c r="P2439" s="1" t="str">
        <f t="shared" si="4908"/>
        <v>0</v>
      </c>
      <c r="Q2439" s="1" t="str">
        <f t="shared" si="4899"/>
        <v>0.0070</v>
      </c>
      <c r="R2439" s="1" t="s">
        <v>25</v>
      </c>
      <c r="T2439" s="1" t="str">
        <f t="shared" si="4900"/>
        <v>0</v>
      </c>
      <c r="U2439" s="1" t="str">
        <f t="shared" si="4906"/>
        <v>0.0070</v>
      </c>
    </row>
    <row r="2440" s="1" customFormat="1" spans="1:21">
      <c r="A2440" s="1" t="str">
        <f>"4601992042403"</f>
        <v>4601992042403</v>
      </c>
      <c r="B2440" s="1" t="s">
        <v>2464</v>
      </c>
      <c r="C2440" s="1" t="s">
        <v>24</v>
      </c>
      <c r="D2440" s="1" t="str">
        <f t="shared" si="4896"/>
        <v>2021</v>
      </c>
      <c r="E2440" s="1" t="str">
        <f t="shared" ref="E2440:P2440" si="4909">"0"</f>
        <v>0</v>
      </c>
      <c r="F2440" s="1" t="str">
        <f t="shared" si="4909"/>
        <v>0</v>
      </c>
      <c r="G2440" s="1" t="str">
        <f t="shared" si="4909"/>
        <v>0</v>
      </c>
      <c r="H2440" s="1" t="str">
        <f t="shared" si="4909"/>
        <v>0</v>
      </c>
      <c r="I2440" s="1" t="str">
        <f t="shared" si="4909"/>
        <v>0</v>
      </c>
      <c r="J2440" s="1" t="str">
        <f t="shared" si="4909"/>
        <v>0</v>
      </c>
      <c r="K2440" s="1" t="str">
        <f t="shared" si="4909"/>
        <v>0</v>
      </c>
      <c r="L2440" s="1" t="str">
        <f t="shared" si="4909"/>
        <v>0</v>
      </c>
      <c r="M2440" s="1" t="str">
        <f t="shared" si="4909"/>
        <v>0</v>
      </c>
      <c r="N2440" s="1" t="str">
        <f t="shared" si="4909"/>
        <v>0</v>
      </c>
      <c r="O2440" s="1" t="str">
        <f t="shared" si="4909"/>
        <v>0</v>
      </c>
      <c r="P2440" s="1" t="str">
        <f t="shared" si="4909"/>
        <v>0</v>
      </c>
      <c r="Q2440" s="1" t="str">
        <f t="shared" si="4899"/>
        <v>0.0070</v>
      </c>
      <c r="R2440" s="1" t="s">
        <v>25</v>
      </c>
      <c r="T2440" s="1" t="str">
        <f t="shared" si="4900"/>
        <v>0</v>
      </c>
      <c r="U2440" s="1" t="str">
        <f t="shared" si="4906"/>
        <v>0.0070</v>
      </c>
    </row>
    <row r="2441" s="1" customFormat="1" spans="1:21">
      <c r="A2441" s="1" t="str">
        <f>"4601992042344"</f>
        <v>4601992042344</v>
      </c>
      <c r="B2441" s="1" t="s">
        <v>2465</v>
      </c>
      <c r="C2441" s="1" t="s">
        <v>24</v>
      </c>
      <c r="D2441" s="1" t="str">
        <f t="shared" si="4896"/>
        <v>2021</v>
      </c>
      <c r="E2441" s="1" t="str">
        <f>"49.00"</f>
        <v>49.00</v>
      </c>
      <c r="F2441" s="1" t="str">
        <f t="shared" ref="F2441:I2441" si="4910">"0"</f>
        <v>0</v>
      </c>
      <c r="G2441" s="1" t="str">
        <f t="shared" si="4910"/>
        <v>0</v>
      </c>
      <c r="H2441" s="1" t="str">
        <f t="shared" si="4910"/>
        <v>0</v>
      </c>
      <c r="I2441" s="1" t="str">
        <f t="shared" si="4910"/>
        <v>0</v>
      </c>
      <c r="J2441" s="1" t="str">
        <f>"3"</f>
        <v>3</v>
      </c>
      <c r="K2441" s="1" t="str">
        <f t="shared" ref="K2441:P2441" si="4911">"0"</f>
        <v>0</v>
      </c>
      <c r="L2441" s="1" t="str">
        <f t="shared" si="4911"/>
        <v>0</v>
      </c>
      <c r="M2441" s="1" t="str">
        <f t="shared" si="4911"/>
        <v>0</v>
      </c>
      <c r="N2441" s="1" t="str">
        <f t="shared" si="4911"/>
        <v>0</v>
      </c>
      <c r="O2441" s="1" t="str">
        <f t="shared" si="4911"/>
        <v>0</v>
      </c>
      <c r="P2441" s="1" t="str">
        <f t="shared" si="4911"/>
        <v>0</v>
      </c>
      <c r="Q2441" s="1" t="str">
        <f t="shared" si="4899"/>
        <v>0.0070</v>
      </c>
      <c r="R2441" s="1" t="s">
        <v>29</v>
      </c>
      <c r="S2441" s="1">
        <v>-0.0014</v>
      </c>
      <c r="T2441" s="1" t="str">
        <f t="shared" si="4900"/>
        <v>0</v>
      </c>
      <c r="U2441" s="1" t="str">
        <f t="shared" ref="U2441:U2454" si="4912">"0.0056"</f>
        <v>0.0056</v>
      </c>
    </row>
    <row r="2442" s="1" customFormat="1" spans="1:21">
      <c r="A2442" s="1" t="str">
        <f>"4601992042521"</f>
        <v>4601992042521</v>
      </c>
      <c r="B2442" s="1" t="s">
        <v>2466</v>
      </c>
      <c r="C2442" s="1" t="s">
        <v>24</v>
      </c>
      <c r="D2442" s="1" t="str">
        <f t="shared" si="4896"/>
        <v>2021</v>
      </c>
      <c r="E2442" s="1" t="str">
        <f t="shared" ref="E2442:P2442" si="4913">"0"</f>
        <v>0</v>
      </c>
      <c r="F2442" s="1" t="str">
        <f t="shared" si="4913"/>
        <v>0</v>
      </c>
      <c r="G2442" s="1" t="str">
        <f t="shared" si="4913"/>
        <v>0</v>
      </c>
      <c r="H2442" s="1" t="str">
        <f t="shared" si="4913"/>
        <v>0</v>
      </c>
      <c r="I2442" s="1" t="str">
        <f t="shared" si="4913"/>
        <v>0</v>
      </c>
      <c r="J2442" s="1" t="str">
        <f t="shared" si="4913"/>
        <v>0</v>
      </c>
      <c r="K2442" s="1" t="str">
        <f t="shared" si="4913"/>
        <v>0</v>
      </c>
      <c r="L2442" s="1" t="str">
        <f t="shared" si="4913"/>
        <v>0</v>
      </c>
      <c r="M2442" s="1" t="str">
        <f t="shared" si="4913"/>
        <v>0</v>
      </c>
      <c r="N2442" s="1" t="str">
        <f t="shared" si="4913"/>
        <v>0</v>
      </c>
      <c r="O2442" s="1" t="str">
        <f t="shared" si="4913"/>
        <v>0</v>
      </c>
      <c r="P2442" s="1" t="str">
        <f t="shared" si="4913"/>
        <v>0</v>
      </c>
      <c r="Q2442" s="1" t="str">
        <f t="shared" si="4899"/>
        <v>0.0070</v>
      </c>
      <c r="R2442" s="1" t="s">
        <v>25</v>
      </c>
      <c r="T2442" s="1" t="str">
        <f t="shared" si="4900"/>
        <v>0</v>
      </c>
      <c r="U2442" s="1" t="str">
        <f>"0.0070"</f>
        <v>0.0070</v>
      </c>
    </row>
    <row r="2443" s="1" customFormat="1" spans="1:21">
      <c r="A2443" s="1" t="str">
        <f>"4601992042459"</f>
        <v>4601992042459</v>
      </c>
      <c r="B2443" s="1" t="s">
        <v>2467</v>
      </c>
      <c r="C2443" s="1" t="s">
        <v>24</v>
      </c>
      <c r="D2443" s="1" t="str">
        <f t="shared" si="4896"/>
        <v>2021</v>
      </c>
      <c r="E2443" s="1" t="str">
        <f>"24.18"</f>
        <v>24.18</v>
      </c>
      <c r="F2443" s="1" t="str">
        <f t="shared" ref="F2443:I2443" si="4914">"0"</f>
        <v>0</v>
      </c>
      <c r="G2443" s="1" t="str">
        <f t="shared" si="4914"/>
        <v>0</v>
      </c>
      <c r="H2443" s="1" t="str">
        <f t="shared" si="4914"/>
        <v>0</v>
      </c>
      <c r="I2443" s="1" t="str">
        <f t="shared" si="4914"/>
        <v>0</v>
      </c>
      <c r="J2443" s="1" t="str">
        <f>"1"</f>
        <v>1</v>
      </c>
      <c r="K2443" s="1" t="str">
        <f t="shared" ref="K2443:P2443" si="4915">"0"</f>
        <v>0</v>
      </c>
      <c r="L2443" s="1" t="str">
        <f t="shared" si="4915"/>
        <v>0</v>
      </c>
      <c r="M2443" s="1" t="str">
        <f t="shared" si="4915"/>
        <v>0</v>
      </c>
      <c r="N2443" s="1" t="str">
        <f t="shared" si="4915"/>
        <v>0</v>
      </c>
      <c r="O2443" s="1" t="str">
        <f t="shared" si="4915"/>
        <v>0</v>
      </c>
      <c r="P2443" s="1" t="str">
        <f t="shared" si="4915"/>
        <v>0</v>
      </c>
      <c r="Q2443" s="1" t="str">
        <f t="shared" si="4899"/>
        <v>0.0070</v>
      </c>
      <c r="R2443" s="1" t="s">
        <v>29</v>
      </c>
      <c r="S2443" s="1">
        <v>-0.0014</v>
      </c>
      <c r="T2443" s="1" t="str">
        <f t="shared" si="4900"/>
        <v>0</v>
      </c>
      <c r="U2443" s="1" t="str">
        <f t="shared" si="4912"/>
        <v>0.0056</v>
      </c>
    </row>
    <row r="2444" s="1" customFormat="1" spans="1:21">
      <c r="A2444" s="1" t="str">
        <f>"4601992042495"</f>
        <v>4601992042495</v>
      </c>
      <c r="B2444" s="1" t="s">
        <v>2468</v>
      </c>
      <c r="C2444" s="1" t="s">
        <v>24</v>
      </c>
      <c r="D2444" s="1" t="str">
        <f t="shared" si="4896"/>
        <v>2021</v>
      </c>
      <c r="E2444" s="1" t="str">
        <f>"24.50"</f>
        <v>24.50</v>
      </c>
      <c r="F2444" s="1" t="str">
        <f t="shared" ref="F2444:I2444" si="4916">"0"</f>
        <v>0</v>
      </c>
      <c r="G2444" s="1" t="str">
        <f t="shared" si="4916"/>
        <v>0</v>
      </c>
      <c r="H2444" s="1" t="str">
        <f t="shared" si="4916"/>
        <v>0</v>
      </c>
      <c r="I2444" s="1" t="str">
        <f t="shared" si="4916"/>
        <v>0</v>
      </c>
      <c r="J2444" s="1" t="str">
        <f>"2"</f>
        <v>2</v>
      </c>
      <c r="K2444" s="1" t="str">
        <f t="shared" ref="K2444:P2444" si="4917">"0"</f>
        <v>0</v>
      </c>
      <c r="L2444" s="1" t="str">
        <f t="shared" si="4917"/>
        <v>0</v>
      </c>
      <c r="M2444" s="1" t="str">
        <f t="shared" si="4917"/>
        <v>0</v>
      </c>
      <c r="N2444" s="1" t="str">
        <f t="shared" si="4917"/>
        <v>0</v>
      </c>
      <c r="O2444" s="1" t="str">
        <f t="shared" si="4917"/>
        <v>0</v>
      </c>
      <c r="P2444" s="1" t="str">
        <f t="shared" si="4917"/>
        <v>0</v>
      </c>
      <c r="Q2444" s="1" t="str">
        <f t="shared" si="4899"/>
        <v>0.0070</v>
      </c>
      <c r="R2444" s="1" t="s">
        <v>29</v>
      </c>
      <c r="S2444" s="1">
        <v>-0.0014</v>
      </c>
      <c r="T2444" s="1" t="str">
        <f t="shared" si="4900"/>
        <v>0</v>
      </c>
      <c r="U2444" s="1" t="str">
        <f t="shared" si="4912"/>
        <v>0.0056</v>
      </c>
    </row>
    <row r="2445" s="1" customFormat="1" spans="1:21">
      <c r="A2445" s="1" t="str">
        <f>"4601992042512"</f>
        <v>4601992042512</v>
      </c>
      <c r="B2445" s="1" t="s">
        <v>2469</v>
      </c>
      <c r="C2445" s="1" t="s">
        <v>24</v>
      </c>
      <c r="D2445" s="1" t="str">
        <f t="shared" si="4896"/>
        <v>2021</v>
      </c>
      <c r="E2445" s="1" t="str">
        <f>"12.09"</f>
        <v>12.09</v>
      </c>
      <c r="F2445" s="1" t="str">
        <f t="shared" ref="F2445:I2445" si="4918">"0"</f>
        <v>0</v>
      </c>
      <c r="G2445" s="1" t="str">
        <f t="shared" si="4918"/>
        <v>0</v>
      </c>
      <c r="H2445" s="1" t="str">
        <f t="shared" si="4918"/>
        <v>0</v>
      </c>
      <c r="I2445" s="1" t="str">
        <f t="shared" si="4918"/>
        <v>0</v>
      </c>
      <c r="J2445" s="1" t="str">
        <f>"1"</f>
        <v>1</v>
      </c>
      <c r="K2445" s="1" t="str">
        <f t="shared" ref="K2445:P2445" si="4919">"0"</f>
        <v>0</v>
      </c>
      <c r="L2445" s="1" t="str">
        <f t="shared" si="4919"/>
        <v>0</v>
      </c>
      <c r="M2445" s="1" t="str">
        <f t="shared" si="4919"/>
        <v>0</v>
      </c>
      <c r="N2445" s="1" t="str">
        <f t="shared" si="4919"/>
        <v>0</v>
      </c>
      <c r="O2445" s="1" t="str">
        <f t="shared" si="4919"/>
        <v>0</v>
      </c>
      <c r="P2445" s="1" t="str">
        <f t="shared" si="4919"/>
        <v>0</v>
      </c>
      <c r="Q2445" s="1" t="str">
        <f t="shared" si="4899"/>
        <v>0.0070</v>
      </c>
      <c r="R2445" s="1" t="s">
        <v>29</v>
      </c>
      <c r="S2445" s="1">
        <v>-0.0014</v>
      </c>
      <c r="T2445" s="1" t="str">
        <f t="shared" si="4900"/>
        <v>0</v>
      </c>
      <c r="U2445" s="1" t="str">
        <f t="shared" si="4912"/>
        <v>0.0056</v>
      </c>
    </row>
    <row r="2446" s="1" customFormat="1" spans="1:21">
      <c r="A2446" s="1" t="str">
        <f>"4601992042564"</f>
        <v>4601992042564</v>
      </c>
      <c r="B2446" s="1" t="s">
        <v>2470</v>
      </c>
      <c r="C2446" s="1" t="s">
        <v>24</v>
      </c>
      <c r="D2446" s="1" t="str">
        <f t="shared" si="4896"/>
        <v>2021</v>
      </c>
      <c r="E2446" s="1" t="str">
        <f>"48.36"</f>
        <v>48.36</v>
      </c>
      <c r="F2446" s="1" t="str">
        <f t="shared" ref="F2446:I2446" si="4920">"0"</f>
        <v>0</v>
      </c>
      <c r="G2446" s="1" t="str">
        <f t="shared" si="4920"/>
        <v>0</v>
      </c>
      <c r="H2446" s="1" t="str">
        <f t="shared" si="4920"/>
        <v>0</v>
      </c>
      <c r="I2446" s="1" t="str">
        <f t="shared" si="4920"/>
        <v>0</v>
      </c>
      <c r="J2446" s="1" t="str">
        <f>"4"</f>
        <v>4</v>
      </c>
      <c r="K2446" s="1" t="str">
        <f t="shared" ref="K2446:P2446" si="4921">"0"</f>
        <v>0</v>
      </c>
      <c r="L2446" s="1" t="str">
        <f t="shared" si="4921"/>
        <v>0</v>
      </c>
      <c r="M2446" s="1" t="str">
        <f t="shared" si="4921"/>
        <v>0</v>
      </c>
      <c r="N2446" s="1" t="str">
        <f t="shared" si="4921"/>
        <v>0</v>
      </c>
      <c r="O2446" s="1" t="str">
        <f t="shared" si="4921"/>
        <v>0</v>
      </c>
      <c r="P2446" s="1" t="str">
        <f t="shared" si="4921"/>
        <v>0</v>
      </c>
      <c r="Q2446" s="1" t="str">
        <f t="shared" si="4899"/>
        <v>0.0070</v>
      </c>
      <c r="R2446" s="1" t="s">
        <v>29</v>
      </c>
      <c r="S2446" s="1">
        <v>-0.0014</v>
      </c>
      <c r="T2446" s="1" t="str">
        <f t="shared" si="4900"/>
        <v>0</v>
      </c>
      <c r="U2446" s="1" t="str">
        <f t="shared" si="4912"/>
        <v>0.0056</v>
      </c>
    </row>
    <row r="2447" s="1" customFormat="1" spans="1:21">
      <c r="A2447" s="1" t="str">
        <f>"4601992042556"</f>
        <v>4601992042556</v>
      </c>
      <c r="B2447" s="1" t="s">
        <v>2471</v>
      </c>
      <c r="C2447" s="1" t="s">
        <v>24</v>
      </c>
      <c r="D2447" s="1" t="str">
        <f t="shared" si="4896"/>
        <v>2021</v>
      </c>
      <c r="E2447" s="1" t="str">
        <f>"36.27"</f>
        <v>36.27</v>
      </c>
      <c r="F2447" s="1" t="str">
        <f t="shared" ref="F2447:I2447" si="4922">"0"</f>
        <v>0</v>
      </c>
      <c r="G2447" s="1" t="str">
        <f t="shared" si="4922"/>
        <v>0</v>
      </c>
      <c r="H2447" s="1" t="str">
        <f t="shared" si="4922"/>
        <v>0</v>
      </c>
      <c r="I2447" s="1" t="str">
        <f t="shared" si="4922"/>
        <v>0</v>
      </c>
      <c r="J2447" s="1" t="str">
        <f t="shared" ref="J2447:J2449" si="4923">"3"</f>
        <v>3</v>
      </c>
      <c r="K2447" s="1" t="str">
        <f t="shared" ref="K2447:P2447" si="4924">"0"</f>
        <v>0</v>
      </c>
      <c r="L2447" s="1" t="str">
        <f t="shared" si="4924"/>
        <v>0</v>
      </c>
      <c r="M2447" s="1" t="str">
        <f t="shared" si="4924"/>
        <v>0</v>
      </c>
      <c r="N2447" s="1" t="str">
        <f t="shared" si="4924"/>
        <v>0</v>
      </c>
      <c r="O2447" s="1" t="str">
        <f t="shared" si="4924"/>
        <v>0</v>
      </c>
      <c r="P2447" s="1" t="str">
        <f t="shared" si="4924"/>
        <v>0</v>
      </c>
      <c r="Q2447" s="1" t="str">
        <f t="shared" si="4899"/>
        <v>0.0070</v>
      </c>
      <c r="R2447" s="1" t="s">
        <v>29</v>
      </c>
      <c r="S2447" s="1">
        <v>-0.0014</v>
      </c>
      <c r="T2447" s="1" t="str">
        <f t="shared" si="4900"/>
        <v>0</v>
      </c>
      <c r="U2447" s="1" t="str">
        <f t="shared" si="4912"/>
        <v>0.0056</v>
      </c>
    </row>
    <row r="2448" s="1" customFormat="1" spans="1:21">
      <c r="A2448" s="1" t="str">
        <f>"4601992042626"</f>
        <v>4601992042626</v>
      </c>
      <c r="B2448" s="1" t="s">
        <v>2472</v>
      </c>
      <c r="C2448" s="1" t="s">
        <v>24</v>
      </c>
      <c r="D2448" s="1" t="str">
        <f t="shared" si="4896"/>
        <v>2021</v>
      </c>
      <c r="E2448" s="1" t="str">
        <f>"36.27"</f>
        <v>36.27</v>
      </c>
      <c r="F2448" s="1" t="str">
        <f t="shared" ref="F2448:I2448" si="4925">"0"</f>
        <v>0</v>
      </c>
      <c r="G2448" s="1" t="str">
        <f t="shared" si="4925"/>
        <v>0</v>
      </c>
      <c r="H2448" s="1" t="str">
        <f t="shared" si="4925"/>
        <v>0</v>
      </c>
      <c r="I2448" s="1" t="str">
        <f t="shared" si="4925"/>
        <v>0</v>
      </c>
      <c r="J2448" s="1" t="str">
        <f t="shared" si="4923"/>
        <v>3</v>
      </c>
      <c r="K2448" s="1" t="str">
        <f t="shared" ref="K2448:P2448" si="4926">"0"</f>
        <v>0</v>
      </c>
      <c r="L2448" s="1" t="str">
        <f t="shared" si="4926"/>
        <v>0</v>
      </c>
      <c r="M2448" s="1" t="str">
        <f t="shared" si="4926"/>
        <v>0</v>
      </c>
      <c r="N2448" s="1" t="str">
        <f t="shared" si="4926"/>
        <v>0</v>
      </c>
      <c r="O2448" s="1" t="str">
        <f t="shared" si="4926"/>
        <v>0</v>
      </c>
      <c r="P2448" s="1" t="str">
        <f t="shared" si="4926"/>
        <v>0</v>
      </c>
      <c r="Q2448" s="1" t="str">
        <f t="shared" si="4899"/>
        <v>0.0070</v>
      </c>
      <c r="R2448" s="1" t="s">
        <v>29</v>
      </c>
      <c r="S2448" s="1">
        <v>-0.0014</v>
      </c>
      <c r="T2448" s="1" t="str">
        <f t="shared" si="4900"/>
        <v>0</v>
      </c>
      <c r="U2448" s="1" t="str">
        <f t="shared" si="4912"/>
        <v>0.0056</v>
      </c>
    </row>
    <row r="2449" s="1" customFormat="1" spans="1:21">
      <c r="A2449" s="1" t="str">
        <f>"4601992042572"</f>
        <v>4601992042572</v>
      </c>
      <c r="B2449" s="1" t="s">
        <v>2473</v>
      </c>
      <c r="C2449" s="1" t="s">
        <v>24</v>
      </c>
      <c r="D2449" s="1" t="str">
        <f t="shared" si="4896"/>
        <v>2021</v>
      </c>
      <c r="E2449" s="1" t="str">
        <f>"24.18"</f>
        <v>24.18</v>
      </c>
      <c r="F2449" s="1" t="str">
        <f t="shared" ref="F2449:I2449" si="4927">"0"</f>
        <v>0</v>
      </c>
      <c r="G2449" s="1" t="str">
        <f t="shared" si="4927"/>
        <v>0</v>
      </c>
      <c r="H2449" s="1" t="str">
        <f t="shared" si="4927"/>
        <v>0</v>
      </c>
      <c r="I2449" s="1" t="str">
        <f t="shared" si="4927"/>
        <v>0</v>
      </c>
      <c r="J2449" s="1" t="str">
        <f t="shared" si="4923"/>
        <v>3</v>
      </c>
      <c r="K2449" s="1" t="str">
        <f t="shared" ref="K2449:P2449" si="4928">"0"</f>
        <v>0</v>
      </c>
      <c r="L2449" s="1" t="str">
        <f t="shared" si="4928"/>
        <v>0</v>
      </c>
      <c r="M2449" s="1" t="str">
        <f t="shared" si="4928"/>
        <v>0</v>
      </c>
      <c r="N2449" s="1" t="str">
        <f t="shared" si="4928"/>
        <v>0</v>
      </c>
      <c r="O2449" s="1" t="str">
        <f t="shared" si="4928"/>
        <v>0</v>
      </c>
      <c r="P2449" s="1" t="str">
        <f t="shared" si="4928"/>
        <v>0</v>
      </c>
      <c r="Q2449" s="1" t="str">
        <f t="shared" si="4899"/>
        <v>0.0070</v>
      </c>
      <c r="R2449" s="1" t="s">
        <v>29</v>
      </c>
      <c r="S2449" s="1">
        <v>-0.0014</v>
      </c>
      <c r="T2449" s="1" t="str">
        <f t="shared" si="4900"/>
        <v>0</v>
      </c>
      <c r="U2449" s="1" t="str">
        <f t="shared" si="4912"/>
        <v>0.0056</v>
      </c>
    </row>
    <row r="2450" s="1" customFormat="1" spans="1:21">
      <c r="A2450" s="1" t="str">
        <f>"4601992042645"</f>
        <v>4601992042645</v>
      </c>
      <c r="B2450" s="1" t="s">
        <v>2474</v>
      </c>
      <c r="C2450" s="1" t="s">
        <v>24</v>
      </c>
      <c r="D2450" s="1" t="str">
        <f t="shared" si="4896"/>
        <v>2021</v>
      </c>
      <c r="E2450" s="1" t="str">
        <f>"39.71"</f>
        <v>39.71</v>
      </c>
      <c r="F2450" s="1" t="str">
        <f t="shared" ref="F2450:I2450" si="4929">"0"</f>
        <v>0</v>
      </c>
      <c r="G2450" s="1" t="str">
        <f t="shared" si="4929"/>
        <v>0</v>
      </c>
      <c r="H2450" s="1" t="str">
        <f t="shared" si="4929"/>
        <v>0</v>
      </c>
      <c r="I2450" s="1" t="str">
        <f t="shared" si="4929"/>
        <v>0</v>
      </c>
      <c r="J2450" s="1" t="str">
        <f>"2"</f>
        <v>2</v>
      </c>
      <c r="K2450" s="1" t="str">
        <f t="shared" ref="K2450:P2450" si="4930">"0"</f>
        <v>0</v>
      </c>
      <c r="L2450" s="1" t="str">
        <f t="shared" si="4930"/>
        <v>0</v>
      </c>
      <c r="M2450" s="1" t="str">
        <f t="shared" si="4930"/>
        <v>0</v>
      </c>
      <c r="N2450" s="1" t="str">
        <f t="shared" si="4930"/>
        <v>0</v>
      </c>
      <c r="O2450" s="1" t="str">
        <f t="shared" si="4930"/>
        <v>0</v>
      </c>
      <c r="P2450" s="1" t="str">
        <f t="shared" si="4930"/>
        <v>0</v>
      </c>
      <c r="Q2450" s="1" t="str">
        <f t="shared" si="4899"/>
        <v>0.0070</v>
      </c>
      <c r="R2450" s="1" t="s">
        <v>29</v>
      </c>
      <c r="S2450" s="1">
        <v>-0.0014</v>
      </c>
      <c r="T2450" s="1" t="str">
        <f t="shared" si="4900"/>
        <v>0</v>
      </c>
      <c r="U2450" s="1" t="str">
        <f t="shared" si="4912"/>
        <v>0.0056</v>
      </c>
    </row>
    <row r="2451" s="1" customFormat="1" spans="1:21">
      <c r="A2451" s="1" t="str">
        <f>"4601992042661"</f>
        <v>4601992042661</v>
      </c>
      <c r="B2451" s="1" t="s">
        <v>2475</v>
      </c>
      <c r="C2451" s="1" t="s">
        <v>24</v>
      </c>
      <c r="D2451" s="1" t="str">
        <f t="shared" si="4896"/>
        <v>2021</v>
      </c>
      <c r="E2451" s="1" t="str">
        <f>"12.25"</f>
        <v>12.25</v>
      </c>
      <c r="F2451" s="1" t="str">
        <f t="shared" ref="F2451:I2451" si="4931">"0"</f>
        <v>0</v>
      </c>
      <c r="G2451" s="1" t="str">
        <f t="shared" si="4931"/>
        <v>0</v>
      </c>
      <c r="H2451" s="1" t="str">
        <f t="shared" si="4931"/>
        <v>0</v>
      </c>
      <c r="I2451" s="1" t="str">
        <f t="shared" si="4931"/>
        <v>0</v>
      </c>
      <c r="J2451" s="1" t="str">
        <f>"2"</f>
        <v>2</v>
      </c>
      <c r="K2451" s="1" t="str">
        <f t="shared" ref="K2451:P2451" si="4932">"0"</f>
        <v>0</v>
      </c>
      <c r="L2451" s="1" t="str">
        <f t="shared" si="4932"/>
        <v>0</v>
      </c>
      <c r="M2451" s="1" t="str">
        <f t="shared" si="4932"/>
        <v>0</v>
      </c>
      <c r="N2451" s="1" t="str">
        <f t="shared" si="4932"/>
        <v>0</v>
      </c>
      <c r="O2451" s="1" t="str">
        <f t="shared" si="4932"/>
        <v>0</v>
      </c>
      <c r="P2451" s="1" t="str">
        <f t="shared" si="4932"/>
        <v>0</v>
      </c>
      <c r="Q2451" s="1" t="str">
        <f t="shared" si="4899"/>
        <v>0.0070</v>
      </c>
      <c r="R2451" s="1" t="s">
        <v>29</v>
      </c>
      <c r="S2451" s="1">
        <v>-0.0014</v>
      </c>
      <c r="T2451" s="1" t="str">
        <f t="shared" si="4900"/>
        <v>0</v>
      </c>
      <c r="U2451" s="1" t="str">
        <f t="shared" si="4912"/>
        <v>0.0056</v>
      </c>
    </row>
    <row r="2452" s="1" customFormat="1" spans="1:21">
      <c r="A2452" s="1" t="str">
        <f>"4601992042726"</f>
        <v>4601992042726</v>
      </c>
      <c r="B2452" s="1" t="s">
        <v>2476</v>
      </c>
      <c r="C2452" s="1" t="s">
        <v>24</v>
      </c>
      <c r="D2452" s="1" t="str">
        <f t="shared" si="4896"/>
        <v>2021</v>
      </c>
      <c r="E2452" s="1" t="str">
        <f>"84.63"</f>
        <v>84.63</v>
      </c>
      <c r="F2452" s="1" t="str">
        <f t="shared" ref="F2452:I2452" si="4933">"0"</f>
        <v>0</v>
      </c>
      <c r="G2452" s="1" t="str">
        <f t="shared" si="4933"/>
        <v>0</v>
      </c>
      <c r="H2452" s="1" t="str">
        <f t="shared" si="4933"/>
        <v>0</v>
      </c>
      <c r="I2452" s="1" t="str">
        <f t="shared" si="4933"/>
        <v>0</v>
      </c>
      <c r="J2452" s="1" t="str">
        <f>"6"</f>
        <v>6</v>
      </c>
      <c r="K2452" s="1" t="str">
        <f t="shared" ref="K2452:P2452" si="4934">"0"</f>
        <v>0</v>
      </c>
      <c r="L2452" s="1" t="str">
        <f t="shared" si="4934"/>
        <v>0</v>
      </c>
      <c r="M2452" s="1" t="str">
        <f t="shared" si="4934"/>
        <v>0</v>
      </c>
      <c r="N2452" s="1" t="str">
        <f t="shared" si="4934"/>
        <v>0</v>
      </c>
      <c r="O2452" s="1" t="str">
        <f t="shared" si="4934"/>
        <v>0</v>
      </c>
      <c r="P2452" s="1" t="str">
        <f t="shared" si="4934"/>
        <v>0</v>
      </c>
      <c r="Q2452" s="1" t="str">
        <f t="shared" si="4899"/>
        <v>0.0070</v>
      </c>
      <c r="R2452" s="1" t="s">
        <v>29</v>
      </c>
      <c r="S2452" s="1">
        <v>-0.0014</v>
      </c>
      <c r="T2452" s="1" t="str">
        <f t="shared" si="4900"/>
        <v>0</v>
      </c>
      <c r="U2452" s="1" t="str">
        <f t="shared" si="4912"/>
        <v>0.0056</v>
      </c>
    </row>
    <row r="2453" s="1" customFormat="1" spans="1:21">
      <c r="A2453" s="1" t="str">
        <f>"4601992042729"</f>
        <v>4601992042729</v>
      </c>
      <c r="B2453" s="1" t="s">
        <v>2477</v>
      </c>
      <c r="C2453" s="1" t="s">
        <v>24</v>
      </c>
      <c r="D2453" s="1" t="str">
        <f t="shared" si="4896"/>
        <v>2021</v>
      </c>
      <c r="E2453" s="1" t="str">
        <f>"36.05"</f>
        <v>36.05</v>
      </c>
      <c r="F2453" s="1" t="str">
        <f t="shared" ref="F2453:I2453" si="4935">"0"</f>
        <v>0</v>
      </c>
      <c r="G2453" s="1" t="str">
        <f t="shared" si="4935"/>
        <v>0</v>
      </c>
      <c r="H2453" s="1" t="str">
        <f t="shared" si="4935"/>
        <v>0</v>
      </c>
      <c r="I2453" s="1" t="str">
        <f t="shared" si="4935"/>
        <v>0</v>
      </c>
      <c r="J2453" s="1" t="str">
        <f>"3"</f>
        <v>3</v>
      </c>
      <c r="K2453" s="1" t="str">
        <f t="shared" ref="K2453:P2453" si="4936">"0"</f>
        <v>0</v>
      </c>
      <c r="L2453" s="1" t="str">
        <f t="shared" si="4936"/>
        <v>0</v>
      </c>
      <c r="M2453" s="1" t="str">
        <f t="shared" si="4936"/>
        <v>0</v>
      </c>
      <c r="N2453" s="1" t="str">
        <f t="shared" si="4936"/>
        <v>0</v>
      </c>
      <c r="O2453" s="1" t="str">
        <f t="shared" si="4936"/>
        <v>0</v>
      </c>
      <c r="P2453" s="1" t="str">
        <f t="shared" si="4936"/>
        <v>0</v>
      </c>
      <c r="Q2453" s="1" t="str">
        <f t="shared" si="4899"/>
        <v>0.0070</v>
      </c>
      <c r="R2453" s="1" t="s">
        <v>29</v>
      </c>
      <c r="S2453" s="1">
        <v>-0.0014</v>
      </c>
      <c r="T2453" s="1" t="str">
        <f t="shared" si="4900"/>
        <v>0</v>
      </c>
      <c r="U2453" s="1" t="str">
        <f t="shared" si="4912"/>
        <v>0.0056</v>
      </c>
    </row>
    <row r="2454" s="1" customFormat="1" spans="1:21">
      <c r="A2454" s="1" t="str">
        <f>"4601992042715"</f>
        <v>4601992042715</v>
      </c>
      <c r="B2454" s="1" t="s">
        <v>2478</v>
      </c>
      <c r="C2454" s="1" t="s">
        <v>24</v>
      </c>
      <c r="D2454" s="1" t="str">
        <f t="shared" si="4896"/>
        <v>2021</v>
      </c>
      <c r="E2454" s="1" t="str">
        <f>"60.20"</f>
        <v>60.20</v>
      </c>
      <c r="F2454" s="1" t="str">
        <f t="shared" ref="F2454:I2454" si="4937">"0"</f>
        <v>0</v>
      </c>
      <c r="G2454" s="1" t="str">
        <f t="shared" si="4937"/>
        <v>0</v>
      </c>
      <c r="H2454" s="1" t="str">
        <f t="shared" si="4937"/>
        <v>0</v>
      </c>
      <c r="I2454" s="1" t="str">
        <f t="shared" si="4937"/>
        <v>0</v>
      </c>
      <c r="J2454" s="1" t="str">
        <f>"6"</f>
        <v>6</v>
      </c>
      <c r="K2454" s="1" t="str">
        <f t="shared" ref="K2454:P2454" si="4938">"0"</f>
        <v>0</v>
      </c>
      <c r="L2454" s="1" t="str">
        <f t="shared" si="4938"/>
        <v>0</v>
      </c>
      <c r="M2454" s="1" t="str">
        <f t="shared" si="4938"/>
        <v>0</v>
      </c>
      <c r="N2454" s="1" t="str">
        <f t="shared" si="4938"/>
        <v>0</v>
      </c>
      <c r="O2454" s="1" t="str">
        <f t="shared" si="4938"/>
        <v>0</v>
      </c>
      <c r="P2454" s="1" t="str">
        <f t="shared" si="4938"/>
        <v>0</v>
      </c>
      <c r="Q2454" s="1" t="str">
        <f t="shared" si="4899"/>
        <v>0.0070</v>
      </c>
      <c r="R2454" s="1" t="s">
        <v>29</v>
      </c>
      <c r="S2454" s="1">
        <v>-0.0014</v>
      </c>
      <c r="T2454" s="1" t="str">
        <f t="shared" si="4900"/>
        <v>0</v>
      </c>
      <c r="U2454" s="1" t="str">
        <f t="shared" si="4912"/>
        <v>0.0056</v>
      </c>
    </row>
    <row r="2455" s="1" customFormat="1" spans="1:21">
      <c r="A2455" s="1" t="str">
        <f>"4601992042741"</f>
        <v>4601992042741</v>
      </c>
      <c r="B2455" s="1" t="s">
        <v>2479</v>
      </c>
      <c r="C2455" s="1" t="s">
        <v>24</v>
      </c>
      <c r="D2455" s="1" t="str">
        <f t="shared" si="4896"/>
        <v>2021</v>
      </c>
      <c r="E2455" s="1" t="str">
        <f>"12.09"</f>
        <v>12.09</v>
      </c>
      <c r="F2455" s="1" t="str">
        <f t="shared" ref="F2455:I2455" si="4939">"0"</f>
        <v>0</v>
      </c>
      <c r="G2455" s="1" t="str">
        <f t="shared" si="4939"/>
        <v>0</v>
      </c>
      <c r="H2455" s="1" t="str">
        <f t="shared" si="4939"/>
        <v>0</v>
      </c>
      <c r="I2455" s="1" t="str">
        <f t="shared" si="4939"/>
        <v>0</v>
      </c>
      <c r="J2455" s="1" t="str">
        <f>"1"</f>
        <v>1</v>
      </c>
      <c r="K2455" s="1" t="str">
        <f t="shared" ref="K2455:P2455" si="4940">"0"</f>
        <v>0</v>
      </c>
      <c r="L2455" s="1" t="str">
        <f t="shared" si="4940"/>
        <v>0</v>
      </c>
      <c r="M2455" s="1" t="str">
        <f t="shared" si="4940"/>
        <v>0</v>
      </c>
      <c r="N2455" s="1" t="str">
        <f t="shared" si="4940"/>
        <v>0</v>
      </c>
      <c r="O2455" s="1" t="str">
        <f t="shared" si="4940"/>
        <v>0</v>
      </c>
      <c r="P2455" s="1" t="str">
        <f t="shared" si="4940"/>
        <v>0</v>
      </c>
      <c r="Q2455" s="1" t="str">
        <f t="shared" si="4899"/>
        <v>0.0070</v>
      </c>
      <c r="R2455" s="1" t="s">
        <v>25</v>
      </c>
      <c r="T2455" s="1" t="str">
        <f t="shared" si="4900"/>
        <v>0</v>
      </c>
      <c r="U2455" s="1" t="str">
        <f>"0.0070"</f>
        <v>0.0070</v>
      </c>
    </row>
    <row r="2456" s="1" customFormat="1" spans="1:21">
      <c r="A2456" s="1" t="str">
        <f>"4601992042739"</f>
        <v>4601992042739</v>
      </c>
      <c r="B2456" s="1" t="s">
        <v>2480</v>
      </c>
      <c r="C2456" s="1" t="s">
        <v>24</v>
      </c>
      <c r="D2456" s="1" t="str">
        <f t="shared" si="4896"/>
        <v>2021</v>
      </c>
      <c r="E2456" s="1" t="str">
        <f>"24.18"</f>
        <v>24.18</v>
      </c>
      <c r="F2456" s="1" t="str">
        <f t="shared" ref="F2456:I2456" si="4941">"0"</f>
        <v>0</v>
      </c>
      <c r="G2456" s="1" t="str">
        <f t="shared" si="4941"/>
        <v>0</v>
      </c>
      <c r="H2456" s="1" t="str">
        <f t="shared" si="4941"/>
        <v>0</v>
      </c>
      <c r="I2456" s="1" t="str">
        <f t="shared" si="4941"/>
        <v>0</v>
      </c>
      <c r="J2456" s="1" t="str">
        <f t="shared" ref="J2456:J2460" si="4942">"2"</f>
        <v>2</v>
      </c>
      <c r="K2456" s="1" t="str">
        <f t="shared" ref="K2456:P2456" si="4943">"0"</f>
        <v>0</v>
      </c>
      <c r="L2456" s="1" t="str">
        <f t="shared" si="4943"/>
        <v>0</v>
      </c>
      <c r="M2456" s="1" t="str">
        <f t="shared" si="4943"/>
        <v>0</v>
      </c>
      <c r="N2456" s="1" t="str">
        <f t="shared" si="4943"/>
        <v>0</v>
      </c>
      <c r="O2456" s="1" t="str">
        <f t="shared" si="4943"/>
        <v>0</v>
      </c>
      <c r="P2456" s="1" t="str">
        <f t="shared" si="4943"/>
        <v>0</v>
      </c>
      <c r="Q2456" s="1" t="str">
        <f t="shared" si="4899"/>
        <v>0.0070</v>
      </c>
      <c r="R2456" s="1" t="s">
        <v>29</v>
      </c>
      <c r="S2456" s="1">
        <v>-0.0014</v>
      </c>
      <c r="T2456" s="1" t="str">
        <f t="shared" si="4900"/>
        <v>0</v>
      </c>
      <c r="U2456" s="1" t="str">
        <f t="shared" ref="U2456:U2463" si="4944">"0.0056"</f>
        <v>0.0056</v>
      </c>
    </row>
    <row r="2457" s="1" customFormat="1" spans="1:21">
      <c r="A2457" s="1" t="str">
        <f>"4601992042750"</f>
        <v>4601992042750</v>
      </c>
      <c r="B2457" s="1" t="s">
        <v>2481</v>
      </c>
      <c r="C2457" s="1" t="s">
        <v>24</v>
      </c>
      <c r="D2457" s="1" t="str">
        <f t="shared" si="4896"/>
        <v>2021</v>
      </c>
      <c r="E2457" s="1" t="str">
        <f>"47.92"</f>
        <v>47.92</v>
      </c>
      <c r="F2457" s="1" t="str">
        <f t="shared" ref="F2457:I2457" si="4945">"0"</f>
        <v>0</v>
      </c>
      <c r="G2457" s="1" t="str">
        <f t="shared" si="4945"/>
        <v>0</v>
      </c>
      <c r="H2457" s="1" t="str">
        <f t="shared" si="4945"/>
        <v>0</v>
      </c>
      <c r="I2457" s="1" t="str">
        <f t="shared" si="4945"/>
        <v>0</v>
      </c>
      <c r="J2457" s="1" t="str">
        <f>"7"</f>
        <v>7</v>
      </c>
      <c r="K2457" s="1" t="str">
        <f t="shared" ref="K2457:P2457" si="4946">"0"</f>
        <v>0</v>
      </c>
      <c r="L2457" s="1" t="str">
        <f t="shared" si="4946"/>
        <v>0</v>
      </c>
      <c r="M2457" s="1" t="str">
        <f t="shared" si="4946"/>
        <v>0</v>
      </c>
      <c r="N2457" s="1" t="str">
        <f t="shared" si="4946"/>
        <v>0</v>
      </c>
      <c r="O2457" s="1" t="str">
        <f t="shared" si="4946"/>
        <v>0</v>
      </c>
      <c r="P2457" s="1" t="str">
        <f t="shared" si="4946"/>
        <v>0</v>
      </c>
      <c r="Q2457" s="1" t="str">
        <f t="shared" si="4899"/>
        <v>0.0070</v>
      </c>
      <c r="R2457" s="1" t="s">
        <v>29</v>
      </c>
      <c r="S2457" s="1">
        <v>-0.0014</v>
      </c>
      <c r="T2457" s="1" t="str">
        <f t="shared" si="4900"/>
        <v>0</v>
      </c>
      <c r="U2457" s="1" t="str">
        <f t="shared" si="4944"/>
        <v>0.0056</v>
      </c>
    </row>
    <row r="2458" s="1" customFormat="1" spans="1:21">
      <c r="A2458" s="1" t="str">
        <f>"4601992042915"</f>
        <v>4601992042915</v>
      </c>
      <c r="B2458" s="1" t="s">
        <v>2482</v>
      </c>
      <c r="C2458" s="1" t="s">
        <v>24</v>
      </c>
      <c r="D2458" s="1" t="str">
        <f t="shared" si="4896"/>
        <v>2021</v>
      </c>
      <c r="E2458" s="1" t="str">
        <f t="shared" ref="E2458:P2458" si="4947">"0"</f>
        <v>0</v>
      </c>
      <c r="F2458" s="1" t="str">
        <f t="shared" si="4947"/>
        <v>0</v>
      </c>
      <c r="G2458" s="1" t="str">
        <f t="shared" si="4947"/>
        <v>0</v>
      </c>
      <c r="H2458" s="1" t="str">
        <f t="shared" si="4947"/>
        <v>0</v>
      </c>
      <c r="I2458" s="1" t="str">
        <f t="shared" si="4947"/>
        <v>0</v>
      </c>
      <c r="J2458" s="1" t="str">
        <f t="shared" si="4947"/>
        <v>0</v>
      </c>
      <c r="K2458" s="1" t="str">
        <f t="shared" si="4947"/>
        <v>0</v>
      </c>
      <c r="L2458" s="1" t="str">
        <f t="shared" si="4947"/>
        <v>0</v>
      </c>
      <c r="M2458" s="1" t="str">
        <f t="shared" si="4947"/>
        <v>0</v>
      </c>
      <c r="N2458" s="1" t="str">
        <f t="shared" si="4947"/>
        <v>0</v>
      </c>
      <c r="O2458" s="1" t="str">
        <f t="shared" si="4947"/>
        <v>0</v>
      </c>
      <c r="P2458" s="1" t="str">
        <f t="shared" si="4947"/>
        <v>0</v>
      </c>
      <c r="Q2458" s="1" t="str">
        <f t="shared" si="4899"/>
        <v>0.0070</v>
      </c>
      <c r="R2458" s="1" t="s">
        <v>25</v>
      </c>
      <c r="T2458" s="1" t="str">
        <f t="shared" si="4900"/>
        <v>0</v>
      </c>
      <c r="U2458" s="1" t="str">
        <f>"0.0070"</f>
        <v>0.0070</v>
      </c>
    </row>
    <row r="2459" s="1" customFormat="1" spans="1:21">
      <c r="A2459" s="1" t="str">
        <f>"4601992042788"</f>
        <v>4601992042788</v>
      </c>
      <c r="B2459" s="1" t="s">
        <v>2483</v>
      </c>
      <c r="C2459" s="1" t="s">
        <v>24</v>
      </c>
      <c r="D2459" s="1" t="str">
        <f t="shared" si="4896"/>
        <v>2021</v>
      </c>
      <c r="E2459" s="1" t="str">
        <f>"24.18"</f>
        <v>24.18</v>
      </c>
      <c r="F2459" s="1" t="str">
        <f t="shared" ref="F2459:I2459" si="4948">"0"</f>
        <v>0</v>
      </c>
      <c r="G2459" s="1" t="str">
        <f t="shared" si="4948"/>
        <v>0</v>
      </c>
      <c r="H2459" s="1" t="str">
        <f t="shared" si="4948"/>
        <v>0</v>
      </c>
      <c r="I2459" s="1" t="str">
        <f t="shared" si="4948"/>
        <v>0</v>
      </c>
      <c r="J2459" s="1" t="str">
        <f t="shared" si="4942"/>
        <v>2</v>
      </c>
      <c r="K2459" s="1" t="str">
        <f t="shared" ref="K2459:P2459" si="4949">"0"</f>
        <v>0</v>
      </c>
      <c r="L2459" s="1" t="str">
        <f t="shared" si="4949"/>
        <v>0</v>
      </c>
      <c r="M2459" s="1" t="str">
        <f t="shared" si="4949"/>
        <v>0</v>
      </c>
      <c r="N2459" s="1" t="str">
        <f t="shared" si="4949"/>
        <v>0</v>
      </c>
      <c r="O2459" s="1" t="str">
        <f t="shared" si="4949"/>
        <v>0</v>
      </c>
      <c r="P2459" s="1" t="str">
        <f t="shared" si="4949"/>
        <v>0</v>
      </c>
      <c r="Q2459" s="1" t="str">
        <f t="shared" si="4899"/>
        <v>0.0070</v>
      </c>
      <c r="R2459" s="1" t="s">
        <v>29</v>
      </c>
      <c r="S2459" s="1">
        <v>-0.0014</v>
      </c>
      <c r="T2459" s="1" t="str">
        <f t="shared" si="4900"/>
        <v>0</v>
      </c>
      <c r="U2459" s="1" t="str">
        <f t="shared" si="4944"/>
        <v>0.0056</v>
      </c>
    </row>
    <row r="2460" s="1" customFormat="1" spans="1:21">
      <c r="A2460" s="1" t="str">
        <f>"4601992042811"</f>
        <v>4601992042811</v>
      </c>
      <c r="B2460" s="1" t="s">
        <v>2484</v>
      </c>
      <c r="C2460" s="1" t="s">
        <v>24</v>
      </c>
      <c r="D2460" s="1" t="str">
        <f t="shared" si="4896"/>
        <v>2021</v>
      </c>
      <c r="E2460" s="1" t="str">
        <f>"29.54"</f>
        <v>29.54</v>
      </c>
      <c r="F2460" s="1" t="str">
        <f t="shared" ref="F2460:I2460" si="4950">"0"</f>
        <v>0</v>
      </c>
      <c r="G2460" s="1" t="str">
        <f t="shared" si="4950"/>
        <v>0</v>
      </c>
      <c r="H2460" s="1" t="str">
        <f t="shared" si="4950"/>
        <v>0</v>
      </c>
      <c r="I2460" s="1" t="str">
        <f t="shared" si="4950"/>
        <v>0</v>
      </c>
      <c r="J2460" s="1" t="str">
        <f t="shared" si="4942"/>
        <v>2</v>
      </c>
      <c r="K2460" s="1" t="str">
        <f t="shared" ref="K2460:P2460" si="4951">"0"</f>
        <v>0</v>
      </c>
      <c r="L2460" s="1" t="str">
        <f t="shared" si="4951"/>
        <v>0</v>
      </c>
      <c r="M2460" s="1" t="str">
        <f t="shared" si="4951"/>
        <v>0</v>
      </c>
      <c r="N2460" s="1" t="str">
        <f t="shared" si="4951"/>
        <v>0</v>
      </c>
      <c r="O2460" s="1" t="str">
        <f t="shared" si="4951"/>
        <v>0</v>
      </c>
      <c r="P2460" s="1" t="str">
        <f t="shared" si="4951"/>
        <v>0</v>
      </c>
      <c r="Q2460" s="1" t="str">
        <f t="shared" si="4899"/>
        <v>0.0070</v>
      </c>
      <c r="R2460" s="1" t="s">
        <v>29</v>
      </c>
      <c r="S2460" s="1">
        <v>-0.0014</v>
      </c>
      <c r="T2460" s="1" t="str">
        <f t="shared" si="4900"/>
        <v>0</v>
      </c>
      <c r="U2460" s="1" t="str">
        <f t="shared" si="4944"/>
        <v>0.0056</v>
      </c>
    </row>
    <row r="2461" s="1" customFormat="1" spans="1:21">
      <c r="A2461" s="1" t="str">
        <f>"4601992042939"</f>
        <v>4601992042939</v>
      </c>
      <c r="B2461" s="1" t="s">
        <v>2485</v>
      </c>
      <c r="C2461" s="1" t="s">
        <v>24</v>
      </c>
      <c r="D2461" s="1" t="str">
        <f t="shared" si="4896"/>
        <v>2021</v>
      </c>
      <c r="E2461" s="1" t="str">
        <f t="shared" ref="E2461:E2463" si="4952">"12.09"</f>
        <v>12.09</v>
      </c>
      <c r="F2461" s="1" t="str">
        <f t="shared" ref="F2461:I2461" si="4953">"0"</f>
        <v>0</v>
      </c>
      <c r="G2461" s="1" t="str">
        <f t="shared" si="4953"/>
        <v>0</v>
      </c>
      <c r="H2461" s="1" t="str">
        <f t="shared" si="4953"/>
        <v>0</v>
      </c>
      <c r="I2461" s="1" t="str">
        <f t="shared" si="4953"/>
        <v>0</v>
      </c>
      <c r="J2461" s="1" t="str">
        <f t="shared" ref="J2461:J2463" si="4954">"1"</f>
        <v>1</v>
      </c>
      <c r="K2461" s="1" t="str">
        <f t="shared" ref="K2461:P2461" si="4955">"0"</f>
        <v>0</v>
      </c>
      <c r="L2461" s="1" t="str">
        <f t="shared" si="4955"/>
        <v>0</v>
      </c>
      <c r="M2461" s="1" t="str">
        <f t="shared" si="4955"/>
        <v>0</v>
      </c>
      <c r="N2461" s="1" t="str">
        <f t="shared" si="4955"/>
        <v>0</v>
      </c>
      <c r="O2461" s="1" t="str">
        <f t="shared" si="4955"/>
        <v>0</v>
      </c>
      <c r="P2461" s="1" t="str">
        <f t="shared" si="4955"/>
        <v>0</v>
      </c>
      <c r="Q2461" s="1" t="str">
        <f t="shared" si="4899"/>
        <v>0.0070</v>
      </c>
      <c r="R2461" s="1" t="s">
        <v>29</v>
      </c>
      <c r="S2461" s="1">
        <v>-0.0014</v>
      </c>
      <c r="T2461" s="1" t="str">
        <f t="shared" si="4900"/>
        <v>0</v>
      </c>
      <c r="U2461" s="1" t="str">
        <f t="shared" si="4944"/>
        <v>0.0056</v>
      </c>
    </row>
    <row r="2462" s="1" customFormat="1" spans="1:21">
      <c r="A2462" s="1" t="str">
        <f>"4601992042941"</f>
        <v>4601992042941</v>
      </c>
      <c r="B2462" s="1" t="s">
        <v>2486</v>
      </c>
      <c r="C2462" s="1" t="s">
        <v>24</v>
      </c>
      <c r="D2462" s="1" t="str">
        <f t="shared" si="4896"/>
        <v>2021</v>
      </c>
      <c r="E2462" s="1" t="str">
        <f t="shared" si="4952"/>
        <v>12.09</v>
      </c>
      <c r="F2462" s="1" t="str">
        <f t="shared" ref="F2462:I2462" si="4956">"0"</f>
        <v>0</v>
      </c>
      <c r="G2462" s="1" t="str">
        <f t="shared" si="4956"/>
        <v>0</v>
      </c>
      <c r="H2462" s="1" t="str">
        <f t="shared" si="4956"/>
        <v>0</v>
      </c>
      <c r="I2462" s="1" t="str">
        <f t="shared" si="4956"/>
        <v>0</v>
      </c>
      <c r="J2462" s="1" t="str">
        <f t="shared" si="4954"/>
        <v>1</v>
      </c>
      <c r="K2462" s="1" t="str">
        <f t="shared" ref="K2462:P2462" si="4957">"0"</f>
        <v>0</v>
      </c>
      <c r="L2462" s="1" t="str">
        <f t="shared" si="4957"/>
        <v>0</v>
      </c>
      <c r="M2462" s="1" t="str">
        <f t="shared" si="4957"/>
        <v>0</v>
      </c>
      <c r="N2462" s="1" t="str">
        <f t="shared" si="4957"/>
        <v>0</v>
      </c>
      <c r="O2462" s="1" t="str">
        <f t="shared" si="4957"/>
        <v>0</v>
      </c>
      <c r="P2462" s="1" t="str">
        <f t="shared" si="4957"/>
        <v>0</v>
      </c>
      <c r="Q2462" s="1" t="str">
        <f t="shared" si="4899"/>
        <v>0.0070</v>
      </c>
      <c r="R2462" s="1" t="s">
        <v>29</v>
      </c>
      <c r="S2462" s="1">
        <v>-0.0014</v>
      </c>
      <c r="T2462" s="1" t="str">
        <f t="shared" si="4900"/>
        <v>0</v>
      </c>
      <c r="U2462" s="1" t="str">
        <f t="shared" si="4944"/>
        <v>0.0056</v>
      </c>
    </row>
    <row r="2463" s="1" customFormat="1" spans="1:21">
      <c r="A2463" s="1" t="str">
        <f>"4601992042967"</f>
        <v>4601992042967</v>
      </c>
      <c r="B2463" s="1" t="s">
        <v>2487</v>
      </c>
      <c r="C2463" s="1" t="s">
        <v>24</v>
      </c>
      <c r="D2463" s="1" t="str">
        <f t="shared" si="4896"/>
        <v>2021</v>
      </c>
      <c r="E2463" s="1" t="str">
        <f t="shared" si="4952"/>
        <v>12.09</v>
      </c>
      <c r="F2463" s="1" t="str">
        <f t="shared" ref="F2463:I2463" si="4958">"0"</f>
        <v>0</v>
      </c>
      <c r="G2463" s="1" t="str">
        <f t="shared" si="4958"/>
        <v>0</v>
      </c>
      <c r="H2463" s="1" t="str">
        <f t="shared" si="4958"/>
        <v>0</v>
      </c>
      <c r="I2463" s="1" t="str">
        <f t="shared" si="4958"/>
        <v>0</v>
      </c>
      <c r="J2463" s="1" t="str">
        <f t="shared" si="4954"/>
        <v>1</v>
      </c>
      <c r="K2463" s="1" t="str">
        <f t="shared" ref="K2463:P2463" si="4959">"0"</f>
        <v>0</v>
      </c>
      <c r="L2463" s="1" t="str">
        <f t="shared" si="4959"/>
        <v>0</v>
      </c>
      <c r="M2463" s="1" t="str">
        <f t="shared" si="4959"/>
        <v>0</v>
      </c>
      <c r="N2463" s="1" t="str">
        <f t="shared" si="4959"/>
        <v>0</v>
      </c>
      <c r="O2463" s="1" t="str">
        <f t="shared" si="4959"/>
        <v>0</v>
      </c>
      <c r="P2463" s="1" t="str">
        <f t="shared" si="4959"/>
        <v>0</v>
      </c>
      <c r="Q2463" s="1" t="str">
        <f t="shared" si="4899"/>
        <v>0.0070</v>
      </c>
      <c r="R2463" s="1" t="s">
        <v>29</v>
      </c>
      <c r="S2463" s="1">
        <v>-0.0014</v>
      </c>
      <c r="T2463" s="1" t="str">
        <f t="shared" si="4900"/>
        <v>0</v>
      </c>
      <c r="U2463" s="1" t="str">
        <f t="shared" si="4944"/>
        <v>0.0056</v>
      </c>
    </row>
    <row r="2464" s="1" customFormat="1" spans="1:21">
      <c r="A2464" s="1" t="str">
        <f>"4601992042999"</f>
        <v>4601992042999</v>
      </c>
      <c r="B2464" s="1" t="s">
        <v>2488</v>
      </c>
      <c r="C2464" s="1" t="s">
        <v>24</v>
      </c>
      <c r="D2464" s="1" t="str">
        <f t="shared" si="4896"/>
        <v>2021</v>
      </c>
      <c r="E2464" s="1" t="str">
        <f t="shared" ref="E2464:P2464" si="4960">"0"</f>
        <v>0</v>
      </c>
      <c r="F2464" s="1" t="str">
        <f t="shared" si="4960"/>
        <v>0</v>
      </c>
      <c r="G2464" s="1" t="str">
        <f t="shared" si="4960"/>
        <v>0</v>
      </c>
      <c r="H2464" s="1" t="str">
        <f t="shared" si="4960"/>
        <v>0</v>
      </c>
      <c r="I2464" s="1" t="str">
        <f t="shared" si="4960"/>
        <v>0</v>
      </c>
      <c r="J2464" s="1" t="str">
        <f t="shared" si="4960"/>
        <v>0</v>
      </c>
      <c r="K2464" s="1" t="str">
        <f t="shared" si="4960"/>
        <v>0</v>
      </c>
      <c r="L2464" s="1" t="str">
        <f t="shared" si="4960"/>
        <v>0</v>
      </c>
      <c r="M2464" s="1" t="str">
        <f t="shared" si="4960"/>
        <v>0</v>
      </c>
      <c r="N2464" s="1" t="str">
        <f t="shared" si="4960"/>
        <v>0</v>
      </c>
      <c r="O2464" s="1" t="str">
        <f t="shared" si="4960"/>
        <v>0</v>
      </c>
      <c r="P2464" s="1" t="str">
        <f t="shared" si="4960"/>
        <v>0</v>
      </c>
      <c r="Q2464" s="1" t="str">
        <f t="shared" si="4899"/>
        <v>0.0070</v>
      </c>
      <c r="R2464" s="1" t="s">
        <v>25</v>
      </c>
      <c r="T2464" s="1" t="str">
        <f t="shared" si="4900"/>
        <v>0</v>
      </c>
      <c r="U2464" s="1" t="str">
        <f t="shared" ref="U2464:U2471" si="4961">"0.0070"</f>
        <v>0.0070</v>
      </c>
    </row>
    <row r="2465" s="1" customFormat="1" spans="1:21">
      <c r="A2465" s="1" t="str">
        <f>"4601992042973"</f>
        <v>4601992042973</v>
      </c>
      <c r="B2465" s="1" t="s">
        <v>2489</v>
      </c>
      <c r="C2465" s="1" t="s">
        <v>24</v>
      </c>
      <c r="D2465" s="1" t="str">
        <f t="shared" si="4896"/>
        <v>2021</v>
      </c>
      <c r="E2465" s="1" t="str">
        <f>"45.50"</f>
        <v>45.50</v>
      </c>
      <c r="F2465" s="1" t="str">
        <f t="shared" ref="F2465:I2465" si="4962">"0"</f>
        <v>0</v>
      </c>
      <c r="G2465" s="1" t="str">
        <f t="shared" si="4962"/>
        <v>0</v>
      </c>
      <c r="H2465" s="1" t="str">
        <f t="shared" si="4962"/>
        <v>0</v>
      </c>
      <c r="I2465" s="1" t="str">
        <f t="shared" si="4962"/>
        <v>0</v>
      </c>
      <c r="J2465" s="1" t="str">
        <f>"2"</f>
        <v>2</v>
      </c>
      <c r="K2465" s="1" t="str">
        <f t="shared" ref="K2465:P2465" si="4963">"0"</f>
        <v>0</v>
      </c>
      <c r="L2465" s="1" t="str">
        <f t="shared" si="4963"/>
        <v>0</v>
      </c>
      <c r="M2465" s="1" t="str">
        <f t="shared" si="4963"/>
        <v>0</v>
      </c>
      <c r="N2465" s="1" t="str">
        <f t="shared" si="4963"/>
        <v>0</v>
      </c>
      <c r="O2465" s="1" t="str">
        <f t="shared" si="4963"/>
        <v>0</v>
      </c>
      <c r="P2465" s="1" t="str">
        <f t="shared" si="4963"/>
        <v>0</v>
      </c>
      <c r="Q2465" s="1" t="str">
        <f t="shared" si="4899"/>
        <v>0.0070</v>
      </c>
      <c r="R2465" s="1" t="s">
        <v>29</v>
      </c>
      <c r="S2465" s="1">
        <v>-0.0014</v>
      </c>
      <c r="T2465" s="1" t="str">
        <f t="shared" si="4900"/>
        <v>0</v>
      </c>
      <c r="U2465" s="1" t="str">
        <f>"0.0056"</f>
        <v>0.0056</v>
      </c>
    </row>
    <row r="2466" s="1" customFormat="1" spans="1:21">
      <c r="A2466" s="1" t="str">
        <f>"4601992043020"</f>
        <v>4601992043020</v>
      </c>
      <c r="B2466" s="1" t="s">
        <v>2490</v>
      </c>
      <c r="C2466" s="1" t="s">
        <v>24</v>
      </c>
      <c r="D2466" s="1" t="str">
        <f t="shared" si="4896"/>
        <v>2021</v>
      </c>
      <c r="E2466" s="1" t="str">
        <f t="shared" ref="E2466:P2466" si="4964">"0"</f>
        <v>0</v>
      </c>
      <c r="F2466" s="1" t="str">
        <f t="shared" si="4964"/>
        <v>0</v>
      </c>
      <c r="G2466" s="1" t="str">
        <f t="shared" si="4964"/>
        <v>0</v>
      </c>
      <c r="H2466" s="1" t="str">
        <f t="shared" si="4964"/>
        <v>0</v>
      </c>
      <c r="I2466" s="1" t="str">
        <f t="shared" si="4964"/>
        <v>0</v>
      </c>
      <c r="J2466" s="1" t="str">
        <f t="shared" si="4964"/>
        <v>0</v>
      </c>
      <c r="K2466" s="1" t="str">
        <f t="shared" si="4964"/>
        <v>0</v>
      </c>
      <c r="L2466" s="1" t="str">
        <f t="shared" si="4964"/>
        <v>0</v>
      </c>
      <c r="M2466" s="1" t="str">
        <f t="shared" si="4964"/>
        <v>0</v>
      </c>
      <c r="N2466" s="1" t="str">
        <f t="shared" si="4964"/>
        <v>0</v>
      </c>
      <c r="O2466" s="1" t="str">
        <f t="shared" si="4964"/>
        <v>0</v>
      </c>
      <c r="P2466" s="1" t="str">
        <f t="shared" si="4964"/>
        <v>0</v>
      </c>
      <c r="Q2466" s="1" t="str">
        <f t="shared" si="4899"/>
        <v>0.0070</v>
      </c>
      <c r="R2466" s="1" t="s">
        <v>25</v>
      </c>
      <c r="T2466" s="1" t="str">
        <f t="shared" si="4900"/>
        <v>0</v>
      </c>
      <c r="U2466" s="1" t="str">
        <f t="shared" si="4961"/>
        <v>0.0070</v>
      </c>
    </row>
    <row r="2467" s="1" customFormat="1" spans="1:21">
      <c r="A2467" s="1" t="str">
        <f>"4601992042995"</f>
        <v>4601992042995</v>
      </c>
      <c r="B2467" s="1" t="s">
        <v>2491</v>
      </c>
      <c r="C2467" s="1" t="s">
        <v>24</v>
      </c>
      <c r="D2467" s="1" t="str">
        <f t="shared" si="4896"/>
        <v>2021</v>
      </c>
      <c r="E2467" s="1" t="str">
        <f t="shared" ref="E2467:P2467" si="4965">"0"</f>
        <v>0</v>
      </c>
      <c r="F2467" s="1" t="str">
        <f t="shared" si="4965"/>
        <v>0</v>
      </c>
      <c r="G2467" s="1" t="str">
        <f t="shared" si="4965"/>
        <v>0</v>
      </c>
      <c r="H2467" s="1" t="str">
        <f t="shared" si="4965"/>
        <v>0</v>
      </c>
      <c r="I2467" s="1" t="str">
        <f t="shared" si="4965"/>
        <v>0</v>
      </c>
      <c r="J2467" s="1" t="str">
        <f t="shared" si="4965"/>
        <v>0</v>
      </c>
      <c r="K2467" s="1" t="str">
        <f t="shared" si="4965"/>
        <v>0</v>
      </c>
      <c r="L2467" s="1" t="str">
        <f t="shared" si="4965"/>
        <v>0</v>
      </c>
      <c r="M2467" s="1" t="str">
        <f t="shared" si="4965"/>
        <v>0</v>
      </c>
      <c r="N2467" s="1" t="str">
        <f t="shared" si="4965"/>
        <v>0</v>
      </c>
      <c r="O2467" s="1" t="str">
        <f t="shared" si="4965"/>
        <v>0</v>
      </c>
      <c r="P2467" s="1" t="str">
        <f t="shared" si="4965"/>
        <v>0</v>
      </c>
      <c r="Q2467" s="1" t="str">
        <f t="shared" si="4899"/>
        <v>0.0070</v>
      </c>
      <c r="R2467" s="1" t="s">
        <v>25</v>
      </c>
      <c r="T2467" s="1" t="str">
        <f t="shared" si="4900"/>
        <v>0</v>
      </c>
      <c r="U2467" s="1" t="str">
        <f t="shared" si="4961"/>
        <v>0.0070</v>
      </c>
    </row>
    <row r="2468" s="1" customFormat="1" spans="1:21">
      <c r="A2468" s="1" t="str">
        <f>"4601992043059"</f>
        <v>4601992043059</v>
      </c>
      <c r="B2468" s="1" t="s">
        <v>2492</v>
      </c>
      <c r="C2468" s="1" t="s">
        <v>24</v>
      </c>
      <c r="D2468" s="1" t="str">
        <f t="shared" si="4896"/>
        <v>2021</v>
      </c>
      <c r="E2468" s="1" t="str">
        <f t="shared" ref="E2468:P2468" si="4966">"0"</f>
        <v>0</v>
      </c>
      <c r="F2468" s="1" t="str">
        <f t="shared" si="4966"/>
        <v>0</v>
      </c>
      <c r="G2468" s="1" t="str">
        <f t="shared" si="4966"/>
        <v>0</v>
      </c>
      <c r="H2468" s="1" t="str">
        <f t="shared" si="4966"/>
        <v>0</v>
      </c>
      <c r="I2468" s="1" t="str">
        <f t="shared" si="4966"/>
        <v>0</v>
      </c>
      <c r="J2468" s="1" t="str">
        <f t="shared" si="4966"/>
        <v>0</v>
      </c>
      <c r="K2468" s="1" t="str">
        <f t="shared" si="4966"/>
        <v>0</v>
      </c>
      <c r="L2468" s="1" t="str">
        <f t="shared" si="4966"/>
        <v>0</v>
      </c>
      <c r="M2468" s="1" t="str">
        <f t="shared" si="4966"/>
        <v>0</v>
      </c>
      <c r="N2468" s="1" t="str">
        <f t="shared" si="4966"/>
        <v>0</v>
      </c>
      <c r="O2468" s="1" t="str">
        <f t="shared" si="4966"/>
        <v>0</v>
      </c>
      <c r="P2468" s="1" t="str">
        <f t="shared" si="4966"/>
        <v>0</v>
      </c>
      <c r="Q2468" s="1" t="str">
        <f t="shared" si="4899"/>
        <v>0.0070</v>
      </c>
      <c r="R2468" s="1" t="s">
        <v>25</v>
      </c>
      <c r="T2468" s="1" t="str">
        <f t="shared" si="4900"/>
        <v>0</v>
      </c>
      <c r="U2468" s="1" t="str">
        <f t="shared" si="4961"/>
        <v>0.0070</v>
      </c>
    </row>
    <row r="2469" s="1" customFormat="1" spans="1:21">
      <c r="A2469" s="1" t="str">
        <f>"4601992043036"</f>
        <v>4601992043036</v>
      </c>
      <c r="B2469" s="1" t="s">
        <v>2493</v>
      </c>
      <c r="C2469" s="1" t="s">
        <v>24</v>
      </c>
      <c r="D2469" s="1" t="str">
        <f t="shared" si="4896"/>
        <v>2021</v>
      </c>
      <c r="E2469" s="1" t="str">
        <f t="shared" ref="E2469:G2469" si="4967">"0"</f>
        <v>0</v>
      </c>
      <c r="F2469" s="1" t="str">
        <f t="shared" si="4967"/>
        <v>0</v>
      </c>
      <c r="G2469" s="1" t="str">
        <f t="shared" si="4967"/>
        <v>0</v>
      </c>
      <c r="H2469" s="1" t="str">
        <f>"24.18"</f>
        <v>24.18</v>
      </c>
      <c r="I2469" s="1" t="str">
        <f t="shared" ref="I2469:P2469" si="4968">"0"</f>
        <v>0</v>
      </c>
      <c r="J2469" s="1" t="str">
        <f t="shared" si="4968"/>
        <v>0</v>
      </c>
      <c r="K2469" s="1" t="str">
        <f t="shared" si="4968"/>
        <v>0</v>
      </c>
      <c r="L2469" s="1" t="str">
        <f t="shared" si="4968"/>
        <v>0</v>
      </c>
      <c r="M2469" s="1" t="str">
        <f t="shared" si="4968"/>
        <v>0</v>
      </c>
      <c r="N2469" s="1" t="str">
        <f t="shared" si="4968"/>
        <v>0</v>
      </c>
      <c r="O2469" s="1" t="str">
        <f t="shared" si="4968"/>
        <v>0</v>
      </c>
      <c r="P2469" s="1" t="str">
        <f t="shared" si="4968"/>
        <v>0</v>
      </c>
      <c r="Q2469" s="1" t="str">
        <f t="shared" si="4899"/>
        <v>0.0070</v>
      </c>
      <c r="R2469" s="1" t="s">
        <v>25</v>
      </c>
      <c r="T2469" s="1" t="str">
        <f t="shared" si="4900"/>
        <v>0</v>
      </c>
      <c r="U2469" s="1" t="str">
        <f t="shared" si="4961"/>
        <v>0.0070</v>
      </c>
    </row>
    <row r="2470" s="1" customFormat="1" spans="1:21">
      <c r="A2470" s="1" t="str">
        <f>"4601992043072"</f>
        <v>4601992043072</v>
      </c>
      <c r="B2470" s="1" t="s">
        <v>2494</v>
      </c>
      <c r="C2470" s="1" t="s">
        <v>24</v>
      </c>
      <c r="D2470" s="1" t="str">
        <f t="shared" si="4896"/>
        <v>2021</v>
      </c>
      <c r="E2470" s="1" t="str">
        <f t="shared" ref="E2470:P2470" si="4969">"0"</f>
        <v>0</v>
      </c>
      <c r="F2470" s="1" t="str">
        <f t="shared" si="4969"/>
        <v>0</v>
      </c>
      <c r="G2470" s="1" t="str">
        <f t="shared" si="4969"/>
        <v>0</v>
      </c>
      <c r="H2470" s="1" t="str">
        <f t="shared" si="4969"/>
        <v>0</v>
      </c>
      <c r="I2470" s="1" t="str">
        <f t="shared" si="4969"/>
        <v>0</v>
      </c>
      <c r="J2470" s="1" t="str">
        <f t="shared" si="4969"/>
        <v>0</v>
      </c>
      <c r="K2470" s="1" t="str">
        <f t="shared" si="4969"/>
        <v>0</v>
      </c>
      <c r="L2470" s="1" t="str">
        <f t="shared" si="4969"/>
        <v>0</v>
      </c>
      <c r="M2470" s="1" t="str">
        <f t="shared" si="4969"/>
        <v>0</v>
      </c>
      <c r="N2470" s="1" t="str">
        <f t="shared" si="4969"/>
        <v>0</v>
      </c>
      <c r="O2470" s="1" t="str">
        <f t="shared" si="4969"/>
        <v>0</v>
      </c>
      <c r="P2470" s="1" t="str">
        <f t="shared" si="4969"/>
        <v>0</v>
      </c>
      <c r="Q2470" s="1" t="str">
        <f t="shared" si="4899"/>
        <v>0.0070</v>
      </c>
      <c r="R2470" s="1" t="s">
        <v>25</v>
      </c>
      <c r="T2470" s="1" t="str">
        <f t="shared" si="4900"/>
        <v>0</v>
      </c>
      <c r="U2470" s="1" t="str">
        <f t="shared" si="4961"/>
        <v>0.0070</v>
      </c>
    </row>
    <row r="2471" s="1" customFormat="1" spans="1:21">
      <c r="A2471" s="1" t="str">
        <f>"4601992043091"</f>
        <v>4601992043091</v>
      </c>
      <c r="B2471" s="1" t="s">
        <v>2495</v>
      </c>
      <c r="C2471" s="1" t="s">
        <v>24</v>
      </c>
      <c r="D2471" s="1" t="str">
        <f t="shared" si="4896"/>
        <v>2021</v>
      </c>
      <c r="E2471" s="1" t="str">
        <f t="shared" ref="E2471:P2471" si="4970">"0"</f>
        <v>0</v>
      </c>
      <c r="F2471" s="1" t="str">
        <f t="shared" si="4970"/>
        <v>0</v>
      </c>
      <c r="G2471" s="1" t="str">
        <f t="shared" si="4970"/>
        <v>0</v>
      </c>
      <c r="H2471" s="1" t="str">
        <f t="shared" si="4970"/>
        <v>0</v>
      </c>
      <c r="I2471" s="1" t="str">
        <f t="shared" si="4970"/>
        <v>0</v>
      </c>
      <c r="J2471" s="1" t="str">
        <f t="shared" si="4970"/>
        <v>0</v>
      </c>
      <c r="K2471" s="1" t="str">
        <f t="shared" si="4970"/>
        <v>0</v>
      </c>
      <c r="L2471" s="1" t="str">
        <f t="shared" si="4970"/>
        <v>0</v>
      </c>
      <c r="M2471" s="1" t="str">
        <f t="shared" si="4970"/>
        <v>0</v>
      </c>
      <c r="N2471" s="1" t="str">
        <f t="shared" si="4970"/>
        <v>0</v>
      </c>
      <c r="O2471" s="1" t="str">
        <f t="shared" si="4970"/>
        <v>0</v>
      </c>
      <c r="P2471" s="1" t="str">
        <f t="shared" si="4970"/>
        <v>0</v>
      </c>
      <c r="Q2471" s="1" t="str">
        <f t="shared" si="4899"/>
        <v>0.0070</v>
      </c>
      <c r="R2471" s="1" t="s">
        <v>25</v>
      </c>
      <c r="T2471" s="1" t="str">
        <f t="shared" si="4900"/>
        <v>0</v>
      </c>
      <c r="U2471" s="1" t="str">
        <f t="shared" si="4961"/>
        <v>0.0070</v>
      </c>
    </row>
    <row r="2472" s="1" customFormat="1" spans="1:21">
      <c r="A2472" s="1" t="str">
        <f>"4601992043176"</f>
        <v>4601992043176</v>
      </c>
      <c r="B2472" s="1" t="s">
        <v>2496</v>
      </c>
      <c r="C2472" s="1" t="s">
        <v>24</v>
      </c>
      <c r="D2472" s="1" t="str">
        <f t="shared" si="4896"/>
        <v>2021</v>
      </c>
      <c r="E2472" s="1" t="str">
        <f>"48.25"</f>
        <v>48.25</v>
      </c>
      <c r="F2472" s="1" t="str">
        <f t="shared" ref="F2472:I2472" si="4971">"0"</f>
        <v>0</v>
      </c>
      <c r="G2472" s="1" t="str">
        <f t="shared" si="4971"/>
        <v>0</v>
      </c>
      <c r="H2472" s="1" t="str">
        <f t="shared" si="4971"/>
        <v>0</v>
      </c>
      <c r="I2472" s="1" t="str">
        <f t="shared" si="4971"/>
        <v>0</v>
      </c>
      <c r="J2472" s="1" t="str">
        <f>"3"</f>
        <v>3</v>
      </c>
      <c r="K2472" s="1" t="str">
        <f t="shared" ref="K2472:P2472" si="4972">"0"</f>
        <v>0</v>
      </c>
      <c r="L2472" s="1" t="str">
        <f t="shared" si="4972"/>
        <v>0</v>
      </c>
      <c r="M2472" s="1" t="str">
        <f t="shared" si="4972"/>
        <v>0</v>
      </c>
      <c r="N2472" s="1" t="str">
        <f t="shared" si="4972"/>
        <v>0</v>
      </c>
      <c r="O2472" s="1" t="str">
        <f t="shared" si="4972"/>
        <v>0</v>
      </c>
      <c r="P2472" s="1" t="str">
        <f t="shared" si="4972"/>
        <v>0</v>
      </c>
      <c r="Q2472" s="1" t="str">
        <f t="shared" si="4899"/>
        <v>0.0070</v>
      </c>
      <c r="R2472" s="1" t="s">
        <v>29</v>
      </c>
      <c r="S2472" s="1">
        <v>-0.0014</v>
      </c>
      <c r="T2472" s="1" t="str">
        <f t="shared" si="4900"/>
        <v>0</v>
      </c>
      <c r="U2472" s="1" t="str">
        <f t="shared" ref="U2472:U2477" si="4973">"0.0056"</f>
        <v>0.0056</v>
      </c>
    </row>
    <row r="2473" s="1" customFormat="1" spans="1:21">
      <c r="A2473" s="1" t="str">
        <f>"4601992043111"</f>
        <v>4601992043111</v>
      </c>
      <c r="B2473" s="1" t="s">
        <v>2497</v>
      </c>
      <c r="C2473" s="1" t="s">
        <v>24</v>
      </c>
      <c r="D2473" s="1" t="str">
        <f t="shared" si="4896"/>
        <v>2021</v>
      </c>
      <c r="E2473" s="1" t="str">
        <f>"59.90"</f>
        <v>59.90</v>
      </c>
      <c r="F2473" s="1" t="str">
        <f t="shared" ref="F2473:I2473" si="4974">"0"</f>
        <v>0</v>
      </c>
      <c r="G2473" s="1" t="str">
        <f t="shared" si="4974"/>
        <v>0</v>
      </c>
      <c r="H2473" s="1" t="str">
        <f t="shared" si="4974"/>
        <v>0</v>
      </c>
      <c r="I2473" s="1" t="str">
        <f t="shared" si="4974"/>
        <v>0</v>
      </c>
      <c r="J2473" s="1" t="str">
        <f>"7"</f>
        <v>7</v>
      </c>
      <c r="K2473" s="1" t="str">
        <f t="shared" ref="K2473:P2473" si="4975">"0"</f>
        <v>0</v>
      </c>
      <c r="L2473" s="1" t="str">
        <f t="shared" si="4975"/>
        <v>0</v>
      </c>
      <c r="M2473" s="1" t="str">
        <f t="shared" si="4975"/>
        <v>0</v>
      </c>
      <c r="N2473" s="1" t="str">
        <f t="shared" si="4975"/>
        <v>0</v>
      </c>
      <c r="O2473" s="1" t="str">
        <f t="shared" si="4975"/>
        <v>0</v>
      </c>
      <c r="P2473" s="1" t="str">
        <f t="shared" si="4975"/>
        <v>0</v>
      </c>
      <c r="Q2473" s="1" t="str">
        <f t="shared" si="4899"/>
        <v>0.0070</v>
      </c>
      <c r="R2473" s="1" t="s">
        <v>29</v>
      </c>
      <c r="S2473" s="1">
        <v>-0.0014</v>
      </c>
      <c r="T2473" s="1" t="str">
        <f t="shared" si="4900"/>
        <v>0</v>
      </c>
      <c r="U2473" s="1" t="str">
        <f t="shared" si="4973"/>
        <v>0.0056</v>
      </c>
    </row>
    <row r="2474" s="1" customFormat="1" spans="1:21">
      <c r="A2474" s="1" t="str">
        <f>"4601992043268"</f>
        <v>4601992043268</v>
      </c>
      <c r="B2474" s="1" t="s">
        <v>2498</v>
      </c>
      <c r="C2474" s="1" t="s">
        <v>24</v>
      </c>
      <c r="D2474" s="1" t="str">
        <f t="shared" si="4896"/>
        <v>2021</v>
      </c>
      <c r="E2474" s="1" t="str">
        <f t="shared" ref="E2474:E2479" si="4976">"12.09"</f>
        <v>12.09</v>
      </c>
      <c r="F2474" s="1" t="str">
        <f t="shared" ref="F2474:I2474" si="4977">"0"</f>
        <v>0</v>
      </c>
      <c r="G2474" s="1" t="str">
        <f t="shared" si="4977"/>
        <v>0</v>
      </c>
      <c r="H2474" s="1" t="str">
        <f t="shared" si="4977"/>
        <v>0</v>
      </c>
      <c r="I2474" s="1" t="str">
        <f t="shared" si="4977"/>
        <v>0</v>
      </c>
      <c r="J2474" s="1" t="str">
        <f>"2"</f>
        <v>2</v>
      </c>
      <c r="K2474" s="1" t="str">
        <f t="shared" ref="K2474:P2474" si="4978">"0"</f>
        <v>0</v>
      </c>
      <c r="L2474" s="1" t="str">
        <f t="shared" si="4978"/>
        <v>0</v>
      </c>
      <c r="M2474" s="1" t="str">
        <f t="shared" si="4978"/>
        <v>0</v>
      </c>
      <c r="N2474" s="1" t="str">
        <f t="shared" si="4978"/>
        <v>0</v>
      </c>
      <c r="O2474" s="1" t="str">
        <f t="shared" si="4978"/>
        <v>0</v>
      </c>
      <c r="P2474" s="1" t="str">
        <f t="shared" si="4978"/>
        <v>0</v>
      </c>
      <c r="Q2474" s="1" t="str">
        <f t="shared" si="4899"/>
        <v>0.0070</v>
      </c>
      <c r="R2474" s="1" t="s">
        <v>29</v>
      </c>
      <c r="S2474" s="1">
        <v>-0.0014</v>
      </c>
      <c r="T2474" s="1" t="str">
        <f t="shared" si="4900"/>
        <v>0</v>
      </c>
      <c r="U2474" s="1" t="str">
        <f t="shared" si="4973"/>
        <v>0.0056</v>
      </c>
    </row>
    <row r="2475" s="1" customFormat="1" spans="1:21">
      <c r="A2475" s="1" t="str">
        <f>"4601992043887"</f>
        <v>4601992043887</v>
      </c>
      <c r="B2475" s="1" t="s">
        <v>2499</v>
      </c>
      <c r="C2475" s="1" t="s">
        <v>24</v>
      </c>
      <c r="D2475" s="1" t="str">
        <f t="shared" si="4896"/>
        <v>2021</v>
      </c>
      <c r="E2475" s="1" t="str">
        <f>"11.98"</f>
        <v>11.98</v>
      </c>
      <c r="F2475" s="1" t="str">
        <f t="shared" ref="F2475:I2475" si="4979">"0"</f>
        <v>0</v>
      </c>
      <c r="G2475" s="1" t="str">
        <f t="shared" si="4979"/>
        <v>0</v>
      </c>
      <c r="H2475" s="1" t="str">
        <f t="shared" si="4979"/>
        <v>0</v>
      </c>
      <c r="I2475" s="1" t="str">
        <f t="shared" si="4979"/>
        <v>0</v>
      </c>
      <c r="J2475" s="1" t="str">
        <f t="shared" ref="J2475:J2479" si="4980">"1"</f>
        <v>1</v>
      </c>
      <c r="K2475" s="1" t="str">
        <f t="shared" ref="K2475:P2475" si="4981">"0"</f>
        <v>0</v>
      </c>
      <c r="L2475" s="1" t="str">
        <f t="shared" si="4981"/>
        <v>0</v>
      </c>
      <c r="M2475" s="1" t="str">
        <f t="shared" si="4981"/>
        <v>0</v>
      </c>
      <c r="N2475" s="1" t="str">
        <f t="shared" si="4981"/>
        <v>0</v>
      </c>
      <c r="O2475" s="1" t="str">
        <f t="shared" si="4981"/>
        <v>0</v>
      </c>
      <c r="P2475" s="1" t="str">
        <f t="shared" si="4981"/>
        <v>0</v>
      </c>
      <c r="Q2475" s="1" t="str">
        <f t="shared" si="4899"/>
        <v>0.0070</v>
      </c>
      <c r="R2475" s="1" t="s">
        <v>29</v>
      </c>
      <c r="S2475" s="1">
        <v>-0.0014</v>
      </c>
      <c r="T2475" s="1" t="str">
        <f t="shared" si="4900"/>
        <v>0</v>
      </c>
      <c r="U2475" s="1" t="str">
        <f t="shared" si="4973"/>
        <v>0.0056</v>
      </c>
    </row>
    <row r="2476" s="1" customFormat="1" spans="1:21">
      <c r="A2476" s="1" t="str">
        <f>"4601992043896"</f>
        <v>4601992043896</v>
      </c>
      <c r="B2476" s="1" t="s">
        <v>2500</v>
      </c>
      <c r="C2476" s="1" t="s">
        <v>24</v>
      </c>
      <c r="D2476" s="1" t="str">
        <f t="shared" si="4896"/>
        <v>2021</v>
      </c>
      <c r="E2476" s="1" t="str">
        <f t="shared" si="4976"/>
        <v>12.09</v>
      </c>
      <c r="F2476" s="1" t="str">
        <f t="shared" ref="F2476:I2476" si="4982">"0"</f>
        <v>0</v>
      </c>
      <c r="G2476" s="1" t="str">
        <f t="shared" si="4982"/>
        <v>0</v>
      </c>
      <c r="H2476" s="1" t="str">
        <f t="shared" si="4982"/>
        <v>0</v>
      </c>
      <c r="I2476" s="1" t="str">
        <f t="shared" si="4982"/>
        <v>0</v>
      </c>
      <c r="J2476" s="1" t="str">
        <f t="shared" si="4980"/>
        <v>1</v>
      </c>
      <c r="K2476" s="1" t="str">
        <f t="shared" ref="K2476:P2476" si="4983">"0"</f>
        <v>0</v>
      </c>
      <c r="L2476" s="1" t="str">
        <f t="shared" si="4983"/>
        <v>0</v>
      </c>
      <c r="M2476" s="1" t="str">
        <f t="shared" si="4983"/>
        <v>0</v>
      </c>
      <c r="N2476" s="1" t="str">
        <f t="shared" si="4983"/>
        <v>0</v>
      </c>
      <c r="O2476" s="1" t="str">
        <f t="shared" si="4983"/>
        <v>0</v>
      </c>
      <c r="P2476" s="1" t="str">
        <f t="shared" si="4983"/>
        <v>0</v>
      </c>
      <c r="Q2476" s="1" t="str">
        <f t="shared" si="4899"/>
        <v>0.0070</v>
      </c>
      <c r="R2476" s="1" t="s">
        <v>29</v>
      </c>
      <c r="S2476" s="1">
        <v>-0.0014</v>
      </c>
      <c r="T2476" s="1" t="str">
        <f t="shared" si="4900"/>
        <v>0</v>
      </c>
      <c r="U2476" s="1" t="str">
        <f t="shared" si="4973"/>
        <v>0.0056</v>
      </c>
    </row>
    <row r="2477" s="1" customFormat="1" spans="1:21">
      <c r="A2477" s="1" t="str">
        <f>"4601991426526"</f>
        <v>4601991426526</v>
      </c>
      <c r="B2477" s="1" t="s">
        <v>2501</v>
      </c>
      <c r="C2477" s="1" t="s">
        <v>24</v>
      </c>
      <c r="D2477" s="1" t="str">
        <f t="shared" si="4896"/>
        <v>2021</v>
      </c>
      <c r="E2477" s="1" t="str">
        <f>"471.51"</f>
        <v>471.51</v>
      </c>
      <c r="F2477" s="1" t="str">
        <f t="shared" ref="F2477:I2477" si="4984">"0"</f>
        <v>0</v>
      </c>
      <c r="G2477" s="1" t="str">
        <f t="shared" si="4984"/>
        <v>0</v>
      </c>
      <c r="H2477" s="1" t="str">
        <f t="shared" si="4984"/>
        <v>0</v>
      </c>
      <c r="I2477" s="1" t="str">
        <f t="shared" si="4984"/>
        <v>0</v>
      </c>
      <c r="J2477" s="1" t="str">
        <f>"51"</f>
        <v>51</v>
      </c>
      <c r="K2477" s="1" t="str">
        <f t="shared" ref="K2477:P2477" si="4985">"0"</f>
        <v>0</v>
      </c>
      <c r="L2477" s="1" t="str">
        <f t="shared" si="4985"/>
        <v>0</v>
      </c>
      <c r="M2477" s="1" t="str">
        <f t="shared" si="4985"/>
        <v>0</v>
      </c>
      <c r="N2477" s="1" t="str">
        <f t="shared" si="4985"/>
        <v>0</v>
      </c>
      <c r="O2477" s="1" t="str">
        <f t="shared" si="4985"/>
        <v>0</v>
      </c>
      <c r="P2477" s="1" t="str">
        <f t="shared" si="4985"/>
        <v>0</v>
      </c>
      <c r="Q2477" s="1" t="str">
        <f t="shared" si="4899"/>
        <v>0.0070</v>
      </c>
      <c r="R2477" s="1" t="s">
        <v>29</v>
      </c>
      <c r="S2477" s="1">
        <v>-0.0014</v>
      </c>
      <c r="T2477" s="1" t="str">
        <f t="shared" si="4900"/>
        <v>0</v>
      </c>
      <c r="U2477" s="1" t="str">
        <f t="shared" si="4973"/>
        <v>0.0056</v>
      </c>
    </row>
    <row r="2478" s="1" customFormat="1" spans="1:21">
      <c r="A2478" s="1" t="str">
        <f>"4601992026850"</f>
        <v>4601992026850</v>
      </c>
      <c r="B2478" s="1" t="s">
        <v>2502</v>
      </c>
      <c r="C2478" s="1" t="s">
        <v>24</v>
      </c>
      <c r="D2478" s="1" t="str">
        <f t="shared" si="4896"/>
        <v>2021</v>
      </c>
      <c r="E2478" s="1" t="str">
        <f>"59.90"</f>
        <v>59.90</v>
      </c>
      <c r="F2478" s="1" t="str">
        <f t="shared" ref="F2478:I2478" si="4986">"0"</f>
        <v>0</v>
      </c>
      <c r="G2478" s="1" t="str">
        <f t="shared" si="4986"/>
        <v>0</v>
      </c>
      <c r="H2478" s="1" t="str">
        <f t="shared" si="4986"/>
        <v>0</v>
      </c>
      <c r="I2478" s="1" t="str">
        <f t="shared" si="4986"/>
        <v>0</v>
      </c>
      <c r="J2478" s="1" t="str">
        <f>"4"</f>
        <v>4</v>
      </c>
      <c r="K2478" s="1" t="str">
        <f t="shared" ref="K2478:P2478" si="4987">"0"</f>
        <v>0</v>
      </c>
      <c r="L2478" s="1" t="str">
        <f t="shared" si="4987"/>
        <v>0</v>
      </c>
      <c r="M2478" s="1" t="str">
        <f t="shared" si="4987"/>
        <v>0</v>
      </c>
      <c r="N2478" s="1" t="str">
        <f t="shared" si="4987"/>
        <v>0</v>
      </c>
      <c r="O2478" s="1" t="str">
        <f t="shared" si="4987"/>
        <v>0</v>
      </c>
      <c r="P2478" s="1" t="str">
        <f t="shared" si="4987"/>
        <v>0</v>
      </c>
      <c r="Q2478" s="1" t="str">
        <f t="shared" si="4899"/>
        <v>0.0070</v>
      </c>
      <c r="R2478" s="1" t="s">
        <v>25</v>
      </c>
      <c r="T2478" s="1" t="str">
        <f t="shared" si="4900"/>
        <v>0</v>
      </c>
      <c r="U2478" s="1" t="str">
        <f>"0.0070"</f>
        <v>0.0070</v>
      </c>
    </row>
    <row r="2479" s="1" customFormat="1" spans="1:21">
      <c r="A2479" s="1" t="str">
        <f>"4601992044059"</f>
        <v>4601992044059</v>
      </c>
      <c r="B2479" s="1" t="s">
        <v>2503</v>
      </c>
      <c r="C2479" s="1" t="s">
        <v>24</v>
      </c>
      <c r="D2479" s="1" t="str">
        <f t="shared" si="4896"/>
        <v>2021</v>
      </c>
      <c r="E2479" s="1" t="str">
        <f t="shared" si="4976"/>
        <v>12.09</v>
      </c>
      <c r="F2479" s="1" t="str">
        <f t="shared" ref="F2479:I2479" si="4988">"0"</f>
        <v>0</v>
      </c>
      <c r="G2479" s="1" t="str">
        <f t="shared" si="4988"/>
        <v>0</v>
      </c>
      <c r="H2479" s="1" t="str">
        <f t="shared" si="4988"/>
        <v>0</v>
      </c>
      <c r="I2479" s="1" t="str">
        <f t="shared" si="4988"/>
        <v>0</v>
      </c>
      <c r="J2479" s="1" t="str">
        <f t="shared" si="4980"/>
        <v>1</v>
      </c>
      <c r="K2479" s="1" t="str">
        <f t="shared" ref="K2479:P2479" si="4989">"0"</f>
        <v>0</v>
      </c>
      <c r="L2479" s="1" t="str">
        <f t="shared" si="4989"/>
        <v>0</v>
      </c>
      <c r="M2479" s="1" t="str">
        <f t="shared" si="4989"/>
        <v>0</v>
      </c>
      <c r="N2479" s="1" t="str">
        <f t="shared" si="4989"/>
        <v>0</v>
      </c>
      <c r="O2479" s="1" t="str">
        <f t="shared" si="4989"/>
        <v>0</v>
      </c>
      <c r="P2479" s="1" t="str">
        <f t="shared" si="4989"/>
        <v>0</v>
      </c>
      <c r="Q2479" s="1" t="str">
        <f t="shared" si="4899"/>
        <v>0.0070</v>
      </c>
      <c r="R2479" s="1" t="s">
        <v>29</v>
      </c>
      <c r="S2479" s="1">
        <v>-0.0014</v>
      </c>
      <c r="T2479" s="1" t="str">
        <f t="shared" si="4900"/>
        <v>0</v>
      </c>
      <c r="U2479" s="1" t="str">
        <f t="shared" ref="U2479:U2482" si="4990">"0.0056"</f>
        <v>0.0056</v>
      </c>
    </row>
    <row r="2480" s="1" customFormat="1" spans="1:21">
      <c r="A2480" s="1" t="str">
        <f>"4601992043984"</f>
        <v>4601992043984</v>
      </c>
      <c r="B2480" s="1" t="s">
        <v>2504</v>
      </c>
      <c r="C2480" s="1" t="s">
        <v>24</v>
      </c>
      <c r="D2480" s="1" t="str">
        <f t="shared" si="4896"/>
        <v>2021</v>
      </c>
      <c r="E2480" s="1" t="str">
        <f>"36.27"</f>
        <v>36.27</v>
      </c>
      <c r="F2480" s="1" t="str">
        <f t="shared" ref="F2480:I2480" si="4991">"0"</f>
        <v>0</v>
      </c>
      <c r="G2480" s="1" t="str">
        <f t="shared" si="4991"/>
        <v>0</v>
      </c>
      <c r="H2480" s="1" t="str">
        <f t="shared" si="4991"/>
        <v>0</v>
      </c>
      <c r="I2480" s="1" t="str">
        <f t="shared" si="4991"/>
        <v>0</v>
      </c>
      <c r="J2480" s="1" t="str">
        <f>"3"</f>
        <v>3</v>
      </c>
      <c r="K2480" s="1" t="str">
        <f t="shared" ref="K2480:P2480" si="4992">"0"</f>
        <v>0</v>
      </c>
      <c r="L2480" s="1" t="str">
        <f t="shared" si="4992"/>
        <v>0</v>
      </c>
      <c r="M2480" s="1" t="str">
        <f t="shared" si="4992"/>
        <v>0</v>
      </c>
      <c r="N2480" s="1" t="str">
        <f t="shared" si="4992"/>
        <v>0</v>
      </c>
      <c r="O2480" s="1" t="str">
        <f t="shared" si="4992"/>
        <v>0</v>
      </c>
      <c r="P2480" s="1" t="str">
        <f t="shared" si="4992"/>
        <v>0</v>
      </c>
      <c r="Q2480" s="1" t="str">
        <f t="shared" si="4899"/>
        <v>0.0070</v>
      </c>
      <c r="R2480" s="1" t="s">
        <v>29</v>
      </c>
      <c r="S2480" s="1">
        <v>-0.0014</v>
      </c>
      <c r="T2480" s="1" t="str">
        <f t="shared" si="4900"/>
        <v>0</v>
      </c>
      <c r="U2480" s="1" t="str">
        <f t="shared" si="4990"/>
        <v>0.0056</v>
      </c>
    </row>
    <row r="2481" s="1" customFormat="1" spans="1:21">
      <c r="A2481" s="1" t="str">
        <f>"4601992044075"</f>
        <v>4601992044075</v>
      </c>
      <c r="B2481" s="1" t="s">
        <v>2505</v>
      </c>
      <c r="C2481" s="1" t="s">
        <v>24</v>
      </c>
      <c r="D2481" s="1" t="str">
        <f t="shared" si="4896"/>
        <v>2021</v>
      </c>
      <c r="E2481" s="1" t="str">
        <f t="shared" ref="E2481:E2486" si="4993">"12.09"</f>
        <v>12.09</v>
      </c>
      <c r="F2481" s="1" t="str">
        <f t="shared" ref="F2481:I2481" si="4994">"0"</f>
        <v>0</v>
      </c>
      <c r="G2481" s="1" t="str">
        <f t="shared" si="4994"/>
        <v>0</v>
      </c>
      <c r="H2481" s="1" t="str">
        <f t="shared" si="4994"/>
        <v>0</v>
      </c>
      <c r="I2481" s="1" t="str">
        <f t="shared" si="4994"/>
        <v>0</v>
      </c>
      <c r="J2481" s="1" t="str">
        <f t="shared" ref="J2481:J2486" si="4995">"1"</f>
        <v>1</v>
      </c>
      <c r="K2481" s="1" t="str">
        <f t="shared" ref="K2481:P2481" si="4996">"0"</f>
        <v>0</v>
      </c>
      <c r="L2481" s="1" t="str">
        <f t="shared" si="4996"/>
        <v>0</v>
      </c>
      <c r="M2481" s="1" t="str">
        <f t="shared" si="4996"/>
        <v>0</v>
      </c>
      <c r="N2481" s="1" t="str">
        <f t="shared" si="4996"/>
        <v>0</v>
      </c>
      <c r="O2481" s="1" t="str">
        <f t="shared" si="4996"/>
        <v>0</v>
      </c>
      <c r="P2481" s="1" t="str">
        <f t="shared" si="4996"/>
        <v>0</v>
      </c>
      <c r="Q2481" s="1" t="str">
        <f t="shared" si="4899"/>
        <v>0.0070</v>
      </c>
      <c r="R2481" s="1" t="s">
        <v>29</v>
      </c>
      <c r="S2481" s="1">
        <v>-0.0014</v>
      </c>
      <c r="T2481" s="1" t="str">
        <f t="shared" si="4900"/>
        <v>0</v>
      </c>
      <c r="U2481" s="1" t="str">
        <f t="shared" si="4990"/>
        <v>0.0056</v>
      </c>
    </row>
    <row r="2482" s="1" customFormat="1" spans="1:21">
      <c r="A2482" s="1" t="str">
        <f>"4601992044060"</f>
        <v>4601992044060</v>
      </c>
      <c r="B2482" s="1" t="s">
        <v>2506</v>
      </c>
      <c r="C2482" s="1" t="s">
        <v>24</v>
      </c>
      <c r="D2482" s="1" t="str">
        <f t="shared" si="4896"/>
        <v>2021</v>
      </c>
      <c r="E2482" s="1" t="str">
        <f t="shared" si="4993"/>
        <v>12.09</v>
      </c>
      <c r="F2482" s="1" t="str">
        <f t="shared" ref="F2482:I2482" si="4997">"0"</f>
        <v>0</v>
      </c>
      <c r="G2482" s="1" t="str">
        <f t="shared" si="4997"/>
        <v>0</v>
      </c>
      <c r="H2482" s="1" t="str">
        <f t="shared" si="4997"/>
        <v>0</v>
      </c>
      <c r="I2482" s="1" t="str">
        <f t="shared" si="4997"/>
        <v>0</v>
      </c>
      <c r="J2482" s="1" t="str">
        <f t="shared" si="4995"/>
        <v>1</v>
      </c>
      <c r="K2482" s="1" t="str">
        <f t="shared" ref="K2482:P2482" si="4998">"0"</f>
        <v>0</v>
      </c>
      <c r="L2482" s="1" t="str">
        <f t="shared" si="4998"/>
        <v>0</v>
      </c>
      <c r="M2482" s="1" t="str">
        <f t="shared" si="4998"/>
        <v>0</v>
      </c>
      <c r="N2482" s="1" t="str">
        <f t="shared" si="4998"/>
        <v>0</v>
      </c>
      <c r="O2482" s="1" t="str">
        <f t="shared" si="4998"/>
        <v>0</v>
      </c>
      <c r="P2482" s="1" t="str">
        <f t="shared" si="4998"/>
        <v>0</v>
      </c>
      <c r="Q2482" s="1" t="str">
        <f t="shared" si="4899"/>
        <v>0.0070</v>
      </c>
      <c r="R2482" s="1" t="s">
        <v>29</v>
      </c>
      <c r="S2482" s="1">
        <v>-0.0014</v>
      </c>
      <c r="T2482" s="1" t="str">
        <f t="shared" si="4900"/>
        <v>0</v>
      </c>
      <c r="U2482" s="1" t="str">
        <f t="shared" si="4990"/>
        <v>0.0056</v>
      </c>
    </row>
    <row r="2483" s="1" customFormat="1" spans="1:21">
      <c r="A2483" s="1" t="str">
        <f>"4601992044123"</f>
        <v>4601992044123</v>
      </c>
      <c r="B2483" s="1" t="s">
        <v>2507</v>
      </c>
      <c r="C2483" s="1" t="s">
        <v>24</v>
      </c>
      <c r="D2483" s="1" t="str">
        <f t="shared" si="4896"/>
        <v>2021</v>
      </c>
      <c r="E2483" s="1" t="str">
        <f t="shared" ref="E2483:P2483" si="4999">"0"</f>
        <v>0</v>
      </c>
      <c r="F2483" s="1" t="str">
        <f t="shared" si="4999"/>
        <v>0</v>
      </c>
      <c r="G2483" s="1" t="str">
        <f t="shared" si="4999"/>
        <v>0</v>
      </c>
      <c r="H2483" s="1" t="str">
        <f t="shared" si="4999"/>
        <v>0</v>
      </c>
      <c r="I2483" s="1" t="str">
        <f t="shared" si="4999"/>
        <v>0</v>
      </c>
      <c r="J2483" s="1" t="str">
        <f t="shared" si="4999"/>
        <v>0</v>
      </c>
      <c r="K2483" s="1" t="str">
        <f t="shared" si="4999"/>
        <v>0</v>
      </c>
      <c r="L2483" s="1" t="str">
        <f t="shared" si="4999"/>
        <v>0</v>
      </c>
      <c r="M2483" s="1" t="str">
        <f t="shared" si="4999"/>
        <v>0</v>
      </c>
      <c r="N2483" s="1" t="str">
        <f t="shared" si="4999"/>
        <v>0</v>
      </c>
      <c r="O2483" s="1" t="str">
        <f t="shared" si="4999"/>
        <v>0</v>
      </c>
      <c r="P2483" s="1" t="str">
        <f t="shared" si="4999"/>
        <v>0</v>
      </c>
      <c r="Q2483" s="1" t="str">
        <f t="shared" si="4899"/>
        <v>0.0070</v>
      </c>
      <c r="R2483" s="1" t="s">
        <v>25</v>
      </c>
      <c r="T2483" s="1" t="str">
        <f t="shared" si="4900"/>
        <v>0</v>
      </c>
      <c r="U2483" s="1" t="str">
        <f>"0.0070"</f>
        <v>0.0070</v>
      </c>
    </row>
    <row r="2484" s="1" customFormat="1" spans="1:21">
      <c r="A2484" s="1" t="str">
        <f>"4601992044088"</f>
        <v>4601992044088</v>
      </c>
      <c r="B2484" s="1" t="s">
        <v>2508</v>
      </c>
      <c r="C2484" s="1" t="s">
        <v>24</v>
      </c>
      <c r="D2484" s="1" t="str">
        <f t="shared" si="4896"/>
        <v>2021</v>
      </c>
      <c r="E2484" s="1" t="str">
        <f t="shared" ref="E2484:G2484" si="5000">"0"</f>
        <v>0</v>
      </c>
      <c r="F2484" s="1" t="str">
        <f t="shared" si="5000"/>
        <v>0</v>
      </c>
      <c r="G2484" s="1" t="str">
        <f t="shared" si="5000"/>
        <v>0</v>
      </c>
      <c r="H2484" s="1" t="str">
        <f>"24.18"</f>
        <v>24.18</v>
      </c>
      <c r="I2484" s="1" t="str">
        <f t="shared" ref="I2484:P2484" si="5001">"0"</f>
        <v>0</v>
      </c>
      <c r="J2484" s="1" t="str">
        <f t="shared" si="5001"/>
        <v>0</v>
      </c>
      <c r="K2484" s="1" t="str">
        <f t="shared" si="5001"/>
        <v>0</v>
      </c>
      <c r="L2484" s="1" t="str">
        <f t="shared" si="5001"/>
        <v>0</v>
      </c>
      <c r="M2484" s="1" t="str">
        <f t="shared" si="5001"/>
        <v>0</v>
      </c>
      <c r="N2484" s="1" t="str">
        <f t="shared" si="5001"/>
        <v>0</v>
      </c>
      <c r="O2484" s="1" t="str">
        <f t="shared" si="5001"/>
        <v>0</v>
      </c>
      <c r="P2484" s="1" t="str">
        <f t="shared" si="5001"/>
        <v>0</v>
      </c>
      <c r="Q2484" s="1" t="str">
        <f t="shared" si="4899"/>
        <v>0.0070</v>
      </c>
      <c r="R2484" s="1" t="s">
        <v>25</v>
      </c>
      <c r="T2484" s="1" t="str">
        <f t="shared" si="4900"/>
        <v>0</v>
      </c>
      <c r="U2484" s="1" t="str">
        <f>"0.0070"</f>
        <v>0.0070</v>
      </c>
    </row>
    <row r="2485" s="1" customFormat="1" spans="1:21">
      <c r="A2485" s="1" t="str">
        <f>"4601992044106"</f>
        <v>4601992044106</v>
      </c>
      <c r="B2485" s="1" t="s">
        <v>2509</v>
      </c>
      <c r="C2485" s="1" t="s">
        <v>24</v>
      </c>
      <c r="D2485" s="1" t="str">
        <f t="shared" si="4896"/>
        <v>2021</v>
      </c>
      <c r="E2485" s="1" t="str">
        <f t="shared" si="4993"/>
        <v>12.09</v>
      </c>
      <c r="F2485" s="1" t="str">
        <f t="shared" ref="F2485:I2485" si="5002">"0"</f>
        <v>0</v>
      </c>
      <c r="G2485" s="1" t="str">
        <f t="shared" si="5002"/>
        <v>0</v>
      </c>
      <c r="H2485" s="1" t="str">
        <f t="shared" si="5002"/>
        <v>0</v>
      </c>
      <c r="I2485" s="1" t="str">
        <f t="shared" si="5002"/>
        <v>0</v>
      </c>
      <c r="J2485" s="1" t="str">
        <f t="shared" si="4995"/>
        <v>1</v>
      </c>
      <c r="K2485" s="1" t="str">
        <f t="shared" ref="K2485:P2485" si="5003">"0"</f>
        <v>0</v>
      </c>
      <c r="L2485" s="1" t="str">
        <f t="shared" si="5003"/>
        <v>0</v>
      </c>
      <c r="M2485" s="1" t="str">
        <f t="shared" si="5003"/>
        <v>0</v>
      </c>
      <c r="N2485" s="1" t="str">
        <f t="shared" si="5003"/>
        <v>0</v>
      </c>
      <c r="O2485" s="1" t="str">
        <f t="shared" si="5003"/>
        <v>0</v>
      </c>
      <c r="P2485" s="1" t="str">
        <f t="shared" si="5003"/>
        <v>0</v>
      </c>
      <c r="Q2485" s="1" t="str">
        <f t="shared" si="4899"/>
        <v>0.0070</v>
      </c>
      <c r="R2485" s="1" t="s">
        <v>29</v>
      </c>
      <c r="S2485" s="1">
        <v>-0.0014</v>
      </c>
      <c r="T2485" s="1" t="str">
        <f t="shared" si="4900"/>
        <v>0</v>
      </c>
      <c r="U2485" s="1" t="str">
        <f t="shared" ref="U2485:U2488" si="5004">"0.0056"</f>
        <v>0.0056</v>
      </c>
    </row>
    <row r="2486" s="1" customFormat="1" spans="1:21">
      <c r="A2486" s="1" t="str">
        <f>"4601992044151"</f>
        <v>4601992044151</v>
      </c>
      <c r="B2486" s="1" t="s">
        <v>2510</v>
      </c>
      <c r="C2486" s="1" t="s">
        <v>24</v>
      </c>
      <c r="D2486" s="1" t="str">
        <f t="shared" si="4896"/>
        <v>2021</v>
      </c>
      <c r="E2486" s="1" t="str">
        <f t="shared" si="4993"/>
        <v>12.09</v>
      </c>
      <c r="F2486" s="1" t="str">
        <f t="shared" ref="F2486:I2486" si="5005">"0"</f>
        <v>0</v>
      </c>
      <c r="G2486" s="1" t="str">
        <f t="shared" si="5005"/>
        <v>0</v>
      </c>
      <c r="H2486" s="1" t="str">
        <f t="shared" si="5005"/>
        <v>0</v>
      </c>
      <c r="I2486" s="1" t="str">
        <f t="shared" si="5005"/>
        <v>0</v>
      </c>
      <c r="J2486" s="1" t="str">
        <f t="shared" si="4995"/>
        <v>1</v>
      </c>
      <c r="K2486" s="1" t="str">
        <f t="shared" ref="K2486:P2486" si="5006">"0"</f>
        <v>0</v>
      </c>
      <c r="L2486" s="1" t="str">
        <f t="shared" si="5006"/>
        <v>0</v>
      </c>
      <c r="M2486" s="1" t="str">
        <f t="shared" si="5006"/>
        <v>0</v>
      </c>
      <c r="N2486" s="1" t="str">
        <f t="shared" si="5006"/>
        <v>0</v>
      </c>
      <c r="O2486" s="1" t="str">
        <f t="shared" si="5006"/>
        <v>0</v>
      </c>
      <c r="P2486" s="1" t="str">
        <f t="shared" si="5006"/>
        <v>0</v>
      </c>
      <c r="Q2486" s="1" t="str">
        <f t="shared" si="4899"/>
        <v>0.0070</v>
      </c>
      <c r="R2486" s="1" t="s">
        <v>29</v>
      </c>
      <c r="S2486" s="1">
        <v>-0.0014</v>
      </c>
      <c r="T2486" s="1" t="str">
        <f t="shared" si="4900"/>
        <v>0</v>
      </c>
      <c r="U2486" s="1" t="str">
        <f t="shared" si="5004"/>
        <v>0.0056</v>
      </c>
    </row>
    <row r="2487" s="1" customFormat="1" spans="1:21">
      <c r="A2487" s="1" t="str">
        <f>"4601992044132"</f>
        <v>4601992044132</v>
      </c>
      <c r="B2487" s="1" t="s">
        <v>2511</v>
      </c>
      <c r="C2487" s="1" t="s">
        <v>24</v>
      </c>
      <c r="D2487" s="1" t="str">
        <f t="shared" si="4896"/>
        <v>2021</v>
      </c>
      <c r="E2487" s="1" t="str">
        <f>"24.50"</f>
        <v>24.50</v>
      </c>
      <c r="F2487" s="1" t="str">
        <f t="shared" ref="F2487:I2487" si="5007">"0"</f>
        <v>0</v>
      </c>
      <c r="G2487" s="1" t="str">
        <f t="shared" si="5007"/>
        <v>0</v>
      </c>
      <c r="H2487" s="1" t="str">
        <f t="shared" si="5007"/>
        <v>0</v>
      </c>
      <c r="I2487" s="1" t="str">
        <f t="shared" si="5007"/>
        <v>0</v>
      </c>
      <c r="J2487" s="1" t="str">
        <f>"2"</f>
        <v>2</v>
      </c>
      <c r="K2487" s="1" t="str">
        <f t="shared" ref="K2487:P2487" si="5008">"0"</f>
        <v>0</v>
      </c>
      <c r="L2487" s="1" t="str">
        <f t="shared" si="5008"/>
        <v>0</v>
      </c>
      <c r="M2487" s="1" t="str">
        <f t="shared" si="5008"/>
        <v>0</v>
      </c>
      <c r="N2487" s="1" t="str">
        <f t="shared" si="5008"/>
        <v>0</v>
      </c>
      <c r="O2487" s="1" t="str">
        <f t="shared" si="5008"/>
        <v>0</v>
      </c>
      <c r="P2487" s="1" t="str">
        <f t="shared" si="5008"/>
        <v>0</v>
      </c>
      <c r="Q2487" s="1" t="str">
        <f t="shared" si="4899"/>
        <v>0.0070</v>
      </c>
      <c r="R2487" s="1" t="s">
        <v>29</v>
      </c>
      <c r="S2487" s="1">
        <v>-0.0014</v>
      </c>
      <c r="T2487" s="1" t="str">
        <f t="shared" si="4900"/>
        <v>0</v>
      </c>
      <c r="U2487" s="1" t="str">
        <f t="shared" si="5004"/>
        <v>0.0056</v>
      </c>
    </row>
    <row r="2488" s="1" customFormat="1" spans="1:21">
      <c r="A2488" s="1" t="str">
        <f>"4601992044172"</f>
        <v>4601992044172</v>
      </c>
      <c r="B2488" s="1" t="s">
        <v>2512</v>
      </c>
      <c r="C2488" s="1" t="s">
        <v>24</v>
      </c>
      <c r="D2488" s="1" t="str">
        <f t="shared" si="4896"/>
        <v>2021</v>
      </c>
      <c r="E2488" s="1" t="str">
        <f>"12.09"</f>
        <v>12.09</v>
      </c>
      <c r="F2488" s="1" t="str">
        <f t="shared" ref="F2488:I2488" si="5009">"0"</f>
        <v>0</v>
      </c>
      <c r="G2488" s="1" t="str">
        <f t="shared" si="5009"/>
        <v>0</v>
      </c>
      <c r="H2488" s="1" t="str">
        <f t="shared" si="5009"/>
        <v>0</v>
      </c>
      <c r="I2488" s="1" t="str">
        <f t="shared" si="5009"/>
        <v>0</v>
      </c>
      <c r="J2488" s="1" t="str">
        <f>"1"</f>
        <v>1</v>
      </c>
      <c r="K2488" s="1" t="str">
        <f t="shared" ref="K2488:P2488" si="5010">"0"</f>
        <v>0</v>
      </c>
      <c r="L2488" s="1" t="str">
        <f t="shared" si="5010"/>
        <v>0</v>
      </c>
      <c r="M2488" s="1" t="str">
        <f t="shared" si="5010"/>
        <v>0</v>
      </c>
      <c r="N2488" s="1" t="str">
        <f t="shared" si="5010"/>
        <v>0</v>
      </c>
      <c r="O2488" s="1" t="str">
        <f t="shared" si="5010"/>
        <v>0</v>
      </c>
      <c r="P2488" s="1" t="str">
        <f t="shared" si="5010"/>
        <v>0</v>
      </c>
      <c r="Q2488" s="1" t="str">
        <f t="shared" si="4899"/>
        <v>0.0070</v>
      </c>
      <c r="R2488" s="1" t="s">
        <v>29</v>
      </c>
      <c r="S2488" s="1">
        <v>-0.0014</v>
      </c>
      <c r="T2488" s="1" t="str">
        <f t="shared" si="4900"/>
        <v>0</v>
      </c>
      <c r="U2488" s="1" t="str">
        <f t="shared" si="5004"/>
        <v>0.0056</v>
      </c>
    </row>
    <row r="2489" s="1" customFormat="1" spans="1:21">
      <c r="A2489" s="1" t="str">
        <f>"4601992044191"</f>
        <v>4601992044191</v>
      </c>
      <c r="B2489" s="1" t="s">
        <v>2513</v>
      </c>
      <c r="C2489" s="1" t="s">
        <v>24</v>
      </c>
      <c r="D2489" s="1" t="str">
        <f t="shared" si="4896"/>
        <v>2021</v>
      </c>
      <c r="E2489" s="1" t="str">
        <f t="shared" ref="E2489:P2489" si="5011">"0"</f>
        <v>0</v>
      </c>
      <c r="F2489" s="1" t="str">
        <f t="shared" si="5011"/>
        <v>0</v>
      </c>
      <c r="G2489" s="1" t="str">
        <f t="shared" si="5011"/>
        <v>0</v>
      </c>
      <c r="H2489" s="1" t="str">
        <f t="shared" si="5011"/>
        <v>0</v>
      </c>
      <c r="I2489" s="1" t="str">
        <f t="shared" si="5011"/>
        <v>0</v>
      </c>
      <c r="J2489" s="1" t="str">
        <f t="shared" si="5011"/>
        <v>0</v>
      </c>
      <c r="K2489" s="1" t="str">
        <f t="shared" si="5011"/>
        <v>0</v>
      </c>
      <c r="L2489" s="1" t="str">
        <f t="shared" si="5011"/>
        <v>0</v>
      </c>
      <c r="M2489" s="1" t="str">
        <f t="shared" si="5011"/>
        <v>0</v>
      </c>
      <c r="N2489" s="1" t="str">
        <f t="shared" si="5011"/>
        <v>0</v>
      </c>
      <c r="O2489" s="1" t="str">
        <f t="shared" si="5011"/>
        <v>0</v>
      </c>
      <c r="P2489" s="1" t="str">
        <f t="shared" si="5011"/>
        <v>0</v>
      </c>
      <c r="Q2489" s="1" t="str">
        <f t="shared" si="4899"/>
        <v>0.0070</v>
      </c>
      <c r="R2489" s="1" t="s">
        <v>25</v>
      </c>
      <c r="T2489" s="1" t="str">
        <f t="shared" si="4900"/>
        <v>0</v>
      </c>
      <c r="U2489" s="1" t="str">
        <f>"0.0070"</f>
        <v>0.0070</v>
      </c>
    </row>
    <row r="2490" s="1" customFormat="1" spans="1:21">
      <c r="A2490" s="1" t="str">
        <f>"4601992044264"</f>
        <v>4601992044264</v>
      </c>
      <c r="B2490" s="1" t="s">
        <v>2514</v>
      </c>
      <c r="C2490" s="1" t="s">
        <v>24</v>
      </c>
      <c r="D2490" s="1" t="str">
        <f t="shared" si="4896"/>
        <v>2021</v>
      </c>
      <c r="E2490" s="1" t="str">
        <f>"95.84"</f>
        <v>95.84</v>
      </c>
      <c r="F2490" s="1" t="str">
        <f t="shared" ref="F2490:I2490" si="5012">"0"</f>
        <v>0</v>
      </c>
      <c r="G2490" s="1" t="str">
        <f t="shared" si="5012"/>
        <v>0</v>
      </c>
      <c r="H2490" s="1" t="str">
        <f t="shared" si="5012"/>
        <v>0</v>
      </c>
      <c r="I2490" s="1" t="str">
        <f t="shared" si="5012"/>
        <v>0</v>
      </c>
      <c r="J2490" s="1" t="str">
        <f>"7"</f>
        <v>7</v>
      </c>
      <c r="K2490" s="1" t="str">
        <f t="shared" ref="K2490:P2490" si="5013">"0"</f>
        <v>0</v>
      </c>
      <c r="L2490" s="1" t="str">
        <f t="shared" si="5013"/>
        <v>0</v>
      </c>
      <c r="M2490" s="1" t="str">
        <f t="shared" si="5013"/>
        <v>0</v>
      </c>
      <c r="N2490" s="1" t="str">
        <f t="shared" si="5013"/>
        <v>0</v>
      </c>
      <c r="O2490" s="1" t="str">
        <f t="shared" si="5013"/>
        <v>0</v>
      </c>
      <c r="P2490" s="1" t="str">
        <f t="shared" si="5013"/>
        <v>0</v>
      </c>
      <c r="Q2490" s="1" t="str">
        <f t="shared" si="4899"/>
        <v>0.0070</v>
      </c>
      <c r="R2490" s="1" t="s">
        <v>29</v>
      </c>
      <c r="S2490" s="1">
        <v>-0.0014</v>
      </c>
      <c r="T2490" s="1" t="str">
        <f t="shared" si="4900"/>
        <v>0</v>
      </c>
      <c r="U2490" s="1" t="str">
        <f t="shared" ref="U2490:U2493" si="5014">"0.0056"</f>
        <v>0.0056</v>
      </c>
    </row>
    <row r="2491" s="1" customFormat="1" spans="1:21">
      <c r="A2491" s="1" t="str">
        <f>"4601992044242"</f>
        <v>4601992044242</v>
      </c>
      <c r="B2491" s="1" t="s">
        <v>2515</v>
      </c>
      <c r="C2491" s="1" t="s">
        <v>24</v>
      </c>
      <c r="D2491" s="1" t="str">
        <f t="shared" si="4896"/>
        <v>2021</v>
      </c>
      <c r="E2491" s="1" t="str">
        <f>"36.16"</f>
        <v>36.16</v>
      </c>
      <c r="F2491" s="1" t="str">
        <f t="shared" ref="F2491:I2491" si="5015">"0"</f>
        <v>0</v>
      </c>
      <c r="G2491" s="1" t="str">
        <f t="shared" si="5015"/>
        <v>0</v>
      </c>
      <c r="H2491" s="1" t="str">
        <f t="shared" si="5015"/>
        <v>0</v>
      </c>
      <c r="I2491" s="1" t="str">
        <f t="shared" si="5015"/>
        <v>0</v>
      </c>
      <c r="J2491" s="1" t="str">
        <f>"3"</f>
        <v>3</v>
      </c>
      <c r="K2491" s="1" t="str">
        <f t="shared" ref="K2491:P2491" si="5016">"0"</f>
        <v>0</v>
      </c>
      <c r="L2491" s="1" t="str">
        <f t="shared" si="5016"/>
        <v>0</v>
      </c>
      <c r="M2491" s="1" t="str">
        <f t="shared" si="5016"/>
        <v>0</v>
      </c>
      <c r="N2491" s="1" t="str">
        <f t="shared" si="5016"/>
        <v>0</v>
      </c>
      <c r="O2491" s="1" t="str">
        <f t="shared" si="5016"/>
        <v>0</v>
      </c>
      <c r="P2491" s="1" t="str">
        <f t="shared" si="5016"/>
        <v>0</v>
      </c>
      <c r="Q2491" s="1" t="str">
        <f t="shared" si="4899"/>
        <v>0.0070</v>
      </c>
      <c r="R2491" s="1" t="s">
        <v>29</v>
      </c>
      <c r="S2491" s="1">
        <v>-0.0014</v>
      </c>
      <c r="T2491" s="1" t="str">
        <f t="shared" si="4900"/>
        <v>0</v>
      </c>
      <c r="U2491" s="1" t="str">
        <f t="shared" si="5014"/>
        <v>0.0056</v>
      </c>
    </row>
    <row r="2492" s="1" customFormat="1" spans="1:21">
      <c r="A2492" s="1" t="str">
        <f>"4601992044252"</f>
        <v>4601992044252</v>
      </c>
      <c r="B2492" s="1" t="s">
        <v>2516</v>
      </c>
      <c r="C2492" s="1" t="s">
        <v>24</v>
      </c>
      <c r="D2492" s="1" t="str">
        <f t="shared" si="4896"/>
        <v>2021</v>
      </c>
      <c r="E2492" s="1" t="str">
        <f>"12.09"</f>
        <v>12.09</v>
      </c>
      <c r="F2492" s="1" t="str">
        <f t="shared" ref="F2492:I2492" si="5017">"0"</f>
        <v>0</v>
      </c>
      <c r="G2492" s="1" t="str">
        <f t="shared" si="5017"/>
        <v>0</v>
      </c>
      <c r="H2492" s="1" t="str">
        <f t="shared" si="5017"/>
        <v>0</v>
      </c>
      <c r="I2492" s="1" t="str">
        <f t="shared" si="5017"/>
        <v>0</v>
      </c>
      <c r="J2492" s="1" t="str">
        <f>"1"</f>
        <v>1</v>
      </c>
      <c r="K2492" s="1" t="str">
        <f t="shared" ref="K2492:P2492" si="5018">"0"</f>
        <v>0</v>
      </c>
      <c r="L2492" s="1" t="str">
        <f t="shared" si="5018"/>
        <v>0</v>
      </c>
      <c r="M2492" s="1" t="str">
        <f t="shared" si="5018"/>
        <v>0</v>
      </c>
      <c r="N2492" s="1" t="str">
        <f t="shared" si="5018"/>
        <v>0</v>
      </c>
      <c r="O2492" s="1" t="str">
        <f t="shared" si="5018"/>
        <v>0</v>
      </c>
      <c r="P2492" s="1" t="str">
        <f t="shared" si="5018"/>
        <v>0</v>
      </c>
      <c r="Q2492" s="1" t="str">
        <f t="shared" si="4899"/>
        <v>0.0070</v>
      </c>
      <c r="R2492" s="1" t="s">
        <v>29</v>
      </c>
      <c r="S2492" s="1">
        <v>-0.0014</v>
      </c>
      <c r="T2492" s="1" t="str">
        <f t="shared" si="4900"/>
        <v>0</v>
      </c>
      <c r="U2492" s="1" t="str">
        <f t="shared" si="5014"/>
        <v>0.0056</v>
      </c>
    </row>
    <row r="2493" s="1" customFormat="1" spans="1:21">
      <c r="A2493" s="1" t="str">
        <f>"4601992044284"</f>
        <v>4601992044284</v>
      </c>
      <c r="B2493" s="1" t="s">
        <v>2517</v>
      </c>
      <c r="C2493" s="1" t="s">
        <v>24</v>
      </c>
      <c r="D2493" s="1" t="str">
        <f t="shared" si="4896"/>
        <v>2021</v>
      </c>
      <c r="E2493" s="1" t="str">
        <f>"24.10"</f>
        <v>24.10</v>
      </c>
      <c r="F2493" s="1" t="str">
        <f t="shared" ref="F2493:I2493" si="5019">"0"</f>
        <v>0</v>
      </c>
      <c r="G2493" s="1" t="str">
        <f t="shared" si="5019"/>
        <v>0</v>
      </c>
      <c r="H2493" s="1" t="str">
        <f t="shared" si="5019"/>
        <v>0</v>
      </c>
      <c r="I2493" s="1" t="str">
        <f t="shared" si="5019"/>
        <v>0</v>
      </c>
      <c r="J2493" s="1" t="str">
        <f>"2"</f>
        <v>2</v>
      </c>
      <c r="K2493" s="1" t="str">
        <f t="shared" ref="K2493:P2493" si="5020">"0"</f>
        <v>0</v>
      </c>
      <c r="L2493" s="1" t="str">
        <f t="shared" si="5020"/>
        <v>0</v>
      </c>
      <c r="M2493" s="1" t="str">
        <f t="shared" si="5020"/>
        <v>0</v>
      </c>
      <c r="N2493" s="1" t="str">
        <f t="shared" si="5020"/>
        <v>0</v>
      </c>
      <c r="O2493" s="1" t="str">
        <f t="shared" si="5020"/>
        <v>0</v>
      </c>
      <c r="P2493" s="1" t="str">
        <f t="shared" si="5020"/>
        <v>0</v>
      </c>
      <c r="Q2493" s="1" t="str">
        <f t="shared" si="4899"/>
        <v>0.0070</v>
      </c>
      <c r="R2493" s="1" t="s">
        <v>29</v>
      </c>
      <c r="S2493" s="1">
        <v>-0.0014</v>
      </c>
      <c r="T2493" s="1" t="str">
        <f t="shared" si="4900"/>
        <v>0</v>
      </c>
      <c r="U2493" s="1" t="str">
        <f t="shared" si="5014"/>
        <v>0.0056</v>
      </c>
    </row>
    <row r="2494" s="1" customFormat="1" spans="1:21">
      <c r="A2494" s="1" t="str">
        <f>"4601992044306"</f>
        <v>4601992044306</v>
      </c>
      <c r="B2494" s="1" t="s">
        <v>2518</v>
      </c>
      <c r="C2494" s="1" t="s">
        <v>24</v>
      </c>
      <c r="D2494" s="1" t="str">
        <f t="shared" si="4896"/>
        <v>2021</v>
      </c>
      <c r="E2494" s="1" t="str">
        <f t="shared" ref="E2494:P2494" si="5021">"0"</f>
        <v>0</v>
      </c>
      <c r="F2494" s="1" t="str">
        <f t="shared" si="5021"/>
        <v>0</v>
      </c>
      <c r="G2494" s="1" t="str">
        <f t="shared" si="5021"/>
        <v>0</v>
      </c>
      <c r="H2494" s="1" t="str">
        <f t="shared" si="5021"/>
        <v>0</v>
      </c>
      <c r="I2494" s="1" t="str">
        <f t="shared" si="5021"/>
        <v>0</v>
      </c>
      <c r="J2494" s="1" t="str">
        <f t="shared" si="5021"/>
        <v>0</v>
      </c>
      <c r="K2494" s="1" t="str">
        <f t="shared" si="5021"/>
        <v>0</v>
      </c>
      <c r="L2494" s="1" t="str">
        <f t="shared" si="5021"/>
        <v>0</v>
      </c>
      <c r="M2494" s="1" t="str">
        <f t="shared" si="5021"/>
        <v>0</v>
      </c>
      <c r="N2494" s="1" t="str">
        <f t="shared" si="5021"/>
        <v>0</v>
      </c>
      <c r="O2494" s="1" t="str">
        <f t="shared" si="5021"/>
        <v>0</v>
      </c>
      <c r="P2494" s="1" t="str">
        <f t="shared" si="5021"/>
        <v>0</v>
      </c>
      <c r="Q2494" s="1" t="str">
        <f t="shared" si="4899"/>
        <v>0.0070</v>
      </c>
      <c r="R2494" s="1" t="s">
        <v>25</v>
      </c>
      <c r="T2494" s="1" t="str">
        <f t="shared" si="4900"/>
        <v>0</v>
      </c>
      <c r="U2494" s="1" t="str">
        <f t="shared" ref="U2494:U2499" si="5022">"0.0070"</f>
        <v>0.0070</v>
      </c>
    </row>
    <row r="2495" s="1" customFormat="1" spans="1:21">
      <c r="A2495" s="1" t="str">
        <f>"4601992044313"</f>
        <v>4601992044313</v>
      </c>
      <c r="B2495" s="1" t="s">
        <v>2519</v>
      </c>
      <c r="C2495" s="1" t="s">
        <v>24</v>
      </c>
      <c r="D2495" s="1" t="str">
        <f t="shared" si="4896"/>
        <v>2021</v>
      </c>
      <c r="E2495" s="1" t="str">
        <f>"12.09"</f>
        <v>12.09</v>
      </c>
      <c r="F2495" s="1" t="str">
        <f t="shared" ref="F2495:I2495" si="5023">"0"</f>
        <v>0</v>
      </c>
      <c r="G2495" s="1" t="str">
        <f t="shared" si="5023"/>
        <v>0</v>
      </c>
      <c r="H2495" s="1" t="str">
        <f t="shared" si="5023"/>
        <v>0</v>
      </c>
      <c r="I2495" s="1" t="str">
        <f t="shared" si="5023"/>
        <v>0</v>
      </c>
      <c r="J2495" s="1" t="str">
        <f>"1"</f>
        <v>1</v>
      </c>
      <c r="K2495" s="1" t="str">
        <f t="shared" ref="K2495:P2495" si="5024">"0"</f>
        <v>0</v>
      </c>
      <c r="L2495" s="1" t="str">
        <f t="shared" si="5024"/>
        <v>0</v>
      </c>
      <c r="M2495" s="1" t="str">
        <f t="shared" si="5024"/>
        <v>0</v>
      </c>
      <c r="N2495" s="1" t="str">
        <f t="shared" si="5024"/>
        <v>0</v>
      </c>
      <c r="O2495" s="1" t="str">
        <f t="shared" si="5024"/>
        <v>0</v>
      </c>
      <c r="P2495" s="1" t="str">
        <f t="shared" si="5024"/>
        <v>0</v>
      </c>
      <c r="Q2495" s="1" t="str">
        <f t="shared" si="4899"/>
        <v>0.0070</v>
      </c>
      <c r="R2495" s="1" t="s">
        <v>29</v>
      </c>
      <c r="S2495" s="1">
        <v>-0.0014</v>
      </c>
      <c r="T2495" s="1" t="str">
        <f t="shared" si="4900"/>
        <v>0</v>
      </c>
      <c r="U2495" s="1" t="str">
        <f t="shared" ref="U2495:U2500" si="5025">"0.0056"</f>
        <v>0.0056</v>
      </c>
    </row>
    <row r="2496" s="1" customFormat="1" spans="1:21">
      <c r="A2496" s="1" t="str">
        <f>"4601992044360"</f>
        <v>4601992044360</v>
      </c>
      <c r="B2496" s="1" t="s">
        <v>2520</v>
      </c>
      <c r="C2496" s="1" t="s">
        <v>24</v>
      </c>
      <c r="D2496" s="1" t="str">
        <f t="shared" si="4896"/>
        <v>2021</v>
      </c>
      <c r="E2496" s="1" t="str">
        <f t="shared" ref="E2496:P2496" si="5026">"0"</f>
        <v>0</v>
      </c>
      <c r="F2496" s="1" t="str">
        <f t="shared" si="5026"/>
        <v>0</v>
      </c>
      <c r="G2496" s="1" t="str">
        <f t="shared" si="5026"/>
        <v>0</v>
      </c>
      <c r="H2496" s="1" t="str">
        <f t="shared" si="5026"/>
        <v>0</v>
      </c>
      <c r="I2496" s="1" t="str">
        <f t="shared" si="5026"/>
        <v>0</v>
      </c>
      <c r="J2496" s="1" t="str">
        <f t="shared" si="5026"/>
        <v>0</v>
      </c>
      <c r="K2496" s="1" t="str">
        <f t="shared" si="5026"/>
        <v>0</v>
      </c>
      <c r="L2496" s="1" t="str">
        <f t="shared" si="5026"/>
        <v>0</v>
      </c>
      <c r="M2496" s="1" t="str">
        <f t="shared" si="5026"/>
        <v>0</v>
      </c>
      <c r="N2496" s="1" t="str">
        <f t="shared" si="5026"/>
        <v>0</v>
      </c>
      <c r="O2496" s="1" t="str">
        <f t="shared" si="5026"/>
        <v>0</v>
      </c>
      <c r="P2496" s="1" t="str">
        <f t="shared" si="5026"/>
        <v>0</v>
      </c>
      <c r="Q2496" s="1" t="str">
        <f t="shared" si="4899"/>
        <v>0.0070</v>
      </c>
      <c r="R2496" s="1" t="s">
        <v>25</v>
      </c>
      <c r="T2496" s="1" t="str">
        <f t="shared" si="4900"/>
        <v>0</v>
      </c>
      <c r="U2496" s="1" t="str">
        <f t="shared" si="5022"/>
        <v>0.0070</v>
      </c>
    </row>
    <row r="2497" s="1" customFormat="1" spans="1:21">
      <c r="A2497" s="1" t="str">
        <f>"4601992044326"</f>
        <v>4601992044326</v>
      </c>
      <c r="B2497" s="1" t="s">
        <v>2521</v>
      </c>
      <c r="C2497" s="1" t="s">
        <v>24</v>
      </c>
      <c r="D2497" s="1" t="str">
        <f t="shared" si="4896"/>
        <v>2021</v>
      </c>
      <c r="E2497" s="1" t="str">
        <f>"24.18"</f>
        <v>24.18</v>
      </c>
      <c r="F2497" s="1" t="str">
        <f t="shared" ref="F2497:I2497" si="5027">"0"</f>
        <v>0</v>
      </c>
      <c r="G2497" s="1" t="str">
        <f t="shared" si="5027"/>
        <v>0</v>
      </c>
      <c r="H2497" s="1" t="str">
        <f t="shared" si="5027"/>
        <v>0</v>
      </c>
      <c r="I2497" s="1" t="str">
        <f t="shared" si="5027"/>
        <v>0</v>
      </c>
      <c r="J2497" s="1" t="str">
        <f>"2"</f>
        <v>2</v>
      </c>
      <c r="K2497" s="1" t="str">
        <f t="shared" ref="K2497:P2497" si="5028">"0"</f>
        <v>0</v>
      </c>
      <c r="L2497" s="1" t="str">
        <f t="shared" si="5028"/>
        <v>0</v>
      </c>
      <c r="M2497" s="1" t="str">
        <f t="shared" si="5028"/>
        <v>0</v>
      </c>
      <c r="N2497" s="1" t="str">
        <f t="shared" si="5028"/>
        <v>0</v>
      </c>
      <c r="O2497" s="1" t="str">
        <f t="shared" si="5028"/>
        <v>0</v>
      </c>
      <c r="P2497" s="1" t="str">
        <f t="shared" si="5028"/>
        <v>0</v>
      </c>
      <c r="Q2497" s="1" t="str">
        <f t="shared" si="4899"/>
        <v>0.0070</v>
      </c>
      <c r="R2497" s="1" t="s">
        <v>29</v>
      </c>
      <c r="S2497" s="1">
        <v>-0.0014</v>
      </c>
      <c r="T2497" s="1" t="str">
        <f t="shared" si="4900"/>
        <v>0</v>
      </c>
      <c r="U2497" s="1" t="str">
        <f t="shared" si="5025"/>
        <v>0.0056</v>
      </c>
    </row>
    <row r="2498" s="1" customFormat="1" spans="1:21">
      <c r="A2498" s="1" t="str">
        <f>"4601992044385"</f>
        <v>4601992044385</v>
      </c>
      <c r="B2498" s="1" t="s">
        <v>2522</v>
      </c>
      <c r="C2498" s="1" t="s">
        <v>24</v>
      </c>
      <c r="D2498" s="1" t="str">
        <f t="shared" si="4896"/>
        <v>2021</v>
      </c>
      <c r="E2498" s="1" t="str">
        <f t="shared" ref="E2498:P2498" si="5029">"0"</f>
        <v>0</v>
      </c>
      <c r="F2498" s="1" t="str">
        <f t="shared" si="5029"/>
        <v>0</v>
      </c>
      <c r="G2498" s="1" t="str">
        <f t="shared" si="5029"/>
        <v>0</v>
      </c>
      <c r="H2498" s="1" t="str">
        <f t="shared" si="5029"/>
        <v>0</v>
      </c>
      <c r="I2498" s="1" t="str">
        <f t="shared" si="5029"/>
        <v>0</v>
      </c>
      <c r="J2498" s="1" t="str">
        <f t="shared" si="5029"/>
        <v>0</v>
      </c>
      <c r="K2498" s="1" t="str">
        <f t="shared" si="5029"/>
        <v>0</v>
      </c>
      <c r="L2498" s="1" t="str">
        <f t="shared" si="5029"/>
        <v>0</v>
      </c>
      <c r="M2498" s="1" t="str">
        <f t="shared" si="5029"/>
        <v>0</v>
      </c>
      <c r="N2498" s="1" t="str">
        <f t="shared" si="5029"/>
        <v>0</v>
      </c>
      <c r="O2498" s="1" t="str">
        <f t="shared" si="5029"/>
        <v>0</v>
      </c>
      <c r="P2498" s="1" t="str">
        <f t="shared" si="5029"/>
        <v>0</v>
      </c>
      <c r="Q2498" s="1" t="str">
        <f t="shared" si="4899"/>
        <v>0.0070</v>
      </c>
      <c r="R2498" s="1" t="s">
        <v>25</v>
      </c>
      <c r="T2498" s="1" t="str">
        <f t="shared" si="4900"/>
        <v>0</v>
      </c>
      <c r="U2498" s="1" t="str">
        <f t="shared" si="5022"/>
        <v>0.0070</v>
      </c>
    </row>
    <row r="2499" s="1" customFormat="1" spans="1:21">
      <c r="A2499" s="1" t="str">
        <f>"4601992044316"</f>
        <v>4601992044316</v>
      </c>
      <c r="B2499" s="1" t="s">
        <v>2523</v>
      </c>
      <c r="C2499" s="1" t="s">
        <v>24</v>
      </c>
      <c r="D2499" s="1" t="str">
        <f t="shared" ref="D2499:D2562" si="5030">"2021"</f>
        <v>2021</v>
      </c>
      <c r="E2499" s="1" t="str">
        <f>"24.18"</f>
        <v>24.18</v>
      </c>
      <c r="F2499" s="1" t="str">
        <f t="shared" ref="F2499:I2499" si="5031">"0"</f>
        <v>0</v>
      </c>
      <c r="G2499" s="1" t="str">
        <f t="shared" si="5031"/>
        <v>0</v>
      </c>
      <c r="H2499" s="1" t="str">
        <f t="shared" si="5031"/>
        <v>0</v>
      </c>
      <c r="I2499" s="1" t="str">
        <f t="shared" si="5031"/>
        <v>0</v>
      </c>
      <c r="J2499" s="1" t="str">
        <f>"2"</f>
        <v>2</v>
      </c>
      <c r="K2499" s="1" t="str">
        <f t="shared" ref="K2499:P2499" si="5032">"0"</f>
        <v>0</v>
      </c>
      <c r="L2499" s="1" t="str">
        <f t="shared" si="5032"/>
        <v>0</v>
      </c>
      <c r="M2499" s="1" t="str">
        <f t="shared" si="5032"/>
        <v>0</v>
      </c>
      <c r="N2499" s="1" t="str">
        <f t="shared" si="5032"/>
        <v>0</v>
      </c>
      <c r="O2499" s="1" t="str">
        <f t="shared" si="5032"/>
        <v>0</v>
      </c>
      <c r="P2499" s="1" t="str">
        <f t="shared" si="5032"/>
        <v>0</v>
      </c>
      <c r="Q2499" s="1" t="str">
        <f t="shared" ref="Q2499:Q2562" si="5033">"0.0070"</f>
        <v>0.0070</v>
      </c>
      <c r="R2499" s="1" t="s">
        <v>25</v>
      </c>
      <c r="T2499" s="1" t="str">
        <f t="shared" ref="T2499:T2562" si="5034">"0"</f>
        <v>0</v>
      </c>
      <c r="U2499" s="1" t="str">
        <f t="shared" si="5022"/>
        <v>0.0070</v>
      </c>
    </row>
    <row r="2500" s="1" customFormat="1" spans="1:21">
      <c r="A2500" s="1" t="str">
        <f>"4601992044399"</f>
        <v>4601992044399</v>
      </c>
      <c r="B2500" s="1" t="s">
        <v>2524</v>
      </c>
      <c r="C2500" s="1" t="s">
        <v>24</v>
      </c>
      <c r="D2500" s="1" t="str">
        <f t="shared" si="5030"/>
        <v>2021</v>
      </c>
      <c r="E2500" s="1" t="str">
        <f>"36.27"</f>
        <v>36.27</v>
      </c>
      <c r="F2500" s="1" t="str">
        <f t="shared" ref="F2500:I2500" si="5035">"0"</f>
        <v>0</v>
      </c>
      <c r="G2500" s="1" t="str">
        <f t="shared" si="5035"/>
        <v>0</v>
      </c>
      <c r="H2500" s="1" t="str">
        <f t="shared" si="5035"/>
        <v>0</v>
      </c>
      <c r="I2500" s="1" t="str">
        <f t="shared" si="5035"/>
        <v>0</v>
      </c>
      <c r="J2500" s="1" t="str">
        <f>"5"</f>
        <v>5</v>
      </c>
      <c r="K2500" s="1" t="str">
        <f t="shared" ref="K2500:P2500" si="5036">"0"</f>
        <v>0</v>
      </c>
      <c r="L2500" s="1" t="str">
        <f t="shared" si="5036"/>
        <v>0</v>
      </c>
      <c r="M2500" s="1" t="str">
        <f t="shared" si="5036"/>
        <v>0</v>
      </c>
      <c r="N2500" s="1" t="str">
        <f t="shared" si="5036"/>
        <v>0</v>
      </c>
      <c r="O2500" s="1" t="str">
        <f t="shared" si="5036"/>
        <v>0</v>
      </c>
      <c r="P2500" s="1" t="str">
        <f t="shared" si="5036"/>
        <v>0</v>
      </c>
      <c r="Q2500" s="1" t="str">
        <f t="shared" si="5033"/>
        <v>0.0070</v>
      </c>
      <c r="R2500" s="1" t="s">
        <v>29</v>
      </c>
      <c r="S2500" s="1">
        <v>-0.0014</v>
      </c>
      <c r="T2500" s="1" t="str">
        <f t="shared" si="5034"/>
        <v>0</v>
      </c>
      <c r="U2500" s="1" t="str">
        <f t="shared" si="5025"/>
        <v>0.0056</v>
      </c>
    </row>
    <row r="2501" s="1" customFormat="1" spans="1:21">
      <c r="A2501" s="1" t="str">
        <f>"4601992044508"</f>
        <v>4601992044508</v>
      </c>
      <c r="B2501" s="1" t="s">
        <v>2525</v>
      </c>
      <c r="C2501" s="1" t="s">
        <v>24</v>
      </c>
      <c r="D2501" s="1" t="str">
        <f t="shared" si="5030"/>
        <v>2021</v>
      </c>
      <c r="E2501" s="1" t="str">
        <f t="shared" ref="E2501:P2501" si="5037">"0"</f>
        <v>0</v>
      </c>
      <c r="F2501" s="1" t="str">
        <f t="shared" si="5037"/>
        <v>0</v>
      </c>
      <c r="G2501" s="1" t="str">
        <f t="shared" si="5037"/>
        <v>0</v>
      </c>
      <c r="H2501" s="1" t="str">
        <f t="shared" si="5037"/>
        <v>0</v>
      </c>
      <c r="I2501" s="1" t="str">
        <f t="shared" si="5037"/>
        <v>0</v>
      </c>
      <c r="J2501" s="1" t="str">
        <f t="shared" si="5037"/>
        <v>0</v>
      </c>
      <c r="K2501" s="1" t="str">
        <f t="shared" si="5037"/>
        <v>0</v>
      </c>
      <c r="L2501" s="1" t="str">
        <f t="shared" si="5037"/>
        <v>0</v>
      </c>
      <c r="M2501" s="1" t="str">
        <f t="shared" si="5037"/>
        <v>0</v>
      </c>
      <c r="N2501" s="1" t="str">
        <f t="shared" si="5037"/>
        <v>0</v>
      </c>
      <c r="O2501" s="1" t="str">
        <f t="shared" si="5037"/>
        <v>0</v>
      </c>
      <c r="P2501" s="1" t="str">
        <f t="shared" si="5037"/>
        <v>0</v>
      </c>
      <c r="Q2501" s="1" t="str">
        <f t="shared" si="5033"/>
        <v>0.0070</v>
      </c>
      <c r="R2501" s="1" t="s">
        <v>25</v>
      </c>
      <c r="T2501" s="1" t="str">
        <f t="shared" si="5034"/>
        <v>0</v>
      </c>
      <c r="U2501" s="1" t="str">
        <f t="shared" ref="U2501:U2506" si="5038">"0.0070"</f>
        <v>0.0070</v>
      </c>
    </row>
    <row r="2502" s="1" customFormat="1" spans="1:21">
      <c r="A2502" s="1" t="str">
        <f>"4601992044531"</f>
        <v>4601992044531</v>
      </c>
      <c r="B2502" s="1" t="s">
        <v>2526</v>
      </c>
      <c r="C2502" s="1" t="s">
        <v>24</v>
      </c>
      <c r="D2502" s="1" t="str">
        <f t="shared" si="5030"/>
        <v>2021</v>
      </c>
      <c r="E2502" s="1" t="str">
        <f t="shared" ref="E2502:P2502" si="5039">"0"</f>
        <v>0</v>
      </c>
      <c r="F2502" s="1" t="str">
        <f t="shared" si="5039"/>
        <v>0</v>
      </c>
      <c r="G2502" s="1" t="str">
        <f t="shared" si="5039"/>
        <v>0</v>
      </c>
      <c r="H2502" s="1" t="str">
        <f t="shared" si="5039"/>
        <v>0</v>
      </c>
      <c r="I2502" s="1" t="str">
        <f t="shared" si="5039"/>
        <v>0</v>
      </c>
      <c r="J2502" s="1" t="str">
        <f t="shared" si="5039"/>
        <v>0</v>
      </c>
      <c r="K2502" s="1" t="str">
        <f t="shared" si="5039"/>
        <v>0</v>
      </c>
      <c r="L2502" s="1" t="str">
        <f t="shared" si="5039"/>
        <v>0</v>
      </c>
      <c r="M2502" s="1" t="str">
        <f t="shared" si="5039"/>
        <v>0</v>
      </c>
      <c r="N2502" s="1" t="str">
        <f t="shared" si="5039"/>
        <v>0</v>
      </c>
      <c r="O2502" s="1" t="str">
        <f t="shared" si="5039"/>
        <v>0</v>
      </c>
      <c r="P2502" s="1" t="str">
        <f t="shared" si="5039"/>
        <v>0</v>
      </c>
      <c r="Q2502" s="1" t="str">
        <f t="shared" si="5033"/>
        <v>0.0070</v>
      </c>
      <c r="R2502" s="1" t="s">
        <v>25</v>
      </c>
      <c r="T2502" s="1" t="str">
        <f t="shared" si="5034"/>
        <v>0</v>
      </c>
      <c r="U2502" s="1" t="str">
        <f t="shared" si="5038"/>
        <v>0.0070</v>
      </c>
    </row>
    <row r="2503" s="1" customFormat="1" spans="1:21">
      <c r="A2503" s="1" t="str">
        <f>"4601992044554"</f>
        <v>4601992044554</v>
      </c>
      <c r="B2503" s="1" t="s">
        <v>2527</v>
      </c>
      <c r="C2503" s="1" t="s">
        <v>24</v>
      </c>
      <c r="D2503" s="1" t="str">
        <f t="shared" si="5030"/>
        <v>2021</v>
      </c>
      <c r="E2503" s="1" t="str">
        <f>"12.09"</f>
        <v>12.09</v>
      </c>
      <c r="F2503" s="1" t="str">
        <f t="shared" ref="F2503:I2503" si="5040">"0"</f>
        <v>0</v>
      </c>
      <c r="G2503" s="1" t="str">
        <f t="shared" si="5040"/>
        <v>0</v>
      </c>
      <c r="H2503" s="1" t="str">
        <f t="shared" si="5040"/>
        <v>0</v>
      </c>
      <c r="I2503" s="1" t="str">
        <f t="shared" si="5040"/>
        <v>0</v>
      </c>
      <c r="J2503" s="1" t="str">
        <f>"1"</f>
        <v>1</v>
      </c>
      <c r="K2503" s="1" t="str">
        <f t="shared" ref="K2503:P2503" si="5041">"0"</f>
        <v>0</v>
      </c>
      <c r="L2503" s="1" t="str">
        <f t="shared" si="5041"/>
        <v>0</v>
      </c>
      <c r="M2503" s="1" t="str">
        <f t="shared" si="5041"/>
        <v>0</v>
      </c>
      <c r="N2503" s="1" t="str">
        <f t="shared" si="5041"/>
        <v>0</v>
      </c>
      <c r="O2503" s="1" t="str">
        <f t="shared" si="5041"/>
        <v>0</v>
      </c>
      <c r="P2503" s="1" t="str">
        <f t="shared" si="5041"/>
        <v>0</v>
      </c>
      <c r="Q2503" s="1" t="str">
        <f t="shared" si="5033"/>
        <v>0.0070</v>
      </c>
      <c r="R2503" s="1" t="s">
        <v>29</v>
      </c>
      <c r="S2503" s="1">
        <v>-0.0014</v>
      </c>
      <c r="T2503" s="1" t="str">
        <f t="shared" si="5034"/>
        <v>0</v>
      </c>
      <c r="U2503" s="1" t="str">
        <f t="shared" ref="U2503:U2512" si="5042">"0.0056"</f>
        <v>0.0056</v>
      </c>
    </row>
    <row r="2504" s="1" customFormat="1" spans="1:21">
      <c r="A2504" s="1" t="str">
        <f>"4601992044558"</f>
        <v>4601992044558</v>
      </c>
      <c r="B2504" s="1" t="s">
        <v>2528</v>
      </c>
      <c r="C2504" s="1" t="s">
        <v>24</v>
      </c>
      <c r="D2504" s="1" t="str">
        <f t="shared" si="5030"/>
        <v>2021</v>
      </c>
      <c r="E2504" s="1" t="str">
        <f>"24.18"</f>
        <v>24.18</v>
      </c>
      <c r="F2504" s="1" t="str">
        <f t="shared" ref="F2504:I2504" si="5043">"0"</f>
        <v>0</v>
      </c>
      <c r="G2504" s="1" t="str">
        <f t="shared" si="5043"/>
        <v>0</v>
      </c>
      <c r="H2504" s="1" t="str">
        <f t="shared" si="5043"/>
        <v>0</v>
      </c>
      <c r="I2504" s="1" t="str">
        <f t="shared" si="5043"/>
        <v>0</v>
      </c>
      <c r="J2504" s="1" t="str">
        <f>"2"</f>
        <v>2</v>
      </c>
      <c r="K2504" s="1" t="str">
        <f t="shared" ref="K2504:P2504" si="5044">"0"</f>
        <v>0</v>
      </c>
      <c r="L2504" s="1" t="str">
        <f t="shared" si="5044"/>
        <v>0</v>
      </c>
      <c r="M2504" s="1" t="str">
        <f t="shared" si="5044"/>
        <v>0</v>
      </c>
      <c r="N2504" s="1" t="str">
        <f t="shared" si="5044"/>
        <v>0</v>
      </c>
      <c r="O2504" s="1" t="str">
        <f t="shared" si="5044"/>
        <v>0</v>
      </c>
      <c r="P2504" s="1" t="str">
        <f t="shared" si="5044"/>
        <v>0</v>
      </c>
      <c r="Q2504" s="1" t="str">
        <f t="shared" si="5033"/>
        <v>0.0070</v>
      </c>
      <c r="R2504" s="1" t="s">
        <v>29</v>
      </c>
      <c r="S2504" s="1">
        <v>-0.0014</v>
      </c>
      <c r="T2504" s="1" t="str">
        <f t="shared" si="5034"/>
        <v>0</v>
      </c>
      <c r="U2504" s="1" t="str">
        <f t="shared" si="5042"/>
        <v>0.0056</v>
      </c>
    </row>
    <row r="2505" s="1" customFormat="1" spans="1:21">
      <c r="A2505" s="1" t="str">
        <f>"4601992044582"</f>
        <v>4601992044582</v>
      </c>
      <c r="B2505" s="1" t="s">
        <v>2529</v>
      </c>
      <c r="C2505" s="1" t="s">
        <v>24</v>
      </c>
      <c r="D2505" s="1" t="str">
        <f t="shared" si="5030"/>
        <v>2021</v>
      </c>
      <c r="E2505" s="1" t="str">
        <f>"52.64"</f>
        <v>52.64</v>
      </c>
      <c r="F2505" s="1" t="str">
        <f t="shared" ref="F2505:I2505" si="5045">"0"</f>
        <v>0</v>
      </c>
      <c r="G2505" s="1" t="str">
        <f t="shared" si="5045"/>
        <v>0</v>
      </c>
      <c r="H2505" s="1" t="str">
        <f t="shared" si="5045"/>
        <v>0</v>
      </c>
      <c r="I2505" s="1" t="str">
        <f t="shared" si="5045"/>
        <v>0</v>
      </c>
      <c r="J2505" s="1" t="str">
        <f>"4"</f>
        <v>4</v>
      </c>
      <c r="K2505" s="1" t="str">
        <f t="shared" ref="K2505:P2505" si="5046">"0"</f>
        <v>0</v>
      </c>
      <c r="L2505" s="1" t="str">
        <f t="shared" si="5046"/>
        <v>0</v>
      </c>
      <c r="M2505" s="1" t="str">
        <f t="shared" si="5046"/>
        <v>0</v>
      </c>
      <c r="N2505" s="1" t="str">
        <f t="shared" si="5046"/>
        <v>0</v>
      </c>
      <c r="O2505" s="1" t="str">
        <f t="shared" si="5046"/>
        <v>0</v>
      </c>
      <c r="P2505" s="1" t="str">
        <f t="shared" si="5046"/>
        <v>0</v>
      </c>
      <c r="Q2505" s="1" t="str">
        <f t="shared" si="5033"/>
        <v>0.0070</v>
      </c>
      <c r="R2505" s="1" t="s">
        <v>25</v>
      </c>
      <c r="T2505" s="1" t="str">
        <f t="shared" si="5034"/>
        <v>0</v>
      </c>
      <c r="U2505" s="1" t="str">
        <f t="shared" si="5038"/>
        <v>0.0070</v>
      </c>
    </row>
    <row r="2506" s="1" customFormat="1" spans="1:21">
      <c r="A2506" s="1" t="str">
        <f>"4601992044637"</f>
        <v>4601992044637</v>
      </c>
      <c r="B2506" s="1" t="s">
        <v>2530</v>
      </c>
      <c r="C2506" s="1" t="s">
        <v>24</v>
      </c>
      <c r="D2506" s="1" t="str">
        <f t="shared" si="5030"/>
        <v>2021</v>
      </c>
      <c r="E2506" s="1" t="str">
        <f>"108.81"</f>
        <v>108.81</v>
      </c>
      <c r="F2506" s="1" t="str">
        <f t="shared" ref="F2506:I2506" si="5047">"0"</f>
        <v>0</v>
      </c>
      <c r="G2506" s="1" t="str">
        <f t="shared" si="5047"/>
        <v>0</v>
      </c>
      <c r="H2506" s="1" t="str">
        <f t="shared" si="5047"/>
        <v>0</v>
      </c>
      <c r="I2506" s="1" t="str">
        <f t="shared" si="5047"/>
        <v>0</v>
      </c>
      <c r="J2506" s="1" t="str">
        <f>"8"</f>
        <v>8</v>
      </c>
      <c r="K2506" s="1" t="str">
        <f t="shared" ref="K2506:P2506" si="5048">"0"</f>
        <v>0</v>
      </c>
      <c r="L2506" s="1" t="str">
        <f t="shared" si="5048"/>
        <v>0</v>
      </c>
      <c r="M2506" s="1" t="str">
        <f t="shared" si="5048"/>
        <v>0</v>
      </c>
      <c r="N2506" s="1" t="str">
        <f t="shared" si="5048"/>
        <v>0</v>
      </c>
      <c r="O2506" s="1" t="str">
        <f t="shared" si="5048"/>
        <v>0</v>
      </c>
      <c r="P2506" s="1" t="str">
        <f t="shared" si="5048"/>
        <v>0</v>
      </c>
      <c r="Q2506" s="1" t="str">
        <f t="shared" si="5033"/>
        <v>0.0070</v>
      </c>
      <c r="R2506" s="1" t="s">
        <v>25</v>
      </c>
      <c r="T2506" s="1" t="str">
        <f t="shared" si="5034"/>
        <v>0</v>
      </c>
      <c r="U2506" s="1" t="str">
        <f t="shared" si="5038"/>
        <v>0.0070</v>
      </c>
    </row>
    <row r="2507" s="1" customFormat="1" spans="1:21">
      <c r="A2507" s="1" t="str">
        <f>"4601992044568"</f>
        <v>4601992044568</v>
      </c>
      <c r="B2507" s="1" t="s">
        <v>2531</v>
      </c>
      <c r="C2507" s="1" t="s">
        <v>24</v>
      </c>
      <c r="D2507" s="1" t="str">
        <f t="shared" si="5030"/>
        <v>2021</v>
      </c>
      <c r="E2507" s="1" t="str">
        <f>"48.14"</f>
        <v>48.14</v>
      </c>
      <c r="F2507" s="1" t="str">
        <f t="shared" ref="F2507:I2507" si="5049">"0"</f>
        <v>0</v>
      </c>
      <c r="G2507" s="1" t="str">
        <f t="shared" si="5049"/>
        <v>0</v>
      </c>
      <c r="H2507" s="1" t="str">
        <f t="shared" si="5049"/>
        <v>0</v>
      </c>
      <c r="I2507" s="1" t="str">
        <f t="shared" si="5049"/>
        <v>0</v>
      </c>
      <c r="J2507" s="1" t="str">
        <f>"5"</f>
        <v>5</v>
      </c>
      <c r="K2507" s="1" t="str">
        <f t="shared" ref="K2507:P2507" si="5050">"0"</f>
        <v>0</v>
      </c>
      <c r="L2507" s="1" t="str">
        <f t="shared" si="5050"/>
        <v>0</v>
      </c>
      <c r="M2507" s="1" t="str">
        <f t="shared" si="5050"/>
        <v>0</v>
      </c>
      <c r="N2507" s="1" t="str">
        <f t="shared" si="5050"/>
        <v>0</v>
      </c>
      <c r="O2507" s="1" t="str">
        <f t="shared" si="5050"/>
        <v>0</v>
      </c>
      <c r="P2507" s="1" t="str">
        <f t="shared" si="5050"/>
        <v>0</v>
      </c>
      <c r="Q2507" s="1" t="str">
        <f t="shared" si="5033"/>
        <v>0.0070</v>
      </c>
      <c r="R2507" s="1" t="s">
        <v>29</v>
      </c>
      <c r="S2507" s="1">
        <v>-0.0014</v>
      </c>
      <c r="T2507" s="1" t="str">
        <f t="shared" si="5034"/>
        <v>0</v>
      </c>
      <c r="U2507" s="1" t="str">
        <f t="shared" si="5042"/>
        <v>0.0056</v>
      </c>
    </row>
    <row r="2508" s="1" customFormat="1" spans="1:21">
      <c r="A2508" s="1" t="str">
        <f>"4601992044675"</f>
        <v>4601992044675</v>
      </c>
      <c r="B2508" s="1" t="s">
        <v>2532</v>
      </c>
      <c r="C2508" s="1" t="s">
        <v>24</v>
      </c>
      <c r="D2508" s="1" t="str">
        <f t="shared" si="5030"/>
        <v>2021</v>
      </c>
      <c r="E2508" s="1" t="str">
        <f>"36.16"</f>
        <v>36.16</v>
      </c>
      <c r="F2508" s="1" t="str">
        <f t="shared" ref="F2508:I2508" si="5051">"0"</f>
        <v>0</v>
      </c>
      <c r="G2508" s="1" t="str">
        <f t="shared" si="5051"/>
        <v>0</v>
      </c>
      <c r="H2508" s="1" t="str">
        <f t="shared" si="5051"/>
        <v>0</v>
      </c>
      <c r="I2508" s="1" t="str">
        <f t="shared" si="5051"/>
        <v>0</v>
      </c>
      <c r="J2508" s="1" t="str">
        <f>"3"</f>
        <v>3</v>
      </c>
      <c r="K2508" s="1" t="str">
        <f t="shared" ref="K2508:P2508" si="5052">"0"</f>
        <v>0</v>
      </c>
      <c r="L2508" s="1" t="str">
        <f t="shared" si="5052"/>
        <v>0</v>
      </c>
      <c r="M2508" s="1" t="str">
        <f t="shared" si="5052"/>
        <v>0</v>
      </c>
      <c r="N2508" s="1" t="str">
        <f t="shared" si="5052"/>
        <v>0</v>
      </c>
      <c r="O2508" s="1" t="str">
        <f t="shared" si="5052"/>
        <v>0</v>
      </c>
      <c r="P2508" s="1" t="str">
        <f t="shared" si="5052"/>
        <v>0</v>
      </c>
      <c r="Q2508" s="1" t="str">
        <f t="shared" si="5033"/>
        <v>0.0070</v>
      </c>
      <c r="R2508" s="1" t="s">
        <v>29</v>
      </c>
      <c r="S2508" s="1">
        <v>-0.0014</v>
      </c>
      <c r="T2508" s="1" t="str">
        <f t="shared" si="5034"/>
        <v>0</v>
      </c>
      <c r="U2508" s="1" t="str">
        <f t="shared" si="5042"/>
        <v>0.0056</v>
      </c>
    </row>
    <row r="2509" s="1" customFormat="1" spans="1:21">
      <c r="A2509" s="1" t="str">
        <f>"4601992044681"</f>
        <v>4601992044681</v>
      </c>
      <c r="B2509" s="1" t="s">
        <v>2533</v>
      </c>
      <c r="C2509" s="1" t="s">
        <v>24</v>
      </c>
      <c r="D2509" s="1" t="str">
        <f t="shared" si="5030"/>
        <v>2021</v>
      </c>
      <c r="E2509" s="1" t="str">
        <f>"12.09"</f>
        <v>12.09</v>
      </c>
      <c r="F2509" s="1" t="str">
        <f t="shared" ref="F2509:I2509" si="5053">"0"</f>
        <v>0</v>
      </c>
      <c r="G2509" s="1" t="str">
        <f t="shared" si="5053"/>
        <v>0</v>
      </c>
      <c r="H2509" s="1" t="str">
        <f t="shared" si="5053"/>
        <v>0</v>
      </c>
      <c r="I2509" s="1" t="str">
        <f t="shared" si="5053"/>
        <v>0</v>
      </c>
      <c r="J2509" s="1" t="str">
        <f t="shared" ref="J2509:J2511" si="5054">"2"</f>
        <v>2</v>
      </c>
      <c r="K2509" s="1" t="str">
        <f t="shared" ref="K2509:P2509" si="5055">"0"</f>
        <v>0</v>
      </c>
      <c r="L2509" s="1" t="str">
        <f t="shared" si="5055"/>
        <v>0</v>
      </c>
      <c r="M2509" s="1" t="str">
        <f t="shared" si="5055"/>
        <v>0</v>
      </c>
      <c r="N2509" s="1" t="str">
        <f t="shared" si="5055"/>
        <v>0</v>
      </c>
      <c r="O2509" s="1" t="str">
        <f t="shared" si="5055"/>
        <v>0</v>
      </c>
      <c r="P2509" s="1" t="str">
        <f t="shared" si="5055"/>
        <v>0</v>
      </c>
      <c r="Q2509" s="1" t="str">
        <f t="shared" si="5033"/>
        <v>0.0070</v>
      </c>
      <c r="R2509" s="1" t="s">
        <v>29</v>
      </c>
      <c r="S2509" s="1">
        <v>-0.0014</v>
      </c>
      <c r="T2509" s="1" t="str">
        <f t="shared" si="5034"/>
        <v>0</v>
      </c>
      <c r="U2509" s="1" t="str">
        <f t="shared" si="5042"/>
        <v>0.0056</v>
      </c>
    </row>
    <row r="2510" s="1" customFormat="1" spans="1:21">
      <c r="A2510" s="1" t="str">
        <f>"4601992044726"</f>
        <v>4601992044726</v>
      </c>
      <c r="B2510" s="1" t="s">
        <v>2534</v>
      </c>
      <c r="C2510" s="1" t="s">
        <v>24</v>
      </c>
      <c r="D2510" s="1" t="str">
        <f t="shared" si="5030"/>
        <v>2021</v>
      </c>
      <c r="E2510" s="1" t="str">
        <f t="shared" ref="E2510:E2514" si="5056">"24.18"</f>
        <v>24.18</v>
      </c>
      <c r="F2510" s="1" t="str">
        <f t="shared" ref="F2510:I2510" si="5057">"0"</f>
        <v>0</v>
      </c>
      <c r="G2510" s="1" t="str">
        <f t="shared" si="5057"/>
        <v>0</v>
      </c>
      <c r="H2510" s="1" t="str">
        <f t="shared" si="5057"/>
        <v>0</v>
      </c>
      <c r="I2510" s="1" t="str">
        <f t="shared" si="5057"/>
        <v>0</v>
      </c>
      <c r="J2510" s="1" t="str">
        <f t="shared" si="5054"/>
        <v>2</v>
      </c>
      <c r="K2510" s="1" t="str">
        <f t="shared" ref="K2510:P2510" si="5058">"0"</f>
        <v>0</v>
      </c>
      <c r="L2510" s="1" t="str">
        <f t="shared" si="5058"/>
        <v>0</v>
      </c>
      <c r="M2510" s="1" t="str">
        <f t="shared" si="5058"/>
        <v>0</v>
      </c>
      <c r="N2510" s="1" t="str">
        <f t="shared" si="5058"/>
        <v>0</v>
      </c>
      <c r="O2510" s="1" t="str">
        <f t="shared" si="5058"/>
        <v>0</v>
      </c>
      <c r="P2510" s="1" t="str">
        <f t="shared" si="5058"/>
        <v>0</v>
      </c>
      <c r="Q2510" s="1" t="str">
        <f t="shared" si="5033"/>
        <v>0.0070</v>
      </c>
      <c r="R2510" s="1" t="s">
        <v>29</v>
      </c>
      <c r="S2510" s="1">
        <v>-0.0014</v>
      </c>
      <c r="T2510" s="1" t="str">
        <f t="shared" si="5034"/>
        <v>0</v>
      </c>
      <c r="U2510" s="1" t="str">
        <f t="shared" si="5042"/>
        <v>0.0056</v>
      </c>
    </row>
    <row r="2511" s="1" customFormat="1" spans="1:21">
      <c r="A2511" s="1" t="str">
        <f>"4601992044695"</f>
        <v>4601992044695</v>
      </c>
      <c r="B2511" s="1" t="s">
        <v>2535</v>
      </c>
      <c r="C2511" s="1" t="s">
        <v>24</v>
      </c>
      <c r="D2511" s="1" t="str">
        <f t="shared" si="5030"/>
        <v>2021</v>
      </c>
      <c r="E2511" s="1" t="str">
        <f t="shared" si="5056"/>
        <v>24.18</v>
      </c>
      <c r="F2511" s="1" t="str">
        <f t="shared" ref="F2511:I2511" si="5059">"0"</f>
        <v>0</v>
      </c>
      <c r="G2511" s="1" t="str">
        <f t="shared" si="5059"/>
        <v>0</v>
      </c>
      <c r="H2511" s="1" t="str">
        <f t="shared" si="5059"/>
        <v>0</v>
      </c>
      <c r="I2511" s="1" t="str">
        <f t="shared" si="5059"/>
        <v>0</v>
      </c>
      <c r="J2511" s="1" t="str">
        <f t="shared" si="5054"/>
        <v>2</v>
      </c>
      <c r="K2511" s="1" t="str">
        <f t="shared" ref="K2511:P2511" si="5060">"0"</f>
        <v>0</v>
      </c>
      <c r="L2511" s="1" t="str">
        <f t="shared" si="5060"/>
        <v>0</v>
      </c>
      <c r="M2511" s="1" t="str">
        <f t="shared" si="5060"/>
        <v>0</v>
      </c>
      <c r="N2511" s="1" t="str">
        <f t="shared" si="5060"/>
        <v>0</v>
      </c>
      <c r="O2511" s="1" t="str">
        <f t="shared" si="5060"/>
        <v>0</v>
      </c>
      <c r="P2511" s="1" t="str">
        <f t="shared" si="5060"/>
        <v>0</v>
      </c>
      <c r="Q2511" s="1" t="str">
        <f t="shared" si="5033"/>
        <v>0.0070</v>
      </c>
      <c r="R2511" s="1" t="s">
        <v>29</v>
      </c>
      <c r="S2511" s="1">
        <v>-0.0014</v>
      </c>
      <c r="T2511" s="1" t="str">
        <f t="shared" si="5034"/>
        <v>0</v>
      </c>
      <c r="U2511" s="1" t="str">
        <f t="shared" si="5042"/>
        <v>0.0056</v>
      </c>
    </row>
    <row r="2512" s="1" customFormat="1" spans="1:21">
      <c r="A2512" s="1" t="str">
        <f>"4601992044769"</f>
        <v>4601992044769</v>
      </c>
      <c r="B2512" s="1" t="s">
        <v>2536</v>
      </c>
      <c r="C2512" s="1" t="s">
        <v>24</v>
      </c>
      <c r="D2512" s="1" t="str">
        <f t="shared" si="5030"/>
        <v>2021</v>
      </c>
      <c r="E2512" s="1" t="str">
        <f>"36.16"</f>
        <v>36.16</v>
      </c>
      <c r="F2512" s="1" t="str">
        <f t="shared" ref="F2512:I2512" si="5061">"0"</f>
        <v>0</v>
      </c>
      <c r="G2512" s="1" t="str">
        <f t="shared" si="5061"/>
        <v>0</v>
      </c>
      <c r="H2512" s="1" t="str">
        <f t="shared" si="5061"/>
        <v>0</v>
      </c>
      <c r="I2512" s="1" t="str">
        <f t="shared" si="5061"/>
        <v>0</v>
      </c>
      <c r="J2512" s="1" t="str">
        <f>"3"</f>
        <v>3</v>
      </c>
      <c r="K2512" s="1" t="str">
        <f t="shared" ref="K2512:P2512" si="5062">"0"</f>
        <v>0</v>
      </c>
      <c r="L2512" s="1" t="str">
        <f t="shared" si="5062"/>
        <v>0</v>
      </c>
      <c r="M2512" s="1" t="str">
        <f t="shared" si="5062"/>
        <v>0</v>
      </c>
      <c r="N2512" s="1" t="str">
        <f t="shared" si="5062"/>
        <v>0</v>
      </c>
      <c r="O2512" s="1" t="str">
        <f t="shared" si="5062"/>
        <v>0</v>
      </c>
      <c r="P2512" s="1" t="str">
        <f t="shared" si="5062"/>
        <v>0</v>
      </c>
      <c r="Q2512" s="1" t="str">
        <f t="shared" si="5033"/>
        <v>0.0070</v>
      </c>
      <c r="R2512" s="1" t="s">
        <v>29</v>
      </c>
      <c r="S2512" s="1">
        <v>-0.0014</v>
      </c>
      <c r="T2512" s="1" t="str">
        <f t="shared" si="5034"/>
        <v>0</v>
      </c>
      <c r="U2512" s="1" t="str">
        <f t="shared" si="5042"/>
        <v>0.0056</v>
      </c>
    </row>
    <row r="2513" s="1" customFormat="1" spans="1:21">
      <c r="A2513" s="1" t="str">
        <f>"4601992044833"</f>
        <v>4601992044833</v>
      </c>
      <c r="B2513" s="1" t="s">
        <v>2537</v>
      </c>
      <c r="C2513" s="1" t="s">
        <v>24</v>
      </c>
      <c r="D2513" s="1" t="str">
        <f t="shared" si="5030"/>
        <v>2021</v>
      </c>
      <c r="E2513" s="1" t="str">
        <f t="shared" ref="E2513:P2513" si="5063">"0"</f>
        <v>0</v>
      </c>
      <c r="F2513" s="1" t="str">
        <f t="shared" si="5063"/>
        <v>0</v>
      </c>
      <c r="G2513" s="1" t="str">
        <f t="shared" si="5063"/>
        <v>0</v>
      </c>
      <c r="H2513" s="1" t="str">
        <f t="shared" si="5063"/>
        <v>0</v>
      </c>
      <c r="I2513" s="1" t="str">
        <f t="shared" si="5063"/>
        <v>0</v>
      </c>
      <c r="J2513" s="1" t="str">
        <f t="shared" si="5063"/>
        <v>0</v>
      </c>
      <c r="K2513" s="1" t="str">
        <f t="shared" si="5063"/>
        <v>0</v>
      </c>
      <c r="L2513" s="1" t="str">
        <f t="shared" si="5063"/>
        <v>0</v>
      </c>
      <c r="M2513" s="1" t="str">
        <f t="shared" si="5063"/>
        <v>0</v>
      </c>
      <c r="N2513" s="1" t="str">
        <f t="shared" si="5063"/>
        <v>0</v>
      </c>
      <c r="O2513" s="1" t="str">
        <f t="shared" si="5063"/>
        <v>0</v>
      </c>
      <c r="P2513" s="1" t="str">
        <f t="shared" si="5063"/>
        <v>0</v>
      </c>
      <c r="Q2513" s="1" t="str">
        <f t="shared" si="5033"/>
        <v>0.0070</v>
      </c>
      <c r="R2513" s="1" t="s">
        <v>25</v>
      </c>
      <c r="T2513" s="1" t="str">
        <f t="shared" si="5034"/>
        <v>0</v>
      </c>
      <c r="U2513" s="1" t="str">
        <f>"0.0070"</f>
        <v>0.0070</v>
      </c>
    </row>
    <row r="2514" s="1" customFormat="1" spans="1:21">
      <c r="A2514" s="1" t="str">
        <f>"4601992044760"</f>
        <v>4601992044760</v>
      </c>
      <c r="B2514" s="1" t="s">
        <v>2538</v>
      </c>
      <c r="C2514" s="1" t="s">
        <v>24</v>
      </c>
      <c r="D2514" s="1" t="str">
        <f t="shared" si="5030"/>
        <v>2021</v>
      </c>
      <c r="E2514" s="1" t="str">
        <f t="shared" si="5056"/>
        <v>24.18</v>
      </c>
      <c r="F2514" s="1" t="str">
        <f t="shared" ref="F2514:I2514" si="5064">"0"</f>
        <v>0</v>
      </c>
      <c r="G2514" s="1" t="str">
        <f t="shared" si="5064"/>
        <v>0</v>
      </c>
      <c r="H2514" s="1" t="str">
        <f t="shared" si="5064"/>
        <v>0</v>
      </c>
      <c r="I2514" s="1" t="str">
        <f t="shared" si="5064"/>
        <v>0</v>
      </c>
      <c r="J2514" s="1" t="str">
        <f>"2"</f>
        <v>2</v>
      </c>
      <c r="K2514" s="1" t="str">
        <f t="shared" ref="K2514:P2514" si="5065">"0"</f>
        <v>0</v>
      </c>
      <c r="L2514" s="1" t="str">
        <f t="shared" si="5065"/>
        <v>0</v>
      </c>
      <c r="M2514" s="1" t="str">
        <f t="shared" si="5065"/>
        <v>0</v>
      </c>
      <c r="N2514" s="1" t="str">
        <f t="shared" si="5065"/>
        <v>0</v>
      </c>
      <c r="O2514" s="1" t="str">
        <f t="shared" si="5065"/>
        <v>0</v>
      </c>
      <c r="P2514" s="1" t="str">
        <f t="shared" si="5065"/>
        <v>0</v>
      </c>
      <c r="Q2514" s="1" t="str">
        <f t="shared" si="5033"/>
        <v>0.0070</v>
      </c>
      <c r="R2514" s="1" t="s">
        <v>29</v>
      </c>
      <c r="S2514" s="1">
        <v>-0.0014</v>
      </c>
      <c r="T2514" s="1" t="str">
        <f t="shared" si="5034"/>
        <v>0</v>
      </c>
      <c r="U2514" s="1" t="str">
        <f t="shared" ref="U2514:U2517" si="5066">"0.0056"</f>
        <v>0.0056</v>
      </c>
    </row>
    <row r="2515" s="1" customFormat="1" spans="1:21">
      <c r="A2515" s="1" t="str">
        <f>"4601992044776"</f>
        <v>4601992044776</v>
      </c>
      <c r="B2515" s="1" t="s">
        <v>2539</v>
      </c>
      <c r="C2515" s="1" t="s">
        <v>24</v>
      </c>
      <c r="D2515" s="1" t="str">
        <f t="shared" si="5030"/>
        <v>2021</v>
      </c>
      <c r="E2515" s="1" t="str">
        <f>"17.50"</f>
        <v>17.50</v>
      </c>
      <c r="F2515" s="1" t="str">
        <f t="shared" ref="F2515:I2515" si="5067">"0"</f>
        <v>0</v>
      </c>
      <c r="G2515" s="1" t="str">
        <f t="shared" si="5067"/>
        <v>0</v>
      </c>
      <c r="H2515" s="1" t="str">
        <f t="shared" si="5067"/>
        <v>0</v>
      </c>
      <c r="I2515" s="1" t="str">
        <f t="shared" si="5067"/>
        <v>0</v>
      </c>
      <c r="J2515" s="1" t="str">
        <f t="shared" ref="J2515:J2517" si="5068">"1"</f>
        <v>1</v>
      </c>
      <c r="K2515" s="1" t="str">
        <f t="shared" ref="K2515:P2515" si="5069">"0"</f>
        <v>0</v>
      </c>
      <c r="L2515" s="1" t="str">
        <f t="shared" si="5069"/>
        <v>0</v>
      </c>
      <c r="M2515" s="1" t="str">
        <f t="shared" si="5069"/>
        <v>0</v>
      </c>
      <c r="N2515" s="1" t="str">
        <f t="shared" si="5069"/>
        <v>0</v>
      </c>
      <c r="O2515" s="1" t="str">
        <f t="shared" si="5069"/>
        <v>0</v>
      </c>
      <c r="P2515" s="1" t="str">
        <f t="shared" si="5069"/>
        <v>0</v>
      </c>
      <c r="Q2515" s="1" t="str">
        <f t="shared" si="5033"/>
        <v>0.0070</v>
      </c>
      <c r="R2515" s="1" t="s">
        <v>29</v>
      </c>
      <c r="S2515" s="1">
        <v>-0.0014</v>
      </c>
      <c r="T2515" s="1" t="str">
        <f t="shared" si="5034"/>
        <v>0</v>
      </c>
      <c r="U2515" s="1" t="str">
        <f t="shared" si="5066"/>
        <v>0.0056</v>
      </c>
    </row>
    <row r="2516" s="1" customFormat="1" spans="1:21">
      <c r="A2516" s="1" t="str">
        <f>"4601992044841"</f>
        <v>4601992044841</v>
      </c>
      <c r="B2516" s="1" t="s">
        <v>2540</v>
      </c>
      <c r="C2516" s="1" t="s">
        <v>24</v>
      </c>
      <c r="D2516" s="1" t="str">
        <f t="shared" si="5030"/>
        <v>2021</v>
      </c>
      <c r="E2516" s="1" t="str">
        <f>"12.09"</f>
        <v>12.09</v>
      </c>
      <c r="F2516" s="1" t="str">
        <f t="shared" ref="F2516:I2516" si="5070">"0"</f>
        <v>0</v>
      </c>
      <c r="G2516" s="1" t="str">
        <f t="shared" si="5070"/>
        <v>0</v>
      </c>
      <c r="H2516" s="1" t="str">
        <f t="shared" si="5070"/>
        <v>0</v>
      </c>
      <c r="I2516" s="1" t="str">
        <f t="shared" si="5070"/>
        <v>0</v>
      </c>
      <c r="J2516" s="1" t="str">
        <f t="shared" si="5068"/>
        <v>1</v>
      </c>
      <c r="K2516" s="1" t="str">
        <f t="shared" ref="K2516:P2516" si="5071">"0"</f>
        <v>0</v>
      </c>
      <c r="L2516" s="1" t="str">
        <f t="shared" si="5071"/>
        <v>0</v>
      </c>
      <c r="M2516" s="1" t="str">
        <f t="shared" si="5071"/>
        <v>0</v>
      </c>
      <c r="N2516" s="1" t="str">
        <f t="shared" si="5071"/>
        <v>0</v>
      </c>
      <c r="O2516" s="1" t="str">
        <f t="shared" si="5071"/>
        <v>0</v>
      </c>
      <c r="P2516" s="1" t="str">
        <f t="shared" si="5071"/>
        <v>0</v>
      </c>
      <c r="Q2516" s="1" t="str">
        <f t="shared" si="5033"/>
        <v>0.0070</v>
      </c>
      <c r="R2516" s="1" t="s">
        <v>29</v>
      </c>
      <c r="S2516" s="1">
        <v>-0.0014</v>
      </c>
      <c r="T2516" s="1" t="str">
        <f t="shared" si="5034"/>
        <v>0</v>
      </c>
      <c r="U2516" s="1" t="str">
        <f t="shared" si="5066"/>
        <v>0.0056</v>
      </c>
    </row>
    <row r="2517" s="1" customFormat="1" spans="1:21">
      <c r="A2517" s="1" t="str">
        <f>"4601992044848"</f>
        <v>4601992044848</v>
      </c>
      <c r="B2517" s="1" t="s">
        <v>2541</v>
      </c>
      <c r="C2517" s="1" t="s">
        <v>24</v>
      </c>
      <c r="D2517" s="1" t="str">
        <f t="shared" si="5030"/>
        <v>2021</v>
      </c>
      <c r="E2517" s="1" t="str">
        <f>"12.09"</f>
        <v>12.09</v>
      </c>
      <c r="F2517" s="1" t="str">
        <f t="shared" ref="F2517:I2517" si="5072">"0"</f>
        <v>0</v>
      </c>
      <c r="G2517" s="1" t="str">
        <f t="shared" si="5072"/>
        <v>0</v>
      </c>
      <c r="H2517" s="1" t="str">
        <f t="shared" si="5072"/>
        <v>0</v>
      </c>
      <c r="I2517" s="1" t="str">
        <f t="shared" si="5072"/>
        <v>0</v>
      </c>
      <c r="J2517" s="1" t="str">
        <f t="shared" si="5068"/>
        <v>1</v>
      </c>
      <c r="K2517" s="1" t="str">
        <f t="shared" ref="K2517:P2517" si="5073">"0"</f>
        <v>0</v>
      </c>
      <c r="L2517" s="1" t="str">
        <f t="shared" si="5073"/>
        <v>0</v>
      </c>
      <c r="M2517" s="1" t="str">
        <f t="shared" si="5073"/>
        <v>0</v>
      </c>
      <c r="N2517" s="1" t="str">
        <f t="shared" si="5073"/>
        <v>0</v>
      </c>
      <c r="O2517" s="1" t="str">
        <f t="shared" si="5073"/>
        <v>0</v>
      </c>
      <c r="P2517" s="1" t="str">
        <f t="shared" si="5073"/>
        <v>0</v>
      </c>
      <c r="Q2517" s="1" t="str">
        <f t="shared" si="5033"/>
        <v>0.0070</v>
      </c>
      <c r="R2517" s="1" t="s">
        <v>29</v>
      </c>
      <c r="S2517" s="1">
        <v>-0.0014</v>
      </c>
      <c r="T2517" s="1" t="str">
        <f t="shared" si="5034"/>
        <v>0</v>
      </c>
      <c r="U2517" s="1" t="str">
        <f t="shared" si="5066"/>
        <v>0.0056</v>
      </c>
    </row>
    <row r="2518" s="1" customFormat="1" spans="1:21">
      <c r="A2518" s="1" t="str">
        <f>"4601992044913"</f>
        <v>4601992044913</v>
      </c>
      <c r="B2518" s="1" t="s">
        <v>2542</v>
      </c>
      <c r="C2518" s="1" t="s">
        <v>24</v>
      </c>
      <c r="D2518" s="1" t="str">
        <f t="shared" si="5030"/>
        <v>2021</v>
      </c>
      <c r="E2518" s="1" t="str">
        <f t="shared" ref="E2518:P2518" si="5074">"0"</f>
        <v>0</v>
      </c>
      <c r="F2518" s="1" t="str">
        <f t="shared" si="5074"/>
        <v>0</v>
      </c>
      <c r="G2518" s="1" t="str">
        <f t="shared" si="5074"/>
        <v>0</v>
      </c>
      <c r="H2518" s="1" t="str">
        <f t="shared" si="5074"/>
        <v>0</v>
      </c>
      <c r="I2518" s="1" t="str">
        <f t="shared" si="5074"/>
        <v>0</v>
      </c>
      <c r="J2518" s="1" t="str">
        <f t="shared" si="5074"/>
        <v>0</v>
      </c>
      <c r="K2518" s="1" t="str">
        <f t="shared" si="5074"/>
        <v>0</v>
      </c>
      <c r="L2518" s="1" t="str">
        <f t="shared" si="5074"/>
        <v>0</v>
      </c>
      <c r="M2518" s="1" t="str">
        <f t="shared" si="5074"/>
        <v>0</v>
      </c>
      <c r="N2518" s="1" t="str">
        <f t="shared" si="5074"/>
        <v>0</v>
      </c>
      <c r="O2518" s="1" t="str">
        <f t="shared" si="5074"/>
        <v>0</v>
      </c>
      <c r="P2518" s="1" t="str">
        <f t="shared" si="5074"/>
        <v>0</v>
      </c>
      <c r="Q2518" s="1" t="str">
        <f t="shared" si="5033"/>
        <v>0.0070</v>
      </c>
      <c r="R2518" s="1" t="s">
        <v>25</v>
      </c>
      <c r="T2518" s="1" t="str">
        <f t="shared" si="5034"/>
        <v>0</v>
      </c>
      <c r="U2518" s="1" t="str">
        <f>"0.0070"</f>
        <v>0.0070</v>
      </c>
    </row>
    <row r="2519" s="1" customFormat="1" spans="1:21">
      <c r="A2519" s="1" t="str">
        <f>"4601992044909"</f>
        <v>4601992044909</v>
      </c>
      <c r="B2519" s="1" t="s">
        <v>2543</v>
      </c>
      <c r="C2519" s="1" t="s">
        <v>24</v>
      </c>
      <c r="D2519" s="1" t="str">
        <f t="shared" si="5030"/>
        <v>2021</v>
      </c>
      <c r="E2519" s="1" t="str">
        <f t="shared" ref="E2519:P2519" si="5075">"0"</f>
        <v>0</v>
      </c>
      <c r="F2519" s="1" t="str">
        <f t="shared" si="5075"/>
        <v>0</v>
      </c>
      <c r="G2519" s="1" t="str">
        <f t="shared" si="5075"/>
        <v>0</v>
      </c>
      <c r="H2519" s="1" t="str">
        <f t="shared" si="5075"/>
        <v>0</v>
      </c>
      <c r="I2519" s="1" t="str">
        <f t="shared" si="5075"/>
        <v>0</v>
      </c>
      <c r="J2519" s="1" t="str">
        <f t="shared" si="5075"/>
        <v>0</v>
      </c>
      <c r="K2519" s="1" t="str">
        <f t="shared" si="5075"/>
        <v>0</v>
      </c>
      <c r="L2519" s="1" t="str">
        <f t="shared" si="5075"/>
        <v>0</v>
      </c>
      <c r="M2519" s="1" t="str">
        <f t="shared" si="5075"/>
        <v>0</v>
      </c>
      <c r="N2519" s="1" t="str">
        <f t="shared" si="5075"/>
        <v>0</v>
      </c>
      <c r="O2519" s="1" t="str">
        <f t="shared" si="5075"/>
        <v>0</v>
      </c>
      <c r="P2519" s="1" t="str">
        <f t="shared" si="5075"/>
        <v>0</v>
      </c>
      <c r="Q2519" s="1" t="str">
        <f t="shared" si="5033"/>
        <v>0.0070</v>
      </c>
      <c r="R2519" s="1" t="s">
        <v>25</v>
      </c>
      <c r="T2519" s="1" t="str">
        <f t="shared" si="5034"/>
        <v>0</v>
      </c>
      <c r="U2519" s="1" t="str">
        <f>"0.0070"</f>
        <v>0.0070</v>
      </c>
    </row>
    <row r="2520" s="1" customFormat="1" spans="1:21">
      <c r="A2520" s="1" t="str">
        <f>"4601992044868"</f>
        <v>4601992044868</v>
      </c>
      <c r="B2520" s="1" t="s">
        <v>2544</v>
      </c>
      <c r="C2520" s="1" t="s">
        <v>24</v>
      </c>
      <c r="D2520" s="1" t="str">
        <f t="shared" si="5030"/>
        <v>2021</v>
      </c>
      <c r="E2520" s="1" t="str">
        <f>"413.51"</f>
        <v>413.51</v>
      </c>
      <c r="F2520" s="1" t="str">
        <f t="shared" ref="F2520:I2520" si="5076">"0"</f>
        <v>0</v>
      </c>
      <c r="G2520" s="1" t="str">
        <f t="shared" si="5076"/>
        <v>0</v>
      </c>
      <c r="H2520" s="1" t="str">
        <f t="shared" si="5076"/>
        <v>0</v>
      </c>
      <c r="I2520" s="1" t="str">
        <f t="shared" si="5076"/>
        <v>0</v>
      </c>
      <c r="J2520" s="1" t="str">
        <f>"33"</f>
        <v>33</v>
      </c>
      <c r="K2520" s="1" t="str">
        <f t="shared" ref="K2520:P2520" si="5077">"0"</f>
        <v>0</v>
      </c>
      <c r="L2520" s="1" t="str">
        <f t="shared" si="5077"/>
        <v>0</v>
      </c>
      <c r="M2520" s="1" t="str">
        <f t="shared" si="5077"/>
        <v>0</v>
      </c>
      <c r="N2520" s="1" t="str">
        <f t="shared" si="5077"/>
        <v>0</v>
      </c>
      <c r="O2520" s="1" t="str">
        <f t="shared" si="5077"/>
        <v>0</v>
      </c>
      <c r="P2520" s="1" t="str">
        <f t="shared" si="5077"/>
        <v>0</v>
      </c>
      <c r="Q2520" s="1" t="str">
        <f t="shared" si="5033"/>
        <v>0.0070</v>
      </c>
      <c r="R2520" s="1" t="s">
        <v>29</v>
      </c>
      <c r="S2520" s="1">
        <v>-0.0014</v>
      </c>
      <c r="T2520" s="1" t="str">
        <f t="shared" si="5034"/>
        <v>0</v>
      </c>
      <c r="U2520" s="1" t="str">
        <f t="shared" ref="U2520:U2523" si="5078">"0.0056"</f>
        <v>0.0056</v>
      </c>
    </row>
    <row r="2521" s="1" customFormat="1" spans="1:21">
      <c r="A2521" s="1" t="str">
        <f>"4601992044912"</f>
        <v>4601992044912</v>
      </c>
      <c r="B2521" s="1" t="s">
        <v>2545</v>
      </c>
      <c r="C2521" s="1" t="s">
        <v>24</v>
      </c>
      <c r="D2521" s="1" t="str">
        <f t="shared" si="5030"/>
        <v>2021</v>
      </c>
      <c r="E2521" s="1" t="str">
        <f>"24.18"</f>
        <v>24.18</v>
      </c>
      <c r="F2521" s="1" t="str">
        <f t="shared" ref="F2521:I2521" si="5079">"0"</f>
        <v>0</v>
      </c>
      <c r="G2521" s="1" t="str">
        <f t="shared" si="5079"/>
        <v>0</v>
      </c>
      <c r="H2521" s="1" t="str">
        <f t="shared" si="5079"/>
        <v>0</v>
      </c>
      <c r="I2521" s="1" t="str">
        <f t="shared" si="5079"/>
        <v>0</v>
      </c>
      <c r="J2521" s="1" t="str">
        <f>"2"</f>
        <v>2</v>
      </c>
      <c r="K2521" s="1" t="str">
        <f t="shared" ref="K2521:P2521" si="5080">"0"</f>
        <v>0</v>
      </c>
      <c r="L2521" s="1" t="str">
        <f t="shared" si="5080"/>
        <v>0</v>
      </c>
      <c r="M2521" s="1" t="str">
        <f t="shared" si="5080"/>
        <v>0</v>
      </c>
      <c r="N2521" s="1" t="str">
        <f t="shared" si="5080"/>
        <v>0</v>
      </c>
      <c r="O2521" s="1" t="str">
        <f t="shared" si="5080"/>
        <v>0</v>
      </c>
      <c r="P2521" s="1" t="str">
        <f t="shared" si="5080"/>
        <v>0</v>
      </c>
      <c r="Q2521" s="1" t="str">
        <f t="shared" si="5033"/>
        <v>0.0070</v>
      </c>
      <c r="R2521" s="1" t="s">
        <v>29</v>
      </c>
      <c r="S2521" s="1">
        <v>-0.0014</v>
      </c>
      <c r="T2521" s="1" t="str">
        <f t="shared" si="5034"/>
        <v>0</v>
      </c>
      <c r="U2521" s="1" t="str">
        <f t="shared" si="5078"/>
        <v>0.0056</v>
      </c>
    </row>
    <row r="2522" s="1" customFormat="1" spans="1:21">
      <c r="A2522" s="1" t="str">
        <f>"4601992044959"</f>
        <v>4601992044959</v>
      </c>
      <c r="B2522" s="1" t="s">
        <v>2546</v>
      </c>
      <c r="C2522" s="1" t="s">
        <v>24</v>
      </c>
      <c r="D2522" s="1" t="str">
        <f t="shared" si="5030"/>
        <v>2021</v>
      </c>
      <c r="E2522" s="1" t="str">
        <f>"48.36"</f>
        <v>48.36</v>
      </c>
      <c r="F2522" s="1" t="str">
        <f t="shared" ref="F2522:I2522" si="5081">"0"</f>
        <v>0</v>
      </c>
      <c r="G2522" s="1" t="str">
        <f t="shared" si="5081"/>
        <v>0</v>
      </c>
      <c r="H2522" s="1" t="str">
        <f t="shared" si="5081"/>
        <v>0</v>
      </c>
      <c r="I2522" s="1" t="str">
        <f t="shared" si="5081"/>
        <v>0</v>
      </c>
      <c r="J2522" s="1" t="str">
        <f>"4"</f>
        <v>4</v>
      </c>
      <c r="K2522" s="1" t="str">
        <f t="shared" ref="K2522:P2522" si="5082">"0"</f>
        <v>0</v>
      </c>
      <c r="L2522" s="1" t="str">
        <f t="shared" si="5082"/>
        <v>0</v>
      </c>
      <c r="M2522" s="1" t="str">
        <f t="shared" si="5082"/>
        <v>0</v>
      </c>
      <c r="N2522" s="1" t="str">
        <f t="shared" si="5082"/>
        <v>0</v>
      </c>
      <c r="O2522" s="1" t="str">
        <f t="shared" si="5082"/>
        <v>0</v>
      </c>
      <c r="P2522" s="1" t="str">
        <f t="shared" si="5082"/>
        <v>0</v>
      </c>
      <c r="Q2522" s="1" t="str">
        <f t="shared" si="5033"/>
        <v>0.0070</v>
      </c>
      <c r="R2522" s="1" t="s">
        <v>29</v>
      </c>
      <c r="S2522" s="1">
        <v>-0.0014</v>
      </c>
      <c r="T2522" s="1" t="str">
        <f t="shared" si="5034"/>
        <v>0</v>
      </c>
      <c r="U2522" s="1" t="str">
        <f t="shared" si="5078"/>
        <v>0.0056</v>
      </c>
    </row>
    <row r="2523" s="1" customFormat="1" spans="1:21">
      <c r="A2523" s="1" t="str">
        <f>"4601992044975"</f>
        <v>4601992044975</v>
      </c>
      <c r="B2523" s="1" t="s">
        <v>2547</v>
      </c>
      <c r="C2523" s="1" t="s">
        <v>24</v>
      </c>
      <c r="D2523" s="1" t="str">
        <f t="shared" si="5030"/>
        <v>2021</v>
      </c>
      <c r="E2523" s="1" t="str">
        <f>"24.18"</f>
        <v>24.18</v>
      </c>
      <c r="F2523" s="1" t="str">
        <f t="shared" ref="F2523:I2523" si="5083">"0"</f>
        <v>0</v>
      </c>
      <c r="G2523" s="1" t="str">
        <f t="shared" si="5083"/>
        <v>0</v>
      </c>
      <c r="H2523" s="1" t="str">
        <f t="shared" si="5083"/>
        <v>0</v>
      </c>
      <c r="I2523" s="1" t="str">
        <f t="shared" si="5083"/>
        <v>0</v>
      </c>
      <c r="J2523" s="1" t="str">
        <f>"2"</f>
        <v>2</v>
      </c>
      <c r="K2523" s="1" t="str">
        <f t="shared" ref="K2523:P2523" si="5084">"0"</f>
        <v>0</v>
      </c>
      <c r="L2523" s="1" t="str">
        <f t="shared" si="5084"/>
        <v>0</v>
      </c>
      <c r="M2523" s="1" t="str">
        <f t="shared" si="5084"/>
        <v>0</v>
      </c>
      <c r="N2523" s="1" t="str">
        <f t="shared" si="5084"/>
        <v>0</v>
      </c>
      <c r="O2523" s="1" t="str">
        <f t="shared" si="5084"/>
        <v>0</v>
      </c>
      <c r="P2523" s="1" t="str">
        <f t="shared" si="5084"/>
        <v>0</v>
      </c>
      <c r="Q2523" s="1" t="str">
        <f t="shared" si="5033"/>
        <v>0.0070</v>
      </c>
      <c r="R2523" s="1" t="s">
        <v>29</v>
      </c>
      <c r="S2523" s="1">
        <v>-0.0014</v>
      </c>
      <c r="T2523" s="1" t="str">
        <f t="shared" si="5034"/>
        <v>0</v>
      </c>
      <c r="U2523" s="1" t="str">
        <f t="shared" si="5078"/>
        <v>0.0056</v>
      </c>
    </row>
    <row r="2524" s="1" customFormat="1" spans="1:21">
      <c r="A2524" s="1" t="str">
        <f>"4601992045017"</f>
        <v>4601992045017</v>
      </c>
      <c r="B2524" s="1" t="s">
        <v>2548</v>
      </c>
      <c r="C2524" s="1" t="s">
        <v>24</v>
      </c>
      <c r="D2524" s="1" t="str">
        <f t="shared" si="5030"/>
        <v>2021</v>
      </c>
      <c r="E2524" s="1" t="str">
        <f t="shared" ref="E2524:P2524" si="5085">"0"</f>
        <v>0</v>
      </c>
      <c r="F2524" s="1" t="str">
        <f t="shared" si="5085"/>
        <v>0</v>
      </c>
      <c r="G2524" s="1" t="str">
        <f t="shared" si="5085"/>
        <v>0</v>
      </c>
      <c r="H2524" s="1" t="str">
        <f t="shared" si="5085"/>
        <v>0</v>
      </c>
      <c r="I2524" s="1" t="str">
        <f t="shared" si="5085"/>
        <v>0</v>
      </c>
      <c r="J2524" s="1" t="str">
        <f t="shared" si="5085"/>
        <v>0</v>
      </c>
      <c r="K2524" s="1" t="str">
        <f t="shared" si="5085"/>
        <v>0</v>
      </c>
      <c r="L2524" s="1" t="str">
        <f t="shared" si="5085"/>
        <v>0</v>
      </c>
      <c r="M2524" s="1" t="str">
        <f t="shared" si="5085"/>
        <v>0</v>
      </c>
      <c r="N2524" s="1" t="str">
        <f t="shared" si="5085"/>
        <v>0</v>
      </c>
      <c r="O2524" s="1" t="str">
        <f t="shared" si="5085"/>
        <v>0</v>
      </c>
      <c r="P2524" s="1" t="str">
        <f t="shared" si="5085"/>
        <v>0</v>
      </c>
      <c r="Q2524" s="1" t="str">
        <f t="shared" si="5033"/>
        <v>0.0070</v>
      </c>
      <c r="R2524" s="1" t="s">
        <v>25</v>
      </c>
      <c r="T2524" s="1" t="str">
        <f t="shared" si="5034"/>
        <v>0</v>
      </c>
      <c r="U2524" s="1" t="str">
        <f t="shared" ref="U2524:U2528" si="5086">"0.0070"</f>
        <v>0.0070</v>
      </c>
    </row>
    <row r="2525" s="1" customFormat="1" spans="1:21">
      <c r="A2525" s="1" t="str">
        <f>"4601992044960"</f>
        <v>4601992044960</v>
      </c>
      <c r="B2525" s="1" t="s">
        <v>2549</v>
      </c>
      <c r="C2525" s="1" t="s">
        <v>24</v>
      </c>
      <c r="D2525" s="1" t="str">
        <f t="shared" si="5030"/>
        <v>2021</v>
      </c>
      <c r="E2525" s="1" t="str">
        <f t="shared" ref="E2525:E2529" si="5087">"12.09"</f>
        <v>12.09</v>
      </c>
      <c r="F2525" s="1" t="str">
        <f t="shared" ref="F2525:I2525" si="5088">"0"</f>
        <v>0</v>
      </c>
      <c r="G2525" s="1" t="str">
        <f t="shared" si="5088"/>
        <v>0</v>
      </c>
      <c r="H2525" s="1" t="str">
        <f t="shared" si="5088"/>
        <v>0</v>
      </c>
      <c r="I2525" s="1" t="str">
        <f t="shared" si="5088"/>
        <v>0</v>
      </c>
      <c r="J2525" s="1" t="str">
        <f>"1"</f>
        <v>1</v>
      </c>
      <c r="K2525" s="1" t="str">
        <f t="shared" ref="K2525:P2525" si="5089">"0"</f>
        <v>0</v>
      </c>
      <c r="L2525" s="1" t="str">
        <f t="shared" si="5089"/>
        <v>0</v>
      </c>
      <c r="M2525" s="1" t="str">
        <f t="shared" si="5089"/>
        <v>0</v>
      </c>
      <c r="N2525" s="1" t="str">
        <f t="shared" si="5089"/>
        <v>0</v>
      </c>
      <c r="O2525" s="1" t="str">
        <f t="shared" si="5089"/>
        <v>0</v>
      </c>
      <c r="P2525" s="1" t="str">
        <f t="shared" si="5089"/>
        <v>0</v>
      </c>
      <c r="Q2525" s="1" t="str">
        <f t="shared" si="5033"/>
        <v>0.0070</v>
      </c>
      <c r="R2525" s="1" t="s">
        <v>29</v>
      </c>
      <c r="S2525" s="1">
        <v>-0.0014</v>
      </c>
      <c r="T2525" s="1" t="str">
        <f t="shared" si="5034"/>
        <v>0</v>
      </c>
      <c r="U2525" s="1" t="str">
        <f t="shared" ref="U2525:U2529" si="5090">"0.0056"</f>
        <v>0.0056</v>
      </c>
    </row>
    <row r="2526" s="1" customFormat="1" spans="1:21">
      <c r="A2526" s="1" t="str">
        <f>"4601992045128"</f>
        <v>4601992045128</v>
      </c>
      <c r="B2526" s="1" t="s">
        <v>2550</v>
      </c>
      <c r="C2526" s="1" t="s">
        <v>24</v>
      </c>
      <c r="D2526" s="1" t="str">
        <f t="shared" si="5030"/>
        <v>2021</v>
      </c>
      <c r="E2526" s="1" t="str">
        <f t="shared" ref="E2526:P2526" si="5091">"0"</f>
        <v>0</v>
      </c>
      <c r="F2526" s="1" t="str">
        <f t="shared" si="5091"/>
        <v>0</v>
      </c>
      <c r="G2526" s="1" t="str">
        <f t="shared" si="5091"/>
        <v>0</v>
      </c>
      <c r="H2526" s="1" t="str">
        <f t="shared" si="5091"/>
        <v>0</v>
      </c>
      <c r="I2526" s="1" t="str">
        <f t="shared" si="5091"/>
        <v>0</v>
      </c>
      <c r="J2526" s="1" t="str">
        <f t="shared" si="5091"/>
        <v>0</v>
      </c>
      <c r="K2526" s="1" t="str">
        <f t="shared" si="5091"/>
        <v>0</v>
      </c>
      <c r="L2526" s="1" t="str">
        <f t="shared" si="5091"/>
        <v>0</v>
      </c>
      <c r="M2526" s="1" t="str">
        <f t="shared" si="5091"/>
        <v>0</v>
      </c>
      <c r="N2526" s="1" t="str">
        <f t="shared" si="5091"/>
        <v>0</v>
      </c>
      <c r="O2526" s="1" t="str">
        <f t="shared" si="5091"/>
        <v>0</v>
      </c>
      <c r="P2526" s="1" t="str">
        <f t="shared" si="5091"/>
        <v>0</v>
      </c>
      <c r="Q2526" s="1" t="str">
        <f t="shared" si="5033"/>
        <v>0.0070</v>
      </c>
      <c r="R2526" s="1" t="s">
        <v>25</v>
      </c>
      <c r="T2526" s="1" t="str">
        <f t="shared" si="5034"/>
        <v>0</v>
      </c>
      <c r="U2526" s="1" t="str">
        <f t="shared" si="5086"/>
        <v>0.0070</v>
      </c>
    </row>
    <row r="2527" s="1" customFormat="1" spans="1:21">
      <c r="A2527" s="1" t="str">
        <f>"4601992045110"</f>
        <v>4601992045110</v>
      </c>
      <c r="B2527" s="1" t="s">
        <v>2551</v>
      </c>
      <c r="C2527" s="1" t="s">
        <v>24</v>
      </c>
      <c r="D2527" s="1" t="str">
        <f t="shared" si="5030"/>
        <v>2021</v>
      </c>
      <c r="E2527" s="1" t="str">
        <f t="shared" si="5087"/>
        <v>12.09</v>
      </c>
      <c r="F2527" s="1" t="str">
        <f t="shared" ref="F2527:I2527" si="5092">"0"</f>
        <v>0</v>
      </c>
      <c r="G2527" s="1" t="str">
        <f t="shared" si="5092"/>
        <v>0</v>
      </c>
      <c r="H2527" s="1" t="str">
        <f t="shared" si="5092"/>
        <v>0</v>
      </c>
      <c r="I2527" s="1" t="str">
        <f t="shared" si="5092"/>
        <v>0</v>
      </c>
      <c r="J2527" s="1" t="str">
        <f>"2"</f>
        <v>2</v>
      </c>
      <c r="K2527" s="1" t="str">
        <f t="shared" ref="K2527:P2527" si="5093">"0"</f>
        <v>0</v>
      </c>
      <c r="L2527" s="1" t="str">
        <f t="shared" si="5093"/>
        <v>0</v>
      </c>
      <c r="M2527" s="1" t="str">
        <f t="shared" si="5093"/>
        <v>0</v>
      </c>
      <c r="N2527" s="1" t="str">
        <f t="shared" si="5093"/>
        <v>0</v>
      </c>
      <c r="O2527" s="1" t="str">
        <f t="shared" si="5093"/>
        <v>0</v>
      </c>
      <c r="P2527" s="1" t="str">
        <f t="shared" si="5093"/>
        <v>0</v>
      </c>
      <c r="Q2527" s="1" t="str">
        <f t="shared" si="5033"/>
        <v>0.0070</v>
      </c>
      <c r="R2527" s="1" t="s">
        <v>29</v>
      </c>
      <c r="S2527" s="1">
        <v>-0.0014</v>
      </c>
      <c r="T2527" s="1" t="str">
        <f t="shared" si="5034"/>
        <v>0</v>
      </c>
      <c r="U2527" s="1" t="str">
        <f t="shared" si="5090"/>
        <v>0.0056</v>
      </c>
    </row>
    <row r="2528" s="1" customFormat="1" spans="1:21">
      <c r="A2528" s="1" t="str">
        <f>"4601992044966"</f>
        <v>4601992044966</v>
      </c>
      <c r="B2528" s="1" t="s">
        <v>2552</v>
      </c>
      <c r="C2528" s="1" t="s">
        <v>24</v>
      </c>
      <c r="D2528" s="1" t="str">
        <f t="shared" si="5030"/>
        <v>2021</v>
      </c>
      <c r="E2528" s="1" t="str">
        <f t="shared" ref="E2528:P2528" si="5094">"0"</f>
        <v>0</v>
      </c>
      <c r="F2528" s="1" t="str">
        <f t="shared" si="5094"/>
        <v>0</v>
      </c>
      <c r="G2528" s="1" t="str">
        <f t="shared" si="5094"/>
        <v>0</v>
      </c>
      <c r="H2528" s="1" t="str">
        <f t="shared" si="5094"/>
        <v>0</v>
      </c>
      <c r="I2528" s="1" t="str">
        <f t="shared" si="5094"/>
        <v>0</v>
      </c>
      <c r="J2528" s="1" t="str">
        <f t="shared" si="5094"/>
        <v>0</v>
      </c>
      <c r="K2528" s="1" t="str">
        <f t="shared" si="5094"/>
        <v>0</v>
      </c>
      <c r="L2528" s="1" t="str">
        <f t="shared" si="5094"/>
        <v>0</v>
      </c>
      <c r="M2528" s="1" t="str">
        <f t="shared" si="5094"/>
        <v>0</v>
      </c>
      <c r="N2528" s="1" t="str">
        <f t="shared" si="5094"/>
        <v>0</v>
      </c>
      <c r="O2528" s="1" t="str">
        <f t="shared" si="5094"/>
        <v>0</v>
      </c>
      <c r="P2528" s="1" t="str">
        <f t="shared" si="5094"/>
        <v>0</v>
      </c>
      <c r="Q2528" s="1" t="str">
        <f t="shared" si="5033"/>
        <v>0.0070</v>
      </c>
      <c r="R2528" s="1" t="s">
        <v>25</v>
      </c>
      <c r="T2528" s="1" t="str">
        <f t="shared" si="5034"/>
        <v>0</v>
      </c>
      <c r="U2528" s="1" t="str">
        <f t="shared" si="5086"/>
        <v>0.0070</v>
      </c>
    </row>
    <row r="2529" s="1" customFormat="1" spans="1:21">
      <c r="A2529" s="1" t="str">
        <f>"4601992045121"</f>
        <v>4601992045121</v>
      </c>
      <c r="B2529" s="1" t="s">
        <v>2553</v>
      </c>
      <c r="C2529" s="1" t="s">
        <v>24</v>
      </c>
      <c r="D2529" s="1" t="str">
        <f t="shared" si="5030"/>
        <v>2021</v>
      </c>
      <c r="E2529" s="1" t="str">
        <f t="shared" si="5087"/>
        <v>12.09</v>
      </c>
      <c r="F2529" s="1" t="str">
        <f t="shared" ref="F2529:I2529" si="5095">"0"</f>
        <v>0</v>
      </c>
      <c r="G2529" s="1" t="str">
        <f t="shared" si="5095"/>
        <v>0</v>
      </c>
      <c r="H2529" s="1" t="str">
        <f t="shared" si="5095"/>
        <v>0</v>
      </c>
      <c r="I2529" s="1" t="str">
        <f t="shared" si="5095"/>
        <v>0</v>
      </c>
      <c r="J2529" s="1" t="str">
        <f>"2"</f>
        <v>2</v>
      </c>
      <c r="K2529" s="1" t="str">
        <f t="shared" ref="K2529:P2529" si="5096">"0"</f>
        <v>0</v>
      </c>
      <c r="L2529" s="1" t="str">
        <f t="shared" si="5096"/>
        <v>0</v>
      </c>
      <c r="M2529" s="1" t="str">
        <f t="shared" si="5096"/>
        <v>0</v>
      </c>
      <c r="N2529" s="1" t="str">
        <f t="shared" si="5096"/>
        <v>0</v>
      </c>
      <c r="O2529" s="1" t="str">
        <f t="shared" si="5096"/>
        <v>0</v>
      </c>
      <c r="P2529" s="1" t="str">
        <f t="shared" si="5096"/>
        <v>0</v>
      </c>
      <c r="Q2529" s="1" t="str">
        <f t="shared" si="5033"/>
        <v>0.0070</v>
      </c>
      <c r="R2529" s="1" t="s">
        <v>29</v>
      </c>
      <c r="S2529" s="1">
        <v>-0.0014</v>
      </c>
      <c r="T2529" s="1" t="str">
        <f t="shared" si="5034"/>
        <v>0</v>
      </c>
      <c r="U2529" s="1" t="str">
        <f t="shared" si="5090"/>
        <v>0.0056</v>
      </c>
    </row>
    <row r="2530" s="1" customFormat="1" spans="1:21">
      <c r="A2530" s="1" t="str">
        <f>"4601992045254"</f>
        <v>4601992045254</v>
      </c>
      <c r="B2530" s="1" t="s">
        <v>2554</v>
      </c>
      <c r="C2530" s="1" t="s">
        <v>24</v>
      </c>
      <c r="D2530" s="1" t="str">
        <f t="shared" si="5030"/>
        <v>2021</v>
      </c>
      <c r="E2530" s="1" t="str">
        <f t="shared" ref="E2530:P2530" si="5097">"0"</f>
        <v>0</v>
      </c>
      <c r="F2530" s="1" t="str">
        <f t="shared" si="5097"/>
        <v>0</v>
      </c>
      <c r="G2530" s="1" t="str">
        <f t="shared" si="5097"/>
        <v>0</v>
      </c>
      <c r="H2530" s="1" t="str">
        <f t="shared" si="5097"/>
        <v>0</v>
      </c>
      <c r="I2530" s="1" t="str">
        <f t="shared" si="5097"/>
        <v>0</v>
      </c>
      <c r="J2530" s="1" t="str">
        <f t="shared" si="5097"/>
        <v>0</v>
      </c>
      <c r="K2530" s="1" t="str">
        <f t="shared" si="5097"/>
        <v>0</v>
      </c>
      <c r="L2530" s="1" t="str">
        <f t="shared" si="5097"/>
        <v>0</v>
      </c>
      <c r="M2530" s="1" t="str">
        <f t="shared" si="5097"/>
        <v>0</v>
      </c>
      <c r="N2530" s="1" t="str">
        <f t="shared" si="5097"/>
        <v>0</v>
      </c>
      <c r="O2530" s="1" t="str">
        <f t="shared" si="5097"/>
        <v>0</v>
      </c>
      <c r="P2530" s="1" t="str">
        <f t="shared" si="5097"/>
        <v>0</v>
      </c>
      <c r="Q2530" s="1" t="str">
        <f t="shared" si="5033"/>
        <v>0.0070</v>
      </c>
      <c r="R2530" s="1" t="s">
        <v>25</v>
      </c>
      <c r="T2530" s="1" t="str">
        <f t="shared" si="5034"/>
        <v>0</v>
      </c>
      <c r="U2530" s="1" t="str">
        <f t="shared" ref="U2530:U2532" si="5098">"0.0070"</f>
        <v>0.0070</v>
      </c>
    </row>
    <row r="2531" s="1" customFormat="1" spans="1:21">
      <c r="A2531" s="1" t="str">
        <f>"4601992045213"</f>
        <v>4601992045213</v>
      </c>
      <c r="B2531" s="1" t="s">
        <v>2555</v>
      </c>
      <c r="C2531" s="1" t="s">
        <v>24</v>
      </c>
      <c r="D2531" s="1" t="str">
        <f t="shared" si="5030"/>
        <v>2021</v>
      </c>
      <c r="E2531" s="1" t="str">
        <f t="shared" ref="E2531:P2531" si="5099">"0"</f>
        <v>0</v>
      </c>
      <c r="F2531" s="1" t="str">
        <f t="shared" si="5099"/>
        <v>0</v>
      </c>
      <c r="G2531" s="1" t="str">
        <f t="shared" si="5099"/>
        <v>0</v>
      </c>
      <c r="H2531" s="1" t="str">
        <f t="shared" si="5099"/>
        <v>0</v>
      </c>
      <c r="I2531" s="1" t="str">
        <f t="shared" si="5099"/>
        <v>0</v>
      </c>
      <c r="J2531" s="1" t="str">
        <f t="shared" si="5099"/>
        <v>0</v>
      </c>
      <c r="K2531" s="1" t="str">
        <f t="shared" si="5099"/>
        <v>0</v>
      </c>
      <c r="L2531" s="1" t="str">
        <f t="shared" si="5099"/>
        <v>0</v>
      </c>
      <c r="M2531" s="1" t="str">
        <f t="shared" si="5099"/>
        <v>0</v>
      </c>
      <c r="N2531" s="1" t="str">
        <f t="shared" si="5099"/>
        <v>0</v>
      </c>
      <c r="O2531" s="1" t="str">
        <f t="shared" si="5099"/>
        <v>0</v>
      </c>
      <c r="P2531" s="1" t="str">
        <f t="shared" si="5099"/>
        <v>0</v>
      </c>
      <c r="Q2531" s="1" t="str">
        <f t="shared" si="5033"/>
        <v>0.0070</v>
      </c>
      <c r="R2531" s="1" t="s">
        <v>25</v>
      </c>
      <c r="T2531" s="1" t="str">
        <f t="shared" si="5034"/>
        <v>0</v>
      </c>
      <c r="U2531" s="1" t="str">
        <f t="shared" si="5098"/>
        <v>0.0070</v>
      </c>
    </row>
    <row r="2532" s="1" customFormat="1" spans="1:21">
      <c r="A2532" s="1" t="str">
        <f>"4601992045260"</f>
        <v>4601992045260</v>
      </c>
      <c r="B2532" s="1" t="s">
        <v>2556</v>
      </c>
      <c r="C2532" s="1" t="s">
        <v>24</v>
      </c>
      <c r="D2532" s="1" t="str">
        <f t="shared" si="5030"/>
        <v>2021</v>
      </c>
      <c r="E2532" s="1" t="str">
        <f t="shared" ref="E2532:P2532" si="5100">"0"</f>
        <v>0</v>
      </c>
      <c r="F2532" s="1" t="str">
        <f t="shared" si="5100"/>
        <v>0</v>
      </c>
      <c r="G2532" s="1" t="str">
        <f t="shared" si="5100"/>
        <v>0</v>
      </c>
      <c r="H2532" s="1" t="str">
        <f t="shared" si="5100"/>
        <v>0</v>
      </c>
      <c r="I2532" s="1" t="str">
        <f t="shared" si="5100"/>
        <v>0</v>
      </c>
      <c r="J2532" s="1" t="str">
        <f t="shared" si="5100"/>
        <v>0</v>
      </c>
      <c r="K2532" s="1" t="str">
        <f t="shared" si="5100"/>
        <v>0</v>
      </c>
      <c r="L2532" s="1" t="str">
        <f t="shared" si="5100"/>
        <v>0</v>
      </c>
      <c r="M2532" s="1" t="str">
        <f t="shared" si="5100"/>
        <v>0</v>
      </c>
      <c r="N2532" s="1" t="str">
        <f t="shared" si="5100"/>
        <v>0</v>
      </c>
      <c r="O2532" s="1" t="str">
        <f t="shared" si="5100"/>
        <v>0</v>
      </c>
      <c r="P2532" s="1" t="str">
        <f t="shared" si="5100"/>
        <v>0</v>
      </c>
      <c r="Q2532" s="1" t="str">
        <f t="shared" si="5033"/>
        <v>0.0070</v>
      </c>
      <c r="R2532" s="1" t="s">
        <v>25</v>
      </c>
      <c r="T2532" s="1" t="str">
        <f t="shared" si="5034"/>
        <v>0</v>
      </c>
      <c r="U2532" s="1" t="str">
        <f t="shared" si="5098"/>
        <v>0.0070</v>
      </c>
    </row>
    <row r="2533" s="1" customFormat="1" spans="1:21">
      <c r="A2533" s="1" t="str">
        <f>"4601992045180"</f>
        <v>4601992045180</v>
      </c>
      <c r="B2533" s="1" t="s">
        <v>2557</v>
      </c>
      <c r="C2533" s="1" t="s">
        <v>24</v>
      </c>
      <c r="D2533" s="1" t="str">
        <f t="shared" si="5030"/>
        <v>2021</v>
      </c>
      <c r="E2533" s="1" t="str">
        <f>"37.37"</f>
        <v>37.37</v>
      </c>
      <c r="F2533" s="1" t="str">
        <f t="shared" ref="F2533:I2533" si="5101">"0"</f>
        <v>0</v>
      </c>
      <c r="G2533" s="1" t="str">
        <f t="shared" si="5101"/>
        <v>0</v>
      </c>
      <c r="H2533" s="1" t="str">
        <f t="shared" si="5101"/>
        <v>0</v>
      </c>
      <c r="I2533" s="1" t="str">
        <f t="shared" si="5101"/>
        <v>0</v>
      </c>
      <c r="J2533" s="1" t="str">
        <f>"3"</f>
        <v>3</v>
      </c>
      <c r="K2533" s="1" t="str">
        <f t="shared" ref="K2533:P2533" si="5102">"0"</f>
        <v>0</v>
      </c>
      <c r="L2533" s="1" t="str">
        <f t="shared" si="5102"/>
        <v>0</v>
      </c>
      <c r="M2533" s="1" t="str">
        <f t="shared" si="5102"/>
        <v>0</v>
      </c>
      <c r="N2533" s="1" t="str">
        <f t="shared" si="5102"/>
        <v>0</v>
      </c>
      <c r="O2533" s="1" t="str">
        <f t="shared" si="5102"/>
        <v>0</v>
      </c>
      <c r="P2533" s="1" t="str">
        <f t="shared" si="5102"/>
        <v>0</v>
      </c>
      <c r="Q2533" s="1" t="str">
        <f t="shared" si="5033"/>
        <v>0.0070</v>
      </c>
      <c r="R2533" s="1" t="s">
        <v>29</v>
      </c>
      <c r="S2533" s="1">
        <v>-0.0014</v>
      </c>
      <c r="T2533" s="1" t="str">
        <f t="shared" si="5034"/>
        <v>0</v>
      </c>
      <c r="U2533" s="1" t="str">
        <f t="shared" ref="U2533:U2537" si="5103">"0.0056"</f>
        <v>0.0056</v>
      </c>
    </row>
    <row r="2534" s="1" customFormat="1" spans="1:21">
      <c r="A2534" s="1" t="str">
        <f>"4601992045258"</f>
        <v>4601992045258</v>
      </c>
      <c r="B2534" s="1" t="s">
        <v>2558</v>
      </c>
      <c r="C2534" s="1" t="s">
        <v>24</v>
      </c>
      <c r="D2534" s="1" t="str">
        <f t="shared" si="5030"/>
        <v>2021</v>
      </c>
      <c r="E2534" s="1" t="str">
        <f>"374.79"</f>
        <v>374.79</v>
      </c>
      <c r="F2534" s="1" t="str">
        <f t="shared" ref="F2534:I2534" si="5104">"0"</f>
        <v>0</v>
      </c>
      <c r="G2534" s="1" t="str">
        <f t="shared" si="5104"/>
        <v>0</v>
      </c>
      <c r="H2534" s="1" t="str">
        <f t="shared" si="5104"/>
        <v>0</v>
      </c>
      <c r="I2534" s="1" t="str">
        <f t="shared" si="5104"/>
        <v>0</v>
      </c>
      <c r="J2534" s="1" t="str">
        <f>"33"</f>
        <v>33</v>
      </c>
      <c r="K2534" s="1" t="str">
        <f t="shared" ref="K2534:P2534" si="5105">"0"</f>
        <v>0</v>
      </c>
      <c r="L2534" s="1" t="str">
        <f t="shared" si="5105"/>
        <v>0</v>
      </c>
      <c r="M2534" s="1" t="str">
        <f t="shared" si="5105"/>
        <v>0</v>
      </c>
      <c r="N2534" s="1" t="str">
        <f t="shared" si="5105"/>
        <v>0</v>
      </c>
      <c r="O2534" s="1" t="str">
        <f t="shared" si="5105"/>
        <v>0</v>
      </c>
      <c r="P2534" s="1" t="str">
        <f t="shared" si="5105"/>
        <v>0</v>
      </c>
      <c r="Q2534" s="1" t="str">
        <f t="shared" si="5033"/>
        <v>0.0070</v>
      </c>
      <c r="R2534" s="1" t="s">
        <v>29</v>
      </c>
      <c r="S2534" s="1">
        <v>-0.0014</v>
      </c>
      <c r="T2534" s="1" t="str">
        <f t="shared" si="5034"/>
        <v>0</v>
      </c>
      <c r="U2534" s="1" t="str">
        <f t="shared" si="5103"/>
        <v>0.0056</v>
      </c>
    </row>
    <row r="2535" s="1" customFormat="1" spans="1:21">
      <c r="A2535" s="1" t="str">
        <f>"4601992045336"</f>
        <v>4601992045336</v>
      </c>
      <c r="B2535" s="1" t="s">
        <v>2559</v>
      </c>
      <c r="C2535" s="1" t="s">
        <v>24</v>
      </c>
      <c r="D2535" s="1" t="str">
        <f t="shared" si="5030"/>
        <v>2021</v>
      </c>
      <c r="E2535" s="1" t="str">
        <f t="shared" ref="E2535:P2535" si="5106">"0"</f>
        <v>0</v>
      </c>
      <c r="F2535" s="1" t="str">
        <f t="shared" si="5106"/>
        <v>0</v>
      </c>
      <c r="G2535" s="1" t="str">
        <f t="shared" si="5106"/>
        <v>0</v>
      </c>
      <c r="H2535" s="1" t="str">
        <f t="shared" si="5106"/>
        <v>0</v>
      </c>
      <c r="I2535" s="1" t="str">
        <f t="shared" si="5106"/>
        <v>0</v>
      </c>
      <c r="J2535" s="1" t="str">
        <f t="shared" si="5106"/>
        <v>0</v>
      </c>
      <c r="K2535" s="1" t="str">
        <f t="shared" si="5106"/>
        <v>0</v>
      </c>
      <c r="L2535" s="1" t="str">
        <f t="shared" si="5106"/>
        <v>0</v>
      </c>
      <c r="M2535" s="1" t="str">
        <f t="shared" si="5106"/>
        <v>0</v>
      </c>
      <c r="N2535" s="1" t="str">
        <f t="shared" si="5106"/>
        <v>0</v>
      </c>
      <c r="O2535" s="1" t="str">
        <f t="shared" si="5106"/>
        <v>0</v>
      </c>
      <c r="P2535" s="1" t="str">
        <f t="shared" si="5106"/>
        <v>0</v>
      </c>
      <c r="Q2535" s="1" t="str">
        <f t="shared" si="5033"/>
        <v>0.0070</v>
      </c>
      <c r="R2535" s="1" t="s">
        <v>25</v>
      </c>
      <c r="T2535" s="1" t="str">
        <f t="shared" si="5034"/>
        <v>0</v>
      </c>
      <c r="U2535" s="1" t="str">
        <f>"0.0070"</f>
        <v>0.0070</v>
      </c>
    </row>
    <row r="2536" s="1" customFormat="1" spans="1:21">
      <c r="A2536" s="1" t="str">
        <f>"4601992045316"</f>
        <v>4601992045316</v>
      </c>
      <c r="B2536" s="1" t="s">
        <v>2560</v>
      </c>
      <c r="C2536" s="1" t="s">
        <v>24</v>
      </c>
      <c r="D2536" s="1" t="str">
        <f t="shared" si="5030"/>
        <v>2021</v>
      </c>
      <c r="E2536" s="1" t="str">
        <f t="shared" ref="E2536:E2540" si="5107">"12.09"</f>
        <v>12.09</v>
      </c>
      <c r="F2536" s="1" t="str">
        <f t="shared" ref="F2536:I2536" si="5108">"0"</f>
        <v>0</v>
      </c>
      <c r="G2536" s="1" t="str">
        <f t="shared" si="5108"/>
        <v>0</v>
      </c>
      <c r="H2536" s="1" t="str">
        <f t="shared" si="5108"/>
        <v>0</v>
      </c>
      <c r="I2536" s="1" t="str">
        <f t="shared" si="5108"/>
        <v>0</v>
      </c>
      <c r="J2536" s="1" t="str">
        <f>"1"</f>
        <v>1</v>
      </c>
      <c r="K2536" s="1" t="str">
        <f t="shared" ref="K2536:P2536" si="5109">"0"</f>
        <v>0</v>
      </c>
      <c r="L2536" s="1" t="str">
        <f t="shared" si="5109"/>
        <v>0</v>
      </c>
      <c r="M2536" s="1" t="str">
        <f t="shared" si="5109"/>
        <v>0</v>
      </c>
      <c r="N2536" s="1" t="str">
        <f t="shared" si="5109"/>
        <v>0</v>
      </c>
      <c r="O2536" s="1" t="str">
        <f t="shared" si="5109"/>
        <v>0</v>
      </c>
      <c r="P2536" s="1" t="str">
        <f t="shared" si="5109"/>
        <v>0</v>
      </c>
      <c r="Q2536" s="1" t="str">
        <f t="shared" si="5033"/>
        <v>0.0070</v>
      </c>
      <c r="R2536" s="1" t="s">
        <v>29</v>
      </c>
      <c r="S2536" s="1">
        <v>-0.0014</v>
      </c>
      <c r="T2536" s="1" t="str">
        <f t="shared" si="5034"/>
        <v>0</v>
      </c>
      <c r="U2536" s="1" t="str">
        <f t="shared" si="5103"/>
        <v>0.0056</v>
      </c>
    </row>
    <row r="2537" s="1" customFormat="1" spans="1:21">
      <c r="A2537" s="1" t="str">
        <f>"4601992045310"</f>
        <v>4601992045310</v>
      </c>
      <c r="B2537" s="1" t="s">
        <v>2561</v>
      </c>
      <c r="C2537" s="1" t="s">
        <v>24</v>
      </c>
      <c r="D2537" s="1" t="str">
        <f t="shared" si="5030"/>
        <v>2021</v>
      </c>
      <c r="E2537" s="1" t="str">
        <f>"24.18"</f>
        <v>24.18</v>
      </c>
      <c r="F2537" s="1" t="str">
        <f t="shared" ref="F2537:I2537" si="5110">"0"</f>
        <v>0</v>
      </c>
      <c r="G2537" s="1" t="str">
        <f t="shared" si="5110"/>
        <v>0</v>
      </c>
      <c r="H2537" s="1" t="str">
        <f t="shared" si="5110"/>
        <v>0</v>
      </c>
      <c r="I2537" s="1" t="str">
        <f t="shared" si="5110"/>
        <v>0</v>
      </c>
      <c r="J2537" s="1" t="str">
        <f t="shared" ref="J2537:J2542" si="5111">"2"</f>
        <v>2</v>
      </c>
      <c r="K2537" s="1" t="str">
        <f t="shared" ref="K2537:P2537" si="5112">"0"</f>
        <v>0</v>
      </c>
      <c r="L2537" s="1" t="str">
        <f t="shared" si="5112"/>
        <v>0</v>
      </c>
      <c r="M2537" s="1" t="str">
        <f t="shared" si="5112"/>
        <v>0</v>
      </c>
      <c r="N2537" s="1" t="str">
        <f t="shared" si="5112"/>
        <v>0</v>
      </c>
      <c r="O2537" s="1" t="str">
        <f t="shared" si="5112"/>
        <v>0</v>
      </c>
      <c r="P2537" s="1" t="str">
        <f t="shared" si="5112"/>
        <v>0</v>
      </c>
      <c r="Q2537" s="1" t="str">
        <f t="shared" si="5033"/>
        <v>0.0070</v>
      </c>
      <c r="R2537" s="1" t="s">
        <v>29</v>
      </c>
      <c r="S2537" s="1">
        <v>-0.0014</v>
      </c>
      <c r="T2537" s="1" t="str">
        <f t="shared" si="5034"/>
        <v>0</v>
      </c>
      <c r="U2537" s="1" t="str">
        <f t="shared" si="5103"/>
        <v>0.0056</v>
      </c>
    </row>
    <row r="2538" s="1" customFormat="1" spans="1:21">
      <c r="A2538" s="1" t="str">
        <f>"4601992045385"</f>
        <v>4601992045385</v>
      </c>
      <c r="B2538" s="1" t="s">
        <v>2562</v>
      </c>
      <c r="C2538" s="1" t="s">
        <v>24</v>
      </c>
      <c r="D2538" s="1" t="str">
        <f t="shared" si="5030"/>
        <v>2021</v>
      </c>
      <c r="E2538" s="1" t="str">
        <f t="shared" ref="E2538:P2538" si="5113">"0"</f>
        <v>0</v>
      </c>
      <c r="F2538" s="1" t="str">
        <f t="shared" si="5113"/>
        <v>0</v>
      </c>
      <c r="G2538" s="1" t="str">
        <f t="shared" si="5113"/>
        <v>0</v>
      </c>
      <c r="H2538" s="1" t="str">
        <f t="shared" si="5113"/>
        <v>0</v>
      </c>
      <c r="I2538" s="1" t="str">
        <f t="shared" si="5113"/>
        <v>0</v>
      </c>
      <c r="J2538" s="1" t="str">
        <f t="shared" si="5113"/>
        <v>0</v>
      </c>
      <c r="K2538" s="1" t="str">
        <f t="shared" si="5113"/>
        <v>0</v>
      </c>
      <c r="L2538" s="1" t="str">
        <f t="shared" si="5113"/>
        <v>0</v>
      </c>
      <c r="M2538" s="1" t="str">
        <f t="shared" si="5113"/>
        <v>0</v>
      </c>
      <c r="N2538" s="1" t="str">
        <f t="shared" si="5113"/>
        <v>0</v>
      </c>
      <c r="O2538" s="1" t="str">
        <f t="shared" si="5113"/>
        <v>0</v>
      </c>
      <c r="P2538" s="1" t="str">
        <f t="shared" si="5113"/>
        <v>0</v>
      </c>
      <c r="Q2538" s="1" t="str">
        <f t="shared" si="5033"/>
        <v>0.0070</v>
      </c>
      <c r="R2538" s="1" t="s">
        <v>25</v>
      </c>
      <c r="T2538" s="1" t="str">
        <f t="shared" si="5034"/>
        <v>0</v>
      </c>
      <c r="U2538" s="1" t="str">
        <f t="shared" ref="U2538:U2543" si="5114">"0.0070"</f>
        <v>0.0070</v>
      </c>
    </row>
    <row r="2539" s="1" customFormat="1" spans="1:21">
      <c r="A2539" s="1" t="str">
        <f>"4601992045341"</f>
        <v>4601992045341</v>
      </c>
      <c r="B2539" s="1" t="s">
        <v>2563</v>
      </c>
      <c r="C2539" s="1" t="s">
        <v>24</v>
      </c>
      <c r="D2539" s="1" t="str">
        <f t="shared" si="5030"/>
        <v>2021</v>
      </c>
      <c r="E2539" s="1" t="str">
        <f t="shared" si="5107"/>
        <v>12.09</v>
      </c>
      <c r="F2539" s="1" t="str">
        <f t="shared" ref="F2539:I2539" si="5115">"0"</f>
        <v>0</v>
      </c>
      <c r="G2539" s="1" t="str">
        <f t="shared" si="5115"/>
        <v>0</v>
      </c>
      <c r="H2539" s="1" t="str">
        <f t="shared" si="5115"/>
        <v>0</v>
      </c>
      <c r="I2539" s="1" t="str">
        <f t="shared" si="5115"/>
        <v>0</v>
      </c>
      <c r="J2539" s="1" t="str">
        <f t="shared" si="5111"/>
        <v>2</v>
      </c>
      <c r="K2539" s="1" t="str">
        <f t="shared" ref="K2539:P2539" si="5116">"0"</f>
        <v>0</v>
      </c>
      <c r="L2539" s="1" t="str">
        <f t="shared" si="5116"/>
        <v>0</v>
      </c>
      <c r="M2539" s="1" t="str">
        <f t="shared" si="5116"/>
        <v>0</v>
      </c>
      <c r="N2539" s="1" t="str">
        <f t="shared" si="5116"/>
        <v>0</v>
      </c>
      <c r="O2539" s="1" t="str">
        <f t="shared" si="5116"/>
        <v>0</v>
      </c>
      <c r="P2539" s="1" t="str">
        <f t="shared" si="5116"/>
        <v>0</v>
      </c>
      <c r="Q2539" s="1" t="str">
        <f t="shared" si="5033"/>
        <v>0.0070</v>
      </c>
      <c r="R2539" s="1" t="s">
        <v>29</v>
      </c>
      <c r="S2539" s="1">
        <v>-0.0014</v>
      </c>
      <c r="T2539" s="1" t="str">
        <f t="shared" si="5034"/>
        <v>0</v>
      </c>
      <c r="U2539" s="1" t="str">
        <f t="shared" ref="U2539:U2542" si="5117">"0.0056"</f>
        <v>0.0056</v>
      </c>
    </row>
    <row r="2540" s="1" customFormat="1" spans="1:21">
      <c r="A2540" s="1" t="str">
        <f>"4601992045351"</f>
        <v>4601992045351</v>
      </c>
      <c r="B2540" s="1" t="s">
        <v>2564</v>
      </c>
      <c r="C2540" s="1" t="s">
        <v>24</v>
      </c>
      <c r="D2540" s="1" t="str">
        <f t="shared" si="5030"/>
        <v>2021</v>
      </c>
      <c r="E2540" s="1" t="str">
        <f t="shared" si="5107"/>
        <v>12.09</v>
      </c>
      <c r="F2540" s="1" t="str">
        <f t="shared" ref="F2540:I2540" si="5118">"0"</f>
        <v>0</v>
      </c>
      <c r="G2540" s="1" t="str">
        <f t="shared" si="5118"/>
        <v>0</v>
      </c>
      <c r="H2540" s="1" t="str">
        <f t="shared" si="5118"/>
        <v>0</v>
      </c>
      <c r="I2540" s="1" t="str">
        <f t="shared" si="5118"/>
        <v>0</v>
      </c>
      <c r="J2540" s="1" t="str">
        <f>"1"</f>
        <v>1</v>
      </c>
      <c r="K2540" s="1" t="str">
        <f t="shared" ref="K2540:P2540" si="5119">"0"</f>
        <v>0</v>
      </c>
      <c r="L2540" s="1" t="str">
        <f t="shared" si="5119"/>
        <v>0</v>
      </c>
      <c r="M2540" s="1" t="str">
        <f t="shared" si="5119"/>
        <v>0</v>
      </c>
      <c r="N2540" s="1" t="str">
        <f t="shared" si="5119"/>
        <v>0</v>
      </c>
      <c r="O2540" s="1" t="str">
        <f t="shared" si="5119"/>
        <v>0</v>
      </c>
      <c r="P2540" s="1" t="str">
        <f t="shared" si="5119"/>
        <v>0</v>
      </c>
      <c r="Q2540" s="1" t="str">
        <f t="shared" si="5033"/>
        <v>0.0070</v>
      </c>
      <c r="R2540" s="1" t="s">
        <v>29</v>
      </c>
      <c r="S2540" s="1">
        <v>-0.0014</v>
      </c>
      <c r="T2540" s="1" t="str">
        <f t="shared" si="5034"/>
        <v>0</v>
      </c>
      <c r="U2540" s="1" t="str">
        <f t="shared" si="5117"/>
        <v>0.0056</v>
      </c>
    </row>
    <row r="2541" s="1" customFormat="1" spans="1:21">
      <c r="A2541" s="1" t="str">
        <f>"4601992045381"</f>
        <v>4601992045381</v>
      </c>
      <c r="B2541" s="1" t="s">
        <v>2565</v>
      </c>
      <c r="C2541" s="1" t="s">
        <v>24</v>
      </c>
      <c r="D2541" s="1" t="str">
        <f t="shared" si="5030"/>
        <v>2021</v>
      </c>
      <c r="E2541" s="1" t="str">
        <f t="shared" ref="E2541:P2541" si="5120">"0"</f>
        <v>0</v>
      </c>
      <c r="F2541" s="1" t="str">
        <f t="shared" si="5120"/>
        <v>0</v>
      </c>
      <c r="G2541" s="1" t="str">
        <f t="shared" si="5120"/>
        <v>0</v>
      </c>
      <c r="H2541" s="1" t="str">
        <f t="shared" si="5120"/>
        <v>0</v>
      </c>
      <c r="I2541" s="1" t="str">
        <f t="shared" si="5120"/>
        <v>0</v>
      </c>
      <c r="J2541" s="1" t="str">
        <f t="shared" si="5120"/>
        <v>0</v>
      </c>
      <c r="K2541" s="1" t="str">
        <f t="shared" si="5120"/>
        <v>0</v>
      </c>
      <c r="L2541" s="1" t="str">
        <f t="shared" si="5120"/>
        <v>0</v>
      </c>
      <c r="M2541" s="1" t="str">
        <f t="shared" si="5120"/>
        <v>0</v>
      </c>
      <c r="N2541" s="1" t="str">
        <f t="shared" si="5120"/>
        <v>0</v>
      </c>
      <c r="O2541" s="1" t="str">
        <f t="shared" si="5120"/>
        <v>0</v>
      </c>
      <c r="P2541" s="1" t="str">
        <f t="shared" si="5120"/>
        <v>0</v>
      </c>
      <c r="Q2541" s="1" t="str">
        <f t="shared" si="5033"/>
        <v>0.0070</v>
      </c>
      <c r="R2541" s="1" t="s">
        <v>25</v>
      </c>
      <c r="T2541" s="1" t="str">
        <f t="shared" si="5034"/>
        <v>0</v>
      </c>
      <c r="U2541" s="1" t="str">
        <f t="shared" si="5114"/>
        <v>0.0070</v>
      </c>
    </row>
    <row r="2542" s="1" customFormat="1" spans="1:21">
      <c r="A2542" s="1" t="str">
        <f>"4601992045420"</f>
        <v>4601992045420</v>
      </c>
      <c r="B2542" s="1" t="s">
        <v>2566</v>
      </c>
      <c r="C2542" s="1" t="s">
        <v>24</v>
      </c>
      <c r="D2542" s="1" t="str">
        <f t="shared" si="5030"/>
        <v>2021</v>
      </c>
      <c r="E2542" s="1" t="str">
        <f>"24.32"</f>
        <v>24.32</v>
      </c>
      <c r="F2542" s="1" t="str">
        <f t="shared" ref="F2542:I2542" si="5121">"0"</f>
        <v>0</v>
      </c>
      <c r="G2542" s="1" t="str">
        <f t="shared" si="5121"/>
        <v>0</v>
      </c>
      <c r="H2542" s="1" t="str">
        <f t="shared" si="5121"/>
        <v>0</v>
      </c>
      <c r="I2542" s="1" t="str">
        <f t="shared" si="5121"/>
        <v>0</v>
      </c>
      <c r="J2542" s="1" t="str">
        <f t="shared" si="5111"/>
        <v>2</v>
      </c>
      <c r="K2542" s="1" t="str">
        <f t="shared" ref="K2542:P2542" si="5122">"0"</f>
        <v>0</v>
      </c>
      <c r="L2542" s="1" t="str">
        <f t="shared" si="5122"/>
        <v>0</v>
      </c>
      <c r="M2542" s="1" t="str">
        <f t="shared" si="5122"/>
        <v>0</v>
      </c>
      <c r="N2542" s="1" t="str">
        <f t="shared" si="5122"/>
        <v>0</v>
      </c>
      <c r="O2542" s="1" t="str">
        <f t="shared" si="5122"/>
        <v>0</v>
      </c>
      <c r="P2542" s="1" t="str">
        <f t="shared" si="5122"/>
        <v>0</v>
      </c>
      <c r="Q2542" s="1" t="str">
        <f t="shared" si="5033"/>
        <v>0.0070</v>
      </c>
      <c r="R2542" s="1" t="s">
        <v>29</v>
      </c>
      <c r="S2542" s="1">
        <v>-0.0014</v>
      </c>
      <c r="T2542" s="1" t="str">
        <f t="shared" si="5034"/>
        <v>0</v>
      </c>
      <c r="U2542" s="1" t="str">
        <f t="shared" si="5117"/>
        <v>0.0056</v>
      </c>
    </row>
    <row r="2543" s="1" customFormat="1" spans="1:21">
      <c r="A2543" s="1" t="str">
        <f>"4601992045451"</f>
        <v>4601992045451</v>
      </c>
      <c r="B2543" s="1" t="s">
        <v>2567</v>
      </c>
      <c r="C2543" s="1" t="s">
        <v>24</v>
      </c>
      <c r="D2543" s="1" t="str">
        <f t="shared" si="5030"/>
        <v>2021</v>
      </c>
      <c r="E2543" s="1" t="str">
        <f t="shared" ref="E2543:P2543" si="5123">"0"</f>
        <v>0</v>
      </c>
      <c r="F2543" s="1" t="str">
        <f t="shared" si="5123"/>
        <v>0</v>
      </c>
      <c r="G2543" s="1" t="str">
        <f t="shared" si="5123"/>
        <v>0</v>
      </c>
      <c r="H2543" s="1" t="str">
        <f t="shared" si="5123"/>
        <v>0</v>
      </c>
      <c r="I2543" s="1" t="str">
        <f t="shared" si="5123"/>
        <v>0</v>
      </c>
      <c r="J2543" s="1" t="str">
        <f t="shared" si="5123"/>
        <v>0</v>
      </c>
      <c r="K2543" s="1" t="str">
        <f t="shared" si="5123"/>
        <v>0</v>
      </c>
      <c r="L2543" s="1" t="str">
        <f t="shared" si="5123"/>
        <v>0</v>
      </c>
      <c r="M2543" s="1" t="str">
        <f t="shared" si="5123"/>
        <v>0</v>
      </c>
      <c r="N2543" s="1" t="str">
        <f t="shared" si="5123"/>
        <v>0</v>
      </c>
      <c r="O2543" s="1" t="str">
        <f t="shared" si="5123"/>
        <v>0</v>
      </c>
      <c r="P2543" s="1" t="str">
        <f t="shared" si="5123"/>
        <v>0</v>
      </c>
      <c r="Q2543" s="1" t="str">
        <f t="shared" si="5033"/>
        <v>0.0070</v>
      </c>
      <c r="R2543" s="1" t="s">
        <v>25</v>
      </c>
      <c r="T2543" s="1" t="str">
        <f t="shared" si="5034"/>
        <v>0</v>
      </c>
      <c r="U2543" s="1" t="str">
        <f t="shared" si="5114"/>
        <v>0.0070</v>
      </c>
    </row>
    <row r="2544" s="1" customFormat="1" spans="1:21">
      <c r="A2544" s="1" t="str">
        <f>"4601992045329"</f>
        <v>4601992045329</v>
      </c>
      <c r="B2544" s="1" t="s">
        <v>2568</v>
      </c>
      <c r="C2544" s="1" t="s">
        <v>24</v>
      </c>
      <c r="D2544" s="1" t="str">
        <f t="shared" si="5030"/>
        <v>2021</v>
      </c>
      <c r="E2544" s="1" t="str">
        <f>"12.09"</f>
        <v>12.09</v>
      </c>
      <c r="F2544" s="1" t="str">
        <f t="shared" ref="F2544:I2544" si="5124">"0"</f>
        <v>0</v>
      </c>
      <c r="G2544" s="1" t="str">
        <f t="shared" si="5124"/>
        <v>0</v>
      </c>
      <c r="H2544" s="1" t="str">
        <f t="shared" si="5124"/>
        <v>0</v>
      </c>
      <c r="I2544" s="1" t="str">
        <f t="shared" si="5124"/>
        <v>0</v>
      </c>
      <c r="J2544" s="1" t="str">
        <f>"1"</f>
        <v>1</v>
      </c>
      <c r="K2544" s="1" t="str">
        <f t="shared" ref="K2544:P2544" si="5125">"0"</f>
        <v>0</v>
      </c>
      <c r="L2544" s="1" t="str">
        <f t="shared" si="5125"/>
        <v>0</v>
      </c>
      <c r="M2544" s="1" t="str">
        <f t="shared" si="5125"/>
        <v>0</v>
      </c>
      <c r="N2544" s="1" t="str">
        <f t="shared" si="5125"/>
        <v>0</v>
      </c>
      <c r="O2544" s="1" t="str">
        <f t="shared" si="5125"/>
        <v>0</v>
      </c>
      <c r="P2544" s="1" t="str">
        <f t="shared" si="5125"/>
        <v>0</v>
      </c>
      <c r="Q2544" s="1" t="str">
        <f t="shared" si="5033"/>
        <v>0.0070</v>
      </c>
      <c r="R2544" s="1" t="s">
        <v>29</v>
      </c>
      <c r="S2544" s="1">
        <v>-0.0014</v>
      </c>
      <c r="T2544" s="1" t="str">
        <f t="shared" si="5034"/>
        <v>0</v>
      </c>
      <c r="U2544" s="1" t="str">
        <f>"0.0056"</f>
        <v>0.0056</v>
      </c>
    </row>
    <row r="2545" s="1" customFormat="1" spans="1:21">
      <c r="A2545" s="1" t="str">
        <f>"4601992045454"</f>
        <v>4601992045454</v>
      </c>
      <c r="B2545" s="1" t="s">
        <v>2569</v>
      </c>
      <c r="C2545" s="1" t="s">
        <v>24</v>
      </c>
      <c r="D2545" s="1" t="str">
        <f t="shared" si="5030"/>
        <v>2021</v>
      </c>
      <c r="E2545" s="1" t="str">
        <f>"24.18"</f>
        <v>24.18</v>
      </c>
      <c r="F2545" s="1" t="str">
        <f t="shared" ref="F2545:I2545" si="5126">"0"</f>
        <v>0</v>
      </c>
      <c r="G2545" s="1" t="str">
        <f t="shared" si="5126"/>
        <v>0</v>
      </c>
      <c r="H2545" s="1" t="str">
        <f t="shared" si="5126"/>
        <v>0</v>
      </c>
      <c r="I2545" s="1" t="str">
        <f t="shared" si="5126"/>
        <v>0</v>
      </c>
      <c r="J2545" s="1" t="str">
        <f>"2"</f>
        <v>2</v>
      </c>
      <c r="K2545" s="1" t="str">
        <f t="shared" ref="K2545:P2545" si="5127">"0"</f>
        <v>0</v>
      </c>
      <c r="L2545" s="1" t="str">
        <f t="shared" si="5127"/>
        <v>0</v>
      </c>
      <c r="M2545" s="1" t="str">
        <f t="shared" si="5127"/>
        <v>0</v>
      </c>
      <c r="N2545" s="1" t="str">
        <f t="shared" si="5127"/>
        <v>0</v>
      </c>
      <c r="O2545" s="1" t="str">
        <f t="shared" si="5127"/>
        <v>0</v>
      </c>
      <c r="P2545" s="1" t="str">
        <f t="shared" si="5127"/>
        <v>0</v>
      </c>
      <c r="Q2545" s="1" t="str">
        <f t="shared" si="5033"/>
        <v>0.0070</v>
      </c>
      <c r="R2545" s="1" t="s">
        <v>25</v>
      </c>
      <c r="T2545" s="1" t="str">
        <f t="shared" si="5034"/>
        <v>0</v>
      </c>
      <c r="U2545" s="1" t="str">
        <f t="shared" ref="U2545:U2549" si="5128">"0.0070"</f>
        <v>0.0070</v>
      </c>
    </row>
    <row r="2546" s="1" customFormat="1" spans="1:21">
      <c r="A2546" s="1" t="str">
        <f>"4601992045510"</f>
        <v>4601992045510</v>
      </c>
      <c r="B2546" s="1" t="s">
        <v>2570</v>
      </c>
      <c r="C2546" s="1" t="s">
        <v>24</v>
      </c>
      <c r="D2546" s="1" t="str">
        <f t="shared" si="5030"/>
        <v>2021</v>
      </c>
      <c r="E2546" s="1" t="str">
        <f t="shared" ref="E2546:P2546" si="5129">"0"</f>
        <v>0</v>
      </c>
      <c r="F2546" s="1" t="str">
        <f t="shared" si="5129"/>
        <v>0</v>
      </c>
      <c r="G2546" s="1" t="str">
        <f t="shared" si="5129"/>
        <v>0</v>
      </c>
      <c r="H2546" s="1" t="str">
        <f t="shared" si="5129"/>
        <v>0</v>
      </c>
      <c r="I2546" s="1" t="str">
        <f t="shared" si="5129"/>
        <v>0</v>
      </c>
      <c r="J2546" s="1" t="str">
        <f t="shared" si="5129"/>
        <v>0</v>
      </c>
      <c r="K2546" s="1" t="str">
        <f t="shared" si="5129"/>
        <v>0</v>
      </c>
      <c r="L2546" s="1" t="str">
        <f t="shared" si="5129"/>
        <v>0</v>
      </c>
      <c r="M2546" s="1" t="str">
        <f t="shared" si="5129"/>
        <v>0</v>
      </c>
      <c r="N2546" s="1" t="str">
        <f t="shared" si="5129"/>
        <v>0</v>
      </c>
      <c r="O2546" s="1" t="str">
        <f t="shared" si="5129"/>
        <v>0</v>
      </c>
      <c r="P2546" s="1" t="str">
        <f t="shared" si="5129"/>
        <v>0</v>
      </c>
      <c r="Q2546" s="1" t="str">
        <f t="shared" si="5033"/>
        <v>0.0070</v>
      </c>
      <c r="R2546" s="1" t="s">
        <v>25</v>
      </c>
      <c r="T2546" s="1" t="str">
        <f t="shared" si="5034"/>
        <v>0</v>
      </c>
      <c r="U2546" s="1" t="str">
        <f t="shared" si="5128"/>
        <v>0.0070</v>
      </c>
    </row>
    <row r="2547" s="1" customFormat="1" spans="1:21">
      <c r="A2547" s="1" t="str">
        <f>"4601992045518"</f>
        <v>4601992045518</v>
      </c>
      <c r="B2547" s="1" t="s">
        <v>2571</v>
      </c>
      <c r="C2547" s="1" t="s">
        <v>24</v>
      </c>
      <c r="D2547" s="1" t="str">
        <f t="shared" si="5030"/>
        <v>2021</v>
      </c>
      <c r="E2547" s="1" t="str">
        <f t="shared" ref="E2547:P2547" si="5130">"0"</f>
        <v>0</v>
      </c>
      <c r="F2547" s="1" t="str">
        <f t="shared" si="5130"/>
        <v>0</v>
      </c>
      <c r="G2547" s="1" t="str">
        <f t="shared" si="5130"/>
        <v>0</v>
      </c>
      <c r="H2547" s="1" t="str">
        <f t="shared" si="5130"/>
        <v>0</v>
      </c>
      <c r="I2547" s="1" t="str">
        <f t="shared" si="5130"/>
        <v>0</v>
      </c>
      <c r="J2547" s="1" t="str">
        <f t="shared" si="5130"/>
        <v>0</v>
      </c>
      <c r="K2547" s="1" t="str">
        <f t="shared" si="5130"/>
        <v>0</v>
      </c>
      <c r="L2547" s="1" t="str">
        <f t="shared" si="5130"/>
        <v>0</v>
      </c>
      <c r="M2547" s="1" t="str">
        <f t="shared" si="5130"/>
        <v>0</v>
      </c>
      <c r="N2547" s="1" t="str">
        <f t="shared" si="5130"/>
        <v>0</v>
      </c>
      <c r="O2547" s="1" t="str">
        <f t="shared" si="5130"/>
        <v>0</v>
      </c>
      <c r="P2547" s="1" t="str">
        <f t="shared" si="5130"/>
        <v>0</v>
      </c>
      <c r="Q2547" s="1" t="str">
        <f t="shared" si="5033"/>
        <v>0.0070</v>
      </c>
      <c r="R2547" s="1" t="s">
        <v>25</v>
      </c>
      <c r="T2547" s="1" t="str">
        <f t="shared" si="5034"/>
        <v>0</v>
      </c>
      <c r="U2547" s="1" t="str">
        <f t="shared" si="5128"/>
        <v>0.0070</v>
      </c>
    </row>
    <row r="2548" s="1" customFormat="1" spans="1:21">
      <c r="A2548" s="1" t="str">
        <f>"4601992045530"</f>
        <v>4601992045530</v>
      </c>
      <c r="B2548" s="1" t="s">
        <v>2572</v>
      </c>
      <c r="C2548" s="1" t="s">
        <v>24</v>
      </c>
      <c r="D2548" s="1" t="str">
        <f t="shared" si="5030"/>
        <v>2021</v>
      </c>
      <c r="E2548" s="1" t="str">
        <f t="shared" ref="E2548:P2548" si="5131">"0"</f>
        <v>0</v>
      </c>
      <c r="F2548" s="1" t="str">
        <f t="shared" si="5131"/>
        <v>0</v>
      </c>
      <c r="G2548" s="1" t="str">
        <f t="shared" si="5131"/>
        <v>0</v>
      </c>
      <c r="H2548" s="1" t="str">
        <f t="shared" si="5131"/>
        <v>0</v>
      </c>
      <c r="I2548" s="1" t="str">
        <f t="shared" si="5131"/>
        <v>0</v>
      </c>
      <c r="J2548" s="1" t="str">
        <f t="shared" si="5131"/>
        <v>0</v>
      </c>
      <c r="K2548" s="1" t="str">
        <f t="shared" si="5131"/>
        <v>0</v>
      </c>
      <c r="L2548" s="1" t="str">
        <f t="shared" si="5131"/>
        <v>0</v>
      </c>
      <c r="M2548" s="1" t="str">
        <f t="shared" si="5131"/>
        <v>0</v>
      </c>
      <c r="N2548" s="1" t="str">
        <f t="shared" si="5131"/>
        <v>0</v>
      </c>
      <c r="O2548" s="1" t="str">
        <f t="shared" si="5131"/>
        <v>0</v>
      </c>
      <c r="P2548" s="1" t="str">
        <f t="shared" si="5131"/>
        <v>0</v>
      </c>
      <c r="Q2548" s="1" t="str">
        <f t="shared" si="5033"/>
        <v>0.0070</v>
      </c>
      <c r="R2548" s="1" t="s">
        <v>25</v>
      </c>
      <c r="T2548" s="1" t="str">
        <f t="shared" si="5034"/>
        <v>0</v>
      </c>
      <c r="U2548" s="1" t="str">
        <f t="shared" si="5128"/>
        <v>0.0070</v>
      </c>
    </row>
    <row r="2549" s="1" customFormat="1" spans="1:21">
      <c r="A2549" s="1" t="str">
        <f>"4601992045533"</f>
        <v>4601992045533</v>
      </c>
      <c r="B2549" s="1" t="s">
        <v>2573</v>
      </c>
      <c r="C2549" s="1" t="s">
        <v>24</v>
      </c>
      <c r="D2549" s="1" t="str">
        <f t="shared" si="5030"/>
        <v>2021</v>
      </c>
      <c r="E2549" s="1" t="str">
        <f t="shared" ref="E2549:P2549" si="5132">"0"</f>
        <v>0</v>
      </c>
      <c r="F2549" s="1" t="str">
        <f t="shared" si="5132"/>
        <v>0</v>
      </c>
      <c r="G2549" s="1" t="str">
        <f t="shared" si="5132"/>
        <v>0</v>
      </c>
      <c r="H2549" s="1" t="str">
        <f t="shared" si="5132"/>
        <v>0</v>
      </c>
      <c r="I2549" s="1" t="str">
        <f t="shared" si="5132"/>
        <v>0</v>
      </c>
      <c r="J2549" s="1" t="str">
        <f t="shared" si="5132"/>
        <v>0</v>
      </c>
      <c r="K2549" s="1" t="str">
        <f t="shared" si="5132"/>
        <v>0</v>
      </c>
      <c r="L2549" s="1" t="str">
        <f t="shared" si="5132"/>
        <v>0</v>
      </c>
      <c r="M2549" s="1" t="str">
        <f t="shared" si="5132"/>
        <v>0</v>
      </c>
      <c r="N2549" s="1" t="str">
        <f t="shared" si="5132"/>
        <v>0</v>
      </c>
      <c r="O2549" s="1" t="str">
        <f t="shared" si="5132"/>
        <v>0</v>
      </c>
      <c r="P2549" s="1" t="str">
        <f t="shared" si="5132"/>
        <v>0</v>
      </c>
      <c r="Q2549" s="1" t="str">
        <f t="shared" si="5033"/>
        <v>0.0070</v>
      </c>
      <c r="R2549" s="1" t="s">
        <v>25</v>
      </c>
      <c r="T2549" s="1" t="str">
        <f t="shared" si="5034"/>
        <v>0</v>
      </c>
      <c r="U2549" s="1" t="str">
        <f t="shared" si="5128"/>
        <v>0.0070</v>
      </c>
    </row>
    <row r="2550" s="1" customFormat="1" spans="1:21">
      <c r="A2550" s="1" t="str">
        <f>"4601992045496"</f>
        <v>4601992045496</v>
      </c>
      <c r="B2550" s="1" t="s">
        <v>2574</v>
      </c>
      <c r="C2550" s="1" t="s">
        <v>24</v>
      </c>
      <c r="D2550" s="1" t="str">
        <f t="shared" si="5030"/>
        <v>2021</v>
      </c>
      <c r="E2550" s="1" t="str">
        <f>"146.99"</f>
        <v>146.99</v>
      </c>
      <c r="F2550" s="1" t="str">
        <f t="shared" ref="F2550:I2550" si="5133">"0"</f>
        <v>0</v>
      </c>
      <c r="G2550" s="1" t="str">
        <f t="shared" si="5133"/>
        <v>0</v>
      </c>
      <c r="H2550" s="1" t="str">
        <f t="shared" si="5133"/>
        <v>0</v>
      </c>
      <c r="I2550" s="1" t="str">
        <f t="shared" si="5133"/>
        <v>0</v>
      </c>
      <c r="J2550" s="1" t="str">
        <f>"8"</f>
        <v>8</v>
      </c>
      <c r="K2550" s="1" t="str">
        <f t="shared" ref="K2550:P2550" si="5134">"0"</f>
        <v>0</v>
      </c>
      <c r="L2550" s="1" t="str">
        <f t="shared" si="5134"/>
        <v>0</v>
      </c>
      <c r="M2550" s="1" t="str">
        <f t="shared" si="5134"/>
        <v>0</v>
      </c>
      <c r="N2550" s="1" t="str">
        <f t="shared" si="5134"/>
        <v>0</v>
      </c>
      <c r="O2550" s="1" t="str">
        <f t="shared" si="5134"/>
        <v>0</v>
      </c>
      <c r="P2550" s="1" t="str">
        <f t="shared" si="5134"/>
        <v>0</v>
      </c>
      <c r="Q2550" s="1" t="str">
        <f t="shared" si="5033"/>
        <v>0.0070</v>
      </c>
      <c r="R2550" s="1" t="s">
        <v>29</v>
      </c>
      <c r="S2550" s="1">
        <v>-0.0014</v>
      </c>
      <c r="T2550" s="1" t="str">
        <f t="shared" si="5034"/>
        <v>0</v>
      </c>
      <c r="U2550" s="1" t="str">
        <f>"0.0056"</f>
        <v>0.0056</v>
      </c>
    </row>
    <row r="2551" s="1" customFormat="1" spans="1:21">
      <c r="A2551" s="1" t="str">
        <f>"4601992045429"</f>
        <v>4601992045429</v>
      </c>
      <c r="B2551" s="1" t="s">
        <v>2575</v>
      </c>
      <c r="C2551" s="1" t="s">
        <v>24</v>
      </c>
      <c r="D2551" s="1" t="str">
        <f t="shared" si="5030"/>
        <v>2021</v>
      </c>
      <c r="E2551" s="1" t="str">
        <f t="shared" ref="E2551:P2551" si="5135">"0"</f>
        <v>0</v>
      </c>
      <c r="F2551" s="1" t="str">
        <f t="shared" si="5135"/>
        <v>0</v>
      </c>
      <c r="G2551" s="1" t="str">
        <f t="shared" si="5135"/>
        <v>0</v>
      </c>
      <c r="H2551" s="1" t="str">
        <f t="shared" si="5135"/>
        <v>0</v>
      </c>
      <c r="I2551" s="1" t="str">
        <f t="shared" si="5135"/>
        <v>0</v>
      </c>
      <c r="J2551" s="1" t="str">
        <f t="shared" si="5135"/>
        <v>0</v>
      </c>
      <c r="K2551" s="1" t="str">
        <f t="shared" si="5135"/>
        <v>0</v>
      </c>
      <c r="L2551" s="1" t="str">
        <f t="shared" si="5135"/>
        <v>0</v>
      </c>
      <c r="M2551" s="1" t="str">
        <f t="shared" si="5135"/>
        <v>0</v>
      </c>
      <c r="N2551" s="1" t="str">
        <f t="shared" si="5135"/>
        <v>0</v>
      </c>
      <c r="O2551" s="1" t="str">
        <f t="shared" si="5135"/>
        <v>0</v>
      </c>
      <c r="P2551" s="1" t="str">
        <f t="shared" si="5135"/>
        <v>0</v>
      </c>
      <c r="Q2551" s="1" t="str">
        <f t="shared" si="5033"/>
        <v>0.0070</v>
      </c>
      <c r="R2551" s="1" t="s">
        <v>25</v>
      </c>
      <c r="T2551" s="1" t="str">
        <f t="shared" si="5034"/>
        <v>0</v>
      </c>
      <c r="U2551" s="1" t="str">
        <f t="shared" ref="U2551:U2557" si="5136">"0.0070"</f>
        <v>0.0070</v>
      </c>
    </row>
    <row r="2552" s="1" customFormat="1" spans="1:21">
      <c r="A2552" s="1" t="str">
        <f>"4601992045354"</f>
        <v>4601992045354</v>
      </c>
      <c r="B2552" s="1" t="s">
        <v>2576</v>
      </c>
      <c r="C2552" s="1" t="s">
        <v>24</v>
      </c>
      <c r="D2552" s="1" t="str">
        <f t="shared" si="5030"/>
        <v>2021</v>
      </c>
      <c r="E2552" s="1" t="str">
        <f t="shared" ref="E2552:P2552" si="5137">"0"</f>
        <v>0</v>
      </c>
      <c r="F2552" s="1" t="str">
        <f t="shared" si="5137"/>
        <v>0</v>
      </c>
      <c r="G2552" s="1" t="str">
        <f t="shared" si="5137"/>
        <v>0</v>
      </c>
      <c r="H2552" s="1" t="str">
        <f t="shared" si="5137"/>
        <v>0</v>
      </c>
      <c r="I2552" s="1" t="str">
        <f t="shared" si="5137"/>
        <v>0</v>
      </c>
      <c r="J2552" s="1" t="str">
        <f t="shared" si="5137"/>
        <v>0</v>
      </c>
      <c r="K2552" s="1" t="str">
        <f t="shared" si="5137"/>
        <v>0</v>
      </c>
      <c r="L2552" s="1" t="str">
        <f t="shared" si="5137"/>
        <v>0</v>
      </c>
      <c r="M2552" s="1" t="str">
        <f t="shared" si="5137"/>
        <v>0</v>
      </c>
      <c r="N2552" s="1" t="str">
        <f t="shared" si="5137"/>
        <v>0</v>
      </c>
      <c r="O2552" s="1" t="str">
        <f t="shared" si="5137"/>
        <v>0</v>
      </c>
      <c r="P2552" s="1" t="str">
        <f t="shared" si="5137"/>
        <v>0</v>
      </c>
      <c r="Q2552" s="1" t="str">
        <f t="shared" si="5033"/>
        <v>0.0070</v>
      </c>
      <c r="R2552" s="1" t="s">
        <v>25</v>
      </c>
      <c r="T2552" s="1" t="str">
        <f t="shared" si="5034"/>
        <v>0</v>
      </c>
      <c r="U2552" s="1" t="str">
        <f t="shared" si="5136"/>
        <v>0.0070</v>
      </c>
    </row>
    <row r="2553" s="1" customFormat="1" spans="1:21">
      <c r="A2553" s="1" t="str">
        <f>"4601992045528"</f>
        <v>4601992045528</v>
      </c>
      <c r="B2553" s="1" t="s">
        <v>2577</v>
      </c>
      <c r="C2553" s="1" t="s">
        <v>24</v>
      </c>
      <c r="D2553" s="1" t="str">
        <f t="shared" si="5030"/>
        <v>2021</v>
      </c>
      <c r="E2553" s="1" t="str">
        <f>"36.27"</f>
        <v>36.27</v>
      </c>
      <c r="F2553" s="1" t="str">
        <f t="shared" ref="F2553:I2553" si="5138">"0"</f>
        <v>0</v>
      </c>
      <c r="G2553" s="1" t="str">
        <f t="shared" si="5138"/>
        <v>0</v>
      </c>
      <c r="H2553" s="1" t="str">
        <f t="shared" si="5138"/>
        <v>0</v>
      </c>
      <c r="I2553" s="1" t="str">
        <f t="shared" si="5138"/>
        <v>0</v>
      </c>
      <c r="J2553" s="1" t="str">
        <f>"2"</f>
        <v>2</v>
      </c>
      <c r="K2553" s="1" t="str">
        <f t="shared" ref="K2553:P2553" si="5139">"0"</f>
        <v>0</v>
      </c>
      <c r="L2553" s="1" t="str">
        <f t="shared" si="5139"/>
        <v>0</v>
      </c>
      <c r="M2553" s="1" t="str">
        <f t="shared" si="5139"/>
        <v>0</v>
      </c>
      <c r="N2553" s="1" t="str">
        <f t="shared" si="5139"/>
        <v>0</v>
      </c>
      <c r="O2553" s="1" t="str">
        <f t="shared" si="5139"/>
        <v>0</v>
      </c>
      <c r="P2553" s="1" t="str">
        <f t="shared" si="5139"/>
        <v>0</v>
      </c>
      <c r="Q2553" s="1" t="str">
        <f t="shared" si="5033"/>
        <v>0.0070</v>
      </c>
      <c r="R2553" s="1" t="s">
        <v>29</v>
      </c>
      <c r="S2553" s="1">
        <v>-0.0014</v>
      </c>
      <c r="T2553" s="1" t="str">
        <f t="shared" si="5034"/>
        <v>0</v>
      </c>
      <c r="U2553" s="1" t="str">
        <f>"0.0056"</f>
        <v>0.0056</v>
      </c>
    </row>
    <row r="2554" s="1" customFormat="1" spans="1:21">
      <c r="A2554" s="1" t="str">
        <f>"4601992045554"</f>
        <v>4601992045554</v>
      </c>
      <c r="B2554" s="1" t="s">
        <v>2578</v>
      </c>
      <c r="C2554" s="1" t="s">
        <v>24</v>
      </c>
      <c r="D2554" s="1" t="str">
        <f t="shared" si="5030"/>
        <v>2021</v>
      </c>
      <c r="E2554" s="1" t="str">
        <f t="shared" ref="E2554:P2554" si="5140">"0"</f>
        <v>0</v>
      </c>
      <c r="F2554" s="1" t="str">
        <f t="shared" si="5140"/>
        <v>0</v>
      </c>
      <c r="G2554" s="1" t="str">
        <f t="shared" si="5140"/>
        <v>0</v>
      </c>
      <c r="H2554" s="1" t="str">
        <f t="shared" si="5140"/>
        <v>0</v>
      </c>
      <c r="I2554" s="1" t="str">
        <f t="shared" si="5140"/>
        <v>0</v>
      </c>
      <c r="J2554" s="1" t="str">
        <f t="shared" si="5140"/>
        <v>0</v>
      </c>
      <c r="K2554" s="1" t="str">
        <f t="shared" si="5140"/>
        <v>0</v>
      </c>
      <c r="L2554" s="1" t="str">
        <f t="shared" si="5140"/>
        <v>0</v>
      </c>
      <c r="M2554" s="1" t="str">
        <f t="shared" si="5140"/>
        <v>0</v>
      </c>
      <c r="N2554" s="1" t="str">
        <f t="shared" si="5140"/>
        <v>0</v>
      </c>
      <c r="O2554" s="1" t="str">
        <f t="shared" si="5140"/>
        <v>0</v>
      </c>
      <c r="P2554" s="1" t="str">
        <f t="shared" si="5140"/>
        <v>0</v>
      </c>
      <c r="Q2554" s="1" t="str">
        <f t="shared" si="5033"/>
        <v>0.0070</v>
      </c>
      <c r="R2554" s="1" t="s">
        <v>25</v>
      </c>
      <c r="T2554" s="1" t="str">
        <f t="shared" si="5034"/>
        <v>0</v>
      </c>
      <c r="U2554" s="1" t="str">
        <f t="shared" si="5136"/>
        <v>0.0070</v>
      </c>
    </row>
    <row r="2555" s="1" customFormat="1" spans="1:21">
      <c r="A2555" s="1" t="str">
        <f>"4601992045599"</f>
        <v>4601992045599</v>
      </c>
      <c r="B2555" s="1" t="s">
        <v>2579</v>
      </c>
      <c r="C2555" s="1" t="s">
        <v>24</v>
      </c>
      <c r="D2555" s="1" t="str">
        <f t="shared" si="5030"/>
        <v>2021</v>
      </c>
      <c r="E2555" s="1" t="str">
        <f t="shared" ref="E2555:P2555" si="5141">"0"</f>
        <v>0</v>
      </c>
      <c r="F2555" s="1" t="str">
        <f t="shared" si="5141"/>
        <v>0</v>
      </c>
      <c r="G2555" s="1" t="str">
        <f t="shared" si="5141"/>
        <v>0</v>
      </c>
      <c r="H2555" s="1" t="str">
        <f t="shared" si="5141"/>
        <v>0</v>
      </c>
      <c r="I2555" s="1" t="str">
        <f t="shared" si="5141"/>
        <v>0</v>
      </c>
      <c r="J2555" s="1" t="str">
        <f t="shared" si="5141"/>
        <v>0</v>
      </c>
      <c r="K2555" s="1" t="str">
        <f t="shared" si="5141"/>
        <v>0</v>
      </c>
      <c r="L2555" s="1" t="str">
        <f t="shared" si="5141"/>
        <v>0</v>
      </c>
      <c r="M2555" s="1" t="str">
        <f t="shared" si="5141"/>
        <v>0</v>
      </c>
      <c r="N2555" s="1" t="str">
        <f t="shared" si="5141"/>
        <v>0</v>
      </c>
      <c r="O2555" s="1" t="str">
        <f t="shared" si="5141"/>
        <v>0</v>
      </c>
      <c r="P2555" s="1" t="str">
        <f t="shared" si="5141"/>
        <v>0</v>
      </c>
      <c r="Q2555" s="1" t="str">
        <f t="shared" si="5033"/>
        <v>0.0070</v>
      </c>
      <c r="R2555" s="1" t="s">
        <v>25</v>
      </c>
      <c r="T2555" s="1" t="str">
        <f t="shared" si="5034"/>
        <v>0</v>
      </c>
      <c r="U2555" s="1" t="str">
        <f t="shared" si="5136"/>
        <v>0.0070</v>
      </c>
    </row>
    <row r="2556" s="1" customFormat="1" spans="1:21">
      <c r="A2556" s="1" t="str">
        <f>"4601992045664"</f>
        <v>4601992045664</v>
      </c>
      <c r="B2556" s="1" t="s">
        <v>2580</v>
      </c>
      <c r="C2556" s="1" t="s">
        <v>24</v>
      </c>
      <c r="D2556" s="1" t="str">
        <f t="shared" si="5030"/>
        <v>2021</v>
      </c>
      <c r="E2556" s="1" t="str">
        <f t="shared" ref="E2556:P2556" si="5142">"0"</f>
        <v>0</v>
      </c>
      <c r="F2556" s="1" t="str">
        <f t="shared" si="5142"/>
        <v>0</v>
      </c>
      <c r="G2556" s="1" t="str">
        <f t="shared" si="5142"/>
        <v>0</v>
      </c>
      <c r="H2556" s="1" t="str">
        <f t="shared" si="5142"/>
        <v>0</v>
      </c>
      <c r="I2556" s="1" t="str">
        <f t="shared" si="5142"/>
        <v>0</v>
      </c>
      <c r="J2556" s="1" t="str">
        <f t="shared" si="5142"/>
        <v>0</v>
      </c>
      <c r="K2556" s="1" t="str">
        <f t="shared" si="5142"/>
        <v>0</v>
      </c>
      <c r="L2556" s="1" t="str">
        <f t="shared" si="5142"/>
        <v>0</v>
      </c>
      <c r="M2556" s="1" t="str">
        <f t="shared" si="5142"/>
        <v>0</v>
      </c>
      <c r="N2556" s="1" t="str">
        <f t="shared" si="5142"/>
        <v>0</v>
      </c>
      <c r="O2556" s="1" t="str">
        <f t="shared" si="5142"/>
        <v>0</v>
      </c>
      <c r="P2556" s="1" t="str">
        <f t="shared" si="5142"/>
        <v>0</v>
      </c>
      <c r="Q2556" s="1" t="str">
        <f t="shared" si="5033"/>
        <v>0.0070</v>
      </c>
      <c r="R2556" s="1" t="s">
        <v>25</v>
      </c>
      <c r="T2556" s="1" t="str">
        <f t="shared" si="5034"/>
        <v>0</v>
      </c>
      <c r="U2556" s="1" t="str">
        <f t="shared" si="5136"/>
        <v>0.0070</v>
      </c>
    </row>
    <row r="2557" s="1" customFormat="1" spans="1:21">
      <c r="A2557" s="1" t="str">
        <f>"4601992045679"</f>
        <v>4601992045679</v>
      </c>
      <c r="B2557" s="1" t="s">
        <v>2581</v>
      </c>
      <c r="C2557" s="1" t="s">
        <v>24</v>
      </c>
      <c r="D2557" s="1" t="str">
        <f t="shared" si="5030"/>
        <v>2021</v>
      </c>
      <c r="E2557" s="1" t="str">
        <f t="shared" ref="E2557:P2557" si="5143">"0"</f>
        <v>0</v>
      </c>
      <c r="F2557" s="1" t="str">
        <f t="shared" si="5143"/>
        <v>0</v>
      </c>
      <c r="G2557" s="1" t="str">
        <f t="shared" si="5143"/>
        <v>0</v>
      </c>
      <c r="H2557" s="1" t="str">
        <f t="shared" si="5143"/>
        <v>0</v>
      </c>
      <c r="I2557" s="1" t="str">
        <f t="shared" si="5143"/>
        <v>0</v>
      </c>
      <c r="J2557" s="1" t="str">
        <f t="shared" si="5143"/>
        <v>0</v>
      </c>
      <c r="K2557" s="1" t="str">
        <f t="shared" si="5143"/>
        <v>0</v>
      </c>
      <c r="L2557" s="1" t="str">
        <f t="shared" si="5143"/>
        <v>0</v>
      </c>
      <c r="M2557" s="1" t="str">
        <f t="shared" si="5143"/>
        <v>0</v>
      </c>
      <c r="N2557" s="1" t="str">
        <f t="shared" si="5143"/>
        <v>0</v>
      </c>
      <c r="O2557" s="1" t="str">
        <f t="shared" si="5143"/>
        <v>0</v>
      </c>
      <c r="P2557" s="1" t="str">
        <f t="shared" si="5143"/>
        <v>0</v>
      </c>
      <c r="Q2557" s="1" t="str">
        <f t="shared" si="5033"/>
        <v>0.0070</v>
      </c>
      <c r="R2557" s="1" t="s">
        <v>25</v>
      </c>
      <c r="T2557" s="1" t="str">
        <f t="shared" si="5034"/>
        <v>0</v>
      </c>
      <c r="U2557" s="1" t="str">
        <f t="shared" si="5136"/>
        <v>0.0070</v>
      </c>
    </row>
    <row r="2558" s="1" customFormat="1" spans="1:21">
      <c r="A2558" s="1" t="str">
        <f>"4601992045627"</f>
        <v>4601992045627</v>
      </c>
      <c r="B2558" s="1" t="s">
        <v>2582</v>
      </c>
      <c r="C2558" s="1" t="s">
        <v>24</v>
      </c>
      <c r="D2558" s="1" t="str">
        <f t="shared" si="5030"/>
        <v>2021</v>
      </c>
      <c r="E2558" s="1" t="str">
        <f>"24.18"</f>
        <v>24.18</v>
      </c>
      <c r="F2558" s="1" t="str">
        <f t="shared" ref="F2558:I2558" si="5144">"0"</f>
        <v>0</v>
      </c>
      <c r="G2558" s="1" t="str">
        <f t="shared" si="5144"/>
        <v>0</v>
      </c>
      <c r="H2558" s="1" t="str">
        <f t="shared" si="5144"/>
        <v>0</v>
      </c>
      <c r="I2558" s="1" t="str">
        <f t="shared" si="5144"/>
        <v>0</v>
      </c>
      <c r="J2558" s="1" t="str">
        <f>"2"</f>
        <v>2</v>
      </c>
      <c r="K2558" s="1" t="str">
        <f t="shared" ref="K2558:P2558" si="5145">"0"</f>
        <v>0</v>
      </c>
      <c r="L2558" s="1" t="str">
        <f t="shared" si="5145"/>
        <v>0</v>
      </c>
      <c r="M2558" s="1" t="str">
        <f t="shared" si="5145"/>
        <v>0</v>
      </c>
      <c r="N2558" s="1" t="str">
        <f t="shared" si="5145"/>
        <v>0</v>
      </c>
      <c r="O2558" s="1" t="str">
        <f t="shared" si="5145"/>
        <v>0</v>
      </c>
      <c r="P2558" s="1" t="str">
        <f t="shared" si="5145"/>
        <v>0</v>
      </c>
      <c r="Q2558" s="1" t="str">
        <f t="shared" si="5033"/>
        <v>0.0070</v>
      </c>
      <c r="R2558" s="1" t="s">
        <v>29</v>
      </c>
      <c r="S2558" s="1">
        <v>-0.0014</v>
      </c>
      <c r="T2558" s="1" t="str">
        <f t="shared" si="5034"/>
        <v>0</v>
      </c>
      <c r="U2558" s="1" t="str">
        <f t="shared" ref="U2558:U2565" si="5146">"0.0056"</f>
        <v>0.0056</v>
      </c>
    </row>
    <row r="2559" s="1" customFormat="1" spans="1:21">
      <c r="A2559" s="1" t="str">
        <f>"4601992045689"</f>
        <v>4601992045689</v>
      </c>
      <c r="B2559" s="1" t="s">
        <v>2583</v>
      </c>
      <c r="C2559" s="1" t="s">
        <v>24</v>
      </c>
      <c r="D2559" s="1" t="str">
        <f t="shared" si="5030"/>
        <v>2021</v>
      </c>
      <c r="E2559" s="1" t="str">
        <f t="shared" ref="E2559:P2559" si="5147">"0"</f>
        <v>0</v>
      </c>
      <c r="F2559" s="1" t="str">
        <f t="shared" si="5147"/>
        <v>0</v>
      </c>
      <c r="G2559" s="1" t="str">
        <f t="shared" si="5147"/>
        <v>0</v>
      </c>
      <c r="H2559" s="1" t="str">
        <f t="shared" si="5147"/>
        <v>0</v>
      </c>
      <c r="I2559" s="1" t="str">
        <f t="shared" si="5147"/>
        <v>0</v>
      </c>
      <c r="J2559" s="1" t="str">
        <f t="shared" si="5147"/>
        <v>0</v>
      </c>
      <c r="K2559" s="1" t="str">
        <f t="shared" si="5147"/>
        <v>0</v>
      </c>
      <c r="L2559" s="1" t="str">
        <f t="shared" si="5147"/>
        <v>0</v>
      </c>
      <c r="M2559" s="1" t="str">
        <f t="shared" si="5147"/>
        <v>0</v>
      </c>
      <c r="N2559" s="1" t="str">
        <f t="shared" si="5147"/>
        <v>0</v>
      </c>
      <c r="O2559" s="1" t="str">
        <f t="shared" si="5147"/>
        <v>0</v>
      </c>
      <c r="P2559" s="1" t="str">
        <f t="shared" si="5147"/>
        <v>0</v>
      </c>
      <c r="Q2559" s="1" t="str">
        <f t="shared" si="5033"/>
        <v>0.0070</v>
      </c>
      <c r="R2559" s="1" t="s">
        <v>25</v>
      </c>
      <c r="T2559" s="1" t="str">
        <f t="shared" si="5034"/>
        <v>0</v>
      </c>
      <c r="U2559" s="1" t="str">
        <f t="shared" ref="U2559:U2561" si="5148">"0.0070"</f>
        <v>0.0070</v>
      </c>
    </row>
    <row r="2560" s="1" customFormat="1" spans="1:21">
      <c r="A2560" s="1" t="str">
        <f>"4601992045701"</f>
        <v>4601992045701</v>
      </c>
      <c r="B2560" s="1" t="s">
        <v>2584</v>
      </c>
      <c r="C2560" s="1" t="s">
        <v>24</v>
      </c>
      <c r="D2560" s="1" t="str">
        <f t="shared" si="5030"/>
        <v>2021</v>
      </c>
      <c r="E2560" s="1" t="str">
        <f t="shared" ref="E2560:G2560" si="5149">"0"</f>
        <v>0</v>
      </c>
      <c r="F2560" s="1" t="str">
        <f t="shared" si="5149"/>
        <v>0</v>
      </c>
      <c r="G2560" s="1" t="str">
        <f t="shared" si="5149"/>
        <v>0</v>
      </c>
      <c r="H2560" s="1" t="str">
        <f>"28.00"</f>
        <v>28.00</v>
      </c>
      <c r="I2560" s="1" t="str">
        <f t="shared" ref="I2560:P2560" si="5150">"0"</f>
        <v>0</v>
      </c>
      <c r="J2560" s="1" t="str">
        <f t="shared" si="5150"/>
        <v>0</v>
      </c>
      <c r="K2560" s="1" t="str">
        <f t="shared" si="5150"/>
        <v>0</v>
      </c>
      <c r="L2560" s="1" t="str">
        <f t="shared" si="5150"/>
        <v>0</v>
      </c>
      <c r="M2560" s="1" t="str">
        <f t="shared" si="5150"/>
        <v>0</v>
      </c>
      <c r="N2560" s="1" t="str">
        <f t="shared" si="5150"/>
        <v>0</v>
      </c>
      <c r="O2560" s="1" t="str">
        <f t="shared" si="5150"/>
        <v>0</v>
      </c>
      <c r="P2560" s="1" t="str">
        <f t="shared" si="5150"/>
        <v>0</v>
      </c>
      <c r="Q2560" s="1" t="str">
        <f t="shared" si="5033"/>
        <v>0.0070</v>
      </c>
      <c r="R2560" s="1" t="s">
        <v>25</v>
      </c>
      <c r="T2560" s="1" t="str">
        <f t="shared" si="5034"/>
        <v>0</v>
      </c>
      <c r="U2560" s="1" t="str">
        <f t="shared" si="5148"/>
        <v>0.0070</v>
      </c>
    </row>
    <row r="2561" s="1" customFormat="1" spans="1:21">
      <c r="A2561" s="1" t="str">
        <f>"4601992045723"</f>
        <v>4601992045723</v>
      </c>
      <c r="B2561" s="1" t="s">
        <v>2585</v>
      </c>
      <c r="C2561" s="1" t="s">
        <v>24</v>
      </c>
      <c r="D2561" s="1" t="str">
        <f t="shared" si="5030"/>
        <v>2021</v>
      </c>
      <c r="E2561" s="1" t="str">
        <f t="shared" ref="E2561:P2561" si="5151">"0"</f>
        <v>0</v>
      </c>
      <c r="F2561" s="1" t="str">
        <f t="shared" si="5151"/>
        <v>0</v>
      </c>
      <c r="G2561" s="1" t="str">
        <f t="shared" si="5151"/>
        <v>0</v>
      </c>
      <c r="H2561" s="1" t="str">
        <f t="shared" si="5151"/>
        <v>0</v>
      </c>
      <c r="I2561" s="1" t="str">
        <f t="shared" si="5151"/>
        <v>0</v>
      </c>
      <c r="J2561" s="1" t="str">
        <f t="shared" si="5151"/>
        <v>0</v>
      </c>
      <c r="K2561" s="1" t="str">
        <f t="shared" si="5151"/>
        <v>0</v>
      </c>
      <c r="L2561" s="1" t="str">
        <f t="shared" si="5151"/>
        <v>0</v>
      </c>
      <c r="M2561" s="1" t="str">
        <f t="shared" si="5151"/>
        <v>0</v>
      </c>
      <c r="N2561" s="1" t="str">
        <f t="shared" si="5151"/>
        <v>0</v>
      </c>
      <c r="O2561" s="1" t="str">
        <f t="shared" si="5151"/>
        <v>0</v>
      </c>
      <c r="P2561" s="1" t="str">
        <f t="shared" si="5151"/>
        <v>0</v>
      </c>
      <c r="Q2561" s="1" t="str">
        <f t="shared" si="5033"/>
        <v>0.0070</v>
      </c>
      <c r="R2561" s="1" t="s">
        <v>25</v>
      </c>
      <c r="T2561" s="1" t="str">
        <f t="shared" si="5034"/>
        <v>0</v>
      </c>
      <c r="U2561" s="1" t="str">
        <f t="shared" si="5148"/>
        <v>0.0070</v>
      </c>
    </row>
    <row r="2562" s="1" customFormat="1" spans="1:21">
      <c r="A2562" s="1" t="str">
        <f>"4601992045686"</f>
        <v>4601992045686</v>
      </c>
      <c r="B2562" s="1" t="s">
        <v>2586</v>
      </c>
      <c r="C2562" s="1" t="s">
        <v>24</v>
      </c>
      <c r="D2562" s="1" t="str">
        <f t="shared" si="5030"/>
        <v>2021</v>
      </c>
      <c r="E2562" s="1" t="str">
        <f>"12.09"</f>
        <v>12.09</v>
      </c>
      <c r="F2562" s="1" t="str">
        <f t="shared" ref="F2562:I2562" si="5152">"0"</f>
        <v>0</v>
      </c>
      <c r="G2562" s="1" t="str">
        <f t="shared" si="5152"/>
        <v>0</v>
      </c>
      <c r="H2562" s="1" t="str">
        <f t="shared" si="5152"/>
        <v>0</v>
      </c>
      <c r="I2562" s="1" t="str">
        <f t="shared" si="5152"/>
        <v>0</v>
      </c>
      <c r="J2562" s="1" t="str">
        <f>"1"</f>
        <v>1</v>
      </c>
      <c r="K2562" s="1" t="str">
        <f t="shared" ref="K2562:P2562" si="5153">"0"</f>
        <v>0</v>
      </c>
      <c r="L2562" s="1" t="str">
        <f t="shared" si="5153"/>
        <v>0</v>
      </c>
      <c r="M2562" s="1" t="str">
        <f t="shared" si="5153"/>
        <v>0</v>
      </c>
      <c r="N2562" s="1" t="str">
        <f t="shared" si="5153"/>
        <v>0</v>
      </c>
      <c r="O2562" s="1" t="str">
        <f t="shared" si="5153"/>
        <v>0</v>
      </c>
      <c r="P2562" s="1" t="str">
        <f t="shared" si="5153"/>
        <v>0</v>
      </c>
      <c r="Q2562" s="1" t="str">
        <f t="shared" si="5033"/>
        <v>0.0070</v>
      </c>
      <c r="R2562" s="1" t="s">
        <v>29</v>
      </c>
      <c r="S2562" s="1">
        <v>-0.0014</v>
      </c>
      <c r="T2562" s="1" t="str">
        <f t="shared" si="5034"/>
        <v>0</v>
      </c>
      <c r="U2562" s="1" t="str">
        <f t="shared" si="5146"/>
        <v>0.0056</v>
      </c>
    </row>
    <row r="2563" s="1" customFormat="1" spans="1:21">
      <c r="A2563" s="1" t="str">
        <f>"4601992045835"</f>
        <v>4601992045835</v>
      </c>
      <c r="B2563" s="1" t="s">
        <v>2587</v>
      </c>
      <c r="C2563" s="1" t="s">
        <v>24</v>
      </c>
      <c r="D2563" s="1" t="str">
        <f t="shared" ref="D2563:D2626" si="5154">"2021"</f>
        <v>2021</v>
      </c>
      <c r="E2563" s="1" t="str">
        <f>"72.54"</f>
        <v>72.54</v>
      </c>
      <c r="F2563" s="1" t="str">
        <f t="shared" ref="F2563:I2563" si="5155">"0"</f>
        <v>0</v>
      </c>
      <c r="G2563" s="1" t="str">
        <f t="shared" si="5155"/>
        <v>0</v>
      </c>
      <c r="H2563" s="1" t="str">
        <f t="shared" si="5155"/>
        <v>0</v>
      </c>
      <c r="I2563" s="1" t="str">
        <f t="shared" si="5155"/>
        <v>0</v>
      </c>
      <c r="J2563" s="1" t="str">
        <f>"6"</f>
        <v>6</v>
      </c>
      <c r="K2563" s="1" t="str">
        <f t="shared" ref="K2563:P2563" si="5156">"0"</f>
        <v>0</v>
      </c>
      <c r="L2563" s="1" t="str">
        <f t="shared" si="5156"/>
        <v>0</v>
      </c>
      <c r="M2563" s="1" t="str">
        <f t="shared" si="5156"/>
        <v>0</v>
      </c>
      <c r="N2563" s="1" t="str">
        <f t="shared" si="5156"/>
        <v>0</v>
      </c>
      <c r="O2563" s="1" t="str">
        <f t="shared" si="5156"/>
        <v>0</v>
      </c>
      <c r="P2563" s="1" t="str">
        <f t="shared" si="5156"/>
        <v>0</v>
      </c>
      <c r="Q2563" s="1" t="str">
        <f t="shared" ref="Q2563:Q2626" si="5157">"0.0070"</f>
        <v>0.0070</v>
      </c>
      <c r="R2563" s="1" t="s">
        <v>29</v>
      </c>
      <c r="S2563" s="1">
        <v>-0.0014</v>
      </c>
      <c r="T2563" s="1" t="str">
        <f t="shared" ref="T2563:T2626" si="5158">"0"</f>
        <v>0</v>
      </c>
      <c r="U2563" s="1" t="str">
        <f t="shared" si="5146"/>
        <v>0.0056</v>
      </c>
    </row>
    <row r="2564" s="1" customFormat="1" spans="1:21">
      <c r="A2564" s="1" t="str">
        <f>"4601992045811"</f>
        <v>4601992045811</v>
      </c>
      <c r="B2564" s="1" t="s">
        <v>2588</v>
      </c>
      <c r="C2564" s="1" t="s">
        <v>24</v>
      </c>
      <c r="D2564" s="1" t="str">
        <f t="shared" si="5154"/>
        <v>2021</v>
      </c>
      <c r="E2564" s="1" t="str">
        <f>"758.18"</f>
        <v>758.18</v>
      </c>
      <c r="F2564" s="1" t="str">
        <f t="shared" ref="F2564:I2564" si="5159">"0"</f>
        <v>0</v>
      </c>
      <c r="G2564" s="1" t="str">
        <f t="shared" si="5159"/>
        <v>0</v>
      </c>
      <c r="H2564" s="1" t="str">
        <f t="shared" si="5159"/>
        <v>0</v>
      </c>
      <c r="I2564" s="1" t="str">
        <f t="shared" si="5159"/>
        <v>0</v>
      </c>
      <c r="J2564" s="1" t="str">
        <f>"48"</f>
        <v>48</v>
      </c>
      <c r="K2564" s="1" t="str">
        <f t="shared" ref="K2564:P2564" si="5160">"0"</f>
        <v>0</v>
      </c>
      <c r="L2564" s="1" t="str">
        <f t="shared" si="5160"/>
        <v>0</v>
      </c>
      <c r="M2564" s="1" t="str">
        <f t="shared" si="5160"/>
        <v>0</v>
      </c>
      <c r="N2564" s="1" t="str">
        <f t="shared" si="5160"/>
        <v>0</v>
      </c>
      <c r="O2564" s="1" t="str">
        <f t="shared" si="5160"/>
        <v>0</v>
      </c>
      <c r="P2564" s="1" t="str">
        <f t="shared" si="5160"/>
        <v>0</v>
      </c>
      <c r="Q2564" s="1" t="str">
        <f t="shared" si="5157"/>
        <v>0.0070</v>
      </c>
      <c r="R2564" s="1" t="s">
        <v>29</v>
      </c>
      <c r="S2564" s="1">
        <v>-0.0014</v>
      </c>
      <c r="T2564" s="1" t="str">
        <f t="shared" si="5158"/>
        <v>0</v>
      </c>
      <c r="U2564" s="1" t="str">
        <f t="shared" si="5146"/>
        <v>0.0056</v>
      </c>
    </row>
    <row r="2565" s="1" customFormat="1" spans="1:21">
      <c r="A2565" s="1" t="str">
        <f>"4601992045892"</f>
        <v>4601992045892</v>
      </c>
      <c r="B2565" s="1" t="s">
        <v>2589</v>
      </c>
      <c r="C2565" s="1" t="s">
        <v>24</v>
      </c>
      <c r="D2565" s="1" t="str">
        <f t="shared" si="5154"/>
        <v>2021</v>
      </c>
      <c r="E2565" s="1" t="str">
        <f>"24.07"</f>
        <v>24.07</v>
      </c>
      <c r="F2565" s="1" t="str">
        <f t="shared" ref="F2565:I2565" si="5161">"0"</f>
        <v>0</v>
      </c>
      <c r="G2565" s="1" t="str">
        <f t="shared" si="5161"/>
        <v>0</v>
      </c>
      <c r="H2565" s="1" t="str">
        <f t="shared" si="5161"/>
        <v>0</v>
      </c>
      <c r="I2565" s="1" t="str">
        <f t="shared" si="5161"/>
        <v>0</v>
      </c>
      <c r="J2565" s="1" t="str">
        <f>"2"</f>
        <v>2</v>
      </c>
      <c r="K2565" s="1" t="str">
        <f t="shared" ref="K2565:P2565" si="5162">"0"</f>
        <v>0</v>
      </c>
      <c r="L2565" s="1" t="str">
        <f t="shared" si="5162"/>
        <v>0</v>
      </c>
      <c r="M2565" s="1" t="str">
        <f t="shared" si="5162"/>
        <v>0</v>
      </c>
      <c r="N2565" s="1" t="str">
        <f t="shared" si="5162"/>
        <v>0</v>
      </c>
      <c r="O2565" s="1" t="str">
        <f t="shared" si="5162"/>
        <v>0</v>
      </c>
      <c r="P2565" s="1" t="str">
        <f t="shared" si="5162"/>
        <v>0</v>
      </c>
      <c r="Q2565" s="1" t="str">
        <f t="shared" si="5157"/>
        <v>0.0070</v>
      </c>
      <c r="R2565" s="1" t="s">
        <v>29</v>
      </c>
      <c r="S2565" s="1">
        <v>-0.0014</v>
      </c>
      <c r="T2565" s="1" t="str">
        <f t="shared" si="5158"/>
        <v>0</v>
      </c>
      <c r="U2565" s="1" t="str">
        <f t="shared" si="5146"/>
        <v>0.0056</v>
      </c>
    </row>
    <row r="2566" s="1" customFormat="1" spans="1:21">
      <c r="A2566" s="1" t="str">
        <f>"4601992045919"</f>
        <v>4601992045919</v>
      </c>
      <c r="B2566" s="1" t="s">
        <v>2590</v>
      </c>
      <c r="C2566" s="1" t="s">
        <v>24</v>
      </c>
      <c r="D2566" s="1" t="str">
        <f t="shared" si="5154"/>
        <v>2021</v>
      </c>
      <c r="E2566" s="1" t="str">
        <f t="shared" ref="E2566:P2566" si="5163">"0"</f>
        <v>0</v>
      </c>
      <c r="F2566" s="1" t="str">
        <f t="shared" si="5163"/>
        <v>0</v>
      </c>
      <c r="G2566" s="1" t="str">
        <f t="shared" si="5163"/>
        <v>0</v>
      </c>
      <c r="H2566" s="1" t="str">
        <f t="shared" si="5163"/>
        <v>0</v>
      </c>
      <c r="I2566" s="1" t="str">
        <f t="shared" si="5163"/>
        <v>0</v>
      </c>
      <c r="J2566" s="1" t="str">
        <f t="shared" si="5163"/>
        <v>0</v>
      </c>
      <c r="K2566" s="1" t="str">
        <f t="shared" si="5163"/>
        <v>0</v>
      </c>
      <c r="L2566" s="1" t="str">
        <f t="shared" si="5163"/>
        <v>0</v>
      </c>
      <c r="M2566" s="1" t="str">
        <f t="shared" si="5163"/>
        <v>0</v>
      </c>
      <c r="N2566" s="1" t="str">
        <f t="shared" si="5163"/>
        <v>0</v>
      </c>
      <c r="O2566" s="1" t="str">
        <f t="shared" si="5163"/>
        <v>0</v>
      </c>
      <c r="P2566" s="1" t="str">
        <f t="shared" si="5163"/>
        <v>0</v>
      </c>
      <c r="Q2566" s="1" t="str">
        <f t="shared" si="5157"/>
        <v>0.0070</v>
      </c>
      <c r="R2566" s="1" t="s">
        <v>25</v>
      </c>
      <c r="T2566" s="1" t="str">
        <f t="shared" si="5158"/>
        <v>0</v>
      </c>
      <c r="U2566" s="1" t="str">
        <f>"0.0070"</f>
        <v>0.0070</v>
      </c>
    </row>
    <row r="2567" s="1" customFormat="1" spans="1:21">
      <c r="A2567" s="1" t="str">
        <f>"4601992045929"</f>
        <v>4601992045929</v>
      </c>
      <c r="B2567" s="1" t="s">
        <v>2591</v>
      </c>
      <c r="C2567" s="1" t="s">
        <v>24</v>
      </c>
      <c r="D2567" s="1" t="str">
        <f t="shared" si="5154"/>
        <v>2021</v>
      </c>
      <c r="E2567" s="1" t="str">
        <f t="shared" ref="E2567:P2567" si="5164">"0"</f>
        <v>0</v>
      </c>
      <c r="F2567" s="1" t="str">
        <f t="shared" si="5164"/>
        <v>0</v>
      </c>
      <c r="G2567" s="1" t="str">
        <f t="shared" si="5164"/>
        <v>0</v>
      </c>
      <c r="H2567" s="1" t="str">
        <f t="shared" si="5164"/>
        <v>0</v>
      </c>
      <c r="I2567" s="1" t="str">
        <f t="shared" si="5164"/>
        <v>0</v>
      </c>
      <c r="J2567" s="1" t="str">
        <f t="shared" si="5164"/>
        <v>0</v>
      </c>
      <c r="K2567" s="1" t="str">
        <f t="shared" si="5164"/>
        <v>0</v>
      </c>
      <c r="L2567" s="1" t="str">
        <f t="shared" si="5164"/>
        <v>0</v>
      </c>
      <c r="M2567" s="1" t="str">
        <f t="shared" si="5164"/>
        <v>0</v>
      </c>
      <c r="N2567" s="1" t="str">
        <f t="shared" si="5164"/>
        <v>0</v>
      </c>
      <c r="O2567" s="1" t="str">
        <f t="shared" si="5164"/>
        <v>0</v>
      </c>
      <c r="P2567" s="1" t="str">
        <f t="shared" si="5164"/>
        <v>0</v>
      </c>
      <c r="Q2567" s="1" t="str">
        <f t="shared" si="5157"/>
        <v>0.0070</v>
      </c>
      <c r="R2567" s="1" t="s">
        <v>25</v>
      </c>
      <c r="T2567" s="1" t="str">
        <f t="shared" si="5158"/>
        <v>0</v>
      </c>
      <c r="U2567" s="1" t="str">
        <f>"0.0070"</f>
        <v>0.0070</v>
      </c>
    </row>
    <row r="2568" s="1" customFormat="1" spans="1:21">
      <c r="A2568" s="1" t="str">
        <f>"4601992046014"</f>
        <v>4601992046014</v>
      </c>
      <c r="B2568" s="1" t="s">
        <v>2592</v>
      </c>
      <c r="C2568" s="1" t="s">
        <v>24</v>
      </c>
      <c r="D2568" s="1" t="str">
        <f t="shared" si="5154"/>
        <v>2021</v>
      </c>
      <c r="E2568" s="1" t="str">
        <f>"12.09"</f>
        <v>12.09</v>
      </c>
      <c r="F2568" s="1" t="str">
        <f t="shared" ref="F2568:I2568" si="5165">"0"</f>
        <v>0</v>
      </c>
      <c r="G2568" s="1" t="str">
        <f t="shared" si="5165"/>
        <v>0</v>
      </c>
      <c r="H2568" s="1" t="str">
        <f t="shared" si="5165"/>
        <v>0</v>
      </c>
      <c r="I2568" s="1" t="str">
        <f t="shared" si="5165"/>
        <v>0</v>
      </c>
      <c r="J2568" s="1" t="str">
        <f>"1"</f>
        <v>1</v>
      </c>
      <c r="K2568" s="1" t="str">
        <f t="shared" ref="K2568:P2568" si="5166">"0"</f>
        <v>0</v>
      </c>
      <c r="L2568" s="1" t="str">
        <f t="shared" si="5166"/>
        <v>0</v>
      </c>
      <c r="M2568" s="1" t="str">
        <f t="shared" si="5166"/>
        <v>0</v>
      </c>
      <c r="N2568" s="1" t="str">
        <f t="shared" si="5166"/>
        <v>0</v>
      </c>
      <c r="O2568" s="1" t="str">
        <f t="shared" si="5166"/>
        <v>0</v>
      </c>
      <c r="P2568" s="1" t="str">
        <f t="shared" si="5166"/>
        <v>0</v>
      </c>
      <c r="Q2568" s="1" t="str">
        <f t="shared" si="5157"/>
        <v>0.0070</v>
      </c>
      <c r="R2568" s="1" t="s">
        <v>29</v>
      </c>
      <c r="S2568" s="1">
        <v>-0.0014</v>
      </c>
      <c r="T2568" s="1" t="str">
        <f t="shared" si="5158"/>
        <v>0</v>
      </c>
      <c r="U2568" s="1" t="str">
        <f t="shared" ref="U2568:U2574" si="5167">"0.0056"</f>
        <v>0.0056</v>
      </c>
    </row>
    <row r="2569" s="1" customFormat="1" spans="1:21">
      <c r="A2569" s="1" t="str">
        <f>"4601992045978"</f>
        <v>4601992045978</v>
      </c>
      <c r="B2569" s="1" t="s">
        <v>2593</v>
      </c>
      <c r="C2569" s="1" t="s">
        <v>24</v>
      </c>
      <c r="D2569" s="1" t="str">
        <f t="shared" si="5154"/>
        <v>2021</v>
      </c>
      <c r="E2569" s="1" t="str">
        <f>"36.27"</f>
        <v>36.27</v>
      </c>
      <c r="F2569" s="1" t="str">
        <f t="shared" ref="F2569:I2569" si="5168">"0"</f>
        <v>0</v>
      </c>
      <c r="G2569" s="1" t="str">
        <f t="shared" si="5168"/>
        <v>0</v>
      </c>
      <c r="H2569" s="1" t="str">
        <f t="shared" si="5168"/>
        <v>0</v>
      </c>
      <c r="I2569" s="1" t="str">
        <f t="shared" si="5168"/>
        <v>0</v>
      </c>
      <c r="J2569" s="1" t="str">
        <f>"3"</f>
        <v>3</v>
      </c>
      <c r="K2569" s="1" t="str">
        <f t="shared" ref="K2569:P2569" si="5169">"0"</f>
        <v>0</v>
      </c>
      <c r="L2569" s="1" t="str">
        <f t="shared" si="5169"/>
        <v>0</v>
      </c>
      <c r="M2569" s="1" t="str">
        <f t="shared" si="5169"/>
        <v>0</v>
      </c>
      <c r="N2569" s="1" t="str">
        <f t="shared" si="5169"/>
        <v>0</v>
      </c>
      <c r="O2569" s="1" t="str">
        <f t="shared" si="5169"/>
        <v>0</v>
      </c>
      <c r="P2569" s="1" t="str">
        <f t="shared" si="5169"/>
        <v>0</v>
      </c>
      <c r="Q2569" s="1" t="str">
        <f t="shared" si="5157"/>
        <v>0.0070</v>
      </c>
      <c r="R2569" s="1" t="s">
        <v>29</v>
      </c>
      <c r="S2569" s="1">
        <v>-0.0014</v>
      </c>
      <c r="T2569" s="1" t="str">
        <f t="shared" si="5158"/>
        <v>0</v>
      </c>
      <c r="U2569" s="1" t="str">
        <f t="shared" si="5167"/>
        <v>0.0056</v>
      </c>
    </row>
    <row r="2570" s="1" customFormat="1" spans="1:21">
      <c r="A2570" s="1" t="str">
        <f>"4601992046007"</f>
        <v>4601992046007</v>
      </c>
      <c r="B2570" s="1" t="s">
        <v>2594</v>
      </c>
      <c r="C2570" s="1" t="s">
        <v>24</v>
      </c>
      <c r="D2570" s="1" t="str">
        <f t="shared" si="5154"/>
        <v>2021</v>
      </c>
      <c r="E2570" s="1" t="str">
        <f>"24.18"</f>
        <v>24.18</v>
      </c>
      <c r="F2570" s="1" t="str">
        <f t="shared" ref="F2570:I2570" si="5170">"0"</f>
        <v>0</v>
      </c>
      <c r="G2570" s="1" t="str">
        <f t="shared" si="5170"/>
        <v>0</v>
      </c>
      <c r="H2570" s="1" t="str">
        <f t="shared" si="5170"/>
        <v>0</v>
      </c>
      <c r="I2570" s="1" t="str">
        <f t="shared" si="5170"/>
        <v>0</v>
      </c>
      <c r="J2570" s="1" t="str">
        <f t="shared" ref="J2570:J2576" si="5171">"2"</f>
        <v>2</v>
      </c>
      <c r="K2570" s="1" t="str">
        <f t="shared" ref="K2570:P2570" si="5172">"0"</f>
        <v>0</v>
      </c>
      <c r="L2570" s="1" t="str">
        <f t="shared" si="5172"/>
        <v>0</v>
      </c>
      <c r="M2570" s="1" t="str">
        <f t="shared" si="5172"/>
        <v>0</v>
      </c>
      <c r="N2570" s="1" t="str">
        <f t="shared" si="5172"/>
        <v>0</v>
      </c>
      <c r="O2570" s="1" t="str">
        <f t="shared" si="5172"/>
        <v>0</v>
      </c>
      <c r="P2570" s="1" t="str">
        <f t="shared" si="5172"/>
        <v>0</v>
      </c>
      <c r="Q2570" s="1" t="str">
        <f t="shared" si="5157"/>
        <v>0.0070</v>
      </c>
      <c r="R2570" s="1" t="s">
        <v>29</v>
      </c>
      <c r="S2570" s="1">
        <v>-0.0014</v>
      </c>
      <c r="T2570" s="1" t="str">
        <f t="shared" si="5158"/>
        <v>0</v>
      </c>
      <c r="U2570" s="1" t="str">
        <f t="shared" si="5167"/>
        <v>0.0056</v>
      </c>
    </row>
    <row r="2571" s="1" customFormat="1" spans="1:21">
      <c r="A2571" s="1" t="str">
        <f>"4601992045960"</f>
        <v>4601992045960</v>
      </c>
      <c r="B2571" s="1" t="s">
        <v>2595</v>
      </c>
      <c r="C2571" s="1" t="s">
        <v>24</v>
      </c>
      <c r="D2571" s="1" t="str">
        <f t="shared" si="5154"/>
        <v>2021</v>
      </c>
      <c r="E2571" s="1" t="str">
        <f>"5454.12"</f>
        <v>5454.12</v>
      </c>
      <c r="F2571" s="1" t="str">
        <f t="shared" ref="F2571:I2571" si="5173">"0"</f>
        <v>0</v>
      </c>
      <c r="G2571" s="1" t="str">
        <f t="shared" si="5173"/>
        <v>0</v>
      </c>
      <c r="H2571" s="1" t="str">
        <f t="shared" si="5173"/>
        <v>0</v>
      </c>
      <c r="I2571" s="1" t="str">
        <f t="shared" si="5173"/>
        <v>0</v>
      </c>
      <c r="J2571" s="1" t="str">
        <f>"345"</f>
        <v>345</v>
      </c>
      <c r="K2571" s="1" t="str">
        <f t="shared" ref="K2571:P2571" si="5174">"0"</f>
        <v>0</v>
      </c>
      <c r="L2571" s="1" t="str">
        <f t="shared" si="5174"/>
        <v>0</v>
      </c>
      <c r="M2571" s="1" t="str">
        <f t="shared" si="5174"/>
        <v>0</v>
      </c>
      <c r="N2571" s="1" t="str">
        <f t="shared" si="5174"/>
        <v>0</v>
      </c>
      <c r="O2571" s="1" t="str">
        <f t="shared" si="5174"/>
        <v>0</v>
      </c>
      <c r="P2571" s="1" t="str">
        <f t="shared" si="5174"/>
        <v>0</v>
      </c>
      <c r="Q2571" s="1" t="str">
        <f t="shared" si="5157"/>
        <v>0.0070</v>
      </c>
      <c r="R2571" s="1" t="s">
        <v>29</v>
      </c>
      <c r="S2571" s="1">
        <v>-0.0014</v>
      </c>
      <c r="T2571" s="1" t="str">
        <f t="shared" si="5158"/>
        <v>0</v>
      </c>
      <c r="U2571" s="1" t="str">
        <f t="shared" si="5167"/>
        <v>0.0056</v>
      </c>
    </row>
    <row r="2572" s="1" customFormat="1" spans="1:21">
      <c r="A2572" s="1" t="str">
        <f>"4601992046052"</f>
        <v>4601992046052</v>
      </c>
      <c r="B2572" s="1" t="s">
        <v>2596</v>
      </c>
      <c r="C2572" s="1" t="s">
        <v>24</v>
      </c>
      <c r="D2572" s="1" t="str">
        <f t="shared" si="5154"/>
        <v>2021</v>
      </c>
      <c r="E2572" s="1" t="str">
        <f>"24.18"</f>
        <v>24.18</v>
      </c>
      <c r="F2572" s="1" t="str">
        <f t="shared" ref="F2572:I2572" si="5175">"0"</f>
        <v>0</v>
      </c>
      <c r="G2572" s="1" t="str">
        <f t="shared" si="5175"/>
        <v>0</v>
      </c>
      <c r="H2572" s="1" t="str">
        <f t="shared" si="5175"/>
        <v>0</v>
      </c>
      <c r="I2572" s="1" t="str">
        <f t="shared" si="5175"/>
        <v>0</v>
      </c>
      <c r="J2572" s="1" t="str">
        <f t="shared" si="5171"/>
        <v>2</v>
      </c>
      <c r="K2572" s="1" t="str">
        <f t="shared" ref="K2572:P2572" si="5176">"0"</f>
        <v>0</v>
      </c>
      <c r="L2572" s="1" t="str">
        <f t="shared" si="5176"/>
        <v>0</v>
      </c>
      <c r="M2572" s="1" t="str">
        <f t="shared" si="5176"/>
        <v>0</v>
      </c>
      <c r="N2572" s="1" t="str">
        <f t="shared" si="5176"/>
        <v>0</v>
      </c>
      <c r="O2572" s="1" t="str">
        <f t="shared" si="5176"/>
        <v>0</v>
      </c>
      <c r="P2572" s="1" t="str">
        <f t="shared" si="5176"/>
        <v>0</v>
      </c>
      <c r="Q2572" s="1" t="str">
        <f t="shared" si="5157"/>
        <v>0.0070</v>
      </c>
      <c r="R2572" s="1" t="s">
        <v>29</v>
      </c>
      <c r="S2572" s="1">
        <v>-0.0014</v>
      </c>
      <c r="T2572" s="1" t="str">
        <f t="shared" si="5158"/>
        <v>0</v>
      </c>
      <c r="U2572" s="1" t="str">
        <f t="shared" si="5167"/>
        <v>0.0056</v>
      </c>
    </row>
    <row r="2573" s="1" customFormat="1" spans="1:21">
      <c r="A2573" s="1" t="str">
        <f>"4601992046072"</f>
        <v>4601992046072</v>
      </c>
      <c r="B2573" s="1" t="s">
        <v>2597</v>
      </c>
      <c r="C2573" s="1" t="s">
        <v>24</v>
      </c>
      <c r="D2573" s="1" t="str">
        <f t="shared" si="5154"/>
        <v>2021</v>
      </c>
      <c r="E2573" s="1" t="str">
        <f t="shared" ref="E2573:E2577" si="5177">"12.09"</f>
        <v>12.09</v>
      </c>
      <c r="F2573" s="1" t="str">
        <f t="shared" ref="F2573:I2573" si="5178">"0"</f>
        <v>0</v>
      </c>
      <c r="G2573" s="1" t="str">
        <f t="shared" si="5178"/>
        <v>0</v>
      </c>
      <c r="H2573" s="1" t="str">
        <f t="shared" si="5178"/>
        <v>0</v>
      </c>
      <c r="I2573" s="1" t="str">
        <f t="shared" si="5178"/>
        <v>0</v>
      </c>
      <c r="J2573" s="1" t="str">
        <f>"4"</f>
        <v>4</v>
      </c>
      <c r="K2573" s="1" t="str">
        <f t="shared" ref="K2573:P2573" si="5179">"0"</f>
        <v>0</v>
      </c>
      <c r="L2573" s="1" t="str">
        <f t="shared" si="5179"/>
        <v>0</v>
      </c>
      <c r="M2573" s="1" t="str">
        <f t="shared" si="5179"/>
        <v>0</v>
      </c>
      <c r="N2573" s="1" t="str">
        <f t="shared" si="5179"/>
        <v>0</v>
      </c>
      <c r="O2573" s="1" t="str">
        <f t="shared" si="5179"/>
        <v>0</v>
      </c>
      <c r="P2573" s="1" t="str">
        <f t="shared" si="5179"/>
        <v>0</v>
      </c>
      <c r="Q2573" s="1" t="str">
        <f t="shared" si="5157"/>
        <v>0.0070</v>
      </c>
      <c r="R2573" s="1" t="s">
        <v>29</v>
      </c>
      <c r="S2573" s="1">
        <v>-0.0014</v>
      </c>
      <c r="T2573" s="1" t="str">
        <f t="shared" si="5158"/>
        <v>0</v>
      </c>
      <c r="U2573" s="1" t="str">
        <f t="shared" si="5167"/>
        <v>0.0056</v>
      </c>
    </row>
    <row r="2574" s="1" customFormat="1" spans="1:21">
      <c r="A2574" s="1" t="str">
        <f>"4601992046062"</f>
        <v>4601992046062</v>
      </c>
      <c r="B2574" s="1" t="s">
        <v>2598</v>
      </c>
      <c r="C2574" s="1" t="s">
        <v>24</v>
      </c>
      <c r="D2574" s="1" t="str">
        <f t="shared" si="5154"/>
        <v>2021</v>
      </c>
      <c r="E2574" s="1" t="str">
        <f t="shared" si="5177"/>
        <v>12.09</v>
      </c>
      <c r="F2574" s="1" t="str">
        <f t="shared" ref="F2574:I2574" si="5180">"0"</f>
        <v>0</v>
      </c>
      <c r="G2574" s="1" t="str">
        <f t="shared" si="5180"/>
        <v>0</v>
      </c>
      <c r="H2574" s="1" t="str">
        <f t="shared" si="5180"/>
        <v>0</v>
      </c>
      <c r="I2574" s="1" t="str">
        <f t="shared" si="5180"/>
        <v>0</v>
      </c>
      <c r="J2574" s="1" t="str">
        <f>"1"</f>
        <v>1</v>
      </c>
      <c r="K2574" s="1" t="str">
        <f t="shared" ref="K2574:P2574" si="5181">"0"</f>
        <v>0</v>
      </c>
      <c r="L2574" s="1" t="str">
        <f t="shared" si="5181"/>
        <v>0</v>
      </c>
      <c r="M2574" s="1" t="str">
        <f t="shared" si="5181"/>
        <v>0</v>
      </c>
      <c r="N2574" s="1" t="str">
        <f t="shared" si="5181"/>
        <v>0</v>
      </c>
      <c r="O2574" s="1" t="str">
        <f t="shared" si="5181"/>
        <v>0</v>
      </c>
      <c r="P2574" s="1" t="str">
        <f t="shared" si="5181"/>
        <v>0</v>
      </c>
      <c r="Q2574" s="1" t="str">
        <f t="shared" si="5157"/>
        <v>0.0070</v>
      </c>
      <c r="R2574" s="1" t="s">
        <v>29</v>
      </c>
      <c r="S2574" s="1">
        <v>-0.0014</v>
      </c>
      <c r="T2574" s="1" t="str">
        <f t="shared" si="5158"/>
        <v>0</v>
      </c>
      <c r="U2574" s="1" t="str">
        <f t="shared" si="5167"/>
        <v>0.0056</v>
      </c>
    </row>
    <row r="2575" s="1" customFormat="1" spans="1:21">
      <c r="A2575" s="1" t="str">
        <f>"4601992046061"</f>
        <v>4601992046061</v>
      </c>
      <c r="B2575" s="1" t="s">
        <v>2599</v>
      </c>
      <c r="C2575" s="1" t="s">
        <v>24</v>
      </c>
      <c r="D2575" s="1" t="str">
        <f t="shared" si="5154"/>
        <v>2021</v>
      </c>
      <c r="E2575" s="1" t="str">
        <f t="shared" ref="E2575:I2575" si="5182">"0"</f>
        <v>0</v>
      </c>
      <c r="F2575" s="1" t="str">
        <f t="shared" si="5182"/>
        <v>0</v>
      </c>
      <c r="G2575" s="1" t="str">
        <f t="shared" si="5182"/>
        <v>0</v>
      </c>
      <c r="H2575" s="1" t="str">
        <f t="shared" si="5182"/>
        <v>0</v>
      </c>
      <c r="I2575" s="1" t="str">
        <f t="shared" si="5182"/>
        <v>0</v>
      </c>
      <c r="J2575" s="1" t="str">
        <f t="shared" si="5171"/>
        <v>2</v>
      </c>
      <c r="K2575" s="1" t="str">
        <f t="shared" ref="K2575:P2575" si="5183">"0"</f>
        <v>0</v>
      </c>
      <c r="L2575" s="1" t="str">
        <f t="shared" si="5183"/>
        <v>0</v>
      </c>
      <c r="M2575" s="1" t="str">
        <f t="shared" si="5183"/>
        <v>0</v>
      </c>
      <c r="N2575" s="1" t="str">
        <f t="shared" si="5183"/>
        <v>0</v>
      </c>
      <c r="O2575" s="1" t="str">
        <f t="shared" si="5183"/>
        <v>0</v>
      </c>
      <c r="P2575" s="1" t="str">
        <f t="shared" si="5183"/>
        <v>0</v>
      </c>
      <c r="Q2575" s="1" t="str">
        <f t="shared" si="5157"/>
        <v>0.0070</v>
      </c>
      <c r="R2575" s="1" t="s">
        <v>25</v>
      </c>
      <c r="T2575" s="1" t="str">
        <f t="shared" si="5158"/>
        <v>0</v>
      </c>
      <c r="U2575" s="1" t="str">
        <f>"0.0070"</f>
        <v>0.0070</v>
      </c>
    </row>
    <row r="2576" s="1" customFormat="1" spans="1:21">
      <c r="A2576" s="1" t="str">
        <f>"4601992046082"</f>
        <v>4601992046082</v>
      </c>
      <c r="B2576" s="1" t="s">
        <v>2600</v>
      </c>
      <c r="C2576" s="1" t="s">
        <v>24</v>
      </c>
      <c r="D2576" s="1" t="str">
        <f t="shared" si="5154"/>
        <v>2021</v>
      </c>
      <c r="E2576" s="1" t="str">
        <f>"24.18"</f>
        <v>24.18</v>
      </c>
      <c r="F2576" s="1" t="str">
        <f t="shared" ref="F2576:I2576" si="5184">"0"</f>
        <v>0</v>
      </c>
      <c r="G2576" s="1" t="str">
        <f t="shared" si="5184"/>
        <v>0</v>
      </c>
      <c r="H2576" s="1" t="str">
        <f t="shared" si="5184"/>
        <v>0</v>
      </c>
      <c r="I2576" s="1" t="str">
        <f t="shared" si="5184"/>
        <v>0</v>
      </c>
      <c r="J2576" s="1" t="str">
        <f t="shared" si="5171"/>
        <v>2</v>
      </c>
      <c r="K2576" s="1" t="str">
        <f t="shared" ref="K2576:P2576" si="5185">"0"</f>
        <v>0</v>
      </c>
      <c r="L2576" s="1" t="str">
        <f t="shared" si="5185"/>
        <v>0</v>
      </c>
      <c r="M2576" s="1" t="str">
        <f t="shared" si="5185"/>
        <v>0</v>
      </c>
      <c r="N2576" s="1" t="str">
        <f t="shared" si="5185"/>
        <v>0</v>
      </c>
      <c r="O2576" s="1" t="str">
        <f t="shared" si="5185"/>
        <v>0</v>
      </c>
      <c r="P2576" s="1" t="str">
        <f t="shared" si="5185"/>
        <v>0</v>
      </c>
      <c r="Q2576" s="1" t="str">
        <f t="shared" si="5157"/>
        <v>0.0070</v>
      </c>
      <c r="R2576" s="1" t="s">
        <v>29</v>
      </c>
      <c r="S2576" s="1">
        <v>-0.0014</v>
      </c>
      <c r="T2576" s="1" t="str">
        <f t="shared" si="5158"/>
        <v>0</v>
      </c>
      <c r="U2576" s="1" t="str">
        <f t="shared" ref="U2576:U2579" si="5186">"0.0056"</f>
        <v>0.0056</v>
      </c>
    </row>
    <row r="2577" s="1" customFormat="1" spans="1:21">
      <c r="A2577" s="1" t="str">
        <f>"4601992046134"</f>
        <v>4601992046134</v>
      </c>
      <c r="B2577" s="1" t="s">
        <v>2601</v>
      </c>
      <c r="C2577" s="1" t="s">
        <v>24</v>
      </c>
      <c r="D2577" s="1" t="str">
        <f t="shared" si="5154"/>
        <v>2021</v>
      </c>
      <c r="E2577" s="1" t="str">
        <f t="shared" si="5177"/>
        <v>12.09</v>
      </c>
      <c r="F2577" s="1" t="str">
        <f t="shared" ref="F2577:I2577" si="5187">"0"</f>
        <v>0</v>
      </c>
      <c r="G2577" s="1" t="str">
        <f t="shared" si="5187"/>
        <v>0</v>
      </c>
      <c r="H2577" s="1" t="str">
        <f t="shared" si="5187"/>
        <v>0</v>
      </c>
      <c r="I2577" s="1" t="str">
        <f t="shared" si="5187"/>
        <v>0</v>
      </c>
      <c r="J2577" s="1" t="str">
        <f>"1"</f>
        <v>1</v>
      </c>
      <c r="K2577" s="1" t="str">
        <f t="shared" ref="K2577:P2577" si="5188">"0"</f>
        <v>0</v>
      </c>
      <c r="L2577" s="1" t="str">
        <f t="shared" si="5188"/>
        <v>0</v>
      </c>
      <c r="M2577" s="1" t="str">
        <f t="shared" si="5188"/>
        <v>0</v>
      </c>
      <c r="N2577" s="1" t="str">
        <f t="shared" si="5188"/>
        <v>0</v>
      </c>
      <c r="O2577" s="1" t="str">
        <f t="shared" si="5188"/>
        <v>0</v>
      </c>
      <c r="P2577" s="1" t="str">
        <f t="shared" si="5188"/>
        <v>0</v>
      </c>
      <c r="Q2577" s="1" t="str">
        <f t="shared" si="5157"/>
        <v>0.0070</v>
      </c>
      <c r="R2577" s="1" t="s">
        <v>29</v>
      </c>
      <c r="S2577" s="1">
        <v>-0.0014</v>
      </c>
      <c r="T2577" s="1" t="str">
        <f t="shared" si="5158"/>
        <v>0</v>
      </c>
      <c r="U2577" s="1" t="str">
        <f t="shared" si="5186"/>
        <v>0.0056</v>
      </c>
    </row>
    <row r="2578" s="1" customFormat="1" spans="1:21">
      <c r="A2578" s="1" t="str">
        <f>"4601992046170"</f>
        <v>4601992046170</v>
      </c>
      <c r="B2578" s="1" t="s">
        <v>2602</v>
      </c>
      <c r="C2578" s="1" t="s">
        <v>24</v>
      </c>
      <c r="D2578" s="1" t="str">
        <f t="shared" si="5154"/>
        <v>2021</v>
      </c>
      <c r="E2578" s="1" t="str">
        <f>"36.16"</f>
        <v>36.16</v>
      </c>
      <c r="F2578" s="1" t="str">
        <f t="shared" ref="F2578:I2578" si="5189">"0"</f>
        <v>0</v>
      </c>
      <c r="G2578" s="1" t="str">
        <f t="shared" si="5189"/>
        <v>0</v>
      </c>
      <c r="H2578" s="1" t="str">
        <f t="shared" si="5189"/>
        <v>0</v>
      </c>
      <c r="I2578" s="1" t="str">
        <f t="shared" si="5189"/>
        <v>0</v>
      </c>
      <c r="J2578" s="1" t="str">
        <f>"3"</f>
        <v>3</v>
      </c>
      <c r="K2578" s="1" t="str">
        <f t="shared" ref="K2578:P2578" si="5190">"0"</f>
        <v>0</v>
      </c>
      <c r="L2578" s="1" t="str">
        <f t="shared" si="5190"/>
        <v>0</v>
      </c>
      <c r="M2578" s="1" t="str">
        <f t="shared" si="5190"/>
        <v>0</v>
      </c>
      <c r="N2578" s="1" t="str">
        <f t="shared" si="5190"/>
        <v>0</v>
      </c>
      <c r="O2578" s="1" t="str">
        <f t="shared" si="5190"/>
        <v>0</v>
      </c>
      <c r="P2578" s="1" t="str">
        <f t="shared" si="5190"/>
        <v>0</v>
      </c>
      <c r="Q2578" s="1" t="str">
        <f t="shared" si="5157"/>
        <v>0.0070</v>
      </c>
      <c r="R2578" s="1" t="s">
        <v>29</v>
      </c>
      <c r="S2578" s="1">
        <v>-0.0014</v>
      </c>
      <c r="T2578" s="1" t="str">
        <f t="shared" si="5158"/>
        <v>0</v>
      </c>
      <c r="U2578" s="1" t="str">
        <f t="shared" si="5186"/>
        <v>0.0056</v>
      </c>
    </row>
    <row r="2579" s="1" customFormat="1" spans="1:21">
      <c r="A2579" s="1" t="str">
        <f>"4601992045999"</f>
        <v>4601992045999</v>
      </c>
      <c r="B2579" s="1" t="s">
        <v>2603</v>
      </c>
      <c r="C2579" s="1" t="s">
        <v>24</v>
      </c>
      <c r="D2579" s="1" t="str">
        <f t="shared" si="5154"/>
        <v>2021</v>
      </c>
      <c r="E2579" s="1" t="str">
        <f>"12.25"</f>
        <v>12.25</v>
      </c>
      <c r="F2579" s="1" t="str">
        <f t="shared" ref="F2579:I2579" si="5191">"0"</f>
        <v>0</v>
      </c>
      <c r="G2579" s="1" t="str">
        <f t="shared" si="5191"/>
        <v>0</v>
      </c>
      <c r="H2579" s="1" t="str">
        <f t="shared" si="5191"/>
        <v>0</v>
      </c>
      <c r="I2579" s="1" t="str">
        <f t="shared" si="5191"/>
        <v>0</v>
      </c>
      <c r="J2579" s="1" t="str">
        <f>"2"</f>
        <v>2</v>
      </c>
      <c r="K2579" s="1" t="str">
        <f t="shared" ref="K2579:P2579" si="5192">"0"</f>
        <v>0</v>
      </c>
      <c r="L2579" s="1" t="str">
        <f t="shared" si="5192"/>
        <v>0</v>
      </c>
      <c r="M2579" s="1" t="str">
        <f t="shared" si="5192"/>
        <v>0</v>
      </c>
      <c r="N2579" s="1" t="str">
        <f t="shared" si="5192"/>
        <v>0</v>
      </c>
      <c r="O2579" s="1" t="str">
        <f t="shared" si="5192"/>
        <v>0</v>
      </c>
      <c r="P2579" s="1" t="str">
        <f t="shared" si="5192"/>
        <v>0</v>
      </c>
      <c r="Q2579" s="1" t="str">
        <f t="shared" si="5157"/>
        <v>0.0070</v>
      </c>
      <c r="R2579" s="1" t="s">
        <v>29</v>
      </c>
      <c r="S2579" s="1">
        <v>-0.0014</v>
      </c>
      <c r="T2579" s="1" t="str">
        <f t="shared" si="5158"/>
        <v>0</v>
      </c>
      <c r="U2579" s="1" t="str">
        <f t="shared" si="5186"/>
        <v>0.0056</v>
      </c>
    </row>
    <row r="2580" s="1" customFormat="1" spans="1:21">
      <c r="A2580" s="1" t="str">
        <f>"4601992046200"</f>
        <v>4601992046200</v>
      </c>
      <c r="B2580" s="1" t="s">
        <v>2604</v>
      </c>
      <c r="C2580" s="1" t="s">
        <v>24</v>
      </c>
      <c r="D2580" s="1" t="str">
        <f t="shared" si="5154"/>
        <v>2021</v>
      </c>
      <c r="E2580" s="1" t="str">
        <f t="shared" ref="E2580:P2580" si="5193">"0"</f>
        <v>0</v>
      </c>
      <c r="F2580" s="1" t="str">
        <f t="shared" si="5193"/>
        <v>0</v>
      </c>
      <c r="G2580" s="1" t="str">
        <f t="shared" si="5193"/>
        <v>0</v>
      </c>
      <c r="H2580" s="1" t="str">
        <f t="shared" si="5193"/>
        <v>0</v>
      </c>
      <c r="I2580" s="1" t="str">
        <f t="shared" si="5193"/>
        <v>0</v>
      </c>
      <c r="J2580" s="1" t="str">
        <f t="shared" si="5193"/>
        <v>0</v>
      </c>
      <c r="K2580" s="1" t="str">
        <f t="shared" si="5193"/>
        <v>0</v>
      </c>
      <c r="L2580" s="1" t="str">
        <f t="shared" si="5193"/>
        <v>0</v>
      </c>
      <c r="M2580" s="1" t="str">
        <f t="shared" si="5193"/>
        <v>0</v>
      </c>
      <c r="N2580" s="1" t="str">
        <f t="shared" si="5193"/>
        <v>0</v>
      </c>
      <c r="O2580" s="1" t="str">
        <f t="shared" si="5193"/>
        <v>0</v>
      </c>
      <c r="P2580" s="1" t="str">
        <f t="shared" si="5193"/>
        <v>0</v>
      </c>
      <c r="Q2580" s="1" t="str">
        <f t="shared" si="5157"/>
        <v>0.0070</v>
      </c>
      <c r="R2580" s="1" t="s">
        <v>25</v>
      </c>
      <c r="T2580" s="1" t="str">
        <f t="shared" si="5158"/>
        <v>0</v>
      </c>
      <c r="U2580" s="1" t="str">
        <f t="shared" ref="U2580:U2584" si="5194">"0.0070"</f>
        <v>0.0070</v>
      </c>
    </row>
    <row r="2581" s="1" customFormat="1" spans="1:21">
      <c r="A2581" s="1" t="str">
        <f>"4601992046180"</f>
        <v>4601992046180</v>
      </c>
      <c r="B2581" s="1" t="s">
        <v>2605</v>
      </c>
      <c r="C2581" s="1" t="s">
        <v>24</v>
      </c>
      <c r="D2581" s="1" t="str">
        <f t="shared" si="5154"/>
        <v>2021</v>
      </c>
      <c r="E2581" s="1" t="str">
        <f>"12.09"</f>
        <v>12.09</v>
      </c>
      <c r="F2581" s="1" t="str">
        <f t="shared" ref="F2581:I2581" si="5195">"0"</f>
        <v>0</v>
      </c>
      <c r="G2581" s="1" t="str">
        <f t="shared" si="5195"/>
        <v>0</v>
      </c>
      <c r="H2581" s="1" t="str">
        <f t="shared" si="5195"/>
        <v>0</v>
      </c>
      <c r="I2581" s="1" t="str">
        <f t="shared" si="5195"/>
        <v>0</v>
      </c>
      <c r="J2581" s="1" t="str">
        <f>"1"</f>
        <v>1</v>
      </c>
      <c r="K2581" s="1" t="str">
        <f t="shared" ref="K2581:P2581" si="5196">"0"</f>
        <v>0</v>
      </c>
      <c r="L2581" s="1" t="str">
        <f t="shared" si="5196"/>
        <v>0</v>
      </c>
      <c r="M2581" s="1" t="str">
        <f t="shared" si="5196"/>
        <v>0</v>
      </c>
      <c r="N2581" s="1" t="str">
        <f t="shared" si="5196"/>
        <v>0</v>
      </c>
      <c r="O2581" s="1" t="str">
        <f t="shared" si="5196"/>
        <v>0</v>
      </c>
      <c r="P2581" s="1" t="str">
        <f t="shared" si="5196"/>
        <v>0</v>
      </c>
      <c r="Q2581" s="1" t="str">
        <f t="shared" si="5157"/>
        <v>0.0070</v>
      </c>
      <c r="R2581" s="1" t="s">
        <v>29</v>
      </c>
      <c r="S2581" s="1">
        <v>-0.0014</v>
      </c>
      <c r="T2581" s="1" t="str">
        <f t="shared" si="5158"/>
        <v>0</v>
      </c>
      <c r="U2581" s="1" t="str">
        <f>"0.0056"</f>
        <v>0.0056</v>
      </c>
    </row>
    <row r="2582" s="1" customFormat="1" spans="1:21">
      <c r="A2582" s="1" t="str">
        <f>"4601992046270"</f>
        <v>4601992046270</v>
      </c>
      <c r="B2582" s="1" t="s">
        <v>2606</v>
      </c>
      <c r="C2582" s="1" t="s">
        <v>24</v>
      </c>
      <c r="D2582" s="1" t="str">
        <f t="shared" si="5154"/>
        <v>2021</v>
      </c>
      <c r="E2582" s="1" t="str">
        <f t="shared" ref="E2582:P2582" si="5197">"0"</f>
        <v>0</v>
      </c>
      <c r="F2582" s="1" t="str">
        <f t="shared" si="5197"/>
        <v>0</v>
      </c>
      <c r="G2582" s="1" t="str">
        <f t="shared" si="5197"/>
        <v>0</v>
      </c>
      <c r="H2582" s="1" t="str">
        <f t="shared" si="5197"/>
        <v>0</v>
      </c>
      <c r="I2582" s="1" t="str">
        <f t="shared" si="5197"/>
        <v>0</v>
      </c>
      <c r="J2582" s="1" t="str">
        <f t="shared" si="5197"/>
        <v>0</v>
      </c>
      <c r="K2582" s="1" t="str">
        <f t="shared" si="5197"/>
        <v>0</v>
      </c>
      <c r="L2582" s="1" t="str">
        <f t="shared" si="5197"/>
        <v>0</v>
      </c>
      <c r="M2582" s="1" t="str">
        <f t="shared" si="5197"/>
        <v>0</v>
      </c>
      <c r="N2582" s="1" t="str">
        <f t="shared" si="5197"/>
        <v>0</v>
      </c>
      <c r="O2582" s="1" t="str">
        <f t="shared" si="5197"/>
        <v>0</v>
      </c>
      <c r="P2582" s="1" t="str">
        <f t="shared" si="5197"/>
        <v>0</v>
      </c>
      <c r="Q2582" s="1" t="str">
        <f t="shared" si="5157"/>
        <v>0.0070</v>
      </c>
      <c r="R2582" s="1" t="s">
        <v>25</v>
      </c>
      <c r="T2582" s="1" t="str">
        <f t="shared" si="5158"/>
        <v>0</v>
      </c>
      <c r="U2582" s="1" t="str">
        <f t="shared" si="5194"/>
        <v>0.0070</v>
      </c>
    </row>
    <row r="2583" s="1" customFormat="1" spans="1:21">
      <c r="A2583" s="1" t="str">
        <f>"4601992046299"</f>
        <v>4601992046299</v>
      </c>
      <c r="B2583" s="1" t="s">
        <v>2607</v>
      </c>
      <c r="C2583" s="1" t="s">
        <v>24</v>
      </c>
      <c r="D2583" s="1" t="str">
        <f t="shared" si="5154"/>
        <v>2021</v>
      </c>
      <c r="E2583" s="1" t="str">
        <f t="shared" ref="E2583:P2583" si="5198">"0"</f>
        <v>0</v>
      </c>
      <c r="F2583" s="1" t="str">
        <f t="shared" si="5198"/>
        <v>0</v>
      </c>
      <c r="G2583" s="1" t="str">
        <f t="shared" si="5198"/>
        <v>0</v>
      </c>
      <c r="H2583" s="1" t="str">
        <f t="shared" si="5198"/>
        <v>0</v>
      </c>
      <c r="I2583" s="1" t="str">
        <f t="shared" si="5198"/>
        <v>0</v>
      </c>
      <c r="J2583" s="1" t="str">
        <f t="shared" si="5198"/>
        <v>0</v>
      </c>
      <c r="K2583" s="1" t="str">
        <f t="shared" si="5198"/>
        <v>0</v>
      </c>
      <c r="L2583" s="1" t="str">
        <f t="shared" si="5198"/>
        <v>0</v>
      </c>
      <c r="M2583" s="1" t="str">
        <f t="shared" si="5198"/>
        <v>0</v>
      </c>
      <c r="N2583" s="1" t="str">
        <f t="shared" si="5198"/>
        <v>0</v>
      </c>
      <c r="O2583" s="1" t="str">
        <f t="shared" si="5198"/>
        <v>0</v>
      </c>
      <c r="P2583" s="1" t="str">
        <f t="shared" si="5198"/>
        <v>0</v>
      </c>
      <c r="Q2583" s="1" t="str">
        <f t="shared" si="5157"/>
        <v>0.0070</v>
      </c>
      <c r="R2583" s="1" t="s">
        <v>25</v>
      </c>
      <c r="T2583" s="1" t="str">
        <f t="shared" si="5158"/>
        <v>0</v>
      </c>
      <c r="U2583" s="1" t="str">
        <f t="shared" si="5194"/>
        <v>0.0070</v>
      </c>
    </row>
    <row r="2584" s="1" customFormat="1" spans="1:21">
      <c r="A2584" s="1" t="str">
        <f>"4601992046285"</f>
        <v>4601992046285</v>
      </c>
      <c r="B2584" s="1" t="s">
        <v>2608</v>
      </c>
      <c r="C2584" s="1" t="s">
        <v>24</v>
      </c>
      <c r="D2584" s="1" t="str">
        <f t="shared" si="5154"/>
        <v>2021</v>
      </c>
      <c r="E2584" s="1" t="str">
        <f t="shared" ref="E2584:P2584" si="5199">"0"</f>
        <v>0</v>
      </c>
      <c r="F2584" s="1" t="str">
        <f t="shared" si="5199"/>
        <v>0</v>
      </c>
      <c r="G2584" s="1" t="str">
        <f t="shared" si="5199"/>
        <v>0</v>
      </c>
      <c r="H2584" s="1" t="str">
        <f t="shared" si="5199"/>
        <v>0</v>
      </c>
      <c r="I2584" s="1" t="str">
        <f t="shared" si="5199"/>
        <v>0</v>
      </c>
      <c r="J2584" s="1" t="str">
        <f t="shared" si="5199"/>
        <v>0</v>
      </c>
      <c r="K2584" s="1" t="str">
        <f t="shared" si="5199"/>
        <v>0</v>
      </c>
      <c r="L2584" s="1" t="str">
        <f t="shared" si="5199"/>
        <v>0</v>
      </c>
      <c r="M2584" s="1" t="str">
        <f t="shared" si="5199"/>
        <v>0</v>
      </c>
      <c r="N2584" s="1" t="str">
        <f t="shared" si="5199"/>
        <v>0</v>
      </c>
      <c r="O2584" s="1" t="str">
        <f t="shared" si="5199"/>
        <v>0</v>
      </c>
      <c r="P2584" s="1" t="str">
        <f t="shared" si="5199"/>
        <v>0</v>
      </c>
      <c r="Q2584" s="1" t="str">
        <f t="shared" si="5157"/>
        <v>0.0070</v>
      </c>
      <c r="R2584" s="1" t="s">
        <v>25</v>
      </c>
      <c r="T2584" s="1" t="str">
        <f t="shared" si="5158"/>
        <v>0</v>
      </c>
      <c r="U2584" s="1" t="str">
        <f t="shared" si="5194"/>
        <v>0.0070</v>
      </c>
    </row>
    <row r="2585" s="1" customFormat="1" spans="1:21">
      <c r="A2585" s="1" t="str">
        <f>"4601992046176"</f>
        <v>4601992046176</v>
      </c>
      <c r="B2585" s="1" t="s">
        <v>2609</v>
      </c>
      <c r="C2585" s="1" t="s">
        <v>24</v>
      </c>
      <c r="D2585" s="1" t="str">
        <f t="shared" si="5154"/>
        <v>2021</v>
      </c>
      <c r="E2585" s="1" t="str">
        <f>"11.98"</f>
        <v>11.98</v>
      </c>
      <c r="F2585" s="1" t="str">
        <f t="shared" ref="F2585:I2585" si="5200">"0"</f>
        <v>0</v>
      </c>
      <c r="G2585" s="1" t="str">
        <f t="shared" si="5200"/>
        <v>0</v>
      </c>
      <c r="H2585" s="1" t="str">
        <f t="shared" si="5200"/>
        <v>0</v>
      </c>
      <c r="I2585" s="1" t="str">
        <f t="shared" si="5200"/>
        <v>0</v>
      </c>
      <c r="J2585" s="1" t="str">
        <f>"1"</f>
        <v>1</v>
      </c>
      <c r="K2585" s="1" t="str">
        <f t="shared" ref="K2585:P2585" si="5201">"0"</f>
        <v>0</v>
      </c>
      <c r="L2585" s="1" t="str">
        <f t="shared" si="5201"/>
        <v>0</v>
      </c>
      <c r="M2585" s="1" t="str">
        <f t="shared" si="5201"/>
        <v>0</v>
      </c>
      <c r="N2585" s="1" t="str">
        <f t="shared" si="5201"/>
        <v>0</v>
      </c>
      <c r="O2585" s="1" t="str">
        <f t="shared" si="5201"/>
        <v>0</v>
      </c>
      <c r="P2585" s="1" t="str">
        <f t="shared" si="5201"/>
        <v>0</v>
      </c>
      <c r="Q2585" s="1" t="str">
        <f t="shared" si="5157"/>
        <v>0.0070</v>
      </c>
      <c r="R2585" s="1" t="s">
        <v>29</v>
      </c>
      <c r="S2585" s="1">
        <v>-0.0014</v>
      </c>
      <c r="T2585" s="1" t="str">
        <f t="shared" si="5158"/>
        <v>0</v>
      </c>
      <c r="U2585" s="1" t="str">
        <f>"0.0056"</f>
        <v>0.0056</v>
      </c>
    </row>
    <row r="2586" s="1" customFormat="1" spans="1:21">
      <c r="A2586" s="1" t="str">
        <f>"4601992046322"</f>
        <v>4601992046322</v>
      </c>
      <c r="B2586" s="1" t="s">
        <v>2610</v>
      </c>
      <c r="C2586" s="1" t="s">
        <v>24</v>
      </c>
      <c r="D2586" s="1" t="str">
        <f t="shared" si="5154"/>
        <v>2021</v>
      </c>
      <c r="E2586" s="1" t="str">
        <f t="shared" ref="E2586:P2586" si="5202">"0"</f>
        <v>0</v>
      </c>
      <c r="F2586" s="1" t="str">
        <f t="shared" si="5202"/>
        <v>0</v>
      </c>
      <c r="G2586" s="1" t="str">
        <f t="shared" si="5202"/>
        <v>0</v>
      </c>
      <c r="H2586" s="1" t="str">
        <f t="shared" si="5202"/>
        <v>0</v>
      </c>
      <c r="I2586" s="1" t="str">
        <f t="shared" si="5202"/>
        <v>0</v>
      </c>
      <c r="J2586" s="1" t="str">
        <f t="shared" si="5202"/>
        <v>0</v>
      </c>
      <c r="K2586" s="1" t="str">
        <f t="shared" si="5202"/>
        <v>0</v>
      </c>
      <c r="L2586" s="1" t="str">
        <f t="shared" si="5202"/>
        <v>0</v>
      </c>
      <c r="M2586" s="1" t="str">
        <f t="shared" si="5202"/>
        <v>0</v>
      </c>
      <c r="N2586" s="1" t="str">
        <f t="shared" si="5202"/>
        <v>0</v>
      </c>
      <c r="O2586" s="1" t="str">
        <f t="shared" si="5202"/>
        <v>0</v>
      </c>
      <c r="P2586" s="1" t="str">
        <f t="shared" si="5202"/>
        <v>0</v>
      </c>
      <c r="Q2586" s="1" t="str">
        <f t="shared" si="5157"/>
        <v>0.0070</v>
      </c>
      <c r="R2586" s="1" t="s">
        <v>25</v>
      </c>
      <c r="T2586" s="1" t="str">
        <f t="shared" si="5158"/>
        <v>0</v>
      </c>
      <c r="U2586" s="1" t="str">
        <f t="shared" ref="U2586:U2588" si="5203">"0.0070"</f>
        <v>0.0070</v>
      </c>
    </row>
    <row r="2587" s="1" customFormat="1" spans="1:21">
      <c r="A2587" s="1" t="str">
        <f>"4601992046320"</f>
        <v>4601992046320</v>
      </c>
      <c r="B2587" s="1" t="s">
        <v>2611</v>
      </c>
      <c r="C2587" s="1" t="s">
        <v>24</v>
      </c>
      <c r="D2587" s="1" t="str">
        <f t="shared" si="5154"/>
        <v>2021</v>
      </c>
      <c r="E2587" s="1" t="str">
        <f t="shared" ref="E2587:I2587" si="5204">"0"</f>
        <v>0</v>
      </c>
      <c r="F2587" s="1" t="str">
        <f t="shared" si="5204"/>
        <v>0</v>
      </c>
      <c r="G2587" s="1" t="str">
        <f t="shared" si="5204"/>
        <v>0</v>
      </c>
      <c r="H2587" s="1" t="str">
        <f t="shared" si="5204"/>
        <v>0</v>
      </c>
      <c r="I2587" s="1" t="str">
        <f t="shared" si="5204"/>
        <v>0</v>
      </c>
      <c r="J2587" s="1" t="str">
        <f t="shared" ref="J2587:J2594" si="5205">"1"</f>
        <v>1</v>
      </c>
      <c r="K2587" s="1" t="str">
        <f t="shared" ref="K2587:P2587" si="5206">"0"</f>
        <v>0</v>
      </c>
      <c r="L2587" s="1" t="str">
        <f t="shared" si="5206"/>
        <v>0</v>
      </c>
      <c r="M2587" s="1" t="str">
        <f t="shared" si="5206"/>
        <v>0</v>
      </c>
      <c r="N2587" s="1" t="str">
        <f t="shared" si="5206"/>
        <v>0</v>
      </c>
      <c r="O2587" s="1" t="str">
        <f t="shared" si="5206"/>
        <v>0</v>
      </c>
      <c r="P2587" s="1" t="str">
        <f t="shared" si="5206"/>
        <v>0</v>
      </c>
      <c r="Q2587" s="1" t="str">
        <f t="shared" si="5157"/>
        <v>0.0070</v>
      </c>
      <c r="R2587" s="1" t="s">
        <v>25</v>
      </c>
      <c r="T2587" s="1" t="str">
        <f t="shared" si="5158"/>
        <v>0</v>
      </c>
      <c r="U2587" s="1" t="str">
        <f t="shared" si="5203"/>
        <v>0.0070</v>
      </c>
    </row>
    <row r="2588" s="1" customFormat="1" spans="1:21">
      <c r="A2588" s="1" t="str">
        <f>"4601992046349"</f>
        <v>4601992046349</v>
      </c>
      <c r="B2588" s="1" t="s">
        <v>2612</v>
      </c>
      <c r="C2588" s="1" t="s">
        <v>24</v>
      </c>
      <c r="D2588" s="1" t="str">
        <f t="shared" si="5154"/>
        <v>2021</v>
      </c>
      <c r="E2588" s="1" t="str">
        <f t="shared" ref="E2588:P2588" si="5207">"0"</f>
        <v>0</v>
      </c>
      <c r="F2588" s="1" t="str">
        <f t="shared" si="5207"/>
        <v>0</v>
      </c>
      <c r="G2588" s="1" t="str">
        <f t="shared" si="5207"/>
        <v>0</v>
      </c>
      <c r="H2588" s="1" t="str">
        <f t="shared" si="5207"/>
        <v>0</v>
      </c>
      <c r="I2588" s="1" t="str">
        <f t="shared" si="5207"/>
        <v>0</v>
      </c>
      <c r="J2588" s="1" t="str">
        <f t="shared" si="5207"/>
        <v>0</v>
      </c>
      <c r="K2588" s="1" t="str">
        <f t="shared" si="5207"/>
        <v>0</v>
      </c>
      <c r="L2588" s="1" t="str">
        <f t="shared" si="5207"/>
        <v>0</v>
      </c>
      <c r="M2588" s="1" t="str">
        <f t="shared" si="5207"/>
        <v>0</v>
      </c>
      <c r="N2588" s="1" t="str">
        <f t="shared" si="5207"/>
        <v>0</v>
      </c>
      <c r="O2588" s="1" t="str">
        <f t="shared" si="5207"/>
        <v>0</v>
      </c>
      <c r="P2588" s="1" t="str">
        <f t="shared" si="5207"/>
        <v>0</v>
      </c>
      <c r="Q2588" s="1" t="str">
        <f t="shared" si="5157"/>
        <v>0.0070</v>
      </c>
      <c r="R2588" s="1" t="s">
        <v>25</v>
      </c>
      <c r="T2588" s="1" t="str">
        <f t="shared" si="5158"/>
        <v>0</v>
      </c>
      <c r="U2588" s="1" t="str">
        <f t="shared" si="5203"/>
        <v>0.0070</v>
      </c>
    </row>
    <row r="2589" s="1" customFormat="1" spans="1:21">
      <c r="A2589" s="1" t="str">
        <f>"4601992046317"</f>
        <v>4601992046317</v>
      </c>
      <c r="B2589" s="1" t="s">
        <v>2613</v>
      </c>
      <c r="C2589" s="1" t="s">
        <v>24</v>
      </c>
      <c r="D2589" s="1" t="str">
        <f t="shared" si="5154"/>
        <v>2021</v>
      </c>
      <c r="E2589" s="1" t="str">
        <f>"24.34"</f>
        <v>24.34</v>
      </c>
      <c r="F2589" s="1" t="str">
        <f t="shared" ref="F2589:I2589" si="5208">"0"</f>
        <v>0</v>
      </c>
      <c r="G2589" s="1" t="str">
        <f t="shared" si="5208"/>
        <v>0</v>
      </c>
      <c r="H2589" s="1" t="str">
        <f t="shared" si="5208"/>
        <v>0</v>
      </c>
      <c r="I2589" s="1" t="str">
        <f t="shared" si="5208"/>
        <v>0</v>
      </c>
      <c r="J2589" s="1" t="str">
        <f>"2"</f>
        <v>2</v>
      </c>
      <c r="K2589" s="1" t="str">
        <f t="shared" ref="K2589:P2589" si="5209">"0"</f>
        <v>0</v>
      </c>
      <c r="L2589" s="1" t="str">
        <f t="shared" si="5209"/>
        <v>0</v>
      </c>
      <c r="M2589" s="1" t="str">
        <f t="shared" si="5209"/>
        <v>0</v>
      </c>
      <c r="N2589" s="1" t="str">
        <f t="shared" si="5209"/>
        <v>0</v>
      </c>
      <c r="O2589" s="1" t="str">
        <f t="shared" si="5209"/>
        <v>0</v>
      </c>
      <c r="P2589" s="1" t="str">
        <f t="shared" si="5209"/>
        <v>0</v>
      </c>
      <c r="Q2589" s="1" t="str">
        <f t="shared" si="5157"/>
        <v>0.0070</v>
      </c>
      <c r="R2589" s="1" t="s">
        <v>29</v>
      </c>
      <c r="S2589" s="1">
        <v>-0.0014</v>
      </c>
      <c r="T2589" s="1" t="str">
        <f t="shared" si="5158"/>
        <v>0</v>
      </c>
      <c r="U2589" s="1" t="str">
        <f t="shared" ref="U2589:U2594" si="5210">"0.0056"</f>
        <v>0.0056</v>
      </c>
    </row>
    <row r="2590" s="1" customFormat="1" spans="1:21">
      <c r="A2590" s="1" t="str">
        <f>"4601992046394"</f>
        <v>4601992046394</v>
      </c>
      <c r="B2590" s="1" t="s">
        <v>2614</v>
      </c>
      <c r="C2590" s="1" t="s">
        <v>24</v>
      </c>
      <c r="D2590" s="1" t="str">
        <f t="shared" si="5154"/>
        <v>2021</v>
      </c>
      <c r="E2590" s="1" t="str">
        <f t="shared" ref="E2590:P2590" si="5211">"0"</f>
        <v>0</v>
      </c>
      <c r="F2590" s="1" t="str">
        <f t="shared" si="5211"/>
        <v>0</v>
      </c>
      <c r="G2590" s="1" t="str">
        <f t="shared" si="5211"/>
        <v>0</v>
      </c>
      <c r="H2590" s="1" t="str">
        <f t="shared" si="5211"/>
        <v>0</v>
      </c>
      <c r="I2590" s="1" t="str">
        <f t="shared" si="5211"/>
        <v>0</v>
      </c>
      <c r="J2590" s="1" t="str">
        <f t="shared" si="5211"/>
        <v>0</v>
      </c>
      <c r="K2590" s="1" t="str">
        <f t="shared" si="5211"/>
        <v>0</v>
      </c>
      <c r="L2590" s="1" t="str">
        <f t="shared" si="5211"/>
        <v>0</v>
      </c>
      <c r="M2590" s="1" t="str">
        <f t="shared" si="5211"/>
        <v>0</v>
      </c>
      <c r="N2590" s="1" t="str">
        <f t="shared" si="5211"/>
        <v>0</v>
      </c>
      <c r="O2590" s="1" t="str">
        <f t="shared" si="5211"/>
        <v>0</v>
      </c>
      <c r="P2590" s="1" t="str">
        <f t="shared" si="5211"/>
        <v>0</v>
      </c>
      <c r="Q2590" s="1" t="str">
        <f t="shared" si="5157"/>
        <v>0.0070</v>
      </c>
      <c r="R2590" s="1" t="s">
        <v>25</v>
      </c>
      <c r="T2590" s="1" t="str">
        <f t="shared" si="5158"/>
        <v>0</v>
      </c>
      <c r="U2590" s="1" t="str">
        <f t="shared" ref="U2590:U2595" si="5212">"0.0070"</f>
        <v>0.0070</v>
      </c>
    </row>
    <row r="2591" s="1" customFormat="1" spans="1:21">
      <c r="A2591" s="1" t="str">
        <f>"4601992046364"</f>
        <v>4601992046364</v>
      </c>
      <c r="B2591" s="1" t="s">
        <v>2615</v>
      </c>
      <c r="C2591" s="1" t="s">
        <v>24</v>
      </c>
      <c r="D2591" s="1" t="str">
        <f t="shared" si="5154"/>
        <v>2021</v>
      </c>
      <c r="E2591" s="1" t="str">
        <f t="shared" ref="E2591:E2594" si="5213">"12.09"</f>
        <v>12.09</v>
      </c>
      <c r="F2591" s="1" t="str">
        <f t="shared" ref="F2591:I2591" si="5214">"0"</f>
        <v>0</v>
      </c>
      <c r="G2591" s="1" t="str">
        <f t="shared" si="5214"/>
        <v>0</v>
      </c>
      <c r="H2591" s="1" t="str">
        <f t="shared" si="5214"/>
        <v>0</v>
      </c>
      <c r="I2591" s="1" t="str">
        <f t="shared" si="5214"/>
        <v>0</v>
      </c>
      <c r="J2591" s="1" t="str">
        <f t="shared" si="5205"/>
        <v>1</v>
      </c>
      <c r="K2591" s="1" t="str">
        <f t="shared" ref="K2591:P2591" si="5215">"0"</f>
        <v>0</v>
      </c>
      <c r="L2591" s="1" t="str">
        <f t="shared" si="5215"/>
        <v>0</v>
      </c>
      <c r="M2591" s="1" t="str">
        <f t="shared" si="5215"/>
        <v>0</v>
      </c>
      <c r="N2591" s="1" t="str">
        <f t="shared" si="5215"/>
        <v>0</v>
      </c>
      <c r="O2591" s="1" t="str">
        <f t="shared" si="5215"/>
        <v>0</v>
      </c>
      <c r="P2591" s="1" t="str">
        <f t="shared" si="5215"/>
        <v>0</v>
      </c>
      <c r="Q2591" s="1" t="str">
        <f t="shared" si="5157"/>
        <v>0.0070</v>
      </c>
      <c r="R2591" s="1" t="s">
        <v>25</v>
      </c>
      <c r="T2591" s="1" t="str">
        <f t="shared" si="5158"/>
        <v>0</v>
      </c>
      <c r="U2591" s="1" t="str">
        <f t="shared" si="5212"/>
        <v>0.0070</v>
      </c>
    </row>
    <row r="2592" s="1" customFormat="1" spans="1:21">
      <c r="A2592" s="1" t="str">
        <f>"4601992046382"</f>
        <v>4601992046382</v>
      </c>
      <c r="B2592" s="1" t="s">
        <v>2616</v>
      </c>
      <c r="C2592" s="1" t="s">
        <v>24</v>
      </c>
      <c r="D2592" s="1" t="str">
        <f t="shared" si="5154"/>
        <v>2021</v>
      </c>
      <c r="E2592" s="1" t="str">
        <f t="shared" si="5213"/>
        <v>12.09</v>
      </c>
      <c r="F2592" s="1" t="str">
        <f t="shared" ref="F2592:I2592" si="5216">"0"</f>
        <v>0</v>
      </c>
      <c r="G2592" s="1" t="str">
        <f t="shared" si="5216"/>
        <v>0</v>
      </c>
      <c r="H2592" s="1" t="str">
        <f t="shared" si="5216"/>
        <v>0</v>
      </c>
      <c r="I2592" s="1" t="str">
        <f t="shared" si="5216"/>
        <v>0</v>
      </c>
      <c r="J2592" s="1" t="str">
        <f t="shared" si="5205"/>
        <v>1</v>
      </c>
      <c r="K2592" s="1" t="str">
        <f t="shared" ref="K2592:P2592" si="5217">"0"</f>
        <v>0</v>
      </c>
      <c r="L2592" s="1" t="str">
        <f t="shared" si="5217"/>
        <v>0</v>
      </c>
      <c r="M2592" s="1" t="str">
        <f t="shared" si="5217"/>
        <v>0</v>
      </c>
      <c r="N2592" s="1" t="str">
        <f t="shared" si="5217"/>
        <v>0</v>
      </c>
      <c r="O2592" s="1" t="str">
        <f t="shared" si="5217"/>
        <v>0</v>
      </c>
      <c r="P2592" s="1" t="str">
        <f t="shared" si="5217"/>
        <v>0</v>
      </c>
      <c r="Q2592" s="1" t="str">
        <f t="shared" si="5157"/>
        <v>0.0070</v>
      </c>
      <c r="R2592" s="1" t="s">
        <v>29</v>
      </c>
      <c r="S2592" s="1">
        <v>-0.0014</v>
      </c>
      <c r="T2592" s="1" t="str">
        <f t="shared" si="5158"/>
        <v>0</v>
      </c>
      <c r="U2592" s="1" t="str">
        <f t="shared" si="5210"/>
        <v>0.0056</v>
      </c>
    </row>
    <row r="2593" s="1" customFormat="1" spans="1:21">
      <c r="A2593" s="1" t="str">
        <f>"4601992046397"</f>
        <v>4601992046397</v>
      </c>
      <c r="B2593" s="1" t="s">
        <v>2617</v>
      </c>
      <c r="C2593" s="1" t="s">
        <v>24</v>
      </c>
      <c r="D2593" s="1" t="str">
        <f t="shared" si="5154"/>
        <v>2021</v>
      </c>
      <c r="E2593" s="1" t="str">
        <f t="shared" si="5213"/>
        <v>12.09</v>
      </c>
      <c r="F2593" s="1" t="str">
        <f t="shared" ref="F2593:I2593" si="5218">"0"</f>
        <v>0</v>
      </c>
      <c r="G2593" s="1" t="str">
        <f t="shared" si="5218"/>
        <v>0</v>
      </c>
      <c r="H2593" s="1" t="str">
        <f t="shared" si="5218"/>
        <v>0</v>
      </c>
      <c r="I2593" s="1" t="str">
        <f t="shared" si="5218"/>
        <v>0</v>
      </c>
      <c r="J2593" s="1" t="str">
        <f t="shared" si="5205"/>
        <v>1</v>
      </c>
      <c r="K2593" s="1" t="str">
        <f t="shared" ref="K2593:P2593" si="5219">"0"</f>
        <v>0</v>
      </c>
      <c r="L2593" s="1" t="str">
        <f t="shared" si="5219"/>
        <v>0</v>
      </c>
      <c r="M2593" s="1" t="str">
        <f t="shared" si="5219"/>
        <v>0</v>
      </c>
      <c r="N2593" s="1" t="str">
        <f t="shared" si="5219"/>
        <v>0</v>
      </c>
      <c r="O2593" s="1" t="str">
        <f t="shared" si="5219"/>
        <v>0</v>
      </c>
      <c r="P2593" s="1" t="str">
        <f t="shared" si="5219"/>
        <v>0</v>
      </c>
      <c r="Q2593" s="1" t="str">
        <f t="shared" si="5157"/>
        <v>0.0070</v>
      </c>
      <c r="R2593" s="1" t="s">
        <v>29</v>
      </c>
      <c r="S2593" s="1">
        <v>-0.0014</v>
      </c>
      <c r="T2593" s="1" t="str">
        <f t="shared" si="5158"/>
        <v>0</v>
      </c>
      <c r="U2593" s="1" t="str">
        <f t="shared" si="5210"/>
        <v>0.0056</v>
      </c>
    </row>
    <row r="2594" s="1" customFormat="1" spans="1:21">
      <c r="A2594" s="1" t="str">
        <f>"4601992046408"</f>
        <v>4601992046408</v>
      </c>
      <c r="B2594" s="1" t="s">
        <v>2618</v>
      </c>
      <c r="C2594" s="1" t="s">
        <v>24</v>
      </c>
      <c r="D2594" s="1" t="str">
        <f t="shared" si="5154"/>
        <v>2021</v>
      </c>
      <c r="E2594" s="1" t="str">
        <f t="shared" si="5213"/>
        <v>12.09</v>
      </c>
      <c r="F2594" s="1" t="str">
        <f t="shared" ref="F2594:I2594" si="5220">"0"</f>
        <v>0</v>
      </c>
      <c r="G2594" s="1" t="str">
        <f t="shared" si="5220"/>
        <v>0</v>
      </c>
      <c r="H2594" s="1" t="str">
        <f t="shared" si="5220"/>
        <v>0</v>
      </c>
      <c r="I2594" s="1" t="str">
        <f t="shared" si="5220"/>
        <v>0</v>
      </c>
      <c r="J2594" s="1" t="str">
        <f t="shared" si="5205"/>
        <v>1</v>
      </c>
      <c r="K2594" s="1" t="str">
        <f t="shared" ref="K2594:P2594" si="5221">"0"</f>
        <v>0</v>
      </c>
      <c r="L2594" s="1" t="str">
        <f t="shared" si="5221"/>
        <v>0</v>
      </c>
      <c r="M2594" s="1" t="str">
        <f t="shared" si="5221"/>
        <v>0</v>
      </c>
      <c r="N2594" s="1" t="str">
        <f t="shared" si="5221"/>
        <v>0</v>
      </c>
      <c r="O2594" s="1" t="str">
        <f t="shared" si="5221"/>
        <v>0</v>
      </c>
      <c r="P2594" s="1" t="str">
        <f t="shared" si="5221"/>
        <v>0</v>
      </c>
      <c r="Q2594" s="1" t="str">
        <f t="shared" si="5157"/>
        <v>0.0070</v>
      </c>
      <c r="R2594" s="1" t="s">
        <v>29</v>
      </c>
      <c r="S2594" s="1">
        <v>-0.0014</v>
      </c>
      <c r="T2594" s="1" t="str">
        <f t="shared" si="5158"/>
        <v>0</v>
      </c>
      <c r="U2594" s="1" t="str">
        <f t="shared" si="5210"/>
        <v>0.0056</v>
      </c>
    </row>
    <row r="2595" s="1" customFormat="1" spans="1:21">
      <c r="A2595" s="1" t="str">
        <f>"4601992046477"</f>
        <v>4601992046477</v>
      </c>
      <c r="B2595" s="1" t="s">
        <v>2619</v>
      </c>
      <c r="C2595" s="1" t="s">
        <v>24</v>
      </c>
      <c r="D2595" s="1" t="str">
        <f t="shared" si="5154"/>
        <v>2021</v>
      </c>
      <c r="E2595" s="1" t="str">
        <f t="shared" ref="E2595:P2595" si="5222">"0"</f>
        <v>0</v>
      </c>
      <c r="F2595" s="1" t="str">
        <f t="shared" si="5222"/>
        <v>0</v>
      </c>
      <c r="G2595" s="1" t="str">
        <f t="shared" si="5222"/>
        <v>0</v>
      </c>
      <c r="H2595" s="1" t="str">
        <f t="shared" si="5222"/>
        <v>0</v>
      </c>
      <c r="I2595" s="1" t="str">
        <f t="shared" si="5222"/>
        <v>0</v>
      </c>
      <c r="J2595" s="1" t="str">
        <f t="shared" si="5222"/>
        <v>0</v>
      </c>
      <c r="K2595" s="1" t="str">
        <f t="shared" si="5222"/>
        <v>0</v>
      </c>
      <c r="L2595" s="1" t="str">
        <f t="shared" si="5222"/>
        <v>0</v>
      </c>
      <c r="M2595" s="1" t="str">
        <f t="shared" si="5222"/>
        <v>0</v>
      </c>
      <c r="N2595" s="1" t="str">
        <f t="shared" si="5222"/>
        <v>0</v>
      </c>
      <c r="O2595" s="1" t="str">
        <f t="shared" si="5222"/>
        <v>0</v>
      </c>
      <c r="P2595" s="1" t="str">
        <f t="shared" si="5222"/>
        <v>0</v>
      </c>
      <c r="Q2595" s="1" t="str">
        <f t="shared" si="5157"/>
        <v>0.0070</v>
      </c>
      <c r="R2595" s="1" t="s">
        <v>25</v>
      </c>
      <c r="T2595" s="1" t="str">
        <f t="shared" si="5158"/>
        <v>0</v>
      </c>
      <c r="U2595" s="1" t="str">
        <f t="shared" si="5212"/>
        <v>0.0070</v>
      </c>
    </row>
    <row r="2596" s="1" customFormat="1" spans="1:21">
      <c r="A2596" s="1" t="str">
        <f>"4601992046432"</f>
        <v>4601992046432</v>
      </c>
      <c r="B2596" s="1" t="s">
        <v>2620</v>
      </c>
      <c r="C2596" s="1" t="s">
        <v>24</v>
      </c>
      <c r="D2596" s="1" t="str">
        <f t="shared" si="5154"/>
        <v>2021</v>
      </c>
      <c r="E2596" s="1" t="str">
        <f>"11.98"</f>
        <v>11.98</v>
      </c>
      <c r="F2596" s="1" t="str">
        <f t="shared" ref="F2596:I2596" si="5223">"0"</f>
        <v>0</v>
      </c>
      <c r="G2596" s="1" t="str">
        <f t="shared" si="5223"/>
        <v>0</v>
      </c>
      <c r="H2596" s="1" t="str">
        <f t="shared" si="5223"/>
        <v>0</v>
      </c>
      <c r="I2596" s="1" t="str">
        <f t="shared" si="5223"/>
        <v>0</v>
      </c>
      <c r="J2596" s="1" t="str">
        <f t="shared" ref="J2596:J2599" si="5224">"1"</f>
        <v>1</v>
      </c>
      <c r="K2596" s="1" t="str">
        <f t="shared" ref="K2596:P2596" si="5225">"0"</f>
        <v>0</v>
      </c>
      <c r="L2596" s="1" t="str">
        <f t="shared" si="5225"/>
        <v>0</v>
      </c>
      <c r="M2596" s="1" t="str">
        <f t="shared" si="5225"/>
        <v>0</v>
      </c>
      <c r="N2596" s="1" t="str">
        <f t="shared" si="5225"/>
        <v>0</v>
      </c>
      <c r="O2596" s="1" t="str">
        <f t="shared" si="5225"/>
        <v>0</v>
      </c>
      <c r="P2596" s="1" t="str">
        <f t="shared" si="5225"/>
        <v>0</v>
      </c>
      <c r="Q2596" s="1" t="str">
        <f t="shared" si="5157"/>
        <v>0.0070</v>
      </c>
      <c r="R2596" s="1" t="s">
        <v>29</v>
      </c>
      <c r="S2596" s="1">
        <v>-0.0014</v>
      </c>
      <c r="T2596" s="1" t="str">
        <f t="shared" si="5158"/>
        <v>0</v>
      </c>
      <c r="U2596" s="1" t="str">
        <f t="shared" ref="U2596:U2599" si="5226">"0.0056"</f>
        <v>0.0056</v>
      </c>
    </row>
    <row r="2597" s="1" customFormat="1" spans="1:21">
      <c r="A2597" s="1" t="str">
        <f>"4601992046508"</f>
        <v>4601992046508</v>
      </c>
      <c r="B2597" s="1" t="s">
        <v>2621</v>
      </c>
      <c r="C2597" s="1" t="s">
        <v>24</v>
      </c>
      <c r="D2597" s="1" t="str">
        <f t="shared" si="5154"/>
        <v>2021</v>
      </c>
      <c r="E2597" s="1" t="str">
        <f>"21.00"</f>
        <v>21.00</v>
      </c>
      <c r="F2597" s="1" t="str">
        <f t="shared" ref="F2597:I2597" si="5227">"0"</f>
        <v>0</v>
      </c>
      <c r="G2597" s="1" t="str">
        <f t="shared" si="5227"/>
        <v>0</v>
      </c>
      <c r="H2597" s="1" t="str">
        <f t="shared" si="5227"/>
        <v>0</v>
      </c>
      <c r="I2597" s="1" t="str">
        <f t="shared" si="5227"/>
        <v>0</v>
      </c>
      <c r="J2597" s="1" t="str">
        <f t="shared" si="5224"/>
        <v>1</v>
      </c>
      <c r="K2597" s="1" t="str">
        <f t="shared" ref="K2597:P2597" si="5228">"0"</f>
        <v>0</v>
      </c>
      <c r="L2597" s="1" t="str">
        <f t="shared" si="5228"/>
        <v>0</v>
      </c>
      <c r="M2597" s="1" t="str">
        <f t="shared" si="5228"/>
        <v>0</v>
      </c>
      <c r="N2597" s="1" t="str">
        <f t="shared" si="5228"/>
        <v>0</v>
      </c>
      <c r="O2597" s="1" t="str">
        <f t="shared" si="5228"/>
        <v>0</v>
      </c>
      <c r="P2597" s="1" t="str">
        <f t="shared" si="5228"/>
        <v>0</v>
      </c>
      <c r="Q2597" s="1" t="str">
        <f t="shared" si="5157"/>
        <v>0.0070</v>
      </c>
      <c r="R2597" s="1" t="s">
        <v>29</v>
      </c>
      <c r="S2597" s="1">
        <v>-0.0014</v>
      </c>
      <c r="T2597" s="1" t="str">
        <f t="shared" si="5158"/>
        <v>0</v>
      </c>
      <c r="U2597" s="1" t="str">
        <f t="shared" si="5226"/>
        <v>0.0056</v>
      </c>
    </row>
    <row r="2598" s="1" customFormat="1" spans="1:21">
      <c r="A2598" s="1" t="str">
        <f>"4601992046547"</f>
        <v>4601992046547</v>
      </c>
      <c r="B2598" s="1" t="s">
        <v>2622</v>
      </c>
      <c r="C2598" s="1" t="s">
        <v>24</v>
      </c>
      <c r="D2598" s="1" t="str">
        <f t="shared" si="5154"/>
        <v>2021</v>
      </c>
      <c r="E2598" s="1" t="str">
        <f>"26.60"</f>
        <v>26.60</v>
      </c>
      <c r="F2598" s="1" t="str">
        <f t="shared" ref="F2598:I2598" si="5229">"0"</f>
        <v>0</v>
      </c>
      <c r="G2598" s="1" t="str">
        <f t="shared" si="5229"/>
        <v>0</v>
      </c>
      <c r="H2598" s="1" t="str">
        <f t="shared" si="5229"/>
        <v>0</v>
      </c>
      <c r="I2598" s="1" t="str">
        <f t="shared" si="5229"/>
        <v>0</v>
      </c>
      <c r="J2598" s="1" t="str">
        <f>"2"</f>
        <v>2</v>
      </c>
      <c r="K2598" s="1" t="str">
        <f t="shared" ref="K2598:P2598" si="5230">"0"</f>
        <v>0</v>
      </c>
      <c r="L2598" s="1" t="str">
        <f t="shared" si="5230"/>
        <v>0</v>
      </c>
      <c r="M2598" s="1" t="str">
        <f t="shared" si="5230"/>
        <v>0</v>
      </c>
      <c r="N2598" s="1" t="str">
        <f t="shared" si="5230"/>
        <v>0</v>
      </c>
      <c r="O2598" s="1" t="str">
        <f t="shared" si="5230"/>
        <v>0</v>
      </c>
      <c r="P2598" s="1" t="str">
        <f t="shared" si="5230"/>
        <v>0</v>
      </c>
      <c r="Q2598" s="1" t="str">
        <f t="shared" si="5157"/>
        <v>0.0070</v>
      </c>
      <c r="R2598" s="1" t="s">
        <v>29</v>
      </c>
      <c r="S2598" s="1">
        <v>-0.0014</v>
      </c>
      <c r="T2598" s="1" t="str">
        <f t="shared" si="5158"/>
        <v>0</v>
      </c>
      <c r="U2598" s="1" t="str">
        <f t="shared" si="5226"/>
        <v>0.0056</v>
      </c>
    </row>
    <row r="2599" s="1" customFormat="1" spans="1:21">
      <c r="A2599" s="1" t="str">
        <f>"4601992046560"</f>
        <v>4601992046560</v>
      </c>
      <c r="B2599" s="1" t="s">
        <v>2623</v>
      </c>
      <c r="C2599" s="1" t="s">
        <v>24</v>
      </c>
      <c r="D2599" s="1" t="str">
        <f t="shared" si="5154"/>
        <v>2021</v>
      </c>
      <c r="E2599" s="1" t="str">
        <f>"12.09"</f>
        <v>12.09</v>
      </c>
      <c r="F2599" s="1" t="str">
        <f t="shared" ref="F2599:I2599" si="5231">"0"</f>
        <v>0</v>
      </c>
      <c r="G2599" s="1" t="str">
        <f t="shared" si="5231"/>
        <v>0</v>
      </c>
      <c r="H2599" s="1" t="str">
        <f t="shared" si="5231"/>
        <v>0</v>
      </c>
      <c r="I2599" s="1" t="str">
        <f t="shared" si="5231"/>
        <v>0</v>
      </c>
      <c r="J2599" s="1" t="str">
        <f t="shared" si="5224"/>
        <v>1</v>
      </c>
      <c r="K2599" s="1" t="str">
        <f t="shared" ref="K2599:P2599" si="5232">"0"</f>
        <v>0</v>
      </c>
      <c r="L2599" s="1" t="str">
        <f t="shared" si="5232"/>
        <v>0</v>
      </c>
      <c r="M2599" s="1" t="str">
        <f t="shared" si="5232"/>
        <v>0</v>
      </c>
      <c r="N2599" s="1" t="str">
        <f t="shared" si="5232"/>
        <v>0</v>
      </c>
      <c r="O2599" s="1" t="str">
        <f t="shared" si="5232"/>
        <v>0</v>
      </c>
      <c r="P2599" s="1" t="str">
        <f t="shared" si="5232"/>
        <v>0</v>
      </c>
      <c r="Q2599" s="1" t="str">
        <f t="shared" si="5157"/>
        <v>0.0070</v>
      </c>
      <c r="R2599" s="1" t="s">
        <v>29</v>
      </c>
      <c r="S2599" s="1">
        <v>-0.0014</v>
      </c>
      <c r="T2599" s="1" t="str">
        <f t="shared" si="5158"/>
        <v>0</v>
      </c>
      <c r="U2599" s="1" t="str">
        <f t="shared" si="5226"/>
        <v>0.0056</v>
      </c>
    </row>
    <row r="2600" s="1" customFormat="1" spans="1:21">
      <c r="A2600" s="1" t="str">
        <f>"4601992046575"</f>
        <v>4601992046575</v>
      </c>
      <c r="B2600" s="1" t="s">
        <v>2624</v>
      </c>
      <c r="C2600" s="1" t="s">
        <v>24</v>
      </c>
      <c r="D2600" s="1" t="str">
        <f t="shared" si="5154"/>
        <v>2021</v>
      </c>
      <c r="E2600" s="1" t="str">
        <f t="shared" ref="E2600:P2600" si="5233">"0"</f>
        <v>0</v>
      </c>
      <c r="F2600" s="1" t="str">
        <f t="shared" si="5233"/>
        <v>0</v>
      </c>
      <c r="G2600" s="1" t="str">
        <f t="shared" si="5233"/>
        <v>0</v>
      </c>
      <c r="H2600" s="1" t="str">
        <f t="shared" si="5233"/>
        <v>0</v>
      </c>
      <c r="I2600" s="1" t="str">
        <f t="shared" si="5233"/>
        <v>0</v>
      </c>
      <c r="J2600" s="1" t="str">
        <f t="shared" si="5233"/>
        <v>0</v>
      </c>
      <c r="K2600" s="1" t="str">
        <f t="shared" si="5233"/>
        <v>0</v>
      </c>
      <c r="L2600" s="1" t="str">
        <f t="shared" si="5233"/>
        <v>0</v>
      </c>
      <c r="M2600" s="1" t="str">
        <f t="shared" si="5233"/>
        <v>0</v>
      </c>
      <c r="N2600" s="1" t="str">
        <f t="shared" si="5233"/>
        <v>0</v>
      </c>
      <c r="O2600" s="1" t="str">
        <f t="shared" si="5233"/>
        <v>0</v>
      </c>
      <c r="P2600" s="1" t="str">
        <f t="shared" si="5233"/>
        <v>0</v>
      </c>
      <c r="Q2600" s="1" t="str">
        <f t="shared" si="5157"/>
        <v>0.0070</v>
      </c>
      <c r="R2600" s="1" t="s">
        <v>25</v>
      </c>
      <c r="T2600" s="1" t="str">
        <f t="shared" si="5158"/>
        <v>0</v>
      </c>
      <c r="U2600" s="1" t="str">
        <f t="shared" ref="U2600:U2604" si="5234">"0.0070"</f>
        <v>0.0070</v>
      </c>
    </row>
    <row r="2601" s="1" customFormat="1" spans="1:21">
      <c r="A2601" s="1" t="str">
        <f>"4601992046527"</f>
        <v>4601992046527</v>
      </c>
      <c r="B2601" s="1" t="s">
        <v>2625</v>
      </c>
      <c r="C2601" s="1" t="s">
        <v>24</v>
      </c>
      <c r="D2601" s="1" t="str">
        <f t="shared" si="5154"/>
        <v>2021</v>
      </c>
      <c r="E2601" s="1" t="str">
        <f>"48.36"</f>
        <v>48.36</v>
      </c>
      <c r="F2601" s="1" t="str">
        <f t="shared" ref="F2601:I2601" si="5235">"0"</f>
        <v>0</v>
      </c>
      <c r="G2601" s="1" t="str">
        <f t="shared" si="5235"/>
        <v>0</v>
      </c>
      <c r="H2601" s="1" t="str">
        <f t="shared" si="5235"/>
        <v>0</v>
      </c>
      <c r="I2601" s="1" t="str">
        <f t="shared" si="5235"/>
        <v>0</v>
      </c>
      <c r="J2601" s="1" t="str">
        <f>"5"</f>
        <v>5</v>
      </c>
      <c r="K2601" s="1" t="str">
        <f t="shared" ref="K2601:P2601" si="5236">"0"</f>
        <v>0</v>
      </c>
      <c r="L2601" s="1" t="str">
        <f t="shared" si="5236"/>
        <v>0</v>
      </c>
      <c r="M2601" s="1" t="str">
        <f t="shared" si="5236"/>
        <v>0</v>
      </c>
      <c r="N2601" s="1" t="str">
        <f t="shared" si="5236"/>
        <v>0</v>
      </c>
      <c r="O2601" s="1" t="str">
        <f t="shared" si="5236"/>
        <v>0</v>
      </c>
      <c r="P2601" s="1" t="str">
        <f t="shared" si="5236"/>
        <v>0</v>
      </c>
      <c r="Q2601" s="1" t="str">
        <f t="shared" si="5157"/>
        <v>0.0070</v>
      </c>
      <c r="R2601" s="1" t="s">
        <v>29</v>
      </c>
      <c r="S2601" s="1">
        <v>-0.0014</v>
      </c>
      <c r="T2601" s="1" t="str">
        <f t="shared" si="5158"/>
        <v>0</v>
      </c>
      <c r="U2601" s="1" t="str">
        <f t="shared" ref="U2601:U2605" si="5237">"0.0056"</f>
        <v>0.0056</v>
      </c>
    </row>
    <row r="2602" s="1" customFormat="1" spans="1:21">
      <c r="A2602" s="1" t="str">
        <f>"4601992046411"</f>
        <v>4601992046411</v>
      </c>
      <c r="B2602" s="1" t="s">
        <v>2626</v>
      </c>
      <c r="C2602" s="1" t="s">
        <v>24</v>
      </c>
      <c r="D2602" s="1" t="str">
        <f t="shared" si="5154"/>
        <v>2021</v>
      </c>
      <c r="E2602" s="1" t="str">
        <f t="shared" ref="E2602:P2602" si="5238">"0"</f>
        <v>0</v>
      </c>
      <c r="F2602" s="1" t="str">
        <f t="shared" si="5238"/>
        <v>0</v>
      </c>
      <c r="G2602" s="1" t="str">
        <f t="shared" si="5238"/>
        <v>0</v>
      </c>
      <c r="H2602" s="1" t="str">
        <f t="shared" si="5238"/>
        <v>0</v>
      </c>
      <c r="I2602" s="1" t="str">
        <f t="shared" si="5238"/>
        <v>0</v>
      </c>
      <c r="J2602" s="1" t="str">
        <f t="shared" si="5238"/>
        <v>0</v>
      </c>
      <c r="K2602" s="1" t="str">
        <f t="shared" si="5238"/>
        <v>0</v>
      </c>
      <c r="L2602" s="1" t="str">
        <f t="shared" si="5238"/>
        <v>0</v>
      </c>
      <c r="M2602" s="1" t="str">
        <f t="shared" si="5238"/>
        <v>0</v>
      </c>
      <c r="N2602" s="1" t="str">
        <f t="shared" si="5238"/>
        <v>0</v>
      </c>
      <c r="O2602" s="1" t="str">
        <f t="shared" si="5238"/>
        <v>0</v>
      </c>
      <c r="P2602" s="1" t="str">
        <f t="shared" si="5238"/>
        <v>0</v>
      </c>
      <c r="Q2602" s="1" t="str">
        <f t="shared" si="5157"/>
        <v>0.0070</v>
      </c>
      <c r="R2602" s="1" t="s">
        <v>25</v>
      </c>
      <c r="T2602" s="1" t="str">
        <f t="shared" si="5158"/>
        <v>0</v>
      </c>
      <c r="U2602" s="1" t="str">
        <f t="shared" si="5234"/>
        <v>0.0070</v>
      </c>
    </row>
    <row r="2603" s="1" customFormat="1" spans="1:21">
      <c r="A2603" s="1" t="str">
        <f>"4601992046488"</f>
        <v>4601992046488</v>
      </c>
      <c r="B2603" s="1" t="s">
        <v>2627</v>
      </c>
      <c r="C2603" s="1" t="s">
        <v>24</v>
      </c>
      <c r="D2603" s="1" t="str">
        <f t="shared" si="5154"/>
        <v>2021</v>
      </c>
      <c r="E2603" s="1" t="str">
        <f>"108.81"</f>
        <v>108.81</v>
      </c>
      <c r="F2603" s="1" t="str">
        <f t="shared" ref="F2603:I2603" si="5239">"0"</f>
        <v>0</v>
      </c>
      <c r="G2603" s="1" t="str">
        <f t="shared" si="5239"/>
        <v>0</v>
      </c>
      <c r="H2603" s="1" t="str">
        <f t="shared" si="5239"/>
        <v>0</v>
      </c>
      <c r="I2603" s="1" t="str">
        <f t="shared" si="5239"/>
        <v>0</v>
      </c>
      <c r="J2603" s="1" t="str">
        <f>"9"</f>
        <v>9</v>
      </c>
      <c r="K2603" s="1" t="str">
        <f t="shared" ref="K2603:P2603" si="5240">"0"</f>
        <v>0</v>
      </c>
      <c r="L2603" s="1" t="str">
        <f t="shared" si="5240"/>
        <v>0</v>
      </c>
      <c r="M2603" s="1" t="str">
        <f t="shared" si="5240"/>
        <v>0</v>
      </c>
      <c r="N2603" s="1" t="str">
        <f t="shared" si="5240"/>
        <v>0</v>
      </c>
      <c r="O2603" s="1" t="str">
        <f t="shared" si="5240"/>
        <v>0</v>
      </c>
      <c r="P2603" s="1" t="str">
        <f t="shared" si="5240"/>
        <v>0</v>
      </c>
      <c r="Q2603" s="1" t="str">
        <f t="shared" si="5157"/>
        <v>0.0070</v>
      </c>
      <c r="R2603" s="1" t="s">
        <v>29</v>
      </c>
      <c r="S2603" s="1">
        <v>-0.0014</v>
      </c>
      <c r="T2603" s="1" t="str">
        <f t="shared" si="5158"/>
        <v>0</v>
      </c>
      <c r="U2603" s="1" t="str">
        <f t="shared" si="5237"/>
        <v>0.0056</v>
      </c>
    </row>
    <row r="2604" s="1" customFormat="1" spans="1:21">
      <c r="A2604" s="1" t="str">
        <f>"4601992046597"</f>
        <v>4601992046597</v>
      </c>
      <c r="B2604" s="1" t="s">
        <v>2628</v>
      </c>
      <c r="C2604" s="1" t="s">
        <v>24</v>
      </c>
      <c r="D2604" s="1" t="str">
        <f t="shared" si="5154"/>
        <v>2021</v>
      </c>
      <c r="E2604" s="1" t="str">
        <f t="shared" ref="E2604:P2604" si="5241">"0"</f>
        <v>0</v>
      </c>
      <c r="F2604" s="1" t="str">
        <f t="shared" si="5241"/>
        <v>0</v>
      </c>
      <c r="G2604" s="1" t="str">
        <f t="shared" si="5241"/>
        <v>0</v>
      </c>
      <c r="H2604" s="1" t="str">
        <f t="shared" si="5241"/>
        <v>0</v>
      </c>
      <c r="I2604" s="1" t="str">
        <f t="shared" si="5241"/>
        <v>0</v>
      </c>
      <c r="J2604" s="1" t="str">
        <f t="shared" si="5241"/>
        <v>0</v>
      </c>
      <c r="K2604" s="1" t="str">
        <f t="shared" si="5241"/>
        <v>0</v>
      </c>
      <c r="L2604" s="1" t="str">
        <f t="shared" si="5241"/>
        <v>0</v>
      </c>
      <c r="M2604" s="1" t="str">
        <f t="shared" si="5241"/>
        <v>0</v>
      </c>
      <c r="N2604" s="1" t="str">
        <f t="shared" si="5241"/>
        <v>0</v>
      </c>
      <c r="O2604" s="1" t="str">
        <f t="shared" si="5241"/>
        <v>0</v>
      </c>
      <c r="P2604" s="1" t="str">
        <f t="shared" si="5241"/>
        <v>0</v>
      </c>
      <c r="Q2604" s="1" t="str">
        <f t="shared" si="5157"/>
        <v>0.0070</v>
      </c>
      <c r="R2604" s="1" t="s">
        <v>25</v>
      </c>
      <c r="T2604" s="1" t="str">
        <f t="shared" si="5158"/>
        <v>0</v>
      </c>
      <c r="U2604" s="1" t="str">
        <f t="shared" si="5234"/>
        <v>0.0070</v>
      </c>
    </row>
    <row r="2605" s="1" customFormat="1" spans="1:21">
      <c r="A2605" s="1" t="str">
        <f>"4601992046455"</f>
        <v>4601992046455</v>
      </c>
      <c r="B2605" s="1" t="s">
        <v>2629</v>
      </c>
      <c r="C2605" s="1" t="s">
        <v>24</v>
      </c>
      <c r="D2605" s="1" t="str">
        <f t="shared" si="5154"/>
        <v>2021</v>
      </c>
      <c r="E2605" s="1" t="str">
        <f>"24.18"</f>
        <v>24.18</v>
      </c>
      <c r="F2605" s="1" t="str">
        <f t="shared" ref="F2605:I2605" si="5242">"0"</f>
        <v>0</v>
      </c>
      <c r="G2605" s="1" t="str">
        <f t="shared" si="5242"/>
        <v>0</v>
      </c>
      <c r="H2605" s="1" t="str">
        <f t="shared" si="5242"/>
        <v>0</v>
      </c>
      <c r="I2605" s="1" t="str">
        <f t="shared" si="5242"/>
        <v>0</v>
      </c>
      <c r="J2605" s="1" t="str">
        <f>"2"</f>
        <v>2</v>
      </c>
      <c r="K2605" s="1" t="str">
        <f t="shared" ref="K2605:P2605" si="5243">"0"</f>
        <v>0</v>
      </c>
      <c r="L2605" s="1" t="str">
        <f t="shared" si="5243"/>
        <v>0</v>
      </c>
      <c r="M2605" s="1" t="str">
        <f t="shared" si="5243"/>
        <v>0</v>
      </c>
      <c r="N2605" s="1" t="str">
        <f t="shared" si="5243"/>
        <v>0</v>
      </c>
      <c r="O2605" s="1" t="str">
        <f t="shared" si="5243"/>
        <v>0</v>
      </c>
      <c r="P2605" s="1" t="str">
        <f t="shared" si="5243"/>
        <v>0</v>
      </c>
      <c r="Q2605" s="1" t="str">
        <f t="shared" si="5157"/>
        <v>0.0070</v>
      </c>
      <c r="R2605" s="1" t="s">
        <v>29</v>
      </c>
      <c r="S2605" s="1">
        <v>-0.0014</v>
      </c>
      <c r="T2605" s="1" t="str">
        <f t="shared" si="5158"/>
        <v>0</v>
      </c>
      <c r="U2605" s="1" t="str">
        <f t="shared" si="5237"/>
        <v>0.0056</v>
      </c>
    </row>
    <row r="2606" s="1" customFormat="1" spans="1:21">
      <c r="A2606" s="1" t="str">
        <f>"4601992046638"</f>
        <v>4601992046638</v>
      </c>
      <c r="B2606" s="1" t="s">
        <v>2630</v>
      </c>
      <c r="C2606" s="1" t="s">
        <v>24</v>
      </c>
      <c r="D2606" s="1" t="str">
        <f t="shared" si="5154"/>
        <v>2021</v>
      </c>
      <c r="E2606" s="1" t="str">
        <f t="shared" ref="E2606:P2606" si="5244">"0"</f>
        <v>0</v>
      </c>
      <c r="F2606" s="1" t="str">
        <f t="shared" si="5244"/>
        <v>0</v>
      </c>
      <c r="G2606" s="1" t="str">
        <f t="shared" si="5244"/>
        <v>0</v>
      </c>
      <c r="H2606" s="1" t="str">
        <f t="shared" si="5244"/>
        <v>0</v>
      </c>
      <c r="I2606" s="1" t="str">
        <f t="shared" si="5244"/>
        <v>0</v>
      </c>
      <c r="J2606" s="1" t="str">
        <f t="shared" si="5244"/>
        <v>0</v>
      </c>
      <c r="K2606" s="1" t="str">
        <f t="shared" si="5244"/>
        <v>0</v>
      </c>
      <c r="L2606" s="1" t="str">
        <f t="shared" si="5244"/>
        <v>0</v>
      </c>
      <c r="M2606" s="1" t="str">
        <f t="shared" si="5244"/>
        <v>0</v>
      </c>
      <c r="N2606" s="1" t="str">
        <f t="shared" si="5244"/>
        <v>0</v>
      </c>
      <c r="O2606" s="1" t="str">
        <f t="shared" si="5244"/>
        <v>0</v>
      </c>
      <c r="P2606" s="1" t="str">
        <f t="shared" si="5244"/>
        <v>0</v>
      </c>
      <c r="Q2606" s="1" t="str">
        <f t="shared" si="5157"/>
        <v>0.0070</v>
      </c>
      <c r="R2606" s="1" t="s">
        <v>25</v>
      </c>
      <c r="T2606" s="1" t="str">
        <f t="shared" si="5158"/>
        <v>0</v>
      </c>
      <c r="U2606" s="1" t="str">
        <f t="shared" ref="U2606:U2610" si="5245">"0.0070"</f>
        <v>0.0070</v>
      </c>
    </row>
    <row r="2607" s="1" customFormat="1" spans="1:21">
      <c r="A2607" s="1" t="str">
        <f>"4601992046603"</f>
        <v>4601992046603</v>
      </c>
      <c r="B2607" s="1" t="s">
        <v>2631</v>
      </c>
      <c r="C2607" s="1" t="s">
        <v>24</v>
      </c>
      <c r="D2607" s="1" t="str">
        <f t="shared" si="5154"/>
        <v>2021</v>
      </c>
      <c r="E2607" s="1" t="str">
        <f t="shared" ref="E2607:E2611" si="5246">"12.09"</f>
        <v>12.09</v>
      </c>
      <c r="F2607" s="1" t="str">
        <f t="shared" ref="F2607:I2607" si="5247">"0"</f>
        <v>0</v>
      </c>
      <c r="G2607" s="1" t="str">
        <f t="shared" si="5247"/>
        <v>0</v>
      </c>
      <c r="H2607" s="1" t="str">
        <f t="shared" si="5247"/>
        <v>0</v>
      </c>
      <c r="I2607" s="1" t="str">
        <f t="shared" si="5247"/>
        <v>0</v>
      </c>
      <c r="J2607" s="1" t="str">
        <f>"1"</f>
        <v>1</v>
      </c>
      <c r="K2607" s="1" t="str">
        <f t="shared" ref="K2607:P2607" si="5248">"0"</f>
        <v>0</v>
      </c>
      <c r="L2607" s="1" t="str">
        <f t="shared" si="5248"/>
        <v>0</v>
      </c>
      <c r="M2607" s="1" t="str">
        <f t="shared" si="5248"/>
        <v>0</v>
      </c>
      <c r="N2607" s="1" t="str">
        <f t="shared" si="5248"/>
        <v>0</v>
      </c>
      <c r="O2607" s="1" t="str">
        <f t="shared" si="5248"/>
        <v>0</v>
      </c>
      <c r="P2607" s="1" t="str">
        <f t="shared" si="5248"/>
        <v>0</v>
      </c>
      <c r="Q2607" s="1" t="str">
        <f t="shared" si="5157"/>
        <v>0.0070</v>
      </c>
      <c r="R2607" s="1" t="s">
        <v>25</v>
      </c>
      <c r="T2607" s="1" t="str">
        <f t="shared" si="5158"/>
        <v>0</v>
      </c>
      <c r="U2607" s="1" t="str">
        <f t="shared" si="5245"/>
        <v>0.0070</v>
      </c>
    </row>
    <row r="2608" s="1" customFormat="1" spans="1:21">
      <c r="A2608" s="1" t="str">
        <f>"4601992046602"</f>
        <v>4601992046602</v>
      </c>
      <c r="B2608" s="1" t="s">
        <v>2632</v>
      </c>
      <c r="C2608" s="1" t="s">
        <v>24</v>
      </c>
      <c r="D2608" s="1" t="str">
        <f t="shared" si="5154"/>
        <v>2021</v>
      </c>
      <c r="E2608" s="1" t="str">
        <f t="shared" si="5246"/>
        <v>12.09</v>
      </c>
      <c r="F2608" s="1" t="str">
        <f t="shared" ref="F2608:I2608" si="5249">"0"</f>
        <v>0</v>
      </c>
      <c r="G2608" s="1" t="str">
        <f t="shared" si="5249"/>
        <v>0</v>
      </c>
      <c r="H2608" s="1" t="str">
        <f t="shared" si="5249"/>
        <v>0</v>
      </c>
      <c r="I2608" s="1" t="str">
        <f t="shared" si="5249"/>
        <v>0</v>
      </c>
      <c r="J2608" s="1" t="str">
        <f>"1"</f>
        <v>1</v>
      </c>
      <c r="K2608" s="1" t="str">
        <f t="shared" ref="K2608:P2608" si="5250">"0"</f>
        <v>0</v>
      </c>
      <c r="L2608" s="1" t="str">
        <f t="shared" si="5250"/>
        <v>0</v>
      </c>
      <c r="M2608" s="1" t="str">
        <f t="shared" si="5250"/>
        <v>0</v>
      </c>
      <c r="N2608" s="1" t="str">
        <f t="shared" si="5250"/>
        <v>0</v>
      </c>
      <c r="O2608" s="1" t="str">
        <f t="shared" si="5250"/>
        <v>0</v>
      </c>
      <c r="P2608" s="1" t="str">
        <f t="shared" si="5250"/>
        <v>0</v>
      </c>
      <c r="Q2608" s="1" t="str">
        <f t="shared" si="5157"/>
        <v>0.0070</v>
      </c>
      <c r="R2608" s="1" t="s">
        <v>29</v>
      </c>
      <c r="S2608" s="1">
        <v>-0.0014</v>
      </c>
      <c r="T2608" s="1" t="str">
        <f t="shared" si="5158"/>
        <v>0</v>
      </c>
      <c r="U2608" s="1" t="str">
        <f t="shared" ref="U2608:U2612" si="5251">"0.0056"</f>
        <v>0.0056</v>
      </c>
    </row>
    <row r="2609" s="1" customFormat="1" spans="1:21">
      <c r="A2609" s="1" t="str">
        <f>"4601992046724"</f>
        <v>4601992046724</v>
      </c>
      <c r="B2609" s="1" t="s">
        <v>2633</v>
      </c>
      <c r="C2609" s="1" t="s">
        <v>24</v>
      </c>
      <c r="D2609" s="1" t="str">
        <f t="shared" si="5154"/>
        <v>2021</v>
      </c>
      <c r="E2609" s="1" t="str">
        <f t="shared" ref="E2609:P2609" si="5252">"0"</f>
        <v>0</v>
      </c>
      <c r="F2609" s="1" t="str">
        <f t="shared" si="5252"/>
        <v>0</v>
      </c>
      <c r="G2609" s="1" t="str">
        <f t="shared" si="5252"/>
        <v>0</v>
      </c>
      <c r="H2609" s="1" t="str">
        <f t="shared" si="5252"/>
        <v>0</v>
      </c>
      <c r="I2609" s="1" t="str">
        <f t="shared" si="5252"/>
        <v>0</v>
      </c>
      <c r="J2609" s="1" t="str">
        <f t="shared" si="5252"/>
        <v>0</v>
      </c>
      <c r="K2609" s="1" t="str">
        <f t="shared" si="5252"/>
        <v>0</v>
      </c>
      <c r="L2609" s="1" t="str">
        <f t="shared" si="5252"/>
        <v>0</v>
      </c>
      <c r="M2609" s="1" t="str">
        <f t="shared" si="5252"/>
        <v>0</v>
      </c>
      <c r="N2609" s="1" t="str">
        <f t="shared" si="5252"/>
        <v>0</v>
      </c>
      <c r="O2609" s="1" t="str">
        <f t="shared" si="5252"/>
        <v>0</v>
      </c>
      <c r="P2609" s="1" t="str">
        <f t="shared" si="5252"/>
        <v>0</v>
      </c>
      <c r="Q2609" s="1" t="str">
        <f t="shared" si="5157"/>
        <v>0.0070</v>
      </c>
      <c r="R2609" s="1" t="s">
        <v>25</v>
      </c>
      <c r="T2609" s="1" t="str">
        <f t="shared" si="5158"/>
        <v>0</v>
      </c>
      <c r="U2609" s="1" t="str">
        <f t="shared" si="5245"/>
        <v>0.0070</v>
      </c>
    </row>
    <row r="2610" s="1" customFormat="1" spans="1:21">
      <c r="A2610" s="1" t="str">
        <f>"4601992046758"</f>
        <v>4601992046758</v>
      </c>
      <c r="B2610" s="1" t="s">
        <v>2634</v>
      </c>
      <c r="C2610" s="1" t="s">
        <v>24</v>
      </c>
      <c r="D2610" s="1" t="str">
        <f t="shared" si="5154"/>
        <v>2021</v>
      </c>
      <c r="E2610" s="1" t="str">
        <f t="shared" ref="E2610:P2610" si="5253">"0"</f>
        <v>0</v>
      </c>
      <c r="F2610" s="1" t="str">
        <f t="shared" si="5253"/>
        <v>0</v>
      </c>
      <c r="G2610" s="1" t="str">
        <f t="shared" si="5253"/>
        <v>0</v>
      </c>
      <c r="H2610" s="1" t="str">
        <f t="shared" si="5253"/>
        <v>0</v>
      </c>
      <c r="I2610" s="1" t="str">
        <f t="shared" si="5253"/>
        <v>0</v>
      </c>
      <c r="J2610" s="1" t="str">
        <f t="shared" si="5253"/>
        <v>0</v>
      </c>
      <c r="K2610" s="1" t="str">
        <f t="shared" si="5253"/>
        <v>0</v>
      </c>
      <c r="L2610" s="1" t="str">
        <f t="shared" si="5253"/>
        <v>0</v>
      </c>
      <c r="M2610" s="1" t="str">
        <f t="shared" si="5253"/>
        <v>0</v>
      </c>
      <c r="N2610" s="1" t="str">
        <f t="shared" si="5253"/>
        <v>0</v>
      </c>
      <c r="O2610" s="1" t="str">
        <f t="shared" si="5253"/>
        <v>0</v>
      </c>
      <c r="P2610" s="1" t="str">
        <f t="shared" si="5253"/>
        <v>0</v>
      </c>
      <c r="Q2610" s="1" t="str">
        <f t="shared" si="5157"/>
        <v>0.0070</v>
      </c>
      <c r="R2610" s="1" t="s">
        <v>25</v>
      </c>
      <c r="T2610" s="1" t="str">
        <f t="shared" si="5158"/>
        <v>0</v>
      </c>
      <c r="U2610" s="1" t="str">
        <f t="shared" si="5245"/>
        <v>0.0070</v>
      </c>
    </row>
    <row r="2611" s="1" customFormat="1" spans="1:21">
      <c r="A2611" s="1" t="str">
        <f>"4601992046703"</f>
        <v>4601992046703</v>
      </c>
      <c r="B2611" s="1" t="s">
        <v>2635</v>
      </c>
      <c r="C2611" s="1" t="s">
        <v>24</v>
      </c>
      <c r="D2611" s="1" t="str">
        <f t="shared" si="5154"/>
        <v>2021</v>
      </c>
      <c r="E2611" s="1" t="str">
        <f t="shared" si="5246"/>
        <v>12.09</v>
      </c>
      <c r="F2611" s="1" t="str">
        <f t="shared" ref="F2611:I2611" si="5254">"0"</f>
        <v>0</v>
      </c>
      <c r="G2611" s="1" t="str">
        <f t="shared" si="5254"/>
        <v>0</v>
      </c>
      <c r="H2611" s="1" t="str">
        <f t="shared" si="5254"/>
        <v>0</v>
      </c>
      <c r="I2611" s="1" t="str">
        <f t="shared" si="5254"/>
        <v>0</v>
      </c>
      <c r="J2611" s="1" t="str">
        <f>"2"</f>
        <v>2</v>
      </c>
      <c r="K2611" s="1" t="str">
        <f t="shared" ref="K2611:P2611" si="5255">"0"</f>
        <v>0</v>
      </c>
      <c r="L2611" s="1" t="str">
        <f t="shared" si="5255"/>
        <v>0</v>
      </c>
      <c r="M2611" s="1" t="str">
        <f t="shared" si="5255"/>
        <v>0</v>
      </c>
      <c r="N2611" s="1" t="str">
        <f t="shared" si="5255"/>
        <v>0</v>
      </c>
      <c r="O2611" s="1" t="str">
        <f t="shared" si="5255"/>
        <v>0</v>
      </c>
      <c r="P2611" s="1" t="str">
        <f t="shared" si="5255"/>
        <v>0</v>
      </c>
      <c r="Q2611" s="1" t="str">
        <f t="shared" si="5157"/>
        <v>0.0070</v>
      </c>
      <c r="R2611" s="1" t="s">
        <v>29</v>
      </c>
      <c r="S2611" s="1">
        <v>-0.0014</v>
      </c>
      <c r="T2611" s="1" t="str">
        <f t="shared" si="5158"/>
        <v>0</v>
      </c>
      <c r="U2611" s="1" t="str">
        <f t="shared" si="5251"/>
        <v>0.0056</v>
      </c>
    </row>
    <row r="2612" s="1" customFormat="1" spans="1:21">
      <c r="A2612" s="1" t="str">
        <f>"4601992046663"</f>
        <v>4601992046663</v>
      </c>
      <c r="B2612" s="1" t="s">
        <v>2636</v>
      </c>
      <c r="C2612" s="1" t="s">
        <v>24</v>
      </c>
      <c r="D2612" s="1" t="str">
        <f t="shared" si="5154"/>
        <v>2021</v>
      </c>
      <c r="E2612" s="1" t="str">
        <f>"72.21"</f>
        <v>72.21</v>
      </c>
      <c r="F2612" s="1" t="str">
        <f t="shared" ref="F2612:I2612" si="5256">"0"</f>
        <v>0</v>
      </c>
      <c r="G2612" s="1" t="str">
        <f t="shared" si="5256"/>
        <v>0</v>
      </c>
      <c r="H2612" s="1" t="str">
        <f t="shared" si="5256"/>
        <v>0</v>
      </c>
      <c r="I2612" s="1" t="str">
        <f t="shared" si="5256"/>
        <v>0</v>
      </c>
      <c r="J2612" s="1" t="str">
        <f>"6"</f>
        <v>6</v>
      </c>
      <c r="K2612" s="1" t="str">
        <f t="shared" ref="K2612:P2612" si="5257">"0"</f>
        <v>0</v>
      </c>
      <c r="L2612" s="1" t="str">
        <f t="shared" si="5257"/>
        <v>0</v>
      </c>
      <c r="M2612" s="1" t="str">
        <f t="shared" si="5257"/>
        <v>0</v>
      </c>
      <c r="N2612" s="1" t="str">
        <f t="shared" si="5257"/>
        <v>0</v>
      </c>
      <c r="O2612" s="1" t="str">
        <f t="shared" si="5257"/>
        <v>0</v>
      </c>
      <c r="P2612" s="1" t="str">
        <f t="shared" si="5257"/>
        <v>0</v>
      </c>
      <c r="Q2612" s="1" t="str">
        <f t="shared" si="5157"/>
        <v>0.0070</v>
      </c>
      <c r="R2612" s="1" t="s">
        <v>29</v>
      </c>
      <c r="S2612" s="1">
        <v>-0.0014</v>
      </c>
      <c r="T2612" s="1" t="str">
        <f t="shared" si="5158"/>
        <v>0</v>
      </c>
      <c r="U2612" s="1" t="str">
        <f t="shared" si="5251"/>
        <v>0.0056</v>
      </c>
    </row>
    <row r="2613" s="1" customFormat="1" spans="1:21">
      <c r="A2613" s="1" t="str">
        <f>"4601992046810"</f>
        <v>4601992046810</v>
      </c>
      <c r="B2613" s="1" t="s">
        <v>2637</v>
      </c>
      <c r="C2613" s="1" t="s">
        <v>24</v>
      </c>
      <c r="D2613" s="1" t="str">
        <f t="shared" si="5154"/>
        <v>2021</v>
      </c>
      <c r="E2613" s="1" t="str">
        <f t="shared" ref="E2613:P2613" si="5258">"0"</f>
        <v>0</v>
      </c>
      <c r="F2613" s="1" t="str">
        <f t="shared" si="5258"/>
        <v>0</v>
      </c>
      <c r="G2613" s="1" t="str">
        <f t="shared" si="5258"/>
        <v>0</v>
      </c>
      <c r="H2613" s="1" t="str">
        <f t="shared" si="5258"/>
        <v>0</v>
      </c>
      <c r="I2613" s="1" t="str">
        <f t="shared" si="5258"/>
        <v>0</v>
      </c>
      <c r="J2613" s="1" t="str">
        <f t="shared" si="5258"/>
        <v>0</v>
      </c>
      <c r="K2613" s="1" t="str">
        <f t="shared" si="5258"/>
        <v>0</v>
      </c>
      <c r="L2613" s="1" t="str">
        <f t="shared" si="5258"/>
        <v>0</v>
      </c>
      <c r="M2613" s="1" t="str">
        <f t="shared" si="5258"/>
        <v>0</v>
      </c>
      <c r="N2613" s="1" t="str">
        <f t="shared" si="5258"/>
        <v>0</v>
      </c>
      <c r="O2613" s="1" t="str">
        <f t="shared" si="5258"/>
        <v>0</v>
      </c>
      <c r="P2613" s="1" t="str">
        <f t="shared" si="5258"/>
        <v>0</v>
      </c>
      <c r="Q2613" s="1" t="str">
        <f t="shared" si="5157"/>
        <v>0.0070</v>
      </c>
      <c r="R2613" s="1" t="s">
        <v>25</v>
      </c>
      <c r="T2613" s="1" t="str">
        <f t="shared" si="5158"/>
        <v>0</v>
      </c>
      <c r="U2613" s="1" t="str">
        <f>"0.0070"</f>
        <v>0.0070</v>
      </c>
    </row>
    <row r="2614" s="1" customFormat="1" spans="1:21">
      <c r="A2614" s="1" t="str">
        <f>"4601992046796"</f>
        <v>4601992046796</v>
      </c>
      <c r="B2614" s="1" t="s">
        <v>2638</v>
      </c>
      <c r="C2614" s="1" t="s">
        <v>24</v>
      </c>
      <c r="D2614" s="1" t="str">
        <f t="shared" si="5154"/>
        <v>2021</v>
      </c>
      <c r="E2614" s="1" t="str">
        <f t="shared" ref="E2614:P2614" si="5259">"0"</f>
        <v>0</v>
      </c>
      <c r="F2614" s="1" t="str">
        <f t="shared" si="5259"/>
        <v>0</v>
      </c>
      <c r="G2614" s="1" t="str">
        <f t="shared" si="5259"/>
        <v>0</v>
      </c>
      <c r="H2614" s="1" t="str">
        <f t="shared" si="5259"/>
        <v>0</v>
      </c>
      <c r="I2614" s="1" t="str">
        <f t="shared" si="5259"/>
        <v>0</v>
      </c>
      <c r="J2614" s="1" t="str">
        <f t="shared" si="5259"/>
        <v>0</v>
      </c>
      <c r="K2614" s="1" t="str">
        <f t="shared" si="5259"/>
        <v>0</v>
      </c>
      <c r="L2614" s="1" t="str">
        <f t="shared" si="5259"/>
        <v>0</v>
      </c>
      <c r="M2614" s="1" t="str">
        <f t="shared" si="5259"/>
        <v>0</v>
      </c>
      <c r="N2614" s="1" t="str">
        <f t="shared" si="5259"/>
        <v>0</v>
      </c>
      <c r="O2614" s="1" t="str">
        <f t="shared" si="5259"/>
        <v>0</v>
      </c>
      <c r="P2614" s="1" t="str">
        <f t="shared" si="5259"/>
        <v>0</v>
      </c>
      <c r="Q2614" s="1" t="str">
        <f t="shared" si="5157"/>
        <v>0.0070</v>
      </c>
      <c r="R2614" s="1" t="s">
        <v>25</v>
      </c>
      <c r="T2614" s="1" t="str">
        <f t="shared" si="5158"/>
        <v>0</v>
      </c>
      <c r="U2614" s="1" t="str">
        <f>"0.0070"</f>
        <v>0.0070</v>
      </c>
    </row>
    <row r="2615" s="1" customFormat="1" spans="1:21">
      <c r="A2615" s="1" t="str">
        <f>"4601992046832"</f>
        <v>4601992046832</v>
      </c>
      <c r="B2615" s="1" t="s">
        <v>2639</v>
      </c>
      <c r="C2615" s="1" t="s">
        <v>24</v>
      </c>
      <c r="D2615" s="1" t="str">
        <f t="shared" si="5154"/>
        <v>2021</v>
      </c>
      <c r="E2615" s="1" t="str">
        <f>"12.09"</f>
        <v>12.09</v>
      </c>
      <c r="F2615" s="1" t="str">
        <f t="shared" ref="F2615:I2615" si="5260">"0"</f>
        <v>0</v>
      </c>
      <c r="G2615" s="1" t="str">
        <f t="shared" si="5260"/>
        <v>0</v>
      </c>
      <c r="H2615" s="1" t="str">
        <f t="shared" si="5260"/>
        <v>0</v>
      </c>
      <c r="I2615" s="1" t="str">
        <f t="shared" si="5260"/>
        <v>0</v>
      </c>
      <c r="J2615" s="1" t="str">
        <f t="shared" ref="J2615:J2619" si="5261">"1"</f>
        <v>1</v>
      </c>
      <c r="K2615" s="1" t="str">
        <f t="shared" ref="K2615:P2615" si="5262">"0"</f>
        <v>0</v>
      </c>
      <c r="L2615" s="1" t="str">
        <f t="shared" si="5262"/>
        <v>0</v>
      </c>
      <c r="M2615" s="1" t="str">
        <f t="shared" si="5262"/>
        <v>0</v>
      </c>
      <c r="N2615" s="1" t="str">
        <f t="shared" si="5262"/>
        <v>0</v>
      </c>
      <c r="O2615" s="1" t="str">
        <f t="shared" si="5262"/>
        <v>0</v>
      </c>
      <c r="P2615" s="1" t="str">
        <f t="shared" si="5262"/>
        <v>0</v>
      </c>
      <c r="Q2615" s="1" t="str">
        <f t="shared" si="5157"/>
        <v>0.0070</v>
      </c>
      <c r="R2615" s="1" t="s">
        <v>29</v>
      </c>
      <c r="S2615" s="1">
        <v>-0.0014</v>
      </c>
      <c r="T2615" s="1" t="str">
        <f t="shared" si="5158"/>
        <v>0</v>
      </c>
      <c r="U2615" s="1" t="str">
        <f t="shared" ref="U2615:U2618" si="5263">"0.0056"</f>
        <v>0.0056</v>
      </c>
    </row>
    <row r="2616" s="1" customFormat="1" spans="1:21">
      <c r="A2616" s="1" t="str">
        <f>"4601992046849"</f>
        <v>4601992046849</v>
      </c>
      <c r="B2616" s="1" t="s">
        <v>2640</v>
      </c>
      <c r="C2616" s="1" t="s">
        <v>24</v>
      </c>
      <c r="D2616" s="1" t="str">
        <f t="shared" si="5154"/>
        <v>2021</v>
      </c>
      <c r="E2616" s="1" t="str">
        <f>"12.09"</f>
        <v>12.09</v>
      </c>
      <c r="F2616" s="1" t="str">
        <f t="shared" ref="F2616:I2616" si="5264">"0"</f>
        <v>0</v>
      </c>
      <c r="G2616" s="1" t="str">
        <f t="shared" si="5264"/>
        <v>0</v>
      </c>
      <c r="H2616" s="1" t="str">
        <f t="shared" si="5264"/>
        <v>0</v>
      </c>
      <c r="I2616" s="1" t="str">
        <f t="shared" si="5264"/>
        <v>0</v>
      </c>
      <c r="J2616" s="1" t="str">
        <f t="shared" si="5261"/>
        <v>1</v>
      </c>
      <c r="K2616" s="1" t="str">
        <f t="shared" ref="K2616:P2616" si="5265">"0"</f>
        <v>0</v>
      </c>
      <c r="L2616" s="1" t="str">
        <f t="shared" si="5265"/>
        <v>0</v>
      </c>
      <c r="M2616" s="1" t="str">
        <f t="shared" si="5265"/>
        <v>0</v>
      </c>
      <c r="N2616" s="1" t="str">
        <f t="shared" si="5265"/>
        <v>0</v>
      </c>
      <c r="O2616" s="1" t="str">
        <f t="shared" si="5265"/>
        <v>0</v>
      </c>
      <c r="P2616" s="1" t="str">
        <f t="shared" si="5265"/>
        <v>0</v>
      </c>
      <c r="Q2616" s="1" t="str">
        <f t="shared" si="5157"/>
        <v>0.0070</v>
      </c>
      <c r="R2616" s="1" t="s">
        <v>29</v>
      </c>
      <c r="S2616" s="1">
        <v>-0.0014</v>
      </c>
      <c r="T2616" s="1" t="str">
        <f t="shared" si="5158"/>
        <v>0</v>
      </c>
      <c r="U2616" s="1" t="str">
        <f t="shared" si="5263"/>
        <v>0.0056</v>
      </c>
    </row>
    <row r="2617" s="1" customFormat="1" spans="1:21">
      <c r="A2617" s="1" t="str">
        <f>"4601992046794"</f>
        <v>4601992046794</v>
      </c>
      <c r="B2617" s="1" t="s">
        <v>2641</v>
      </c>
      <c r="C2617" s="1" t="s">
        <v>24</v>
      </c>
      <c r="D2617" s="1" t="str">
        <f t="shared" si="5154"/>
        <v>2021</v>
      </c>
      <c r="E2617" s="1" t="str">
        <f>"119.91"</f>
        <v>119.91</v>
      </c>
      <c r="F2617" s="1" t="str">
        <f t="shared" ref="F2617:I2617" si="5266">"0"</f>
        <v>0</v>
      </c>
      <c r="G2617" s="1" t="str">
        <f t="shared" si="5266"/>
        <v>0</v>
      </c>
      <c r="H2617" s="1" t="str">
        <f t="shared" si="5266"/>
        <v>0</v>
      </c>
      <c r="I2617" s="1" t="str">
        <f t="shared" si="5266"/>
        <v>0</v>
      </c>
      <c r="J2617" s="1" t="str">
        <f>"13"</f>
        <v>13</v>
      </c>
      <c r="K2617" s="1" t="str">
        <f t="shared" ref="K2617:P2617" si="5267">"0"</f>
        <v>0</v>
      </c>
      <c r="L2617" s="1" t="str">
        <f t="shared" si="5267"/>
        <v>0</v>
      </c>
      <c r="M2617" s="1" t="str">
        <f t="shared" si="5267"/>
        <v>0</v>
      </c>
      <c r="N2617" s="1" t="str">
        <f t="shared" si="5267"/>
        <v>0</v>
      </c>
      <c r="O2617" s="1" t="str">
        <f t="shared" si="5267"/>
        <v>0</v>
      </c>
      <c r="P2617" s="1" t="str">
        <f t="shared" si="5267"/>
        <v>0</v>
      </c>
      <c r="Q2617" s="1" t="str">
        <f t="shared" si="5157"/>
        <v>0.0070</v>
      </c>
      <c r="R2617" s="1" t="s">
        <v>29</v>
      </c>
      <c r="S2617" s="1">
        <v>-0.0014</v>
      </c>
      <c r="T2617" s="1" t="str">
        <f t="shared" si="5158"/>
        <v>0</v>
      </c>
      <c r="U2617" s="1" t="str">
        <f t="shared" si="5263"/>
        <v>0.0056</v>
      </c>
    </row>
    <row r="2618" s="1" customFormat="1" spans="1:21">
      <c r="A2618" s="1" t="str">
        <f>"4601992046932"</f>
        <v>4601992046932</v>
      </c>
      <c r="B2618" s="1" t="s">
        <v>2642</v>
      </c>
      <c r="C2618" s="1" t="s">
        <v>24</v>
      </c>
      <c r="D2618" s="1" t="str">
        <f t="shared" si="5154"/>
        <v>2021</v>
      </c>
      <c r="E2618" s="1" t="str">
        <f>"24.50"</f>
        <v>24.50</v>
      </c>
      <c r="F2618" s="1" t="str">
        <f t="shared" ref="F2618:I2618" si="5268">"0"</f>
        <v>0</v>
      </c>
      <c r="G2618" s="1" t="str">
        <f t="shared" si="5268"/>
        <v>0</v>
      </c>
      <c r="H2618" s="1" t="str">
        <f t="shared" si="5268"/>
        <v>0</v>
      </c>
      <c r="I2618" s="1" t="str">
        <f t="shared" si="5268"/>
        <v>0</v>
      </c>
      <c r="J2618" s="1" t="str">
        <f>"2"</f>
        <v>2</v>
      </c>
      <c r="K2618" s="1" t="str">
        <f t="shared" ref="K2618:P2618" si="5269">"0"</f>
        <v>0</v>
      </c>
      <c r="L2618" s="1" t="str">
        <f t="shared" si="5269"/>
        <v>0</v>
      </c>
      <c r="M2618" s="1" t="str">
        <f t="shared" si="5269"/>
        <v>0</v>
      </c>
      <c r="N2618" s="1" t="str">
        <f t="shared" si="5269"/>
        <v>0</v>
      </c>
      <c r="O2618" s="1" t="str">
        <f t="shared" si="5269"/>
        <v>0</v>
      </c>
      <c r="P2618" s="1" t="str">
        <f t="shared" si="5269"/>
        <v>0</v>
      </c>
      <c r="Q2618" s="1" t="str">
        <f t="shared" si="5157"/>
        <v>0.0070</v>
      </c>
      <c r="R2618" s="1" t="s">
        <v>29</v>
      </c>
      <c r="S2618" s="1">
        <v>-0.0014</v>
      </c>
      <c r="T2618" s="1" t="str">
        <f t="shared" si="5158"/>
        <v>0</v>
      </c>
      <c r="U2618" s="1" t="str">
        <f t="shared" si="5263"/>
        <v>0.0056</v>
      </c>
    </row>
    <row r="2619" s="1" customFormat="1" spans="1:21">
      <c r="A2619" s="1" t="str">
        <f>"4601992046882"</f>
        <v>4601992046882</v>
      </c>
      <c r="B2619" s="1" t="s">
        <v>2643</v>
      </c>
      <c r="C2619" s="1" t="s">
        <v>24</v>
      </c>
      <c r="D2619" s="1" t="str">
        <f t="shared" si="5154"/>
        <v>2021</v>
      </c>
      <c r="E2619" s="1" t="str">
        <f t="shared" ref="E2619:G2619" si="5270">"0"</f>
        <v>0</v>
      </c>
      <c r="F2619" s="1" t="str">
        <f t="shared" si="5270"/>
        <v>0</v>
      </c>
      <c r="G2619" s="1" t="str">
        <f t="shared" si="5270"/>
        <v>0</v>
      </c>
      <c r="H2619" s="1" t="str">
        <f>"12.25"</f>
        <v>12.25</v>
      </c>
      <c r="I2619" s="1" t="str">
        <f t="shared" ref="I2619:P2619" si="5271">"0"</f>
        <v>0</v>
      </c>
      <c r="J2619" s="1" t="str">
        <f t="shared" si="5261"/>
        <v>1</v>
      </c>
      <c r="K2619" s="1" t="str">
        <f t="shared" si="5271"/>
        <v>0</v>
      </c>
      <c r="L2619" s="1" t="str">
        <f t="shared" si="5271"/>
        <v>0</v>
      </c>
      <c r="M2619" s="1" t="str">
        <f t="shared" si="5271"/>
        <v>0</v>
      </c>
      <c r="N2619" s="1" t="str">
        <f t="shared" si="5271"/>
        <v>0</v>
      </c>
      <c r="O2619" s="1" t="str">
        <f t="shared" si="5271"/>
        <v>0</v>
      </c>
      <c r="P2619" s="1" t="str">
        <f t="shared" si="5271"/>
        <v>0</v>
      </c>
      <c r="Q2619" s="1" t="str">
        <f t="shared" si="5157"/>
        <v>0.0070</v>
      </c>
      <c r="R2619" s="1" t="s">
        <v>25</v>
      </c>
      <c r="T2619" s="1" t="str">
        <f t="shared" si="5158"/>
        <v>0</v>
      </c>
      <c r="U2619" s="1" t="str">
        <f t="shared" ref="U2619:U2627" si="5272">"0.0070"</f>
        <v>0.0070</v>
      </c>
    </row>
    <row r="2620" s="1" customFormat="1" spans="1:21">
      <c r="A2620" s="1" t="str">
        <f>"4601992047000"</f>
        <v>4601992047000</v>
      </c>
      <c r="B2620" s="1" t="s">
        <v>2644</v>
      </c>
      <c r="C2620" s="1" t="s">
        <v>24</v>
      </c>
      <c r="D2620" s="1" t="str">
        <f t="shared" si="5154"/>
        <v>2021</v>
      </c>
      <c r="E2620" s="1" t="str">
        <f t="shared" ref="E2620:P2620" si="5273">"0"</f>
        <v>0</v>
      </c>
      <c r="F2620" s="1" t="str">
        <f t="shared" si="5273"/>
        <v>0</v>
      </c>
      <c r="G2620" s="1" t="str">
        <f t="shared" si="5273"/>
        <v>0</v>
      </c>
      <c r="H2620" s="1" t="str">
        <f t="shared" si="5273"/>
        <v>0</v>
      </c>
      <c r="I2620" s="1" t="str">
        <f t="shared" si="5273"/>
        <v>0</v>
      </c>
      <c r="J2620" s="1" t="str">
        <f t="shared" si="5273"/>
        <v>0</v>
      </c>
      <c r="K2620" s="1" t="str">
        <f t="shared" si="5273"/>
        <v>0</v>
      </c>
      <c r="L2620" s="1" t="str">
        <f t="shared" si="5273"/>
        <v>0</v>
      </c>
      <c r="M2620" s="1" t="str">
        <f t="shared" si="5273"/>
        <v>0</v>
      </c>
      <c r="N2620" s="1" t="str">
        <f t="shared" si="5273"/>
        <v>0</v>
      </c>
      <c r="O2620" s="1" t="str">
        <f t="shared" si="5273"/>
        <v>0</v>
      </c>
      <c r="P2620" s="1" t="str">
        <f t="shared" si="5273"/>
        <v>0</v>
      </c>
      <c r="Q2620" s="1" t="str">
        <f t="shared" si="5157"/>
        <v>0.0070</v>
      </c>
      <c r="R2620" s="1" t="s">
        <v>25</v>
      </c>
      <c r="T2620" s="1" t="str">
        <f t="shared" si="5158"/>
        <v>0</v>
      </c>
      <c r="U2620" s="1" t="str">
        <f t="shared" si="5272"/>
        <v>0.0070</v>
      </c>
    </row>
    <row r="2621" s="1" customFormat="1" spans="1:21">
      <c r="A2621" s="1" t="str">
        <f>"4601992046960"</f>
        <v>4601992046960</v>
      </c>
      <c r="B2621" s="1" t="s">
        <v>2645</v>
      </c>
      <c r="C2621" s="1" t="s">
        <v>24</v>
      </c>
      <c r="D2621" s="1" t="str">
        <f t="shared" si="5154"/>
        <v>2021</v>
      </c>
      <c r="E2621" s="1" t="str">
        <f>"50.75"</f>
        <v>50.75</v>
      </c>
      <c r="F2621" s="1" t="str">
        <f t="shared" ref="F2621:I2621" si="5274">"0"</f>
        <v>0</v>
      </c>
      <c r="G2621" s="1" t="str">
        <f t="shared" si="5274"/>
        <v>0</v>
      </c>
      <c r="H2621" s="1" t="str">
        <f t="shared" si="5274"/>
        <v>0</v>
      </c>
      <c r="I2621" s="1" t="str">
        <f t="shared" si="5274"/>
        <v>0</v>
      </c>
      <c r="J2621" s="1" t="str">
        <f>"3"</f>
        <v>3</v>
      </c>
      <c r="K2621" s="1" t="str">
        <f t="shared" ref="K2621:P2621" si="5275">"0"</f>
        <v>0</v>
      </c>
      <c r="L2621" s="1" t="str">
        <f t="shared" si="5275"/>
        <v>0</v>
      </c>
      <c r="M2621" s="1" t="str">
        <f t="shared" si="5275"/>
        <v>0</v>
      </c>
      <c r="N2621" s="1" t="str">
        <f t="shared" si="5275"/>
        <v>0</v>
      </c>
      <c r="O2621" s="1" t="str">
        <f t="shared" si="5275"/>
        <v>0</v>
      </c>
      <c r="P2621" s="1" t="str">
        <f t="shared" si="5275"/>
        <v>0</v>
      </c>
      <c r="Q2621" s="1" t="str">
        <f t="shared" si="5157"/>
        <v>0.0070</v>
      </c>
      <c r="R2621" s="1" t="s">
        <v>29</v>
      </c>
      <c r="S2621" s="1">
        <v>-0.0014</v>
      </c>
      <c r="T2621" s="1" t="str">
        <f t="shared" si="5158"/>
        <v>0</v>
      </c>
      <c r="U2621" s="1" t="str">
        <f t="shared" ref="U2621:U2623" si="5276">"0.0056"</f>
        <v>0.0056</v>
      </c>
    </row>
    <row r="2622" s="1" customFormat="1" spans="1:21">
      <c r="A2622" s="1" t="str">
        <f>"4601992046993"</f>
        <v>4601992046993</v>
      </c>
      <c r="B2622" s="1" t="s">
        <v>2646</v>
      </c>
      <c r="C2622" s="1" t="s">
        <v>24</v>
      </c>
      <c r="D2622" s="1" t="str">
        <f t="shared" si="5154"/>
        <v>2021</v>
      </c>
      <c r="E2622" s="1" t="str">
        <f>"12.09"</f>
        <v>12.09</v>
      </c>
      <c r="F2622" s="1" t="str">
        <f t="shared" ref="F2622:I2622" si="5277">"0"</f>
        <v>0</v>
      </c>
      <c r="G2622" s="1" t="str">
        <f t="shared" si="5277"/>
        <v>0</v>
      </c>
      <c r="H2622" s="1" t="str">
        <f t="shared" si="5277"/>
        <v>0</v>
      </c>
      <c r="I2622" s="1" t="str">
        <f t="shared" si="5277"/>
        <v>0</v>
      </c>
      <c r="J2622" s="1" t="str">
        <f>"1"</f>
        <v>1</v>
      </c>
      <c r="K2622" s="1" t="str">
        <f t="shared" ref="K2622:P2622" si="5278">"0"</f>
        <v>0</v>
      </c>
      <c r="L2622" s="1" t="str">
        <f t="shared" si="5278"/>
        <v>0</v>
      </c>
      <c r="M2622" s="1" t="str">
        <f t="shared" si="5278"/>
        <v>0</v>
      </c>
      <c r="N2622" s="1" t="str">
        <f t="shared" si="5278"/>
        <v>0</v>
      </c>
      <c r="O2622" s="1" t="str">
        <f t="shared" si="5278"/>
        <v>0</v>
      </c>
      <c r="P2622" s="1" t="str">
        <f t="shared" si="5278"/>
        <v>0</v>
      </c>
      <c r="Q2622" s="1" t="str">
        <f t="shared" si="5157"/>
        <v>0.0070</v>
      </c>
      <c r="R2622" s="1" t="s">
        <v>29</v>
      </c>
      <c r="S2622" s="1">
        <v>-0.0014</v>
      </c>
      <c r="T2622" s="1" t="str">
        <f t="shared" si="5158"/>
        <v>0</v>
      </c>
      <c r="U2622" s="1" t="str">
        <f t="shared" si="5276"/>
        <v>0.0056</v>
      </c>
    </row>
    <row r="2623" s="1" customFormat="1" spans="1:21">
      <c r="A2623" s="1" t="str">
        <f>"4601992046996"</f>
        <v>4601992046996</v>
      </c>
      <c r="B2623" s="1" t="s">
        <v>2647</v>
      </c>
      <c r="C2623" s="1" t="s">
        <v>24</v>
      </c>
      <c r="D2623" s="1" t="str">
        <f t="shared" si="5154"/>
        <v>2021</v>
      </c>
      <c r="E2623" s="1" t="str">
        <f>"36.27"</f>
        <v>36.27</v>
      </c>
      <c r="F2623" s="1" t="str">
        <f t="shared" ref="F2623:I2623" si="5279">"0"</f>
        <v>0</v>
      </c>
      <c r="G2623" s="1" t="str">
        <f t="shared" si="5279"/>
        <v>0</v>
      </c>
      <c r="H2623" s="1" t="str">
        <f t="shared" si="5279"/>
        <v>0</v>
      </c>
      <c r="I2623" s="1" t="str">
        <f t="shared" si="5279"/>
        <v>0</v>
      </c>
      <c r="J2623" s="1" t="str">
        <f>"3"</f>
        <v>3</v>
      </c>
      <c r="K2623" s="1" t="str">
        <f t="shared" ref="K2623:P2623" si="5280">"0"</f>
        <v>0</v>
      </c>
      <c r="L2623" s="1" t="str">
        <f t="shared" si="5280"/>
        <v>0</v>
      </c>
      <c r="M2623" s="1" t="str">
        <f t="shared" si="5280"/>
        <v>0</v>
      </c>
      <c r="N2623" s="1" t="str">
        <f t="shared" si="5280"/>
        <v>0</v>
      </c>
      <c r="O2623" s="1" t="str">
        <f t="shared" si="5280"/>
        <v>0</v>
      </c>
      <c r="P2623" s="1" t="str">
        <f t="shared" si="5280"/>
        <v>0</v>
      </c>
      <c r="Q2623" s="1" t="str">
        <f t="shared" si="5157"/>
        <v>0.0070</v>
      </c>
      <c r="R2623" s="1" t="s">
        <v>29</v>
      </c>
      <c r="S2623" s="1">
        <v>-0.0014</v>
      </c>
      <c r="T2623" s="1" t="str">
        <f t="shared" si="5158"/>
        <v>0</v>
      </c>
      <c r="U2623" s="1" t="str">
        <f t="shared" si="5276"/>
        <v>0.0056</v>
      </c>
    </row>
    <row r="2624" s="1" customFormat="1" spans="1:21">
      <c r="A2624" s="1" t="str">
        <f>"4601992047046"</f>
        <v>4601992047046</v>
      </c>
      <c r="B2624" s="1" t="s">
        <v>2648</v>
      </c>
      <c r="C2624" s="1" t="s">
        <v>24</v>
      </c>
      <c r="D2624" s="1" t="str">
        <f t="shared" si="5154"/>
        <v>2021</v>
      </c>
      <c r="E2624" s="1" t="str">
        <f t="shared" ref="E2624:P2624" si="5281">"0"</f>
        <v>0</v>
      </c>
      <c r="F2624" s="1" t="str">
        <f t="shared" si="5281"/>
        <v>0</v>
      </c>
      <c r="G2624" s="1" t="str">
        <f t="shared" si="5281"/>
        <v>0</v>
      </c>
      <c r="H2624" s="1" t="str">
        <f t="shared" si="5281"/>
        <v>0</v>
      </c>
      <c r="I2624" s="1" t="str">
        <f t="shared" si="5281"/>
        <v>0</v>
      </c>
      <c r="J2624" s="1" t="str">
        <f t="shared" si="5281"/>
        <v>0</v>
      </c>
      <c r="K2624" s="1" t="str">
        <f t="shared" si="5281"/>
        <v>0</v>
      </c>
      <c r="L2624" s="1" t="str">
        <f t="shared" si="5281"/>
        <v>0</v>
      </c>
      <c r="M2624" s="1" t="str">
        <f t="shared" si="5281"/>
        <v>0</v>
      </c>
      <c r="N2624" s="1" t="str">
        <f t="shared" si="5281"/>
        <v>0</v>
      </c>
      <c r="O2624" s="1" t="str">
        <f t="shared" si="5281"/>
        <v>0</v>
      </c>
      <c r="P2624" s="1" t="str">
        <f t="shared" si="5281"/>
        <v>0</v>
      </c>
      <c r="Q2624" s="1" t="str">
        <f t="shared" si="5157"/>
        <v>0.0070</v>
      </c>
      <c r="R2624" s="1" t="s">
        <v>25</v>
      </c>
      <c r="T2624" s="1" t="str">
        <f t="shared" si="5158"/>
        <v>0</v>
      </c>
      <c r="U2624" s="1" t="str">
        <f t="shared" si="5272"/>
        <v>0.0070</v>
      </c>
    </row>
    <row r="2625" s="1" customFormat="1" spans="1:21">
      <c r="A2625" s="1" t="str">
        <f>"4601992047076"</f>
        <v>4601992047076</v>
      </c>
      <c r="B2625" s="1" t="s">
        <v>2649</v>
      </c>
      <c r="C2625" s="1" t="s">
        <v>24</v>
      </c>
      <c r="D2625" s="1" t="str">
        <f t="shared" si="5154"/>
        <v>2021</v>
      </c>
      <c r="E2625" s="1" t="str">
        <f>"12.09"</f>
        <v>12.09</v>
      </c>
      <c r="F2625" s="1" t="str">
        <f t="shared" ref="F2625:I2625" si="5282">"0"</f>
        <v>0</v>
      </c>
      <c r="G2625" s="1" t="str">
        <f t="shared" si="5282"/>
        <v>0</v>
      </c>
      <c r="H2625" s="1" t="str">
        <f t="shared" si="5282"/>
        <v>0</v>
      </c>
      <c r="I2625" s="1" t="str">
        <f t="shared" si="5282"/>
        <v>0</v>
      </c>
      <c r="J2625" s="1" t="str">
        <f>"1"</f>
        <v>1</v>
      </c>
      <c r="K2625" s="1" t="str">
        <f t="shared" ref="K2625:P2625" si="5283">"0"</f>
        <v>0</v>
      </c>
      <c r="L2625" s="1" t="str">
        <f t="shared" si="5283"/>
        <v>0</v>
      </c>
      <c r="M2625" s="1" t="str">
        <f t="shared" si="5283"/>
        <v>0</v>
      </c>
      <c r="N2625" s="1" t="str">
        <f t="shared" si="5283"/>
        <v>0</v>
      </c>
      <c r="O2625" s="1" t="str">
        <f t="shared" si="5283"/>
        <v>0</v>
      </c>
      <c r="P2625" s="1" t="str">
        <f t="shared" si="5283"/>
        <v>0</v>
      </c>
      <c r="Q2625" s="1" t="str">
        <f t="shared" si="5157"/>
        <v>0.0070</v>
      </c>
      <c r="R2625" s="1" t="s">
        <v>25</v>
      </c>
      <c r="T2625" s="1" t="str">
        <f t="shared" si="5158"/>
        <v>0</v>
      </c>
      <c r="U2625" s="1" t="str">
        <f t="shared" si="5272"/>
        <v>0.0070</v>
      </c>
    </row>
    <row r="2626" s="1" customFormat="1" spans="1:21">
      <c r="A2626" s="1" t="str">
        <f>"4601992047129"</f>
        <v>4601992047129</v>
      </c>
      <c r="B2626" s="1" t="s">
        <v>2650</v>
      </c>
      <c r="C2626" s="1" t="s">
        <v>24</v>
      </c>
      <c r="D2626" s="1" t="str">
        <f t="shared" si="5154"/>
        <v>2021</v>
      </c>
      <c r="E2626" s="1" t="str">
        <f t="shared" ref="E2626:P2626" si="5284">"0"</f>
        <v>0</v>
      </c>
      <c r="F2626" s="1" t="str">
        <f t="shared" si="5284"/>
        <v>0</v>
      </c>
      <c r="G2626" s="1" t="str">
        <f t="shared" si="5284"/>
        <v>0</v>
      </c>
      <c r="H2626" s="1" t="str">
        <f t="shared" si="5284"/>
        <v>0</v>
      </c>
      <c r="I2626" s="1" t="str">
        <f t="shared" si="5284"/>
        <v>0</v>
      </c>
      <c r="J2626" s="1" t="str">
        <f t="shared" si="5284"/>
        <v>0</v>
      </c>
      <c r="K2626" s="1" t="str">
        <f t="shared" si="5284"/>
        <v>0</v>
      </c>
      <c r="L2626" s="1" t="str">
        <f t="shared" si="5284"/>
        <v>0</v>
      </c>
      <c r="M2626" s="1" t="str">
        <f t="shared" si="5284"/>
        <v>0</v>
      </c>
      <c r="N2626" s="1" t="str">
        <f t="shared" si="5284"/>
        <v>0</v>
      </c>
      <c r="O2626" s="1" t="str">
        <f t="shared" si="5284"/>
        <v>0</v>
      </c>
      <c r="P2626" s="1" t="str">
        <f t="shared" si="5284"/>
        <v>0</v>
      </c>
      <c r="Q2626" s="1" t="str">
        <f t="shared" si="5157"/>
        <v>0.0070</v>
      </c>
      <c r="R2626" s="1" t="s">
        <v>25</v>
      </c>
      <c r="T2626" s="1" t="str">
        <f t="shared" si="5158"/>
        <v>0</v>
      </c>
      <c r="U2626" s="1" t="str">
        <f t="shared" si="5272"/>
        <v>0.0070</v>
      </c>
    </row>
    <row r="2627" s="1" customFormat="1" spans="1:21">
      <c r="A2627" s="1" t="str">
        <f>"4601992047085"</f>
        <v>4601992047085</v>
      </c>
      <c r="B2627" s="1" t="s">
        <v>2651</v>
      </c>
      <c r="C2627" s="1" t="s">
        <v>24</v>
      </c>
      <c r="D2627" s="1" t="str">
        <f t="shared" ref="D2627:D2690" si="5285">"2021"</f>
        <v>2021</v>
      </c>
      <c r="E2627" s="1" t="str">
        <f t="shared" ref="E2627:I2627" si="5286">"0"</f>
        <v>0</v>
      </c>
      <c r="F2627" s="1" t="str">
        <f t="shared" si="5286"/>
        <v>0</v>
      </c>
      <c r="G2627" s="1" t="str">
        <f t="shared" si="5286"/>
        <v>0</v>
      </c>
      <c r="H2627" s="1" t="str">
        <f t="shared" si="5286"/>
        <v>0</v>
      </c>
      <c r="I2627" s="1" t="str">
        <f t="shared" si="5286"/>
        <v>0</v>
      </c>
      <c r="J2627" s="1" t="str">
        <f>"3"</f>
        <v>3</v>
      </c>
      <c r="K2627" s="1" t="str">
        <f t="shared" ref="K2627:P2627" si="5287">"0"</f>
        <v>0</v>
      </c>
      <c r="L2627" s="1" t="str">
        <f t="shared" si="5287"/>
        <v>0</v>
      </c>
      <c r="M2627" s="1" t="str">
        <f t="shared" si="5287"/>
        <v>0</v>
      </c>
      <c r="N2627" s="1" t="str">
        <f t="shared" si="5287"/>
        <v>0</v>
      </c>
      <c r="O2627" s="1" t="str">
        <f t="shared" si="5287"/>
        <v>0</v>
      </c>
      <c r="P2627" s="1" t="str">
        <f t="shared" si="5287"/>
        <v>0</v>
      </c>
      <c r="Q2627" s="1" t="str">
        <f t="shared" ref="Q2627:Q2690" si="5288">"0.0070"</f>
        <v>0.0070</v>
      </c>
      <c r="R2627" s="1" t="s">
        <v>25</v>
      </c>
      <c r="T2627" s="1" t="str">
        <f t="shared" ref="T2627:T2690" si="5289">"0"</f>
        <v>0</v>
      </c>
      <c r="U2627" s="1" t="str">
        <f t="shared" si="5272"/>
        <v>0.0070</v>
      </c>
    </row>
    <row r="2628" s="1" customFormat="1" spans="1:21">
      <c r="A2628" s="1" t="str">
        <f>"4601992047025"</f>
        <v>4601992047025</v>
      </c>
      <c r="B2628" s="1" t="s">
        <v>2652</v>
      </c>
      <c r="C2628" s="1" t="s">
        <v>24</v>
      </c>
      <c r="D2628" s="1" t="str">
        <f t="shared" si="5285"/>
        <v>2021</v>
      </c>
      <c r="E2628" s="1" t="str">
        <f>"49.47"</f>
        <v>49.47</v>
      </c>
      <c r="F2628" s="1" t="str">
        <f t="shared" ref="F2628:I2628" si="5290">"0"</f>
        <v>0</v>
      </c>
      <c r="G2628" s="1" t="str">
        <f t="shared" si="5290"/>
        <v>0</v>
      </c>
      <c r="H2628" s="1" t="str">
        <f t="shared" si="5290"/>
        <v>0</v>
      </c>
      <c r="I2628" s="1" t="str">
        <f t="shared" si="5290"/>
        <v>0</v>
      </c>
      <c r="J2628" s="1" t="str">
        <f>"4"</f>
        <v>4</v>
      </c>
      <c r="K2628" s="1" t="str">
        <f t="shared" ref="K2628:P2628" si="5291">"0"</f>
        <v>0</v>
      </c>
      <c r="L2628" s="1" t="str">
        <f t="shared" si="5291"/>
        <v>0</v>
      </c>
      <c r="M2628" s="1" t="str">
        <f t="shared" si="5291"/>
        <v>0</v>
      </c>
      <c r="N2628" s="1" t="str">
        <f t="shared" si="5291"/>
        <v>0</v>
      </c>
      <c r="O2628" s="1" t="str">
        <f t="shared" si="5291"/>
        <v>0</v>
      </c>
      <c r="P2628" s="1" t="str">
        <f t="shared" si="5291"/>
        <v>0</v>
      </c>
      <c r="Q2628" s="1" t="str">
        <f t="shared" si="5288"/>
        <v>0.0070</v>
      </c>
      <c r="R2628" s="1" t="s">
        <v>29</v>
      </c>
      <c r="S2628" s="1">
        <v>-0.0014</v>
      </c>
      <c r="T2628" s="1" t="str">
        <f t="shared" si="5289"/>
        <v>0</v>
      </c>
      <c r="U2628" s="1" t="str">
        <f t="shared" ref="U2628:U2631" si="5292">"0.0056"</f>
        <v>0.0056</v>
      </c>
    </row>
    <row r="2629" s="1" customFormat="1" spans="1:21">
      <c r="A2629" s="1" t="str">
        <f>"4601992047249"</f>
        <v>4601992047249</v>
      </c>
      <c r="B2629" s="1" t="s">
        <v>2653</v>
      </c>
      <c r="C2629" s="1" t="s">
        <v>24</v>
      </c>
      <c r="D2629" s="1" t="str">
        <f t="shared" si="5285"/>
        <v>2021</v>
      </c>
      <c r="E2629" s="1" t="str">
        <f t="shared" ref="E2629:P2629" si="5293">"0"</f>
        <v>0</v>
      </c>
      <c r="F2629" s="1" t="str">
        <f t="shared" si="5293"/>
        <v>0</v>
      </c>
      <c r="G2629" s="1" t="str">
        <f t="shared" si="5293"/>
        <v>0</v>
      </c>
      <c r="H2629" s="1" t="str">
        <f t="shared" si="5293"/>
        <v>0</v>
      </c>
      <c r="I2629" s="1" t="str">
        <f t="shared" si="5293"/>
        <v>0</v>
      </c>
      <c r="J2629" s="1" t="str">
        <f t="shared" si="5293"/>
        <v>0</v>
      </c>
      <c r="K2629" s="1" t="str">
        <f t="shared" si="5293"/>
        <v>0</v>
      </c>
      <c r="L2629" s="1" t="str">
        <f t="shared" si="5293"/>
        <v>0</v>
      </c>
      <c r="M2629" s="1" t="str">
        <f t="shared" si="5293"/>
        <v>0</v>
      </c>
      <c r="N2629" s="1" t="str">
        <f t="shared" si="5293"/>
        <v>0</v>
      </c>
      <c r="O2629" s="1" t="str">
        <f t="shared" si="5293"/>
        <v>0</v>
      </c>
      <c r="P2629" s="1" t="str">
        <f t="shared" si="5293"/>
        <v>0</v>
      </c>
      <c r="Q2629" s="1" t="str">
        <f t="shared" si="5288"/>
        <v>0.0070</v>
      </c>
      <c r="R2629" s="1" t="s">
        <v>25</v>
      </c>
      <c r="T2629" s="1" t="str">
        <f t="shared" si="5289"/>
        <v>0</v>
      </c>
      <c r="U2629" s="1" t="str">
        <f>"0.0070"</f>
        <v>0.0070</v>
      </c>
    </row>
    <row r="2630" s="1" customFormat="1" spans="1:21">
      <c r="A2630" s="1" t="str">
        <f>"4601992047256"</f>
        <v>4601992047256</v>
      </c>
      <c r="B2630" s="1" t="s">
        <v>2654</v>
      </c>
      <c r="C2630" s="1" t="s">
        <v>24</v>
      </c>
      <c r="D2630" s="1" t="str">
        <f t="shared" si="5285"/>
        <v>2021</v>
      </c>
      <c r="E2630" s="1" t="str">
        <f t="shared" ref="E2630:E2634" si="5294">"12.09"</f>
        <v>12.09</v>
      </c>
      <c r="F2630" s="1" t="str">
        <f t="shared" ref="F2630:I2630" si="5295">"0"</f>
        <v>0</v>
      </c>
      <c r="G2630" s="1" t="str">
        <f t="shared" si="5295"/>
        <v>0</v>
      </c>
      <c r="H2630" s="1" t="str">
        <f t="shared" si="5295"/>
        <v>0</v>
      </c>
      <c r="I2630" s="1" t="str">
        <f t="shared" si="5295"/>
        <v>0</v>
      </c>
      <c r="J2630" s="1" t="str">
        <f>"1"</f>
        <v>1</v>
      </c>
      <c r="K2630" s="1" t="str">
        <f t="shared" ref="K2630:P2630" si="5296">"0"</f>
        <v>0</v>
      </c>
      <c r="L2630" s="1" t="str">
        <f t="shared" si="5296"/>
        <v>0</v>
      </c>
      <c r="M2630" s="1" t="str">
        <f t="shared" si="5296"/>
        <v>0</v>
      </c>
      <c r="N2630" s="1" t="str">
        <f t="shared" si="5296"/>
        <v>0</v>
      </c>
      <c r="O2630" s="1" t="str">
        <f t="shared" si="5296"/>
        <v>0</v>
      </c>
      <c r="P2630" s="1" t="str">
        <f t="shared" si="5296"/>
        <v>0</v>
      </c>
      <c r="Q2630" s="1" t="str">
        <f t="shared" si="5288"/>
        <v>0.0070</v>
      </c>
      <c r="R2630" s="1" t="s">
        <v>29</v>
      </c>
      <c r="S2630" s="1">
        <v>-0.0014</v>
      </c>
      <c r="T2630" s="1" t="str">
        <f t="shared" si="5289"/>
        <v>0</v>
      </c>
      <c r="U2630" s="1" t="str">
        <f t="shared" si="5292"/>
        <v>0.0056</v>
      </c>
    </row>
    <row r="2631" s="1" customFormat="1" spans="1:21">
      <c r="A2631" s="1" t="str">
        <f>"4601992047140"</f>
        <v>4601992047140</v>
      </c>
      <c r="B2631" s="1" t="s">
        <v>2655</v>
      </c>
      <c r="C2631" s="1" t="s">
        <v>24</v>
      </c>
      <c r="D2631" s="1" t="str">
        <f t="shared" si="5285"/>
        <v>2021</v>
      </c>
      <c r="E2631" s="1" t="str">
        <f>"2871.34"</f>
        <v>2871.34</v>
      </c>
      <c r="F2631" s="1" t="str">
        <f t="shared" ref="F2631:I2631" si="5297">"0"</f>
        <v>0</v>
      </c>
      <c r="G2631" s="1" t="str">
        <f t="shared" si="5297"/>
        <v>0</v>
      </c>
      <c r="H2631" s="1" t="str">
        <f t="shared" si="5297"/>
        <v>0</v>
      </c>
      <c r="I2631" s="1" t="str">
        <f t="shared" si="5297"/>
        <v>0</v>
      </c>
      <c r="J2631" s="1" t="str">
        <f>"101"</f>
        <v>101</v>
      </c>
      <c r="K2631" s="1" t="str">
        <f t="shared" ref="K2631:P2631" si="5298">"0"</f>
        <v>0</v>
      </c>
      <c r="L2631" s="1" t="str">
        <f t="shared" si="5298"/>
        <v>0</v>
      </c>
      <c r="M2631" s="1" t="str">
        <f t="shared" si="5298"/>
        <v>0</v>
      </c>
      <c r="N2631" s="1" t="str">
        <f t="shared" si="5298"/>
        <v>0</v>
      </c>
      <c r="O2631" s="1" t="str">
        <f t="shared" si="5298"/>
        <v>0</v>
      </c>
      <c r="P2631" s="1" t="str">
        <f t="shared" si="5298"/>
        <v>0</v>
      </c>
      <c r="Q2631" s="1" t="str">
        <f t="shared" si="5288"/>
        <v>0.0070</v>
      </c>
      <c r="R2631" s="1" t="s">
        <v>29</v>
      </c>
      <c r="S2631" s="1">
        <v>-0.0014</v>
      </c>
      <c r="T2631" s="1" t="str">
        <f t="shared" si="5289"/>
        <v>0</v>
      </c>
      <c r="U2631" s="1" t="str">
        <f t="shared" si="5292"/>
        <v>0.0056</v>
      </c>
    </row>
    <row r="2632" s="1" customFormat="1" spans="1:21">
      <c r="A2632" s="1" t="str">
        <f>"4601992047346"</f>
        <v>4601992047346</v>
      </c>
      <c r="B2632" s="1" t="s">
        <v>2656</v>
      </c>
      <c r="C2632" s="1" t="s">
        <v>24</v>
      </c>
      <c r="D2632" s="1" t="str">
        <f t="shared" si="5285"/>
        <v>2021</v>
      </c>
      <c r="E2632" s="1" t="str">
        <f t="shared" ref="E2632:P2632" si="5299">"0"</f>
        <v>0</v>
      </c>
      <c r="F2632" s="1" t="str">
        <f t="shared" si="5299"/>
        <v>0</v>
      </c>
      <c r="G2632" s="1" t="str">
        <f t="shared" si="5299"/>
        <v>0</v>
      </c>
      <c r="H2632" s="1" t="str">
        <f t="shared" si="5299"/>
        <v>0</v>
      </c>
      <c r="I2632" s="1" t="str">
        <f t="shared" si="5299"/>
        <v>0</v>
      </c>
      <c r="J2632" s="1" t="str">
        <f t="shared" si="5299"/>
        <v>0</v>
      </c>
      <c r="K2632" s="1" t="str">
        <f t="shared" si="5299"/>
        <v>0</v>
      </c>
      <c r="L2632" s="1" t="str">
        <f t="shared" si="5299"/>
        <v>0</v>
      </c>
      <c r="M2632" s="1" t="str">
        <f t="shared" si="5299"/>
        <v>0</v>
      </c>
      <c r="N2632" s="1" t="str">
        <f t="shared" si="5299"/>
        <v>0</v>
      </c>
      <c r="O2632" s="1" t="str">
        <f t="shared" si="5299"/>
        <v>0</v>
      </c>
      <c r="P2632" s="1" t="str">
        <f t="shared" si="5299"/>
        <v>0</v>
      </c>
      <c r="Q2632" s="1" t="str">
        <f t="shared" si="5288"/>
        <v>0.0070</v>
      </c>
      <c r="R2632" s="1" t="s">
        <v>25</v>
      </c>
      <c r="T2632" s="1" t="str">
        <f t="shared" si="5289"/>
        <v>0</v>
      </c>
      <c r="U2632" s="1" t="str">
        <f t="shared" ref="U2632:U2637" si="5300">"0.0070"</f>
        <v>0.0070</v>
      </c>
    </row>
    <row r="2633" s="1" customFormat="1" spans="1:21">
      <c r="A2633" s="1" t="str">
        <f>"4601992047228"</f>
        <v>4601992047228</v>
      </c>
      <c r="B2633" s="1" t="s">
        <v>2657</v>
      </c>
      <c r="C2633" s="1" t="s">
        <v>24</v>
      </c>
      <c r="D2633" s="1" t="str">
        <f t="shared" si="5285"/>
        <v>2021</v>
      </c>
      <c r="E2633" s="1" t="str">
        <f t="shared" si="5294"/>
        <v>12.09</v>
      </c>
      <c r="F2633" s="1" t="str">
        <f t="shared" ref="F2633:I2633" si="5301">"0"</f>
        <v>0</v>
      </c>
      <c r="G2633" s="1" t="str">
        <f t="shared" si="5301"/>
        <v>0</v>
      </c>
      <c r="H2633" s="1" t="str">
        <f t="shared" si="5301"/>
        <v>0</v>
      </c>
      <c r="I2633" s="1" t="str">
        <f t="shared" si="5301"/>
        <v>0</v>
      </c>
      <c r="J2633" s="1" t="str">
        <f t="shared" ref="J2633:J2638" si="5302">"2"</f>
        <v>2</v>
      </c>
      <c r="K2633" s="1" t="str">
        <f t="shared" ref="K2633:P2633" si="5303">"0"</f>
        <v>0</v>
      </c>
      <c r="L2633" s="1" t="str">
        <f t="shared" si="5303"/>
        <v>0</v>
      </c>
      <c r="M2633" s="1" t="str">
        <f t="shared" si="5303"/>
        <v>0</v>
      </c>
      <c r="N2633" s="1" t="str">
        <f t="shared" si="5303"/>
        <v>0</v>
      </c>
      <c r="O2633" s="1" t="str">
        <f t="shared" si="5303"/>
        <v>0</v>
      </c>
      <c r="P2633" s="1" t="str">
        <f t="shared" si="5303"/>
        <v>0</v>
      </c>
      <c r="Q2633" s="1" t="str">
        <f t="shared" si="5288"/>
        <v>0.0070</v>
      </c>
      <c r="R2633" s="1" t="s">
        <v>29</v>
      </c>
      <c r="S2633" s="1">
        <v>-0.0014</v>
      </c>
      <c r="T2633" s="1" t="str">
        <f t="shared" si="5289"/>
        <v>0</v>
      </c>
      <c r="U2633" s="1" t="str">
        <f t="shared" ref="U2633:U2636" si="5304">"0.0056"</f>
        <v>0.0056</v>
      </c>
    </row>
    <row r="2634" s="1" customFormat="1" spans="1:21">
      <c r="A2634" s="1" t="str">
        <f>"4601992047286"</f>
        <v>4601992047286</v>
      </c>
      <c r="B2634" s="1" t="s">
        <v>2658</v>
      </c>
      <c r="C2634" s="1" t="s">
        <v>24</v>
      </c>
      <c r="D2634" s="1" t="str">
        <f t="shared" si="5285"/>
        <v>2021</v>
      </c>
      <c r="E2634" s="1" t="str">
        <f t="shared" si="5294"/>
        <v>12.09</v>
      </c>
      <c r="F2634" s="1" t="str">
        <f t="shared" ref="F2634:I2634" si="5305">"0"</f>
        <v>0</v>
      </c>
      <c r="G2634" s="1" t="str">
        <f t="shared" si="5305"/>
        <v>0</v>
      </c>
      <c r="H2634" s="1" t="str">
        <f t="shared" si="5305"/>
        <v>0</v>
      </c>
      <c r="I2634" s="1" t="str">
        <f t="shared" si="5305"/>
        <v>0</v>
      </c>
      <c r="J2634" s="1" t="str">
        <f>"1"</f>
        <v>1</v>
      </c>
      <c r="K2634" s="1" t="str">
        <f t="shared" ref="K2634:P2634" si="5306">"0"</f>
        <v>0</v>
      </c>
      <c r="L2634" s="1" t="str">
        <f t="shared" si="5306"/>
        <v>0</v>
      </c>
      <c r="M2634" s="1" t="str">
        <f t="shared" si="5306"/>
        <v>0</v>
      </c>
      <c r="N2634" s="1" t="str">
        <f t="shared" si="5306"/>
        <v>0</v>
      </c>
      <c r="O2634" s="1" t="str">
        <f t="shared" si="5306"/>
        <v>0</v>
      </c>
      <c r="P2634" s="1" t="str">
        <f t="shared" si="5306"/>
        <v>0</v>
      </c>
      <c r="Q2634" s="1" t="str">
        <f t="shared" si="5288"/>
        <v>0.0070</v>
      </c>
      <c r="R2634" s="1" t="s">
        <v>29</v>
      </c>
      <c r="S2634" s="1">
        <v>-0.0014</v>
      </c>
      <c r="T2634" s="1" t="str">
        <f t="shared" si="5289"/>
        <v>0</v>
      </c>
      <c r="U2634" s="1" t="str">
        <f t="shared" si="5304"/>
        <v>0.0056</v>
      </c>
    </row>
    <row r="2635" s="1" customFormat="1" spans="1:21">
      <c r="A2635" s="1" t="str">
        <f>"4601992047392"</f>
        <v>4601992047392</v>
      </c>
      <c r="B2635" s="1" t="s">
        <v>2659</v>
      </c>
      <c r="C2635" s="1" t="s">
        <v>24</v>
      </c>
      <c r="D2635" s="1" t="str">
        <f t="shared" si="5285"/>
        <v>2021</v>
      </c>
      <c r="E2635" s="1" t="str">
        <f t="shared" ref="E2635:P2635" si="5307">"0"</f>
        <v>0</v>
      </c>
      <c r="F2635" s="1" t="str">
        <f t="shared" si="5307"/>
        <v>0</v>
      </c>
      <c r="G2635" s="1" t="str">
        <f t="shared" si="5307"/>
        <v>0</v>
      </c>
      <c r="H2635" s="1" t="str">
        <f t="shared" si="5307"/>
        <v>0</v>
      </c>
      <c r="I2635" s="1" t="str">
        <f t="shared" si="5307"/>
        <v>0</v>
      </c>
      <c r="J2635" s="1" t="str">
        <f t="shared" si="5307"/>
        <v>0</v>
      </c>
      <c r="K2635" s="1" t="str">
        <f t="shared" si="5307"/>
        <v>0</v>
      </c>
      <c r="L2635" s="1" t="str">
        <f t="shared" si="5307"/>
        <v>0</v>
      </c>
      <c r="M2635" s="1" t="str">
        <f t="shared" si="5307"/>
        <v>0</v>
      </c>
      <c r="N2635" s="1" t="str">
        <f t="shared" si="5307"/>
        <v>0</v>
      </c>
      <c r="O2635" s="1" t="str">
        <f t="shared" si="5307"/>
        <v>0</v>
      </c>
      <c r="P2635" s="1" t="str">
        <f t="shared" si="5307"/>
        <v>0</v>
      </c>
      <c r="Q2635" s="1" t="str">
        <f t="shared" si="5288"/>
        <v>0.0070</v>
      </c>
      <c r="R2635" s="1" t="s">
        <v>25</v>
      </c>
      <c r="T2635" s="1" t="str">
        <f t="shared" si="5289"/>
        <v>0</v>
      </c>
      <c r="U2635" s="1" t="str">
        <f t="shared" si="5300"/>
        <v>0.0070</v>
      </c>
    </row>
    <row r="2636" s="1" customFormat="1" spans="1:21">
      <c r="A2636" s="1" t="str">
        <f>"4601992047352"</f>
        <v>4601992047352</v>
      </c>
      <c r="B2636" s="1" t="s">
        <v>2660</v>
      </c>
      <c r="C2636" s="1" t="s">
        <v>24</v>
      </c>
      <c r="D2636" s="1" t="str">
        <f t="shared" si="5285"/>
        <v>2021</v>
      </c>
      <c r="E2636" s="1" t="str">
        <f>"11.98"</f>
        <v>11.98</v>
      </c>
      <c r="F2636" s="1" t="str">
        <f t="shared" ref="F2636:I2636" si="5308">"0"</f>
        <v>0</v>
      </c>
      <c r="G2636" s="1" t="str">
        <f t="shared" si="5308"/>
        <v>0</v>
      </c>
      <c r="H2636" s="1" t="str">
        <f t="shared" si="5308"/>
        <v>0</v>
      </c>
      <c r="I2636" s="1" t="str">
        <f t="shared" si="5308"/>
        <v>0</v>
      </c>
      <c r="J2636" s="1" t="str">
        <f t="shared" si="5302"/>
        <v>2</v>
      </c>
      <c r="K2636" s="1" t="str">
        <f t="shared" ref="K2636:P2636" si="5309">"0"</f>
        <v>0</v>
      </c>
      <c r="L2636" s="1" t="str">
        <f t="shared" si="5309"/>
        <v>0</v>
      </c>
      <c r="M2636" s="1" t="str">
        <f t="shared" si="5309"/>
        <v>0</v>
      </c>
      <c r="N2636" s="1" t="str">
        <f t="shared" si="5309"/>
        <v>0</v>
      </c>
      <c r="O2636" s="1" t="str">
        <f t="shared" si="5309"/>
        <v>0</v>
      </c>
      <c r="P2636" s="1" t="str">
        <f t="shared" si="5309"/>
        <v>0</v>
      </c>
      <c r="Q2636" s="1" t="str">
        <f t="shared" si="5288"/>
        <v>0.0070</v>
      </c>
      <c r="R2636" s="1" t="s">
        <v>29</v>
      </c>
      <c r="S2636" s="1">
        <v>-0.0014</v>
      </c>
      <c r="T2636" s="1" t="str">
        <f t="shared" si="5289"/>
        <v>0</v>
      </c>
      <c r="U2636" s="1" t="str">
        <f t="shared" si="5304"/>
        <v>0.0056</v>
      </c>
    </row>
    <row r="2637" s="1" customFormat="1" spans="1:21">
      <c r="A2637" s="1" t="str">
        <f>"4601992047531"</f>
        <v>4601992047531</v>
      </c>
      <c r="B2637" s="1" t="s">
        <v>2661</v>
      </c>
      <c r="C2637" s="1" t="s">
        <v>24</v>
      </c>
      <c r="D2637" s="1" t="str">
        <f t="shared" si="5285"/>
        <v>2021</v>
      </c>
      <c r="E2637" s="1" t="str">
        <f t="shared" ref="E2637:P2637" si="5310">"0"</f>
        <v>0</v>
      </c>
      <c r="F2637" s="1" t="str">
        <f t="shared" si="5310"/>
        <v>0</v>
      </c>
      <c r="G2637" s="1" t="str">
        <f t="shared" si="5310"/>
        <v>0</v>
      </c>
      <c r="H2637" s="1" t="str">
        <f t="shared" si="5310"/>
        <v>0</v>
      </c>
      <c r="I2637" s="1" t="str">
        <f t="shared" si="5310"/>
        <v>0</v>
      </c>
      <c r="J2637" s="1" t="str">
        <f t="shared" si="5310"/>
        <v>0</v>
      </c>
      <c r="K2637" s="1" t="str">
        <f t="shared" si="5310"/>
        <v>0</v>
      </c>
      <c r="L2637" s="1" t="str">
        <f t="shared" si="5310"/>
        <v>0</v>
      </c>
      <c r="M2637" s="1" t="str">
        <f t="shared" si="5310"/>
        <v>0</v>
      </c>
      <c r="N2637" s="1" t="str">
        <f t="shared" si="5310"/>
        <v>0</v>
      </c>
      <c r="O2637" s="1" t="str">
        <f t="shared" si="5310"/>
        <v>0</v>
      </c>
      <c r="P2637" s="1" t="str">
        <f t="shared" si="5310"/>
        <v>0</v>
      </c>
      <c r="Q2637" s="1" t="str">
        <f t="shared" si="5288"/>
        <v>0.0070</v>
      </c>
      <c r="R2637" s="1" t="s">
        <v>25</v>
      </c>
      <c r="T2637" s="1" t="str">
        <f t="shared" si="5289"/>
        <v>0</v>
      </c>
      <c r="U2637" s="1" t="str">
        <f t="shared" si="5300"/>
        <v>0.0070</v>
      </c>
    </row>
    <row r="2638" s="1" customFormat="1" spans="1:21">
      <c r="A2638" s="1" t="str">
        <f>"4601992047407"</f>
        <v>4601992047407</v>
      </c>
      <c r="B2638" s="1" t="s">
        <v>2662</v>
      </c>
      <c r="C2638" s="1" t="s">
        <v>24</v>
      </c>
      <c r="D2638" s="1" t="str">
        <f t="shared" si="5285"/>
        <v>2021</v>
      </c>
      <c r="E2638" s="1" t="str">
        <f>"24.18"</f>
        <v>24.18</v>
      </c>
      <c r="F2638" s="1" t="str">
        <f t="shared" ref="F2638:I2638" si="5311">"0"</f>
        <v>0</v>
      </c>
      <c r="G2638" s="1" t="str">
        <f t="shared" si="5311"/>
        <v>0</v>
      </c>
      <c r="H2638" s="1" t="str">
        <f t="shared" si="5311"/>
        <v>0</v>
      </c>
      <c r="I2638" s="1" t="str">
        <f t="shared" si="5311"/>
        <v>0</v>
      </c>
      <c r="J2638" s="1" t="str">
        <f t="shared" si="5302"/>
        <v>2</v>
      </c>
      <c r="K2638" s="1" t="str">
        <f t="shared" ref="K2638:P2638" si="5312">"0"</f>
        <v>0</v>
      </c>
      <c r="L2638" s="1" t="str">
        <f t="shared" si="5312"/>
        <v>0</v>
      </c>
      <c r="M2638" s="1" t="str">
        <f t="shared" si="5312"/>
        <v>0</v>
      </c>
      <c r="N2638" s="1" t="str">
        <f t="shared" si="5312"/>
        <v>0</v>
      </c>
      <c r="O2638" s="1" t="str">
        <f t="shared" si="5312"/>
        <v>0</v>
      </c>
      <c r="P2638" s="1" t="str">
        <f t="shared" si="5312"/>
        <v>0</v>
      </c>
      <c r="Q2638" s="1" t="str">
        <f t="shared" si="5288"/>
        <v>0.0070</v>
      </c>
      <c r="R2638" s="1" t="s">
        <v>29</v>
      </c>
      <c r="S2638" s="1">
        <v>-0.0014</v>
      </c>
      <c r="T2638" s="1" t="str">
        <f t="shared" si="5289"/>
        <v>0</v>
      </c>
      <c r="U2638" s="1" t="str">
        <f>"0.0056"</f>
        <v>0.0056</v>
      </c>
    </row>
    <row r="2639" s="1" customFormat="1" spans="1:21">
      <c r="A2639" s="1" t="str">
        <f>"4601992047527"</f>
        <v>4601992047527</v>
      </c>
      <c r="B2639" s="1" t="s">
        <v>2663</v>
      </c>
      <c r="C2639" s="1" t="s">
        <v>24</v>
      </c>
      <c r="D2639" s="1" t="str">
        <f t="shared" si="5285"/>
        <v>2021</v>
      </c>
      <c r="E2639" s="1" t="str">
        <f t="shared" ref="E2639:I2639" si="5313">"0"</f>
        <v>0</v>
      </c>
      <c r="F2639" s="1" t="str">
        <f t="shared" si="5313"/>
        <v>0</v>
      </c>
      <c r="G2639" s="1" t="str">
        <f t="shared" si="5313"/>
        <v>0</v>
      </c>
      <c r="H2639" s="1" t="str">
        <f t="shared" si="5313"/>
        <v>0</v>
      </c>
      <c r="I2639" s="1" t="str">
        <f t="shared" si="5313"/>
        <v>0</v>
      </c>
      <c r="J2639" s="1" t="str">
        <f>"3"</f>
        <v>3</v>
      </c>
      <c r="K2639" s="1" t="str">
        <f t="shared" ref="K2639:P2639" si="5314">"0"</f>
        <v>0</v>
      </c>
      <c r="L2639" s="1" t="str">
        <f t="shared" si="5314"/>
        <v>0</v>
      </c>
      <c r="M2639" s="1" t="str">
        <f t="shared" si="5314"/>
        <v>0</v>
      </c>
      <c r="N2639" s="1" t="str">
        <f t="shared" si="5314"/>
        <v>0</v>
      </c>
      <c r="O2639" s="1" t="str">
        <f t="shared" si="5314"/>
        <v>0</v>
      </c>
      <c r="P2639" s="1" t="str">
        <f t="shared" si="5314"/>
        <v>0</v>
      </c>
      <c r="Q2639" s="1" t="str">
        <f t="shared" si="5288"/>
        <v>0.0070</v>
      </c>
      <c r="R2639" s="1" t="s">
        <v>25</v>
      </c>
      <c r="T2639" s="1" t="str">
        <f t="shared" si="5289"/>
        <v>0</v>
      </c>
      <c r="U2639" s="1" t="str">
        <f t="shared" ref="U2639:U2642" si="5315">"0.0070"</f>
        <v>0.0070</v>
      </c>
    </row>
    <row r="2640" s="1" customFormat="1" spans="1:21">
      <c r="A2640" s="1" t="str">
        <f>"4601992047489"</f>
        <v>4601992047489</v>
      </c>
      <c r="B2640" s="1" t="s">
        <v>2664</v>
      </c>
      <c r="C2640" s="1" t="s">
        <v>24</v>
      </c>
      <c r="D2640" s="1" t="str">
        <f t="shared" si="5285"/>
        <v>2021</v>
      </c>
      <c r="E2640" s="1" t="str">
        <f t="shared" ref="E2640:P2640" si="5316">"0"</f>
        <v>0</v>
      </c>
      <c r="F2640" s="1" t="str">
        <f t="shared" si="5316"/>
        <v>0</v>
      </c>
      <c r="G2640" s="1" t="str">
        <f t="shared" si="5316"/>
        <v>0</v>
      </c>
      <c r="H2640" s="1" t="str">
        <f t="shared" si="5316"/>
        <v>0</v>
      </c>
      <c r="I2640" s="1" t="str">
        <f t="shared" si="5316"/>
        <v>0</v>
      </c>
      <c r="J2640" s="1" t="str">
        <f t="shared" si="5316"/>
        <v>0</v>
      </c>
      <c r="K2640" s="1" t="str">
        <f t="shared" si="5316"/>
        <v>0</v>
      </c>
      <c r="L2640" s="1" t="str">
        <f t="shared" si="5316"/>
        <v>0</v>
      </c>
      <c r="M2640" s="1" t="str">
        <f t="shared" si="5316"/>
        <v>0</v>
      </c>
      <c r="N2640" s="1" t="str">
        <f t="shared" si="5316"/>
        <v>0</v>
      </c>
      <c r="O2640" s="1" t="str">
        <f t="shared" si="5316"/>
        <v>0</v>
      </c>
      <c r="P2640" s="1" t="str">
        <f t="shared" si="5316"/>
        <v>0</v>
      </c>
      <c r="Q2640" s="1" t="str">
        <f t="shared" si="5288"/>
        <v>0.0070</v>
      </c>
      <c r="R2640" s="1" t="s">
        <v>25</v>
      </c>
      <c r="T2640" s="1" t="str">
        <f t="shared" si="5289"/>
        <v>0</v>
      </c>
      <c r="U2640" s="1" t="str">
        <f t="shared" si="5315"/>
        <v>0.0070</v>
      </c>
    </row>
    <row r="2641" s="1" customFormat="1" spans="1:21">
      <c r="A2641" s="1" t="str">
        <f>"4601992047594"</f>
        <v>4601992047594</v>
      </c>
      <c r="B2641" s="1" t="s">
        <v>2665</v>
      </c>
      <c r="C2641" s="1" t="s">
        <v>24</v>
      </c>
      <c r="D2641" s="1" t="str">
        <f t="shared" si="5285"/>
        <v>2021</v>
      </c>
      <c r="E2641" s="1" t="str">
        <f t="shared" ref="E2641:P2641" si="5317">"0"</f>
        <v>0</v>
      </c>
      <c r="F2641" s="1" t="str">
        <f t="shared" si="5317"/>
        <v>0</v>
      </c>
      <c r="G2641" s="1" t="str">
        <f t="shared" si="5317"/>
        <v>0</v>
      </c>
      <c r="H2641" s="1" t="str">
        <f t="shared" si="5317"/>
        <v>0</v>
      </c>
      <c r="I2641" s="1" t="str">
        <f t="shared" si="5317"/>
        <v>0</v>
      </c>
      <c r="J2641" s="1" t="str">
        <f t="shared" si="5317"/>
        <v>0</v>
      </c>
      <c r="K2641" s="1" t="str">
        <f t="shared" si="5317"/>
        <v>0</v>
      </c>
      <c r="L2641" s="1" t="str">
        <f t="shared" si="5317"/>
        <v>0</v>
      </c>
      <c r="M2641" s="1" t="str">
        <f t="shared" si="5317"/>
        <v>0</v>
      </c>
      <c r="N2641" s="1" t="str">
        <f t="shared" si="5317"/>
        <v>0</v>
      </c>
      <c r="O2641" s="1" t="str">
        <f t="shared" si="5317"/>
        <v>0</v>
      </c>
      <c r="P2641" s="1" t="str">
        <f t="shared" si="5317"/>
        <v>0</v>
      </c>
      <c r="Q2641" s="1" t="str">
        <f t="shared" si="5288"/>
        <v>0.0070</v>
      </c>
      <c r="R2641" s="1" t="s">
        <v>25</v>
      </c>
      <c r="T2641" s="1" t="str">
        <f t="shared" si="5289"/>
        <v>0</v>
      </c>
      <c r="U2641" s="1" t="str">
        <f t="shared" si="5315"/>
        <v>0.0070</v>
      </c>
    </row>
    <row r="2642" s="1" customFormat="1" spans="1:21">
      <c r="A2642" s="1" t="str">
        <f>"4601992047491"</f>
        <v>4601992047491</v>
      </c>
      <c r="B2642" s="1" t="s">
        <v>2666</v>
      </c>
      <c r="C2642" s="1" t="s">
        <v>24</v>
      </c>
      <c r="D2642" s="1" t="str">
        <f t="shared" si="5285"/>
        <v>2021</v>
      </c>
      <c r="E2642" s="1" t="str">
        <f t="shared" ref="E2642:I2642" si="5318">"0"</f>
        <v>0</v>
      </c>
      <c r="F2642" s="1" t="str">
        <f t="shared" si="5318"/>
        <v>0</v>
      </c>
      <c r="G2642" s="1" t="str">
        <f t="shared" si="5318"/>
        <v>0</v>
      </c>
      <c r="H2642" s="1" t="str">
        <f t="shared" si="5318"/>
        <v>0</v>
      </c>
      <c r="I2642" s="1" t="str">
        <f t="shared" si="5318"/>
        <v>0</v>
      </c>
      <c r="J2642" s="1" t="str">
        <f t="shared" ref="J2642:J2647" si="5319">"1"</f>
        <v>1</v>
      </c>
      <c r="K2642" s="1" t="str">
        <f t="shared" ref="K2642:P2642" si="5320">"0"</f>
        <v>0</v>
      </c>
      <c r="L2642" s="1" t="str">
        <f t="shared" si="5320"/>
        <v>0</v>
      </c>
      <c r="M2642" s="1" t="str">
        <f t="shared" si="5320"/>
        <v>0</v>
      </c>
      <c r="N2642" s="1" t="str">
        <f t="shared" si="5320"/>
        <v>0</v>
      </c>
      <c r="O2642" s="1" t="str">
        <f t="shared" si="5320"/>
        <v>0</v>
      </c>
      <c r="P2642" s="1" t="str">
        <f t="shared" si="5320"/>
        <v>0</v>
      </c>
      <c r="Q2642" s="1" t="str">
        <f t="shared" si="5288"/>
        <v>0.0070</v>
      </c>
      <c r="R2642" s="1" t="s">
        <v>25</v>
      </c>
      <c r="T2642" s="1" t="str">
        <f t="shared" si="5289"/>
        <v>0</v>
      </c>
      <c r="U2642" s="1" t="str">
        <f t="shared" si="5315"/>
        <v>0.0070</v>
      </c>
    </row>
    <row r="2643" s="1" customFormat="1" spans="1:21">
      <c r="A2643" s="1" t="str">
        <f>"4601992047587"</f>
        <v>4601992047587</v>
      </c>
      <c r="B2643" s="1" t="s">
        <v>2667</v>
      </c>
      <c r="C2643" s="1" t="s">
        <v>24</v>
      </c>
      <c r="D2643" s="1" t="str">
        <f t="shared" si="5285"/>
        <v>2021</v>
      </c>
      <c r="E2643" s="1" t="str">
        <f>"11.98"</f>
        <v>11.98</v>
      </c>
      <c r="F2643" s="1" t="str">
        <f t="shared" ref="F2643:I2643" si="5321">"0"</f>
        <v>0</v>
      </c>
      <c r="G2643" s="1" t="str">
        <f t="shared" si="5321"/>
        <v>0</v>
      </c>
      <c r="H2643" s="1" t="str">
        <f t="shared" si="5321"/>
        <v>0</v>
      </c>
      <c r="I2643" s="1" t="str">
        <f t="shared" si="5321"/>
        <v>0</v>
      </c>
      <c r="J2643" s="1" t="str">
        <f t="shared" si="5319"/>
        <v>1</v>
      </c>
      <c r="K2643" s="1" t="str">
        <f t="shared" ref="K2643:P2643" si="5322">"0"</f>
        <v>0</v>
      </c>
      <c r="L2643" s="1" t="str">
        <f t="shared" si="5322"/>
        <v>0</v>
      </c>
      <c r="M2643" s="1" t="str">
        <f t="shared" si="5322"/>
        <v>0</v>
      </c>
      <c r="N2643" s="1" t="str">
        <f t="shared" si="5322"/>
        <v>0</v>
      </c>
      <c r="O2643" s="1" t="str">
        <f t="shared" si="5322"/>
        <v>0</v>
      </c>
      <c r="P2643" s="1" t="str">
        <f t="shared" si="5322"/>
        <v>0</v>
      </c>
      <c r="Q2643" s="1" t="str">
        <f t="shared" si="5288"/>
        <v>0.0070</v>
      </c>
      <c r="R2643" s="1" t="s">
        <v>29</v>
      </c>
      <c r="S2643" s="1">
        <v>-0.0014</v>
      </c>
      <c r="T2643" s="1" t="str">
        <f t="shared" si="5289"/>
        <v>0</v>
      </c>
      <c r="U2643" s="1" t="str">
        <f>"0.0056"</f>
        <v>0.0056</v>
      </c>
    </row>
    <row r="2644" s="1" customFormat="1" spans="1:21">
      <c r="A2644" s="1" t="str">
        <f>"4601992047490"</f>
        <v>4601992047490</v>
      </c>
      <c r="B2644" s="1" t="s">
        <v>2668</v>
      </c>
      <c r="C2644" s="1" t="s">
        <v>24</v>
      </c>
      <c r="D2644" s="1" t="str">
        <f t="shared" si="5285"/>
        <v>2021</v>
      </c>
      <c r="E2644" s="1" t="str">
        <f t="shared" ref="E2644:P2644" si="5323">"0"</f>
        <v>0</v>
      </c>
      <c r="F2644" s="1" t="str">
        <f t="shared" si="5323"/>
        <v>0</v>
      </c>
      <c r="G2644" s="1" t="str">
        <f t="shared" si="5323"/>
        <v>0</v>
      </c>
      <c r="H2644" s="1" t="str">
        <f t="shared" si="5323"/>
        <v>0</v>
      </c>
      <c r="I2644" s="1" t="str">
        <f t="shared" si="5323"/>
        <v>0</v>
      </c>
      <c r="J2644" s="1" t="str">
        <f t="shared" si="5323"/>
        <v>0</v>
      </c>
      <c r="K2644" s="1" t="str">
        <f t="shared" si="5323"/>
        <v>0</v>
      </c>
      <c r="L2644" s="1" t="str">
        <f t="shared" si="5323"/>
        <v>0</v>
      </c>
      <c r="M2644" s="1" t="str">
        <f t="shared" si="5323"/>
        <v>0</v>
      </c>
      <c r="N2644" s="1" t="str">
        <f t="shared" si="5323"/>
        <v>0</v>
      </c>
      <c r="O2644" s="1" t="str">
        <f t="shared" si="5323"/>
        <v>0</v>
      </c>
      <c r="P2644" s="1" t="str">
        <f t="shared" si="5323"/>
        <v>0</v>
      </c>
      <c r="Q2644" s="1" t="str">
        <f t="shared" si="5288"/>
        <v>0.0070</v>
      </c>
      <c r="R2644" s="1" t="s">
        <v>25</v>
      </c>
      <c r="T2644" s="1" t="str">
        <f t="shared" si="5289"/>
        <v>0</v>
      </c>
      <c r="U2644" s="1" t="str">
        <f t="shared" ref="U2644:U2650" si="5324">"0.0070"</f>
        <v>0.0070</v>
      </c>
    </row>
    <row r="2645" s="1" customFormat="1" spans="1:21">
      <c r="A2645" s="1" t="str">
        <f>"4601992047607"</f>
        <v>4601992047607</v>
      </c>
      <c r="B2645" s="1" t="s">
        <v>2669</v>
      </c>
      <c r="C2645" s="1" t="s">
        <v>24</v>
      </c>
      <c r="D2645" s="1" t="str">
        <f t="shared" si="5285"/>
        <v>2021</v>
      </c>
      <c r="E2645" s="1" t="str">
        <f t="shared" ref="E2645:P2645" si="5325">"0"</f>
        <v>0</v>
      </c>
      <c r="F2645" s="1" t="str">
        <f t="shared" si="5325"/>
        <v>0</v>
      </c>
      <c r="G2645" s="1" t="str">
        <f t="shared" si="5325"/>
        <v>0</v>
      </c>
      <c r="H2645" s="1" t="str">
        <f t="shared" si="5325"/>
        <v>0</v>
      </c>
      <c r="I2645" s="1" t="str">
        <f t="shared" si="5325"/>
        <v>0</v>
      </c>
      <c r="J2645" s="1" t="str">
        <f t="shared" si="5325"/>
        <v>0</v>
      </c>
      <c r="K2645" s="1" t="str">
        <f t="shared" si="5325"/>
        <v>0</v>
      </c>
      <c r="L2645" s="1" t="str">
        <f t="shared" si="5325"/>
        <v>0</v>
      </c>
      <c r="M2645" s="1" t="str">
        <f t="shared" si="5325"/>
        <v>0</v>
      </c>
      <c r="N2645" s="1" t="str">
        <f t="shared" si="5325"/>
        <v>0</v>
      </c>
      <c r="O2645" s="1" t="str">
        <f t="shared" si="5325"/>
        <v>0</v>
      </c>
      <c r="P2645" s="1" t="str">
        <f t="shared" si="5325"/>
        <v>0</v>
      </c>
      <c r="Q2645" s="1" t="str">
        <f t="shared" si="5288"/>
        <v>0.0070</v>
      </c>
      <c r="R2645" s="1" t="s">
        <v>25</v>
      </c>
      <c r="T2645" s="1" t="str">
        <f t="shared" si="5289"/>
        <v>0</v>
      </c>
      <c r="U2645" s="1" t="str">
        <f t="shared" si="5324"/>
        <v>0.0070</v>
      </c>
    </row>
    <row r="2646" s="1" customFormat="1" spans="1:21">
      <c r="A2646" s="1" t="str">
        <f>"4601992045136"</f>
        <v>4601992045136</v>
      </c>
      <c r="B2646" s="1" t="s">
        <v>2670</v>
      </c>
      <c r="C2646" s="1" t="s">
        <v>24</v>
      </c>
      <c r="D2646" s="1" t="str">
        <f t="shared" si="5285"/>
        <v>2021</v>
      </c>
      <c r="E2646" s="1" t="str">
        <f t="shared" ref="E2646:P2646" si="5326">"0"</f>
        <v>0</v>
      </c>
      <c r="F2646" s="1" t="str">
        <f t="shared" si="5326"/>
        <v>0</v>
      </c>
      <c r="G2646" s="1" t="str">
        <f t="shared" si="5326"/>
        <v>0</v>
      </c>
      <c r="H2646" s="1" t="str">
        <f t="shared" si="5326"/>
        <v>0</v>
      </c>
      <c r="I2646" s="1" t="str">
        <f t="shared" si="5326"/>
        <v>0</v>
      </c>
      <c r="J2646" s="1" t="str">
        <f t="shared" si="5326"/>
        <v>0</v>
      </c>
      <c r="K2646" s="1" t="str">
        <f t="shared" si="5326"/>
        <v>0</v>
      </c>
      <c r="L2646" s="1" t="str">
        <f t="shared" si="5326"/>
        <v>0</v>
      </c>
      <c r="M2646" s="1" t="str">
        <f t="shared" si="5326"/>
        <v>0</v>
      </c>
      <c r="N2646" s="1" t="str">
        <f t="shared" si="5326"/>
        <v>0</v>
      </c>
      <c r="O2646" s="1" t="str">
        <f t="shared" si="5326"/>
        <v>0</v>
      </c>
      <c r="P2646" s="1" t="str">
        <f t="shared" si="5326"/>
        <v>0</v>
      </c>
      <c r="Q2646" s="1" t="str">
        <f t="shared" si="5288"/>
        <v>0.0070</v>
      </c>
      <c r="R2646" s="1" t="s">
        <v>25</v>
      </c>
      <c r="T2646" s="1" t="str">
        <f t="shared" si="5289"/>
        <v>0</v>
      </c>
      <c r="U2646" s="1" t="str">
        <f t="shared" si="5324"/>
        <v>0.0070</v>
      </c>
    </row>
    <row r="2647" s="1" customFormat="1" spans="1:21">
      <c r="A2647" s="1" t="str">
        <f>"4601992047492"</f>
        <v>4601992047492</v>
      </c>
      <c r="B2647" s="1" t="s">
        <v>2671</v>
      </c>
      <c r="C2647" s="1" t="s">
        <v>24</v>
      </c>
      <c r="D2647" s="1" t="str">
        <f t="shared" si="5285"/>
        <v>2021</v>
      </c>
      <c r="E2647" s="1" t="str">
        <f t="shared" ref="E2647:I2647" si="5327">"0"</f>
        <v>0</v>
      </c>
      <c r="F2647" s="1" t="str">
        <f t="shared" si="5327"/>
        <v>0</v>
      </c>
      <c r="G2647" s="1" t="str">
        <f t="shared" si="5327"/>
        <v>0</v>
      </c>
      <c r="H2647" s="1" t="str">
        <f t="shared" si="5327"/>
        <v>0</v>
      </c>
      <c r="I2647" s="1" t="str">
        <f t="shared" si="5327"/>
        <v>0</v>
      </c>
      <c r="J2647" s="1" t="str">
        <f t="shared" si="5319"/>
        <v>1</v>
      </c>
      <c r="K2647" s="1" t="str">
        <f t="shared" ref="K2647:P2647" si="5328">"0"</f>
        <v>0</v>
      </c>
      <c r="L2647" s="1" t="str">
        <f t="shared" si="5328"/>
        <v>0</v>
      </c>
      <c r="M2647" s="1" t="str">
        <f t="shared" si="5328"/>
        <v>0</v>
      </c>
      <c r="N2647" s="1" t="str">
        <f t="shared" si="5328"/>
        <v>0</v>
      </c>
      <c r="O2647" s="1" t="str">
        <f t="shared" si="5328"/>
        <v>0</v>
      </c>
      <c r="P2647" s="1" t="str">
        <f t="shared" si="5328"/>
        <v>0</v>
      </c>
      <c r="Q2647" s="1" t="str">
        <f t="shared" si="5288"/>
        <v>0.0070</v>
      </c>
      <c r="R2647" s="1" t="s">
        <v>25</v>
      </c>
      <c r="T2647" s="1" t="str">
        <f t="shared" si="5289"/>
        <v>0</v>
      </c>
      <c r="U2647" s="1" t="str">
        <f t="shared" si="5324"/>
        <v>0.0070</v>
      </c>
    </row>
    <row r="2648" s="1" customFormat="1" spans="1:21">
      <c r="A2648" s="1" t="str">
        <f>"4601992047399"</f>
        <v>4601992047399</v>
      </c>
      <c r="B2648" s="1" t="s">
        <v>2672</v>
      </c>
      <c r="C2648" s="1" t="s">
        <v>24</v>
      </c>
      <c r="D2648" s="1" t="str">
        <f t="shared" si="5285"/>
        <v>2021</v>
      </c>
      <c r="E2648" s="1" t="str">
        <f t="shared" ref="E2648:P2648" si="5329">"0"</f>
        <v>0</v>
      </c>
      <c r="F2648" s="1" t="str">
        <f t="shared" si="5329"/>
        <v>0</v>
      </c>
      <c r="G2648" s="1" t="str">
        <f t="shared" si="5329"/>
        <v>0</v>
      </c>
      <c r="H2648" s="1" t="str">
        <f t="shared" si="5329"/>
        <v>0</v>
      </c>
      <c r="I2648" s="1" t="str">
        <f t="shared" si="5329"/>
        <v>0</v>
      </c>
      <c r="J2648" s="1" t="str">
        <f t="shared" si="5329"/>
        <v>0</v>
      </c>
      <c r="K2648" s="1" t="str">
        <f t="shared" si="5329"/>
        <v>0</v>
      </c>
      <c r="L2648" s="1" t="str">
        <f t="shared" si="5329"/>
        <v>0</v>
      </c>
      <c r="M2648" s="1" t="str">
        <f t="shared" si="5329"/>
        <v>0</v>
      </c>
      <c r="N2648" s="1" t="str">
        <f t="shared" si="5329"/>
        <v>0</v>
      </c>
      <c r="O2648" s="1" t="str">
        <f t="shared" si="5329"/>
        <v>0</v>
      </c>
      <c r="P2648" s="1" t="str">
        <f t="shared" si="5329"/>
        <v>0</v>
      </c>
      <c r="Q2648" s="1" t="str">
        <f t="shared" si="5288"/>
        <v>0.0070</v>
      </c>
      <c r="R2648" s="1" t="s">
        <v>25</v>
      </c>
      <c r="T2648" s="1" t="str">
        <f t="shared" si="5289"/>
        <v>0</v>
      </c>
      <c r="U2648" s="1" t="str">
        <f t="shared" si="5324"/>
        <v>0.0070</v>
      </c>
    </row>
    <row r="2649" s="1" customFormat="1" spans="1:21">
      <c r="A2649" s="1" t="str">
        <f>"4601992047691"</f>
        <v>4601992047691</v>
      </c>
      <c r="B2649" s="1" t="s">
        <v>2673</v>
      </c>
      <c r="C2649" s="1" t="s">
        <v>24</v>
      </c>
      <c r="D2649" s="1" t="str">
        <f t="shared" si="5285"/>
        <v>2021</v>
      </c>
      <c r="E2649" s="1" t="str">
        <f t="shared" ref="E2649:P2649" si="5330">"0"</f>
        <v>0</v>
      </c>
      <c r="F2649" s="1" t="str">
        <f t="shared" si="5330"/>
        <v>0</v>
      </c>
      <c r="G2649" s="1" t="str">
        <f t="shared" si="5330"/>
        <v>0</v>
      </c>
      <c r="H2649" s="1" t="str">
        <f t="shared" si="5330"/>
        <v>0</v>
      </c>
      <c r="I2649" s="1" t="str">
        <f t="shared" si="5330"/>
        <v>0</v>
      </c>
      <c r="J2649" s="1" t="str">
        <f t="shared" si="5330"/>
        <v>0</v>
      </c>
      <c r="K2649" s="1" t="str">
        <f t="shared" si="5330"/>
        <v>0</v>
      </c>
      <c r="L2649" s="1" t="str">
        <f t="shared" si="5330"/>
        <v>0</v>
      </c>
      <c r="M2649" s="1" t="str">
        <f t="shared" si="5330"/>
        <v>0</v>
      </c>
      <c r="N2649" s="1" t="str">
        <f t="shared" si="5330"/>
        <v>0</v>
      </c>
      <c r="O2649" s="1" t="str">
        <f t="shared" si="5330"/>
        <v>0</v>
      </c>
      <c r="P2649" s="1" t="str">
        <f t="shared" si="5330"/>
        <v>0</v>
      </c>
      <c r="Q2649" s="1" t="str">
        <f t="shared" si="5288"/>
        <v>0.0070</v>
      </c>
      <c r="R2649" s="1" t="s">
        <v>25</v>
      </c>
      <c r="T2649" s="1" t="str">
        <f t="shared" si="5289"/>
        <v>0</v>
      </c>
      <c r="U2649" s="1" t="str">
        <f t="shared" si="5324"/>
        <v>0.0070</v>
      </c>
    </row>
    <row r="2650" s="1" customFormat="1" spans="1:21">
      <c r="A2650" s="1" t="str">
        <f>"4601992047754"</f>
        <v>4601992047754</v>
      </c>
      <c r="B2650" s="1" t="s">
        <v>2674</v>
      </c>
      <c r="C2650" s="1" t="s">
        <v>24</v>
      </c>
      <c r="D2650" s="1" t="str">
        <f t="shared" si="5285"/>
        <v>2021</v>
      </c>
      <c r="E2650" s="1" t="str">
        <f t="shared" ref="E2650:P2650" si="5331">"0"</f>
        <v>0</v>
      </c>
      <c r="F2650" s="1" t="str">
        <f t="shared" si="5331"/>
        <v>0</v>
      </c>
      <c r="G2650" s="1" t="str">
        <f t="shared" si="5331"/>
        <v>0</v>
      </c>
      <c r="H2650" s="1" t="str">
        <f t="shared" si="5331"/>
        <v>0</v>
      </c>
      <c r="I2650" s="1" t="str">
        <f t="shared" si="5331"/>
        <v>0</v>
      </c>
      <c r="J2650" s="1" t="str">
        <f t="shared" si="5331"/>
        <v>0</v>
      </c>
      <c r="K2650" s="1" t="str">
        <f t="shared" si="5331"/>
        <v>0</v>
      </c>
      <c r="L2650" s="1" t="str">
        <f t="shared" si="5331"/>
        <v>0</v>
      </c>
      <c r="M2650" s="1" t="str">
        <f t="shared" si="5331"/>
        <v>0</v>
      </c>
      <c r="N2650" s="1" t="str">
        <f t="shared" si="5331"/>
        <v>0</v>
      </c>
      <c r="O2650" s="1" t="str">
        <f t="shared" si="5331"/>
        <v>0</v>
      </c>
      <c r="P2650" s="1" t="str">
        <f t="shared" si="5331"/>
        <v>0</v>
      </c>
      <c r="Q2650" s="1" t="str">
        <f t="shared" si="5288"/>
        <v>0.0070</v>
      </c>
      <c r="R2650" s="1" t="s">
        <v>25</v>
      </c>
      <c r="T2650" s="1" t="str">
        <f t="shared" si="5289"/>
        <v>0</v>
      </c>
      <c r="U2650" s="1" t="str">
        <f t="shared" si="5324"/>
        <v>0.0070</v>
      </c>
    </row>
    <row r="2651" s="1" customFormat="1" spans="1:21">
      <c r="A2651" s="1" t="str">
        <f>"4601992047497"</f>
        <v>4601992047497</v>
      </c>
      <c r="B2651" s="1" t="s">
        <v>2675</v>
      </c>
      <c r="C2651" s="1" t="s">
        <v>24</v>
      </c>
      <c r="D2651" s="1" t="str">
        <f t="shared" si="5285"/>
        <v>2021</v>
      </c>
      <c r="E2651" s="1" t="str">
        <f>"24.18"</f>
        <v>24.18</v>
      </c>
      <c r="F2651" s="1" t="str">
        <f t="shared" ref="F2651:I2651" si="5332">"0"</f>
        <v>0</v>
      </c>
      <c r="G2651" s="1" t="str">
        <f t="shared" si="5332"/>
        <v>0</v>
      </c>
      <c r="H2651" s="1" t="str">
        <f t="shared" si="5332"/>
        <v>0</v>
      </c>
      <c r="I2651" s="1" t="str">
        <f t="shared" si="5332"/>
        <v>0</v>
      </c>
      <c r="J2651" s="1" t="str">
        <f>"2"</f>
        <v>2</v>
      </c>
      <c r="K2651" s="1" t="str">
        <f t="shared" ref="K2651:P2651" si="5333">"0"</f>
        <v>0</v>
      </c>
      <c r="L2651" s="1" t="str">
        <f t="shared" si="5333"/>
        <v>0</v>
      </c>
      <c r="M2651" s="1" t="str">
        <f t="shared" si="5333"/>
        <v>0</v>
      </c>
      <c r="N2651" s="1" t="str">
        <f t="shared" si="5333"/>
        <v>0</v>
      </c>
      <c r="O2651" s="1" t="str">
        <f t="shared" si="5333"/>
        <v>0</v>
      </c>
      <c r="P2651" s="1" t="str">
        <f t="shared" si="5333"/>
        <v>0</v>
      </c>
      <c r="Q2651" s="1" t="str">
        <f t="shared" si="5288"/>
        <v>0.0070</v>
      </c>
      <c r="R2651" s="1" t="s">
        <v>29</v>
      </c>
      <c r="S2651" s="1">
        <v>-0.0014</v>
      </c>
      <c r="T2651" s="1" t="str">
        <f t="shared" si="5289"/>
        <v>0</v>
      </c>
      <c r="U2651" s="1" t="str">
        <f>"0.0056"</f>
        <v>0.0056</v>
      </c>
    </row>
    <row r="2652" s="1" customFormat="1" spans="1:21">
      <c r="A2652" s="1" t="str">
        <f>"4601992047723"</f>
        <v>4601992047723</v>
      </c>
      <c r="B2652" s="1" t="s">
        <v>2676</v>
      </c>
      <c r="C2652" s="1" t="s">
        <v>24</v>
      </c>
      <c r="D2652" s="1" t="str">
        <f t="shared" si="5285"/>
        <v>2021</v>
      </c>
      <c r="E2652" s="1" t="str">
        <f>"48.36"</f>
        <v>48.36</v>
      </c>
      <c r="F2652" s="1" t="str">
        <f t="shared" ref="F2652:I2652" si="5334">"0"</f>
        <v>0</v>
      </c>
      <c r="G2652" s="1" t="str">
        <f t="shared" si="5334"/>
        <v>0</v>
      </c>
      <c r="H2652" s="1" t="str">
        <f t="shared" si="5334"/>
        <v>0</v>
      </c>
      <c r="I2652" s="1" t="str">
        <f t="shared" si="5334"/>
        <v>0</v>
      </c>
      <c r="J2652" s="1" t="str">
        <f>"4"</f>
        <v>4</v>
      </c>
      <c r="K2652" s="1" t="str">
        <f t="shared" ref="K2652:P2652" si="5335">"0"</f>
        <v>0</v>
      </c>
      <c r="L2652" s="1" t="str">
        <f t="shared" si="5335"/>
        <v>0</v>
      </c>
      <c r="M2652" s="1" t="str">
        <f t="shared" si="5335"/>
        <v>0</v>
      </c>
      <c r="N2652" s="1" t="str">
        <f t="shared" si="5335"/>
        <v>0</v>
      </c>
      <c r="O2652" s="1" t="str">
        <f t="shared" si="5335"/>
        <v>0</v>
      </c>
      <c r="P2652" s="1" t="str">
        <f t="shared" si="5335"/>
        <v>0</v>
      </c>
      <c r="Q2652" s="1" t="str">
        <f t="shared" si="5288"/>
        <v>0.0070</v>
      </c>
      <c r="R2652" s="1" t="s">
        <v>29</v>
      </c>
      <c r="S2652" s="1">
        <v>-0.0014</v>
      </c>
      <c r="T2652" s="1" t="str">
        <f t="shared" si="5289"/>
        <v>0</v>
      </c>
      <c r="U2652" s="1" t="str">
        <f>"0.0056"</f>
        <v>0.0056</v>
      </c>
    </row>
    <row r="2653" s="1" customFormat="1" spans="1:21">
      <c r="A2653" s="1" t="str">
        <f>"4601992047780"</f>
        <v>4601992047780</v>
      </c>
      <c r="B2653" s="1" t="s">
        <v>2677</v>
      </c>
      <c r="C2653" s="1" t="s">
        <v>24</v>
      </c>
      <c r="D2653" s="1" t="str">
        <f t="shared" si="5285"/>
        <v>2021</v>
      </c>
      <c r="E2653" s="1" t="str">
        <f t="shared" ref="E2653:P2653" si="5336">"0"</f>
        <v>0</v>
      </c>
      <c r="F2653" s="1" t="str">
        <f t="shared" si="5336"/>
        <v>0</v>
      </c>
      <c r="G2653" s="1" t="str">
        <f t="shared" si="5336"/>
        <v>0</v>
      </c>
      <c r="H2653" s="1" t="str">
        <f t="shared" si="5336"/>
        <v>0</v>
      </c>
      <c r="I2653" s="1" t="str">
        <f t="shared" si="5336"/>
        <v>0</v>
      </c>
      <c r="J2653" s="1" t="str">
        <f t="shared" si="5336"/>
        <v>0</v>
      </c>
      <c r="K2653" s="1" t="str">
        <f t="shared" si="5336"/>
        <v>0</v>
      </c>
      <c r="L2653" s="1" t="str">
        <f t="shared" si="5336"/>
        <v>0</v>
      </c>
      <c r="M2653" s="1" t="str">
        <f t="shared" si="5336"/>
        <v>0</v>
      </c>
      <c r="N2653" s="1" t="str">
        <f t="shared" si="5336"/>
        <v>0</v>
      </c>
      <c r="O2653" s="1" t="str">
        <f t="shared" si="5336"/>
        <v>0</v>
      </c>
      <c r="P2653" s="1" t="str">
        <f t="shared" si="5336"/>
        <v>0</v>
      </c>
      <c r="Q2653" s="1" t="str">
        <f t="shared" si="5288"/>
        <v>0.0070</v>
      </c>
      <c r="R2653" s="1" t="s">
        <v>25</v>
      </c>
      <c r="T2653" s="1" t="str">
        <f t="shared" si="5289"/>
        <v>0</v>
      </c>
      <c r="U2653" s="1" t="str">
        <f t="shared" ref="U2653:U2658" si="5337">"0.0070"</f>
        <v>0.0070</v>
      </c>
    </row>
    <row r="2654" s="1" customFormat="1" spans="1:21">
      <c r="A2654" s="1" t="str">
        <f>"4601992047792"</f>
        <v>4601992047792</v>
      </c>
      <c r="B2654" s="1" t="s">
        <v>2678</v>
      </c>
      <c r="C2654" s="1" t="s">
        <v>24</v>
      </c>
      <c r="D2654" s="1" t="str">
        <f t="shared" si="5285"/>
        <v>2021</v>
      </c>
      <c r="E2654" s="1" t="str">
        <f t="shared" ref="E2654:P2654" si="5338">"0"</f>
        <v>0</v>
      </c>
      <c r="F2654" s="1" t="str">
        <f t="shared" si="5338"/>
        <v>0</v>
      </c>
      <c r="G2654" s="1" t="str">
        <f t="shared" si="5338"/>
        <v>0</v>
      </c>
      <c r="H2654" s="1" t="str">
        <f t="shared" si="5338"/>
        <v>0</v>
      </c>
      <c r="I2654" s="1" t="str">
        <f t="shared" si="5338"/>
        <v>0</v>
      </c>
      <c r="J2654" s="1" t="str">
        <f t="shared" si="5338"/>
        <v>0</v>
      </c>
      <c r="K2654" s="1" t="str">
        <f t="shared" si="5338"/>
        <v>0</v>
      </c>
      <c r="L2654" s="1" t="str">
        <f t="shared" si="5338"/>
        <v>0</v>
      </c>
      <c r="M2654" s="1" t="str">
        <f t="shared" si="5338"/>
        <v>0</v>
      </c>
      <c r="N2654" s="1" t="str">
        <f t="shared" si="5338"/>
        <v>0</v>
      </c>
      <c r="O2654" s="1" t="str">
        <f t="shared" si="5338"/>
        <v>0</v>
      </c>
      <c r="P2654" s="1" t="str">
        <f t="shared" si="5338"/>
        <v>0</v>
      </c>
      <c r="Q2654" s="1" t="str">
        <f t="shared" si="5288"/>
        <v>0.0070</v>
      </c>
      <c r="R2654" s="1" t="s">
        <v>25</v>
      </c>
      <c r="T2654" s="1" t="str">
        <f t="shared" si="5289"/>
        <v>0</v>
      </c>
      <c r="U2654" s="1" t="str">
        <f t="shared" si="5337"/>
        <v>0.0070</v>
      </c>
    </row>
    <row r="2655" s="1" customFormat="1" spans="1:21">
      <c r="A2655" s="1" t="str">
        <f>"4601992047785"</f>
        <v>4601992047785</v>
      </c>
      <c r="B2655" s="1" t="s">
        <v>2679</v>
      </c>
      <c r="C2655" s="1" t="s">
        <v>24</v>
      </c>
      <c r="D2655" s="1" t="str">
        <f t="shared" si="5285"/>
        <v>2021</v>
      </c>
      <c r="E2655" s="1" t="str">
        <f t="shared" ref="E2655:P2655" si="5339">"0"</f>
        <v>0</v>
      </c>
      <c r="F2655" s="1" t="str">
        <f t="shared" si="5339"/>
        <v>0</v>
      </c>
      <c r="G2655" s="1" t="str">
        <f t="shared" si="5339"/>
        <v>0</v>
      </c>
      <c r="H2655" s="1" t="str">
        <f t="shared" si="5339"/>
        <v>0</v>
      </c>
      <c r="I2655" s="1" t="str">
        <f t="shared" si="5339"/>
        <v>0</v>
      </c>
      <c r="J2655" s="1" t="str">
        <f t="shared" si="5339"/>
        <v>0</v>
      </c>
      <c r="K2655" s="1" t="str">
        <f t="shared" si="5339"/>
        <v>0</v>
      </c>
      <c r="L2655" s="1" t="str">
        <f t="shared" si="5339"/>
        <v>0</v>
      </c>
      <c r="M2655" s="1" t="str">
        <f t="shared" si="5339"/>
        <v>0</v>
      </c>
      <c r="N2655" s="1" t="str">
        <f t="shared" si="5339"/>
        <v>0</v>
      </c>
      <c r="O2655" s="1" t="str">
        <f t="shared" si="5339"/>
        <v>0</v>
      </c>
      <c r="P2655" s="1" t="str">
        <f t="shared" si="5339"/>
        <v>0</v>
      </c>
      <c r="Q2655" s="1" t="str">
        <f t="shared" si="5288"/>
        <v>0.0070</v>
      </c>
      <c r="R2655" s="1" t="s">
        <v>25</v>
      </c>
      <c r="T2655" s="1" t="str">
        <f t="shared" si="5289"/>
        <v>0</v>
      </c>
      <c r="U2655" s="1" t="str">
        <f t="shared" si="5337"/>
        <v>0.0070</v>
      </c>
    </row>
    <row r="2656" s="1" customFormat="1" spans="1:21">
      <c r="A2656" s="1" t="str">
        <f>"4601992007110"</f>
        <v>4601992007110</v>
      </c>
      <c r="B2656" s="1" t="s">
        <v>2680</v>
      </c>
      <c r="C2656" s="1" t="s">
        <v>24</v>
      </c>
      <c r="D2656" s="1" t="str">
        <f t="shared" si="5285"/>
        <v>2021</v>
      </c>
      <c r="E2656" s="1" t="str">
        <f t="shared" ref="E2656:P2656" si="5340">"0"</f>
        <v>0</v>
      </c>
      <c r="F2656" s="1" t="str">
        <f t="shared" si="5340"/>
        <v>0</v>
      </c>
      <c r="G2656" s="1" t="str">
        <f t="shared" si="5340"/>
        <v>0</v>
      </c>
      <c r="H2656" s="1" t="str">
        <f t="shared" si="5340"/>
        <v>0</v>
      </c>
      <c r="I2656" s="1" t="str">
        <f t="shared" si="5340"/>
        <v>0</v>
      </c>
      <c r="J2656" s="1" t="str">
        <f t="shared" si="5340"/>
        <v>0</v>
      </c>
      <c r="K2656" s="1" t="str">
        <f t="shared" si="5340"/>
        <v>0</v>
      </c>
      <c r="L2656" s="1" t="str">
        <f t="shared" si="5340"/>
        <v>0</v>
      </c>
      <c r="M2656" s="1" t="str">
        <f t="shared" si="5340"/>
        <v>0</v>
      </c>
      <c r="N2656" s="1" t="str">
        <f t="shared" si="5340"/>
        <v>0</v>
      </c>
      <c r="O2656" s="1" t="str">
        <f t="shared" si="5340"/>
        <v>0</v>
      </c>
      <c r="P2656" s="1" t="str">
        <f t="shared" si="5340"/>
        <v>0</v>
      </c>
      <c r="Q2656" s="1" t="str">
        <f t="shared" si="5288"/>
        <v>0.0070</v>
      </c>
      <c r="R2656" s="1" t="s">
        <v>25</v>
      </c>
      <c r="T2656" s="1" t="str">
        <f t="shared" si="5289"/>
        <v>0</v>
      </c>
      <c r="U2656" s="1" t="str">
        <f t="shared" si="5337"/>
        <v>0.0070</v>
      </c>
    </row>
    <row r="2657" s="1" customFormat="1" spans="1:21">
      <c r="A2657" s="1" t="str">
        <f>"4601992048354"</f>
        <v>4601992048354</v>
      </c>
      <c r="B2657" s="1" t="s">
        <v>2681</v>
      </c>
      <c r="C2657" s="1" t="s">
        <v>24</v>
      </c>
      <c r="D2657" s="1" t="str">
        <f t="shared" si="5285"/>
        <v>2021</v>
      </c>
      <c r="E2657" s="1" t="str">
        <f>"36.16"</f>
        <v>36.16</v>
      </c>
      <c r="F2657" s="1" t="str">
        <f t="shared" ref="F2657:I2657" si="5341">"0"</f>
        <v>0</v>
      </c>
      <c r="G2657" s="1" t="str">
        <f t="shared" si="5341"/>
        <v>0</v>
      </c>
      <c r="H2657" s="1" t="str">
        <f t="shared" si="5341"/>
        <v>0</v>
      </c>
      <c r="I2657" s="1" t="str">
        <f t="shared" si="5341"/>
        <v>0</v>
      </c>
      <c r="J2657" s="1" t="str">
        <f>"3"</f>
        <v>3</v>
      </c>
      <c r="K2657" s="1" t="str">
        <f t="shared" ref="K2657:P2657" si="5342">"0"</f>
        <v>0</v>
      </c>
      <c r="L2657" s="1" t="str">
        <f t="shared" si="5342"/>
        <v>0</v>
      </c>
      <c r="M2657" s="1" t="str">
        <f t="shared" si="5342"/>
        <v>0</v>
      </c>
      <c r="N2657" s="1" t="str">
        <f t="shared" si="5342"/>
        <v>0</v>
      </c>
      <c r="O2657" s="1" t="str">
        <f t="shared" si="5342"/>
        <v>0</v>
      </c>
      <c r="P2657" s="1" t="str">
        <f t="shared" si="5342"/>
        <v>0</v>
      </c>
      <c r="Q2657" s="1" t="str">
        <f t="shared" si="5288"/>
        <v>0.0070</v>
      </c>
      <c r="R2657" s="1" t="s">
        <v>25</v>
      </c>
      <c r="T2657" s="1" t="str">
        <f t="shared" si="5289"/>
        <v>0</v>
      </c>
      <c r="U2657" s="1" t="str">
        <f t="shared" si="5337"/>
        <v>0.0070</v>
      </c>
    </row>
    <row r="2658" s="1" customFormat="1" spans="1:21">
      <c r="A2658" s="1" t="str">
        <f>"4601992048521"</f>
        <v>4601992048521</v>
      </c>
      <c r="B2658" s="1" t="s">
        <v>2682</v>
      </c>
      <c r="C2658" s="1" t="s">
        <v>24</v>
      </c>
      <c r="D2658" s="1" t="str">
        <f t="shared" si="5285"/>
        <v>2021</v>
      </c>
      <c r="E2658" s="1" t="str">
        <f>"12.09"</f>
        <v>12.09</v>
      </c>
      <c r="F2658" s="1" t="str">
        <f t="shared" ref="F2658:I2658" si="5343">"0"</f>
        <v>0</v>
      </c>
      <c r="G2658" s="1" t="str">
        <f t="shared" si="5343"/>
        <v>0</v>
      </c>
      <c r="H2658" s="1" t="str">
        <f t="shared" si="5343"/>
        <v>0</v>
      </c>
      <c r="I2658" s="1" t="str">
        <f t="shared" si="5343"/>
        <v>0</v>
      </c>
      <c r="J2658" s="1" t="str">
        <f>"1"</f>
        <v>1</v>
      </c>
      <c r="K2658" s="1" t="str">
        <f t="shared" ref="K2658:P2658" si="5344">"0"</f>
        <v>0</v>
      </c>
      <c r="L2658" s="1" t="str">
        <f t="shared" si="5344"/>
        <v>0</v>
      </c>
      <c r="M2658" s="1" t="str">
        <f t="shared" si="5344"/>
        <v>0</v>
      </c>
      <c r="N2658" s="1" t="str">
        <f t="shared" si="5344"/>
        <v>0</v>
      </c>
      <c r="O2658" s="1" t="str">
        <f t="shared" si="5344"/>
        <v>0</v>
      </c>
      <c r="P2658" s="1" t="str">
        <f t="shared" si="5344"/>
        <v>0</v>
      </c>
      <c r="Q2658" s="1" t="str">
        <f t="shared" si="5288"/>
        <v>0.0070</v>
      </c>
      <c r="R2658" s="1" t="s">
        <v>25</v>
      </c>
      <c r="T2658" s="1" t="str">
        <f t="shared" si="5289"/>
        <v>0</v>
      </c>
      <c r="U2658" s="1" t="str">
        <f t="shared" si="5337"/>
        <v>0.0070</v>
      </c>
    </row>
    <row r="2659" s="1" customFormat="1" spans="1:21">
      <c r="A2659" s="1" t="str">
        <f>"4601992048057"</f>
        <v>4601992048057</v>
      </c>
      <c r="B2659" s="1" t="s">
        <v>2683</v>
      </c>
      <c r="C2659" s="1" t="s">
        <v>24</v>
      </c>
      <c r="D2659" s="1" t="str">
        <f t="shared" si="5285"/>
        <v>2021</v>
      </c>
      <c r="E2659" s="1" t="str">
        <f>"681.58"</f>
        <v>681.58</v>
      </c>
      <c r="F2659" s="1" t="str">
        <f t="shared" ref="F2659:I2659" si="5345">"0"</f>
        <v>0</v>
      </c>
      <c r="G2659" s="1" t="str">
        <f t="shared" si="5345"/>
        <v>0</v>
      </c>
      <c r="H2659" s="1" t="str">
        <f t="shared" si="5345"/>
        <v>0</v>
      </c>
      <c r="I2659" s="1" t="str">
        <f t="shared" si="5345"/>
        <v>0</v>
      </c>
      <c r="J2659" s="1" t="str">
        <f>"44"</f>
        <v>44</v>
      </c>
      <c r="K2659" s="1" t="str">
        <f t="shared" ref="K2659:P2659" si="5346">"0"</f>
        <v>0</v>
      </c>
      <c r="L2659" s="1" t="str">
        <f t="shared" si="5346"/>
        <v>0</v>
      </c>
      <c r="M2659" s="1" t="str">
        <f t="shared" si="5346"/>
        <v>0</v>
      </c>
      <c r="N2659" s="1" t="str">
        <f t="shared" si="5346"/>
        <v>0</v>
      </c>
      <c r="O2659" s="1" t="str">
        <f t="shared" si="5346"/>
        <v>0</v>
      </c>
      <c r="P2659" s="1" t="str">
        <f t="shared" si="5346"/>
        <v>0</v>
      </c>
      <c r="Q2659" s="1" t="str">
        <f t="shared" si="5288"/>
        <v>0.0070</v>
      </c>
      <c r="R2659" s="1" t="s">
        <v>29</v>
      </c>
      <c r="S2659" s="1">
        <v>-0.0014</v>
      </c>
      <c r="T2659" s="1" t="str">
        <f t="shared" si="5289"/>
        <v>0</v>
      </c>
      <c r="U2659" s="1" t="str">
        <f t="shared" ref="U2659:U2661" si="5347">"0.0056"</f>
        <v>0.0056</v>
      </c>
    </row>
    <row r="2660" s="1" customFormat="1" spans="1:21">
      <c r="A2660" s="1" t="str">
        <f>"4601992048530"</f>
        <v>4601992048530</v>
      </c>
      <c r="B2660" s="1" t="s">
        <v>2684</v>
      </c>
      <c r="C2660" s="1" t="s">
        <v>24</v>
      </c>
      <c r="D2660" s="1" t="str">
        <f t="shared" si="5285"/>
        <v>2021</v>
      </c>
      <c r="E2660" s="1" t="str">
        <f>"12.09"</f>
        <v>12.09</v>
      </c>
      <c r="F2660" s="1" t="str">
        <f t="shared" ref="F2660:I2660" si="5348">"0"</f>
        <v>0</v>
      </c>
      <c r="G2660" s="1" t="str">
        <f t="shared" si="5348"/>
        <v>0</v>
      </c>
      <c r="H2660" s="1" t="str">
        <f t="shared" si="5348"/>
        <v>0</v>
      </c>
      <c r="I2660" s="1" t="str">
        <f t="shared" si="5348"/>
        <v>0</v>
      </c>
      <c r="J2660" s="1" t="str">
        <f>"1"</f>
        <v>1</v>
      </c>
      <c r="K2660" s="1" t="str">
        <f t="shared" ref="K2660:P2660" si="5349">"0"</f>
        <v>0</v>
      </c>
      <c r="L2660" s="1" t="str">
        <f t="shared" si="5349"/>
        <v>0</v>
      </c>
      <c r="M2660" s="1" t="str">
        <f t="shared" si="5349"/>
        <v>0</v>
      </c>
      <c r="N2660" s="1" t="str">
        <f t="shared" si="5349"/>
        <v>0</v>
      </c>
      <c r="O2660" s="1" t="str">
        <f t="shared" si="5349"/>
        <v>0</v>
      </c>
      <c r="P2660" s="1" t="str">
        <f t="shared" si="5349"/>
        <v>0</v>
      </c>
      <c r="Q2660" s="1" t="str">
        <f t="shared" si="5288"/>
        <v>0.0070</v>
      </c>
      <c r="R2660" s="1" t="s">
        <v>29</v>
      </c>
      <c r="S2660" s="1">
        <v>-0.0014</v>
      </c>
      <c r="T2660" s="1" t="str">
        <f t="shared" si="5289"/>
        <v>0</v>
      </c>
      <c r="U2660" s="1" t="str">
        <f t="shared" si="5347"/>
        <v>0.0056</v>
      </c>
    </row>
    <row r="2661" s="1" customFormat="1" spans="1:21">
      <c r="A2661" s="1" t="str">
        <f>"4601992048537"</f>
        <v>4601992048537</v>
      </c>
      <c r="B2661" s="1" t="s">
        <v>2685</v>
      </c>
      <c r="C2661" s="1" t="s">
        <v>24</v>
      </c>
      <c r="D2661" s="1" t="str">
        <f t="shared" si="5285"/>
        <v>2021</v>
      </c>
      <c r="E2661" s="1" t="str">
        <f>"24.50"</f>
        <v>24.50</v>
      </c>
      <c r="F2661" s="1" t="str">
        <f t="shared" ref="F2661:I2661" si="5350">"0"</f>
        <v>0</v>
      </c>
      <c r="G2661" s="1" t="str">
        <f t="shared" si="5350"/>
        <v>0</v>
      </c>
      <c r="H2661" s="1" t="str">
        <f t="shared" si="5350"/>
        <v>0</v>
      </c>
      <c r="I2661" s="1" t="str">
        <f t="shared" si="5350"/>
        <v>0</v>
      </c>
      <c r="J2661" s="1" t="str">
        <f t="shared" ref="J2661:J2665" si="5351">"2"</f>
        <v>2</v>
      </c>
      <c r="K2661" s="1" t="str">
        <f t="shared" ref="K2661:P2661" si="5352">"0"</f>
        <v>0</v>
      </c>
      <c r="L2661" s="1" t="str">
        <f t="shared" si="5352"/>
        <v>0</v>
      </c>
      <c r="M2661" s="1" t="str">
        <f t="shared" si="5352"/>
        <v>0</v>
      </c>
      <c r="N2661" s="1" t="str">
        <f t="shared" si="5352"/>
        <v>0</v>
      </c>
      <c r="O2661" s="1" t="str">
        <f t="shared" si="5352"/>
        <v>0</v>
      </c>
      <c r="P2661" s="1" t="str">
        <f t="shared" si="5352"/>
        <v>0</v>
      </c>
      <c r="Q2661" s="1" t="str">
        <f t="shared" si="5288"/>
        <v>0.0070</v>
      </c>
      <c r="R2661" s="1" t="s">
        <v>29</v>
      </c>
      <c r="S2661" s="1">
        <v>-0.0014</v>
      </c>
      <c r="T2661" s="1" t="str">
        <f t="shared" si="5289"/>
        <v>0</v>
      </c>
      <c r="U2661" s="1" t="str">
        <f t="shared" si="5347"/>
        <v>0.0056</v>
      </c>
    </row>
    <row r="2662" s="1" customFormat="1" spans="1:21">
      <c r="A2662" s="1" t="str">
        <f>"4601992048548"</f>
        <v>4601992048548</v>
      </c>
      <c r="B2662" s="1" t="s">
        <v>2686</v>
      </c>
      <c r="C2662" s="1" t="s">
        <v>24</v>
      </c>
      <c r="D2662" s="1" t="str">
        <f t="shared" si="5285"/>
        <v>2021</v>
      </c>
      <c r="E2662" s="1" t="str">
        <f>"32.20"</f>
        <v>32.20</v>
      </c>
      <c r="F2662" s="1" t="str">
        <f t="shared" ref="F2662:I2662" si="5353">"0"</f>
        <v>0</v>
      </c>
      <c r="G2662" s="1" t="str">
        <f t="shared" si="5353"/>
        <v>0</v>
      </c>
      <c r="H2662" s="1" t="str">
        <f t="shared" si="5353"/>
        <v>0</v>
      </c>
      <c r="I2662" s="1" t="str">
        <f t="shared" si="5353"/>
        <v>0</v>
      </c>
      <c r="J2662" s="1" t="str">
        <f t="shared" si="5351"/>
        <v>2</v>
      </c>
      <c r="K2662" s="1" t="str">
        <f t="shared" ref="K2662:P2662" si="5354">"0"</f>
        <v>0</v>
      </c>
      <c r="L2662" s="1" t="str">
        <f t="shared" si="5354"/>
        <v>0</v>
      </c>
      <c r="M2662" s="1" t="str">
        <f t="shared" si="5354"/>
        <v>0</v>
      </c>
      <c r="N2662" s="1" t="str">
        <f t="shared" si="5354"/>
        <v>0</v>
      </c>
      <c r="O2662" s="1" t="str">
        <f t="shared" si="5354"/>
        <v>0</v>
      </c>
      <c r="P2662" s="1" t="str">
        <f t="shared" si="5354"/>
        <v>0</v>
      </c>
      <c r="Q2662" s="1" t="str">
        <f t="shared" si="5288"/>
        <v>0.0070</v>
      </c>
      <c r="R2662" s="1" t="s">
        <v>25</v>
      </c>
      <c r="T2662" s="1" t="str">
        <f t="shared" si="5289"/>
        <v>0</v>
      </c>
      <c r="U2662" s="1" t="str">
        <f>"0.0070"</f>
        <v>0.0070</v>
      </c>
    </row>
    <row r="2663" s="1" customFormat="1" spans="1:21">
      <c r="A2663" s="1" t="str">
        <f>"4601992048546"</f>
        <v>4601992048546</v>
      </c>
      <c r="B2663" s="1" t="s">
        <v>2687</v>
      </c>
      <c r="C2663" s="1" t="s">
        <v>24</v>
      </c>
      <c r="D2663" s="1" t="str">
        <f t="shared" si="5285"/>
        <v>2021</v>
      </c>
      <c r="E2663" s="1" t="str">
        <f>"96.72"</f>
        <v>96.72</v>
      </c>
      <c r="F2663" s="1" t="str">
        <f t="shared" ref="F2663:I2663" si="5355">"0"</f>
        <v>0</v>
      </c>
      <c r="G2663" s="1" t="str">
        <f t="shared" si="5355"/>
        <v>0</v>
      </c>
      <c r="H2663" s="1" t="str">
        <f t="shared" si="5355"/>
        <v>0</v>
      </c>
      <c r="I2663" s="1" t="str">
        <f t="shared" si="5355"/>
        <v>0</v>
      </c>
      <c r="J2663" s="1" t="str">
        <f>"8"</f>
        <v>8</v>
      </c>
      <c r="K2663" s="1" t="str">
        <f t="shared" ref="K2663:P2663" si="5356">"0"</f>
        <v>0</v>
      </c>
      <c r="L2663" s="1" t="str">
        <f t="shared" si="5356"/>
        <v>0</v>
      </c>
      <c r="M2663" s="1" t="str">
        <f t="shared" si="5356"/>
        <v>0</v>
      </c>
      <c r="N2663" s="1" t="str">
        <f t="shared" si="5356"/>
        <v>0</v>
      </c>
      <c r="O2663" s="1" t="str">
        <f t="shared" si="5356"/>
        <v>0</v>
      </c>
      <c r="P2663" s="1" t="str">
        <f t="shared" si="5356"/>
        <v>0</v>
      </c>
      <c r="Q2663" s="1" t="str">
        <f t="shared" si="5288"/>
        <v>0.0070</v>
      </c>
      <c r="R2663" s="1" t="s">
        <v>29</v>
      </c>
      <c r="S2663" s="1">
        <v>-0.0014</v>
      </c>
      <c r="T2663" s="1" t="str">
        <f t="shared" si="5289"/>
        <v>0</v>
      </c>
      <c r="U2663" s="1" t="str">
        <f t="shared" ref="U2663:U2671" si="5357">"0.0056"</f>
        <v>0.0056</v>
      </c>
    </row>
    <row r="2664" s="1" customFormat="1" spans="1:21">
      <c r="A2664" s="1" t="str">
        <f>"4601992048549"</f>
        <v>4601992048549</v>
      </c>
      <c r="B2664" s="1" t="s">
        <v>2688</v>
      </c>
      <c r="C2664" s="1" t="s">
        <v>24</v>
      </c>
      <c r="D2664" s="1" t="str">
        <f t="shared" si="5285"/>
        <v>2021</v>
      </c>
      <c r="E2664" s="1" t="str">
        <f>"47.92"</f>
        <v>47.92</v>
      </c>
      <c r="F2664" s="1" t="str">
        <f t="shared" ref="F2664:I2664" si="5358">"0"</f>
        <v>0</v>
      </c>
      <c r="G2664" s="1" t="str">
        <f t="shared" si="5358"/>
        <v>0</v>
      </c>
      <c r="H2664" s="1" t="str">
        <f t="shared" si="5358"/>
        <v>0</v>
      </c>
      <c r="I2664" s="1" t="str">
        <f t="shared" si="5358"/>
        <v>0</v>
      </c>
      <c r="J2664" s="1" t="str">
        <f>"7"</f>
        <v>7</v>
      </c>
      <c r="K2664" s="1" t="str">
        <f t="shared" ref="K2664:P2664" si="5359">"0"</f>
        <v>0</v>
      </c>
      <c r="L2664" s="1" t="str">
        <f t="shared" si="5359"/>
        <v>0</v>
      </c>
      <c r="M2664" s="1" t="str">
        <f t="shared" si="5359"/>
        <v>0</v>
      </c>
      <c r="N2664" s="1" t="str">
        <f t="shared" si="5359"/>
        <v>0</v>
      </c>
      <c r="O2664" s="1" t="str">
        <f t="shared" si="5359"/>
        <v>0</v>
      </c>
      <c r="P2664" s="1" t="str">
        <f t="shared" si="5359"/>
        <v>0</v>
      </c>
      <c r="Q2664" s="1" t="str">
        <f t="shared" si="5288"/>
        <v>0.0070</v>
      </c>
      <c r="R2664" s="1" t="s">
        <v>29</v>
      </c>
      <c r="S2664" s="1">
        <v>-0.0014</v>
      </c>
      <c r="T2664" s="1" t="str">
        <f t="shared" si="5289"/>
        <v>0</v>
      </c>
      <c r="U2664" s="1" t="str">
        <f t="shared" si="5357"/>
        <v>0.0056</v>
      </c>
    </row>
    <row r="2665" s="1" customFormat="1" spans="1:21">
      <c r="A2665" s="1" t="str">
        <f>"4601992048551"</f>
        <v>4601992048551</v>
      </c>
      <c r="B2665" s="1" t="s">
        <v>2689</v>
      </c>
      <c r="C2665" s="1" t="s">
        <v>24</v>
      </c>
      <c r="D2665" s="1" t="str">
        <f t="shared" si="5285"/>
        <v>2021</v>
      </c>
      <c r="E2665" s="1" t="str">
        <f>"24.18"</f>
        <v>24.18</v>
      </c>
      <c r="F2665" s="1" t="str">
        <f t="shared" ref="F2665:I2665" si="5360">"0"</f>
        <v>0</v>
      </c>
      <c r="G2665" s="1" t="str">
        <f t="shared" si="5360"/>
        <v>0</v>
      </c>
      <c r="H2665" s="1" t="str">
        <f t="shared" si="5360"/>
        <v>0</v>
      </c>
      <c r="I2665" s="1" t="str">
        <f t="shared" si="5360"/>
        <v>0</v>
      </c>
      <c r="J2665" s="1" t="str">
        <f t="shared" si="5351"/>
        <v>2</v>
      </c>
      <c r="K2665" s="1" t="str">
        <f t="shared" ref="K2665:P2665" si="5361">"0"</f>
        <v>0</v>
      </c>
      <c r="L2665" s="1" t="str">
        <f t="shared" si="5361"/>
        <v>0</v>
      </c>
      <c r="M2665" s="1" t="str">
        <f t="shared" si="5361"/>
        <v>0</v>
      </c>
      <c r="N2665" s="1" t="str">
        <f t="shared" si="5361"/>
        <v>0</v>
      </c>
      <c r="O2665" s="1" t="str">
        <f t="shared" si="5361"/>
        <v>0</v>
      </c>
      <c r="P2665" s="1" t="str">
        <f t="shared" si="5361"/>
        <v>0</v>
      </c>
      <c r="Q2665" s="1" t="str">
        <f t="shared" si="5288"/>
        <v>0.0070</v>
      </c>
      <c r="R2665" s="1" t="s">
        <v>29</v>
      </c>
      <c r="S2665" s="1">
        <v>-0.0014</v>
      </c>
      <c r="T2665" s="1" t="str">
        <f t="shared" si="5289"/>
        <v>0</v>
      </c>
      <c r="U2665" s="1" t="str">
        <f t="shared" si="5357"/>
        <v>0.0056</v>
      </c>
    </row>
    <row r="2666" s="1" customFormat="1" spans="1:21">
      <c r="A2666" s="1" t="str">
        <f>"4601992048556"</f>
        <v>4601992048556</v>
      </c>
      <c r="B2666" s="1" t="s">
        <v>2690</v>
      </c>
      <c r="C2666" s="1" t="s">
        <v>24</v>
      </c>
      <c r="D2666" s="1" t="str">
        <f t="shared" si="5285"/>
        <v>2021</v>
      </c>
      <c r="E2666" s="1" t="str">
        <f>"12.09"</f>
        <v>12.09</v>
      </c>
      <c r="F2666" s="1" t="str">
        <f t="shared" ref="F2666:I2666" si="5362">"0"</f>
        <v>0</v>
      </c>
      <c r="G2666" s="1" t="str">
        <f t="shared" si="5362"/>
        <v>0</v>
      </c>
      <c r="H2666" s="1" t="str">
        <f t="shared" si="5362"/>
        <v>0</v>
      </c>
      <c r="I2666" s="1" t="str">
        <f t="shared" si="5362"/>
        <v>0</v>
      </c>
      <c r="J2666" s="1" t="str">
        <f t="shared" ref="J2666:J2670" si="5363">"1"</f>
        <v>1</v>
      </c>
      <c r="K2666" s="1" t="str">
        <f t="shared" ref="K2666:P2666" si="5364">"0"</f>
        <v>0</v>
      </c>
      <c r="L2666" s="1" t="str">
        <f t="shared" si="5364"/>
        <v>0</v>
      </c>
      <c r="M2666" s="1" t="str">
        <f t="shared" si="5364"/>
        <v>0</v>
      </c>
      <c r="N2666" s="1" t="str">
        <f t="shared" si="5364"/>
        <v>0</v>
      </c>
      <c r="O2666" s="1" t="str">
        <f t="shared" si="5364"/>
        <v>0</v>
      </c>
      <c r="P2666" s="1" t="str">
        <f t="shared" si="5364"/>
        <v>0</v>
      </c>
      <c r="Q2666" s="1" t="str">
        <f t="shared" si="5288"/>
        <v>0.0070</v>
      </c>
      <c r="R2666" s="1" t="s">
        <v>29</v>
      </c>
      <c r="S2666" s="1">
        <v>-0.0014</v>
      </c>
      <c r="T2666" s="1" t="str">
        <f t="shared" si="5289"/>
        <v>0</v>
      </c>
      <c r="U2666" s="1" t="str">
        <f t="shared" si="5357"/>
        <v>0.0056</v>
      </c>
    </row>
    <row r="2667" s="1" customFormat="1" spans="1:21">
      <c r="A2667" s="1" t="str">
        <f>"4601992048589"</f>
        <v>4601992048589</v>
      </c>
      <c r="B2667" s="1" t="s">
        <v>2691</v>
      </c>
      <c r="C2667" s="1" t="s">
        <v>24</v>
      </c>
      <c r="D2667" s="1" t="str">
        <f t="shared" si="5285"/>
        <v>2021</v>
      </c>
      <c r="E2667" s="1" t="str">
        <f>"36.27"</f>
        <v>36.27</v>
      </c>
      <c r="F2667" s="1" t="str">
        <f t="shared" ref="F2667:I2667" si="5365">"0"</f>
        <v>0</v>
      </c>
      <c r="G2667" s="1" t="str">
        <f t="shared" si="5365"/>
        <v>0</v>
      </c>
      <c r="H2667" s="1" t="str">
        <f t="shared" si="5365"/>
        <v>0</v>
      </c>
      <c r="I2667" s="1" t="str">
        <f t="shared" si="5365"/>
        <v>0</v>
      </c>
      <c r="J2667" s="1" t="str">
        <f>"3"</f>
        <v>3</v>
      </c>
      <c r="K2667" s="1" t="str">
        <f t="shared" ref="K2667:P2667" si="5366">"0"</f>
        <v>0</v>
      </c>
      <c r="L2667" s="1" t="str">
        <f t="shared" si="5366"/>
        <v>0</v>
      </c>
      <c r="M2667" s="1" t="str">
        <f t="shared" si="5366"/>
        <v>0</v>
      </c>
      <c r="N2667" s="1" t="str">
        <f t="shared" si="5366"/>
        <v>0</v>
      </c>
      <c r="O2667" s="1" t="str">
        <f t="shared" si="5366"/>
        <v>0</v>
      </c>
      <c r="P2667" s="1" t="str">
        <f t="shared" si="5366"/>
        <v>0</v>
      </c>
      <c r="Q2667" s="1" t="str">
        <f t="shared" si="5288"/>
        <v>0.0070</v>
      </c>
      <c r="R2667" s="1" t="s">
        <v>29</v>
      </c>
      <c r="S2667" s="1">
        <v>-0.0014</v>
      </c>
      <c r="T2667" s="1" t="str">
        <f t="shared" si="5289"/>
        <v>0</v>
      </c>
      <c r="U2667" s="1" t="str">
        <f t="shared" si="5357"/>
        <v>0.0056</v>
      </c>
    </row>
    <row r="2668" s="1" customFormat="1" spans="1:21">
      <c r="A2668" s="1" t="str">
        <f>"4601992048599"</f>
        <v>4601992048599</v>
      </c>
      <c r="B2668" s="1" t="s">
        <v>2692</v>
      </c>
      <c r="C2668" s="1" t="s">
        <v>24</v>
      </c>
      <c r="D2668" s="1" t="str">
        <f t="shared" si="5285"/>
        <v>2021</v>
      </c>
      <c r="E2668" s="1" t="str">
        <f>"24.18"</f>
        <v>24.18</v>
      </c>
      <c r="F2668" s="1" t="str">
        <f t="shared" ref="F2668:I2668" si="5367">"0"</f>
        <v>0</v>
      </c>
      <c r="G2668" s="1" t="str">
        <f t="shared" si="5367"/>
        <v>0</v>
      </c>
      <c r="H2668" s="1" t="str">
        <f t="shared" si="5367"/>
        <v>0</v>
      </c>
      <c r="I2668" s="1" t="str">
        <f t="shared" si="5367"/>
        <v>0</v>
      </c>
      <c r="J2668" s="1" t="str">
        <f>"2"</f>
        <v>2</v>
      </c>
      <c r="K2668" s="1" t="str">
        <f t="shared" ref="K2668:P2668" si="5368">"0"</f>
        <v>0</v>
      </c>
      <c r="L2668" s="1" t="str">
        <f t="shared" si="5368"/>
        <v>0</v>
      </c>
      <c r="M2668" s="1" t="str">
        <f t="shared" si="5368"/>
        <v>0</v>
      </c>
      <c r="N2668" s="1" t="str">
        <f t="shared" si="5368"/>
        <v>0</v>
      </c>
      <c r="O2668" s="1" t="str">
        <f t="shared" si="5368"/>
        <v>0</v>
      </c>
      <c r="P2668" s="1" t="str">
        <f t="shared" si="5368"/>
        <v>0</v>
      </c>
      <c r="Q2668" s="1" t="str">
        <f t="shared" si="5288"/>
        <v>0.0070</v>
      </c>
      <c r="R2668" s="1" t="s">
        <v>29</v>
      </c>
      <c r="S2668" s="1">
        <v>-0.0014</v>
      </c>
      <c r="T2668" s="1" t="str">
        <f t="shared" si="5289"/>
        <v>0</v>
      </c>
      <c r="U2668" s="1" t="str">
        <f t="shared" si="5357"/>
        <v>0.0056</v>
      </c>
    </row>
    <row r="2669" s="1" customFormat="1" spans="1:21">
      <c r="A2669" s="1" t="str">
        <f>"4601992048607"</f>
        <v>4601992048607</v>
      </c>
      <c r="B2669" s="1" t="s">
        <v>2693</v>
      </c>
      <c r="C2669" s="1" t="s">
        <v>24</v>
      </c>
      <c r="D2669" s="1" t="str">
        <f t="shared" si="5285"/>
        <v>2021</v>
      </c>
      <c r="E2669" s="1" t="str">
        <f>"12.25"</f>
        <v>12.25</v>
      </c>
      <c r="F2669" s="1" t="str">
        <f t="shared" ref="F2669:I2669" si="5369">"0"</f>
        <v>0</v>
      </c>
      <c r="G2669" s="1" t="str">
        <f t="shared" si="5369"/>
        <v>0</v>
      </c>
      <c r="H2669" s="1" t="str">
        <f t="shared" si="5369"/>
        <v>0</v>
      </c>
      <c r="I2669" s="1" t="str">
        <f t="shared" si="5369"/>
        <v>0</v>
      </c>
      <c r="J2669" s="1" t="str">
        <f t="shared" si="5363"/>
        <v>1</v>
      </c>
      <c r="K2669" s="1" t="str">
        <f t="shared" ref="K2669:P2669" si="5370">"0"</f>
        <v>0</v>
      </c>
      <c r="L2669" s="1" t="str">
        <f t="shared" si="5370"/>
        <v>0</v>
      </c>
      <c r="M2669" s="1" t="str">
        <f t="shared" si="5370"/>
        <v>0</v>
      </c>
      <c r="N2669" s="1" t="str">
        <f t="shared" si="5370"/>
        <v>0</v>
      </c>
      <c r="O2669" s="1" t="str">
        <f t="shared" si="5370"/>
        <v>0</v>
      </c>
      <c r="P2669" s="1" t="str">
        <f t="shared" si="5370"/>
        <v>0</v>
      </c>
      <c r="Q2669" s="1" t="str">
        <f t="shared" si="5288"/>
        <v>0.0070</v>
      </c>
      <c r="R2669" s="1" t="s">
        <v>29</v>
      </c>
      <c r="S2669" s="1">
        <v>-0.0014</v>
      </c>
      <c r="T2669" s="1" t="str">
        <f t="shared" si="5289"/>
        <v>0</v>
      </c>
      <c r="U2669" s="1" t="str">
        <f t="shared" si="5357"/>
        <v>0.0056</v>
      </c>
    </row>
    <row r="2670" s="1" customFormat="1" spans="1:21">
      <c r="A2670" s="1" t="str">
        <f>"4601992048653"</f>
        <v>4601992048653</v>
      </c>
      <c r="B2670" s="1" t="s">
        <v>2694</v>
      </c>
      <c r="C2670" s="1" t="s">
        <v>24</v>
      </c>
      <c r="D2670" s="1" t="str">
        <f t="shared" si="5285"/>
        <v>2021</v>
      </c>
      <c r="E2670" s="1" t="str">
        <f>"12.09"</f>
        <v>12.09</v>
      </c>
      <c r="F2670" s="1" t="str">
        <f t="shared" ref="F2670:I2670" si="5371">"0"</f>
        <v>0</v>
      </c>
      <c r="G2670" s="1" t="str">
        <f t="shared" si="5371"/>
        <v>0</v>
      </c>
      <c r="H2670" s="1" t="str">
        <f t="shared" si="5371"/>
        <v>0</v>
      </c>
      <c r="I2670" s="1" t="str">
        <f t="shared" si="5371"/>
        <v>0</v>
      </c>
      <c r="J2670" s="1" t="str">
        <f t="shared" si="5363"/>
        <v>1</v>
      </c>
      <c r="K2670" s="1" t="str">
        <f t="shared" ref="K2670:P2670" si="5372">"0"</f>
        <v>0</v>
      </c>
      <c r="L2670" s="1" t="str">
        <f t="shared" si="5372"/>
        <v>0</v>
      </c>
      <c r="M2670" s="1" t="str">
        <f t="shared" si="5372"/>
        <v>0</v>
      </c>
      <c r="N2670" s="1" t="str">
        <f t="shared" si="5372"/>
        <v>0</v>
      </c>
      <c r="O2670" s="1" t="str">
        <f t="shared" si="5372"/>
        <v>0</v>
      </c>
      <c r="P2670" s="1" t="str">
        <f t="shared" si="5372"/>
        <v>0</v>
      </c>
      <c r="Q2670" s="1" t="str">
        <f t="shared" si="5288"/>
        <v>0.0070</v>
      </c>
      <c r="R2670" s="1" t="s">
        <v>29</v>
      </c>
      <c r="S2670" s="1">
        <v>-0.0014</v>
      </c>
      <c r="T2670" s="1" t="str">
        <f t="shared" si="5289"/>
        <v>0</v>
      </c>
      <c r="U2670" s="1" t="str">
        <f t="shared" si="5357"/>
        <v>0.0056</v>
      </c>
    </row>
    <row r="2671" s="1" customFormat="1" spans="1:21">
      <c r="A2671" s="1" t="str">
        <f>"4601992048690"</f>
        <v>4601992048690</v>
      </c>
      <c r="B2671" s="1" t="s">
        <v>2695</v>
      </c>
      <c r="C2671" s="1" t="s">
        <v>24</v>
      </c>
      <c r="D2671" s="1" t="str">
        <f t="shared" si="5285"/>
        <v>2021</v>
      </c>
      <c r="E2671" s="1" t="str">
        <f>"59.90"</f>
        <v>59.90</v>
      </c>
      <c r="F2671" s="1" t="str">
        <f t="shared" ref="F2671:I2671" si="5373">"0"</f>
        <v>0</v>
      </c>
      <c r="G2671" s="1" t="str">
        <f t="shared" si="5373"/>
        <v>0</v>
      </c>
      <c r="H2671" s="1" t="str">
        <f t="shared" si="5373"/>
        <v>0</v>
      </c>
      <c r="I2671" s="1" t="str">
        <f t="shared" si="5373"/>
        <v>0</v>
      </c>
      <c r="J2671" s="1" t="str">
        <f>"5"</f>
        <v>5</v>
      </c>
      <c r="K2671" s="1" t="str">
        <f t="shared" ref="K2671:P2671" si="5374">"0"</f>
        <v>0</v>
      </c>
      <c r="L2671" s="1" t="str">
        <f t="shared" si="5374"/>
        <v>0</v>
      </c>
      <c r="M2671" s="1" t="str">
        <f t="shared" si="5374"/>
        <v>0</v>
      </c>
      <c r="N2671" s="1" t="str">
        <f t="shared" si="5374"/>
        <v>0</v>
      </c>
      <c r="O2671" s="1" t="str">
        <f t="shared" si="5374"/>
        <v>0</v>
      </c>
      <c r="P2671" s="1" t="str">
        <f t="shared" si="5374"/>
        <v>0</v>
      </c>
      <c r="Q2671" s="1" t="str">
        <f t="shared" si="5288"/>
        <v>0.0070</v>
      </c>
      <c r="R2671" s="1" t="s">
        <v>29</v>
      </c>
      <c r="S2671" s="1">
        <v>-0.0014</v>
      </c>
      <c r="T2671" s="1" t="str">
        <f t="shared" si="5289"/>
        <v>0</v>
      </c>
      <c r="U2671" s="1" t="str">
        <f t="shared" si="5357"/>
        <v>0.0056</v>
      </c>
    </row>
    <row r="2672" s="1" customFormat="1" spans="1:21">
      <c r="A2672" s="1" t="str">
        <f>"4601992048723"</f>
        <v>4601992048723</v>
      </c>
      <c r="B2672" s="1" t="s">
        <v>2696</v>
      </c>
      <c r="C2672" s="1" t="s">
        <v>24</v>
      </c>
      <c r="D2672" s="1" t="str">
        <f t="shared" si="5285"/>
        <v>2021</v>
      </c>
      <c r="E2672" s="1" t="str">
        <f t="shared" ref="E2672:P2672" si="5375">"0"</f>
        <v>0</v>
      </c>
      <c r="F2672" s="1" t="str">
        <f t="shared" si="5375"/>
        <v>0</v>
      </c>
      <c r="G2672" s="1" t="str">
        <f t="shared" si="5375"/>
        <v>0</v>
      </c>
      <c r="H2672" s="1" t="str">
        <f t="shared" si="5375"/>
        <v>0</v>
      </c>
      <c r="I2672" s="1" t="str">
        <f t="shared" si="5375"/>
        <v>0</v>
      </c>
      <c r="J2672" s="1" t="str">
        <f t="shared" si="5375"/>
        <v>0</v>
      </c>
      <c r="K2672" s="1" t="str">
        <f t="shared" si="5375"/>
        <v>0</v>
      </c>
      <c r="L2672" s="1" t="str">
        <f t="shared" si="5375"/>
        <v>0</v>
      </c>
      <c r="M2672" s="1" t="str">
        <f t="shared" si="5375"/>
        <v>0</v>
      </c>
      <c r="N2672" s="1" t="str">
        <f t="shared" si="5375"/>
        <v>0</v>
      </c>
      <c r="O2672" s="1" t="str">
        <f t="shared" si="5375"/>
        <v>0</v>
      </c>
      <c r="P2672" s="1" t="str">
        <f t="shared" si="5375"/>
        <v>0</v>
      </c>
      <c r="Q2672" s="1" t="str">
        <f t="shared" si="5288"/>
        <v>0.0070</v>
      </c>
      <c r="R2672" s="1" t="s">
        <v>25</v>
      </c>
      <c r="T2672" s="1" t="str">
        <f t="shared" si="5289"/>
        <v>0</v>
      </c>
      <c r="U2672" s="1" t="str">
        <f t="shared" ref="U2672:U2676" si="5376">"0.0070"</f>
        <v>0.0070</v>
      </c>
    </row>
    <row r="2673" s="1" customFormat="1" spans="1:21">
      <c r="A2673" s="1" t="str">
        <f>"4601992048694"</f>
        <v>4601992048694</v>
      </c>
      <c r="B2673" s="1" t="s">
        <v>2697</v>
      </c>
      <c r="C2673" s="1" t="s">
        <v>24</v>
      </c>
      <c r="D2673" s="1" t="str">
        <f t="shared" si="5285"/>
        <v>2021</v>
      </c>
      <c r="E2673" s="1" t="str">
        <f>"12.09"</f>
        <v>12.09</v>
      </c>
      <c r="F2673" s="1" t="str">
        <f t="shared" ref="F2673:I2673" si="5377">"0"</f>
        <v>0</v>
      </c>
      <c r="G2673" s="1" t="str">
        <f t="shared" si="5377"/>
        <v>0</v>
      </c>
      <c r="H2673" s="1" t="str">
        <f t="shared" si="5377"/>
        <v>0</v>
      </c>
      <c r="I2673" s="1" t="str">
        <f t="shared" si="5377"/>
        <v>0</v>
      </c>
      <c r="J2673" s="1" t="str">
        <f>"1"</f>
        <v>1</v>
      </c>
      <c r="K2673" s="1" t="str">
        <f t="shared" ref="K2673:P2673" si="5378">"0"</f>
        <v>0</v>
      </c>
      <c r="L2673" s="1" t="str">
        <f t="shared" si="5378"/>
        <v>0</v>
      </c>
      <c r="M2673" s="1" t="str">
        <f t="shared" si="5378"/>
        <v>0</v>
      </c>
      <c r="N2673" s="1" t="str">
        <f t="shared" si="5378"/>
        <v>0</v>
      </c>
      <c r="O2673" s="1" t="str">
        <f t="shared" si="5378"/>
        <v>0</v>
      </c>
      <c r="P2673" s="1" t="str">
        <f t="shared" si="5378"/>
        <v>0</v>
      </c>
      <c r="Q2673" s="1" t="str">
        <f t="shared" si="5288"/>
        <v>0.0070</v>
      </c>
      <c r="R2673" s="1" t="s">
        <v>29</v>
      </c>
      <c r="S2673" s="1">
        <v>-0.0014</v>
      </c>
      <c r="T2673" s="1" t="str">
        <f t="shared" si="5289"/>
        <v>0</v>
      </c>
      <c r="U2673" s="1" t="str">
        <f t="shared" ref="U2673:U2680" si="5379">"0.0056"</f>
        <v>0.0056</v>
      </c>
    </row>
    <row r="2674" s="1" customFormat="1" spans="1:21">
      <c r="A2674" s="1" t="str">
        <f>"4601992048841"</f>
        <v>4601992048841</v>
      </c>
      <c r="B2674" s="1" t="s">
        <v>2698</v>
      </c>
      <c r="C2674" s="1" t="s">
        <v>24</v>
      </c>
      <c r="D2674" s="1" t="str">
        <f t="shared" si="5285"/>
        <v>2021</v>
      </c>
      <c r="E2674" s="1" t="str">
        <f t="shared" ref="E2674:P2674" si="5380">"0"</f>
        <v>0</v>
      </c>
      <c r="F2674" s="1" t="str">
        <f t="shared" si="5380"/>
        <v>0</v>
      </c>
      <c r="G2674" s="1" t="str">
        <f t="shared" si="5380"/>
        <v>0</v>
      </c>
      <c r="H2674" s="1" t="str">
        <f t="shared" si="5380"/>
        <v>0</v>
      </c>
      <c r="I2674" s="1" t="str">
        <f t="shared" si="5380"/>
        <v>0</v>
      </c>
      <c r="J2674" s="1" t="str">
        <f t="shared" si="5380"/>
        <v>0</v>
      </c>
      <c r="K2674" s="1" t="str">
        <f t="shared" si="5380"/>
        <v>0</v>
      </c>
      <c r="L2674" s="1" t="str">
        <f t="shared" si="5380"/>
        <v>0</v>
      </c>
      <c r="M2674" s="1" t="str">
        <f t="shared" si="5380"/>
        <v>0</v>
      </c>
      <c r="N2674" s="1" t="str">
        <f t="shared" si="5380"/>
        <v>0</v>
      </c>
      <c r="O2674" s="1" t="str">
        <f t="shared" si="5380"/>
        <v>0</v>
      </c>
      <c r="P2674" s="1" t="str">
        <f t="shared" si="5380"/>
        <v>0</v>
      </c>
      <c r="Q2674" s="1" t="str">
        <f t="shared" si="5288"/>
        <v>0.0070</v>
      </c>
      <c r="R2674" s="1" t="s">
        <v>25</v>
      </c>
      <c r="T2674" s="1" t="str">
        <f t="shared" si="5289"/>
        <v>0</v>
      </c>
      <c r="U2674" s="1" t="str">
        <f t="shared" si="5376"/>
        <v>0.0070</v>
      </c>
    </row>
    <row r="2675" s="1" customFormat="1" spans="1:21">
      <c r="A2675" s="1" t="str">
        <f>"4601992048829"</f>
        <v>4601992048829</v>
      </c>
      <c r="B2675" s="1" t="s">
        <v>2699</v>
      </c>
      <c r="C2675" s="1" t="s">
        <v>24</v>
      </c>
      <c r="D2675" s="1" t="str">
        <f t="shared" si="5285"/>
        <v>2021</v>
      </c>
      <c r="E2675" s="1" t="str">
        <f t="shared" ref="E2675:P2675" si="5381">"0"</f>
        <v>0</v>
      </c>
      <c r="F2675" s="1" t="str">
        <f t="shared" si="5381"/>
        <v>0</v>
      </c>
      <c r="G2675" s="1" t="str">
        <f t="shared" si="5381"/>
        <v>0</v>
      </c>
      <c r="H2675" s="1" t="str">
        <f t="shared" si="5381"/>
        <v>0</v>
      </c>
      <c r="I2675" s="1" t="str">
        <f t="shared" si="5381"/>
        <v>0</v>
      </c>
      <c r="J2675" s="1" t="str">
        <f t="shared" si="5381"/>
        <v>0</v>
      </c>
      <c r="K2675" s="1" t="str">
        <f t="shared" si="5381"/>
        <v>0</v>
      </c>
      <c r="L2675" s="1" t="str">
        <f t="shared" si="5381"/>
        <v>0</v>
      </c>
      <c r="M2675" s="1" t="str">
        <f t="shared" si="5381"/>
        <v>0</v>
      </c>
      <c r="N2675" s="1" t="str">
        <f t="shared" si="5381"/>
        <v>0</v>
      </c>
      <c r="O2675" s="1" t="str">
        <f t="shared" si="5381"/>
        <v>0</v>
      </c>
      <c r="P2675" s="1" t="str">
        <f t="shared" si="5381"/>
        <v>0</v>
      </c>
      <c r="Q2675" s="1" t="str">
        <f t="shared" si="5288"/>
        <v>0.0070</v>
      </c>
      <c r="R2675" s="1" t="s">
        <v>25</v>
      </c>
      <c r="T2675" s="1" t="str">
        <f t="shared" si="5289"/>
        <v>0</v>
      </c>
      <c r="U2675" s="1" t="str">
        <f t="shared" si="5376"/>
        <v>0.0070</v>
      </c>
    </row>
    <row r="2676" s="1" customFormat="1" spans="1:21">
      <c r="A2676" s="1" t="str">
        <f>"4601992048751"</f>
        <v>4601992048751</v>
      </c>
      <c r="B2676" s="1" t="s">
        <v>2700</v>
      </c>
      <c r="C2676" s="1" t="s">
        <v>24</v>
      </c>
      <c r="D2676" s="1" t="str">
        <f t="shared" si="5285"/>
        <v>2021</v>
      </c>
      <c r="E2676" s="1" t="str">
        <f>"36.27"</f>
        <v>36.27</v>
      </c>
      <c r="F2676" s="1" t="str">
        <f t="shared" ref="F2676:I2676" si="5382">"0"</f>
        <v>0</v>
      </c>
      <c r="G2676" s="1" t="str">
        <f t="shared" si="5382"/>
        <v>0</v>
      </c>
      <c r="H2676" s="1" t="str">
        <f t="shared" si="5382"/>
        <v>0</v>
      </c>
      <c r="I2676" s="1" t="str">
        <f t="shared" si="5382"/>
        <v>0</v>
      </c>
      <c r="J2676" s="1" t="str">
        <f>"2"</f>
        <v>2</v>
      </c>
      <c r="K2676" s="1" t="str">
        <f t="shared" ref="K2676:P2676" si="5383">"0"</f>
        <v>0</v>
      </c>
      <c r="L2676" s="1" t="str">
        <f t="shared" si="5383"/>
        <v>0</v>
      </c>
      <c r="M2676" s="1" t="str">
        <f t="shared" si="5383"/>
        <v>0</v>
      </c>
      <c r="N2676" s="1" t="str">
        <f t="shared" si="5383"/>
        <v>0</v>
      </c>
      <c r="O2676" s="1" t="str">
        <f t="shared" si="5383"/>
        <v>0</v>
      </c>
      <c r="P2676" s="1" t="str">
        <f t="shared" si="5383"/>
        <v>0</v>
      </c>
      <c r="Q2676" s="1" t="str">
        <f t="shared" si="5288"/>
        <v>0.0070</v>
      </c>
      <c r="R2676" s="1" t="s">
        <v>25</v>
      </c>
      <c r="T2676" s="1" t="str">
        <f t="shared" si="5289"/>
        <v>0</v>
      </c>
      <c r="U2676" s="1" t="str">
        <f t="shared" si="5376"/>
        <v>0.0070</v>
      </c>
    </row>
    <row r="2677" s="1" customFormat="1" spans="1:21">
      <c r="A2677" s="1" t="str">
        <f>"4601992048847"</f>
        <v>4601992048847</v>
      </c>
      <c r="B2677" s="1" t="s">
        <v>2701</v>
      </c>
      <c r="C2677" s="1" t="s">
        <v>24</v>
      </c>
      <c r="D2677" s="1" t="str">
        <f t="shared" si="5285"/>
        <v>2021</v>
      </c>
      <c r="E2677" s="1" t="str">
        <f>"85.75"</f>
        <v>85.75</v>
      </c>
      <c r="F2677" s="1" t="str">
        <f t="shared" ref="F2677:I2677" si="5384">"0"</f>
        <v>0</v>
      </c>
      <c r="G2677" s="1" t="str">
        <f t="shared" si="5384"/>
        <v>0</v>
      </c>
      <c r="H2677" s="1" t="str">
        <f t="shared" si="5384"/>
        <v>0</v>
      </c>
      <c r="I2677" s="1" t="str">
        <f t="shared" si="5384"/>
        <v>0</v>
      </c>
      <c r="J2677" s="1" t="str">
        <f>"7"</f>
        <v>7</v>
      </c>
      <c r="K2677" s="1" t="str">
        <f t="shared" ref="K2677:P2677" si="5385">"0"</f>
        <v>0</v>
      </c>
      <c r="L2677" s="1" t="str">
        <f t="shared" si="5385"/>
        <v>0</v>
      </c>
      <c r="M2677" s="1" t="str">
        <f t="shared" si="5385"/>
        <v>0</v>
      </c>
      <c r="N2677" s="1" t="str">
        <f t="shared" si="5385"/>
        <v>0</v>
      </c>
      <c r="O2677" s="1" t="str">
        <f t="shared" si="5385"/>
        <v>0</v>
      </c>
      <c r="P2677" s="1" t="str">
        <f t="shared" si="5385"/>
        <v>0</v>
      </c>
      <c r="Q2677" s="1" t="str">
        <f t="shared" si="5288"/>
        <v>0.0070</v>
      </c>
      <c r="R2677" s="1" t="s">
        <v>29</v>
      </c>
      <c r="S2677" s="1">
        <v>-0.0014</v>
      </c>
      <c r="T2677" s="1" t="str">
        <f t="shared" si="5289"/>
        <v>0</v>
      </c>
      <c r="U2677" s="1" t="str">
        <f t="shared" si="5379"/>
        <v>0.0056</v>
      </c>
    </row>
    <row r="2678" s="1" customFormat="1" spans="1:21">
      <c r="A2678" s="1" t="str">
        <f>"4601992048937"</f>
        <v>4601992048937</v>
      </c>
      <c r="B2678" s="1" t="s">
        <v>2702</v>
      </c>
      <c r="C2678" s="1" t="s">
        <v>24</v>
      </c>
      <c r="D2678" s="1" t="str">
        <f t="shared" si="5285"/>
        <v>2021</v>
      </c>
      <c r="E2678" s="1" t="str">
        <f>"12.09"</f>
        <v>12.09</v>
      </c>
      <c r="F2678" s="1" t="str">
        <f t="shared" ref="F2678:I2678" si="5386">"0"</f>
        <v>0</v>
      </c>
      <c r="G2678" s="1" t="str">
        <f t="shared" si="5386"/>
        <v>0</v>
      </c>
      <c r="H2678" s="1" t="str">
        <f t="shared" si="5386"/>
        <v>0</v>
      </c>
      <c r="I2678" s="1" t="str">
        <f t="shared" si="5386"/>
        <v>0</v>
      </c>
      <c r="J2678" s="1" t="str">
        <f>"2"</f>
        <v>2</v>
      </c>
      <c r="K2678" s="1" t="str">
        <f t="shared" ref="K2678:P2678" si="5387">"0"</f>
        <v>0</v>
      </c>
      <c r="L2678" s="1" t="str">
        <f t="shared" si="5387"/>
        <v>0</v>
      </c>
      <c r="M2678" s="1" t="str">
        <f t="shared" si="5387"/>
        <v>0</v>
      </c>
      <c r="N2678" s="1" t="str">
        <f t="shared" si="5387"/>
        <v>0</v>
      </c>
      <c r="O2678" s="1" t="str">
        <f t="shared" si="5387"/>
        <v>0</v>
      </c>
      <c r="P2678" s="1" t="str">
        <f t="shared" si="5387"/>
        <v>0</v>
      </c>
      <c r="Q2678" s="1" t="str">
        <f t="shared" si="5288"/>
        <v>0.0070</v>
      </c>
      <c r="R2678" s="1" t="s">
        <v>29</v>
      </c>
      <c r="S2678" s="1">
        <v>-0.0014</v>
      </c>
      <c r="T2678" s="1" t="str">
        <f t="shared" si="5289"/>
        <v>0</v>
      </c>
      <c r="U2678" s="1" t="str">
        <f t="shared" si="5379"/>
        <v>0.0056</v>
      </c>
    </row>
    <row r="2679" s="1" customFormat="1" spans="1:21">
      <c r="A2679" s="1" t="str">
        <f>"4601992049043"</f>
        <v>4601992049043</v>
      </c>
      <c r="B2679" s="1" t="s">
        <v>2703</v>
      </c>
      <c r="C2679" s="1" t="s">
        <v>24</v>
      </c>
      <c r="D2679" s="1" t="str">
        <f t="shared" si="5285"/>
        <v>2021</v>
      </c>
      <c r="E2679" s="1" t="str">
        <f>"108.81"</f>
        <v>108.81</v>
      </c>
      <c r="F2679" s="1" t="str">
        <f t="shared" ref="F2679:I2679" si="5388">"0"</f>
        <v>0</v>
      </c>
      <c r="G2679" s="1" t="str">
        <f t="shared" si="5388"/>
        <v>0</v>
      </c>
      <c r="H2679" s="1" t="str">
        <f t="shared" si="5388"/>
        <v>0</v>
      </c>
      <c r="I2679" s="1" t="str">
        <f t="shared" si="5388"/>
        <v>0</v>
      </c>
      <c r="J2679" s="1" t="str">
        <f>"9"</f>
        <v>9</v>
      </c>
      <c r="K2679" s="1" t="str">
        <f t="shared" ref="K2679:P2679" si="5389">"0"</f>
        <v>0</v>
      </c>
      <c r="L2679" s="1" t="str">
        <f t="shared" si="5389"/>
        <v>0</v>
      </c>
      <c r="M2679" s="1" t="str">
        <f t="shared" si="5389"/>
        <v>0</v>
      </c>
      <c r="N2679" s="1" t="str">
        <f t="shared" si="5389"/>
        <v>0</v>
      </c>
      <c r="O2679" s="1" t="str">
        <f t="shared" si="5389"/>
        <v>0</v>
      </c>
      <c r="P2679" s="1" t="str">
        <f t="shared" si="5389"/>
        <v>0</v>
      </c>
      <c r="Q2679" s="1" t="str">
        <f t="shared" si="5288"/>
        <v>0.0070</v>
      </c>
      <c r="R2679" s="1" t="s">
        <v>29</v>
      </c>
      <c r="S2679" s="1">
        <v>-0.0014</v>
      </c>
      <c r="T2679" s="1" t="str">
        <f t="shared" si="5289"/>
        <v>0</v>
      </c>
      <c r="U2679" s="1" t="str">
        <f t="shared" si="5379"/>
        <v>0.0056</v>
      </c>
    </row>
    <row r="2680" s="1" customFormat="1" spans="1:21">
      <c r="A2680" s="1" t="str">
        <f>"4601992048924"</f>
        <v>4601992048924</v>
      </c>
      <c r="B2680" s="1" t="s">
        <v>2704</v>
      </c>
      <c r="C2680" s="1" t="s">
        <v>24</v>
      </c>
      <c r="D2680" s="1" t="str">
        <f t="shared" si="5285"/>
        <v>2021</v>
      </c>
      <c r="E2680" s="1" t="str">
        <f>"12.25"</f>
        <v>12.25</v>
      </c>
      <c r="F2680" s="1" t="str">
        <f t="shared" ref="F2680:I2680" si="5390">"0"</f>
        <v>0</v>
      </c>
      <c r="G2680" s="1" t="str">
        <f t="shared" si="5390"/>
        <v>0</v>
      </c>
      <c r="H2680" s="1" t="str">
        <f t="shared" si="5390"/>
        <v>0</v>
      </c>
      <c r="I2680" s="1" t="str">
        <f t="shared" si="5390"/>
        <v>0</v>
      </c>
      <c r="J2680" s="1" t="str">
        <f>"1"</f>
        <v>1</v>
      </c>
      <c r="K2680" s="1" t="str">
        <f t="shared" ref="K2680:P2680" si="5391">"0"</f>
        <v>0</v>
      </c>
      <c r="L2680" s="1" t="str">
        <f t="shared" si="5391"/>
        <v>0</v>
      </c>
      <c r="M2680" s="1" t="str">
        <f t="shared" si="5391"/>
        <v>0</v>
      </c>
      <c r="N2680" s="1" t="str">
        <f t="shared" si="5391"/>
        <v>0</v>
      </c>
      <c r="O2680" s="1" t="str">
        <f t="shared" si="5391"/>
        <v>0</v>
      </c>
      <c r="P2680" s="1" t="str">
        <f t="shared" si="5391"/>
        <v>0</v>
      </c>
      <c r="Q2680" s="1" t="str">
        <f t="shared" si="5288"/>
        <v>0.0070</v>
      </c>
      <c r="R2680" s="1" t="s">
        <v>29</v>
      </c>
      <c r="S2680" s="1">
        <v>-0.0014</v>
      </c>
      <c r="T2680" s="1" t="str">
        <f t="shared" si="5289"/>
        <v>0</v>
      </c>
      <c r="U2680" s="1" t="str">
        <f t="shared" si="5379"/>
        <v>0.0056</v>
      </c>
    </row>
    <row r="2681" s="1" customFormat="1" spans="1:21">
      <c r="A2681" s="1" t="str">
        <f>"4601992049110"</f>
        <v>4601992049110</v>
      </c>
      <c r="B2681" s="1" t="s">
        <v>2705</v>
      </c>
      <c r="C2681" s="1" t="s">
        <v>24</v>
      </c>
      <c r="D2681" s="1" t="str">
        <f t="shared" si="5285"/>
        <v>2021</v>
      </c>
      <c r="E2681" s="1" t="str">
        <f t="shared" ref="E2681:P2681" si="5392">"0"</f>
        <v>0</v>
      </c>
      <c r="F2681" s="1" t="str">
        <f t="shared" si="5392"/>
        <v>0</v>
      </c>
      <c r="G2681" s="1" t="str">
        <f t="shared" si="5392"/>
        <v>0</v>
      </c>
      <c r="H2681" s="1" t="str">
        <f t="shared" si="5392"/>
        <v>0</v>
      </c>
      <c r="I2681" s="1" t="str">
        <f t="shared" si="5392"/>
        <v>0</v>
      </c>
      <c r="J2681" s="1" t="str">
        <f t="shared" si="5392"/>
        <v>0</v>
      </c>
      <c r="K2681" s="1" t="str">
        <f t="shared" si="5392"/>
        <v>0</v>
      </c>
      <c r="L2681" s="1" t="str">
        <f t="shared" si="5392"/>
        <v>0</v>
      </c>
      <c r="M2681" s="1" t="str">
        <f t="shared" si="5392"/>
        <v>0</v>
      </c>
      <c r="N2681" s="1" t="str">
        <f t="shared" si="5392"/>
        <v>0</v>
      </c>
      <c r="O2681" s="1" t="str">
        <f t="shared" si="5392"/>
        <v>0</v>
      </c>
      <c r="P2681" s="1" t="str">
        <f t="shared" si="5392"/>
        <v>0</v>
      </c>
      <c r="Q2681" s="1" t="str">
        <f t="shared" si="5288"/>
        <v>0.0070</v>
      </c>
      <c r="R2681" s="1" t="s">
        <v>25</v>
      </c>
      <c r="T2681" s="1" t="str">
        <f t="shared" si="5289"/>
        <v>0</v>
      </c>
      <c r="U2681" s="1" t="str">
        <f>"0.0070"</f>
        <v>0.0070</v>
      </c>
    </row>
    <row r="2682" s="1" customFormat="1" spans="1:21">
      <c r="A2682" s="1" t="str">
        <f>"4601992049068"</f>
        <v>4601992049068</v>
      </c>
      <c r="B2682" s="1" t="s">
        <v>2706</v>
      </c>
      <c r="C2682" s="1" t="s">
        <v>24</v>
      </c>
      <c r="D2682" s="1" t="str">
        <f t="shared" si="5285"/>
        <v>2021</v>
      </c>
      <c r="E2682" s="1" t="str">
        <f>"24.07"</f>
        <v>24.07</v>
      </c>
      <c r="F2682" s="1" t="str">
        <f t="shared" ref="F2682:I2682" si="5393">"0"</f>
        <v>0</v>
      </c>
      <c r="G2682" s="1" t="str">
        <f t="shared" si="5393"/>
        <v>0</v>
      </c>
      <c r="H2682" s="1" t="str">
        <f t="shared" si="5393"/>
        <v>0</v>
      </c>
      <c r="I2682" s="1" t="str">
        <f t="shared" si="5393"/>
        <v>0</v>
      </c>
      <c r="J2682" s="1" t="str">
        <f t="shared" ref="J2682:J2687" si="5394">"2"</f>
        <v>2</v>
      </c>
      <c r="K2682" s="1" t="str">
        <f t="shared" ref="K2682:P2682" si="5395">"0"</f>
        <v>0</v>
      </c>
      <c r="L2682" s="1" t="str">
        <f t="shared" si="5395"/>
        <v>0</v>
      </c>
      <c r="M2682" s="1" t="str">
        <f t="shared" si="5395"/>
        <v>0</v>
      </c>
      <c r="N2682" s="1" t="str">
        <f t="shared" si="5395"/>
        <v>0</v>
      </c>
      <c r="O2682" s="1" t="str">
        <f t="shared" si="5395"/>
        <v>0</v>
      </c>
      <c r="P2682" s="1" t="str">
        <f t="shared" si="5395"/>
        <v>0</v>
      </c>
      <c r="Q2682" s="1" t="str">
        <f t="shared" si="5288"/>
        <v>0.0070</v>
      </c>
      <c r="R2682" s="1" t="s">
        <v>29</v>
      </c>
      <c r="S2682" s="1">
        <v>-0.0014</v>
      </c>
      <c r="T2682" s="1" t="str">
        <f t="shared" si="5289"/>
        <v>0</v>
      </c>
      <c r="U2682" s="1" t="str">
        <f t="shared" ref="U2682:U2687" si="5396">"0.0056"</f>
        <v>0.0056</v>
      </c>
    </row>
    <row r="2683" s="1" customFormat="1" spans="1:21">
      <c r="A2683" s="1" t="str">
        <f>"4601992049150"</f>
        <v>4601992049150</v>
      </c>
      <c r="B2683" s="1" t="s">
        <v>2707</v>
      </c>
      <c r="C2683" s="1" t="s">
        <v>24</v>
      </c>
      <c r="D2683" s="1" t="str">
        <f t="shared" si="5285"/>
        <v>2021</v>
      </c>
      <c r="E2683" s="1" t="str">
        <f t="shared" ref="E2683:P2683" si="5397">"0"</f>
        <v>0</v>
      </c>
      <c r="F2683" s="1" t="str">
        <f t="shared" si="5397"/>
        <v>0</v>
      </c>
      <c r="G2683" s="1" t="str">
        <f t="shared" si="5397"/>
        <v>0</v>
      </c>
      <c r="H2683" s="1" t="str">
        <f t="shared" si="5397"/>
        <v>0</v>
      </c>
      <c r="I2683" s="1" t="str">
        <f t="shared" si="5397"/>
        <v>0</v>
      </c>
      <c r="J2683" s="1" t="str">
        <f t="shared" si="5397"/>
        <v>0</v>
      </c>
      <c r="K2683" s="1" t="str">
        <f t="shared" si="5397"/>
        <v>0</v>
      </c>
      <c r="L2683" s="1" t="str">
        <f t="shared" si="5397"/>
        <v>0</v>
      </c>
      <c r="M2683" s="1" t="str">
        <f t="shared" si="5397"/>
        <v>0</v>
      </c>
      <c r="N2683" s="1" t="str">
        <f t="shared" si="5397"/>
        <v>0</v>
      </c>
      <c r="O2683" s="1" t="str">
        <f t="shared" si="5397"/>
        <v>0</v>
      </c>
      <c r="P2683" s="1" t="str">
        <f t="shared" si="5397"/>
        <v>0</v>
      </c>
      <c r="Q2683" s="1" t="str">
        <f t="shared" si="5288"/>
        <v>0.0070</v>
      </c>
      <c r="R2683" s="1" t="s">
        <v>25</v>
      </c>
      <c r="T2683" s="1" t="str">
        <f t="shared" si="5289"/>
        <v>0</v>
      </c>
      <c r="U2683" s="1" t="str">
        <f>"0.0070"</f>
        <v>0.0070</v>
      </c>
    </row>
    <row r="2684" s="1" customFormat="1" spans="1:21">
      <c r="A2684" s="1" t="str">
        <f>"4601992049138"</f>
        <v>4601992049138</v>
      </c>
      <c r="B2684" s="1" t="s">
        <v>2708</v>
      </c>
      <c r="C2684" s="1" t="s">
        <v>24</v>
      </c>
      <c r="D2684" s="1" t="str">
        <f t="shared" si="5285"/>
        <v>2021</v>
      </c>
      <c r="E2684" s="1" t="str">
        <f t="shared" ref="E2684:E2689" si="5398">"24.18"</f>
        <v>24.18</v>
      </c>
      <c r="F2684" s="1" t="str">
        <f t="shared" ref="F2684:I2684" si="5399">"0"</f>
        <v>0</v>
      </c>
      <c r="G2684" s="1" t="str">
        <f t="shared" si="5399"/>
        <v>0</v>
      </c>
      <c r="H2684" s="1" t="str">
        <f t="shared" si="5399"/>
        <v>0</v>
      </c>
      <c r="I2684" s="1" t="str">
        <f t="shared" si="5399"/>
        <v>0</v>
      </c>
      <c r="J2684" s="1" t="str">
        <f t="shared" si="5394"/>
        <v>2</v>
      </c>
      <c r="K2684" s="1" t="str">
        <f t="shared" ref="K2684:P2684" si="5400">"0"</f>
        <v>0</v>
      </c>
      <c r="L2684" s="1" t="str">
        <f t="shared" si="5400"/>
        <v>0</v>
      </c>
      <c r="M2684" s="1" t="str">
        <f t="shared" si="5400"/>
        <v>0</v>
      </c>
      <c r="N2684" s="1" t="str">
        <f t="shared" si="5400"/>
        <v>0</v>
      </c>
      <c r="O2684" s="1" t="str">
        <f t="shared" si="5400"/>
        <v>0</v>
      </c>
      <c r="P2684" s="1" t="str">
        <f t="shared" si="5400"/>
        <v>0</v>
      </c>
      <c r="Q2684" s="1" t="str">
        <f t="shared" si="5288"/>
        <v>0.0070</v>
      </c>
      <c r="R2684" s="1" t="s">
        <v>29</v>
      </c>
      <c r="S2684" s="1">
        <v>-0.0014</v>
      </c>
      <c r="T2684" s="1" t="str">
        <f t="shared" si="5289"/>
        <v>0</v>
      </c>
      <c r="U2684" s="1" t="str">
        <f t="shared" si="5396"/>
        <v>0.0056</v>
      </c>
    </row>
    <row r="2685" s="1" customFormat="1" spans="1:21">
      <c r="A2685" s="1" t="str">
        <f>"4601992049081"</f>
        <v>4601992049081</v>
      </c>
      <c r="B2685" s="1" t="s">
        <v>2709</v>
      </c>
      <c r="C2685" s="1" t="s">
        <v>24</v>
      </c>
      <c r="D2685" s="1" t="str">
        <f t="shared" si="5285"/>
        <v>2021</v>
      </c>
      <c r="E2685" s="1" t="str">
        <f>"61.09"</f>
        <v>61.09</v>
      </c>
      <c r="F2685" s="1" t="str">
        <f t="shared" ref="F2685:I2685" si="5401">"0"</f>
        <v>0</v>
      </c>
      <c r="G2685" s="1" t="str">
        <f t="shared" si="5401"/>
        <v>0</v>
      </c>
      <c r="H2685" s="1" t="str">
        <f t="shared" si="5401"/>
        <v>0</v>
      </c>
      <c r="I2685" s="1" t="str">
        <f t="shared" si="5401"/>
        <v>0</v>
      </c>
      <c r="J2685" s="1" t="str">
        <f>"5"</f>
        <v>5</v>
      </c>
      <c r="K2685" s="1" t="str">
        <f t="shared" ref="K2685:P2685" si="5402">"0"</f>
        <v>0</v>
      </c>
      <c r="L2685" s="1" t="str">
        <f t="shared" si="5402"/>
        <v>0</v>
      </c>
      <c r="M2685" s="1" t="str">
        <f t="shared" si="5402"/>
        <v>0</v>
      </c>
      <c r="N2685" s="1" t="str">
        <f t="shared" si="5402"/>
        <v>0</v>
      </c>
      <c r="O2685" s="1" t="str">
        <f t="shared" si="5402"/>
        <v>0</v>
      </c>
      <c r="P2685" s="1" t="str">
        <f t="shared" si="5402"/>
        <v>0</v>
      </c>
      <c r="Q2685" s="1" t="str">
        <f t="shared" si="5288"/>
        <v>0.0070</v>
      </c>
      <c r="R2685" s="1" t="s">
        <v>29</v>
      </c>
      <c r="S2685" s="1">
        <v>-0.0014</v>
      </c>
      <c r="T2685" s="1" t="str">
        <f t="shared" si="5289"/>
        <v>0</v>
      </c>
      <c r="U2685" s="1" t="str">
        <f t="shared" si="5396"/>
        <v>0.0056</v>
      </c>
    </row>
    <row r="2686" s="1" customFormat="1" spans="1:21">
      <c r="A2686" s="1" t="str">
        <f>"4601992049159"</f>
        <v>4601992049159</v>
      </c>
      <c r="B2686" s="1" t="s">
        <v>2710</v>
      </c>
      <c r="C2686" s="1" t="s">
        <v>24</v>
      </c>
      <c r="D2686" s="1" t="str">
        <f t="shared" si="5285"/>
        <v>2021</v>
      </c>
      <c r="E2686" s="1" t="str">
        <f>"12.12"</f>
        <v>12.12</v>
      </c>
      <c r="F2686" s="1" t="str">
        <f t="shared" ref="F2686:I2686" si="5403">"0"</f>
        <v>0</v>
      </c>
      <c r="G2686" s="1" t="str">
        <f t="shared" si="5403"/>
        <v>0</v>
      </c>
      <c r="H2686" s="1" t="str">
        <f t="shared" si="5403"/>
        <v>0</v>
      </c>
      <c r="I2686" s="1" t="str">
        <f t="shared" si="5403"/>
        <v>0</v>
      </c>
      <c r="J2686" s="1" t="str">
        <f t="shared" si="5394"/>
        <v>2</v>
      </c>
      <c r="K2686" s="1" t="str">
        <f t="shared" ref="K2686:P2686" si="5404">"0"</f>
        <v>0</v>
      </c>
      <c r="L2686" s="1" t="str">
        <f t="shared" si="5404"/>
        <v>0</v>
      </c>
      <c r="M2686" s="1" t="str">
        <f t="shared" si="5404"/>
        <v>0</v>
      </c>
      <c r="N2686" s="1" t="str">
        <f t="shared" si="5404"/>
        <v>0</v>
      </c>
      <c r="O2686" s="1" t="str">
        <f t="shared" si="5404"/>
        <v>0</v>
      </c>
      <c r="P2686" s="1" t="str">
        <f t="shared" si="5404"/>
        <v>0</v>
      </c>
      <c r="Q2686" s="1" t="str">
        <f t="shared" si="5288"/>
        <v>0.0070</v>
      </c>
      <c r="R2686" s="1" t="s">
        <v>29</v>
      </c>
      <c r="S2686" s="1">
        <v>-0.0014</v>
      </c>
      <c r="T2686" s="1" t="str">
        <f t="shared" si="5289"/>
        <v>0</v>
      </c>
      <c r="U2686" s="1" t="str">
        <f t="shared" si="5396"/>
        <v>0.0056</v>
      </c>
    </row>
    <row r="2687" s="1" customFormat="1" spans="1:21">
      <c r="A2687" s="1" t="str">
        <f>"4601992049198"</f>
        <v>4601992049198</v>
      </c>
      <c r="B2687" s="1" t="s">
        <v>2711</v>
      </c>
      <c r="C2687" s="1" t="s">
        <v>24</v>
      </c>
      <c r="D2687" s="1" t="str">
        <f t="shared" si="5285"/>
        <v>2021</v>
      </c>
      <c r="E2687" s="1" t="str">
        <f t="shared" si="5398"/>
        <v>24.18</v>
      </c>
      <c r="F2687" s="1" t="str">
        <f t="shared" ref="F2687:I2687" si="5405">"0"</f>
        <v>0</v>
      </c>
      <c r="G2687" s="1" t="str">
        <f t="shared" si="5405"/>
        <v>0</v>
      </c>
      <c r="H2687" s="1" t="str">
        <f t="shared" si="5405"/>
        <v>0</v>
      </c>
      <c r="I2687" s="1" t="str">
        <f t="shared" si="5405"/>
        <v>0</v>
      </c>
      <c r="J2687" s="1" t="str">
        <f t="shared" si="5394"/>
        <v>2</v>
      </c>
      <c r="K2687" s="1" t="str">
        <f t="shared" ref="K2687:P2687" si="5406">"0"</f>
        <v>0</v>
      </c>
      <c r="L2687" s="1" t="str">
        <f t="shared" si="5406"/>
        <v>0</v>
      </c>
      <c r="M2687" s="1" t="str">
        <f t="shared" si="5406"/>
        <v>0</v>
      </c>
      <c r="N2687" s="1" t="str">
        <f t="shared" si="5406"/>
        <v>0</v>
      </c>
      <c r="O2687" s="1" t="str">
        <f t="shared" si="5406"/>
        <v>0</v>
      </c>
      <c r="P2687" s="1" t="str">
        <f t="shared" si="5406"/>
        <v>0</v>
      </c>
      <c r="Q2687" s="1" t="str">
        <f t="shared" si="5288"/>
        <v>0.0070</v>
      </c>
      <c r="R2687" s="1" t="s">
        <v>29</v>
      </c>
      <c r="S2687" s="1">
        <v>-0.0014</v>
      </c>
      <c r="T2687" s="1" t="str">
        <f t="shared" si="5289"/>
        <v>0</v>
      </c>
      <c r="U2687" s="1" t="str">
        <f t="shared" si="5396"/>
        <v>0.0056</v>
      </c>
    </row>
    <row r="2688" s="1" customFormat="1" spans="1:21">
      <c r="A2688" s="1" t="str">
        <f>"4601992049229"</f>
        <v>4601992049229</v>
      </c>
      <c r="B2688" s="1" t="s">
        <v>2712</v>
      </c>
      <c r="C2688" s="1" t="s">
        <v>24</v>
      </c>
      <c r="D2688" s="1" t="str">
        <f t="shared" si="5285"/>
        <v>2021</v>
      </c>
      <c r="E2688" s="1" t="str">
        <f t="shared" ref="E2688:P2688" si="5407">"0"</f>
        <v>0</v>
      </c>
      <c r="F2688" s="1" t="str">
        <f t="shared" si="5407"/>
        <v>0</v>
      </c>
      <c r="G2688" s="1" t="str">
        <f t="shared" si="5407"/>
        <v>0</v>
      </c>
      <c r="H2688" s="1" t="str">
        <f t="shared" si="5407"/>
        <v>0</v>
      </c>
      <c r="I2688" s="1" t="str">
        <f t="shared" si="5407"/>
        <v>0</v>
      </c>
      <c r="J2688" s="1" t="str">
        <f t="shared" si="5407"/>
        <v>0</v>
      </c>
      <c r="K2688" s="1" t="str">
        <f t="shared" si="5407"/>
        <v>0</v>
      </c>
      <c r="L2688" s="1" t="str">
        <f t="shared" si="5407"/>
        <v>0</v>
      </c>
      <c r="M2688" s="1" t="str">
        <f t="shared" si="5407"/>
        <v>0</v>
      </c>
      <c r="N2688" s="1" t="str">
        <f t="shared" si="5407"/>
        <v>0</v>
      </c>
      <c r="O2688" s="1" t="str">
        <f t="shared" si="5407"/>
        <v>0</v>
      </c>
      <c r="P2688" s="1" t="str">
        <f t="shared" si="5407"/>
        <v>0</v>
      </c>
      <c r="Q2688" s="1" t="str">
        <f t="shared" si="5288"/>
        <v>0.0070</v>
      </c>
      <c r="R2688" s="1" t="s">
        <v>25</v>
      </c>
      <c r="T2688" s="1" t="str">
        <f t="shared" si="5289"/>
        <v>0</v>
      </c>
      <c r="U2688" s="1" t="str">
        <f>"0.0070"</f>
        <v>0.0070</v>
      </c>
    </row>
    <row r="2689" s="1" customFormat="1" spans="1:21">
      <c r="A2689" s="1" t="str">
        <f>"4601992049205"</f>
        <v>4601992049205</v>
      </c>
      <c r="B2689" s="1" t="s">
        <v>2713</v>
      </c>
      <c r="C2689" s="1" t="s">
        <v>24</v>
      </c>
      <c r="D2689" s="1" t="str">
        <f t="shared" si="5285"/>
        <v>2021</v>
      </c>
      <c r="E2689" s="1" t="str">
        <f t="shared" si="5398"/>
        <v>24.18</v>
      </c>
      <c r="F2689" s="1" t="str">
        <f t="shared" ref="F2689:I2689" si="5408">"0"</f>
        <v>0</v>
      </c>
      <c r="G2689" s="1" t="str">
        <f t="shared" si="5408"/>
        <v>0</v>
      </c>
      <c r="H2689" s="1" t="str">
        <f t="shared" si="5408"/>
        <v>0</v>
      </c>
      <c r="I2689" s="1" t="str">
        <f t="shared" si="5408"/>
        <v>0</v>
      </c>
      <c r="J2689" s="1" t="str">
        <f>"2"</f>
        <v>2</v>
      </c>
      <c r="K2689" s="1" t="str">
        <f t="shared" ref="K2689:P2689" si="5409">"0"</f>
        <v>0</v>
      </c>
      <c r="L2689" s="1" t="str">
        <f t="shared" si="5409"/>
        <v>0</v>
      </c>
      <c r="M2689" s="1" t="str">
        <f t="shared" si="5409"/>
        <v>0</v>
      </c>
      <c r="N2689" s="1" t="str">
        <f t="shared" si="5409"/>
        <v>0</v>
      </c>
      <c r="O2689" s="1" t="str">
        <f t="shared" si="5409"/>
        <v>0</v>
      </c>
      <c r="P2689" s="1" t="str">
        <f t="shared" si="5409"/>
        <v>0</v>
      </c>
      <c r="Q2689" s="1" t="str">
        <f t="shared" si="5288"/>
        <v>0.0070</v>
      </c>
      <c r="R2689" s="1" t="s">
        <v>29</v>
      </c>
      <c r="S2689" s="1">
        <v>-0.0014</v>
      </c>
      <c r="T2689" s="1" t="str">
        <f t="shared" si="5289"/>
        <v>0</v>
      </c>
      <c r="U2689" s="1" t="str">
        <f t="shared" ref="U2689:U2696" si="5410">"0.0056"</f>
        <v>0.0056</v>
      </c>
    </row>
    <row r="2690" s="1" customFormat="1" spans="1:21">
      <c r="A2690" s="1" t="str">
        <f>"4601992049258"</f>
        <v>4601992049258</v>
      </c>
      <c r="B2690" s="1" t="s">
        <v>2714</v>
      </c>
      <c r="C2690" s="1" t="s">
        <v>24</v>
      </c>
      <c r="D2690" s="1" t="str">
        <f t="shared" si="5285"/>
        <v>2021</v>
      </c>
      <c r="E2690" s="1" t="str">
        <f t="shared" ref="E2690:P2690" si="5411">"0"</f>
        <v>0</v>
      </c>
      <c r="F2690" s="1" t="str">
        <f t="shared" si="5411"/>
        <v>0</v>
      </c>
      <c r="G2690" s="1" t="str">
        <f t="shared" si="5411"/>
        <v>0</v>
      </c>
      <c r="H2690" s="1" t="str">
        <f t="shared" si="5411"/>
        <v>0</v>
      </c>
      <c r="I2690" s="1" t="str">
        <f t="shared" si="5411"/>
        <v>0</v>
      </c>
      <c r="J2690" s="1" t="str">
        <f t="shared" si="5411"/>
        <v>0</v>
      </c>
      <c r="K2690" s="1" t="str">
        <f t="shared" si="5411"/>
        <v>0</v>
      </c>
      <c r="L2690" s="1" t="str">
        <f t="shared" si="5411"/>
        <v>0</v>
      </c>
      <c r="M2690" s="1" t="str">
        <f t="shared" si="5411"/>
        <v>0</v>
      </c>
      <c r="N2690" s="1" t="str">
        <f t="shared" si="5411"/>
        <v>0</v>
      </c>
      <c r="O2690" s="1" t="str">
        <f t="shared" si="5411"/>
        <v>0</v>
      </c>
      <c r="P2690" s="1" t="str">
        <f t="shared" si="5411"/>
        <v>0</v>
      </c>
      <c r="Q2690" s="1" t="str">
        <f t="shared" si="5288"/>
        <v>0.0070</v>
      </c>
      <c r="R2690" s="1" t="s">
        <v>25</v>
      </c>
      <c r="T2690" s="1" t="str">
        <f t="shared" si="5289"/>
        <v>0</v>
      </c>
      <c r="U2690" s="1" t="str">
        <f>"0.0070"</f>
        <v>0.0070</v>
      </c>
    </row>
    <row r="2691" s="1" customFormat="1" spans="1:21">
      <c r="A2691" s="1" t="str">
        <f>"4601992049271"</f>
        <v>4601992049271</v>
      </c>
      <c r="B2691" s="1" t="s">
        <v>2715</v>
      </c>
      <c r="C2691" s="1" t="s">
        <v>24</v>
      </c>
      <c r="D2691" s="1" t="str">
        <f t="shared" ref="D2691:D2754" si="5412">"2021"</f>
        <v>2021</v>
      </c>
      <c r="E2691" s="1" t="str">
        <f>"12.09"</f>
        <v>12.09</v>
      </c>
      <c r="F2691" s="1" t="str">
        <f t="shared" ref="F2691:I2691" si="5413">"0"</f>
        <v>0</v>
      </c>
      <c r="G2691" s="1" t="str">
        <f t="shared" si="5413"/>
        <v>0</v>
      </c>
      <c r="H2691" s="1" t="str">
        <f t="shared" si="5413"/>
        <v>0</v>
      </c>
      <c r="I2691" s="1" t="str">
        <f t="shared" si="5413"/>
        <v>0</v>
      </c>
      <c r="J2691" s="1" t="str">
        <f>"1"</f>
        <v>1</v>
      </c>
      <c r="K2691" s="1" t="str">
        <f t="shared" ref="K2691:P2691" si="5414">"0"</f>
        <v>0</v>
      </c>
      <c r="L2691" s="1" t="str">
        <f t="shared" si="5414"/>
        <v>0</v>
      </c>
      <c r="M2691" s="1" t="str">
        <f t="shared" si="5414"/>
        <v>0</v>
      </c>
      <c r="N2691" s="1" t="str">
        <f t="shared" si="5414"/>
        <v>0</v>
      </c>
      <c r="O2691" s="1" t="str">
        <f t="shared" si="5414"/>
        <v>0</v>
      </c>
      <c r="P2691" s="1" t="str">
        <f t="shared" si="5414"/>
        <v>0</v>
      </c>
      <c r="Q2691" s="1" t="str">
        <f t="shared" ref="Q2691:Q2754" si="5415">"0.0070"</f>
        <v>0.0070</v>
      </c>
      <c r="R2691" s="1" t="s">
        <v>29</v>
      </c>
      <c r="S2691" s="1">
        <v>-0.0014</v>
      </c>
      <c r="T2691" s="1" t="str">
        <f t="shared" ref="T2691:T2754" si="5416">"0"</f>
        <v>0</v>
      </c>
      <c r="U2691" s="1" t="str">
        <f t="shared" si="5410"/>
        <v>0.0056</v>
      </c>
    </row>
    <row r="2692" s="1" customFormat="1" spans="1:21">
      <c r="A2692" s="1" t="str">
        <f>"4601992049220"</f>
        <v>4601992049220</v>
      </c>
      <c r="B2692" s="1" t="s">
        <v>2716</v>
      </c>
      <c r="C2692" s="1" t="s">
        <v>24</v>
      </c>
      <c r="D2692" s="1" t="str">
        <f t="shared" si="5412"/>
        <v>2021</v>
      </c>
      <c r="E2692" s="1" t="str">
        <f>"36.75"</f>
        <v>36.75</v>
      </c>
      <c r="F2692" s="1" t="str">
        <f t="shared" ref="F2692:I2692" si="5417">"0"</f>
        <v>0</v>
      </c>
      <c r="G2692" s="1" t="str">
        <f t="shared" si="5417"/>
        <v>0</v>
      </c>
      <c r="H2692" s="1" t="str">
        <f t="shared" si="5417"/>
        <v>0</v>
      </c>
      <c r="I2692" s="1" t="str">
        <f t="shared" si="5417"/>
        <v>0</v>
      </c>
      <c r="J2692" s="1" t="str">
        <f>"3"</f>
        <v>3</v>
      </c>
      <c r="K2692" s="1" t="str">
        <f t="shared" ref="K2692:P2692" si="5418">"0"</f>
        <v>0</v>
      </c>
      <c r="L2692" s="1" t="str">
        <f t="shared" si="5418"/>
        <v>0</v>
      </c>
      <c r="M2692" s="1" t="str">
        <f t="shared" si="5418"/>
        <v>0</v>
      </c>
      <c r="N2692" s="1" t="str">
        <f t="shared" si="5418"/>
        <v>0</v>
      </c>
      <c r="O2692" s="1" t="str">
        <f t="shared" si="5418"/>
        <v>0</v>
      </c>
      <c r="P2692" s="1" t="str">
        <f t="shared" si="5418"/>
        <v>0</v>
      </c>
      <c r="Q2692" s="1" t="str">
        <f t="shared" si="5415"/>
        <v>0.0070</v>
      </c>
      <c r="R2692" s="1" t="s">
        <v>29</v>
      </c>
      <c r="S2692" s="1">
        <v>-0.0014</v>
      </c>
      <c r="T2692" s="1" t="str">
        <f t="shared" si="5416"/>
        <v>0</v>
      </c>
      <c r="U2692" s="1" t="str">
        <f t="shared" si="5410"/>
        <v>0.0056</v>
      </c>
    </row>
    <row r="2693" s="1" customFormat="1" spans="1:21">
      <c r="A2693" s="1" t="str">
        <f>"4601992049265"</f>
        <v>4601992049265</v>
      </c>
      <c r="B2693" s="1" t="s">
        <v>2717</v>
      </c>
      <c r="C2693" s="1" t="s">
        <v>24</v>
      </c>
      <c r="D2693" s="1" t="str">
        <f t="shared" si="5412"/>
        <v>2021</v>
      </c>
      <c r="E2693" s="1" t="str">
        <f>"12.09"</f>
        <v>12.09</v>
      </c>
      <c r="F2693" s="1" t="str">
        <f t="shared" ref="F2693:I2693" si="5419">"0"</f>
        <v>0</v>
      </c>
      <c r="G2693" s="1" t="str">
        <f t="shared" si="5419"/>
        <v>0</v>
      </c>
      <c r="H2693" s="1" t="str">
        <f t="shared" si="5419"/>
        <v>0</v>
      </c>
      <c r="I2693" s="1" t="str">
        <f t="shared" si="5419"/>
        <v>0</v>
      </c>
      <c r="J2693" s="1" t="str">
        <f>"1"</f>
        <v>1</v>
      </c>
      <c r="K2693" s="1" t="str">
        <f t="shared" ref="K2693:P2693" si="5420">"0"</f>
        <v>0</v>
      </c>
      <c r="L2693" s="1" t="str">
        <f t="shared" si="5420"/>
        <v>0</v>
      </c>
      <c r="M2693" s="1" t="str">
        <f t="shared" si="5420"/>
        <v>0</v>
      </c>
      <c r="N2693" s="1" t="str">
        <f t="shared" si="5420"/>
        <v>0</v>
      </c>
      <c r="O2693" s="1" t="str">
        <f t="shared" si="5420"/>
        <v>0</v>
      </c>
      <c r="P2693" s="1" t="str">
        <f t="shared" si="5420"/>
        <v>0</v>
      </c>
      <c r="Q2693" s="1" t="str">
        <f t="shared" si="5415"/>
        <v>0.0070</v>
      </c>
      <c r="R2693" s="1" t="s">
        <v>29</v>
      </c>
      <c r="S2693" s="1">
        <v>-0.0014</v>
      </c>
      <c r="T2693" s="1" t="str">
        <f t="shared" si="5416"/>
        <v>0</v>
      </c>
      <c r="U2693" s="1" t="str">
        <f t="shared" si="5410"/>
        <v>0.0056</v>
      </c>
    </row>
    <row r="2694" s="1" customFormat="1" spans="1:21">
      <c r="A2694" s="1" t="str">
        <f>"4601992049352"</f>
        <v>4601992049352</v>
      </c>
      <c r="B2694" s="1" t="s">
        <v>2718</v>
      </c>
      <c r="C2694" s="1" t="s">
        <v>24</v>
      </c>
      <c r="D2694" s="1" t="str">
        <f t="shared" si="5412"/>
        <v>2021</v>
      </c>
      <c r="E2694" s="1" t="str">
        <f>"24.18"</f>
        <v>24.18</v>
      </c>
      <c r="F2694" s="1" t="str">
        <f t="shared" ref="F2694:I2694" si="5421">"0"</f>
        <v>0</v>
      </c>
      <c r="G2694" s="1" t="str">
        <f t="shared" si="5421"/>
        <v>0</v>
      </c>
      <c r="H2694" s="1" t="str">
        <f t="shared" si="5421"/>
        <v>0</v>
      </c>
      <c r="I2694" s="1" t="str">
        <f t="shared" si="5421"/>
        <v>0</v>
      </c>
      <c r="J2694" s="1" t="str">
        <f>"4"</f>
        <v>4</v>
      </c>
      <c r="K2694" s="1" t="str">
        <f t="shared" ref="K2694:P2694" si="5422">"0"</f>
        <v>0</v>
      </c>
      <c r="L2694" s="1" t="str">
        <f t="shared" si="5422"/>
        <v>0</v>
      </c>
      <c r="M2694" s="1" t="str">
        <f t="shared" si="5422"/>
        <v>0</v>
      </c>
      <c r="N2694" s="1" t="str">
        <f t="shared" si="5422"/>
        <v>0</v>
      </c>
      <c r="O2694" s="1" t="str">
        <f t="shared" si="5422"/>
        <v>0</v>
      </c>
      <c r="P2694" s="1" t="str">
        <f t="shared" si="5422"/>
        <v>0</v>
      </c>
      <c r="Q2694" s="1" t="str">
        <f t="shared" si="5415"/>
        <v>0.0070</v>
      </c>
      <c r="R2694" s="1" t="s">
        <v>29</v>
      </c>
      <c r="S2694" s="1">
        <v>-0.0014</v>
      </c>
      <c r="T2694" s="1" t="str">
        <f t="shared" si="5416"/>
        <v>0</v>
      </c>
      <c r="U2694" s="1" t="str">
        <f t="shared" si="5410"/>
        <v>0.0056</v>
      </c>
    </row>
    <row r="2695" s="1" customFormat="1" spans="1:21">
      <c r="A2695" s="1" t="str">
        <f>"4601992049350"</f>
        <v>4601992049350</v>
      </c>
      <c r="B2695" s="1" t="s">
        <v>2719</v>
      </c>
      <c r="C2695" s="1" t="s">
        <v>24</v>
      </c>
      <c r="D2695" s="1" t="str">
        <f t="shared" si="5412"/>
        <v>2021</v>
      </c>
      <c r="E2695" s="1" t="str">
        <f>"24.18"</f>
        <v>24.18</v>
      </c>
      <c r="F2695" s="1" t="str">
        <f t="shared" ref="F2695:I2695" si="5423">"0"</f>
        <v>0</v>
      </c>
      <c r="G2695" s="1" t="str">
        <f t="shared" si="5423"/>
        <v>0</v>
      </c>
      <c r="H2695" s="1" t="str">
        <f t="shared" si="5423"/>
        <v>0</v>
      </c>
      <c r="I2695" s="1" t="str">
        <f t="shared" si="5423"/>
        <v>0</v>
      </c>
      <c r="J2695" s="1" t="str">
        <f>"2"</f>
        <v>2</v>
      </c>
      <c r="K2695" s="1" t="str">
        <f t="shared" ref="K2695:P2695" si="5424">"0"</f>
        <v>0</v>
      </c>
      <c r="L2695" s="1" t="str">
        <f t="shared" si="5424"/>
        <v>0</v>
      </c>
      <c r="M2695" s="1" t="str">
        <f t="shared" si="5424"/>
        <v>0</v>
      </c>
      <c r="N2695" s="1" t="str">
        <f t="shared" si="5424"/>
        <v>0</v>
      </c>
      <c r="O2695" s="1" t="str">
        <f t="shared" si="5424"/>
        <v>0</v>
      </c>
      <c r="P2695" s="1" t="str">
        <f t="shared" si="5424"/>
        <v>0</v>
      </c>
      <c r="Q2695" s="1" t="str">
        <f t="shared" si="5415"/>
        <v>0.0070</v>
      </c>
      <c r="R2695" s="1" t="s">
        <v>29</v>
      </c>
      <c r="S2695" s="1">
        <v>-0.0014</v>
      </c>
      <c r="T2695" s="1" t="str">
        <f t="shared" si="5416"/>
        <v>0</v>
      </c>
      <c r="U2695" s="1" t="str">
        <f t="shared" si="5410"/>
        <v>0.0056</v>
      </c>
    </row>
    <row r="2696" s="1" customFormat="1" spans="1:21">
      <c r="A2696" s="1" t="str">
        <f>"4601991406623"</f>
        <v>4601991406623</v>
      </c>
      <c r="B2696" s="1" t="s">
        <v>2720</v>
      </c>
      <c r="C2696" s="1" t="s">
        <v>24</v>
      </c>
      <c r="D2696" s="1" t="str">
        <f t="shared" si="5412"/>
        <v>2021</v>
      </c>
      <c r="E2696" s="1" t="str">
        <f>"2900.12"</f>
        <v>2900.12</v>
      </c>
      <c r="F2696" s="1" t="str">
        <f t="shared" ref="F2696:I2696" si="5425">"0"</f>
        <v>0</v>
      </c>
      <c r="G2696" s="1" t="str">
        <f t="shared" si="5425"/>
        <v>0</v>
      </c>
      <c r="H2696" s="1" t="str">
        <f t="shared" si="5425"/>
        <v>0</v>
      </c>
      <c r="I2696" s="1" t="str">
        <f t="shared" si="5425"/>
        <v>0</v>
      </c>
      <c r="J2696" s="1" t="str">
        <f>"12"</f>
        <v>12</v>
      </c>
      <c r="K2696" s="1" t="str">
        <f t="shared" ref="K2696:P2696" si="5426">"0"</f>
        <v>0</v>
      </c>
      <c r="L2696" s="1" t="str">
        <f t="shared" si="5426"/>
        <v>0</v>
      </c>
      <c r="M2696" s="1" t="str">
        <f t="shared" si="5426"/>
        <v>0</v>
      </c>
      <c r="N2696" s="1" t="str">
        <f t="shared" si="5426"/>
        <v>0</v>
      </c>
      <c r="O2696" s="1" t="str">
        <f t="shared" si="5426"/>
        <v>0</v>
      </c>
      <c r="P2696" s="1" t="str">
        <f t="shared" si="5426"/>
        <v>0</v>
      </c>
      <c r="Q2696" s="1" t="str">
        <f t="shared" si="5415"/>
        <v>0.0070</v>
      </c>
      <c r="R2696" s="1" t="s">
        <v>29</v>
      </c>
      <c r="S2696" s="1">
        <v>-0.0014</v>
      </c>
      <c r="T2696" s="1" t="str">
        <f t="shared" si="5416"/>
        <v>0</v>
      </c>
      <c r="U2696" s="1" t="str">
        <f t="shared" si="5410"/>
        <v>0.0056</v>
      </c>
    </row>
    <row r="2697" s="1" customFormat="1" spans="1:21">
      <c r="A2697" s="1" t="str">
        <f>"4601992049439"</f>
        <v>4601992049439</v>
      </c>
      <c r="B2697" s="1" t="s">
        <v>2721</v>
      </c>
      <c r="C2697" s="1" t="s">
        <v>24</v>
      </c>
      <c r="D2697" s="1" t="str">
        <f t="shared" si="5412"/>
        <v>2021</v>
      </c>
      <c r="E2697" s="1" t="str">
        <f t="shared" ref="E2697:P2697" si="5427">"0"</f>
        <v>0</v>
      </c>
      <c r="F2697" s="1" t="str">
        <f t="shared" si="5427"/>
        <v>0</v>
      </c>
      <c r="G2697" s="1" t="str">
        <f t="shared" si="5427"/>
        <v>0</v>
      </c>
      <c r="H2697" s="1" t="str">
        <f t="shared" si="5427"/>
        <v>0</v>
      </c>
      <c r="I2697" s="1" t="str">
        <f t="shared" si="5427"/>
        <v>0</v>
      </c>
      <c r="J2697" s="1" t="str">
        <f t="shared" si="5427"/>
        <v>0</v>
      </c>
      <c r="K2697" s="1" t="str">
        <f t="shared" si="5427"/>
        <v>0</v>
      </c>
      <c r="L2697" s="1" t="str">
        <f t="shared" si="5427"/>
        <v>0</v>
      </c>
      <c r="M2697" s="1" t="str">
        <f t="shared" si="5427"/>
        <v>0</v>
      </c>
      <c r="N2697" s="1" t="str">
        <f t="shared" si="5427"/>
        <v>0</v>
      </c>
      <c r="O2697" s="1" t="str">
        <f t="shared" si="5427"/>
        <v>0</v>
      </c>
      <c r="P2697" s="1" t="str">
        <f t="shared" si="5427"/>
        <v>0</v>
      </c>
      <c r="Q2697" s="1" t="str">
        <f t="shared" si="5415"/>
        <v>0.0070</v>
      </c>
      <c r="R2697" s="1" t="s">
        <v>25</v>
      </c>
      <c r="T2697" s="1" t="str">
        <f t="shared" si="5416"/>
        <v>0</v>
      </c>
      <c r="U2697" s="1" t="str">
        <f t="shared" ref="U2697:U2703" si="5428">"0.0070"</f>
        <v>0.0070</v>
      </c>
    </row>
    <row r="2698" s="1" customFormat="1" spans="1:21">
      <c r="A2698" s="1" t="str">
        <f>"4601992049378"</f>
        <v>4601992049378</v>
      </c>
      <c r="B2698" s="1" t="s">
        <v>2722</v>
      </c>
      <c r="C2698" s="1" t="s">
        <v>24</v>
      </c>
      <c r="D2698" s="1" t="str">
        <f t="shared" si="5412"/>
        <v>2021</v>
      </c>
      <c r="E2698" s="1" t="str">
        <f>"1855.43"</f>
        <v>1855.43</v>
      </c>
      <c r="F2698" s="1" t="str">
        <f t="shared" ref="F2698:I2698" si="5429">"0"</f>
        <v>0</v>
      </c>
      <c r="G2698" s="1" t="str">
        <f t="shared" si="5429"/>
        <v>0</v>
      </c>
      <c r="H2698" s="1" t="str">
        <f t="shared" si="5429"/>
        <v>0</v>
      </c>
      <c r="I2698" s="1" t="str">
        <f t="shared" si="5429"/>
        <v>0</v>
      </c>
      <c r="J2698" s="1" t="str">
        <f>"78"</f>
        <v>78</v>
      </c>
      <c r="K2698" s="1" t="str">
        <f t="shared" ref="K2698:P2698" si="5430">"0"</f>
        <v>0</v>
      </c>
      <c r="L2698" s="1" t="str">
        <f t="shared" si="5430"/>
        <v>0</v>
      </c>
      <c r="M2698" s="1" t="str">
        <f t="shared" si="5430"/>
        <v>0</v>
      </c>
      <c r="N2698" s="1" t="str">
        <f t="shared" si="5430"/>
        <v>0</v>
      </c>
      <c r="O2698" s="1" t="str">
        <f t="shared" si="5430"/>
        <v>0</v>
      </c>
      <c r="P2698" s="1" t="str">
        <f t="shared" si="5430"/>
        <v>0</v>
      </c>
      <c r="Q2698" s="1" t="str">
        <f t="shared" si="5415"/>
        <v>0.0070</v>
      </c>
      <c r="R2698" s="1" t="s">
        <v>29</v>
      </c>
      <c r="S2698" s="1">
        <v>-0.0014</v>
      </c>
      <c r="T2698" s="1" t="str">
        <f t="shared" si="5416"/>
        <v>0</v>
      </c>
      <c r="U2698" s="1" t="str">
        <f>"0.0056"</f>
        <v>0.0056</v>
      </c>
    </row>
    <row r="2699" s="1" customFormat="1" spans="1:21">
      <c r="A2699" s="1" t="str">
        <f>"4601992049515"</f>
        <v>4601992049515</v>
      </c>
      <c r="B2699" s="1" t="s">
        <v>2723</v>
      </c>
      <c r="C2699" s="1" t="s">
        <v>24</v>
      </c>
      <c r="D2699" s="1" t="str">
        <f t="shared" si="5412"/>
        <v>2021</v>
      </c>
      <c r="E2699" s="1" t="str">
        <f t="shared" ref="E2699:P2699" si="5431">"0"</f>
        <v>0</v>
      </c>
      <c r="F2699" s="1" t="str">
        <f t="shared" si="5431"/>
        <v>0</v>
      </c>
      <c r="G2699" s="1" t="str">
        <f t="shared" si="5431"/>
        <v>0</v>
      </c>
      <c r="H2699" s="1" t="str">
        <f t="shared" si="5431"/>
        <v>0</v>
      </c>
      <c r="I2699" s="1" t="str">
        <f t="shared" si="5431"/>
        <v>0</v>
      </c>
      <c r="J2699" s="1" t="str">
        <f t="shared" si="5431"/>
        <v>0</v>
      </c>
      <c r="K2699" s="1" t="str">
        <f t="shared" si="5431"/>
        <v>0</v>
      </c>
      <c r="L2699" s="1" t="str">
        <f t="shared" si="5431"/>
        <v>0</v>
      </c>
      <c r="M2699" s="1" t="str">
        <f t="shared" si="5431"/>
        <v>0</v>
      </c>
      <c r="N2699" s="1" t="str">
        <f t="shared" si="5431"/>
        <v>0</v>
      </c>
      <c r="O2699" s="1" t="str">
        <f t="shared" si="5431"/>
        <v>0</v>
      </c>
      <c r="P2699" s="1" t="str">
        <f t="shared" si="5431"/>
        <v>0</v>
      </c>
      <c r="Q2699" s="1" t="str">
        <f t="shared" si="5415"/>
        <v>0.0070</v>
      </c>
      <c r="R2699" s="1" t="s">
        <v>25</v>
      </c>
      <c r="T2699" s="1" t="str">
        <f t="shared" si="5416"/>
        <v>0</v>
      </c>
      <c r="U2699" s="1" t="str">
        <f t="shared" si="5428"/>
        <v>0.0070</v>
      </c>
    </row>
    <row r="2700" s="1" customFormat="1" spans="1:21">
      <c r="A2700" s="1" t="str">
        <f>"4601992049504"</f>
        <v>4601992049504</v>
      </c>
      <c r="B2700" s="1" t="s">
        <v>2724</v>
      </c>
      <c r="C2700" s="1" t="s">
        <v>24</v>
      </c>
      <c r="D2700" s="1" t="str">
        <f t="shared" si="5412"/>
        <v>2021</v>
      </c>
      <c r="E2700" s="1" t="str">
        <f>"582.34"</f>
        <v>582.34</v>
      </c>
      <c r="F2700" s="1" t="str">
        <f t="shared" ref="F2700:I2700" si="5432">"0"</f>
        <v>0</v>
      </c>
      <c r="G2700" s="1" t="str">
        <f t="shared" si="5432"/>
        <v>0</v>
      </c>
      <c r="H2700" s="1" t="str">
        <f t="shared" si="5432"/>
        <v>0</v>
      </c>
      <c r="I2700" s="1" t="str">
        <f t="shared" si="5432"/>
        <v>0</v>
      </c>
      <c r="J2700" s="1" t="str">
        <f>"47"</f>
        <v>47</v>
      </c>
      <c r="K2700" s="1" t="str">
        <f t="shared" ref="K2700:P2700" si="5433">"0"</f>
        <v>0</v>
      </c>
      <c r="L2700" s="1" t="str">
        <f t="shared" si="5433"/>
        <v>0</v>
      </c>
      <c r="M2700" s="1" t="str">
        <f t="shared" si="5433"/>
        <v>0</v>
      </c>
      <c r="N2700" s="1" t="str">
        <f t="shared" si="5433"/>
        <v>0</v>
      </c>
      <c r="O2700" s="1" t="str">
        <f t="shared" si="5433"/>
        <v>0</v>
      </c>
      <c r="P2700" s="1" t="str">
        <f t="shared" si="5433"/>
        <v>0</v>
      </c>
      <c r="Q2700" s="1" t="str">
        <f t="shared" si="5415"/>
        <v>0.0070</v>
      </c>
      <c r="R2700" s="1" t="s">
        <v>29</v>
      </c>
      <c r="S2700" s="1">
        <v>-0.0014</v>
      </c>
      <c r="T2700" s="1" t="str">
        <f t="shared" si="5416"/>
        <v>0</v>
      </c>
      <c r="U2700" s="1" t="str">
        <f t="shared" ref="U2700:U2705" si="5434">"0.0056"</f>
        <v>0.0056</v>
      </c>
    </row>
    <row r="2701" s="1" customFormat="1" spans="1:21">
      <c r="A2701" s="1" t="str">
        <f>"4601991427224"</f>
        <v>4601991427224</v>
      </c>
      <c r="B2701" s="1" t="s">
        <v>2725</v>
      </c>
      <c r="C2701" s="1" t="s">
        <v>24</v>
      </c>
      <c r="D2701" s="1" t="str">
        <f t="shared" si="5412"/>
        <v>2021</v>
      </c>
      <c r="E2701" s="1" t="str">
        <f>"64.05"</f>
        <v>64.05</v>
      </c>
      <c r="F2701" s="1" t="str">
        <f t="shared" ref="F2701:I2701" si="5435">"0"</f>
        <v>0</v>
      </c>
      <c r="G2701" s="1" t="str">
        <f t="shared" si="5435"/>
        <v>0</v>
      </c>
      <c r="H2701" s="1" t="str">
        <f t="shared" si="5435"/>
        <v>0</v>
      </c>
      <c r="I2701" s="1" t="str">
        <f t="shared" si="5435"/>
        <v>0</v>
      </c>
      <c r="J2701" s="1" t="str">
        <f>"5"</f>
        <v>5</v>
      </c>
      <c r="K2701" s="1" t="str">
        <f t="shared" ref="K2701:P2701" si="5436">"0"</f>
        <v>0</v>
      </c>
      <c r="L2701" s="1" t="str">
        <f t="shared" si="5436"/>
        <v>0</v>
      </c>
      <c r="M2701" s="1" t="str">
        <f t="shared" si="5436"/>
        <v>0</v>
      </c>
      <c r="N2701" s="1" t="str">
        <f t="shared" si="5436"/>
        <v>0</v>
      </c>
      <c r="O2701" s="1" t="str">
        <f t="shared" si="5436"/>
        <v>0</v>
      </c>
      <c r="P2701" s="1" t="str">
        <f t="shared" si="5436"/>
        <v>0</v>
      </c>
      <c r="Q2701" s="1" t="str">
        <f t="shared" si="5415"/>
        <v>0.0070</v>
      </c>
      <c r="R2701" s="1" t="s">
        <v>25</v>
      </c>
      <c r="T2701" s="1" t="str">
        <f t="shared" si="5416"/>
        <v>0</v>
      </c>
      <c r="U2701" s="1" t="str">
        <f t="shared" si="5428"/>
        <v>0.0070</v>
      </c>
    </row>
    <row r="2702" s="1" customFormat="1" spans="1:21">
      <c r="A2702" s="1" t="str">
        <f>"4601992049607"</f>
        <v>4601992049607</v>
      </c>
      <c r="B2702" s="1" t="s">
        <v>2726</v>
      </c>
      <c r="C2702" s="1" t="s">
        <v>24</v>
      </c>
      <c r="D2702" s="1" t="str">
        <f t="shared" si="5412"/>
        <v>2021</v>
      </c>
      <c r="E2702" s="1" t="str">
        <f t="shared" ref="E2702:G2702" si="5437">"0"</f>
        <v>0</v>
      </c>
      <c r="F2702" s="1" t="str">
        <f t="shared" si="5437"/>
        <v>0</v>
      </c>
      <c r="G2702" s="1" t="str">
        <f t="shared" si="5437"/>
        <v>0</v>
      </c>
      <c r="H2702" s="1" t="str">
        <f>"12.09"</f>
        <v>12.09</v>
      </c>
      <c r="I2702" s="1" t="str">
        <f t="shared" ref="I2702:P2702" si="5438">"0"</f>
        <v>0</v>
      </c>
      <c r="J2702" s="1" t="str">
        <f t="shared" si="5438"/>
        <v>0</v>
      </c>
      <c r="K2702" s="1" t="str">
        <f t="shared" si="5438"/>
        <v>0</v>
      </c>
      <c r="L2702" s="1" t="str">
        <f t="shared" si="5438"/>
        <v>0</v>
      </c>
      <c r="M2702" s="1" t="str">
        <f t="shared" si="5438"/>
        <v>0</v>
      </c>
      <c r="N2702" s="1" t="str">
        <f t="shared" si="5438"/>
        <v>0</v>
      </c>
      <c r="O2702" s="1" t="str">
        <f t="shared" si="5438"/>
        <v>0</v>
      </c>
      <c r="P2702" s="1" t="str">
        <f t="shared" si="5438"/>
        <v>0</v>
      </c>
      <c r="Q2702" s="1" t="str">
        <f t="shared" si="5415"/>
        <v>0.0070</v>
      </c>
      <c r="R2702" s="1" t="s">
        <v>25</v>
      </c>
      <c r="T2702" s="1" t="str">
        <f t="shared" si="5416"/>
        <v>0</v>
      </c>
      <c r="U2702" s="1" t="str">
        <f t="shared" si="5428"/>
        <v>0.0070</v>
      </c>
    </row>
    <row r="2703" s="1" customFormat="1" spans="1:21">
      <c r="A2703" s="1" t="str">
        <f>"4601992049615"</f>
        <v>4601992049615</v>
      </c>
      <c r="B2703" s="1" t="s">
        <v>2727</v>
      </c>
      <c r="C2703" s="1" t="s">
        <v>24</v>
      </c>
      <c r="D2703" s="1" t="str">
        <f t="shared" si="5412"/>
        <v>2021</v>
      </c>
      <c r="E2703" s="1" t="str">
        <f t="shared" ref="E2703:P2703" si="5439">"0"</f>
        <v>0</v>
      </c>
      <c r="F2703" s="1" t="str">
        <f t="shared" si="5439"/>
        <v>0</v>
      </c>
      <c r="G2703" s="1" t="str">
        <f t="shared" si="5439"/>
        <v>0</v>
      </c>
      <c r="H2703" s="1" t="str">
        <f t="shared" si="5439"/>
        <v>0</v>
      </c>
      <c r="I2703" s="1" t="str">
        <f t="shared" si="5439"/>
        <v>0</v>
      </c>
      <c r="J2703" s="1" t="str">
        <f t="shared" si="5439"/>
        <v>0</v>
      </c>
      <c r="K2703" s="1" t="str">
        <f t="shared" si="5439"/>
        <v>0</v>
      </c>
      <c r="L2703" s="1" t="str">
        <f t="shared" si="5439"/>
        <v>0</v>
      </c>
      <c r="M2703" s="1" t="str">
        <f t="shared" si="5439"/>
        <v>0</v>
      </c>
      <c r="N2703" s="1" t="str">
        <f t="shared" si="5439"/>
        <v>0</v>
      </c>
      <c r="O2703" s="1" t="str">
        <f t="shared" si="5439"/>
        <v>0</v>
      </c>
      <c r="P2703" s="1" t="str">
        <f t="shared" si="5439"/>
        <v>0</v>
      </c>
      <c r="Q2703" s="1" t="str">
        <f t="shared" si="5415"/>
        <v>0.0070</v>
      </c>
      <c r="R2703" s="1" t="s">
        <v>25</v>
      </c>
      <c r="T2703" s="1" t="str">
        <f t="shared" si="5416"/>
        <v>0</v>
      </c>
      <c r="U2703" s="1" t="str">
        <f t="shared" si="5428"/>
        <v>0.0070</v>
      </c>
    </row>
    <row r="2704" s="1" customFormat="1" spans="1:21">
      <c r="A2704" s="1" t="str">
        <f>"4601992006295"</f>
        <v>4601992006295</v>
      </c>
      <c r="B2704" s="1" t="s">
        <v>2728</v>
      </c>
      <c r="C2704" s="1" t="s">
        <v>24</v>
      </c>
      <c r="D2704" s="1" t="str">
        <f t="shared" si="5412"/>
        <v>2021</v>
      </c>
      <c r="E2704" s="1" t="str">
        <f>"229.64"</f>
        <v>229.64</v>
      </c>
      <c r="F2704" s="1" t="str">
        <f t="shared" ref="F2704:I2704" si="5440">"0"</f>
        <v>0</v>
      </c>
      <c r="G2704" s="1" t="str">
        <f t="shared" si="5440"/>
        <v>0</v>
      </c>
      <c r="H2704" s="1" t="str">
        <f t="shared" si="5440"/>
        <v>0</v>
      </c>
      <c r="I2704" s="1" t="str">
        <f t="shared" si="5440"/>
        <v>0</v>
      </c>
      <c r="J2704" s="1" t="str">
        <f>"18"</f>
        <v>18</v>
      </c>
      <c r="K2704" s="1" t="str">
        <f t="shared" ref="K2704:P2704" si="5441">"0"</f>
        <v>0</v>
      </c>
      <c r="L2704" s="1" t="str">
        <f t="shared" si="5441"/>
        <v>0</v>
      </c>
      <c r="M2704" s="1" t="str">
        <f t="shared" si="5441"/>
        <v>0</v>
      </c>
      <c r="N2704" s="1" t="str">
        <f t="shared" si="5441"/>
        <v>0</v>
      </c>
      <c r="O2704" s="1" t="str">
        <f t="shared" si="5441"/>
        <v>0</v>
      </c>
      <c r="P2704" s="1" t="str">
        <f t="shared" si="5441"/>
        <v>0</v>
      </c>
      <c r="Q2704" s="1" t="str">
        <f t="shared" si="5415"/>
        <v>0.0070</v>
      </c>
      <c r="R2704" s="1" t="s">
        <v>29</v>
      </c>
      <c r="S2704" s="1">
        <v>-0.0014</v>
      </c>
      <c r="T2704" s="1" t="str">
        <f t="shared" si="5416"/>
        <v>0</v>
      </c>
      <c r="U2704" s="1" t="str">
        <f t="shared" si="5434"/>
        <v>0.0056</v>
      </c>
    </row>
    <row r="2705" s="1" customFormat="1" spans="1:21">
      <c r="A2705" s="1" t="str">
        <f>"4601992049583"</f>
        <v>4601992049583</v>
      </c>
      <c r="B2705" s="1" t="s">
        <v>2729</v>
      </c>
      <c r="C2705" s="1" t="s">
        <v>24</v>
      </c>
      <c r="D2705" s="1" t="str">
        <f t="shared" si="5412"/>
        <v>2021</v>
      </c>
      <c r="E2705" s="1" t="str">
        <f>"47.92"</f>
        <v>47.92</v>
      </c>
      <c r="F2705" s="1" t="str">
        <f t="shared" ref="F2705:I2705" si="5442">"0"</f>
        <v>0</v>
      </c>
      <c r="G2705" s="1" t="str">
        <f t="shared" si="5442"/>
        <v>0</v>
      </c>
      <c r="H2705" s="1" t="str">
        <f t="shared" si="5442"/>
        <v>0</v>
      </c>
      <c r="I2705" s="1" t="str">
        <f t="shared" si="5442"/>
        <v>0</v>
      </c>
      <c r="J2705" s="1" t="str">
        <f>"4"</f>
        <v>4</v>
      </c>
      <c r="K2705" s="1" t="str">
        <f t="shared" ref="K2705:P2705" si="5443">"0"</f>
        <v>0</v>
      </c>
      <c r="L2705" s="1" t="str">
        <f t="shared" si="5443"/>
        <v>0</v>
      </c>
      <c r="M2705" s="1" t="str">
        <f t="shared" si="5443"/>
        <v>0</v>
      </c>
      <c r="N2705" s="1" t="str">
        <f t="shared" si="5443"/>
        <v>0</v>
      </c>
      <c r="O2705" s="1" t="str">
        <f t="shared" si="5443"/>
        <v>0</v>
      </c>
      <c r="P2705" s="1" t="str">
        <f t="shared" si="5443"/>
        <v>0</v>
      </c>
      <c r="Q2705" s="1" t="str">
        <f t="shared" si="5415"/>
        <v>0.0070</v>
      </c>
      <c r="R2705" s="1" t="s">
        <v>29</v>
      </c>
      <c r="S2705" s="1">
        <v>-0.0014</v>
      </c>
      <c r="T2705" s="1" t="str">
        <f t="shared" si="5416"/>
        <v>0</v>
      </c>
      <c r="U2705" s="1" t="str">
        <f t="shared" si="5434"/>
        <v>0.0056</v>
      </c>
    </row>
    <row r="2706" s="1" customFormat="1" spans="1:21">
      <c r="A2706" s="1" t="str">
        <f>"4601992049655"</f>
        <v>4601992049655</v>
      </c>
      <c r="B2706" s="1" t="s">
        <v>2730</v>
      </c>
      <c r="C2706" s="1" t="s">
        <v>24</v>
      </c>
      <c r="D2706" s="1" t="str">
        <f t="shared" si="5412"/>
        <v>2021</v>
      </c>
      <c r="E2706" s="1" t="str">
        <f t="shared" ref="E2706:P2706" si="5444">"0"</f>
        <v>0</v>
      </c>
      <c r="F2706" s="1" t="str">
        <f t="shared" si="5444"/>
        <v>0</v>
      </c>
      <c r="G2706" s="1" t="str">
        <f t="shared" si="5444"/>
        <v>0</v>
      </c>
      <c r="H2706" s="1" t="str">
        <f t="shared" si="5444"/>
        <v>0</v>
      </c>
      <c r="I2706" s="1" t="str">
        <f t="shared" si="5444"/>
        <v>0</v>
      </c>
      <c r="J2706" s="1" t="str">
        <f t="shared" si="5444"/>
        <v>0</v>
      </c>
      <c r="K2706" s="1" t="str">
        <f t="shared" si="5444"/>
        <v>0</v>
      </c>
      <c r="L2706" s="1" t="str">
        <f t="shared" si="5444"/>
        <v>0</v>
      </c>
      <c r="M2706" s="1" t="str">
        <f t="shared" si="5444"/>
        <v>0</v>
      </c>
      <c r="N2706" s="1" t="str">
        <f t="shared" si="5444"/>
        <v>0</v>
      </c>
      <c r="O2706" s="1" t="str">
        <f t="shared" si="5444"/>
        <v>0</v>
      </c>
      <c r="P2706" s="1" t="str">
        <f t="shared" si="5444"/>
        <v>0</v>
      </c>
      <c r="Q2706" s="1" t="str">
        <f t="shared" si="5415"/>
        <v>0.0070</v>
      </c>
      <c r="R2706" s="1" t="s">
        <v>25</v>
      </c>
      <c r="T2706" s="1" t="str">
        <f t="shared" si="5416"/>
        <v>0</v>
      </c>
      <c r="U2706" s="1" t="str">
        <f>"0.0070"</f>
        <v>0.0070</v>
      </c>
    </row>
    <row r="2707" s="1" customFormat="1" spans="1:21">
      <c r="A2707" s="1" t="str">
        <f>"4601992049649"</f>
        <v>4601992049649</v>
      </c>
      <c r="B2707" s="1" t="s">
        <v>2731</v>
      </c>
      <c r="C2707" s="1" t="s">
        <v>24</v>
      </c>
      <c r="D2707" s="1" t="str">
        <f t="shared" si="5412"/>
        <v>2021</v>
      </c>
      <c r="E2707" s="1" t="str">
        <f>"155.74"</f>
        <v>155.74</v>
      </c>
      <c r="F2707" s="1" t="str">
        <f t="shared" ref="F2707:I2707" si="5445">"0"</f>
        <v>0</v>
      </c>
      <c r="G2707" s="1" t="str">
        <f t="shared" si="5445"/>
        <v>0</v>
      </c>
      <c r="H2707" s="1" t="str">
        <f t="shared" si="5445"/>
        <v>0</v>
      </c>
      <c r="I2707" s="1" t="str">
        <f t="shared" si="5445"/>
        <v>0</v>
      </c>
      <c r="J2707" s="1" t="str">
        <f>"11"</f>
        <v>11</v>
      </c>
      <c r="K2707" s="1" t="str">
        <f t="shared" ref="K2707:P2707" si="5446">"0"</f>
        <v>0</v>
      </c>
      <c r="L2707" s="1" t="str">
        <f t="shared" si="5446"/>
        <v>0</v>
      </c>
      <c r="M2707" s="1" t="str">
        <f t="shared" si="5446"/>
        <v>0</v>
      </c>
      <c r="N2707" s="1" t="str">
        <f t="shared" si="5446"/>
        <v>0</v>
      </c>
      <c r="O2707" s="1" t="str">
        <f t="shared" si="5446"/>
        <v>0</v>
      </c>
      <c r="P2707" s="1" t="str">
        <f t="shared" si="5446"/>
        <v>0</v>
      </c>
      <c r="Q2707" s="1" t="str">
        <f t="shared" si="5415"/>
        <v>0.0070</v>
      </c>
      <c r="R2707" s="1" t="s">
        <v>29</v>
      </c>
      <c r="S2707" s="1">
        <v>-0.0014</v>
      </c>
      <c r="T2707" s="1" t="str">
        <f t="shared" si="5416"/>
        <v>0</v>
      </c>
      <c r="U2707" s="1" t="str">
        <f t="shared" ref="U2707:U2710" si="5447">"0.0056"</f>
        <v>0.0056</v>
      </c>
    </row>
    <row r="2708" s="1" customFormat="1" spans="1:21">
      <c r="A2708" s="1" t="str">
        <f>"4601992049644"</f>
        <v>4601992049644</v>
      </c>
      <c r="B2708" s="1" t="s">
        <v>2732</v>
      </c>
      <c r="C2708" s="1" t="s">
        <v>24</v>
      </c>
      <c r="D2708" s="1" t="str">
        <f t="shared" si="5412"/>
        <v>2021</v>
      </c>
      <c r="E2708" s="1" t="str">
        <f>"12.09"</f>
        <v>12.09</v>
      </c>
      <c r="F2708" s="1" t="str">
        <f t="shared" ref="F2708:I2708" si="5448">"0"</f>
        <v>0</v>
      </c>
      <c r="G2708" s="1" t="str">
        <f t="shared" si="5448"/>
        <v>0</v>
      </c>
      <c r="H2708" s="1" t="str">
        <f t="shared" si="5448"/>
        <v>0</v>
      </c>
      <c r="I2708" s="1" t="str">
        <f t="shared" si="5448"/>
        <v>0</v>
      </c>
      <c r="J2708" s="1" t="str">
        <f>"2"</f>
        <v>2</v>
      </c>
      <c r="K2708" s="1" t="str">
        <f t="shared" ref="K2708:P2708" si="5449">"0"</f>
        <v>0</v>
      </c>
      <c r="L2708" s="1" t="str">
        <f t="shared" si="5449"/>
        <v>0</v>
      </c>
      <c r="M2708" s="1" t="str">
        <f t="shared" si="5449"/>
        <v>0</v>
      </c>
      <c r="N2708" s="1" t="str">
        <f t="shared" si="5449"/>
        <v>0</v>
      </c>
      <c r="O2708" s="1" t="str">
        <f t="shared" si="5449"/>
        <v>0</v>
      </c>
      <c r="P2708" s="1" t="str">
        <f t="shared" si="5449"/>
        <v>0</v>
      </c>
      <c r="Q2708" s="1" t="str">
        <f t="shared" si="5415"/>
        <v>0.0070</v>
      </c>
      <c r="R2708" s="1" t="s">
        <v>29</v>
      </c>
      <c r="S2708" s="1">
        <v>-0.0014</v>
      </c>
      <c r="T2708" s="1" t="str">
        <f t="shared" si="5416"/>
        <v>0</v>
      </c>
      <c r="U2708" s="1" t="str">
        <f t="shared" si="5447"/>
        <v>0.0056</v>
      </c>
    </row>
    <row r="2709" s="1" customFormat="1" spans="1:21">
      <c r="A2709" s="1" t="str">
        <f>"4601992049639"</f>
        <v>4601992049639</v>
      </c>
      <c r="B2709" s="1" t="s">
        <v>2733</v>
      </c>
      <c r="C2709" s="1" t="s">
        <v>24</v>
      </c>
      <c r="D2709" s="1" t="str">
        <f t="shared" si="5412"/>
        <v>2021</v>
      </c>
      <c r="E2709" s="1" t="str">
        <f>"24.18"</f>
        <v>24.18</v>
      </c>
      <c r="F2709" s="1" t="str">
        <f t="shared" ref="F2709:I2709" si="5450">"0"</f>
        <v>0</v>
      </c>
      <c r="G2709" s="1" t="str">
        <f t="shared" si="5450"/>
        <v>0</v>
      </c>
      <c r="H2709" s="1" t="str">
        <f t="shared" si="5450"/>
        <v>0</v>
      </c>
      <c r="I2709" s="1" t="str">
        <f t="shared" si="5450"/>
        <v>0</v>
      </c>
      <c r="J2709" s="1" t="str">
        <f>"2"</f>
        <v>2</v>
      </c>
      <c r="K2709" s="1" t="str">
        <f t="shared" ref="K2709:P2709" si="5451">"0"</f>
        <v>0</v>
      </c>
      <c r="L2709" s="1" t="str">
        <f t="shared" si="5451"/>
        <v>0</v>
      </c>
      <c r="M2709" s="1" t="str">
        <f t="shared" si="5451"/>
        <v>0</v>
      </c>
      <c r="N2709" s="1" t="str">
        <f t="shared" si="5451"/>
        <v>0</v>
      </c>
      <c r="O2709" s="1" t="str">
        <f t="shared" si="5451"/>
        <v>0</v>
      </c>
      <c r="P2709" s="1" t="str">
        <f t="shared" si="5451"/>
        <v>0</v>
      </c>
      <c r="Q2709" s="1" t="str">
        <f t="shared" si="5415"/>
        <v>0.0070</v>
      </c>
      <c r="R2709" s="1" t="s">
        <v>29</v>
      </c>
      <c r="S2709" s="1">
        <v>-0.0014</v>
      </c>
      <c r="T2709" s="1" t="str">
        <f t="shared" si="5416"/>
        <v>0</v>
      </c>
      <c r="U2709" s="1" t="str">
        <f t="shared" si="5447"/>
        <v>0.0056</v>
      </c>
    </row>
    <row r="2710" s="1" customFormat="1" spans="1:21">
      <c r="A2710" s="1" t="str">
        <f>"4601992049742"</f>
        <v>4601992049742</v>
      </c>
      <c r="B2710" s="1" t="s">
        <v>2734</v>
      </c>
      <c r="C2710" s="1" t="s">
        <v>24</v>
      </c>
      <c r="D2710" s="1" t="str">
        <f t="shared" si="5412"/>
        <v>2021</v>
      </c>
      <c r="E2710" s="1" t="str">
        <f>"12.25"</f>
        <v>12.25</v>
      </c>
      <c r="F2710" s="1" t="str">
        <f t="shared" ref="F2710:I2710" si="5452">"0"</f>
        <v>0</v>
      </c>
      <c r="G2710" s="1" t="str">
        <f t="shared" si="5452"/>
        <v>0</v>
      </c>
      <c r="H2710" s="1" t="str">
        <f t="shared" si="5452"/>
        <v>0</v>
      </c>
      <c r="I2710" s="1" t="str">
        <f t="shared" si="5452"/>
        <v>0</v>
      </c>
      <c r="J2710" s="1" t="str">
        <f>"1"</f>
        <v>1</v>
      </c>
      <c r="K2710" s="1" t="str">
        <f t="shared" ref="K2710:P2710" si="5453">"0"</f>
        <v>0</v>
      </c>
      <c r="L2710" s="1" t="str">
        <f t="shared" si="5453"/>
        <v>0</v>
      </c>
      <c r="M2710" s="1" t="str">
        <f t="shared" si="5453"/>
        <v>0</v>
      </c>
      <c r="N2710" s="1" t="str">
        <f t="shared" si="5453"/>
        <v>0</v>
      </c>
      <c r="O2710" s="1" t="str">
        <f t="shared" si="5453"/>
        <v>0</v>
      </c>
      <c r="P2710" s="1" t="str">
        <f t="shared" si="5453"/>
        <v>0</v>
      </c>
      <c r="Q2710" s="1" t="str">
        <f t="shared" si="5415"/>
        <v>0.0070</v>
      </c>
      <c r="R2710" s="1" t="s">
        <v>29</v>
      </c>
      <c r="S2710" s="1">
        <v>-0.0014</v>
      </c>
      <c r="T2710" s="1" t="str">
        <f t="shared" si="5416"/>
        <v>0</v>
      </c>
      <c r="U2710" s="1" t="str">
        <f t="shared" si="5447"/>
        <v>0.0056</v>
      </c>
    </row>
    <row r="2711" s="1" customFormat="1" spans="1:21">
      <c r="A2711" s="1" t="str">
        <f>"4601992049833"</f>
        <v>4601992049833</v>
      </c>
      <c r="B2711" s="1" t="s">
        <v>2735</v>
      </c>
      <c r="C2711" s="1" t="s">
        <v>24</v>
      </c>
      <c r="D2711" s="1" t="str">
        <f t="shared" si="5412"/>
        <v>2021</v>
      </c>
      <c r="E2711" s="1" t="str">
        <f t="shared" ref="E2711:G2711" si="5454">"0"</f>
        <v>0</v>
      </c>
      <c r="F2711" s="1" t="str">
        <f t="shared" si="5454"/>
        <v>0</v>
      </c>
      <c r="G2711" s="1" t="str">
        <f t="shared" si="5454"/>
        <v>0</v>
      </c>
      <c r="H2711" s="1" t="str">
        <f>"48.36"</f>
        <v>48.36</v>
      </c>
      <c r="I2711" s="1" t="str">
        <f t="shared" ref="I2711:P2711" si="5455">"0"</f>
        <v>0</v>
      </c>
      <c r="J2711" s="1" t="str">
        <f t="shared" si="5455"/>
        <v>0</v>
      </c>
      <c r="K2711" s="1" t="str">
        <f t="shared" si="5455"/>
        <v>0</v>
      </c>
      <c r="L2711" s="1" t="str">
        <f t="shared" si="5455"/>
        <v>0</v>
      </c>
      <c r="M2711" s="1" t="str">
        <f t="shared" si="5455"/>
        <v>0</v>
      </c>
      <c r="N2711" s="1" t="str">
        <f t="shared" si="5455"/>
        <v>0</v>
      </c>
      <c r="O2711" s="1" t="str">
        <f t="shared" si="5455"/>
        <v>0</v>
      </c>
      <c r="P2711" s="1" t="str">
        <f t="shared" si="5455"/>
        <v>0</v>
      </c>
      <c r="Q2711" s="1" t="str">
        <f t="shared" si="5415"/>
        <v>0.0070</v>
      </c>
      <c r="R2711" s="1" t="s">
        <v>25</v>
      </c>
      <c r="T2711" s="1" t="str">
        <f t="shared" si="5416"/>
        <v>0</v>
      </c>
      <c r="U2711" s="1" t="str">
        <f t="shared" ref="U2711:U2715" si="5456">"0.0070"</f>
        <v>0.0070</v>
      </c>
    </row>
    <row r="2712" s="1" customFormat="1" spans="1:21">
      <c r="A2712" s="1" t="str">
        <f>"4601992049815"</f>
        <v>4601992049815</v>
      </c>
      <c r="B2712" s="1" t="s">
        <v>2736</v>
      </c>
      <c r="C2712" s="1" t="s">
        <v>24</v>
      </c>
      <c r="D2712" s="1" t="str">
        <f t="shared" si="5412"/>
        <v>2021</v>
      </c>
      <c r="E2712" s="1" t="str">
        <f>"48.36"</f>
        <v>48.36</v>
      </c>
      <c r="F2712" s="1" t="str">
        <f t="shared" ref="F2712:I2712" si="5457">"0"</f>
        <v>0</v>
      </c>
      <c r="G2712" s="1" t="str">
        <f t="shared" si="5457"/>
        <v>0</v>
      </c>
      <c r="H2712" s="1" t="str">
        <f t="shared" si="5457"/>
        <v>0</v>
      </c>
      <c r="I2712" s="1" t="str">
        <f t="shared" si="5457"/>
        <v>0</v>
      </c>
      <c r="J2712" s="1" t="str">
        <f>"4"</f>
        <v>4</v>
      </c>
      <c r="K2712" s="1" t="str">
        <f t="shared" ref="K2712:P2712" si="5458">"0"</f>
        <v>0</v>
      </c>
      <c r="L2712" s="1" t="str">
        <f t="shared" si="5458"/>
        <v>0</v>
      </c>
      <c r="M2712" s="1" t="str">
        <f t="shared" si="5458"/>
        <v>0</v>
      </c>
      <c r="N2712" s="1" t="str">
        <f t="shared" si="5458"/>
        <v>0</v>
      </c>
      <c r="O2712" s="1" t="str">
        <f t="shared" si="5458"/>
        <v>0</v>
      </c>
      <c r="P2712" s="1" t="str">
        <f t="shared" si="5458"/>
        <v>0</v>
      </c>
      <c r="Q2712" s="1" t="str">
        <f t="shared" si="5415"/>
        <v>0.0070</v>
      </c>
      <c r="R2712" s="1" t="s">
        <v>29</v>
      </c>
      <c r="S2712" s="1">
        <v>-0.0014</v>
      </c>
      <c r="T2712" s="1" t="str">
        <f t="shared" si="5416"/>
        <v>0</v>
      </c>
      <c r="U2712" s="1" t="str">
        <f t="shared" ref="U2712:U2717" si="5459">"0.0056"</f>
        <v>0.0056</v>
      </c>
    </row>
    <row r="2713" s="1" customFormat="1" spans="1:21">
      <c r="A2713" s="1" t="str">
        <f>"4601992049827"</f>
        <v>4601992049827</v>
      </c>
      <c r="B2713" s="1" t="s">
        <v>2737</v>
      </c>
      <c r="C2713" s="1" t="s">
        <v>24</v>
      </c>
      <c r="D2713" s="1" t="str">
        <f t="shared" si="5412"/>
        <v>2021</v>
      </c>
      <c r="E2713" s="1" t="str">
        <f>"36.27"</f>
        <v>36.27</v>
      </c>
      <c r="F2713" s="1" t="str">
        <f t="shared" ref="F2713:I2713" si="5460">"0"</f>
        <v>0</v>
      </c>
      <c r="G2713" s="1" t="str">
        <f t="shared" si="5460"/>
        <v>0</v>
      </c>
      <c r="H2713" s="1" t="str">
        <f t="shared" si="5460"/>
        <v>0</v>
      </c>
      <c r="I2713" s="1" t="str">
        <f t="shared" si="5460"/>
        <v>0</v>
      </c>
      <c r="J2713" s="1" t="str">
        <f>"3"</f>
        <v>3</v>
      </c>
      <c r="K2713" s="1" t="str">
        <f t="shared" ref="K2713:P2713" si="5461">"0"</f>
        <v>0</v>
      </c>
      <c r="L2713" s="1" t="str">
        <f t="shared" si="5461"/>
        <v>0</v>
      </c>
      <c r="M2713" s="1" t="str">
        <f t="shared" si="5461"/>
        <v>0</v>
      </c>
      <c r="N2713" s="1" t="str">
        <f t="shared" si="5461"/>
        <v>0</v>
      </c>
      <c r="O2713" s="1" t="str">
        <f t="shared" si="5461"/>
        <v>0</v>
      </c>
      <c r="P2713" s="1" t="str">
        <f t="shared" si="5461"/>
        <v>0</v>
      </c>
      <c r="Q2713" s="1" t="str">
        <f t="shared" si="5415"/>
        <v>0.0070</v>
      </c>
      <c r="R2713" s="1" t="s">
        <v>29</v>
      </c>
      <c r="S2713" s="1">
        <v>-0.0014</v>
      </c>
      <c r="T2713" s="1" t="str">
        <f t="shared" si="5416"/>
        <v>0</v>
      </c>
      <c r="U2713" s="1" t="str">
        <f t="shared" si="5459"/>
        <v>0.0056</v>
      </c>
    </row>
    <row r="2714" s="1" customFormat="1" spans="1:21">
      <c r="A2714" s="1" t="str">
        <f>"4601992049855"</f>
        <v>4601992049855</v>
      </c>
      <c r="B2714" s="1" t="s">
        <v>2738</v>
      </c>
      <c r="C2714" s="1" t="s">
        <v>24</v>
      </c>
      <c r="D2714" s="1" t="str">
        <f t="shared" si="5412"/>
        <v>2021</v>
      </c>
      <c r="E2714" s="1" t="str">
        <f>"12.25"</f>
        <v>12.25</v>
      </c>
      <c r="F2714" s="1" t="str">
        <f t="shared" ref="F2714:I2714" si="5462">"0"</f>
        <v>0</v>
      </c>
      <c r="G2714" s="1" t="str">
        <f t="shared" si="5462"/>
        <v>0</v>
      </c>
      <c r="H2714" s="1" t="str">
        <f t="shared" si="5462"/>
        <v>0</v>
      </c>
      <c r="I2714" s="1" t="str">
        <f t="shared" si="5462"/>
        <v>0</v>
      </c>
      <c r="J2714" s="1" t="str">
        <f>"1"</f>
        <v>1</v>
      </c>
      <c r="K2714" s="1" t="str">
        <f t="shared" ref="K2714:P2714" si="5463">"0"</f>
        <v>0</v>
      </c>
      <c r="L2714" s="1" t="str">
        <f t="shared" si="5463"/>
        <v>0</v>
      </c>
      <c r="M2714" s="1" t="str">
        <f t="shared" si="5463"/>
        <v>0</v>
      </c>
      <c r="N2714" s="1" t="str">
        <f t="shared" si="5463"/>
        <v>0</v>
      </c>
      <c r="O2714" s="1" t="str">
        <f t="shared" si="5463"/>
        <v>0</v>
      </c>
      <c r="P2714" s="1" t="str">
        <f t="shared" si="5463"/>
        <v>0</v>
      </c>
      <c r="Q2714" s="1" t="str">
        <f t="shared" si="5415"/>
        <v>0.0070</v>
      </c>
      <c r="R2714" s="1" t="s">
        <v>25</v>
      </c>
      <c r="T2714" s="1" t="str">
        <f t="shared" si="5416"/>
        <v>0</v>
      </c>
      <c r="U2714" s="1" t="str">
        <f t="shared" si="5456"/>
        <v>0.0070</v>
      </c>
    </row>
    <row r="2715" s="1" customFormat="1" spans="1:21">
      <c r="A2715" s="1" t="str">
        <f>"4601992049879"</f>
        <v>4601992049879</v>
      </c>
      <c r="B2715" s="1" t="s">
        <v>2739</v>
      </c>
      <c r="C2715" s="1" t="s">
        <v>24</v>
      </c>
      <c r="D2715" s="1" t="str">
        <f t="shared" si="5412"/>
        <v>2021</v>
      </c>
      <c r="E2715" s="1" t="str">
        <f>"48.03"</f>
        <v>48.03</v>
      </c>
      <c r="F2715" s="1" t="str">
        <f t="shared" ref="F2715:I2715" si="5464">"0"</f>
        <v>0</v>
      </c>
      <c r="G2715" s="1" t="str">
        <f t="shared" si="5464"/>
        <v>0</v>
      </c>
      <c r="H2715" s="1" t="str">
        <f t="shared" si="5464"/>
        <v>0</v>
      </c>
      <c r="I2715" s="1" t="str">
        <f t="shared" si="5464"/>
        <v>0</v>
      </c>
      <c r="J2715" s="1" t="str">
        <f>"4"</f>
        <v>4</v>
      </c>
      <c r="K2715" s="1" t="str">
        <f t="shared" ref="K2715:P2715" si="5465">"0"</f>
        <v>0</v>
      </c>
      <c r="L2715" s="1" t="str">
        <f t="shared" si="5465"/>
        <v>0</v>
      </c>
      <c r="M2715" s="1" t="str">
        <f t="shared" si="5465"/>
        <v>0</v>
      </c>
      <c r="N2715" s="1" t="str">
        <f t="shared" si="5465"/>
        <v>0</v>
      </c>
      <c r="O2715" s="1" t="str">
        <f t="shared" si="5465"/>
        <v>0</v>
      </c>
      <c r="P2715" s="1" t="str">
        <f t="shared" si="5465"/>
        <v>0</v>
      </c>
      <c r="Q2715" s="1" t="str">
        <f t="shared" si="5415"/>
        <v>0.0070</v>
      </c>
      <c r="R2715" s="1" t="s">
        <v>25</v>
      </c>
      <c r="T2715" s="1" t="str">
        <f t="shared" si="5416"/>
        <v>0</v>
      </c>
      <c r="U2715" s="1" t="str">
        <f t="shared" si="5456"/>
        <v>0.0070</v>
      </c>
    </row>
    <row r="2716" s="1" customFormat="1" spans="1:21">
      <c r="A2716" s="1" t="str">
        <f>"4601992049896"</f>
        <v>4601992049896</v>
      </c>
      <c r="B2716" s="1" t="s">
        <v>2740</v>
      </c>
      <c r="C2716" s="1" t="s">
        <v>24</v>
      </c>
      <c r="D2716" s="1" t="str">
        <f t="shared" si="5412"/>
        <v>2021</v>
      </c>
      <c r="E2716" s="1" t="str">
        <f>"24.18"</f>
        <v>24.18</v>
      </c>
      <c r="F2716" s="1" t="str">
        <f t="shared" ref="F2716:I2716" si="5466">"0"</f>
        <v>0</v>
      </c>
      <c r="G2716" s="1" t="str">
        <f t="shared" si="5466"/>
        <v>0</v>
      </c>
      <c r="H2716" s="1" t="str">
        <f t="shared" si="5466"/>
        <v>0</v>
      </c>
      <c r="I2716" s="1" t="str">
        <f t="shared" si="5466"/>
        <v>0</v>
      </c>
      <c r="J2716" s="1" t="str">
        <f>"2"</f>
        <v>2</v>
      </c>
      <c r="K2716" s="1" t="str">
        <f t="shared" ref="K2716:P2716" si="5467">"0"</f>
        <v>0</v>
      </c>
      <c r="L2716" s="1" t="str">
        <f t="shared" si="5467"/>
        <v>0</v>
      </c>
      <c r="M2716" s="1" t="str">
        <f t="shared" si="5467"/>
        <v>0</v>
      </c>
      <c r="N2716" s="1" t="str">
        <f t="shared" si="5467"/>
        <v>0</v>
      </c>
      <c r="O2716" s="1" t="str">
        <f t="shared" si="5467"/>
        <v>0</v>
      </c>
      <c r="P2716" s="1" t="str">
        <f t="shared" si="5467"/>
        <v>0</v>
      </c>
      <c r="Q2716" s="1" t="str">
        <f t="shared" si="5415"/>
        <v>0.0070</v>
      </c>
      <c r="R2716" s="1" t="s">
        <v>29</v>
      </c>
      <c r="S2716" s="1">
        <v>-0.0014</v>
      </c>
      <c r="T2716" s="1" t="str">
        <f t="shared" si="5416"/>
        <v>0</v>
      </c>
      <c r="U2716" s="1" t="str">
        <f t="shared" si="5459"/>
        <v>0.0056</v>
      </c>
    </row>
    <row r="2717" s="1" customFormat="1" spans="1:21">
      <c r="A2717" s="1" t="str">
        <f>"4601992049869"</f>
        <v>4601992049869</v>
      </c>
      <c r="B2717" s="1" t="s">
        <v>2741</v>
      </c>
      <c r="C2717" s="1" t="s">
        <v>24</v>
      </c>
      <c r="D2717" s="1" t="str">
        <f t="shared" si="5412"/>
        <v>2021</v>
      </c>
      <c r="E2717" s="1" t="str">
        <f>"12.09"</f>
        <v>12.09</v>
      </c>
      <c r="F2717" s="1" t="str">
        <f t="shared" ref="F2717:I2717" si="5468">"0"</f>
        <v>0</v>
      </c>
      <c r="G2717" s="1" t="str">
        <f t="shared" si="5468"/>
        <v>0</v>
      </c>
      <c r="H2717" s="1" t="str">
        <f t="shared" si="5468"/>
        <v>0</v>
      </c>
      <c r="I2717" s="1" t="str">
        <f t="shared" si="5468"/>
        <v>0</v>
      </c>
      <c r="J2717" s="1" t="str">
        <f>"1"</f>
        <v>1</v>
      </c>
      <c r="K2717" s="1" t="str">
        <f t="shared" ref="K2717:P2717" si="5469">"0"</f>
        <v>0</v>
      </c>
      <c r="L2717" s="1" t="str">
        <f t="shared" si="5469"/>
        <v>0</v>
      </c>
      <c r="M2717" s="1" t="str">
        <f t="shared" si="5469"/>
        <v>0</v>
      </c>
      <c r="N2717" s="1" t="str">
        <f t="shared" si="5469"/>
        <v>0</v>
      </c>
      <c r="O2717" s="1" t="str">
        <f t="shared" si="5469"/>
        <v>0</v>
      </c>
      <c r="P2717" s="1" t="str">
        <f t="shared" si="5469"/>
        <v>0</v>
      </c>
      <c r="Q2717" s="1" t="str">
        <f t="shared" si="5415"/>
        <v>0.0070</v>
      </c>
      <c r="R2717" s="1" t="s">
        <v>29</v>
      </c>
      <c r="S2717" s="1">
        <v>-0.0014</v>
      </c>
      <c r="T2717" s="1" t="str">
        <f t="shared" si="5416"/>
        <v>0</v>
      </c>
      <c r="U2717" s="1" t="str">
        <f t="shared" si="5459"/>
        <v>0.0056</v>
      </c>
    </row>
    <row r="2718" s="1" customFormat="1" spans="1:21">
      <c r="A2718" s="1" t="str">
        <f>"4601992049928"</f>
        <v>4601992049928</v>
      </c>
      <c r="B2718" s="1" t="s">
        <v>2742</v>
      </c>
      <c r="C2718" s="1" t="s">
        <v>24</v>
      </c>
      <c r="D2718" s="1" t="str">
        <f t="shared" si="5412"/>
        <v>2021</v>
      </c>
      <c r="E2718" s="1" t="str">
        <f t="shared" ref="E2718:G2718" si="5470">"0"</f>
        <v>0</v>
      </c>
      <c r="F2718" s="1" t="str">
        <f t="shared" si="5470"/>
        <v>0</v>
      </c>
      <c r="G2718" s="1" t="str">
        <f t="shared" si="5470"/>
        <v>0</v>
      </c>
      <c r="H2718" s="1" t="str">
        <f>"24.50"</f>
        <v>24.50</v>
      </c>
      <c r="I2718" s="1" t="str">
        <f t="shared" ref="I2718:P2718" si="5471">"0"</f>
        <v>0</v>
      </c>
      <c r="J2718" s="1" t="str">
        <f t="shared" si="5471"/>
        <v>0</v>
      </c>
      <c r="K2718" s="1" t="str">
        <f t="shared" si="5471"/>
        <v>0</v>
      </c>
      <c r="L2718" s="1" t="str">
        <f t="shared" si="5471"/>
        <v>0</v>
      </c>
      <c r="M2718" s="1" t="str">
        <f t="shared" si="5471"/>
        <v>0</v>
      </c>
      <c r="N2718" s="1" t="str">
        <f t="shared" si="5471"/>
        <v>0</v>
      </c>
      <c r="O2718" s="1" t="str">
        <f t="shared" si="5471"/>
        <v>0</v>
      </c>
      <c r="P2718" s="1" t="str">
        <f t="shared" si="5471"/>
        <v>0</v>
      </c>
      <c r="Q2718" s="1" t="str">
        <f t="shared" si="5415"/>
        <v>0.0070</v>
      </c>
      <c r="R2718" s="1" t="s">
        <v>25</v>
      </c>
      <c r="T2718" s="1" t="str">
        <f t="shared" si="5416"/>
        <v>0</v>
      </c>
      <c r="U2718" s="1" t="str">
        <f t="shared" ref="U2718:U2722" si="5472">"0.0070"</f>
        <v>0.0070</v>
      </c>
    </row>
    <row r="2719" s="1" customFormat="1" spans="1:21">
      <c r="A2719" s="1" t="str">
        <f>"4601992049917"</f>
        <v>4601992049917</v>
      </c>
      <c r="B2719" s="1" t="s">
        <v>2743</v>
      </c>
      <c r="C2719" s="1" t="s">
        <v>24</v>
      </c>
      <c r="D2719" s="1" t="str">
        <f t="shared" si="5412"/>
        <v>2021</v>
      </c>
      <c r="E2719" s="1" t="str">
        <f t="shared" ref="E2719:P2719" si="5473">"0"</f>
        <v>0</v>
      </c>
      <c r="F2719" s="1" t="str">
        <f t="shared" si="5473"/>
        <v>0</v>
      </c>
      <c r="G2719" s="1" t="str">
        <f t="shared" si="5473"/>
        <v>0</v>
      </c>
      <c r="H2719" s="1" t="str">
        <f t="shared" si="5473"/>
        <v>0</v>
      </c>
      <c r="I2719" s="1" t="str">
        <f t="shared" si="5473"/>
        <v>0</v>
      </c>
      <c r="J2719" s="1" t="str">
        <f t="shared" si="5473"/>
        <v>0</v>
      </c>
      <c r="K2719" s="1" t="str">
        <f t="shared" si="5473"/>
        <v>0</v>
      </c>
      <c r="L2719" s="1" t="str">
        <f t="shared" si="5473"/>
        <v>0</v>
      </c>
      <c r="M2719" s="1" t="str">
        <f t="shared" si="5473"/>
        <v>0</v>
      </c>
      <c r="N2719" s="1" t="str">
        <f t="shared" si="5473"/>
        <v>0</v>
      </c>
      <c r="O2719" s="1" t="str">
        <f t="shared" si="5473"/>
        <v>0</v>
      </c>
      <c r="P2719" s="1" t="str">
        <f t="shared" si="5473"/>
        <v>0</v>
      </c>
      <c r="Q2719" s="1" t="str">
        <f t="shared" si="5415"/>
        <v>0.0070</v>
      </c>
      <c r="R2719" s="1" t="s">
        <v>25</v>
      </c>
      <c r="T2719" s="1" t="str">
        <f t="shared" si="5416"/>
        <v>0</v>
      </c>
      <c r="U2719" s="1" t="str">
        <f t="shared" si="5472"/>
        <v>0.0070</v>
      </c>
    </row>
    <row r="2720" s="1" customFormat="1" spans="1:21">
      <c r="A2720" s="1" t="str">
        <f>"4601992049913"</f>
        <v>4601992049913</v>
      </c>
      <c r="B2720" s="1" t="s">
        <v>2744</v>
      </c>
      <c r="C2720" s="1" t="s">
        <v>24</v>
      </c>
      <c r="D2720" s="1" t="str">
        <f t="shared" si="5412"/>
        <v>2021</v>
      </c>
      <c r="E2720" s="1" t="str">
        <f>"24.18"</f>
        <v>24.18</v>
      </c>
      <c r="F2720" s="1" t="str">
        <f t="shared" ref="F2720:I2720" si="5474">"0"</f>
        <v>0</v>
      </c>
      <c r="G2720" s="1" t="str">
        <f t="shared" si="5474"/>
        <v>0</v>
      </c>
      <c r="H2720" s="1" t="str">
        <f t="shared" si="5474"/>
        <v>0</v>
      </c>
      <c r="I2720" s="1" t="str">
        <f t="shared" si="5474"/>
        <v>0</v>
      </c>
      <c r="J2720" s="1" t="str">
        <f>"2"</f>
        <v>2</v>
      </c>
      <c r="K2720" s="1" t="str">
        <f t="shared" ref="K2720:P2720" si="5475">"0"</f>
        <v>0</v>
      </c>
      <c r="L2720" s="1" t="str">
        <f t="shared" si="5475"/>
        <v>0</v>
      </c>
      <c r="M2720" s="1" t="str">
        <f t="shared" si="5475"/>
        <v>0</v>
      </c>
      <c r="N2720" s="1" t="str">
        <f t="shared" si="5475"/>
        <v>0</v>
      </c>
      <c r="O2720" s="1" t="str">
        <f t="shared" si="5475"/>
        <v>0</v>
      </c>
      <c r="P2720" s="1" t="str">
        <f t="shared" si="5475"/>
        <v>0</v>
      </c>
      <c r="Q2720" s="1" t="str">
        <f t="shared" si="5415"/>
        <v>0.0070</v>
      </c>
      <c r="R2720" s="1" t="s">
        <v>29</v>
      </c>
      <c r="S2720" s="1">
        <v>-0.0014</v>
      </c>
      <c r="T2720" s="1" t="str">
        <f t="shared" si="5416"/>
        <v>0</v>
      </c>
      <c r="U2720" s="1" t="str">
        <f>"0.0056"</f>
        <v>0.0056</v>
      </c>
    </row>
    <row r="2721" s="1" customFormat="1" spans="1:21">
      <c r="A2721" s="1" t="str">
        <f>"4601992050006"</f>
        <v>4601992050006</v>
      </c>
      <c r="B2721" s="1" t="s">
        <v>2745</v>
      </c>
      <c r="C2721" s="1" t="s">
        <v>24</v>
      </c>
      <c r="D2721" s="1" t="str">
        <f t="shared" si="5412"/>
        <v>2021</v>
      </c>
      <c r="E2721" s="1" t="str">
        <f t="shared" ref="E2721:P2721" si="5476">"0"</f>
        <v>0</v>
      </c>
      <c r="F2721" s="1" t="str">
        <f t="shared" si="5476"/>
        <v>0</v>
      </c>
      <c r="G2721" s="1" t="str">
        <f t="shared" si="5476"/>
        <v>0</v>
      </c>
      <c r="H2721" s="1" t="str">
        <f t="shared" si="5476"/>
        <v>0</v>
      </c>
      <c r="I2721" s="1" t="str">
        <f t="shared" si="5476"/>
        <v>0</v>
      </c>
      <c r="J2721" s="1" t="str">
        <f t="shared" si="5476"/>
        <v>0</v>
      </c>
      <c r="K2721" s="1" t="str">
        <f t="shared" si="5476"/>
        <v>0</v>
      </c>
      <c r="L2721" s="1" t="str">
        <f t="shared" si="5476"/>
        <v>0</v>
      </c>
      <c r="M2721" s="1" t="str">
        <f t="shared" si="5476"/>
        <v>0</v>
      </c>
      <c r="N2721" s="1" t="str">
        <f t="shared" si="5476"/>
        <v>0</v>
      </c>
      <c r="O2721" s="1" t="str">
        <f t="shared" si="5476"/>
        <v>0</v>
      </c>
      <c r="P2721" s="1" t="str">
        <f t="shared" si="5476"/>
        <v>0</v>
      </c>
      <c r="Q2721" s="1" t="str">
        <f t="shared" si="5415"/>
        <v>0.0070</v>
      </c>
      <c r="R2721" s="1" t="s">
        <v>25</v>
      </c>
      <c r="T2721" s="1" t="str">
        <f t="shared" si="5416"/>
        <v>0</v>
      </c>
      <c r="U2721" s="1" t="str">
        <f t="shared" si="5472"/>
        <v>0.0070</v>
      </c>
    </row>
    <row r="2722" s="1" customFormat="1" spans="1:21">
      <c r="A2722" s="1" t="str">
        <f>"4601992050034"</f>
        <v>4601992050034</v>
      </c>
      <c r="B2722" s="1" t="s">
        <v>2746</v>
      </c>
      <c r="C2722" s="1" t="s">
        <v>24</v>
      </c>
      <c r="D2722" s="1" t="str">
        <f t="shared" si="5412"/>
        <v>2021</v>
      </c>
      <c r="E2722" s="1" t="str">
        <f t="shared" ref="E2722:P2722" si="5477">"0"</f>
        <v>0</v>
      </c>
      <c r="F2722" s="1" t="str">
        <f t="shared" si="5477"/>
        <v>0</v>
      </c>
      <c r="G2722" s="1" t="str">
        <f t="shared" si="5477"/>
        <v>0</v>
      </c>
      <c r="H2722" s="1" t="str">
        <f t="shared" si="5477"/>
        <v>0</v>
      </c>
      <c r="I2722" s="1" t="str">
        <f t="shared" si="5477"/>
        <v>0</v>
      </c>
      <c r="J2722" s="1" t="str">
        <f t="shared" si="5477"/>
        <v>0</v>
      </c>
      <c r="K2722" s="1" t="str">
        <f t="shared" si="5477"/>
        <v>0</v>
      </c>
      <c r="L2722" s="1" t="str">
        <f t="shared" si="5477"/>
        <v>0</v>
      </c>
      <c r="M2722" s="1" t="str">
        <f t="shared" si="5477"/>
        <v>0</v>
      </c>
      <c r="N2722" s="1" t="str">
        <f t="shared" si="5477"/>
        <v>0</v>
      </c>
      <c r="O2722" s="1" t="str">
        <f t="shared" si="5477"/>
        <v>0</v>
      </c>
      <c r="P2722" s="1" t="str">
        <f t="shared" si="5477"/>
        <v>0</v>
      </c>
      <c r="Q2722" s="1" t="str">
        <f t="shared" si="5415"/>
        <v>0.0070</v>
      </c>
      <c r="R2722" s="1" t="s">
        <v>25</v>
      </c>
      <c r="T2722" s="1" t="str">
        <f t="shared" si="5416"/>
        <v>0</v>
      </c>
      <c r="U2722" s="1" t="str">
        <f t="shared" si="5472"/>
        <v>0.0070</v>
      </c>
    </row>
    <row r="2723" s="1" customFormat="1" spans="1:21">
      <c r="A2723" s="1" t="str">
        <f>"4601992049931"</f>
        <v>4601992049931</v>
      </c>
      <c r="B2723" s="1" t="s">
        <v>2747</v>
      </c>
      <c r="C2723" s="1" t="s">
        <v>24</v>
      </c>
      <c r="D2723" s="1" t="str">
        <f t="shared" si="5412"/>
        <v>2021</v>
      </c>
      <c r="E2723" s="1" t="str">
        <f>"12.09"</f>
        <v>12.09</v>
      </c>
      <c r="F2723" s="1" t="str">
        <f t="shared" ref="F2723:I2723" si="5478">"0"</f>
        <v>0</v>
      </c>
      <c r="G2723" s="1" t="str">
        <f t="shared" si="5478"/>
        <v>0</v>
      </c>
      <c r="H2723" s="1" t="str">
        <f t="shared" si="5478"/>
        <v>0</v>
      </c>
      <c r="I2723" s="1" t="str">
        <f t="shared" si="5478"/>
        <v>0</v>
      </c>
      <c r="J2723" s="1" t="str">
        <f>"1"</f>
        <v>1</v>
      </c>
      <c r="K2723" s="1" t="str">
        <f t="shared" ref="K2723:P2723" si="5479">"0"</f>
        <v>0</v>
      </c>
      <c r="L2723" s="1" t="str">
        <f t="shared" si="5479"/>
        <v>0</v>
      </c>
      <c r="M2723" s="1" t="str">
        <f t="shared" si="5479"/>
        <v>0</v>
      </c>
      <c r="N2723" s="1" t="str">
        <f t="shared" si="5479"/>
        <v>0</v>
      </c>
      <c r="O2723" s="1" t="str">
        <f t="shared" si="5479"/>
        <v>0</v>
      </c>
      <c r="P2723" s="1" t="str">
        <f t="shared" si="5479"/>
        <v>0</v>
      </c>
      <c r="Q2723" s="1" t="str">
        <f t="shared" si="5415"/>
        <v>0.0070</v>
      </c>
      <c r="R2723" s="1" t="s">
        <v>29</v>
      </c>
      <c r="S2723" s="1">
        <v>-0.0014</v>
      </c>
      <c r="T2723" s="1" t="str">
        <f t="shared" si="5416"/>
        <v>0</v>
      </c>
      <c r="U2723" s="1" t="str">
        <f t="shared" ref="U2723:U2734" si="5480">"0.0056"</f>
        <v>0.0056</v>
      </c>
    </row>
    <row r="2724" s="1" customFormat="1" spans="1:21">
      <c r="A2724" s="1" t="str">
        <f>"4601992050100"</f>
        <v>4601992050100</v>
      </c>
      <c r="B2724" s="1" t="s">
        <v>2748</v>
      </c>
      <c r="C2724" s="1" t="s">
        <v>24</v>
      </c>
      <c r="D2724" s="1" t="str">
        <f t="shared" si="5412"/>
        <v>2021</v>
      </c>
      <c r="E2724" s="1" t="str">
        <f t="shared" ref="E2724:P2724" si="5481">"0"</f>
        <v>0</v>
      </c>
      <c r="F2724" s="1" t="str">
        <f t="shared" si="5481"/>
        <v>0</v>
      </c>
      <c r="G2724" s="1" t="str">
        <f t="shared" si="5481"/>
        <v>0</v>
      </c>
      <c r="H2724" s="1" t="str">
        <f t="shared" si="5481"/>
        <v>0</v>
      </c>
      <c r="I2724" s="1" t="str">
        <f t="shared" si="5481"/>
        <v>0</v>
      </c>
      <c r="J2724" s="1" t="str">
        <f t="shared" si="5481"/>
        <v>0</v>
      </c>
      <c r="K2724" s="1" t="str">
        <f t="shared" si="5481"/>
        <v>0</v>
      </c>
      <c r="L2724" s="1" t="str">
        <f t="shared" si="5481"/>
        <v>0</v>
      </c>
      <c r="M2724" s="1" t="str">
        <f t="shared" si="5481"/>
        <v>0</v>
      </c>
      <c r="N2724" s="1" t="str">
        <f t="shared" si="5481"/>
        <v>0</v>
      </c>
      <c r="O2724" s="1" t="str">
        <f t="shared" si="5481"/>
        <v>0</v>
      </c>
      <c r="P2724" s="1" t="str">
        <f t="shared" si="5481"/>
        <v>0</v>
      </c>
      <c r="Q2724" s="1" t="str">
        <f t="shared" si="5415"/>
        <v>0.0070</v>
      </c>
      <c r="R2724" s="1" t="s">
        <v>25</v>
      </c>
      <c r="T2724" s="1" t="str">
        <f t="shared" si="5416"/>
        <v>0</v>
      </c>
      <c r="U2724" s="1" t="str">
        <f>"0.0070"</f>
        <v>0.0070</v>
      </c>
    </row>
    <row r="2725" s="1" customFormat="1" spans="1:21">
      <c r="A2725" s="1" t="str">
        <f>"4601992050138"</f>
        <v>4601992050138</v>
      </c>
      <c r="B2725" s="1" t="s">
        <v>2749</v>
      </c>
      <c r="C2725" s="1" t="s">
        <v>24</v>
      </c>
      <c r="D2725" s="1" t="str">
        <f t="shared" si="5412"/>
        <v>2021</v>
      </c>
      <c r="E2725" s="1" t="str">
        <f t="shared" ref="E2725:P2725" si="5482">"0"</f>
        <v>0</v>
      </c>
      <c r="F2725" s="1" t="str">
        <f t="shared" si="5482"/>
        <v>0</v>
      </c>
      <c r="G2725" s="1" t="str">
        <f t="shared" si="5482"/>
        <v>0</v>
      </c>
      <c r="H2725" s="1" t="str">
        <f t="shared" si="5482"/>
        <v>0</v>
      </c>
      <c r="I2725" s="1" t="str">
        <f t="shared" si="5482"/>
        <v>0</v>
      </c>
      <c r="J2725" s="1" t="str">
        <f t="shared" si="5482"/>
        <v>0</v>
      </c>
      <c r="K2725" s="1" t="str">
        <f t="shared" si="5482"/>
        <v>0</v>
      </c>
      <c r="L2725" s="1" t="str">
        <f t="shared" si="5482"/>
        <v>0</v>
      </c>
      <c r="M2725" s="1" t="str">
        <f t="shared" si="5482"/>
        <v>0</v>
      </c>
      <c r="N2725" s="1" t="str">
        <f t="shared" si="5482"/>
        <v>0</v>
      </c>
      <c r="O2725" s="1" t="str">
        <f t="shared" si="5482"/>
        <v>0</v>
      </c>
      <c r="P2725" s="1" t="str">
        <f t="shared" si="5482"/>
        <v>0</v>
      </c>
      <c r="Q2725" s="1" t="str">
        <f t="shared" si="5415"/>
        <v>0.0070</v>
      </c>
      <c r="R2725" s="1" t="s">
        <v>25</v>
      </c>
      <c r="T2725" s="1" t="str">
        <f t="shared" si="5416"/>
        <v>0</v>
      </c>
      <c r="U2725" s="1" t="str">
        <f>"0.0070"</f>
        <v>0.0070</v>
      </c>
    </row>
    <row r="2726" s="1" customFormat="1" spans="1:21">
      <c r="A2726" s="1" t="str">
        <f>"4601992049940"</f>
        <v>4601992049940</v>
      </c>
      <c r="B2726" s="1" t="s">
        <v>2750</v>
      </c>
      <c r="C2726" s="1" t="s">
        <v>24</v>
      </c>
      <c r="D2726" s="1" t="str">
        <f t="shared" si="5412"/>
        <v>2021</v>
      </c>
      <c r="E2726" s="1" t="str">
        <f>"24.18"</f>
        <v>24.18</v>
      </c>
      <c r="F2726" s="1" t="str">
        <f t="shared" ref="F2726:I2726" si="5483">"0"</f>
        <v>0</v>
      </c>
      <c r="G2726" s="1" t="str">
        <f t="shared" si="5483"/>
        <v>0</v>
      </c>
      <c r="H2726" s="1" t="str">
        <f t="shared" si="5483"/>
        <v>0</v>
      </c>
      <c r="I2726" s="1" t="str">
        <f t="shared" si="5483"/>
        <v>0</v>
      </c>
      <c r="J2726" s="1" t="str">
        <f>"2"</f>
        <v>2</v>
      </c>
      <c r="K2726" s="1" t="str">
        <f t="shared" ref="K2726:P2726" si="5484">"0"</f>
        <v>0</v>
      </c>
      <c r="L2726" s="1" t="str">
        <f t="shared" si="5484"/>
        <v>0</v>
      </c>
      <c r="M2726" s="1" t="str">
        <f t="shared" si="5484"/>
        <v>0</v>
      </c>
      <c r="N2726" s="1" t="str">
        <f t="shared" si="5484"/>
        <v>0</v>
      </c>
      <c r="O2726" s="1" t="str">
        <f t="shared" si="5484"/>
        <v>0</v>
      </c>
      <c r="P2726" s="1" t="str">
        <f t="shared" si="5484"/>
        <v>0</v>
      </c>
      <c r="Q2726" s="1" t="str">
        <f t="shared" si="5415"/>
        <v>0.0070</v>
      </c>
      <c r="R2726" s="1" t="s">
        <v>29</v>
      </c>
      <c r="S2726" s="1">
        <v>-0.0014</v>
      </c>
      <c r="T2726" s="1" t="str">
        <f t="shared" si="5416"/>
        <v>0</v>
      </c>
      <c r="U2726" s="1" t="str">
        <f t="shared" si="5480"/>
        <v>0.0056</v>
      </c>
    </row>
    <row r="2727" s="1" customFormat="1" spans="1:21">
      <c r="A2727" s="1" t="str">
        <f>"4601992050187"</f>
        <v>4601992050187</v>
      </c>
      <c r="B2727" s="1" t="s">
        <v>2751</v>
      </c>
      <c r="C2727" s="1" t="s">
        <v>24</v>
      </c>
      <c r="D2727" s="1" t="str">
        <f t="shared" si="5412"/>
        <v>2021</v>
      </c>
      <c r="E2727" s="1" t="str">
        <f>"96.72"</f>
        <v>96.72</v>
      </c>
      <c r="F2727" s="1" t="str">
        <f t="shared" ref="F2727:I2727" si="5485">"0"</f>
        <v>0</v>
      </c>
      <c r="G2727" s="1" t="str">
        <f t="shared" si="5485"/>
        <v>0</v>
      </c>
      <c r="H2727" s="1" t="str">
        <f t="shared" si="5485"/>
        <v>0</v>
      </c>
      <c r="I2727" s="1" t="str">
        <f t="shared" si="5485"/>
        <v>0</v>
      </c>
      <c r="J2727" s="1" t="str">
        <f>"7"</f>
        <v>7</v>
      </c>
      <c r="K2727" s="1" t="str">
        <f t="shared" ref="K2727:P2727" si="5486">"0"</f>
        <v>0</v>
      </c>
      <c r="L2727" s="1" t="str">
        <f t="shared" si="5486"/>
        <v>0</v>
      </c>
      <c r="M2727" s="1" t="str">
        <f t="shared" si="5486"/>
        <v>0</v>
      </c>
      <c r="N2727" s="1" t="str">
        <f t="shared" si="5486"/>
        <v>0</v>
      </c>
      <c r="O2727" s="1" t="str">
        <f t="shared" si="5486"/>
        <v>0</v>
      </c>
      <c r="P2727" s="1" t="str">
        <f t="shared" si="5486"/>
        <v>0</v>
      </c>
      <c r="Q2727" s="1" t="str">
        <f t="shared" si="5415"/>
        <v>0.0070</v>
      </c>
      <c r="R2727" s="1" t="s">
        <v>29</v>
      </c>
      <c r="S2727" s="1">
        <v>-0.0014</v>
      </c>
      <c r="T2727" s="1" t="str">
        <f t="shared" si="5416"/>
        <v>0</v>
      </c>
      <c r="U2727" s="1" t="str">
        <f t="shared" si="5480"/>
        <v>0.0056</v>
      </c>
    </row>
    <row r="2728" s="1" customFormat="1" spans="1:21">
      <c r="A2728" s="1" t="str">
        <f>"4601992050279"</f>
        <v>4601992050279</v>
      </c>
      <c r="B2728" s="1" t="s">
        <v>2752</v>
      </c>
      <c r="C2728" s="1" t="s">
        <v>24</v>
      </c>
      <c r="D2728" s="1" t="str">
        <f t="shared" si="5412"/>
        <v>2021</v>
      </c>
      <c r="E2728" s="1" t="str">
        <f>"12.09"</f>
        <v>12.09</v>
      </c>
      <c r="F2728" s="1" t="str">
        <f t="shared" ref="F2728:I2728" si="5487">"0"</f>
        <v>0</v>
      </c>
      <c r="G2728" s="1" t="str">
        <f t="shared" si="5487"/>
        <v>0</v>
      </c>
      <c r="H2728" s="1" t="str">
        <f t="shared" si="5487"/>
        <v>0</v>
      </c>
      <c r="I2728" s="1" t="str">
        <f t="shared" si="5487"/>
        <v>0</v>
      </c>
      <c r="J2728" s="1" t="str">
        <f>"2"</f>
        <v>2</v>
      </c>
      <c r="K2728" s="1" t="str">
        <f t="shared" ref="K2728:P2728" si="5488">"0"</f>
        <v>0</v>
      </c>
      <c r="L2728" s="1" t="str">
        <f t="shared" si="5488"/>
        <v>0</v>
      </c>
      <c r="M2728" s="1" t="str">
        <f t="shared" si="5488"/>
        <v>0</v>
      </c>
      <c r="N2728" s="1" t="str">
        <f t="shared" si="5488"/>
        <v>0</v>
      </c>
      <c r="O2728" s="1" t="str">
        <f t="shared" si="5488"/>
        <v>0</v>
      </c>
      <c r="P2728" s="1" t="str">
        <f t="shared" si="5488"/>
        <v>0</v>
      </c>
      <c r="Q2728" s="1" t="str">
        <f t="shared" si="5415"/>
        <v>0.0070</v>
      </c>
      <c r="R2728" s="1" t="s">
        <v>29</v>
      </c>
      <c r="S2728" s="1">
        <v>-0.0014</v>
      </c>
      <c r="T2728" s="1" t="str">
        <f t="shared" si="5416"/>
        <v>0</v>
      </c>
      <c r="U2728" s="1" t="str">
        <f t="shared" si="5480"/>
        <v>0.0056</v>
      </c>
    </row>
    <row r="2729" s="1" customFormat="1" spans="1:21">
      <c r="A2729" s="1" t="str">
        <f>"4601992050201"</f>
        <v>4601992050201</v>
      </c>
      <c r="B2729" s="1" t="s">
        <v>2753</v>
      </c>
      <c r="C2729" s="1" t="s">
        <v>24</v>
      </c>
      <c r="D2729" s="1" t="str">
        <f t="shared" si="5412"/>
        <v>2021</v>
      </c>
      <c r="E2729" s="1" t="str">
        <f>"60.45"</f>
        <v>60.45</v>
      </c>
      <c r="F2729" s="1" t="str">
        <f t="shared" ref="F2729:I2729" si="5489">"0"</f>
        <v>0</v>
      </c>
      <c r="G2729" s="1" t="str">
        <f t="shared" si="5489"/>
        <v>0</v>
      </c>
      <c r="H2729" s="1" t="str">
        <f t="shared" si="5489"/>
        <v>0</v>
      </c>
      <c r="I2729" s="1" t="str">
        <f t="shared" si="5489"/>
        <v>0</v>
      </c>
      <c r="J2729" s="1" t="str">
        <f>"6"</f>
        <v>6</v>
      </c>
      <c r="K2729" s="1" t="str">
        <f t="shared" ref="K2729:P2729" si="5490">"0"</f>
        <v>0</v>
      </c>
      <c r="L2729" s="1" t="str">
        <f t="shared" si="5490"/>
        <v>0</v>
      </c>
      <c r="M2729" s="1" t="str">
        <f t="shared" si="5490"/>
        <v>0</v>
      </c>
      <c r="N2729" s="1" t="str">
        <f t="shared" si="5490"/>
        <v>0</v>
      </c>
      <c r="O2729" s="1" t="str">
        <f t="shared" si="5490"/>
        <v>0</v>
      </c>
      <c r="P2729" s="1" t="str">
        <f t="shared" si="5490"/>
        <v>0</v>
      </c>
      <c r="Q2729" s="1" t="str">
        <f t="shared" si="5415"/>
        <v>0.0070</v>
      </c>
      <c r="R2729" s="1" t="s">
        <v>29</v>
      </c>
      <c r="S2729" s="1">
        <v>-0.0014</v>
      </c>
      <c r="T2729" s="1" t="str">
        <f t="shared" si="5416"/>
        <v>0</v>
      </c>
      <c r="U2729" s="1" t="str">
        <f t="shared" si="5480"/>
        <v>0.0056</v>
      </c>
    </row>
    <row r="2730" s="1" customFormat="1" spans="1:21">
      <c r="A2730" s="1" t="str">
        <f>"4601992050216"</f>
        <v>4601992050216</v>
      </c>
      <c r="B2730" s="1" t="s">
        <v>2754</v>
      </c>
      <c r="C2730" s="1" t="s">
        <v>24</v>
      </c>
      <c r="D2730" s="1" t="str">
        <f t="shared" si="5412"/>
        <v>2021</v>
      </c>
      <c r="E2730" s="1" t="str">
        <f>"299.45"</f>
        <v>299.45</v>
      </c>
      <c r="F2730" s="1" t="str">
        <f t="shared" ref="F2730:I2730" si="5491">"0"</f>
        <v>0</v>
      </c>
      <c r="G2730" s="1" t="str">
        <f t="shared" si="5491"/>
        <v>0</v>
      </c>
      <c r="H2730" s="1" t="str">
        <f t="shared" si="5491"/>
        <v>0</v>
      </c>
      <c r="I2730" s="1" t="str">
        <f t="shared" si="5491"/>
        <v>0</v>
      </c>
      <c r="J2730" s="1" t="str">
        <f>"5"</f>
        <v>5</v>
      </c>
      <c r="K2730" s="1" t="str">
        <f t="shared" ref="K2730:P2730" si="5492">"0"</f>
        <v>0</v>
      </c>
      <c r="L2730" s="1" t="str">
        <f t="shared" si="5492"/>
        <v>0</v>
      </c>
      <c r="M2730" s="1" t="str">
        <f t="shared" si="5492"/>
        <v>0</v>
      </c>
      <c r="N2730" s="1" t="str">
        <f t="shared" si="5492"/>
        <v>0</v>
      </c>
      <c r="O2730" s="1" t="str">
        <f t="shared" si="5492"/>
        <v>0</v>
      </c>
      <c r="P2730" s="1" t="str">
        <f t="shared" si="5492"/>
        <v>0</v>
      </c>
      <c r="Q2730" s="1" t="str">
        <f t="shared" si="5415"/>
        <v>0.0070</v>
      </c>
      <c r="R2730" s="1" t="s">
        <v>29</v>
      </c>
      <c r="S2730" s="1">
        <v>-0.0014</v>
      </c>
      <c r="T2730" s="1" t="str">
        <f t="shared" si="5416"/>
        <v>0</v>
      </c>
      <c r="U2730" s="1" t="str">
        <f t="shared" si="5480"/>
        <v>0.0056</v>
      </c>
    </row>
    <row r="2731" s="1" customFormat="1" spans="1:21">
      <c r="A2731" s="1" t="str">
        <f>"4601992050280"</f>
        <v>4601992050280</v>
      </c>
      <c r="B2731" s="1" t="s">
        <v>2755</v>
      </c>
      <c r="C2731" s="1" t="s">
        <v>24</v>
      </c>
      <c r="D2731" s="1" t="str">
        <f t="shared" si="5412"/>
        <v>2021</v>
      </c>
      <c r="E2731" s="1" t="str">
        <f>"11.98"</f>
        <v>11.98</v>
      </c>
      <c r="F2731" s="1" t="str">
        <f t="shared" ref="F2731:I2731" si="5493">"0"</f>
        <v>0</v>
      </c>
      <c r="G2731" s="1" t="str">
        <f t="shared" si="5493"/>
        <v>0</v>
      </c>
      <c r="H2731" s="1" t="str">
        <f t="shared" si="5493"/>
        <v>0</v>
      </c>
      <c r="I2731" s="1" t="str">
        <f t="shared" si="5493"/>
        <v>0</v>
      </c>
      <c r="J2731" s="1" t="str">
        <f>"1"</f>
        <v>1</v>
      </c>
      <c r="K2731" s="1" t="str">
        <f t="shared" ref="K2731:P2731" si="5494">"0"</f>
        <v>0</v>
      </c>
      <c r="L2731" s="1" t="str">
        <f t="shared" si="5494"/>
        <v>0</v>
      </c>
      <c r="M2731" s="1" t="str">
        <f t="shared" si="5494"/>
        <v>0</v>
      </c>
      <c r="N2731" s="1" t="str">
        <f t="shared" si="5494"/>
        <v>0</v>
      </c>
      <c r="O2731" s="1" t="str">
        <f t="shared" si="5494"/>
        <v>0</v>
      </c>
      <c r="P2731" s="1" t="str">
        <f t="shared" si="5494"/>
        <v>0</v>
      </c>
      <c r="Q2731" s="1" t="str">
        <f t="shared" si="5415"/>
        <v>0.0070</v>
      </c>
      <c r="R2731" s="1" t="s">
        <v>29</v>
      </c>
      <c r="S2731" s="1">
        <v>-0.0014</v>
      </c>
      <c r="T2731" s="1" t="str">
        <f t="shared" si="5416"/>
        <v>0</v>
      </c>
      <c r="U2731" s="1" t="str">
        <f t="shared" si="5480"/>
        <v>0.0056</v>
      </c>
    </row>
    <row r="2732" s="1" customFormat="1" spans="1:21">
      <c r="A2732" s="1" t="str">
        <f>"4601992050374"</f>
        <v>4601992050374</v>
      </c>
      <c r="B2732" s="1" t="s">
        <v>2756</v>
      </c>
      <c r="C2732" s="1" t="s">
        <v>24</v>
      </c>
      <c r="D2732" s="1" t="str">
        <f t="shared" si="5412"/>
        <v>2021</v>
      </c>
      <c r="E2732" s="1" t="str">
        <f>"82.09"</f>
        <v>82.09</v>
      </c>
      <c r="F2732" s="1" t="str">
        <f t="shared" ref="F2732:I2732" si="5495">"0"</f>
        <v>0</v>
      </c>
      <c r="G2732" s="1" t="str">
        <f t="shared" si="5495"/>
        <v>0</v>
      </c>
      <c r="H2732" s="1" t="str">
        <f t="shared" si="5495"/>
        <v>0</v>
      </c>
      <c r="I2732" s="1" t="str">
        <f t="shared" si="5495"/>
        <v>0</v>
      </c>
      <c r="J2732" s="1" t="str">
        <f>"7"</f>
        <v>7</v>
      </c>
      <c r="K2732" s="1" t="str">
        <f t="shared" ref="K2732:P2732" si="5496">"0"</f>
        <v>0</v>
      </c>
      <c r="L2732" s="1" t="str">
        <f t="shared" si="5496"/>
        <v>0</v>
      </c>
      <c r="M2732" s="1" t="str">
        <f t="shared" si="5496"/>
        <v>0</v>
      </c>
      <c r="N2732" s="1" t="str">
        <f t="shared" si="5496"/>
        <v>0</v>
      </c>
      <c r="O2732" s="1" t="str">
        <f t="shared" si="5496"/>
        <v>0</v>
      </c>
      <c r="P2732" s="1" t="str">
        <f t="shared" si="5496"/>
        <v>0</v>
      </c>
      <c r="Q2732" s="1" t="str">
        <f t="shared" si="5415"/>
        <v>0.0070</v>
      </c>
      <c r="R2732" s="1" t="s">
        <v>29</v>
      </c>
      <c r="S2732" s="1">
        <v>-0.0014</v>
      </c>
      <c r="T2732" s="1" t="str">
        <f t="shared" si="5416"/>
        <v>0</v>
      </c>
      <c r="U2732" s="1" t="str">
        <f t="shared" si="5480"/>
        <v>0.0056</v>
      </c>
    </row>
    <row r="2733" s="1" customFormat="1" spans="1:21">
      <c r="A2733" s="1" t="str">
        <f>"4601992050411"</f>
        <v>4601992050411</v>
      </c>
      <c r="B2733" s="1" t="s">
        <v>2757</v>
      </c>
      <c r="C2733" s="1" t="s">
        <v>24</v>
      </c>
      <c r="D2733" s="1" t="str">
        <f t="shared" si="5412"/>
        <v>2021</v>
      </c>
      <c r="E2733" s="1" t="str">
        <f>"24.18"</f>
        <v>24.18</v>
      </c>
      <c r="F2733" s="1" t="str">
        <f t="shared" ref="F2733:I2733" si="5497">"0"</f>
        <v>0</v>
      </c>
      <c r="G2733" s="1" t="str">
        <f t="shared" si="5497"/>
        <v>0</v>
      </c>
      <c r="H2733" s="1" t="str">
        <f t="shared" si="5497"/>
        <v>0</v>
      </c>
      <c r="I2733" s="1" t="str">
        <f t="shared" si="5497"/>
        <v>0</v>
      </c>
      <c r="J2733" s="1" t="str">
        <f>"2"</f>
        <v>2</v>
      </c>
      <c r="K2733" s="1" t="str">
        <f t="shared" ref="K2733:P2733" si="5498">"0"</f>
        <v>0</v>
      </c>
      <c r="L2733" s="1" t="str">
        <f t="shared" si="5498"/>
        <v>0</v>
      </c>
      <c r="M2733" s="1" t="str">
        <f t="shared" si="5498"/>
        <v>0</v>
      </c>
      <c r="N2733" s="1" t="str">
        <f t="shared" si="5498"/>
        <v>0</v>
      </c>
      <c r="O2733" s="1" t="str">
        <f t="shared" si="5498"/>
        <v>0</v>
      </c>
      <c r="P2733" s="1" t="str">
        <f t="shared" si="5498"/>
        <v>0</v>
      </c>
      <c r="Q2733" s="1" t="str">
        <f t="shared" si="5415"/>
        <v>0.0070</v>
      </c>
      <c r="R2733" s="1" t="s">
        <v>29</v>
      </c>
      <c r="S2733" s="1">
        <v>-0.0014</v>
      </c>
      <c r="T2733" s="1" t="str">
        <f t="shared" si="5416"/>
        <v>0</v>
      </c>
      <c r="U2733" s="1" t="str">
        <f t="shared" si="5480"/>
        <v>0.0056</v>
      </c>
    </row>
    <row r="2734" s="1" customFormat="1" spans="1:21">
      <c r="A2734" s="1" t="str">
        <f>"4601992050349"</f>
        <v>4601992050349</v>
      </c>
      <c r="B2734" s="1" t="s">
        <v>2758</v>
      </c>
      <c r="C2734" s="1" t="s">
        <v>24</v>
      </c>
      <c r="D2734" s="1" t="str">
        <f t="shared" si="5412"/>
        <v>2021</v>
      </c>
      <c r="E2734" s="1" t="str">
        <f>"72.43"</f>
        <v>72.43</v>
      </c>
      <c r="F2734" s="1" t="str">
        <f t="shared" ref="F2734:I2734" si="5499">"0"</f>
        <v>0</v>
      </c>
      <c r="G2734" s="1" t="str">
        <f t="shared" si="5499"/>
        <v>0</v>
      </c>
      <c r="H2734" s="1" t="str">
        <f t="shared" si="5499"/>
        <v>0</v>
      </c>
      <c r="I2734" s="1" t="str">
        <f t="shared" si="5499"/>
        <v>0</v>
      </c>
      <c r="J2734" s="1" t="str">
        <f>"6"</f>
        <v>6</v>
      </c>
      <c r="K2734" s="1" t="str">
        <f t="shared" ref="K2734:P2734" si="5500">"0"</f>
        <v>0</v>
      </c>
      <c r="L2734" s="1" t="str">
        <f t="shared" si="5500"/>
        <v>0</v>
      </c>
      <c r="M2734" s="1" t="str">
        <f t="shared" si="5500"/>
        <v>0</v>
      </c>
      <c r="N2734" s="1" t="str">
        <f t="shared" si="5500"/>
        <v>0</v>
      </c>
      <c r="O2734" s="1" t="str">
        <f t="shared" si="5500"/>
        <v>0</v>
      </c>
      <c r="P2734" s="1" t="str">
        <f t="shared" si="5500"/>
        <v>0</v>
      </c>
      <c r="Q2734" s="1" t="str">
        <f t="shared" si="5415"/>
        <v>0.0070</v>
      </c>
      <c r="R2734" s="1" t="s">
        <v>29</v>
      </c>
      <c r="S2734" s="1">
        <v>-0.0014</v>
      </c>
      <c r="T2734" s="1" t="str">
        <f t="shared" si="5416"/>
        <v>0</v>
      </c>
      <c r="U2734" s="1" t="str">
        <f t="shared" si="5480"/>
        <v>0.0056</v>
      </c>
    </row>
    <row r="2735" s="1" customFormat="1" spans="1:21">
      <c r="A2735" s="1" t="str">
        <f>"4601992050592"</f>
        <v>4601992050592</v>
      </c>
      <c r="B2735" s="1" t="s">
        <v>2759</v>
      </c>
      <c r="C2735" s="1" t="s">
        <v>24</v>
      </c>
      <c r="D2735" s="1" t="str">
        <f t="shared" si="5412"/>
        <v>2021</v>
      </c>
      <c r="E2735" s="1" t="str">
        <f t="shared" ref="E2735:P2735" si="5501">"0"</f>
        <v>0</v>
      </c>
      <c r="F2735" s="1" t="str">
        <f t="shared" si="5501"/>
        <v>0</v>
      </c>
      <c r="G2735" s="1" t="str">
        <f t="shared" si="5501"/>
        <v>0</v>
      </c>
      <c r="H2735" s="1" t="str">
        <f t="shared" si="5501"/>
        <v>0</v>
      </c>
      <c r="I2735" s="1" t="str">
        <f t="shared" si="5501"/>
        <v>0</v>
      </c>
      <c r="J2735" s="1" t="str">
        <f t="shared" si="5501"/>
        <v>0</v>
      </c>
      <c r="K2735" s="1" t="str">
        <f t="shared" si="5501"/>
        <v>0</v>
      </c>
      <c r="L2735" s="1" t="str">
        <f t="shared" si="5501"/>
        <v>0</v>
      </c>
      <c r="M2735" s="1" t="str">
        <f t="shared" si="5501"/>
        <v>0</v>
      </c>
      <c r="N2735" s="1" t="str">
        <f t="shared" si="5501"/>
        <v>0</v>
      </c>
      <c r="O2735" s="1" t="str">
        <f t="shared" si="5501"/>
        <v>0</v>
      </c>
      <c r="P2735" s="1" t="str">
        <f t="shared" si="5501"/>
        <v>0</v>
      </c>
      <c r="Q2735" s="1" t="str">
        <f t="shared" si="5415"/>
        <v>0.0070</v>
      </c>
      <c r="R2735" s="1" t="s">
        <v>25</v>
      </c>
      <c r="T2735" s="1" t="str">
        <f t="shared" si="5416"/>
        <v>0</v>
      </c>
      <c r="U2735" s="1" t="str">
        <f>"0.0070"</f>
        <v>0.0070</v>
      </c>
    </row>
    <row r="2736" s="1" customFormat="1" spans="1:21">
      <c r="A2736" s="1" t="str">
        <f>"4601992050473"</f>
        <v>4601992050473</v>
      </c>
      <c r="B2736" s="1" t="s">
        <v>2760</v>
      </c>
      <c r="C2736" s="1" t="s">
        <v>24</v>
      </c>
      <c r="D2736" s="1" t="str">
        <f t="shared" si="5412"/>
        <v>2021</v>
      </c>
      <c r="E2736" s="1" t="str">
        <f>"12.25"</f>
        <v>12.25</v>
      </c>
      <c r="F2736" s="1" t="str">
        <f t="shared" ref="F2736:I2736" si="5502">"0"</f>
        <v>0</v>
      </c>
      <c r="G2736" s="1" t="str">
        <f t="shared" si="5502"/>
        <v>0</v>
      </c>
      <c r="H2736" s="1" t="str">
        <f t="shared" si="5502"/>
        <v>0</v>
      </c>
      <c r="I2736" s="1" t="str">
        <f t="shared" si="5502"/>
        <v>0</v>
      </c>
      <c r="J2736" s="1" t="str">
        <f>"1"</f>
        <v>1</v>
      </c>
      <c r="K2736" s="1" t="str">
        <f t="shared" ref="K2736:P2736" si="5503">"0"</f>
        <v>0</v>
      </c>
      <c r="L2736" s="1" t="str">
        <f t="shared" si="5503"/>
        <v>0</v>
      </c>
      <c r="M2736" s="1" t="str">
        <f t="shared" si="5503"/>
        <v>0</v>
      </c>
      <c r="N2736" s="1" t="str">
        <f t="shared" si="5503"/>
        <v>0</v>
      </c>
      <c r="O2736" s="1" t="str">
        <f t="shared" si="5503"/>
        <v>0</v>
      </c>
      <c r="P2736" s="1" t="str">
        <f t="shared" si="5503"/>
        <v>0</v>
      </c>
      <c r="Q2736" s="1" t="str">
        <f t="shared" si="5415"/>
        <v>0.0070</v>
      </c>
      <c r="R2736" s="1" t="s">
        <v>29</v>
      </c>
      <c r="S2736" s="1">
        <v>-0.0014</v>
      </c>
      <c r="T2736" s="1" t="str">
        <f t="shared" si="5416"/>
        <v>0</v>
      </c>
      <c r="U2736" s="1" t="str">
        <f t="shared" ref="U2736:U2743" si="5504">"0.0056"</f>
        <v>0.0056</v>
      </c>
    </row>
    <row r="2737" s="1" customFormat="1" spans="1:21">
      <c r="A2737" s="1" t="str">
        <f>"4601992050546"</f>
        <v>4601992050546</v>
      </c>
      <c r="B2737" s="1" t="s">
        <v>2761</v>
      </c>
      <c r="C2737" s="1" t="s">
        <v>24</v>
      </c>
      <c r="D2737" s="1" t="str">
        <f t="shared" si="5412"/>
        <v>2021</v>
      </c>
      <c r="E2737" s="1" t="str">
        <f>"24.18"</f>
        <v>24.18</v>
      </c>
      <c r="F2737" s="1" t="str">
        <f t="shared" ref="F2737:I2737" si="5505">"0"</f>
        <v>0</v>
      </c>
      <c r="G2737" s="1" t="str">
        <f t="shared" si="5505"/>
        <v>0</v>
      </c>
      <c r="H2737" s="1" t="str">
        <f t="shared" si="5505"/>
        <v>0</v>
      </c>
      <c r="I2737" s="1" t="str">
        <f t="shared" si="5505"/>
        <v>0</v>
      </c>
      <c r="J2737" s="1" t="str">
        <f>"2"</f>
        <v>2</v>
      </c>
      <c r="K2737" s="1" t="str">
        <f t="shared" ref="K2737:P2737" si="5506">"0"</f>
        <v>0</v>
      </c>
      <c r="L2737" s="1" t="str">
        <f t="shared" si="5506"/>
        <v>0</v>
      </c>
      <c r="M2737" s="1" t="str">
        <f t="shared" si="5506"/>
        <v>0</v>
      </c>
      <c r="N2737" s="1" t="str">
        <f t="shared" si="5506"/>
        <v>0</v>
      </c>
      <c r="O2737" s="1" t="str">
        <f t="shared" si="5506"/>
        <v>0</v>
      </c>
      <c r="P2737" s="1" t="str">
        <f t="shared" si="5506"/>
        <v>0</v>
      </c>
      <c r="Q2737" s="1" t="str">
        <f t="shared" si="5415"/>
        <v>0.0070</v>
      </c>
      <c r="R2737" s="1" t="s">
        <v>29</v>
      </c>
      <c r="S2737" s="1">
        <v>-0.0014</v>
      </c>
      <c r="T2737" s="1" t="str">
        <f t="shared" si="5416"/>
        <v>0</v>
      </c>
      <c r="U2737" s="1" t="str">
        <f t="shared" si="5504"/>
        <v>0.0056</v>
      </c>
    </row>
    <row r="2738" s="1" customFormat="1" spans="1:21">
      <c r="A2738" s="1" t="str">
        <f>"4601992050568"</f>
        <v>4601992050568</v>
      </c>
      <c r="B2738" s="1" t="s">
        <v>2762</v>
      </c>
      <c r="C2738" s="1" t="s">
        <v>24</v>
      </c>
      <c r="D2738" s="1" t="str">
        <f t="shared" si="5412"/>
        <v>2021</v>
      </c>
      <c r="E2738" s="1" t="str">
        <f>"48.36"</f>
        <v>48.36</v>
      </c>
      <c r="F2738" s="1" t="str">
        <f t="shared" ref="F2738:I2738" si="5507">"0"</f>
        <v>0</v>
      </c>
      <c r="G2738" s="1" t="str">
        <f t="shared" si="5507"/>
        <v>0</v>
      </c>
      <c r="H2738" s="1" t="str">
        <f t="shared" si="5507"/>
        <v>0</v>
      </c>
      <c r="I2738" s="1" t="str">
        <f t="shared" si="5507"/>
        <v>0</v>
      </c>
      <c r="J2738" s="1" t="str">
        <f t="shared" ref="J2738:J2742" si="5508">"3"</f>
        <v>3</v>
      </c>
      <c r="K2738" s="1" t="str">
        <f t="shared" ref="K2738:P2738" si="5509">"0"</f>
        <v>0</v>
      </c>
      <c r="L2738" s="1" t="str">
        <f t="shared" si="5509"/>
        <v>0</v>
      </c>
      <c r="M2738" s="1" t="str">
        <f t="shared" si="5509"/>
        <v>0</v>
      </c>
      <c r="N2738" s="1" t="str">
        <f t="shared" si="5509"/>
        <v>0</v>
      </c>
      <c r="O2738" s="1" t="str">
        <f t="shared" si="5509"/>
        <v>0</v>
      </c>
      <c r="P2738" s="1" t="str">
        <f t="shared" si="5509"/>
        <v>0</v>
      </c>
      <c r="Q2738" s="1" t="str">
        <f t="shared" si="5415"/>
        <v>0.0070</v>
      </c>
      <c r="R2738" s="1" t="s">
        <v>29</v>
      </c>
      <c r="S2738" s="1">
        <v>-0.0014</v>
      </c>
      <c r="T2738" s="1" t="str">
        <f t="shared" si="5416"/>
        <v>0</v>
      </c>
      <c r="U2738" s="1" t="str">
        <f t="shared" si="5504"/>
        <v>0.0056</v>
      </c>
    </row>
    <row r="2739" s="1" customFormat="1" spans="1:21">
      <c r="A2739" s="1" t="str">
        <f>"4601992050617"</f>
        <v>4601992050617</v>
      </c>
      <c r="B2739" s="1" t="s">
        <v>2763</v>
      </c>
      <c r="C2739" s="1" t="s">
        <v>24</v>
      </c>
      <c r="D2739" s="1" t="str">
        <f t="shared" si="5412"/>
        <v>2021</v>
      </c>
      <c r="E2739" s="1" t="str">
        <f>"155.90"</f>
        <v>155.90</v>
      </c>
      <c r="F2739" s="1" t="str">
        <f t="shared" ref="F2739:I2739" si="5510">"0"</f>
        <v>0</v>
      </c>
      <c r="G2739" s="1" t="str">
        <f t="shared" si="5510"/>
        <v>0</v>
      </c>
      <c r="H2739" s="1" t="str">
        <f t="shared" si="5510"/>
        <v>0</v>
      </c>
      <c r="I2739" s="1" t="str">
        <f t="shared" si="5510"/>
        <v>0</v>
      </c>
      <c r="J2739" s="1" t="str">
        <f>"11"</f>
        <v>11</v>
      </c>
      <c r="K2739" s="1" t="str">
        <f t="shared" ref="K2739:P2739" si="5511">"0"</f>
        <v>0</v>
      </c>
      <c r="L2739" s="1" t="str">
        <f t="shared" si="5511"/>
        <v>0</v>
      </c>
      <c r="M2739" s="1" t="str">
        <f t="shared" si="5511"/>
        <v>0</v>
      </c>
      <c r="N2739" s="1" t="str">
        <f t="shared" si="5511"/>
        <v>0</v>
      </c>
      <c r="O2739" s="1" t="str">
        <f t="shared" si="5511"/>
        <v>0</v>
      </c>
      <c r="P2739" s="1" t="str">
        <f t="shared" si="5511"/>
        <v>0</v>
      </c>
      <c r="Q2739" s="1" t="str">
        <f t="shared" si="5415"/>
        <v>0.0070</v>
      </c>
      <c r="R2739" s="1" t="s">
        <v>29</v>
      </c>
      <c r="S2739" s="1">
        <v>-0.0014</v>
      </c>
      <c r="T2739" s="1" t="str">
        <f t="shared" si="5416"/>
        <v>0</v>
      </c>
      <c r="U2739" s="1" t="str">
        <f t="shared" si="5504"/>
        <v>0.0056</v>
      </c>
    </row>
    <row r="2740" s="1" customFormat="1" spans="1:21">
      <c r="A2740" s="1" t="str">
        <f>"4601992050618"</f>
        <v>4601992050618</v>
      </c>
      <c r="B2740" s="1" t="s">
        <v>2764</v>
      </c>
      <c r="C2740" s="1" t="s">
        <v>24</v>
      </c>
      <c r="D2740" s="1" t="str">
        <f t="shared" si="5412"/>
        <v>2021</v>
      </c>
      <c r="E2740" s="1" t="str">
        <f>"24.18"</f>
        <v>24.18</v>
      </c>
      <c r="F2740" s="1" t="str">
        <f t="shared" ref="F2740:I2740" si="5512">"0"</f>
        <v>0</v>
      </c>
      <c r="G2740" s="1" t="str">
        <f t="shared" si="5512"/>
        <v>0</v>
      </c>
      <c r="H2740" s="1" t="str">
        <f t="shared" si="5512"/>
        <v>0</v>
      </c>
      <c r="I2740" s="1" t="str">
        <f t="shared" si="5512"/>
        <v>0</v>
      </c>
      <c r="J2740" s="1" t="str">
        <f t="shared" si="5508"/>
        <v>3</v>
      </c>
      <c r="K2740" s="1" t="str">
        <f t="shared" ref="K2740:P2740" si="5513">"0"</f>
        <v>0</v>
      </c>
      <c r="L2740" s="1" t="str">
        <f t="shared" si="5513"/>
        <v>0</v>
      </c>
      <c r="M2740" s="1" t="str">
        <f t="shared" si="5513"/>
        <v>0</v>
      </c>
      <c r="N2740" s="1" t="str">
        <f t="shared" si="5513"/>
        <v>0</v>
      </c>
      <c r="O2740" s="1" t="str">
        <f t="shared" si="5513"/>
        <v>0</v>
      </c>
      <c r="P2740" s="1" t="str">
        <f t="shared" si="5513"/>
        <v>0</v>
      </c>
      <c r="Q2740" s="1" t="str">
        <f t="shared" si="5415"/>
        <v>0.0070</v>
      </c>
      <c r="R2740" s="1" t="s">
        <v>29</v>
      </c>
      <c r="S2740" s="1">
        <v>-0.0014</v>
      </c>
      <c r="T2740" s="1" t="str">
        <f t="shared" si="5416"/>
        <v>0</v>
      </c>
      <c r="U2740" s="1" t="str">
        <f t="shared" si="5504"/>
        <v>0.0056</v>
      </c>
    </row>
    <row r="2741" s="1" customFormat="1" spans="1:21">
      <c r="A2741" s="1" t="str">
        <f>"4601992050645"</f>
        <v>4601992050645</v>
      </c>
      <c r="B2741" s="1" t="s">
        <v>2765</v>
      </c>
      <c r="C2741" s="1" t="s">
        <v>24</v>
      </c>
      <c r="D2741" s="1" t="str">
        <f t="shared" si="5412"/>
        <v>2021</v>
      </c>
      <c r="E2741" s="1" t="str">
        <f t="shared" ref="E2741:E2743" si="5514">"36.27"</f>
        <v>36.27</v>
      </c>
      <c r="F2741" s="1" t="str">
        <f t="shared" ref="F2741:I2741" si="5515">"0"</f>
        <v>0</v>
      </c>
      <c r="G2741" s="1" t="str">
        <f t="shared" si="5515"/>
        <v>0</v>
      </c>
      <c r="H2741" s="1" t="str">
        <f t="shared" si="5515"/>
        <v>0</v>
      </c>
      <c r="I2741" s="1" t="str">
        <f t="shared" si="5515"/>
        <v>0</v>
      </c>
      <c r="J2741" s="1" t="str">
        <f t="shared" si="5508"/>
        <v>3</v>
      </c>
      <c r="K2741" s="1" t="str">
        <f t="shared" ref="K2741:P2741" si="5516">"0"</f>
        <v>0</v>
      </c>
      <c r="L2741" s="1" t="str">
        <f t="shared" si="5516"/>
        <v>0</v>
      </c>
      <c r="M2741" s="1" t="str">
        <f t="shared" si="5516"/>
        <v>0</v>
      </c>
      <c r="N2741" s="1" t="str">
        <f t="shared" si="5516"/>
        <v>0</v>
      </c>
      <c r="O2741" s="1" t="str">
        <f t="shared" si="5516"/>
        <v>0</v>
      </c>
      <c r="P2741" s="1" t="str">
        <f t="shared" si="5516"/>
        <v>0</v>
      </c>
      <c r="Q2741" s="1" t="str">
        <f t="shared" si="5415"/>
        <v>0.0070</v>
      </c>
      <c r="R2741" s="1" t="s">
        <v>29</v>
      </c>
      <c r="S2741" s="1">
        <v>-0.0014</v>
      </c>
      <c r="T2741" s="1" t="str">
        <f t="shared" si="5416"/>
        <v>0</v>
      </c>
      <c r="U2741" s="1" t="str">
        <f t="shared" si="5504"/>
        <v>0.0056</v>
      </c>
    </row>
    <row r="2742" s="1" customFormat="1" spans="1:21">
      <c r="A2742" s="1" t="str">
        <f>"4601992050661"</f>
        <v>4601992050661</v>
      </c>
      <c r="B2742" s="1" t="s">
        <v>2766</v>
      </c>
      <c r="C2742" s="1" t="s">
        <v>24</v>
      </c>
      <c r="D2742" s="1" t="str">
        <f t="shared" si="5412"/>
        <v>2021</v>
      </c>
      <c r="E2742" s="1" t="str">
        <f t="shared" si="5514"/>
        <v>36.27</v>
      </c>
      <c r="F2742" s="1" t="str">
        <f t="shared" ref="F2742:I2742" si="5517">"0"</f>
        <v>0</v>
      </c>
      <c r="G2742" s="1" t="str">
        <f t="shared" si="5517"/>
        <v>0</v>
      </c>
      <c r="H2742" s="1" t="str">
        <f t="shared" si="5517"/>
        <v>0</v>
      </c>
      <c r="I2742" s="1" t="str">
        <f t="shared" si="5517"/>
        <v>0</v>
      </c>
      <c r="J2742" s="1" t="str">
        <f t="shared" si="5508"/>
        <v>3</v>
      </c>
      <c r="K2742" s="1" t="str">
        <f t="shared" ref="K2742:P2742" si="5518">"0"</f>
        <v>0</v>
      </c>
      <c r="L2742" s="1" t="str">
        <f t="shared" si="5518"/>
        <v>0</v>
      </c>
      <c r="M2742" s="1" t="str">
        <f t="shared" si="5518"/>
        <v>0</v>
      </c>
      <c r="N2742" s="1" t="str">
        <f t="shared" si="5518"/>
        <v>0</v>
      </c>
      <c r="O2742" s="1" t="str">
        <f t="shared" si="5518"/>
        <v>0</v>
      </c>
      <c r="P2742" s="1" t="str">
        <f t="shared" si="5518"/>
        <v>0</v>
      </c>
      <c r="Q2742" s="1" t="str">
        <f t="shared" si="5415"/>
        <v>0.0070</v>
      </c>
      <c r="R2742" s="1" t="s">
        <v>29</v>
      </c>
      <c r="S2742" s="1">
        <v>-0.0014</v>
      </c>
      <c r="T2742" s="1" t="str">
        <f t="shared" si="5416"/>
        <v>0</v>
      </c>
      <c r="U2742" s="1" t="str">
        <f t="shared" si="5504"/>
        <v>0.0056</v>
      </c>
    </row>
    <row r="2743" s="1" customFormat="1" spans="1:21">
      <c r="A2743" s="1" t="str">
        <f>"4601992050672"</f>
        <v>4601992050672</v>
      </c>
      <c r="B2743" s="1" t="s">
        <v>2767</v>
      </c>
      <c r="C2743" s="1" t="s">
        <v>24</v>
      </c>
      <c r="D2743" s="1" t="str">
        <f t="shared" si="5412"/>
        <v>2021</v>
      </c>
      <c r="E2743" s="1" t="str">
        <f t="shared" si="5514"/>
        <v>36.27</v>
      </c>
      <c r="F2743" s="1" t="str">
        <f t="shared" ref="F2743:I2743" si="5519">"0"</f>
        <v>0</v>
      </c>
      <c r="G2743" s="1" t="str">
        <f t="shared" si="5519"/>
        <v>0</v>
      </c>
      <c r="H2743" s="1" t="str">
        <f t="shared" si="5519"/>
        <v>0</v>
      </c>
      <c r="I2743" s="1" t="str">
        <f t="shared" si="5519"/>
        <v>0</v>
      </c>
      <c r="J2743" s="1" t="str">
        <f>"2"</f>
        <v>2</v>
      </c>
      <c r="K2743" s="1" t="str">
        <f t="shared" ref="K2743:P2743" si="5520">"0"</f>
        <v>0</v>
      </c>
      <c r="L2743" s="1" t="str">
        <f t="shared" si="5520"/>
        <v>0</v>
      </c>
      <c r="M2743" s="1" t="str">
        <f t="shared" si="5520"/>
        <v>0</v>
      </c>
      <c r="N2743" s="1" t="str">
        <f t="shared" si="5520"/>
        <v>0</v>
      </c>
      <c r="O2743" s="1" t="str">
        <f t="shared" si="5520"/>
        <v>0</v>
      </c>
      <c r="P2743" s="1" t="str">
        <f t="shared" si="5520"/>
        <v>0</v>
      </c>
      <c r="Q2743" s="1" t="str">
        <f t="shared" si="5415"/>
        <v>0.0070</v>
      </c>
      <c r="R2743" s="1" t="s">
        <v>29</v>
      </c>
      <c r="S2743" s="1">
        <v>-0.0014</v>
      </c>
      <c r="T2743" s="1" t="str">
        <f t="shared" si="5416"/>
        <v>0</v>
      </c>
      <c r="U2743" s="1" t="str">
        <f t="shared" si="5504"/>
        <v>0.0056</v>
      </c>
    </row>
    <row r="2744" s="1" customFormat="1" spans="1:21">
      <c r="A2744" s="1" t="str">
        <f>"4601992050728"</f>
        <v>4601992050728</v>
      </c>
      <c r="B2744" s="1" t="s">
        <v>2768</v>
      </c>
      <c r="C2744" s="1" t="s">
        <v>24</v>
      </c>
      <c r="D2744" s="1" t="str">
        <f t="shared" si="5412"/>
        <v>2021</v>
      </c>
      <c r="E2744" s="1" t="str">
        <f t="shared" ref="E2744:I2744" si="5521">"0"</f>
        <v>0</v>
      </c>
      <c r="F2744" s="1" t="str">
        <f t="shared" si="5521"/>
        <v>0</v>
      </c>
      <c r="G2744" s="1" t="str">
        <f t="shared" si="5521"/>
        <v>0</v>
      </c>
      <c r="H2744" s="1" t="str">
        <f t="shared" si="5521"/>
        <v>0</v>
      </c>
      <c r="I2744" s="1" t="str">
        <f t="shared" si="5521"/>
        <v>0</v>
      </c>
      <c r="J2744" s="1" t="str">
        <f>"7"</f>
        <v>7</v>
      </c>
      <c r="K2744" s="1" t="str">
        <f t="shared" ref="K2744:P2744" si="5522">"0"</f>
        <v>0</v>
      </c>
      <c r="L2744" s="1" t="str">
        <f t="shared" si="5522"/>
        <v>0</v>
      </c>
      <c r="M2744" s="1" t="str">
        <f t="shared" si="5522"/>
        <v>0</v>
      </c>
      <c r="N2744" s="1" t="str">
        <f t="shared" si="5522"/>
        <v>0</v>
      </c>
      <c r="O2744" s="1" t="str">
        <f t="shared" si="5522"/>
        <v>0</v>
      </c>
      <c r="P2744" s="1" t="str">
        <f t="shared" si="5522"/>
        <v>0</v>
      </c>
      <c r="Q2744" s="1" t="str">
        <f t="shared" si="5415"/>
        <v>0.0070</v>
      </c>
      <c r="R2744" s="1" t="s">
        <v>25</v>
      </c>
      <c r="T2744" s="1" t="str">
        <f t="shared" si="5416"/>
        <v>0</v>
      </c>
      <c r="U2744" s="1" t="str">
        <f>"0.0070"</f>
        <v>0.0070</v>
      </c>
    </row>
    <row r="2745" s="1" customFormat="1" spans="1:21">
      <c r="A2745" s="1" t="str">
        <f>"4601992050750"</f>
        <v>4601992050750</v>
      </c>
      <c r="B2745" s="1" t="s">
        <v>2769</v>
      </c>
      <c r="C2745" s="1" t="s">
        <v>24</v>
      </c>
      <c r="D2745" s="1" t="str">
        <f t="shared" si="5412"/>
        <v>2021</v>
      </c>
      <c r="E2745" s="1" t="str">
        <f>"48.36"</f>
        <v>48.36</v>
      </c>
      <c r="F2745" s="1" t="str">
        <f t="shared" ref="F2745:I2745" si="5523">"0"</f>
        <v>0</v>
      </c>
      <c r="G2745" s="1" t="str">
        <f t="shared" si="5523"/>
        <v>0</v>
      </c>
      <c r="H2745" s="1" t="str">
        <f t="shared" si="5523"/>
        <v>0</v>
      </c>
      <c r="I2745" s="1" t="str">
        <f t="shared" si="5523"/>
        <v>0</v>
      </c>
      <c r="J2745" s="1" t="str">
        <f>"4"</f>
        <v>4</v>
      </c>
      <c r="K2745" s="1" t="str">
        <f t="shared" ref="K2745:P2745" si="5524">"0"</f>
        <v>0</v>
      </c>
      <c r="L2745" s="1" t="str">
        <f t="shared" si="5524"/>
        <v>0</v>
      </c>
      <c r="M2745" s="1" t="str">
        <f t="shared" si="5524"/>
        <v>0</v>
      </c>
      <c r="N2745" s="1" t="str">
        <f t="shared" si="5524"/>
        <v>0</v>
      </c>
      <c r="O2745" s="1" t="str">
        <f t="shared" si="5524"/>
        <v>0</v>
      </c>
      <c r="P2745" s="1" t="str">
        <f t="shared" si="5524"/>
        <v>0</v>
      </c>
      <c r="Q2745" s="1" t="str">
        <f t="shared" si="5415"/>
        <v>0.0070</v>
      </c>
      <c r="R2745" s="1" t="s">
        <v>29</v>
      </c>
      <c r="S2745" s="1">
        <v>-0.0014</v>
      </c>
      <c r="T2745" s="1" t="str">
        <f t="shared" si="5416"/>
        <v>0</v>
      </c>
      <c r="U2745" s="1" t="str">
        <f t="shared" ref="U2745:U2748" si="5525">"0.0056"</f>
        <v>0.0056</v>
      </c>
    </row>
    <row r="2746" s="1" customFormat="1" spans="1:21">
      <c r="A2746" s="1" t="str">
        <f>"4601992050767"</f>
        <v>4601992050767</v>
      </c>
      <c r="B2746" s="1" t="s">
        <v>2770</v>
      </c>
      <c r="C2746" s="1" t="s">
        <v>24</v>
      </c>
      <c r="D2746" s="1" t="str">
        <f t="shared" si="5412"/>
        <v>2021</v>
      </c>
      <c r="E2746" s="1" t="str">
        <f>"24.18"</f>
        <v>24.18</v>
      </c>
      <c r="F2746" s="1" t="str">
        <f t="shared" ref="F2746:I2746" si="5526">"0"</f>
        <v>0</v>
      </c>
      <c r="G2746" s="1" t="str">
        <f t="shared" si="5526"/>
        <v>0</v>
      </c>
      <c r="H2746" s="1" t="str">
        <f t="shared" si="5526"/>
        <v>0</v>
      </c>
      <c r="I2746" s="1" t="str">
        <f t="shared" si="5526"/>
        <v>0</v>
      </c>
      <c r="J2746" s="1" t="str">
        <f>"3"</f>
        <v>3</v>
      </c>
      <c r="K2746" s="1" t="str">
        <f t="shared" ref="K2746:P2746" si="5527">"0"</f>
        <v>0</v>
      </c>
      <c r="L2746" s="1" t="str">
        <f t="shared" si="5527"/>
        <v>0</v>
      </c>
      <c r="M2746" s="1" t="str">
        <f t="shared" si="5527"/>
        <v>0</v>
      </c>
      <c r="N2746" s="1" t="str">
        <f t="shared" si="5527"/>
        <v>0</v>
      </c>
      <c r="O2746" s="1" t="str">
        <f t="shared" si="5527"/>
        <v>0</v>
      </c>
      <c r="P2746" s="1" t="str">
        <f t="shared" si="5527"/>
        <v>0</v>
      </c>
      <c r="Q2746" s="1" t="str">
        <f t="shared" si="5415"/>
        <v>0.0070</v>
      </c>
      <c r="R2746" s="1" t="s">
        <v>29</v>
      </c>
      <c r="S2746" s="1">
        <v>-0.0014</v>
      </c>
      <c r="T2746" s="1" t="str">
        <f t="shared" si="5416"/>
        <v>0</v>
      </c>
      <c r="U2746" s="1" t="str">
        <f t="shared" si="5525"/>
        <v>0.0056</v>
      </c>
    </row>
    <row r="2747" s="1" customFormat="1" spans="1:21">
      <c r="A2747" s="1" t="str">
        <f>"4601992050769"</f>
        <v>4601992050769</v>
      </c>
      <c r="B2747" s="1" t="s">
        <v>2771</v>
      </c>
      <c r="C2747" s="1" t="s">
        <v>24</v>
      </c>
      <c r="D2747" s="1" t="str">
        <f t="shared" si="5412"/>
        <v>2021</v>
      </c>
      <c r="E2747" s="1" t="str">
        <f>"23.96"</f>
        <v>23.96</v>
      </c>
      <c r="F2747" s="1" t="str">
        <f t="shared" ref="F2747:I2747" si="5528">"0"</f>
        <v>0</v>
      </c>
      <c r="G2747" s="1" t="str">
        <f t="shared" si="5528"/>
        <v>0</v>
      </c>
      <c r="H2747" s="1" t="str">
        <f t="shared" si="5528"/>
        <v>0</v>
      </c>
      <c r="I2747" s="1" t="str">
        <f t="shared" si="5528"/>
        <v>0</v>
      </c>
      <c r="J2747" s="1" t="str">
        <f t="shared" ref="J2747:J2751" si="5529">"1"</f>
        <v>1</v>
      </c>
      <c r="K2747" s="1" t="str">
        <f t="shared" ref="K2747:P2747" si="5530">"0"</f>
        <v>0</v>
      </c>
      <c r="L2747" s="1" t="str">
        <f t="shared" si="5530"/>
        <v>0</v>
      </c>
      <c r="M2747" s="1" t="str">
        <f t="shared" si="5530"/>
        <v>0</v>
      </c>
      <c r="N2747" s="1" t="str">
        <f t="shared" si="5530"/>
        <v>0</v>
      </c>
      <c r="O2747" s="1" t="str">
        <f t="shared" si="5530"/>
        <v>0</v>
      </c>
      <c r="P2747" s="1" t="str">
        <f t="shared" si="5530"/>
        <v>0</v>
      </c>
      <c r="Q2747" s="1" t="str">
        <f t="shared" si="5415"/>
        <v>0.0070</v>
      </c>
      <c r="R2747" s="1" t="s">
        <v>29</v>
      </c>
      <c r="S2747" s="1">
        <v>-0.0014</v>
      </c>
      <c r="T2747" s="1" t="str">
        <f t="shared" si="5416"/>
        <v>0</v>
      </c>
      <c r="U2747" s="1" t="str">
        <f t="shared" si="5525"/>
        <v>0.0056</v>
      </c>
    </row>
    <row r="2748" s="1" customFormat="1" spans="1:21">
      <c r="A2748" s="1" t="str">
        <f>"4601992050752"</f>
        <v>4601992050752</v>
      </c>
      <c r="B2748" s="1" t="s">
        <v>2772</v>
      </c>
      <c r="C2748" s="1" t="s">
        <v>24</v>
      </c>
      <c r="D2748" s="1" t="str">
        <f t="shared" si="5412"/>
        <v>2021</v>
      </c>
      <c r="E2748" s="1" t="str">
        <f>"12.09"</f>
        <v>12.09</v>
      </c>
      <c r="F2748" s="1" t="str">
        <f t="shared" ref="F2748:I2748" si="5531">"0"</f>
        <v>0</v>
      </c>
      <c r="G2748" s="1" t="str">
        <f t="shared" si="5531"/>
        <v>0</v>
      </c>
      <c r="H2748" s="1" t="str">
        <f t="shared" si="5531"/>
        <v>0</v>
      </c>
      <c r="I2748" s="1" t="str">
        <f t="shared" si="5531"/>
        <v>0</v>
      </c>
      <c r="J2748" s="1" t="str">
        <f t="shared" si="5529"/>
        <v>1</v>
      </c>
      <c r="K2748" s="1" t="str">
        <f t="shared" ref="K2748:P2748" si="5532">"0"</f>
        <v>0</v>
      </c>
      <c r="L2748" s="1" t="str">
        <f t="shared" si="5532"/>
        <v>0</v>
      </c>
      <c r="M2748" s="1" t="str">
        <f t="shared" si="5532"/>
        <v>0</v>
      </c>
      <c r="N2748" s="1" t="str">
        <f t="shared" si="5532"/>
        <v>0</v>
      </c>
      <c r="O2748" s="1" t="str">
        <f t="shared" si="5532"/>
        <v>0</v>
      </c>
      <c r="P2748" s="1" t="str">
        <f t="shared" si="5532"/>
        <v>0</v>
      </c>
      <c r="Q2748" s="1" t="str">
        <f t="shared" si="5415"/>
        <v>0.0070</v>
      </c>
      <c r="R2748" s="1" t="s">
        <v>29</v>
      </c>
      <c r="S2748" s="1">
        <v>-0.0014</v>
      </c>
      <c r="T2748" s="1" t="str">
        <f t="shared" si="5416"/>
        <v>0</v>
      </c>
      <c r="U2748" s="1" t="str">
        <f t="shared" si="5525"/>
        <v>0.0056</v>
      </c>
    </row>
    <row r="2749" s="1" customFormat="1" spans="1:21">
      <c r="A2749" s="1" t="str">
        <f>"4601992050826"</f>
        <v>4601992050826</v>
      </c>
      <c r="B2749" s="1" t="s">
        <v>2773</v>
      </c>
      <c r="C2749" s="1" t="s">
        <v>24</v>
      </c>
      <c r="D2749" s="1" t="str">
        <f t="shared" si="5412"/>
        <v>2021</v>
      </c>
      <c r="E2749" s="1" t="str">
        <f t="shared" ref="E2749:P2749" si="5533">"0"</f>
        <v>0</v>
      </c>
      <c r="F2749" s="1" t="str">
        <f t="shared" si="5533"/>
        <v>0</v>
      </c>
      <c r="G2749" s="1" t="str">
        <f t="shared" si="5533"/>
        <v>0</v>
      </c>
      <c r="H2749" s="1" t="str">
        <f t="shared" si="5533"/>
        <v>0</v>
      </c>
      <c r="I2749" s="1" t="str">
        <f t="shared" si="5533"/>
        <v>0</v>
      </c>
      <c r="J2749" s="1" t="str">
        <f t="shared" si="5533"/>
        <v>0</v>
      </c>
      <c r="K2749" s="1" t="str">
        <f t="shared" si="5533"/>
        <v>0</v>
      </c>
      <c r="L2749" s="1" t="str">
        <f t="shared" si="5533"/>
        <v>0</v>
      </c>
      <c r="M2749" s="1" t="str">
        <f t="shared" si="5533"/>
        <v>0</v>
      </c>
      <c r="N2749" s="1" t="str">
        <f t="shared" si="5533"/>
        <v>0</v>
      </c>
      <c r="O2749" s="1" t="str">
        <f t="shared" si="5533"/>
        <v>0</v>
      </c>
      <c r="P2749" s="1" t="str">
        <f t="shared" si="5533"/>
        <v>0</v>
      </c>
      <c r="Q2749" s="1" t="str">
        <f t="shared" si="5415"/>
        <v>0.0070</v>
      </c>
      <c r="R2749" s="1" t="s">
        <v>25</v>
      </c>
      <c r="T2749" s="1" t="str">
        <f t="shared" si="5416"/>
        <v>0</v>
      </c>
      <c r="U2749" s="1" t="str">
        <f>"0.0070"</f>
        <v>0.0070</v>
      </c>
    </row>
    <row r="2750" s="1" customFormat="1" spans="1:21">
      <c r="A2750" s="1" t="str">
        <f>"4601992050809"</f>
        <v>4601992050809</v>
      </c>
      <c r="B2750" s="1" t="s">
        <v>2388</v>
      </c>
      <c r="C2750" s="1" t="s">
        <v>24</v>
      </c>
      <c r="D2750" s="1" t="str">
        <f t="shared" si="5412"/>
        <v>2021</v>
      </c>
      <c r="E2750" s="1" t="str">
        <f>"24.18"</f>
        <v>24.18</v>
      </c>
      <c r="F2750" s="1" t="str">
        <f t="shared" ref="F2750:I2750" si="5534">"0"</f>
        <v>0</v>
      </c>
      <c r="G2750" s="1" t="str">
        <f t="shared" si="5534"/>
        <v>0</v>
      </c>
      <c r="H2750" s="1" t="str">
        <f t="shared" si="5534"/>
        <v>0</v>
      </c>
      <c r="I2750" s="1" t="str">
        <f t="shared" si="5534"/>
        <v>0</v>
      </c>
      <c r="J2750" s="1" t="str">
        <f>"2"</f>
        <v>2</v>
      </c>
      <c r="K2750" s="1" t="str">
        <f t="shared" ref="K2750:P2750" si="5535">"0"</f>
        <v>0</v>
      </c>
      <c r="L2750" s="1" t="str">
        <f t="shared" si="5535"/>
        <v>0</v>
      </c>
      <c r="M2750" s="1" t="str">
        <f t="shared" si="5535"/>
        <v>0</v>
      </c>
      <c r="N2750" s="1" t="str">
        <f t="shared" si="5535"/>
        <v>0</v>
      </c>
      <c r="O2750" s="1" t="str">
        <f t="shared" si="5535"/>
        <v>0</v>
      </c>
      <c r="P2750" s="1" t="str">
        <f t="shared" si="5535"/>
        <v>0</v>
      </c>
      <c r="Q2750" s="1" t="str">
        <f t="shared" si="5415"/>
        <v>0.0070</v>
      </c>
      <c r="R2750" s="1" t="s">
        <v>29</v>
      </c>
      <c r="S2750" s="1">
        <v>-0.0014</v>
      </c>
      <c r="T2750" s="1" t="str">
        <f t="shared" si="5416"/>
        <v>0</v>
      </c>
      <c r="U2750" s="1" t="str">
        <f t="shared" ref="U2750:U2752" si="5536">"0.0056"</f>
        <v>0.0056</v>
      </c>
    </row>
    <row r="2751" s="1" customFormat="1" spans="1:21">
      <c r="A2751" s="1" t="str">
        <f>"4601992050808"</f>
        <v>4601992050808</v>
      </c>
      <c r="B2751" s="1" t="s">
        <v>2774</v>
      </c>
      <c r="C2751" s="1" t="s">
        <v>24</v>
      </c>
      <c r="D2751" s="1" t="str">
        <f t="shared" si="5412"/>
        <v>2021</v>
      </c>
      <c r="E2751" s="1" t="str">
        <f>"12.25"</f>
        <v>12.25</v>
      </c>
      <c r="F2751" s="1" t="str">
        <f t="shared" ref="F2751:I2751" si="5537">"0"</f>
        <v>0</v>
      </c>
      <c r="G2751" s="1" t="str">
        <f t="shared" si="5537"/>
        <v>0</v>
      </c>
      <c r="H2751" s="1" t="str">
        <f t="shared" si="5537"/>
        <v>0</v>
      </c>
      <c r="I2751" s="1" t="str">
        <f t="shared" si="5537"/>
        <v>0</v>
      </c>
      <c r="J2751" s="1" t="str">
        <f t="shared" si="5529"/>
        <v>1</v>
      </c>
      <c r="K2751" s="1" t="str">
        <f t="shared" ref="K2751:P2751" si="5538">"0"</f>
        <v>0</v>
      </c>
      <c r="L2751" s="1" t="str">
        <f t="shared" si="5538"/>
        <v>0</v>
      </c>
      <c r="M2751" s="1" t="str">
        <f t="shared" si="5538"/>
        <v>0</v>
      </c>
      <c r="N2751" s="1" t="str">
        <f t="shared" si="5538"/>
        <v>0</v>
      </c>
      <c r="O2751" s="1" t="str">
        <f t="shared" si="5538"/>
        <v>0</v>
      </c>
      <c r="P2751" s="1" t="str">
        <f t="shared" si="5538"/>
        <v>0</v>
      </c>
      <c r="Q2751" s="1" t="str">
        <f t="shared" si="5415"/>
        <v>0.0070</v>
      </c>
      <c r="R2751" s="1" t="s">
        <v>29</v>
      </c>
      <c r="S2751" s="1">
        <v>-0.0014</v>
      </c>
      <c r="T2751" s="1" t="str">
        <f t="shared" si="5416"/>
        <v>0</v>
      </c>
      <c r="U2751" s="1" t="str">
        <f t="shared" si="5536"/>
        <v>0.0056</v>
      </c>
    </row>
    <row r="2752" s="1" customFormat="1" spans="1:21">
      <c r="A2752" s="1" t="str">
        <f>"4601992050814"</f>
        <v>4601992050814</v>
      </c>
      <c r="B2752" s="1" t="s">
        <v>2775</v>
      </c>
      <c r="C2752" s="1" t="s">
        <v>24</v>
      </c>
      <c r="D2752" s="1" t="str">
        <f t="shared" si="5412"/>
        <v>2021</v>
      </c>
      <c r="E2752" s="1" t="str">
        <f>"24.18"</f>
        <v>24.18</v>
      </c>
      <c r="F2752" s="1" t="str">
        <f t="shared" ref="F2752:I2752" si="5539">"0"</f>
        <v>0</v>
      </c>
      <c r="G2752" s="1" t="str">
        <f t="shared" si="5539"/>
        <v>0</v>
      </c>
      <c r="H2752" s="1" t="str">
        <f t="shared" si="5539"/>
        <v>0</v>
      </c>
      <c r="I2752" s="1" t="str">
        <f t="shared" si="5539"/>
        <v>0</v>
      </c>
      <c r="J2752" s="1" t="str">
        <f>"2"</f>
        <v>2</v>
      </c>
      <c r="K2752" s="1" t="str">
        <f t="shared" ref="K2752:P2752" si="5540">"0"</f>
        <v>0</v>
      </c>
      <c r="L2752" s="1" t="str">
        <f t="shared" si="5540"/>
        <v>0</v>
      </c>
      <c r="M2752" s="1" t="str">
        <f t="shared" si="5540"/>
        <v>0</v>
      </c>
      <c r="N2752" s="1" t="str">
        <f t="shared" si="5540"/>
        <v>0</v>
      </c>
      <c r="O2752" s="1" t="str">
        <f t="shared" si="5540"/>
        <v>0</v>
      </c>
      <c r="P2752" s="1" t="str">
        <f t="shared" si="5540"/>
        <v>0</v>
      </c>
      <c r="Q2752" s="1" t="str">
        <f t="shared" si="5415"/>
        <v>0.0070</v>
      </c>
      <c r="R2752" s="1" t="s">
        <v>29</v>
      </c>
      <c r="S2752" s="1">
        <v>-0.0014</v>
      </c>
      <c r="T2752" s="1" t="str">
        <f t="shared" si="5416"/>
        <v>0</v>
      </c>
      <c r="U2752" s="1" t="str">
        <f t="shared" si="5536"/>
        <v>0.0056</v>
      </c>
    </row>
    <row r="2753" s="1" customFormat="1" spans="1:21">
      <c r="A2753" s="1" t="str">
        <f>"4601992050905"</f>
        <v>4601992050905</v>
      </c>
      <c r="B2753" s="1" t="s">
        <v>2776</v>
      </c>
      <c r="C2753" s="1" t="s">
        <v>24</v>
      </c>
      <c r="D2753" s="1" t="str">
        <f t="shared" si="5412"/>
        <v>2021</v>
      </c>
      <c r="E2753" s="1" t="str">
        <f t="shared" ref="E2753:P2753" si="5541">"0"</f>
        <v>0</v>
      </c>
      <c r="F2753" s="1" t="str">
        <f t="shared" si="5541"/>
        <v>0</v>
      </c>
      <c r="G2753" s="1" t="str">
        <f t="shared" si="5541"/>
        <v>0</v>
      </c>
      <c r="H2753" s="1" t="str">
        <f t="shared" si="5541"/>
        <v>0</v>
      </c>
      <c r="I2753" s="1" t="str">
        <f t="shared" si="5541"/>
        <v>0</v>
      </c>
      <c r="J2753" s="1" t="str">
        <f t="shared" si="5541"/>
        <v>0</v>
      </c>
      <c r="K2753" s="1" t="str">
        <f t="shared" si="5541"/>
        <v>0</v>
      </c>
      <c r="L2753" s="1" t="str">
        <f t="shared" si="5541"/>
        <v>0</v>
      </c>
      <c r="M2753" s="1" t="str">
        <f t="shared" si="5541"/>
        <v>0</v>
      </c>
      <c r="N2753" s="1" t="str">
        <f t="shared" si="5541"/>
        <v>0</v>
      </c>
      <c r="O2753" s="1" t="str">
        <f t="shared" si="5541"/>
        <v>0</v>
      </c>
      <c r="P2753" s="1" t="str">
        <f t="shared" si="5541"/>
        <v>0</v>
      </c>
      <c r="Q2753" s="1" t="str">
        <f t="shared" si="5415"/>
        <v>0.0070</v>
      </c>
      <c r="R2753" s="1" t="s">
        <v>25</v>
      </c>
      <c r="T2753" s="1" t="str">
        <f t="shared" si="5416"/>
        <v>0</v>
      </c>
      <c r="U2753" s="1" t="str">
        <f t="shared" ref="U2753:U2756" si="5542">"0.0070"</f>
        <v>0.0070</v>
      </c>
    </row>
    <row r="2754" s="1" customFormat="1" spans="1:21">
      <c r="A2754" s="1" t="str">
        <f>"4601992050888"</f>
        <v>4601992050888</v>
      </c>
      <c r="B2754" s="1" t="s">
        <v>2777</v>
      </c>
      <c r="C2754" s="1" t="s">
        <v>24</v>
      </c>
      <c r="D2754" s="1" t="str">
        <f t="shared" si="5412"/>
        <v>2021</v>
      </c>
      <c r="E2754" s="1" t="str">
        <f>"36.27"</f>
        <v>36.27</v>
      </c>
      <c r="F2754" s="1" t="str">
        <f t="shared" ref="F2754:I2754" si="5543">"0"</f>
        <v>0</v>
      </c>
      <c r="G2754" s="1" t="str">
        <f t="shared" si="5543"/>
        <v>0</v>
      </c>
      <c r="H2754" s="1" t="str">
        <f t="shared" si="5543"/>
        <v>0</v>
      </c>
      <c r="I2754" s="1" t="str">
        <f t="shared" si="5543"/>
        <v>0</v>
      </c>
      <c r="J2754" s="1" t="str">
        <f>"3"</f>
        <v>3</v>
      </c>
      <c r="K2754" s="1" t="str">
        <f t="shared" ref="K2754:P2754" si="5544">"0"</f>
        <v>0</v>
      </c>
      <c r="L2754" s="1" t="str">
        <f t="shared" si="5544"/>
        <v>0</v>
      </c>
      <c r="M2754" s="1" t="str">
        <f t="shared" si="5544"/>
        <v>0</v>
      </c>
      <c r="N2754" s="1" t="str">
        <f t="shared" si="5544"/>
        <v>0</v>
      </c>
      <c r="O2754" s="1" t="str">
        <f t="shared" si="5544"/>
        <v>0</v>
      </c>
      <c r="P2754" s="1" t="str">
        <f t="shared" si="5544"/>
        <v>0</v>
      </c>
      <c r="Q2754" s="1" t="str">
        <f t="shared" si="5415"/>
        <v>0.0070</v>
      </c>
      <c r="R2754" s="1" t="s">
        <v>29</v>
      </c>
      <c r="S2754" s="1">
        <v>-0.0014</v>
      </c>
      <c r="T2754" s="1" t="str">
        <f t="shared" si="5416"/>
        <v>0</v>
      </c>
      <c r="U2754" s="1" t="str">
        <f t="shared" ref="U2754:U2763" si="5545">"0.0056"</f>
        <v>0.0056</v>
      </c>
    </row>
    <row r="2755" s="1" customFormat="1" spans="1:21">
      <c r="A2755" s="1" t="str">
        <f>"4601992050962"</f>
        <v>4601992050962</v>
      </c>
      <c r="B2755" s="1" t="s">
        <v>2778</v>
      </c>
      <c r="C2755" s="1" t="s">
        <v>24</v>
      </c>
      <c r="D2755" s="1" t="str">
        <f t="shared" ref="D2755:D2818" si="5546">"2021"</f>
        <v>2021</v>
      </c>
      <c r="E2755" s="1" t="str">
        <f t="shared" ref="E2755:P2755" si="5547">"0"</f>
        <v>0</v>
      </c>
      <c r="F2755" s="1" t="str">
        <f t="shared" si="5547"/>
        <v>0</v>
      </c>
      <c r="G2755" s="1" t="str">
        <f t="shared" si="5547"/>
        <v>0</v>
      </c>
      <c r="H2755" s="1" t="str">
        <f t="shared" si="5547"/>
        <v>0</v>
      </c>
      <c r="I2755" s="1" t="str">
        <f t="shared" si="5547"/>
        <v>0</v>
      </c>
      <c r="J2755" s="1" t="str">
        <f t="shared" si="5547"/>
        <v>0</v>
      </c>
      <c r="K2755" s="1" t="str">
        <f t="shared" si="5547"/>
        <v>0</v>
      </c>
      <c r="L2755" s="1" t="str">
        <f t="shared" si="5547"/>
        <v>0</v>
      </c>
      <c r="M2755" s="1" t="str">
        <f t="shared" si="5547"/>
        <v>0</v>
      </c>
      <c r="N2755" s="1" t="str">
        <f t="shared" si="5547"/>
        <v>0</v>
      </c>
      <c r="O2755" s="1" t="str">
        <f t="shared" si="5547"/>
        <v>0</v>
      </c>
      <c r="P2755" s="1" t="str">
        <f t="shared" si="5547"/>
        <v>0</v>
      </c>
      <c r="Q2755" s="1" t="str">
        <f t="shared" ref="Q2755:Q2818" si="5548">"0.0070"</f>
        <v>0.0070</v>
      </c>
      <c r="R2755" s="1" t="s">
        <v>25</v>
      </c>
      <c r="T2755" s="1" t="str">
        <f t="shared" ref="T2755:T2818" si="5549">"0"</f>
        <v>0</v>
      </c>
      <c r="U2755" s="1" t="str">
        <f t="shared" si="5542"/>
        <v>0.0070</v>
      </c>
    </row>
    <row r="2756" s="1" customFormat="1" spans="1:21">
      <c r="A2756" s="1" t="str">
        <f>"4601992050952"</f>
        <v>4601992050952</v>
      </c>
      <c r="B2756" s="1" t="s">
        <v>2779</v>
      </c>
      <c r="C2756" s="1" t="s">
        <v>24</v>
      </c>
      <c r="D2756" s="1" t="str">
        <f t="shared" si="5546"/>
        <v>2021</v>
      </c>
      <c r="E2756" s="1" t="str">
        <f>"60.45"</f>
        <v>60.45</v>
      </c>
      <c r="F2756" s="1" t="str">
        <f t="shared" ref="F2756:I2756" si="5550">"0"</f>
        <v>0</v>
      </c>
      <c r="G2756" s="1" t="str">
        <f t="shared" si="5550"/>
        <v>0</v>
      </c>
      <c r="H2756" s="1" t="str">
        <f t="shared" si="5550"/>
        <v>0</v>
      </c>
      <c r="I2756" s="1" t="str">
        <f t="shared" si="5550"/>
        <v>0</v>
      </c>
      <c r="J2756" s="1" t="str">
        <f>"4"</f>
        <v>4</v>
      </c>
      <c r="K2756" s="1" t="str">
        <f t="shared" ref="K2756:P2756" si="5551">"0"</f>
        <v>0</v>
      </c>
      <c r="L2756" s="1" t="str">
        <f t="shared" si="5551"/>
        <v>0</v>
      </c>
      <c r="M2756" s="1" t="str">
        <f t="shared" si="5551"/>
        <v>0</v>
      </c>
      <c r="N2756" s="1" t="str">
        <f t="shared" si="5551"/>
        <v>0</v>
      </c>
      <c r="O2756" s="1" t="str">
        <f t="shared" si="5551"/>
        <v>0</v>
      </c>
      <c r="P2756" s="1" t="str">
        <f t="shared" si="5551"/>
        <v>0</v>
      </c>
      <c r="Q2756" s="1" t="str">
        <f t="shared" si="5548"/>
        <v>0.0070</v>
      </c>
      <c r="R2756" s="1" t="s">
        <v>25</v>
      </c>
      <c r="T2756" s="1" t="str">
        <f t="shared" si="5549"/>
        <v>0</v>
      </c>
      <c r="U2756" s="1" t="str">
        <f t="shared" si="5542"/>
        <v>0.0070</v>
      </c>
    </row>
    <row r="2757" s="1" customFormat="1" spans="1:21">
      <c r="A2757" s="1" t="str">
        <f>"4601992050970"</f>
        <v>4601992050970</v>
      </c>
      <c r="B2757" s="1" t="s">
        <v>2780</v>
      </c>
      <c r="C2757" s="1" t="s">
        <v>24</v>
      </c>
      <c r="D2757" s="1" t="str">
        <f t="shared" si="5546"/>
        <v>2021</v>
      </c>
      <c r="E2757" s="1" t="str">
        <f>"72.21"</f>
        <v>72.21</v>
      </c>
      <c r="F2757" s="1" t="str">
        <f t="shared" ref="F2757:I2757" si="5552">"0"</f>
        <v>0</v>
      </c>
      <c r="G2757" s="1" t="str">
        <f t="shared" si="5552"/>
        <v>0</v>
      </c>
      <c r="H2757" s="1" t="str">
        <f t="shared" si="5552"/>
        <v>0</v>
      </c>
      <c r="I2757" s="1" t="str">
        <f t="shared" si="5552"/>
        <v>0</v>
      </c>
      <c r="J2757" s="1" t="str">
        <f>"6"</f>
        <v>6</v>
      </c>
      <c r="K2757" s="1" t="str">
        <f t="shared" ref="K2757:P2757" si="5553">"0"</f>
        <v>0</v>
      </c>
      <c r="L2757" s="1" t="str">
        <f t="shared" si="5553"/>
        <v>0</v>
      </c>
      <c r="M2757" s="1" t="str">
        <f t="shared" si="5553"/>
        <v>0</v>
      </c>
      <c r="N2757" s="1" t="str">
        <f t="shared" si="5553"/>
        <v>0</v>
      </c>
      <c r="O2757" s="1" t="str">
        <f t="shared" si="5553"/>
        <v>0</v>
      </c>
      <c r="P2757" s="1" t="str">
        <f t="shared" si="5553"/>
        <v>0</v>
      </c>
      <c r="Q2757" s="1" t="str">
        <f t="shared" si="5548"/>
        <v>0.0070</v>
      </c>
      <c r="R2757" s="1" t="s">
        <v>29</v>
      </c>
      <c r="S2757" s="1">
        <v>-0.0014</v>
      </c>
      <c r="T2757" s="1" t="str">
        <f t="shared" si="5549"/>
        <v>0</v>
      </c>
      <c r="U2757" s="1" t="str">
        <f t="shared" si="5545"/>
        <v>0.0056</v>
      </c>
    </row>
    <row r="2758" s="1" customFormat="1" spans="1:21">
      <c r="A2758" s="1" t="str">
        <f>"4601992051006"</f>
        <v>4601992051006</v>
      </c>
      <c r="B2758" s="1" t="s">
        <v>2781</v>
      </c>
      <c r="C2758" s="1" t="s">
        <v>24</v>
      </c>
      <c r="D2758" s="1" t="str">
        <f t="shared" si="5546"/>
        <v>2021</v>
      </c>
      <c r="E2758" s="1" t="str">
        <f>"36.59"</f>
        <v>36.59</v>
      </c>
      <c r="F2758" s="1" t="str">
        <f t="shared" ref="F2758:I2758" si="5554">"0"</f>
        <v>0</v>
      </c>
      <c r="G2758" s="1" t="str">
        <f t="shared" si="5554"/>
        <v>0</v>
      </c>
      <c r="H2758" s="1" t="str">
        <f t="shared" si="5554"/>
        <v>0</v>
      </c>
      <c r="I2758" s="1" t="str">
        <f t="shared" si="5554"/>
        <v>0</v>
      </c>
      <c r="J2758" s="1" t="str">
        <f>"3"</f>
        <v>3</v>
      </c>
      <c r="K2758" s="1" t="str">
        <f t="shared" ref="K2758:P2758" si="5555">"0"</f>
        <v>0</v>
      </c>
      <c r="L2758" s="1" t="str">
        <f t="shared" si="5555"/>
        <v>0</v>
      </c>
      <c r="M2758" s="1" t="str">
        <f t="shared" si="5555"/>
        <v>0</v>
      </c>
      <c r="N2758" s="1" t="str">
        <f t="shared" si="5555"/>
        <v>0</v>
      </c>
      <c r="O2758" s="1" t="str">
        <f t="shared" si="5555"/>
        <v>0</v>
      </c>
      <c r="P2758" s="1" t="str">
        <f t="shared" si="5555"/>
        <v>0</v>
      </c>
      <c r="Q2758" s="1" t="str">
        <f t="shared" si="5548"/>
        <v>0.0070</v>
      </c>
      <c r="R2758" s="1" t="s">
        <v>29</v>
      </c>
      <c r="S2758" s="1">
        <v>-0.0014</v>
      </c>
      <c r="T2758" s="1" t="str">
        <f t="shared" si="5549"/>
        <v>0</v>
      </c>
      <c r="U2758" s="1" t="str">
        <f t="shared" si="5545"/>
        <v>0.0056</v>
      </c>
    </row>
    <row r="2759" s="1" customFormat="1" spans="1:21">
      <c r="A2759" s="1" t="str">
        <f>"4601992050981"</f>
        <v>4601992050981</v>
      </c>
      <c r="B2759" s="1" t="s">
        <v>2782</v>
      </c>
      <c r="C2759" s="1" t="s">
        <v>24</v>
      </c>
      <c r="D2759" s="1" t="str">
        <f t="shared" si="5546"/>
        <v>2021</v>
      </c>
      <c r="E2759" s="1" t="str">
        <f>"60.34"</f>
        <v>60.34</v>
      </c>
      <c r="F2759" s="1" t="str">
        <f t="shared" ref="F2759:I2759" si="5556">"0"</f>
        <v>0</v>
      </c>
      <c r="G2759" s="1" t="str">
        <f t="shared" si="5556"/>
        <v>0</v>
      </c>
      <c r="H2759" s="1" t="str">
        <f t="shared" si="5556"/>
        <v>0</v>
      </c>
      <c r="I2759" s="1" t="str">
        <f t="shared" si="5556"/>
        <v>0</v>
      </c>
      <c r="J2759" s="1" t="str">
        <f t="shared" ref="J2759:J2762" si="5557">"5"</f>
        <v>5</v>
      </c>
      <c r="K2759" s="1" t="str">
        <f t="shared" ref="K2759:P2759" si="5558">"0"</f>
        <v>0</v>
      </c>
      <c r="L2759" s="1" t="str">
        <f t="shared" si="5558"/>
        <v>0</v>
      </c>
      <c r="M2759" s="1" t="str">
        <f t="shared" si="5558"/>
        <v>0</v>
      </c>
      <c r="N2759" s="1" t="str">
        <f t="shared" si="5558"/>
        <v>0</v>
      </c>
      <c r="O2759" s="1" t="str">
        <f t="shared" si="5558"/>
        <v>0</v>
      </c>
      <c r="P2759" s="1" t="str">
        <f t="shared" si="5558"/>
        <v>0</v>
      </c>
      <c r="Q2759" s="1" t="str">
        <f t="shared" si="5548"/>
        <v>0.0070</v>
      </c>
      <c r="R2759" s="1" t="s">
        <v>29</v>
      </c>
      <c r="S2759" s="1">
        <v>-0.0014</v>
      </c>
      <c r="T2759" s="1" t="str">
        <f t="shared" si="5549"/>
        <v>0</v>
      </c>
      <c r="U2759" s="1" t="str">
        <f t="shared" si="5545"/>
        <v>0.0056</v>
      </c>
    </row>
    <row r="2760" s="1" customFormat="1" spans="1:21">
      <c r="A2760" s="1" t="str">
        <f>"4601992051002"</f>
        <v>4601992051002</v>
      </c>
      <c r="B2760" s="1" t="s">
        <v>2783</v>
      </c>
      <c r="C2760" s="1" t="s">
        <v>24</v>
      </c>
      <c r="D2760" s="1" t="str">
        <f t="shared" si="5546"/>
        <v>2021</v>
      </c>
      <c r="E2760" s="1" t="str">
        <f>"60.45"</f>
        <v>60.45</v>
      </c>
      <c r="F2760" s="1" t="str">
        <f t="shared" ref="F2760:I2760" si="5559">"0"</f>
        <v>0</v>
      </c>
      <c r="G2760" s="1" t="str">
        <f t="shared" si="5559"/>
        <v>0</v>
      </c>
      <c r="H2760" s="1" t="str">
        <f t="shared" si="5559"/>
        <v>0</v>
      </c>
      <c r="I2760" s="1" t="str">
        <f t="shared" si="5559"/>
        <v>0</v>
      </c>
      <c r="J2760" s="1" t="str">
        <f>"6"</f>
        <v>6</v>
      </c>
      <c r="K2760" s="1" t="str">
        <f t="shared" ref="K2760:P2760" si="5560">"0"</f>
        <v>0</v>
      </c>
      <c r="L2760" s="1" t="str">
        <f t="shared" si="5560"/>
        <v>0</v>
      </c>
      <c r="M2760" s="1" t="str">
        <f t="shared" si="5560"/>
        <v>0</v>
      </c>
      <c r="N2760" s="1" t="str">
        <f t="shared" si="5560"/>
        <v>0</v>
      </c>
      <c r="O2760" s="1" t="str">
        <f t="shared" si="5560"/>
        <v>0</v>
      </c>
      <c r="P2760" s="1" t="str">
        <f t="shared" si="5560"/>
        <v>0</v>
      </c>
      <c r="Q2760" s="1" t="str">
        <f t="shared" si="5548"/>
        <v>0.0070</v>
      </c>
      <c r="R2760" s="1" t="s">
        <v>29</v>
      </c>
      <c r="S2760" s="1">
        <v>-0.0014</v>
      </c>
      <c r="T2760" s="1" t="str">
        <f t="shared" si="5549"/>
        <v>0</v>
      </c>
      <c r="U2760" s="1" t="str">
        <f t="shared" si="5545"/>
        <v>0.0056</v>
      </c>
    </row>
    <row r="2761" s="1" customFormat="1" spans="1:21">
      <c r="A2761" s="1" t="str">
        <f>"4601992051008"</f>
        <v>4601992051008</v>
      </c>
      <c r="B2761" s="1" t="s">
        <v>2784</v>
      </c>
      <c r="C2761" s="1" t="s">
        <v>24</v>
      </c>
      <c r="D2761" s="1" t="str">
        <f t="shared" si="5546"/>
        <v>2021</v>
      </c>
      <c r="E2761" s="1" t="str">
        <f>"72.32"</f>
        <v>72.32</v>
      </c>
      <c r="F2761" s="1" t="str">
        <f t="shared" ref="F2761:I2761" si="5561">"0"</f>
        <v>0</v>
      </c>
      <c r="G2761" s="1" t="str">
        <f t="shared" si="5561"/>
        <v>0</v>
      </c>
      <c r="H2761" s="1" t="str">
        <f t="shared" si="5561"/>
        <v>0</v>
      </c>
      <c r="I2761" s="1" t="str">
        <f t="shared" si="5561"/>
        <v>0</v>
      </c>
      <c r="J2761" s="1" t="str">
        <f t="shared" si="5557"/>
        <v>5</v>
      </c>
      <c r="K2761" s="1" t="str">
        <f t="shared" ref="K2761:P2761" si="5562">"0"</f>
        <v>0</v>
      </c>
      <c r="L2761" s="1" t="str">
        <f t="shared" si="5562"/>
        <v>0</v>
      </c>
      <c r="M2761" s="1" t="str">
        <f t="shared" si="5562"/>
        <v>0</v>
      </c>
      <c r="N2761" s="1" t="str">
        <f t="shared" si="5562"/>
        <v>0</v>
      </c>
      <c r="O2761" s="1" t="str">
        <f t="shared" si="5562"/>
        <v>0</v>
      </c>
      <c r="P2761" s="1" t="str">
        <f t="shared" si="5562"/>
        <v>0</v>
      </c>
      <c r="Q2761" s="1" t="str">
        <f t="shared" si="5548"/>
        <v>0.0070</v>
      </c>
      <c r="R2761" s="1" t="s">
        <v>29</v>
      </c>
      <c r="S2761" s="1">
        <v>-0.0014</v>
      </c>
      <c r="T2761" s="1" t="str">
        <f t="shared" si="5549"/>
        <v>0</v>
      </c>
      <c r="U2761" s="1" t="str">
        <f t="shared" si="5545"/>
        <v>0.0056</v>
      </c>
    </row>
    <row r="2762" s="1" customFormat="1" spans="1:21">
      <c r="A2762" s="1" t="str">
        <f>"4601992051014"</f>
        <v>4601992051014</v>
      </c>
      <c r="B2762" s="1" t="s">
        <v>2785</v>
      </c>
      <c r="C2762" s="1" t="s">
        <v>24</v>
      </c>
      <c r="D2762" s="1" t="str">
        <f t="shared" si="5546"/>
        <v>2021</v>
      </c>
      <c r="E2762" s="1" t="str">
        <f>"49.00"</f>
        <v>49.00</v>
      </c>
      <c r="F2762" s="1" t="str">
        <f t="shared" ref="F2762:I2762" si="5563">"0"</f>
        <v>0</v>
      </c>
      <c r="G2762" s="1" t="str">
        <f t="shared" si="5563"/>
        <v>0</v>
      </c>
      <c r="H2762" s="1" t="str">
        <f t="shared" si="5563"/>
        <v>0</v>
      </c>
      <c r="I2762" s="1" t="str">
        <f t="shared" si="5563"/>
        <v>0</v>
      </c>
      <c r="J2762" s="1" t="str">
        <f t="shared" si="5557"/>
        <v>5</v>
      </c>
      <c r="K2762" s="1" t="str">
        <f t="shared" ref="K2762:P2762" si="5564">"0"</f>
        <v>0</v>
      </c>
      <c r="L2762" s="1" t="str">
        <f t="shared" si="5564"/>
        <v>0</v>
      </c>
      <c r="M2762" s="1" t="str">
        <f t="shared" si="5564"/>
        <v>0</v>
      </c>
      <c r="N2762" s="1" t="str">
        <f t="shared" si="5564"/>
        <v>0</v>
      </c>
      <c r="O2762" s="1" t="str">
        <f t="shared" si="5564"/>
        <v>0</v>
      </c>
      <c r="P2762" s="1" t="str">
        <f t="shared" si="5564"/>
        <v>0</v>
      </c>
      <c r="Q2762" s="1" t="str">
        <f t="shared" si="5548"/>
        <v>0.0070</v>
      </c>
      <c r="R2762" s="1" t="s">
        <v>29</v>
      </c>
      <c r="S2762" s="1">
        <v>-0.0014</v>
      </c>
      <c r="T2762" s="1" t="str">
        <f t="shared" si="5549"/>
        <v>0</v>
      </c>
      <c r="U2762" s="1" t="str">
        <f t="shared" si="5545"/>
        <v>0.0056</v>
      </c>
    </row>
    <row r="2763" s="1" customFormat="1" spans="1:21">
      <c r="A2763" s="1" t="str">
        <f>"4601992051076"</f>
        <v>4601992051076</v>
      </c>
      <c r="B2763" s="1" t="s">
        <v>2786</v>
      </c>
      <c r="C2763" s="1" t="s">
        <v>24</v>
      </c>
      <c r="D2763" s="1" t="str">
        <f t="shared" si="5546"/>
        <v>2021</v>
      </c>
      <c r="E2763" s="1" t="str">
        <f>"36.16"</f>
        <v>36.16</v>
      </c>
      <c r="F2763" s="1" t="str">
        <f t="shared" ref="F2763:I2763" si="5565">"0"</f>
        <v>0</v>
      </c>
      <c r="G2763" s="1" t="str">
        <f t="shared" si="5565"/>
        <v>0</v>
      </c>
      <c r="H2763" s="1" t="str">
        <f t="shared" si="5565"/>
        <v>0</v>
      </c>
      <c r="I2763" s="1" t="str">
        <f t="shared" si="5565"/>
        <v>0</v>
      </c>
      <c r="J2763" s="1" t="str">
        <f>"1"</f>
        <v>1</v>
      </c>
      <c r="K2763" s="1" t="str">
        <f t="shared" ref="K2763:P2763" si="5566">"0"</f>
        <v>0</v>
      </c>
      <c r="L2763" s="1" t="str">
        <f t="shared" si="5566"/>
        <v>0</v>
      </c>
      <c r="M2763" s="1" t="str">
        <f t="shared" si="5566"/>
        <v>0</v>
      </c>
      <c r="N2763" s="1" t="str">
        <f t="shared" si="5566"/>
        <v>0</v>
      </c>
      <c r="O2763" s="1" t="str">
        <f t="shared" si="5566"/>
        <v>0</v>
      </c>
      <c r="P2763" s="1" t="str">
        <f t="shared" si="5566"/>
        <v>0</v>
      </c>
      <c r="Q2763" s="1" t="str">
        <f t="shared" si="5548"/>
        <v>0.0070</v>
      </c>
      <c r="R2763" s="1" t="s">
        <v>29</v>
      </c>
      <c r="S2763" s="1">
        <v>-0.0014</v>
      </c>
      <c r="T2763" s="1" t="str">
        <f t="shared" si="5549"/>
        <v>0</v>
      </c>
      <c r="U2763" s="1" t="str">
        <f t="shared" si="5545"/>
        <v>0.0056</v>
      </c>
    </row>
    <row r="2764" s="1" customFormat="1" spans="1:21">
      <c r="A2764" s="1" t="str">
        <f>"4601992051086"</f>
        <v>4601992051086</v>
      </c>
      <c r="B2764" s="1" t="s">
        <v>2787</v>
      </c>
      <c r="C2764" s="1" t="s">
        <v>24</v>
      </c>
      <c r="D2764" s="1" t="str">
        <f t="shared" si="5546"/>
        <v>2021</v>
      </c>
      <c r="E2764" s="1" t="str">
        <f>"12.09"</f>
        <v>12.09</v>
      </c>
      <c r="F2764" s="1" t="str">
        <f t="shared" ref="F2764:I2764" si="5567">"0"</f>
        <v>0</v>
      </c>
      <c r="G2764" s="1" t="str">
        <f t="shared" si="5567"/>
        <v>0</v>
      </c>
      <c r="H2764" s="1" t="str">
        <f t="shared" si="5567"/>
        <v>0</v>
      </c>
      <c r="I2764" s="1" t="str">
        <f t="shared" si="5567"/>
        <v>0</v>
      </c>
      <c r="J2764" s="1" t="str">
        <f>"1"</f>
        <v>1</v>
      </c>
      <c r="K2764" s="1" t="str">
        <f t="shared" ref="K2764:P2764" si="5568">"0"</f>
        <v>0</v>
      </c>
      <c r="L2764" s="1" t="str">
        <f t="shared" si="5568"/>
        <v>0</v>
      </c>
      <c r="M2764" s="1" t="str">
        <f t="shared" si="5568"/>
        <v>0</v>
      </c>
      <c r="N2764" s="1" t="str">
        <f t="shared" si="5568"/>
        <v>0</v>
      </c>
      <c r="O2764" s="1" t="str">
        <f t="shared" si="5568"/>
        <v>0</v>
      </c>
      <c r="P2764" s="1" t="str">
        <f t="shared" si="5568"/>
        <v>0</v>
      </c>
      <c r="Q2764" s="1" t="str">
        <f t="shared" si="5548"/>
        <v>0.0070</v>
      </c>
      <c r="R2764" s="1" t="s">
        <v>25</v>
      </c>
      <c r="T2764" s="1" t="str">
        <f t="shared" si="5549"/>
        <v>0</v>
      </c>
      <c r="U2764" s="1" t="str">
        <f t="shared" ref="U2764:U2773" si="5569">"0.0070"</f>
        <v>0.0070</v>
      </c>
    </row>
    <row r="2765" s="1" customFormat="1" spans="1:21">
      <c r="A2765" s="1" t="str">
        <f>"4601992051043"</f>
        <v>4601992051043</v>
      </c>
      <c r="B2765" s="1" t="s">
        <v>2788</v>
      </c>
      <c r="C2765" s="1" t="s">
        <v>24</v>
      </c>
      <c r="D2765" s="1" t="str">
        <f t="shared" si="5546"/>
        <v>2021</v>
      </c>
      <c r="E2765" s="1" t="str">
        <f>"48.25"</f>
        <v>48.25</v>
      </c>
      <c r="F2765" s="1" t="str">
        <f t="shared" ref="F2765:I2765" si="5570">"0"</f>
        <v>0</v>
      </c>
      <c r="G2765" s="1" t="str">
        <f t="shared" si="5570"/>
        <v>0</v>
      </c>
      <c r="H2765" s="1" t="str">
        <f t="shared" si="5570"/>
        <v>0</v>
      </c>
      <c r="I2765" s="1" t="str">
        <f t="shared" si="5570"/>
        <v>0</v>
      </c>
      <c r="J2765" s="1" t="str">
        <f>"10"</f>
        <v>10</v>
      </c>
      <c r="K2765" s="1" t="str">
        <f t="shared" ref="K2765:P2765" si="5571">"0"</f>
        <v>0</v>
      </c>
      <c r="L2765" s="1" t="str">
        <f t="shared" si="5571"/>
        <v>0</v>
      </c>
      <c r="M2765" s="1" t="str">
        <f t="shared" si="5571"/>
        <v>0</v>
      </c>
      <c r="N2765" s="1" t="str">
        <f t="shared" si="5571"/>
        <v>0</v>
      </c>
      <c r="O2765" s="1" t="str">
        <f t="shared" si="5571"/>
        <v>0</v>
      </c>
      <c r="P2765" s="1" t="str">
        <f t="shared" si="5571"/>
        <v>0</v>
      </c>
      <c r="Q2765" s="1" t="str">
        <f t="shared" si="5548"/>
        <v>0.0070</v>
      </c>
      <c r="R2765" s="1" t="s">
        <v>29</v>
      </c>
      <c r="S2765" s="1">
        <v>-0.0014</v>
      </c>
      <c r="T2765" s="1" t="str">
        <f t="shared" si="5549"/>
        <v>0</v>
      </c>
      <c r="U2765" s="1" t="str">
        <f>"0.0056"</f>
        <v>0.0056</v>
      </c>
    </row>
    <row r="2766" s="1" customFormat="1" spans="1:21">
      <c r="A2766" s="1" t="str">
        <f>"4601992051125"</f>
        <v>4601992051125</v>
      </c>
      <c r="B2766" s="1" t="s">
        <v>2789</v>
      </c>
      <c r="C2766" s="1" t="s">
        <v>24</v>
      </c>
      <c r="D2766" s="1" t="str">
        <f t="shared" si="5546"/>
        <v>2021</v>
      </c>
      <c r="E2766" s="1" t="str">
        <f>"196.12"</f>
        <v>196.12</v>
      </c>
      <c r="F2766" s="1" t="str">
        <f t="shared" ref="F2766:I2766" si="5572">"0"</f>
        <v>0</v>
      </c>
      <c r="G2766" s="1" t="str">
        <f t="shared" si="5572"/>
        <v>0</v>
      </c>
      <c r="H2766" s="1" t="str">
        <f t="shared" si="5572"/>
        <v>0</v>
      </c>
      <c r="I2766" s="1" t="str">
        <f t="shared" si="5572"/>
        <v>0</v>
      </c>
      <c r="J2766" s="1" t="str">
        <f>"6"</f>
        <v>6</v>
      </c>
      <c r="K2766" s="1" t="str">
        <f t="shared" ref="K2766:P2766" si="5573">"0"</f>
        <v>0</v>
      </c>
      <c r="L2766" s="1" t="str">
        <f t="shared" si="5573"/>
        <v>0</v>
      </c>
      <c r="M2766" s="1" t="str">
        <f t="shared" si="5573"/>
        <v>0</v>
      </c>
      <c r="N2766" s="1" t="str">
        <f t="shared" si="5573"/>
        <v>0</v>
      </c>
      <c r="O2766" s="1" t="str">
        <f t="shared" si="5573"/>
        <v>0</v>
      </c>
      <c r="P2766" s="1" t="str">
        <f t="shared" si="5573"/>
        <v>0</v>
      </c>
      <c r="Q2766" s="1" t="str">
        <f t="shared" si="5548"/>
        <v>0.0070</v>
      </c>
      <c r="R2766" s="1" t="s">
        <v>29</v>
      </c>
      <c r="S2766" s="1">
        <v>-0.0014</v>
      </c>
      <c r="T2766" s="1" t="str">
        <f t="shared" si="5549"/>
        <v>0</v>
      </c>
      <c r="U2766" s="1" t="str">
        <f>"0.0056"</f>
        <v>0.0056</v>
      </c>
    </row>
    <row r="2767" s="1" customFormat="1" spans="1:21">
      <c r="A2767" s="1" t="str">
        <f>"4601992051111"</f>
        <v>4601992051111</v>
      </c>
      <c r="B2767" s="1" t="s">
        <v>2790</v>
      </c>
      <c r="C2767" s="1" t="s">
        <v>24</v>
      </c>
      <c r="D2767" s="1" t="str">
        <f t="shared" si="5546"/>
        <v>2021</v>
      </c>
      <c r="E2767" s="1" t="str">
        <f t="shared" ref="E2767:P2767" si="5574">"0"</f>
        <v>0</v>
      </c>
      <c r="F2767" s="1" t="str">
        <f t="shared" si="5574"/>
        <v>0</v>
      </c>
      <c r="G2767" s="1" t="str">
        <f t="shared" si="5574"/>
        <v>0</v>
      </c>
      <c r="H2767" s="1" t="str">
        <f t="shared" si="5574"/>
        <v>0</v>
      </c>
      <c r="I2767" s="1" t="str">
        <f t="shared" si="5574"/>
        <v>0</v>
      </c>
      <c r="J2767" s="1" t="str">
        <f t="shared" si="5574"/>
        <v>0</v>
      </c>
      <c r="K2767" s="1" t="str">
        <f t="shared" si="5574"/>
        <v>0</v>
      </c>
      <c r="L2767" s="1" t="str">
        <f t="shared" si="5574"/>
        <v>0</v>
      </c>
      <c r="M2767" s="1" t="str">
        <f t="shared" si="5574"/>
        <v>0</v>
      </c>
      <c r="N2767" s="1" t="str">
        <f t="shared" si="5574"/>
        <v>0</v>
      </c>
      <c r="O2767" s="1" t="str">
        <f t="shared" si="5574"/>
        <v>0</v>
      </c>
      <c r="P2767" s="1" t="str">
        <f t="shared" si="5574"/>
        <v>0</v>
      </c>
      <c r="Q2767" s="1" t="str">
        <f t="shared" si="5548"/>
        <v>0.0070</v>
      </c>
      <c r="R2767" s="1" t="s">
        <v>25</v>
      </c>
      <c r="T2767" s="1" t="str">
        <f t="shared" si="5549"/>
        <v>0</v>
      </c>
      <c r="U2767" s="1" t="str">
        <f t="shared" si="5569"/>
        <v>0.0070</v>
      </c>
    </row>
    <row r="2768" s="1" customFormat="1" spans="1:21">
      <c r="A2768" s="1" t="str">
        <f>"4601992051244"</f>
        <v>4601992051244</v>
      </c>
      <c r="B2768" s="1" t="s">
        <v>2791</v>
      </c>
      <c r="C2768" s="1" t="s">
        <v>24</v>
      </c>
      <c r="D2768" s="1" t="str">
        <f t="shared" si="5546"/>
        <v>2021</v>
      </c>
      <c r="E2768" s="1" t="str">
        <f t="shared" ref="E2768:G2768" si="5575">"0"</f>
        <v>0</v>
      </c>
      <c r="F2768" s="1" t="str">
        <f t="shared" si="5575"/>
        <v>0</v>
      </c>
      <c r="G2768" s="1" t="str">
        <f t="shared" si="5575"/>
        <v>0</v>
      </c>
      <c r="H2768" s="1" t="str">
        <f>"24.18"</f>
        <v>24.18</v>
      </c>
      <c r="I2768" s="1" t="str">
        <f t="shared" ref="I2768:P2768" si="5576">"0"</f>
        <v>0</v>
      </c>
      <c r="J2768" s="1" t="str">
        <f t="shared" si="5576"/>
        <v>0</v>
      </c>
      <c r="K2768" s="1" t="str">
        <f t="shared" si="5576"/>
        <v>0</v>
      </c>
      <c r="L2768" s="1" t="str">
        <f t="shared" si="5576"/>
        <v>0</v>
      </c>
      <c r="M2768" s="1" t="str">
        <f t="shared" si="5576"/>
        <v>0</v>
      </c>
      <c r="N2768" s="1" t="str">
        <f t="shared" si="5576"/>
        <v>0</v>
      </c>
      <c r="O2768" s="1" t="str">
        <f t="shared" si="5576"/>
        <v>0</v>
      </c>
      <c r="P2768" s="1" t="str">
        <f t="shared" si="5576"/>
        <v>0</v>
      </c>
      <c r="Q2768" s="1" t="str">
        <f t="shared" si="5548"/>
        <v>0.0070</v>
      </c>
      <c r="R2768" s="1" t="s">
        <v>25</v>
      </c>
      <c r="T2768" s="1" t="str">
        <f t="shared" si="5549"/>
        <v>0</v>
      </c>
      <c r="U2768" s="1" t="str">
        <f t="shared" si="5569"/>
        <v>0.0070</v>
      </c>
    </row>
    <row r="2769" s="1" customFormat="1" spans="1:21">
      <c r="A2769" s="1" t="str">
        <f>"4601992051299"</f>
        <v>4601992051299</v>
      </c>
      <c r="B2769" s="1" t="s">
        <v>2792</v>
      </c>
      <c r="C2769" s="1" t="s">
        <v>24</v>
      </c>
      <c r="D2769" s="1" t="str">
        <f t="shared" si="5546"/>
        <v>2021</v>
      </c>
      <c r="E2769" s="1" t="str">
        <f t="shared" ref="E2769:G2769" si="5577">"0"</f>
        <v>0</v>
      </c>
      <c r="F2769" s="1" t="str">
        <f t="shared" si="5577"/>
        <v>0</v>
      </c>
      <c r="G2769" s="1" t="str">
        <f t="shared" si="5577"/>
        <v>0</v>
      </c>
      <c r="H2769" s="1" t="str">
        <f>"24.18"</f>
        <v>24.18</v>
      </c>
      <c r="I2769" s="1" t="str">
        <f t="shared" ref="I2769:P2769" si="5578">"0"</f>
        <v>0</v>
      </c>
      <c r="J2769" s="1" t="str">
        <f t="shared" si="5578"/>
        <v>0</v>
      </c>
      <c r="K2769" s="1" t="str">
        <f t="shared" si="5578"/>
        <v>0</v>
      </c>
      <c r="L2769" s="1" t="str">
        <f t="shared" si="5578"/>
        <v>0</v>
      </c>
      <c r="M2769" s="1" t="str">
        <f t="shared" si="5578"/>
        <v>0</v>
      </c>
      <c r="N2769" s="1" t="str">
        <f t="shared" si="5578"/>
        <v>0</v>
      </c>
      <c r="O2769" s="1" t="str">
        <f t="shared" si="5578"/>
        <v>0</v>
      </c>
      <c r="P2769" s="1" t="str">
        <f t="shared" si="5578"/>
        <v>0</v>
      </c>
      <c r="Q2769" s="1" t="str">
        <f t="shared" si="5548"/>
        <v>0.0070</v>
      </c>
      <c r="R2769" s="1" t="s">
        <v>25</v>
      </c>
      <c r="T2769" s="1" t="str">
        <f t="shared" si="5549"/>
        <v>0</v>
      </c>
      <c r="U2769" s="1" t="str">
        <f t="shared" si="5569"/>
        <v>0.0070</v>
      </c>
    </row>
    <row r="2770" s="1" customFormat="1" spans="1:21">
      <c r="A2770" s="1" t="str">
        <f>"4601992051269"</f>
        <v>4601992051269</v>
      </c>
      <c r="B2770" s="1" t="s">
        <v>2793</v>
      </c>
      <c r="C2770" s="1" t="s">
        <v>24</v>
      </c>
      <c r="D2770" s="1" t="str">
        <f t="shared" si="5546"/>
        <v>2021</v>
      </c>
      <c r="E2770" s="1" t="str">
        <f t="shared" ref="E2770:P2770" si="5579">"0"</f>
        <v>0</v>
      </c>
      <c r="F2770" s="1" t="str">
        <f t="shared" si="5579"/>
        <v>0</v>
      </c>
      <c r="G2770" s="1" t="str">
        <f t="shared" si="5579"/>
        <v>0</v>
      </c>
      <c r="H2770" s="1" t="str">
        <f t="shared" si="5579"/>
        <v>0</v>
      </c>
      <c r="I2770" s="1" t="str">
        <f t="shared" si="5579"/>
        <v>0</v>
      </c>
      <c r="J2770" s="1" t="str">
        <f t="shared" si="5579"/>
        <v>0</v>
      </c>
      <c r="K2770" s="1" t="str">
        <f t="shared" si="5579"/>
        <v>0</v>
      </c>
      <c r="L2770" s="1" t="str">
        <f t="shared" si="5579"/>
        <v>0</v>
      </c>
      <c r="M2770" s="1" t="str">
        <f t="shared" si="5579"/>
        <v>0</v>
      </c>
      <c r="N2770" s="1" t="str">
        <f t="shared" si="5579"/>
        <v>0</v>
      </c>
      <c r="O2770" s="1" t="str">
        <f t="shared" si="5579"/>
        <v>0</v>
      </c>
      <c r="P2770" s="1" t="str">
        <f t="shared" si="5579"/>
        <v>0</v>
      </c>
      <c r="Q2770" s="1" t="str">
        <f t="shared" si="5548"/>
        <v>0.0070</v>
      </c>
      <c r="R2770" s="1" t="s">
        <v>25</v>
      </c>
      <c r="T2770" s="1" t="str">
        <f t="shared" si="5549"/>
        <v>0</v>
      </c>
      <c r="U2770" s="1" t="str">
        <f t="shared" si="5569"/>
        <v>0.0070</v>
      </c>
    </row>
    <row r="2771" s="1" customFormat="1" spans="1:21">
      <c r="A2771" s="1" t="str">
        <f>"4601992051306"</f>
        <v>4601992051306</v>
      </c>
      <c r="B2771" s="1" t="s">
        <v>2794</v>
      </c>
      <c r="C2771" s="1" t="s">
        <v>24</v>
      </c>
      <c r="D2771" s="1" t="str">
        <f t="shared" si="5546"/>
        <v>2021</v>
      </c>
      <c r="E2771" s="1" t="str">
        <f t="shared" ref="E2771:P2771" si="5580">"0"</f>
        <v>0</v>
      </c>
      <c r="F2771" s="1" t="str">
        <f t="shared" si="5580"/>
        <v>0</v>
      </c>
      <c r="G2771" s="1" t="str">
        <f t="shared" si="5580"/>
        <v>0</v>
      </c>
      <c r="H2771" s="1" t="str">
        <f t="shared" si="5580"/>
        <v>0</v>
      </c>
      <c r="I2771" s="1" t="str">
        <f t="shared" si="5580"/>
        <v>0</v>
      </c>
      <c r="J2771" s="1" t="str">
        <f t="shared" si="5580"/>
        <v>0</v>
      </c>
      <c r="K2771" s="1" t="str">
        <f t="shared" si="5580"/>
        <v>0</v>
      </c>
      <c r="L2771" s="1" t="str">
        <f t="shared" si="5580"/>
        <v>0</v>
      </c>
      <c r="M2771" s="1" t="str">
        <f t="shared" si="5580"/>
        <v>0</v>
      </c>
      <c r="N2771" s="1" t="str">
        <f t="shared" si="5580"/>
        <v>0</v>
      </c>
      <c r="O2771" s="1" t="str">
        <f t="shared" si="5580"/>
        <v>0</v>
      </c>
      <c r="P2771" s="1" t="str">
        <f t="shared" si="5580"/>
        <v>0</v>
      </c>
      <c r="Q2771" s="1" t="str">
        <f t="shared" si="5548"/>
        <v>0.0070</v>
      </c>
      <c r="R2771" s="1" t="s">
        <v>25</v>
      </c>
      <c r="T2771" s="1" t="str">
        <f t="shared" si="5549"/>
        <v>0</v>
      </c>
      <c r="U2771" s="1" t="str">
        <f t="shared" si="5569"/>
        <v>0.0070</v>
      </c>
    </row>
    <row r="2772" s="1" customFormat="1" spans="1:21">
      <c r="A2772" s="1" t="str">
        <f>"4601992051254"</f>
        <v>4601992051254</v>
      </c>
      <c r="B2772" s="1" t="s">
        <v>2795</v>
      </c>
      <c r="C2772" s="1" t="s">
        <v>24</v>
      </c>
      <c r="D2772" s="1" t="str">
        <f t="shared" si="5546"/>
        <v>2021</v>
      </c>
      <c r="E2772" s="1" t="str">
        <f t="shared" ref="E2772:I2772" si="5581">"0"</f>
        <v>0</v>
      </c>
      <c r="F2772" s="1" t="str">
        <f t="shared" si="5581"/>
        <v>0</v>
      </c>
      <c r="G2772" s="1" t="str">
        <f t="shared" si="5581"/>
        <v>0</v>
      </c>
      <c r="H2772" s="1" t="str">
        <f t="shared" si="5581"/>
        <v>0</v>
      </c>
      <c r="I2772" s="1" t="str">
        <f t="shared" si="5581"/>
        <v>0</v>
      </c>
      <c r="J2772" s="1" t="str">
        <f t="shared" ref="J2772:J2777" si="5582">"1"</f>
        <v>1</v>
      </c>
      <c r="K2772" s="1" t="str">
        <f t="shared" ref="K2772:P2772" si="5583">"0"</f>
        <v>0</v>
      </c>
      <c r="L2772" s="1" t="str">
        <f t="shared" si="5583"/>
        <v>0</v>
      </c>
      <c r="M2772" s="1" t="str">
        <f t="shared" si="5583"/>
        <v>0</v>
      </c>
      <c r="N2772" s="1" t="str">
        <f t="shared" si="5583"/>
        <v>0</v>
      </c>
      <c r="O2772" s="1" t="str">
        <f t="shared" si="5583"/>
        <v>0</v>
      </c>
      <c r="P2772" s="1" t="str">
        <f t="shared" si="5583"/>
        <v>0</v>
      </c>
      <c r="Q2772" s="1" t="str">
        <f t="shared" si="5548"/>
        <v>0.0070</v>
      </c>
      <c r="R2772" s="1" t="s">
        <v>25</v>
      </c>
      <c r="T2772" s="1" t="str">
        <f t="shared" si="5549"/>
        <v>0</v>
      </c>
      <c r="U2772" s="1" t="str">
        <f t="shared" si="5569"/>
        <v>0.0070</v>
      </c>
    </row>
    <row r="2773" s="1" customFormat="1" spans="1:21">
      <c r="A2773" s="1" t="str">
        <f>"4601992051322"</f>
        <v>4601992051322</v>
      </c>
      <c r="B2773" s="1" t="s">
        <v>2796</v>
      </c>
      <c r="C2773" s="1" t="s">
        <v>24</v>
      </c>
      <c r="D2773" s="1" t="str">
        <f t="shared" si="5546"/>
        <v>2021</v>
      </c>
      <c r="E2773" s="1" t="str">
        <f t="shared" ref="E2773:P2773" si="5584">"0"</f>
        <v>0</v>
      </c>
      <c r="F2773" s="1" t="str">
        <f t="shared" si="5584"/>
        <v>0</v>
      </c>
      <c r="G2773" s="1" t="str">
        <f t="shared" si="5584"/>
        <v>0</v>
      </c>
      <c r="H2773" s="1" t="str">
        <f t="shared" si="5584"/>
        <v>0</v>
      </c>
      <c r="I2773" s="1" t="str">
        <f t="shared" si="5584"/>
        <v>0</v>
      </c>
      <c r="J2773" s="1" t="str">
        <f t="shared" si="5584"/>
        <v>0</v>
      </c>
      <c r="K2773" s="1" t="str">
        <f t="shared" si="5584"/>
        <v>0</v>
      </c>
      <c r="L2773" s="1" t="str">
        <f t="shared" si="5584"/>
        <v>0</v>
      </c>
      <c r="M2773" s="1" t="str">
        <f t="shared" si="5584"/>
        <v>0</v>
      </c>
      <c r="N2773" s="1" t="str">
        <f t="shared" si="5584"/>
        <v>0</v>
      </c>
      <c r="O2773" s="1" t="str">
        <f t="shared" si="5584"/>
        <v>0</v>
      </c>
      <c r="P2773" s="1" t="str">
        <f t="shared" si="5584"/>
        <v>0</v>
      </c>
      <c r="Q2773" s="1" t="str">
        <f t="shared" si="5548"/>
        <v>0.0070</v>
      </c>
      <c r="R2773" s="1" t="s">
        <v>25</v>
      </c>
      <c r="T2773" s="1" t="str">
        <f t="shared" si="5549"/>
        <v>0</v>
      </c>
      <c r="U2773" s="1" t="str">
        <f t="shared" si="5569"/>
        <v>0.0070</v>
      </c>
    </row>
    <row r="2774" s="1" customFormat="1" spans="1:21">
      <c r="A2774" s="1" t="str">
        <f>"4601992051309"</f>
        <v>4601992051309</v>
      </c>
      <c r="B2774" s="1" t="s">
        <v>2797</v>
      </c>
      <c r="C2774" s="1" t="s">
        <v>24</v>
      </c>
      <c r="D2774" s="1" t="str">
        <f t="shared" si="5546"/>
        <v>2021</v>
      </c>
      <c r="E2774" s="1" t="str">
        <f>"24.18"</f>
        <v>24.18</v>
      </c>
      <c r="F2774" s="1" t="str">
        <f t="shared" ref="F2774:I2774" si="5585">"0"</f>
        <v>0</v>
      </c>
      <c r="G2774" s="1" t="str">
        <f t="shared" si="5585"/>
        <v>0</v>
      </c>
      <c r="H2774" s="1" t="str">
        <f t="shared" si="5585"/>
        <v>0</v>
      </c>
      <c r="I2774" s="1" t="str">
        <f t="shared" si="5585"/>
        <v>0</v>
      </c>
      <c r="J2774" s="1" t="str">
        <f t="shared" ref="J2774:J2779" si="5586">"2"</f>
        <v>2</v>
      </c>
      <c r="K2774" s="1" t="str">
        <f t="shared" ref="K2774:P2774" si="5587">"0"</f>
        <v>0</v>
      </c>
      <c r="L2774" s="1" t="str">
        <f t="shared" si="5587"/>
        <v>0</v>
      </c>
      <c r="M2774" s="1" t="str">
        <f t="shared" si="5587"/>
        <v>0</v>
      </c>
      <c r="N2774" s="1" t="str">
        <f t="shared" si="5587"/>
        <v>0</v>
      </c>
      <c r="O2774" s="1" t="str">
        <f t="shared" si="5587"/>
        <v>0</v>
      </c>
      <c r="P2774" s="1" t="str">
        <f t="shared" si="5587"/>
        <v>0</v>
      </c>
      <c r="Q2774" s="1" t="str">
        <f t="shared" si="5548"/>
        <v>0.0070</v>
      </c>
      <c r="R2774" s="1" t="s">
        <v>29</v>
      </c>
      <c r="S2774" s="1">
        <v>-0.0014</v>
      </c>
      <c r="T2774" s="1" t="str">
        <f t="shared" si="5549"/>
        <v>0</v>
      </c>
      <c r="U2774" s="1" t="str">
        <f t="shared" ref="U2774:U2779" si="5588">"0.0056"</f>
        <v>0.0056</v>
      </c>
    </row>
    <row r="2775" s="1" customFormat="1" spans="1:21">
      <c r="A2775" s="1" t="str">
        <f>"4601992051386"</f>
        <v>4601992051386</v>
      </c>
      <c r="B2775" s="1" t="s">
        <v>2798</v>
      </c>
      <c r="C2775" s="1" t="s">
        <v>24</v>
      </c>
      <c r="D2775" s="1" t="str">
        <f t="shared" si="5546"/>
        <v>2021</v>
      </c>
      <c r="E2775" s="1" t="str">
        <f t="shared" ref="E2775:E2779" si="5589">"12.09"</f>
        <v>12.09</v>
      </c>
      <c r="F2775" s="1" t="str">
        <f t="shared" ref="F2775:I2775" si="5590">"0"</f>
        <v>0</v>
      </c>
      <c r="G2775" s="1" t="str">
        <f t="shared" si="5590"/>
        <v>0</v>
      </c>
      <c r="H2775" s="1" t="str">
        <f t="shared" si="5590"/>
        <v>0</v>
      </c>
      <c r="I2775" s="1" t="str">
        <f t="shared" si="5590"/>
        <v>0</v>
      </c>
      <c r="J2775" s="1" t="str">
        <f t="shared" si="5582"/>
        <v>1</v>
      </c>
      <c r="K2775" s="1" t="str">
        <f t="shared" ref="K2775:P2775" si="5591">"0"</f>
        <v>0</v>
      </c>
      <c r="L2775" s="1" t="str">
        <f t="shared" si="5591"/>
        <v>0</v>
      </c>
      <c r="M2775" s="1" t="str">
        <f t="shared" si="5591"/>
        <v>0</v>
      </c>
      <c r="N2775" s="1" t="str">
        <f t="shared" si="5591"/>
        <v>0</v>
      </c>
      <c r="O2775" s="1" t="str">
        <f t="shared" si="5591"/>
        <v>0</v>
      </c>
      <c r="P2775" s="1" t="str">
        <f t="shared" si="5591"/>
        <v>0</v>
      </c>
      <c r="Q2775" s="1" t="str">
        <f t="shared" si="5548"/>
        <v>0.0070</v>
      </c>
      <c r="R2775" s="1" t="s">
        <v>29</v>
      </c>
      <c r="S2775" s="1">
        <v>-0.0014</v>
      </c>
      <c r="T2775" s="1" t="str">
        <f t="shared" si="5549"/>
        <v>0</v>
      </c>
      <c r="U2775" s="1" t="str">
        <f t="shared" si="5588"/>
        <v>0.0056</v>
      </c>
    </row>
    <row r="2776" s="1" customFormat="1" spans="1:21">
      <c r="A2776" s="1" t="str">
        <f>"4601992019163"</f>
        <v>4601992019163</v>
      </c>
      <c r="B2776" s="1" t="s">
        <v>2799</v>
      </c>
      <c r="C2776" s="1" t="s">
        <v>24</v>
      </c>
      <c r="D2776" s="1" t="str">
        <f t="shared" si="5546"/>
        <v>2021</v>
      </c>
      <c r="E2776" s="1" t="str">
        <f>"87.63"</f>
        <v>87.63</v>
      </c>
      <c r="F2776" s="1" t="str">
        <f t="shared" ref="F2776:I2776" si="5592">"0"</f>
        <v>0</v>
      </c>
      <c r="G2776" s="1" t="str">
        <f t="shared" si="5592"/>
        <v>0</v>
      </c>
      <c r="H2776" s="1" t="str">
        <f t="shared" si="5592"/>
        <v>0</v>
      </c>
      <c r="I2776" s="1" t="str">
        <f t="shared" si="5592"/>
        <v>0</v>
      </c>
      <c r="J2776" s="1" t="str">
        <f>"7"</f>
        <v>7</v>
      </c>
      <c r="K2776" s="1" t="str">
        <f t="shared" ref="K2776:P2776" si="5593">"0"</f>
        <v>0</v>
      </c>
      <c r="L2776" s="1" t="str">
        <f t="shared" si="5593"/>
        <v>0</v>
      </c>
      <c r="M2776" s="1" t="str">
        <f t="shared" si="5593"/>
        <v>0</v>
      </c>
      <c r="N2776" s="1" t="str">
        <f t="shared" si="5593"/>
        <v>0</v>
      </c>
      <c r="O2776" s="1" t="str">
        <f t="shared" si="5593"/>
        <v>0</v>
      </c>
      <c r="P2776" s="1" t="str">
        <f t="shared" si="5593"/>
        <v>0</v>
      </c>
      <c r="Q2776" s="1" t="str">
        <f t="shared" si="5548"/>
        <v>0.0070</v>
      </c>
      <c r="R2776" s="1" t="s">
        <v>29</v>
      </c>
      <c r="S2776" s="1">
        <v>-0.0014</v>
      </c>
      <c r="T2776" s="1" t="str">
        <f t="shared" si="5549"/>
        <v>0</v>
      </c>
      <c r="U2776" s="1" t="str">
        <f t="shared" si="5588"/>
        <v>0.0056</v>
      </c>
    </row>
    <row r="2777" s="1" customFormat="1" spans="1:21">
      <c r="A2777" s="1" t="str">
        <f>"4601992051460"</f>
        <v>4601992051460</v>
      </c>
      <c r="B2777" s="1" t="s">
        <v>2800</v>
      </c>
      <c r="C2777" s="1" t="s">
        <v>24</v>
      </c>
      <c r="D2777" s="1" t="str">
        <f t="shared" si="5546"/>
        <v>2021</v>
      </c>
      <c r="E2777" s="1" t="str">
        <f t="shared" si="5589"/>
        <v>12.09</v>
      </c>
      <c r="F2777" s="1" t="str">
        <f t="shared" ref="F2777:I2777" si="5594">"0"</f>
        <v>0</v>
      </c>
      <c r="G2777" s="1" t="str">
        <f t="shared" si="5594"/>
        <v>0</v>
      </c>
      <c r="H2777" s="1" t="str">
        <f t="shared" si="5594"/>
        <v>0</v>
      </c>
      <c r="I2777" s="1" t="str">
        <f t="shared" si="5594"/>
        <v>0</v>
      </c>
      <c r="J2777" s="1" t="str">
        <f t="shared" si="5582"/>
        <v>1</v>
      </c>
      <c r="K2777" s="1" t="str">
        <f t="shared" ref="K2777:P2777" si="5595">"0"</f>
        <v>0</v>
      </c>
      <c r="L2777" s="1" t="str">
        <f t="shared" si="5595"/>
        <v>0</v>
      </c>
      <c r="M2777" s="1" t="str">
        <f t="shared" si="5595"/>
        <v>0</v>
      </c>
      <c r="N2777" s="1" t="str">
        <f t="shared" si="5595"/>
        <v>0</v>
      </c>
      <c r="O2777" s="1" t="str">
        <f t="shared" si="5595"/>
        <v>0</v>
      </c>
      <c r="P2777" s="1" t="str">
        <f t="shared" si="5595"/>
        <v>0</v>
      </c>
      <c r="Q2777" s="1" t="str">
        <f t="shared" si="5548"/>
        <v>0.0070</v>
      </c>
      <c r="R2777" s="1" t="s">
        <v>29</v>
      </c>
      <c r="S2777" s="1">
        <v>-0.0014</v>
      </c>
      <c r="T2777" s="1" t="str">
        <f t="shared" si="5549"/>
        <v>0</v>
      </c>
      <c r="U2777" s="1" t="str">
        <f t="shared" si="5588"/>
        <v>0.0056</v>
      </c>
    </row>
    <row r="2778" s="1" customFormat="1" spans="1:21">
      <c r="A2778" s="1" t="str">
        <f>"4601991424666"</f>
        <v>4601991424666</v>
      </c>
      <c r="B2778" s="1" t="s">
        <v>2801</v>
      </c>
      <c r="C2778" s="1" t="s">
        <v>24</v>
      </c>
      <c r="D2778" s="1" t="str">
        <f t="shared" si="5546"/>
        <v>2021</v>
      </c>
      <c r="E2778" s="1" t="str">
        <f>"24.18"</f>
        <v>24.18</v>
      </c>
      <c r="F2778" s="1" t="str">
        <f t="shared" ref="F2778:I2778" si="5596">"0"</f>
        <v>0</v>
      </c>
      <c r="G2778" s="1" t="str">
        <f t="shared" si="5596"/>
        <v>0</v>
      </c>
      <c r="H2778" s="1" t="str">
        <f t="shared" si="5596"/>
        <v>0</v>
      </c>
      <c r="I2778" s="1" t="str">
        <f t="shared" si="5596"/>
        <v>0</v>
      </c>
      <c r="J2778" s="1" t="str">
        <f t="shared" si="5586"/>
        <v>2</v>
      </c>
      <c r="K2778" s="1" t="str">
        <f t="shared" ref="K2778:P2778" si="5597">"0"</f>
        <v>0</v>
      </c>
      <c r="L2778" s="1" t="str">
        <f t="shared" si="5597"/>
        <v>0</v>
      </c>
      <c r="M2778" s="1" t="str">
        <f t="shared" si="5597"/>
        <v>0</v>
      </c>
      <c r="N2778" s="1" t="str">
        <f t="shared" si="5597"/>
        <v>0</v>
      </c>
      <c r="O2778" s="1" t="str">
        <f t="shared" si="5597"/>
        <v>0</v>
      </c>
      <c r="P2778" s="1" t="str">
        <f t="shared" si="5597"/>
        <v>0</v>
      </c>
      <c r="Q2778" s="1" t="str">
        <f t="shared" si="5548"/>
        <v>0.0070</v>
      </c>
      <c r="R2778" s="1" t="s">
        <v>29</v>
      </c>
      <c r="S2778" s="1">
        <v>-0.0014</v>
      </c>
      <c r="T2778" s="1" t="str">
        <f t="shared" si="5549"/>
        <v>0</v>
      </c>
      <c r="U2778" s="1" t="str">
        <f t="shared" si="5588"/>
        <v>0.0056</v>
      </c>
    </row>
    <row r="2779" s="1" customFormat="1" spans="1:21">
      <c r="A2779" s="1" t="str">
        <f>"4601992039735"</f>
        <v>4601992039735</v>
      </c>
      <c r="B2779" s="1" t="s">
        <v>2802</v>
      </c>
      <c r="C2779" s="1" t="s">
        <v>24</v>
      </c>
      <c r="D2779" s="1" t="str">
        <f t="shared" si="5546"/>
        <v>2021</v>
      </c>
      <c r="E2779" s="1" t="str">
        <f t="shared" si="5589"/>
        <v>12.09</v>
      </c>
      <c r="F2779" s="1" t="str">
        <f t="shared" ref="F2779:I2779" si="5598">"0"</f>
        <v>0</v>
      </c>
      <c r="G2779" s="1" t="str">
        <f t="shared" si="5598"/>
        <v>0</v>
      </c>
      <c r="H2779" s="1" t="str">
        <f t="shared" si="5598"/>
        <v>0</v>
      </c>
      <c r="I2779" s="1" t="str">
        <f t="shared" si="5598"/>
        <v>0</v>
      </c>
      <c r="J2779" s="1" t="str">
        <f t="shared" si="5586"/>
        <v>2</v>
      </c>
      <c r="K2779" s="1" t="str">
        <f t="shared" ref="K2779:P2779" si="5599">"0"</f>
        <v>0</v>
      </c>
      <c r="L2779" s="1" t="str">
        <f t="shared" si="5599"/>
        <v>0</v>
      </c>
      <c r="M2779" s="1" t="str">
        <f t="shared" si="5599"/>
        <v>0</v>
      </c>
      <c r="N2779" s="1" t="str">
        <f t="shared" si="5599"/>
        <v>0</v>
      </c>
      <c r="O2779" s="1" t="str">
        <f t="shared" si="5599"/>
        <v>0</v>
      </c>
      <c r="P2779" s="1" t="str">
        <f t="shared" si="5599"/>
        <v>0</v>
      </c>
      <c r="Q2779" s="1" t="str">
        <f t="shared" si="5548"/>
        <v>0.0070</v>
      </c>
      <c r="R2779" s="1" t="s">
        <v>29</v>
      </c>
      <c r="S2779" s="1">
        <v>-0.0014</v>
      </c>
      <c r="T2779" s="1" t="str">
        <f t="shared" si="5549"/>
        <v>0</v>
      </c>
      <c r="U2779" s="1" t="str">
        <f t="shared" si="5588"/>
        <v>0.0056</v>
      </c>
    </row>
    <row r="2780" s="1" customFormat="1" spans="1:21">
      <c r="A2780" s="1" t="str">
        <f>"4601992051680"</f>
        <v>4601992051680</v>
      </c>
      <c r="B2780" s="1" t="s">
        <v>2803</v>
      </c>
      <c r="C2780" s="1" t="s">
        <v>24</v>
      </c>
      <c r="D2780" s="1" t="str">
        <f t="shared" si="5546"/>
        <v>2021</v>
      </c>
      <c r="E2780" s="1" t="str">
        <f t="shared" ref="E2780:P2780" si="5600">"0"</f>
        <v>0</v>
      </c>
      <c r="F2780" s="1" t="str">
        <f t="shared" si="5600"/>
        <v>0</v>
      </c>
      <c r="G2780" s="1" t="str">
        <f t="shared" si="5600"/>
        <v>0</v>
      </c>
      <c r="H2780" s="1" t="str">
        <f t="shared" si="5600"/>
        <v>0</v>
      </c>
      <c r="I2780" s="1" t="str">
        <f t="shared" si="5600"/>
        <v>0</v>
      </c>
      <c r="J2780" s="1" t="str">
        <f t="shared" si="5600"/>
        <v>0</v>
      </c>
      <c r="K2780" s="1" t="str">
        <f t="shared" si="5600"/>
        <v>0</v>
      </c>
      <c r="L2780" s="1" t="str">
        <f t="shared" si="5600"/>
        <v>0</v>
      </c>
      <c r="M2780" s="1" t="str">
        <f t="shared" si="5600"/>
        <v>0</v>
      </c>
      <c r="N2780" s="1" t="str">
        <f t="shared" si="5600"/>
        <v>0</v>
      </c>
      <c r="O2780" s="1" t="str">
        <f t="shared" si="5600"/>
        <v>0</v>
      </c>
      <c r="P2780" s="1" t="str">
        <f t="shared" si="5600"/>
        <v>0</v>
      </c>
      <c r="Q2780" s="1" t="str">
        <f t="shared" si="5548"/>
        <v>0.0070</v>
      </c>
      <c r="R2780" s="1" t="s">
        <v>25</v>
      </c>
      <c r="T2780" s="1" t="str">
        <f t="shared" si="5549"/>
        <v>0</v>
      </c>
      <c r="U2780" s="1" t="str">
        <f>"0.0070"</f>
        <v>0.0070</v>
      </c>
    </row>
    <row r="2781" s="1" customFormat="1" spans="1:21">
      <c r="A2781" s="1" t="str">
        <f>"4601992028162"</f>
        <v>4601992028162</v>
      </c>
      <c r="B2781" s="1" t="s">
        <v>2804</v>
      </c>
      <c r="C2781" s="1" t="s">
        <v>24</v>
      </c>
      <c r="D2781" s="1" t="str">
        <f t="shared" si="5546"/>
        <v>2021</v>
      </c>
      <c r="E2781" s="1" t="str">
        <f>"12.09"</f>
        <v>12.09</v>
      </c>
      <c r="F2781" s="1" t="str">
        <f t="shared" ref="F2781:I2781" si="5601">"0"</f>
        <v>0</v>
      </c>
      <c r="G2781" s="1" t="str">
        <f t="shared" si="5601"/>
        <v>0</v>
      </c>
      <c r="H2781" s="1" t="str">
        <f t="shared" si="5601"/>
        <v>0</v>
      </c>
      <c r="I2781" s="1" t="str">
        <f t="shared" si="5601"/>
        <v>0</v>
      </c>
      <c r="J2781" s="1" t="str">
        <f>"1"</f>
        <v>1</v>
      </c>
      <c r="K2781" s="1" t="str">
        <f t="shared" ref="K2781:P2781" si="5602">"0"</f>
        <v>0</v>
      </c>
      <c r="L2781" s="1" t="str">
        <f t="shared" si="5602"/>
        <v>0</v>
      </c>
      <c r="M2781" s="1" t="str">
        <f t="shared" si="5602"/>
        <v>0</v>
      </c>
      <c r="N2781" s="1" t="str">
        <f t="shared" si="5602"/>
        <v>0</v>
      </c>
      <c r="O2781" s="1" t="str">
        <f t="shared" si="5602"/>
        <v>0</v>
      </c>
      <c r="P2781" s="1" t="str">
        <f t="shared" si="5602"/>
        <v>0</v>
      </c>
      <c r="Q2781" s="1" t="str">
        <f t="shared" si="5548"/>
        <v>0.0070</v>
      </c>
      <c r="R2781" s="1" t="s">
        <v>29</v>
      </c>
      <c r="S2781" s="1">
        <v>-0.0014</v>
      </c>
      <c r="T2781" s="1" t="str">
        <f t="shared" si="5549"/>
        <v>0</v>
      </c>
      <c r="U2781" s="1" t="str">
        <f t="shared" ref="U2781:U2790" si="5603">"0.0056"</f>
        <v>0.0056</v>
      </c>
    </row>
    <row r="2782" s="1" customFormat="1" spans="1:21">
      <c r="A2782" s="1" t="str">
        <f>"4601992030398"</f>
        <v>4601992030398</v>
      </c>
      <c r="B2782" s="1" t="s">
        <v>2805</v>
      </c>
      <c r="C2782" s="1" t="s">
        <v>24</v>
      </c>
      <c r="D2782" s="1" t="str">
        <f t="shared" si="5546"/>
        <v>2021</v>
      </c>
      <c r="E2782" s="1" t="str">
        <f>"265.54"</f>
        <v>265.54</v>
      </c>
      <c r="F2782" s="1" t="str">
        <f t="shared" ref="F2782:I2782" si="5604">"0"</f>
        <v>0</v>
      </c>
      <c r="G2782" s="1" t="str">
        <f t="shared" si="5604"/>
        <v>0</v>
      </c>
      <c r="H2782" s="1" t="str">
        <f t="shared" si="5604"/>
        <v>0</v>
      </c>
      <c r="I2782" s="1" t="str">
        <f t="shared" si="5604"/>
        <v>0</v>
      </c>
      <c r="J2782" s="1" t="str">
        <f>"23"</f>
        <v>23</v>
      </c>
      <c r="K2782" s="1" t="str">
        <f t="shared" ref="K2782:P2782" si="5605">"0"</f>
        <v>0</v>
      </c>
      <c r="L2782" s="1" t="str">
        <f t="shared" si="5605"/>
        <v>0</v>
      </c>
      <c r="M2782" s="1" t="str">
        <f t="shared" si="5605"/>
        <v>0</v>
      </c>
      <c r="N2782" s="1" t="str">
        <f t="shared" si="5605"/>
        <v>0</v>
      </c>
      <c r="O2782" s="1" t="str">
        <f t="shared" si="5605"/>
        <v>0</v>
      </c>
      <c r="P2782" s="1" t="str">
        <f t="shared" si="5605"/>
        <v>0</v>
      </c>
      <c r="Q2782" s="1" t="str">
        <f t="shared" si="5548"/>
        <v>0.0070</v>
      </c>
      <c r="R2782" s="1" t="s">
        <v>29</v>
      </c>
      <c r="S2782" s="1">
        <v>-0.0014</v>
      </c>
      <c r="T2782" s="1" t="str">
        <f t="shared" si="5549"/>
        <v>0</v>
      </c>
      <c r="U2782" s="1" t="str">
        <f t="shared" si="5603"/>
        <v>0.0056</v>
      </c>
    </row>
    <row r="2783" s="1" customFormat="1" spans="1:21">
      <c r="A2783" s="1" t="str">
        <f>"4601992051707"</f>
        <v>4601992051707</v>
      </c>
      <c r="B2783" s="1" t="s">
        <v>2806</v>
      </c>
      <c r="C2783" s="1" t="s">
        <v>24</v>
      </c>
      <c r="D2783" s="1" t="str">
        <f t="shared" si="5546"/>
        <v>2021</v>
      </c>
      <c r="E2783" s="1" t="str">
        <f>"35.94"</f>
        <v>35.94</v>
      </c>
      <c r="F2783" s="1" t="str">
        <f t="shared" ref="F2783:I2783" si="5606">"0"</f>
        <v>0</v>
      </c>
      <c r="G2783" s="1" t="str">
        <f t="shared" si="5606"/>
        <v>0</v>
      </c>
      <c r="H2783" s="1" t="str">
        <f t="shared" si="5606"/>
        <v>0</v>
      </c>
      <c r="I2783" s="1" t="str">
        <f t="shared" si="5606"/>
        <v>0</v>
      </c>
      <c r="J2783" s="1" t="str">
        <f>"3"</f>
        <v>3</v>
      </c>
      <c r="K2783" s="1" t="str">
        <f t="shared" ref="K2783:P2783" si="5607">"0"</f>
        <v>0</v>
      </c>
      <c r="L2783" s="1" t="str">
        <f t="shared" si="5607"/>
        <v>0</v>
      </c>
      <c r="M2783" s="1" t="str">
        <f t="shared" si="5607"/>
        <v>0</v>
      </c>
      <c r="N2783" s="1" t="str">
        <f t="shared" si="5607"/>
        <v>0</v>
      </c>
      <c r="O2783" s="1" t="str">
        <f t="shared" si="5607"/>
        <v>0</v>
      </c>
      <c r="P2783" s="1" t="str">
        <f t="shared" si="5607"/>
        <v>0</v>
      </c>
      <c r="Q2783" s="1" t="str">
        <f t="shared" si="5548"/>
        <v>0.0070</v>
      </c>
      <c r="R2783" s="1" t="s">
        <v>25</v>
      </c>
      <c r="T2783" s="1" t="str">
        <f t="shared" si="5549"/>
        <v>0</v>
      </c>
      <c r="U2783" s="1" t="str">
        <f>"0.0070"</f>
        <v>0.0070</v>
      </c>
    </row>
    <row r="2784" s="1" customFormat="1" spans="1:21">
      <c r="A2784" s="1" t="str">
        <f>"4601992051694"</f>
        <v>4601992051694</v>
      </c>
      <c r="B2784" s="1" t="s">
        <v>2807</v>
      </c>
      <c r="C2784" s="1" t="s">
        <v>24</v>
      </c>
      <c r="D2784" s="1" t="str">
        <f t="shared" si="5546"/>
        <v>2021</v>
      </c>
      <c r="E2784" s="1" t="str">
        <f>"135.07"</f>
        <v>135.07</v>
      </c>
      <c r="F2784" s="1" t="str">
        <f t="shared" ref="F2784:I2784" si="5608">"0"</f>
        <v>0</v>
      </c>
      <c r="G2784" s="1" t="str">
        <f t="shared" si="5608"/>
        <v>0</v>
      </c>
      <c r="H2784" s="1" t="str">
        <f t="shared" si="5608"/>
        <v>0</v>
      </c>
      <c r="I2784" s="1" t="str">
        <f t="shared" si="5608"/>
        <v>0</v>
      </c>
      <c r="J2784" s="1" t="str">
        <f>"6"</f>
        <v>6</v>
      </c>
      <c r="K2784" s="1" t="str">
        <f t="shared" ref="K2784:P2784" si="5609">"0"</f>
        <v>0</v>
      </c>
      <c r="L2784" s="1" t="str">
        <f t="shared" si="5609"/>
        <v>0</v>
      </c>
      <c r="M2784" s="1" t="str">
        <f t="shared" si="5609"/>
        <v>0</v>
      </c>
      <c r="N2784" s="1" t="str">
        <f t="shared" si="5609"/>
        <v>0</v>
      </c>
      <c r="O2784" s="1" t="str">
        <f t="shared" si="5609"/>
        <v>0</v>
      </c>
      <c r="P2784" s="1" t="str">
        <f t="shared" si="5609"/>
        <v>0</v>
      </c>
      <c r="Q2784" s="1" t="str">
        <f t="shared" si="5548"/>
        <v>0.0070</v>
      </c>
      <c r="R2784" s="1" t="s">
        <v>29</v>
      </c>
      <c r="S2784" s="1">
        <v>-0.0014</v>
      </c>
      <c r="T2784" s="1" t="str">
        <f t="shared" si="5549"/>
        <v>0</v>
      </c>
      <c r="U2784" s="1" t="str">
        <f t="shared" si="5603"/>
        <v>0.0056</v>
      </c>
    </row>
    <row r="2785" s="1" customFormat="1" spans="1:21">
      <c r="A2785" s="1" t="str">
        <f>"4601992051699"</f>
        <v>4601992051699</v>
      </c>
      <c r="B2785" s="1" t="s">
        <v>2808</v>
      </c>
      <c r="C2785" s="1" t="s">
        <v>24</v>
      </c>
      <c r="D2785" s="1" t="str">
        <f t="shared" si="5546"/>
        <v>2021</v>
      </c>
      <c r="E2785" s="1" t="str">
        <f>"24.34"</f>
        <v>24.34</v>
      </c>
      <c r="F2785" s="1" t="str">
        <f t="shared" ref="F2785:I2785" si="5610">"0"</f>
        <v>0</v>
      </c>
      <c r="G2785" s="1" t="str">
        <f t="shared" si="5610"/>
        <v>0</v>
      </c>
      <c r="H2785" s="1" t="str">
        <f t="shared" si="5610"/>
        <v>0</v>
      </c>
      <c r="I2785" s="1" t="str">
        <f t="shared" si="5610"/>
        <v>0</v>
      </c>
      <c r="J2785" s="1" t="str">
        <f>"2"</f>
        <v>2</v>
      </c>
      <c r="K2785" s="1" t="str">
        <f t="shared" ref="K2785:P2785" si="5611">"0"</f>
        <v>0</v>
      </c>
      <c r="L2785" s="1" t="str">
        <f t="shared" si="5611"/>
        <v>0</v>
      </c>
      <c r="M2785" s="1" t="str">
        <f t="shared" si="5611"/>
        <v>0</v>
      </c>
      <c r="N2785" s="1" t="str">
        <f t="shared" si="5611"/>
        <v>0</v>
      </c>
      <c r="O2785" s="1" t="str">
        <f t="shared" si="5611"/>
        <v>0</v>
      </c>
      <c r="P2785" s="1" t="str">
        <f t="shared" si="5611"/>
        <v>0</v>
      </c>
      <c r="Q2785" s="1" t="str">
        <f t="shared" si="5548"/>
        <v>0.0070</v>
      </c>
      <c r="R2785" s="1" t="s">
        <v>29</v>
      </c>
      <c r="S2785" s="1">
        <v>-0.0014</v>
      </c>
      <c r="T2785" s="1" t="str">
        <f t="shared" si="5549"/>
        <v>0</v>
      </c>
      <c r="U2785" s="1" t="str">
        <f t="shared" si="5603"/>
        <v>0.0056</v>
      </c>
    </row>
    <row r="2786" s="1" customFormat="1" spans="1:21">
      <c r="A2786" s="1" t="str">
        <f>"4601992051714"</f>
        <v>4601992051714</v>
      </c>
      <c r="B2786" s="1" t="s">
        <v>2809</v>
      </c>
      <c r="C2786" s="1" t="s">
        <v>24</v>
      </c>
      <c r="D2786" s="1" t="str">
        <f t="shared" si="5546"/>
        <v>2021</v>
      </c>
      <c r="E2786" s="1" t="str">
        <f>"61.92"</f>
        <v>61.92</v>
      </c>
      <c r="F2786" s="1" t="str">
        <f t="shared" ref="F2786:I2786" si="5612">"0"</f>
        <v>0</v>
      </c>
      <c r="G2786" s="1" t="str">
        <f t="shared" si="5612"/>
        <v>0</v>
      </c>
      <c r="H2786" s="1" t="str">
        <f t="shared" si="5612"/>
        <v>0</v>
      </c>
      <c r="I2786" s="1" t="str">
        <f t="shared" si="5612"/>
        <v>0</v>
      </c>
      <c r="J2786" s="1" t="str">
        <f>"5"</f>
        <v>5</v>
      </c>
      <c r="K2786" s="1" t="str">
        <f t="shared" ref="K2786:P2786" si="5613">"0"</f>
        <v>0</v>
      </c>
      <c r="L2786" s="1" t="str">
        <f t="shared" si="5613"/>
        <v>0</v>
      </c>
      <c r="M2786" s="1" t="str">
        <f t="shared" si="5613"/>
        <v>0</v>
      </c>
      <c r="N2786" s="1" t="str">
        <f t="shared" si="5613"/>
        <v>0</v>
      </c>
      <c r="O2786" s="1" t="str">
        <f t="shared" si="5613"/>
        <v>0</v>
      </c>
      <c r="P2786" s="1" t="str">
        <f t="shared" si="5613"/>
        <v>0</v>
      </c>
      <c r="Q2786" s="1" t="str">
        <f t="shared" si="5548"/>
        <v>0.0070</v>
      </c>
      <c r="R2786" s="1" t="s">
        <v>29</v>
      </c>
      <c r="S2786" s="1">
        <v>-0.0014</v>
      </c>
      <c r="T2786" s="1" t="str">
        <f t="shared" si="5549"/>
        <v>0</v>
      </c>
      <c r="U2786" s="1" t="str">
        <f t="shared" si="5603"/>
        <v>0.0056</v>
      </c>
    </row>
    <row r="2787" s="1" customFormat="1" spans="1:21">
      <c r="A2787" s="1" t="str">
        <f>"4601992051743"</f>
        <v>4601992051743</v>
      </c>
      <c r="B2787" s="1" t="s">
        <v>2810</v>
      </c>
      <c r="C2787" s="1" t="s">
        <v>24</v>
      </c>
      <c r="D2787" s="1" t="str">
        <f t="shared" si="5546"/>
        <v>2021</v>
      </c>
      <c r="E2787" s="1" t="str">
        <f>"12.09"</f>
        <v>12.09</v>
      </c>
      <c r="F2787" s="1" t="str">
        <f t="shared" ref="F2787:I2787" si="5614">"0"</f>
        <v>0</v>
      </c>
      <c r="G2787" s="1" t="str">
        <f t="shared" si="5614"/>
        <v>0</v>
      </c>
      <c r="H2787" s="1" t="str">
        <f t="shared" si="5614"/>
        <v>0</v>
      </c>
      <c r="I2787" s="1" t="str">
        <f t="shared" si="5614"/>
        <v>0</v>
      </c>
      <c r="J2787" s="1" t="str">
        <f>"1"</f>
        <v>1</v>
      </c>
      <c r="K2787" s="1" t="str">
        <f t="shared" ref="K2787:P2787" si="5615">"0"</f>
        <v>0</v>
      </c>
      <c r="L2787" s="1" t="str">
        <f t="shared" si="5615"/>
        <v>0</v>
      </c>
      <c r="M2787" s="1" t="str">
        <f t="shared" si="5615"/>
        <v>0</v>
      </c>
      <c r="N2787" s="1" t="str">
        <f t="shared" si="5615"/>
        <v>0</v>
      </c>
      <c r="O2787" s="1" t="str">
        <f t="shared" si="5615"/>
        <v>0</v>
      </c>
      <c r="P2787" s="1" t="str">
        <f t="shared" si="5615"/>
        <v>0</v>
      </c>
      <c r="Q2787" s="1" t="str">
        <f t="shared" si="5548"/>
        <v>0.0070</v>
      </c>
      <c r="R2787" s="1" t="s">
        <v>29</v>
      </c>
      <c r="S2787" s="1">
        <v>-0.0014</v>
      </c>
      <c r="T2787" s="1" t="str">
        <f t="shared" si="5549"/>
        <v>0</v>
      </c>
      <c r="U2787" s="1" t="str">
        <f t="shared" si="5603"/>
        <v>0.0056</v>
      </c>
    </row>
    <row r="2788" s="1" customFormat="1" spans="1:21">
      <c r="A2788" s="1" t="str">
        <f>"4601992051730"</f>
        <v>4601992051730</v>
      </c>
      <c r="B2788" s="1" t="s">
        <v>2811</v>
      </c>
      <c r="C2788" s="1" t="s">
        <v>24</v>
      </c>
      <c r="D2788" s="1" t="str">
        <f t="shared" si="5546"/>
        <v>2021</v>
      </c>
      <c r="E2788" s="1" t="str">
        <f>"24.18"</f>
        <v>24.18</v>
      </c>
      <c r="F2788" s="1" t="str">
        <f t="shared" ref="F2788:I2788" si="5616">"0"</f>
        <v>0</v>
      </c>
      <c r="G2788" s="1" t="str">
        <f t="shared" si="5616"/>
        <v>0</v>
      </c>
      <c r="H2788" s="1" t="str">
        <f t="shared" si="5616"/>
        <v>0</v>
      </c>
      <c r="I2788" s="1" t="str">
        <f t="shared" si="5616"/>
        <v>0</v>
      </c>
      <c r="J2788" s="1" t="str">
        <f>"3"</f>
        <v>3</v>
      </c>
      <c r="K2788" s="1" t="str">
        <f t="shared" ref="K2788:P2788" si="5617">"0"</f>
        <v>0</v>
      </c>
      <c r="L2788" s="1" t="str">
        <f t="shared" si="5617"/>
        <v>0</v>
      </c>
      <c r="M2788" s="1" t="str">
        <f t="shared" si="5617"/>
        <v>0</v>
      </c>
      <c r="N2788" s="1" t="str">
        <f t="shared" si="5617"/>
        <v>0</v>
      </c>
      <c r="O2788" s="1" t="str">
        <f t="shared" si="5617"/>
        <v>0</v>
      </c>
      <c r="P2788" s="1" t="str">
        <f t="shared" si="5617"/>
        <v>0</v>
      </c>
      <c r="Q2788" s="1" t="str">
        <f t="shared" si="5548"/>
        <v>0.0070</v>
      </c>
      <c r="R2788" s="1" t="s">
        <v>29</v>
      </c>
      <c r="S2788" s="1">
        <v>-0.0014</v>
      </c>
      <c r="T2788" s="1" t="str">
        <f t="shared" si="5549"/>
        <v>0</v>
      </c>
      <c r="U2788" s="1" t="str">
        <f t="shared" si="5603"/>
        <v>0.0056</v>
      </c>
    </row>
    <row r="2789" s="1" customFormat="1" spans="1:21">
      <c r="A2789" s="1" t="str">
        <f>"4601992051713"</f>
        <v>4601992051713</v>
      </c>
      <c r="B2789" s="1" t="s">
        <v>2812</v>
      </c>
      <c r="C2789" s="1" t="s">
        <v>24</v>
      </c>
      <c r="D2789" s="1" t="str">
        <f t="shared" si="5546"/>
        <v>2021</v>
      </c>
      <c r="E2789" s="1" t="str">
        <f>"48.36"</f>
        <v>48.36</v>
      </c>
      <c r="F2789" s="1" t="str">
        <f t="shared" ref="F2789:I2789" si="5618">"0"</f>
        <v>0</v>
      </c>
      <c r="G2789" s="1" t="str">
        <f t="shared" si="5618"/>
        <v>0</v>
      </c>
      <c r="H2789" s="1" t="str">
        <f t="shared" si="5618"/>
        <v>0</v>
      </c>
      <c r="I2789" s="1" t="str">
        <f t="shared" si="5618"/>
        <v>0</v>
      </c>
      <c r="J2789" s="1" t="str">
        <f>"5"</f>
        <v>5</v>
      </c>
      <c r="K2789" s="1" t="str">
        <f t="shared" ref="K2789:P2789" si="5619">"0"</f>
        <v>0</v>
      </c>
      <c r="L2789" s="1" t="str">
        <f t="shared" si="5619"/>
        <v>0</v>
      </c>
      <c r="M2789" s="1" t="str">
        <f t="shared" si="5619"/>
        <v>0</v>
      </c>
      <c r="N2789" s="1" t="str">
        <f t="shared" si="5619"/>
        <v>0</v>
      </c>
      <c r="O2789" s="1" t="str">
        <f t="shared" si="5619"/>
        <v>0</v>
      </c>
      <c r="P2789" s="1" t="str">
        <f t="shared" si="5619"/>
        <v>0</v>
      </c>
      <c r="Q2789" s="1" t="str">
        <f t="shared" si="5548"/>
        <v>0.0070</v>
      </c>
      <c r="R2789" s="1" t="s">
        <v>29</v>
      </c>
      <c r="S2789" s="1">
        <v>-0.0014</v>
      </c>
      <c r="T2789" s="1" t="str">
        <f t="shared" si="5549"/>
        <v>0</v>
      </c>
      <c r="U2789" s="1" t="str">
        <f t="shared" si="5603"/>
        <v>0.0056</v>
      </c>
    </row>
    <row r="2790" s="1" customFormat="1" spans="1:21">
      <c r="A2790" s="1" t="str">
        <f>"4601992051737"</f>
        <v>4601992051737</v>
      </c>
      <c r="B2790" s="1" t="s">
        <v>2813</v>
      </c>
      <c r="C2790" s="1" t="s">
        <v>24</v>
      </c>
      <c r="D2790" s="1" t="str">
        <f t="shared" si="5546"/>
        <v>2021</v>
      </c>
      <c r="E2790" s="1" t="str">
        <f>"634.97"</f>
        <v>634.97</v>
      </c>
      <c r="F2790" s="1" t="str">
        <f t="shared" ref="F2790:I2790" si="5620">"0"</f>
        <v>0</v>
      </c>
      <c r="G2790" s="1" t="str">
        <f t="shared" si="5620"/>
        <v>0</v>
      </c>
      <c r="H2790" s="1" t="str">
        <f t="shared" si="5620"/>
        <v>0</v>
      </c>
      <c r="I2790" s="1" t="str">
        <f t="shared" si="5620"/>
        <v>0</v>
      </c>
      <c r="J2790" s="1" t="str">
        <f>"49"</f>
        <v>49</v>
      </c>
      <c r="K2790" s="1" t="str">
        <f t="shared" ref="K2790:P2790" si="5621">"0"</f>
        <v>0</v>
      </c>
      <c r="L2790" s="1" t="str">
        <f t="shared" si="5621"/>
        <v>0</v>
      </c>
      <c r="M2790" s="1" t="str">
        <f t="shared" si="5621"/>
        <v>0</v>
      </c>
      <c r="N2790" s="1" t="str">
        <f t="shared" si="5621"/>
        <v>0</v>
      </c>
      <c r="O2790" s="1" t="str">
        <f t="shared" si="5621"/>
        <v>0</v>
      </c>
      <c r="P2790" s="1" t="str">
        <f t="shared" si="5621"/>
        <v>0</v>
      </c>
      <c r="Q2790" s="1" t="str">
        <f t="shared" si="5548"/>
        <v>0.0070</v>
      </c>
      <c r="R2790" s="1" t="s">
        <v>29</v>
      </c>
      <c r="S2790" s="1">
        <v>-0.0014</v>
      </c>
      <c r="T2790" s="1" t="str">
        <f t="shared" si="5549"/>
        <v>0</v>
      </c>
      <c r="U2790" s="1" t="str">
        <f t="shared" si="5603"/>
        <v>0.0056</v>
      </c>
    </row>
    <row r="2791" s="1" customFormat="1" spans="1:21">
      <c r="A2791" s="1" t="str">
        <f>"4601992051796"</f>
        <v>4601992051796</v>
      </c>
      <c r="B2791" s="1" t="s">
        <v>2814</v>
      </c>
      <c r="C2791" s="1" t="s">
        <v>24</v>
      </c>
      <c r="D2791" s="1" t="str">
        <f t="shared" si="5546"/>
        <v>2021</v>
      </c>
      <c r="E2791" s="1" t="str">
        <f t="shared" ref="E2791:P2791" si="5622">"0"</f>
        <v>0</v>
      </c>
      <c r="F2791" s="1" t="str">
        <f t="shared" si="5622"/>
        <v>0</v>
      </c>
      <c r="G2791" s="1" t="str">
        <f t="shared" si="5622"/>
        <v>0</v>
      </c>
      <c r="H2791" s="1" t="str">
        <f t="shared" si="5622"/>
        <v>0</v>
      </c>
      <c r="I2791" s="1" t="str">
        <f t="shared" si="5622"/>
        <v>0</v>
      </c>
      <c r="J2791" s="1" t="str">
        <f t="shared" si="5622"/>
        <v>0</v>
      </c>
      <c r="K2791" s="1" t="str">
        <f t="shared" si="5622"/>
        <v>0</v>
      </c>
      <c r="L2791" s="1" t="str">
        <f t="shared" si="5622"/>
        <v>0</v>
      </c>
      <c r="M2791" s="1" t="str">
        <f t="shared" si="5622"/>
        <v>0</v>
      </c>
      <c r="N2791" s="1" t="str">
        <f t="shared" si="5622"/>
        <v>0</v>
      </c>
      <c r="O2791" s="1" t="str">
        <f t="shared" si="5622"/>
        <v>0</v>
      </c>
      <c r="P2791" s="1" t="str">
        <f t="shared" si="5622"/>
        <v>0</v>
      </c>
      <c r="Q2791" s="1" t="str">
        <f t="shared" si="5548"/>
        <v>0.0070</v>
      </c>
      <c r="R2791" s="1" t="s">
        <v>25</v>
      </c>
      <c r="T2791" s="1" t="str">
        <f t="shared" si="5549"/>
        <v>0</v>
      </c>
      <c r="U2791" s="1" t="str">
        <f>"0.0070"</f>
        <v>0.0070</v>
      </c>
    </row>
    <row r="2792" s="1" customFormat="1" spans="1:21">
      <c r="A2792" s="1" t="str">
        <f>"4601992051774"</f>
        <v>4601992051774</v>
      </c>
      <c r="B2792" s="1" t="s">
        <v>2815</v>
      </c>
      <c r="C2792" s="1" t="s">
        <v>24</v>
      </c>
      <c r="D2792" s="1" t="str">
        <f t="shared" si="5546"/>
        <v>2021</v>
      </c>
      <c r="E2792" s="1" t="str">
        <f>"12.25"</f>
        <v>12.25</v>
      </c>
      <c r="F2792" s="1" t="str">
        <f t="shared" ref="F2792:I2792" si="5623">"0"</f>
        <v>0</v>
      </c>
      <c r="G2792" s="1" t="str">
        <f t="shared" si="5623"/>
        <v>0</v>
      </c>
      <c r="H2792" s="1" t="str">
        <f t="shared" si="5623"/>
        <v>0</v>
      </c>
      <c r="I2792" s="1" t="str">
        <f t="shared" si="5623"/>
        <v>0</v>
      </c>
      <c r="J2792" s="1" t="str">
        <f t="shared" ref="J2792:J2795" si="5624">"2"</f>
        <v>2</v>
      </c>
      <c r="K2792" s="1" t="str">
        <f t="shared" ref="K2792:P2792" si="5625">"0"</f>
        <v>0</v>
      </c>
      <c r="L2792" s="1" t="str">
        <f t="shared" si="5625"/>
        <v>0</v>
      </c>
      <c r="M2792" s="1" t="str">
        <f t="shared" si="5625"/>
        <v>0</v>
      </c>
      <c r="N2792" s="1" t="str">
        <f t="shared" si="5625"/>
        <v>0</v>
      </c>
      <c r="O2792" s="1" t="str">
        <f t="shared" si="5625"/>
        <v>0</v>
      </c>
      <c r="P2792" s="1" t="str">
        <f t="shared" si="5625"/>
        <v>0</v>
      </c>
      <c r="Q2792" s="1" t="str">
        <f t="shared" si="5548"/>
        <v>0.0070</v>
      </c>
      <c r="R2792" s="1" t="s">
        <v>29</v>
      </c>
      <c r="S2792" s="1">
        <v>-0.0014</v>
      </c>
      <c r="T2792" s="1" t="str">
        <f t="shared" si="5549"/>
        <v>0</v>
      </c>
      <c r="U2792" s="1" t="str">
        <f t="shared" ref="U2792:U2795" si="5626">"0.0056"</f>
        <v>0.0056</v>
      </c>
    </row>
    <row r="2793" s="1" customFormat="1" spans="1:21">
      <c r="A2793" s="1" t="str">
        <f>"4601992051757"</f>
        <v>4601992051757</v>
      </c>
      <c r="B2793" s="1" t="s">
        <v>2816</v>
      </c>
      <c r="C2793" s="1" t="s">
        <v>24</v>
      </c>
      <c r="D2793" s="1" t="str">
        <f t="shared" si="5546"/>
        <v>2021</v>
      </c>
      <c r="E2793" s="1" t="str">
        <f>"24.50"</f>
        <v>24.50</v>
      </c>
      <c r="F2793" s="1" t="str">
        <f t="shared" ref="F2793:I2793" si="5627">"0"</f>
        <v>0</v>
      </c>
      <c r="G2793" s="1" t="str">
        <f t="shared" si="5627"/>
        <v>0</v>
      </c>
      <c r="H2793" s="1" t="str">
        <f t="shared" si="5627"/>
        <v>0</v>
      </c>
      <c r="I2793" s="1" t="str">
        <f t="shared" si="5627"/>
        <v>0</v>
      </c>
      <c r="J2793" s="1" t="str">
        <f t="shared" si="5624"/>
        <v>2</v>
      </c>
      <c r="K2793" s="1" t="str">
        <f t="shared" ref="K2793:P2793" si="5628">"0"</f>
        <v>0</v>
      </c>
      <c r="L2793" s="1" t="str">
        <f t="shared" si="5628"/>
        <v>0</v>
      </c>
      <c r="M2793" s="1" t="str">
        <f t="shared" si="5628"/>
        <v>0</v>
      </c>
      <c r="N2793" s="1" t="str">
        <f t="shared" si="5628"/>
        <v>0</v>
      </c>
      <c r="O2793" s="1" t="str">
        <f t="shared" si="5628"/>
        <v>0</v>
      </c>
      <c r="P2793" s="1" t="str">
        <f t="shared" si="5628"/>
        <v>0</v>
      </c>
      <c r="Q2793" s="1" t="str">
        <f t="shared" si="5548"/>
        <v>0.0070</v>
      </c>
      <c r="R2793" s="1" t="s">
        <v>29</v>
      </c>
      <c r="S2793" s="1">
        <v>-0.0014</v>
      </c>
      <c r="T2793" s="1" t="str">
        <f t="shared" si="5549"/>
        <v>0</v>
      </c>
      <c r="U2793" s="1" t="str">
        <f t="shared" si="5626"/>
        <v>0.0056</v>
      </c>
    </row>
    <row r="2794" s="1" customFormat="1" spans="1:21">
      <c r="A2794" s="1" t="str">
        <f>"4601992051824"</f>
        <v>4601992051824</v>
      </c>
      <c r="B2794" s="1" t="s">
        <v>2817</v>
      </c>
      <c r="C2794" s="1" t="s">
        <v>24</v>
      </c>
      <c r="D2794" s="1" t="str">
        <f t="shared" si="5546"/>
        <v>2021</v>
      </c>
      <c r="E2794" s="1" t="str">
        <f>"96.72"</f>
        <v>96.72</v>
      </c>
      <c r="F2794" s="1" t="str">
        <f t="shared" ref="F2794:I2794" si="5629">"0"</f>
        <v>0</v>
      </c>
      <c r="G2794" s="1" t="str">
        <f t="shared" si="5629"/>
        <v>0</v>
      </c>
      <c r="H2794" s="1" t="str">
        <f t="shared" si="5629"/>
        <v>0</v>
      </c>
      <c r="I2794" s="1" t="str">
        <f t="shared" si="5629"/>
        <v>0</v>
      </c>
      <c r="J2794" s="1" t="str">
        <f>"8"</f>
        <v>8</v>
      </c>
      <c r="K2794" s="1" t="str">
        <f t="shared" ref="K2794:P2794" si="5630">"0"</f>
        <v>0</v>
      </c>
      <c r="L2794" s="1" t="str">
        <f t="shared" si="5630"/>
        <v>0</v>
      </c>
      <c r="M2794" s="1" t="str">
        <f t="shared" si="5630"/>
        <v>0</v>
      </c>
      <c r="N2794" s="1" t="str">
        <f t="shared" si="5630"/>
        <v>0</v>
      </c>
      <c r="O2794" s="1" t="str">
        <f t="shared" si="5630"/>
        <v>0</v>
      </c>
      <c r="P2794" s="1" t="str">
        <f t="shared" si="5630"/>
        <v>0</v>
      </c>
      <c r="Q2794" s="1" t="str">
        <f t="shared" si="5548"/>
        <v>0.0070</v>
      </c>
      <c r="R2794" s="1" t="s">
        <v>29</v>
      </c>
      <c r="S2794" s="1">
        <v>-0.0014</v>
      </c>
      <c r="T2794" s="1" t="str">
        <f t="shared" si="5549"/>
        <v>0</v>
      </c>
      <c r="U2794" s="1" t="str">
        <f t="shared" si="5626"/>
        <v>0.0056</v>
      </c>
    </row>
    <row r="2795" s="1" customFormat="1" spans="1:21">
      <c r="A2795" s="1" t="str">
        <f>"4601992051825"</f>
        <v>4601992051825</v>
      </c>
      <c r="B2795" s="1" t="s">
        <v>2818</v>
      </c>
      <c r="C2795" s="1" t="s">
        <v>24</v>
      </c>
      <c r="D2795" s="1" t="str">
        <f t="shared" si="5546"/>
        <v>2021</v>
      </c>
      <c r="E2795" s="1" t="str">
        <f>"12.09"</f>
        <v>12.09</v>
      </c>
      <c r="F2795" s="1" t="str">
        <f t="shared" ref="F2795:I2795" si="5631">"0"</f>
        <v>0</v>
      </c>
      <c r="G2795" s="1" t="str">
        <f t="shared" si="5631"/>
        <v>0</v>
      </c>
      <c r="H2795" s="1" t="str">
        <f t="shared" si="5631"/>
        <v>0</v>
      </c>
      <c r="I2795" s="1" t="str">
        <f t="shared" si="5631"/>
        <v>0</v>
      </c>
      <c r="J2795" s="1" t="str">
        <f t="shared" si="5624"/>
        <v>2</v>
      </c>
      <c r="K2795" s="1" t="str">
        <f t="shared" ref="K2795:P2795" si="5632">"0"</f>
        <v>0</v>
      </c>
      <c r="L2795" s="1" t="str">
        <f t="shared" si="5632"/>
        <v>0</v>
      </c>
      <c r="M2795" s="1" t="str">
        <f t="shared" si="5632"/>
        <v>0</v>
      </c>
      <c r="N2795" s="1" t="str">
        <f t="shared" si="5632"/>
        <v>0</v>
      </c>
      <c r="O2795" s="1" t="str">
        <f t="shared" si="5632"/>
        <v>0</v>
      </c>
      <c r="P2795" s="1" t="str">
        <f t="shared" si="5632"/>
        <v>0</v>
      </c>
      <c r="Q2795" s="1" t="str">
        <f t="shared" si="5548"/>
        <v>0.0070</v>
      </c>
      <c r="R2795" s="1" t="s">
        <v>29</v>
      </c>
      <c r="S2795" s="1">
        <v>-0.0014</v>
      </c>
      <c r="T2795" s="1" t="str">
        <f t="shared" si="5549"/>
        <v>0</v>
      </c>
      <c r="U2795" s="1" t="str">
        <f t="shared" si="5626"/>
        <v>0.0056</v>
      </c>
    </row>
    <row r="2796" s="1" customFormat="1" spans="1:21">
      <c r="A2796" s="1" t="str">
        <f>"4601992051870"</f>
        <v>4601992051870</v>
      </c>
      <c r="B2796" s="1" t="s">
        <v>2819</v>
      </c>
      <c r="C2796" s="1" t="s">
        <v>24</v>
      </c>
      <c r="D2796" s="1" t="str">
        <f t="shared" si="5546"/>
        <v>2021</v>
      </c>
      <c r="E2796" s="1" t="str">
        <f>"72.54"</f>
        <v>72.54</v>
      </c>
      <c r="F2796" s="1" t="str">
        <f t="shared" ref="F2796:I2796" si="5633">"0"</f>
        <v>0</v>
      </c>
      <c r="G2796" s="1" t="str">
        <f t="shared" si="5633"/>
        <v>0</v>
      </c>
      <c r="H2796" s="1" t="str">
        <f t="shared" si="5633"/>
        <v>0</v>
      </c>
      <c r="I2796" s="1" t="str">
        <f t="shared" si="5633"/>
        <v>0</v>
      </c>
      <c r="J2796" s="1" t="str">
        <f>"4"</f>
        <v>4</v>
      </c>
      <c r="K2796" s="1" t="str">
        <f t="shared" ref="K2796:P2796" si="5634">"0"</f>
        <v>0</v>
      </c>
      <c r="L2796" s="1" t="str">
        <f t="shared" si="5634"/>
        <v>0</v>
      </c>
      <c r="M2796" s="1" t="str">
        <f t="shared" si="5634"/>
        <v>0</v>
      </c>
      <c r="N2796" s="1" t="str">
        <f t="shared" si="5634"/>
        <v>0</v>
      </c>
      <c r="O2796" s="1" t="str">
        <f t="shared" si="5634"/>
        <v>0</v>
      </c>
      <c r="P2796" s="1" t="str">
        <f t="shared" si="5634"/>
        <v>0</v>
      </c>
      <c r="Q2796" s="1" t="str">
        <f t="shared" si="5548"/>
        <v>0.0070</v>
      </c>
      <c r="R2796" s="1" t="s">
        <v>25</v>
      </c>
      <c r="T2796" s="1" t="str">
        <f t="shared" si="5549"/>
        <v>0</v>
      </c>
      <c r="U2796" s="1" t="str">
        <f>"0.0070"</f>
        <v>0.0070</v>
      </c>
    </row>
    <row r="2797" s="1" customFormat="1" spans="1:21">
      <c r="A2797" s="1" t="str">
        <f>"4601992051834"</f>
        <v>4601992051834</v>
      </c>
      <c r="B2797" s="1" t="s">
        <v>2820</v>
      </c>
      <c r="C2797" s="1" t="s">
        <v>24</v>
      </c>
      <c r="D2797" s="1" t="str">
        <f t="shared" si="5546"/>
        <v>2021</v>
      </c>
      <c r="E2797" s="1" t="str">
        <f>"24.18"</f>
        <v>24.18</v>
      </c>
      <c r="F2797" s="1" t="str">
        <f t="shared" ref="F2797:I2797" si="5635">"0"</f>
        <v>0</v>
      </c>
      <c r="G2797" s="1" t="str">
        <f t="shared" si="5635"/>
        <v>0</v>
      </c>
      <c r="H2797" s="1" t="str">
        <f t="shared" si="5635"/>
        <v>0</v>
      </c>
      <c r="I2797" s="1" t="str">
        <f t="shared" si="5635"/>
        <v>0</v>
      </c>
      <c r="J2797" s="1" t="str">
        <f>"2"</f>
        <v>2</v>
      </c>
      <c r="K2797" s="1" t="str">
        <f t="shared" ref="K2797:P2797" si="5636">"0"</f>
        <v>0</v>
      </c>
      <c r="L2797" s="1" t="str">
        <f t="shared" si="5636"/>
        <v>0</v>
      </c>
      <c r="M2797" s="1" t="str">
        <f t="shared" si="5636"/>
        <v>0</v>
      </c>
      <c r="N2797" s="1" t="str">
        <f t="shared" si="5636"/>
        <v>0</v>
      </c>
      <c r="O2797" s="1" t="str">
        <f t="shared" si="5636"/>
        <v>0</v>
      </c>
      <c r="P2797" s="1" t="str">
        <f t="shared" si="5636"/>
        <v>0</v>
      </c>
      <c r="Q2797" s="1" t="str">
        <f t="shared" si="5548"/>
        <v>0.0070</v>
      </c>
      <c r="R2797" s="1" t="s">
        <v>29</v>
      </c>
      <c r="S2797" s="1">
        <v>-0.0014</v>
      </c>
      <c r="T2797" s="1" t="str">
        <f t="shared" si="5549"/>
        <v>0</v>
      </c>
      <c r="U2797" s="1" t="str">
        <f t="shared" ref="U2797:U2805" si="5637">"0.0056"</f>
        <v>0.0056</v>
      </c>
    </row>
    <row r="2798" s="1" customFormat="1" spans="1:21">
      <c r="A2798" s="1" t="str">
        <f>"4601992051874"</f>
        <v>4601992051874</v>
      </c>
      <c r="B2798" s="1" t="s">
        <v>2821</v>
      </c>
      <c r="C2798" s="1" t="s">
        <v>24</v>
      </c>
      <c r="D2798" s="1" t="str">
        <f t="shared" si="5546"/>
        <v>2021</v>
      </c>
      <c r="E2798" s="1" t="str">
        <f t="shared" ref="E2798:P2798" si="5638">"0"</f>
        <v>0</v>
      </c>
      <c r="F2798" s="1" t="str">
        <f t="shared" si="5638"/>
        <v>0</v>
      </c>
      <c r="G2798" s="1" t="str">
        <f t="shared" si="5638"/>
        <v>0</v>
      </c>
      <c r="H2798" s="1" t="str">
        <f t="shared" si="5638"/>
        <v>0</v>
      </c>
      <c r="I2798" s="1" t="str">
        <f t="shared" si="5638"/>
        <v>0</v>
      </c>
      <c r="J2798" s="1" t="str">
        <f t="shared" si="5638"/>
        <v>0</v>
      </c>
      <c r="K2798" s="1" t="str">
        <f t="shared" si="5638"/>
        <v>0</v>
      </c>
      <c r="L2798" s="1" t="str">
        <f t="shared" si="5638"/>
        <v>0</v>
      </c>
      <c r="M2798" s="1" t="str">
        <f t="shared" si="5638"/>
        <v>0</v>
      </c>
      <c r="N2798" s="1" t="str">
        <f t="shared" si="5638"/>
        <v>0</v>
      </c>
      <c r="O2798" s="1" t="str">
        <f t="shared" si="5638"/>
        <v>0</v>
      </c>
      <c r="P2798" s="1" t="str">
        <f t="shared" si="5638"/>
        <v>0</v>
      </c>
      <c r="Q2798" s="1" t="str">
        <f t="shared" si="5548"/>
        <v>0.0070</v>
      </c>
      <c r="R2798" s="1" t="s">
        <v>25</v>
      </c>
      <c r="T2798" s="1" t="str">
        <f t="shared" si="5549"/>
        <v>0</v>
      </c>
      <c r="U2798" s="1" t="str">
        <f>"0.0070"</f>
        <v>0.0070</v>
      </c>
    </row>
    <row r="2799" s="1" customFormat="1" spans="1:21">
      <c r="A2799" s="1" t="str">
        <f>"4601992051859"</f>
        <v>4601992051859</v>
      </c>
      <c r="B2799" s="1" t="s">
        <v>2822</v>
      </c>
      <c r="C2799" s="1" t="s">
        <v>24</v>
      </c>
      <c r="D2799" s="1" t="str">
        <f t="shared" si="5546"/>
        <v>2021</v>
      </c>
      <c r="E2799" s="1" t="str">
        <f>"12.09"</f>
        <v>12.09</v>
      </c>
      <c r="F2799" s="1" t="str">
        <f t="shared" ref="F2799:I2799" si="5639">"0"</f>
        <v>0</v>
      </c>
      <c r="G2799" s="1" t="str">
        <f t="shared" si="5639"/>
        <v>0</v>
      </c>
      <c r="H2799" s="1" t="str">
        <f t="shared" si="5639"/>
        <v>0</v>
      </c>
      <c r="I2799" s="1" t="str">
        <f t="shared" si="5639"/>
        <v>0</v>
      </c>
      <c r="J2799" s="1" t="str">
        <f>"1"</f>
        <v>1</v>
      </c>
      <c r="K2799" s="1" t="str">
        <f t="shared" ref="K2799:P2799" si="5640">"0"</f>
        <v>0</v>
      </c>
      <c r="L2799" s="1" t="str">
        <f t="shared" si="5640"/>
        <v>0</v>
      </c>
      <c r="M2799" s="1" t="str">
        <f t="shared" si="5640"/>
        <v>0</v>
      </c>
      <c r="N2799" s="1" t="str">
        <f t="shared" si="5640"/>
        <v>0</v>
      </c>
      <c r="O2799" s="1" t="str">
        <f t="shared" si="5640"/>
        <v>0</v>
      </c>
      <c r="P2799" s="1" t="str">
        <f t="shared" si="5640"/>
        <v>0</v>
      </c>
      <c r="Q2799" s="1" t="str">
        <f t="shared" si="5548"/>
        <v>0.0070</v>
      </c>
      <c r="R2799" s="1" t="s">
        <v>29</v>
      </c>
      <c r="S2799" s="1">
        <v>-0.0014</v>
      </c>
      <c r="T2799" s="1" t="str">
        <f t="shared" si="5549"/>
        <v>0</v>
      </c>
      <c r="U2799" s="1" t="str">
        <f t="shared" si="5637"/>
        <v>0.0056</v>
      </c>
    </row>
    <row r="2800" s="1" customFormat="1" spans="1:21">
      <c r="A2800" s="1" t="str">
        <f>"4601992051872"</f>
        <v>4601992051872</v>
      </c>
      <c r="B2800" s="1" t="s">
        <v>2823</v>
      </c>
      <c r="C2800" s="1" t="s">
        <v>24</v>
      </c>
      <c r="D2800" s="1" t="str">
        <f t="shared" si="5546"/>
        <v>2021</v>
      </c>
      <c r="E2800" s="1" t="str">
        <f>"24.23"</f>
        <v>24.23</v>
      </c>
      <c r="F2800" s="1" t="str">
        <f t="shared" ref="F2800:I2800" si="5641">"0"</f>
        <v>0</v>
      </c>
      <c r="G2800" s="1" t="str">
        <f t="shared" si="5641"/>
        <v>0</v>
      </c>
      <c r="H2800" s="1" t="str">
        <f t="shared" si="5641"/>
        <v>0</v>
      </c>
      <c r="I2800" s="1" t="str">
        <f t="shared" si="5641"/>
        <v>0</v>
      </c>
      <c r="J2800" s="1" t="str">
        <f>"3"</f>
        <v>3</v>
      </c>
      <c r="K2800" s="1" t="str">
        <f t="shared" ref="K2800:P2800" si="5642">"0"</f>
        <v>0</v>
      </c>
      <c r="L2800" s="1" t="str">
        <f t="shared" si="5642"/>
        <v>0</v>
      </c>
      <c r="M2800" s="1" t="str">
        <f t="shared" si="5642"/>
        <v>0</v>
      </c>
      <c r="N2800" s="1" t="str">
        <f t="shared" si="5642"/>
        <v>0</v>
      </c>
      <c r="O2800" s="1" t="str">
        <f t="shared" si="5642"/>
        <v>0</v>
      </c>
      <c r="P2800" s="1" t="str">
        <f t="shared" si="5642"/>
        <v>0</v>
      </c>
      <c r="Q2800" s="1" t="str">
        <f t="shared" si="5548"/>
        <v>0.0070</v>
      </c>
      <c r="R2800" s="1" t="s">
        <v>29</v>
      </c>
      <c r="S2800" s="1">
        <v>-0.0014</v>
      </c>
      <c r="T2800" s="1" t="str">
        <f t="shared" si="5549"/>
        <v>0</v>
      </c>
      <c r="U2800" s="1" t="str">
        <f t="shared" si="5637"/>
        <v>0.0056</v>
      </c>
    </row>
    <row r="2801" s="1" customFormat="1" spans="1:21">
      <c r="A2801" s="1" t="str">
        <f>"4601992051992"</f>
        <v>4601992051992</v>
      </c>
      <c r="B2801" s="1" t="s">
        <v>2824</v>
      </c>
      <c r="C2801" s="1" t="s">
        <v>24</v>
      </c>
      <c r="D2801" s="1" t="str">
        <f t="shared" si="5546"/>
        <v>2021</v>
      </c>
      <c r="E2801" s="1" t="str">
        <f>"192.78"</f>
        <v>192.78</v>
      </c>
      <c r="F2801" s="1" t="str">
        <f t="shared" ref="F2801:I2801" si="5643">"0"</f>
        <v>0</v>
      </c>
      <c r="G2801" s="1" t="str">
        <f t="shared" si="5643"/>
        <v>0</v>
      </c>
      <c r="H2801" s="1" t="str">
        <f t="shared" si="5643"/>
        <v>0</v>
      </c>
      <c r="I2801" s="1" t="str">
        <f t="shared" si="5643"/>
        <v>0</v>
      </c>
      <c r="J2801" s="1" t="str">
        <f>"15"</f>
        <v>15</v>
      </c>
      <c r="K2801" s="1" t="str">
        <f t="shared" ref="K2801:P2801" si="5644">"0"</f>
        <v>0</v>
      </c>
      <c r="L2801" s="1" t="str">
        <f t="shared" si="5644"/>
        <v>0</v>
      </c>
      <c r="M2801" s="1" t="str">
        <f t="shared" si="5644"/>
        <v>0</v>
      </c>
      <c r="N2801" s="1" t="str">
        <f t="shared" si="5644"/>
        <v>0</v>
      </c>
      <c r="O2801" s="1" t="str">
        <f t="shared" si="5644"/>
        <v>0</v>
      </c>
      <c r="P2801" s="1" t="str">
        <f t="shared" si="5644"/>
        <v>0</v>
      </c>
      <c r="Q2801" s="1" t="str">
        <f t="shared" si="5548"/>
        <v>0.0070</v>
      </c>
      <c r="R2801" s="1" t="s">
        <v>29</v>
      </c>
      <c r="S2801" s="1">
        <v>-0.0014</v>
      </c>
      <c r="T2801" s="1" t="str">
        <f t="shared" si="5549"/>
        <v>0</v>
      </c>
      <c r="U2801" s="1" t="str">
        <f t="shared" si="5637"/>
        <v>0.0056</v>
      </c>
    </row>
    <row r="2802" s="1" customFormat="1" spans="1:21">
      <c r="A2802" s="1" t="str">
        <f>"4601992051886"</f>
        <v>4601992051886</v>
      </c>
      <c r="B2802" s="1" t="s">
        <v>2825</v>
      </c>
      <c r="C2802" s="1" t="s">
        <v>24</v>
      </c>
      <c r="D2802" s="1" t="str">
        <f t="shared" si="5546"/>
        <v>2021</v>
      </c>
      <c r="E2802" s="1" t="str">
        <f>"36.75"</f>
        <v>36.75</v>
      </c>
      <c r="F2802" s="1" t="str">
        <f t="shared" ref="F2802:I2802" si="5645">"0"</f>
        <v>0</v>
      </c>
      <c r="G2802" s="1" t="str">
        <f t="shared" si="5645"/>
        <v>0</v>
      </c>
      <c r="H2802" s="1" t="str">
        <f t="shared" si="5645"/>
        <v>0</v>
      </c>
      <c r="I2802" s="1" t="str">
        <f t="shared" si="5645"/>
        <v>0</v>
      </c>
      <c r="J2802" s="1" t="str">
        <f>"3"</f>
        <v>3</v>
      </c>
      <c r="K2802" s="1" t="str">
        <f t="shared" ref="K2802:P2802" si="5646">"0"</f>
        <v>0</v>
      </c>
      <c r="L2802" s="1" t="str">
        <f t="shared" si="5646"/>
        <v>0</v>
      </c>
      <c r="M2802" s="1" t="str">
        <f t="shared" si="5646"/>
        <v>0</v>
      </c>
      <c r="N2802" s="1" t="str">
        <f t="shared" si="5646"/>
        <v>0</v>
      </c>
      <c r="O2802" s="1" t="str">
        <f t="shared" si="5646"/>
        <v>0</v>
      </c>
      <c r="P2802" s="1" t="str">
        <f t="shared" si="5646"/>
        <v>0</v>
      </c>
      <c r="Q2802" s="1" t="str">
        <f t="shared" si="5548"/>
        <v>0.0070</v>
      </c>
      <c r="R2802" s="1" t="s">
        <v>29</v>
      </c>
      <c r="S2802" s="1">
        <v>-0.0014</v>
      </c>
      <c r="T2802" s="1" t="str">
        <f t="shared" si="5549"/>
        <v>0</v>
      </c>
      <c r="U2802" s="1" t="str">
        <f t="shared" si="5637"/>
        <v>0.0056</v>
      </c>
    </row>
    <row r="2803" s="1" customFormat="1" spans="1:21">
      <c r="A2803" s="1" t="str">
        <f>"4601992051988"</f>
        <v>4601992051988</v>
      </c>
      <c r="B2803" s="1" t="s">
        <v>2826</v>
      </c>
      <c r="C2803" s="1" t="s">
        <v>24</v>
      </c>
      <c r="D2803" s="1" t="str">
        <f t="shared" si="5546"/>
        <v>2021</v>
      </c>
      <c r="E2803" s="1" t="str">
        <f>"36.27"</f>
        <v>36.27</v>
      </c>
      <c r="F2803" s="1" t="str">
        <f t="shared" ref="F2803:I2803" si="5647">"0"</f>
        <v>0</v>
      </c>
      <c r="G2803" s="1" t="str">
        <f t="shared" si="5647"/>
        <v>0</v>
      </c>
      <c r="H2803" s="1" t="str">
        <f t="shared" si="5647"/>
        <v>0</v>
      </c>
      <c r="I2803" s="1" t="str">
        <f t="shared" si="5647"/>
        <v>0</v>
      </c>
      <c r="J2803" s="1" t="str">
        <f>"5"</f>
        <v>5</v>
      </c>
      <c r="K2803" s="1" t="str">
        <f t="shared" ref="K2803:P2803" si="5648">"0"</f>
        <v>0</v>
      </c>
      <c r="L2803" s="1" t="str">
        <f t="shared" si="5648"/>
        <v>0</v>
      </c>
      <c r="M2803" s="1" t="str">
        <f t="shared" si="5648"/>
        <v>0</v>
      </c>
      <c r="N2803" s="1" t="str">
        <f t="shared" si="5648"/>
        <v>0</v>
      </c>
      <c r="O2803" s="1" t="str">
        <f t="shared" si="5648"/>
        <v>0</v>
      </c>
      <c r="P2803" s="1" t="str">
        <f t="shared" si="5648"/>
        <v>0</v>
      </c>
      <c r="Q2803" s="1" t="str">
        <f t="shared" si="5548"/>
        <v>0.0070</v>
      </c>
      <c r="R2803" s="1" t="s">
        <v>29</v>
      </c>
      <c r="S2803" s="1">
        <v>-0.0014</v>
      </c>
      <c r="T2803" s="1" t="str">
        <f t="shared" si="5549"/>
        <v>0</v>
      </c>
      <c r="U2803" s="1" t="str">
        <f t="shared" si="5637"/>
        <v>0.0056</v>
      </c>
    </row>
    <row r="2804" s="1" customFormat="1" spans="1:21">
      <c r="A2804" s="1" t="str">
        <f>"4601992051949"</f>
        <v>4601992051949</v>
      </c>
      <c r="B2804" s="1" t="s">
        <v>2827</v>
      </c>
      <c r="C2804" s="1" t="s">
        <v>24</v>
      </c>
      <c r="D2804" s="1" t="str">
        <f t="shared" si="5546"/>
        <v>2021</v>
      </c>
      <c r="E2804" s="1" t="str">
        <f>"52.03"</f>
        <v>52.03</v>
      </c>
      <c r="F2804" s="1" t="str">
        <f t="shared" ref="F2804:I2804" si="5649">"0"</f>
        <v>0</v>
      </c>
      <c r="G2804" s="1" t="str">
        <f t="shared" si="5649"/>
        <v>0</v>
      </c>
      <c r="H2804" s="1" t="str">
        <f t="shared" si="5649"/>
        <v>0</v>
      </c>
      <c r="I2804" s="1" t="str">
        <f t="shared" si="5649"/>
        <v>0</v>
      </c>
      <c r="J2804" s="1" t="str">
        <f t="shared" ref="J2804:J2809" si="5650">"4"</f>
        <v>4</v>
      </c>
      <c r="K2804" s="1" t="str">
        <f t="shared" ref="K2804:P2804" si="5651">"0"</f>
        <v>0</v>
      </c>
      <c r="L2804" s="1" t="str">
        <f t="shared" si="5651"/>
        <v>0</v>
      </c>
      <c r="M2804" s="1" t="str">
        <f t="shared" si="5651"/>
        <v>0</v>
      </c>
      <c r="N2804" s="1" t="str">
        <f t="shared" si="5651"/>
        <v>0</v>
      </c>
      <c r="O2804" s="1" t="str">
        <f t="shared" si="5651"/>
        <v>0</v>
      </c>
      <c r="P2804" s="1" t="str">
        <f t="shared" si="5651"/>
        <v>0</v>
      </c>
      <c r="Q2804" s="1" t="str">
        <f t="shared" si="5548"/>
        <v>0.0070</v>
      </c>
      <c r="R2804" s="1" t="s">
        <v>29</v>
      </c>
      <c r="S2804" s="1">
        <v>-0.0014</v>
      </c>
      <c r="T2804" s="1" t="str">
        <f t="shared" si="5549"/>
        <v>0</v>
      </c>
      <c r="U2804" s="1" t="str">
        <f t="shared" si="5637"/>
        <v>0.0056</v>
      </c>
    </row>
    <row r="2805" s="1" customFormat="1" spans="1:21">
      <c r="A2805" s="1" t="str">
        <f>"4601992052010"</f>
        <v>4601992052010</v>
      </c>
      <c r="B2805" s="1" t="s">
        <v>2828</v>
      </c>
      <c r="C2805" s="1" t="s">
        <v>24</v>
      </c>
      <c r="D2805" s="1" t="str">
        <f t="shared" si="5546"/>
        <v>2021</v>
      </c>
      <c r="E2805" s="1" t="str">
        <f>"12.09"</f>
        <v>12.09</v>
      </c>
      <c r="F2805" s="1" t="str">
        <f t="shared" ref="F2805:I2805" si="5652">"0"</f>
        <v>0</v>
      </c>
      <c r="G2805" s="1" t="str">
        <f t="shared" si="5652"/>
        <v>0</v>
      </c>
      <c r="H2805" s="1" t="str">
        <f t="shared" si="5652"/>
        <v>0</v>
      </c>
      <c r="I2805" s="1" t="str">
        <f t="shared" si="5652"/>
        <v>0</v>
      </c>
      <c r="J2805" s="1" t="str">
        <f>"1"</f>
        <v>1</v>
      </c>
      <c r="K2805" s="1" t="str">
        <f t="shared" ref="K2805:P2805" si="5653">"0"</f>
        <v>0</v>
      </c>
      <c r="L2805" s="1" t="str">
        <f t="shared" si="5653"/>
        <v>0</v>
      </c>
      <c r="M2805" s="1" t="str">
        <f t="shared" si="5653"/>
        <v>0</v>
      </c>
      <c r="N2805" s="1" t="str">
        <f t="shared" si="5653"/>
        <v>0</v>
      </c>
      <c r="O2805" s="1" t="str">
        <f t="shared" si="5653"/>
        <v>0</v>
      </c>
      <c r="P2805" s="1" t="str">
        <f t="shared" si="5653"/>
        <v>0</v>
      </c>
      <c r="Q2805" s="1" t="str">
        <f t="shared" si="5548"/>
        <v>0.0070</v>
      </c>
      <c r="R2805" s="1" t="s">
        <v>29</v>
      </c>
      <c r="S2805" s="1">
        <v>-0.0014</v>
      </c>
      <c r="T2805" s="1" t="str">
        <f t="shared" si="5549"/>
        <v>0</v>
      </c>
      <c r="U2805" s="1" t="str">
        <f t="shared" si="5637"/>
        <v>0.0056</v>
      </c>
    </row>
    <row r="2806" s="1" customFormat="1" spans="1:21">
      <c r="A2806" s="1" t="str">
        <f>"4601992052185"</f>
        <v>4601992052185</v>
      </c>
      <c r="B2806" s="1" t="s">
        <v>2829</v>
      </c>
      <c r="C2806" s="1" t="s">
        <v>24</v>
      </c>
      <c r="D2806" s="1" t="str">
        <f t="shared" si="5546"/>
        <v>2021</v>
      </c>
      <c r="E2806" s="1" t="str">
        <f t="shared" ref="E2806:P2806" si="5654">"0"</f>
        <v>0</v>
      </c>
      <c r="F2806" s="1" t="str">
        <f t="shared" si="5654"/>
        <v>0</v>
      </c>
      <c r="G2806" s="1" t="str">
        <f t="shared" si="5654"/>
        <v>0</v>
      </c>
      <c r="H2806" s="1" t="str">
        <f t="shared" si="5654"/>
        <v>0</v>
      </c>
      <c r="I2806" s="1" t="str">
        <f t="shared" si="5654"/>
        <v>0</v>
      </c>
      <c r="J2806" s="1" t="str">
        <f t="shared" si="5654"/>
        <v>0</v>
      </c>
      <c r="K2806" s="1" t="str">
        <f t="shared" si="5654"/>
        <v>0</v>
      </c>
      <c r="L2806" s="1" t="str">
        <f t="shared" si="5654"/>
        <v>0</v>
      </c>
      <c r="M2806" s="1" t="str">
        <f t="shared" si="5654"/>
        <v>0</v>
      </c>
      <c r="N2806" s="1" t="str">
        <f t="shared" si="5654"/>
        <v>0</v>
      </c>
      <c r="O2806" s="1" t="str">
        <f t="shared" si="5654"/>
        <v>0</v>
      </c>
      <c r="P2806" s="1" t="str">
        <f t="shared" si="5654"/>
        <v>0</v>
      </c>
      <c r="Q2806" s="1" t="str">
        <f t="shared" si="5548"/>
        <v>0.0070</v>
      </c>
      <c r="R2806" s="1" t="s">
        <v>25</v>
      </c>
      <c r="T2806" s="1" t="str">
        <f t="shared" si="5549"/>
        <v>0</v>
      </c>
      <c r="U2806" s="1" t="str">
        <f>"0.0070"</f>
        <v>0.0070</v>
      </c>
    </row>
    <row r="2807" s="1" customFormat="1" spans="1:21">
      <c r="A2807" s="1" t="str">
        <f>"4601992052111"</f>
        <v>4601992052111</v>
      </c>
      <c r="B2807" s="1" t="s">
        <v>2830</v>
      </c>
      <c r="C2807" s="1" t="s">
        <v>24</v>
      </c>
      <c r="D2807" s="1" t="str">
        <f t="shared" si="5546"/>
        <v>2021</v>
      </c>
      <c r="E2807" s="1" t="str">
        <f>"115.35"</f>
        <v>115.35</v>
      </c>
      <c r="F2807" s="1" t="str">
        <f t="shared" ref="F2807:I2807" si="5655">"0"</f>
        <v>0</v>
      </c>
      <c r="G2807" s="1" t="str">
        <f t="shared" si="5655"/>
        <v>0</v>
      </c>
      <c r="H2807" s="1" t="str">
        <f t="shared" si="5655"/>
        <v>0</v>
      </c>
      <c r="I2807" s="1" t="str">
        <f t="shared" si="5655"/>
        <v>0</v>
      </c>
      <c r="J2807" s="1" t="str">
        <f t="shared" si="5650"/>
        <v>4</v>
      </c>
      <c r="K2807" s="1" t="str">
        <f t="shared" ref="K2807:P2807" si="5656">"0"</f>
        <v>0</v>
      </c>
      <c r="L2807" s="1" t="str">
        <f t="shared" si="5656"/>
        <v>0</v>
      </c>
      <c r="M2807" s="1" t="str">
        <f t="shared" si="5656"/>
        <v>0</v>
      </c>
      <c r="N2807" s="1" t="str">
        <f t="shared" si="5656"/>
        <v>0</v>
      </c>
      <c r="O2807" s="1" t="str">
        <f t="shared" si="5656"/>
        <v>0</v>
      </c>
      <c r="P2807" s="1" t="str">
        <f t="shared" si="5656"/>
        <v>0</v>
      </c>
      <c r="Q2807" s="1" t="str">
        <f t="shared" si="5548"/>
        <v>0.0070</v>
      </c>
      <c r="R2807" s="1" t="s">
        <v>29</v>
      </c>
      <c r="S2807" s="1">
        <v>-0.0014</v>
      </c>
      <c r="T2807" s="1" t="str">
        <f t="shared" si="5549"/>
        <v>0</v>
      </c>
      <c r="U2807" s="1" t="str">
        <f t="shared" ref="U2807:U2809" si="5657">"0.0056"</f>
        <v>0.0056</v>
      </c>
    </row>
    <row r="2808" s="1" customFormat="1" spans="1:21">
      <c r="A2808" s="1" t="str">
        <f>"4601992052178"</f>
        <v>4601992052178</v>
      </c>
      <c r="B2808" s="1" t="s">
        <v>2831</v>
      </c>
      <c r="C2808" s="1" t="s">
        <v>24</v>
      </c>
      <c r="D2808" s="1" t="str">
        <f t="shared" si="5546"/>
        <v>2021</v>
      </c>
      <c r="E2808" s="1" t="str">
        <f>"41.68"</f>
        <v>41.68</v>
      </c>
      <c r="F2808" s="1" t="str">
        <f t="shared" ref="F2808:I2808" si="5658">"0"</f>
        <v>0</v>
      </c>
      <c r="G2808" s="1" t="str">
        <f t="shared" si="5658"/>
        <v>0</v>
      </c>
      <c r="H2808" s="1" t="str">
        <f t="shared" si="5658"/>
        <v>0</v>
      </c>
      <c r="I2808" s="1" t="str">
        <f t="shared" si="5658"/>
        <v>0</v>
      </c>
      <c r="J2808" s="1" t="str">
        <f>"3"</f>
        <v>3</v>
      </c>
      <c r="K2808" s="1" t="str">
        <f t="shared" ref="K2808:P2808" si="5659">"0"</f>
        <v>0</v>
      </c>
      <c r="L2808" s="1" t="str">
        <f t="shared" si="5659"/>
        <v>0</v>
      </c>
      <c r="M2808" s="1" t="str">
        <f t="shared" si="5659"/>
        <v>0</v>
      </c>
      <c r="N2808" s="1" t="str">
        <f t="shared" si="5659"/>
        <v>0</v>
      </c>
      <c r="O2808" s="1" t="str">
        <f t="shared" si="5659"/>
        <v>0</v>
      </c>
      <c r="P2808" s="1" t="str">
        <f t="shared" si="5659"/>
        <v>0</v>
      </c>
      <c r="Q2808" s="1" t="str">
        <f t="shared" si="5548"/>
        <v>0.0070</v>
      </c>
      <c r="R2808" s="1" t="s">
        <v>29</v>
      </c>
      <c r="S2808" s="1">
        <v>-0.0014</v>
      </c>
      <c r="T2808" s="1" t="str">
        <f t="shared" si="5549"/>
        <v>0</v>
      </c>
      <c r="U2808" s="1" t="str">
        <f t="shared" si="5657"/>
        <v>0.0056</v>
      </c>
    </row>
    <row r="2809" s="1" customFormat="1" spans="1:21">
      <c r="A2809" s="1" t="str">
        <f>"4601992052146"</f>
        <v>4601992052146</v>
      </c>
      <c r="B2809" s="1" t="s">
        <v>2832</v>
      </c>
      <c r="C2809" s="1" t="s">
        <v>24</v>
      </c>
      <c r="D2809" s="1" t="str">
        <f t="shared" si="5546"/>
        <v>2021</v>
      </c>
      <c r="E2809" s="1" t="str">
        <f>"36.27"</f>
        <v>36.27</v>
      </c>
      <c r="F2809" s="1" t="str">
        <f t="shared" ref="F2809:I2809" si="5660">"0"</f>
        <v>0</v>
      </c>
      <c r="G2809" s="1" t="str">
        <f t="shared" si="5660"/>
        <v>0</v>
      </c>
      <c r="H2809" s="1" t="str">
        <f t="shared" si="5660"/>
        <v>0</v>
      </c>
      <c r="I2809" s="1" t="str">
        <f t="shared" si="5660"/>
        <v>0</v>
      </c>
      <c r="J2809" s="1" t="str">
        <f t="shared" si="5650"/>
        <v>4</v>
      </c>
      <c r="K2809" s="1" t="str">
        <f t="shared" ref="K2809:P2809" si="5661">"0"</f>
        <v>0</v>
      </c>
      <c r="L2809" s="1" t="str">
        <f t="shared" si="5661"/>
        <v>0</v>
      </c>
      <c r="M2809" s="1" t="str">
        <f t="shared" si="5661"/>
        <v>0</v>
      </c>
      <c r="N2809" s="1" t="str">
        <f t="shared" si="5661"/>
        <v>0</v>
      </c>
      <c r="O2809" s="1" t="str">
        <f t="shared" si="5661"/>
        <v>0</v>
      </c>
      <c r="P2809" s="1" t="str">
        <f t="shared" si="5661"/>
        <v>0</v>
      </c>
      <c r="Q2809" s="1" t="str">
        <f t="shared" si="5548"/>
        <v>0.0070</v>
      </c>
      <c r="R2809" s="1" t="s">
        <v>29</v>
      </c>
      <c r="S2809" s="1">
        <v>-0.0014</v>
      </c>
      <c r="T2809" s="1" t="str">
        <f t="shared" si="5549"/>
        <v>0</v>
      </c>
      <c r="U2809" s="1" t="str">
        <f t="shared" si="5657"/>
        <v>0.0056</v>
      </c>
    </row>
    <row r="2810" s="1" customFormat="1" spans="1:21">
      <c r="A2810" s="1" t="str">
        <f>"4601992052218"</f>
        <v>4601992052218</v>
      </c>
      <c r="B2810" s="1" t="s">
        <v>2833</v>
      </c>
      <c r="C2810" s="1" t="s">
        <v>24</v>
      </c>
      <c r="D2810" s="1" t="str">
        <f t="shared" si="5546"/>
        <v>2021</v>
      </c>
      <c r="E2810" s="1" t="str">
        <f t="shared" ref="E2810:G2810" si="5662">"0"</f>
        <v>0</v>
      </c>
      <c r="F2810" s="1" t="str">
        <f t="shared" si="5662"/>
        <v>0</v>
      </c>
      <c r="G2810" s="1" t="str">
        <f t="shared" si="5662"/>
        <v>0</v>
      </c>
      <c r="H2810" s="1" t="str">
        <f>"11.98"</f>
        <v>11.98</v>
      </c>
      <c r="I2810" s="1" t="str">
        <f t="shared" ref="I2810:P2810" si="5663">"0"</f>
        <v>0</v>
      </c>
      <c r="J2810" s="1" t="str">
        <f t="shared" si="5663"/>
        <v>0</v>
      </c>
      <c r="K2810" s="1" t="str">
        <f t="shared" si="5663"/>
        <v>0</v>
      </c>
      <c r="L2810" s="1" t="str">
        <f t="shared" si="5663"/>
        <v>0</v>
      </c>
      <c r="M2810" s="1" t="str">
        <f t="shared" si="5663"/>
        <v>0</v>
      </c>
      <c r="N2810" s="1" t="str">
        <f t="shared" si="5663"/>
        <v>0</v>
      </c>
      <c r="O2810" s="1" t="str">
        <f t="shared" si="5663"/>
        <v>0</v>
      </c>
      <c r="P2810" s="1" t="str">
        <f t="shared" si="5663"/>
        <v>0</v>
      </c>
      <c r="Q2810" s="1" t="str">
        <f t="shared" si="5548"/>
        <v>0.0070</v>
      </c>
      <c r="R2810" s="1" t="s">
        <v>25</v>
      </c>
      <c r="T2810" s="1" t="str">
        <f t="shared" si="5549"/>
        <v>0</v>
      </c>
      <c r="U2810" s="1" t="str">
        <f>"0.0070"</f>
        <v>0.0070</v>
      </c>
    </row>
    <row r="2811" s="1" customFormat="1" spans="1:21">
      <c r="A2811" s="1" t="str">
        <f>"4601992052226"</f>
        <v>4601992052226</v>
      </c>
      <c r="B2811" s="1" t="s">
        <v>2834</v>
      </c>
      <c r="C2811" s="1" t="s">
        <v>24</v>
      </c>
      <c r="D2811" s="1" t="str">
        <f t="shared" si="5546"/>
        <v>2021</v>
      </c>
      <c r="E2811" s="1" t="str">
        <f>"12.09"</f>
        <v>12.09</v>
      </c>
      <c r="F2811" s="1" t="str">
        <f t="shared" ref="F2811:I2811" si="5664">"0"</f>
        <v>0</v>
      </c>
      <c r="G2811" s="1" t="str">
        <f t="shared" si="5664"/>
        <v>0</v>
      </c>
      <c r="H2811" s="1" t="str">
        <f t="shared" si="5664"/>
        <v>0</v>
      </c>
      <c r="I2811" s="1" t="str">
        <f t="shared" si="5664"/>
        <v>0</v>
      </c>
      <c r="J2811" s="1" t="str">
        <f>"1"</f>
        <v>1</v>
      </c>
      <c r="K2811" s="1" t="str">
        <f t="shared" ref="K2811:P2811" si="5665">"0"</f>
        <v>0</v>
      </c>
      <c r="L2811" s="1" t="str">
        <f t="shared" si="5665"/>
        <v>0</v>
      </c>
      <c r="M2811" s="1" t="str">
        <f t="shared" si="5665"/>
        <v>0</v>
      </c>
      <c r="N2811" s="1" t="str">
        <f t="shared" si="5665"/>
        <v>0</v>
      </c>
      <c r="O2811" s="1" t="str">
        <f t="shared" si="5665"/>
        <v>0</v>
      </c>
      <c r="P2811" s="1" t="str">
        <f t="shared" si="5665"/>
        <v>0</v>
      </c>
      <c r="Q2811" s="1" t="str">
        <f t="shared" si="5548"/>
        <v>0.0070</v>
      </c>
      <c r="R2811" s="1" t="s">
        <v>29</v>
      </c>
      <c r="S2811" s="1">
        <v>-0.0014</v>
      </c>
      <c r="T2811" s="1" t="str">
        <f t="shared" si="5549"/>
        <v>0</v>
      </c>
      <c r="U2811" s="1" t="str">
        <f t="shared" ref="U2811:U2815" si="5666">"0.0056"</f>
        <v>0.0056</v>
      </c>
    </row>
    <row r="2812" s="1" customFormat="1" spans="1:21">
      <c r="A2812" s="1" t="str">
        <f>"4601992052224"</f>
        <v>4601992052224</v>
      </c>
      <c r="B2812" s="1" t="s">
        <v>2835</v>
      </c>
      <c r="C2812" s="1" t="s">
        <v>24</v>
      </c>
      <c r="D2812" s="1" t="str">
        <f t="shared" si="5546"/>
        <v>2021</v>
      </c>
      <c r="E2812" s="1" t="str">
        <f>"24.18"</f>
        <v>24.18</v>
      </c>
      <c r="F2812" s="1" t="str">
        <f t="shared" ref="F2812:I2812" si="5667">"0"</f>
        <v>0</v>
      </c>
      <c r="G2812" s="1" t="str">
        <f t="shared" si="5667"/>
        <v>0</v>
      </c>
      <c r="H2812" s="1" t="str">
        <f t="shared" si="5667"/>
        <v>0</v>
      </c>
      <c r="I2812" s="1" t="str">
        <f t="shared" si="5667"/>
        <v>0</v>
      </c>
      <c r="J2812" s="1" t="str">
        <f t="shared" ref="J2812:J2815" si="5668">"2"</f>
        <v>2</v>
      </c>
      <c r="K2812" s="1" t="str">
        <f t="shared" ref="K2812:P2812" si="5669">"0"</f>
        <v>0</v>
      </c>
      <c r="L2812" s="1" t="str">
        <f t="shared" si="5669"/>
        <v>0</v>
      </c>
      <c r="M2812" s="1" t="str">
        <f t="shared" si="5669"/>
        <v>0</v>
      </c>
      <c r="N2812" s="1" t="str">
        <f t="shared" si="5669"/>
        <v>0</v>
      </c>
      <c r="O2812" s="1" t="str">
        <f t="shared" si="5669"/>
        <v>0</v>
      </c>
      <c r="P2812" s="1" t="str">
        <f t="shared" si="5669"/>
        <v>0</v>
      </c>
      <c r="Q2812" s="1" t="str">
        <f t="shared" si="5548"/>
        <v>0.0070</v>
      </c>
      <c r="R2812" s="1" t="s">
        <v>29</v>
      </c>
      <c r="S2812" s="1">
        <v>-0.0014</v>
      </c>
      <c r="T2812" s="1" t="str">
        <f t="shared" si="5549"/>
        <v>0</v>
      </c>
      <c r="U2812" s="1" t="str">
        <f t="shared" si="5666"/>
        <v>0.0056</v>
      </c>
    </row>
    <row r="2813" s="1" customFormat="1" spans="1:21">
      <c r="A2813" s="1" t="str">
        <f>"4601992052264"</f>
        <v>4601992052264</v>
      </c>
      <c r="B2813" s="1" t="s">
        <v>2836</v>
      </c>
      <c r="C2813" s="1" t="s">
        <v>24</v>
      </c>
      <c r="D2813" s="1" t="str">
        <f t="shared" si="5546"/>
        <v>2021</v>
      </c>
      <c r="E2813" s="1" t="str">
        <f t="shared" ref="E2813:P2813" si="5670">"0"</f>
        <v>0</v>
      </c>
      <c r="F2813" s="1" t="str">
        <f t="shared" si="5670"/>
        <v>0</v>
      </c>
      <c r="G2813" s="1" t="str">
        <f t="shared" si="5670"/>
        <v>0</v>
      </c>
      <c r="H2813" s="1" t="str">
        <f t="shared" si="5670"/>
        <v>0</v>
      </c>
      <c r="I2813" s="1" t="str">
        <f t="shared" si="5670"/>
        <v>0</v>
      </c>
      <c r="J2813" s="1" t="str">
        <f t="shared" si="5670"/>
        <v>0</v>
      </c>
      <c r="K2813" s="1" t="str">
        <f t="shared" si="5670"/>
        <v>0</v>
      </c>
      <c r="L2813" s="1" t="str">
        <f t="shared" si="5670"/>
        <v>0</v>
      </c>
      <c r="M2813" s="1" t="str">
        <f t="shared" si="5670"/>
        <v>0</v>
      </c>
      <c r="N2813" s="1" t="str">
        <f t="shared" si="5670"/>
        <v>0</v>
      </c>
      <c r="O2813" s="1" t="str">
        <f t="shared" si="5670"/>
        <v>0</v>
      </c>
      <c r="P2813" s="1" t="str">
        <f t="shared" si="5670"/>
        <v>0</v>
      </c>
      <c r="Q2813" s="1" t="str">
        <f t="shared" si="5548"/>
        <v>0.0070</v>
      </c>
      <c r="R2813" s="1" t="s">
        <v>25</v>
      </c>
      <c r="T2813" s="1" t="str">
        <f t="shared" si="5549"/>
        <v>0</v>
      </c>
      <c r="U2813" s="1" t="str">
        <f>"0.0070"</f>
        <v>0.0070</v>
      </c>
    </row>
    <row r="2814" s="1" customFormat="1" spans="1:21">
      <c r="A2814" s="1" t="str">
        <f>"4601992052252"</f>
        <v>4601992052252</v>
      </c>
      <c r="B2814" s="1" t="s">
        <v>2837</v>
      </c>
      <c r="C2814" s="1" t="s">
        <v>24</v>
      </c>
      <c r="D2814" s="1" t="str">
        <f t="shared" si="5546"/>
        <v>2021</v>
      </c>
      <c r="E2814" s="1" t="str">
        <f>"24.34"</f>
        <v>24.34</v>
      </c>
      <c r="F2814" s="1" t="str">
        <f t="shared" ref="F2814:I2814" si="5671">"0"</f>
        <v>0</v>
      </c>
      <c r="G2814" s="1" t="str">
        <f t="shared" si="5671"/>
        <v>0</v>
      </c>
      <c r="H2814" s="1" t="str">
        <f t="shared" si="5671"/>
        <v>0</v>
      </c>
      <c r="I2814" s="1" t="str">
        <f t="shared" si="5671"/>
        <v>0</v>
      </c>
      <c r="J2814" s="1" t="str">
        <f t="shared" si="5668"/>
        <v>2</v>
      </c>
      <c r="K2814" s="1" t="str">
        <f t="shared" ref="K2814:P2814" si="5672">"0"</f>
        <v>0</v>
      </c>
      <c r="L2814" s="1" t="str">
        <f t="shared" si="5672"/>
        <v>0</v>
      </c>
      <c r="M2814" s="1" t="str">
        <f t="shared" si="5672"/>
        <v>0</v>
      </c>
      <c r="N2814" s="1" t="str">
        <f t="shared" si="5672"/>
        <v>0</v>
      </c>
      <c r="O2814" s="1" t="str">
        <f t="shared" si="5672"/>
        <v>0</v>
      </c>
      <c r="P2814" s="1" t="str">
        <f t="shared" si="5672"/>
        <v>0</v>
      </c>
      <c r="Q2814" s="1" t="str">
        <f t="shared" si="5548"/>
        <v>0.0070</v>
      </c>
      <c r="R2814" s="1" t="s">
        <v>29</v>
      </c>
      <c r="S2814" s="1">
        <v>-0.0014</v>
      </c>
      <c r="T2814" s="1" t="str">
        <f t="shared" si="5549"/>
        <v>0</v>
      </c>
      <c r="U2814" s="1" t="str">
        <f t="shared" si="5666"/>
        <v>0.0056</v>
      </c>
    </row>
    <row r="2815" s="1" customFormat="1" spans="1:21">
      <c r="A2815" s="1" t="str">
        <f>"4601992052243"</f>
        <v>4601992052243</v>
      </c>
      <c r="B2815" s="1" t="s">
        <v>2838</v>
      </c>
      <c r="C2815" s="1" t="s">
        <v>24</v>
      </c>
      <c r="D2815" s="1" t="str">
        <f t="shared" si="5546"/>
        <v>2021</v>
      </c>
      <c r="E2815" s="1" t="str">
        <f>"36.11"</f>
        <v>36.11</v>
      </c>
      <c r="F2815" s="1" t="str">
        <f t="shared" ref="F2815:I2815" si="5673">"0"</f>
        <v>0</v>
      </c>
      <c r="G2815" s="1" t="str">
        <f t="shared" si="5673"/>
        <v>0</v>
      </c>
      <c r="H2815" s="1" t="str">
        <f t="shared" si="5673"/>
        <v>0</v>
      </c>
      <c r="I2815" s="1" t="str">
        <f t="shared" si="5673"/>
        <v>0</v>
      </c>
      <c r="J2815" s="1" t="str">
        <f t="shared" si="5668"/>
        <v>2</v>
      </c>
      <c r="K2815" s="1" t="str">
        <f t="shared" ref="K2815:P2815" si="5674">"0"</f>
        <v>0</v>
      </c>
      <c r="L2815" s="1" t="str">
        <f t="shared" si="5674"/>
        <v>0</v>
      </c>
      <c r="M2815" s="1" t="str">
        <f t="shared" si="5674"/>
        <v>0</v>
      </c>
      <c r="N2815" s="1" t="str">
        <f t="shared" si="5674"/>
        <v>0</v>
      </c>
      <c r="O2815" s="1" t="str">
        <f t="shared" si="5674"/>
        <v>0</v>
      </c>
      <c r="P2815" s="1" t="str">
        <f t="shared" si="5674"/>
        <v>0</v>
      </c>
      <c r="Q2815" s="1" t="str">
        <f t="shared" si="5548"/>
        <v>0.0070</v>
      </c>
      <c r="R2815" s="1" t="s">
        <v>29</v>
      </c>
      <c r="S2815" s="1">
        <v>-0.0014</v>
      </c>
      <c r="T2815" s="1" t="str">
        <f t="shared" si="5549"/>
        <v>0</v>
      </c>
      <c r="U2815" s="1" t="str">
        <f t="shared" si="5666"/>
        <v>0.0056</v>
      </c>
    </row>
    <row r="2816" s="1" customFormat="1" spans="1:21">
      <c r="A2816" s="1" t="str">
        <f>"4601992052298"</f>
        <v>4601992052298</v>
      </c>
      <c r="B2816" s="1" t="s">
        <v>2839</v>
      </c>
      <c r="C2816" s="1" t="s">
        <v>24</v>
      </c>
      <c r="D2816" s="1" t="str">
        <f t="shared" si="5546"/>
        <v>2021</v>
      </c>
      <c r="E2816" s="1" t="str">
        <f t="shared" ref="E2816:P2816" si="5675">"0"</f>
        <v>0</v>
      </c>
      <c r="F2816" s="1" t="str">
        <f t="shared" si="5675"/>
        <v>0</v>
      </c>
      <c r="G2816" s="1" t="str">
        <f t="shared" si="5675"/>
        <v>0</v>
      </c>
      <c r="H2816" s="1" t="str">
        <f t="shared" si="5675"/>
        <v>0</v>
      </c>
      <c r="I2816" s="1" t="str">
        <f t="shared" si="5675"/>
        <v>0</v>
      </c>
      <c r="J2816" s="1" t="str">
        <f t="shared" si="5675"/>
        <v>0</v>
      </c>
      <c r="K2816" s="1" t="str">
        <f t="shared" si="5675"/>
        <v>0</v>
      </c>
      <c r="L2816" s="1" t="str">
        <f t="shared" si="5675"/>
        <v>0</v>
      </c>
      <c r="M2816" s="1" t="str">
        <f t="shared" si="5675"/>
        <v>0</v>
      </c>
      <c r="N2816" s="1" t="str">
        <f t="shared" si="5675"/>
        <v>0</v>
      </c>
      <c r="O2816" s="1" t="str">
        <f t="shared" si="5675"/>
        <v>0</v>
      </c>
      <c r="P2816" s="1" t="str">
        <f t="shared" si="5675"/>
        <v>0</v>
      </c>
      <c r="Q2816" s="1" t="str">
        <f t="shared" si="5548"/>
        <v>0.0070</v>
      </c>
      <c r="R2816" s="1" t="s">
        <v>25</v>
      </c>
      <c r="T2816" s="1" t="str">
        <f t="shared" si="5549"/>
        <v>0</v>
      </c>
      <c r="U2816" s="1" t="str">
        <f>"0.0070"</f>
        <v>0.0070</v>
      </c>
    </row>
    <row r="2817" s="1" customFormat="1" spans="1:21">
      <c r="A2817" s="1" t="str">
        <f>"4601992052321"</f>
        <v>4601992052321</v>
      </c>
      <c r="B2817" s="1" t="s">
        <v>2840</v>
      </c>
      <c r="C2817" s="1" t="s">
        <v>24</v>
      </c>
      <c r="D2817" s="1" t="str">
        <f t="shared" si="5546"/>
        <v>2021</v>
      </c>
      <c r="E2817" s="1" t="str">
        <f t="shared" ref="E2817:E2822" si="5676">"24.18"</f>
        <v>24.18</v>
      </c>
      <c r="F2817" s="1" t="str">
        <f t="shared" ref="F2817:I2817" si="5677">"0"</f>
        <v>0</v>
      </c>
      <c r="G2817" s="1" t="str">
        <f t="shared" si="5677"/>
        <v>0</v>
      </c>
      <c r="H2817" s="1" t="str">
        <f t="shared" si="5677"/>
        <v>0</v>
      </c>
      <c r="I2817" s="1" t="str">
        <f t="shared" si="5677"/>
        <v>0</v>
      </c>
      <c r="J2817" s="1" t="str">
        <f t="shared" ref="J2817:J2822" si="5678">"2"</f>
        <v>2</v>
      </c>
      <c r="K2817" s="1" t="str">
        <f t="shared" ref="K2817:P2817" si="5679">"0"</f>
        <v>0</v>
      </c>
      <c r="L2817" s="1" t="str">
        <f t="shared" si="5679"/>
        <v>0</v>
      </c>
      <c r="M2817" s="1" t="str">
        <f t="shared" si="5679"/>
        <v>0</v>
      </c>
      <c r="N2817" s="1" t="str">
        <f t="shared" si="5679"/>
        <v>0</v>
      </c>
      <c r="O2817" s="1" t="str">
        <f t="shared" si="5679"/>
        <v>0</v>
      </c>
      <c r="P2817" s="1" t="str">
        <f t="shared" si="5679"/>
        <v>0</v>
      </c>
      <c r="Q2817" s="1" t="str">
        <f t="shared" si="5548"/>
        <v>0.0070</v>
      </c>
      <c r="R2817" s="1" t="s">
        <v>29</v>
      </c>
      <c r="S2817" s="1">
        <v>-0.0014</v>
      </c>
      <c r="T2817" s="1" t="str">
        <f t="shared" si="5549"/>
        <v>0</v>
      </c>
      <c r="U2817" s="1" t="str">
        <f t="shared" ref="U2817:U2820" si="5680">"0.0056"</f>
        <v>0.0056</v>
      </c>
    </row>
    <row r="2818" s="1" customFormat="1" spans="1:21">
      <c r="A2818" s="1" t="str">
        <f>"4601992052271"</f>
        <v>4601992052271</v>
      </c>
      <c r="B2818" s="1" t="s">
        <v>2841</v>
      </c>
      <c r="C2818" s="1" t="s">
        <v>24</v>
      </c>
      <c r="D2818" s="1" t="str">
        <f t="shared" si="5546"/>
        <v>2021</v>
      </c>
      <c r="E2818" s="1" t="str">
        <f>"12.09"</f>
        <v>12.09</v>
      </c>
      <c r="F2818" s="1" t="str">
        <f t="shared" ref="F2818:I2818" si="5681">"0"</f>
        <v>0</v>
      </c>
      <c r="G2818" s="1" t="str">
        <f t="shared" si="5681"/>
        <v>0</v>
      </c>
      <c r="H2818" s="1" t="str">
        <f t="shared" si="5681"/>
        <v>0</v>
      </c>
      <c r="I2818" s="1" t="str">
        <f t="shared" si="5681"/>
        <v>0</v>
      </c>
      <c r="J2818" s="1" t="str">
        <f>"1"</f>
        <v>1</v>
      </c>
      <c r="K2818" s="1" t="str">
        <f t="shared" ref="K2818:P2818" si="5682">"0"</f>
        <v>0</v>
      </c>
      <c r="L2818" s="1" t="str">
        <f t="shared" si="5682"/>
        <v>0</v>
      </c>
      <c r="M2818" s="1" t="str">
        <f t="shared" si="5682"/>
        <v>0</v>
      </c>
      <c r="N2818" s="1" t="str">
        <f t="shared" si="5682"/>
        <v>0</v>
      </c>
      <c r="O2818" s="1" t="str">
        <f t="shared" si="5682"/>
        <v>0</v>
      </c>
      <c r="P2818" s="1" t="str">
        <f t="shared" si="5682"/>
        <v>0</v>
      </c>
      <c r="Q2818" s="1" t="str">
        <f t="shared" si="5548"/>
        <v>0.0070</v>
      </c>
      <c r="R2818" s="1" t="s">
        <v>29</v>
      </c>
      <c r="S2818" s="1">
        <v>-0.0014</v>
      </c>
      <c r="T2818" s="1" t="str">
        <f t="shared" si="5549"/>
        <v>0</v>
      </c>
      <c r="U2818" s="1" t="str">
        <f t="shared" si="5680"/>
        <v>0.0056</v>
      </c>
    </row>
    <row r="2819" s="1" customFormat="1" spans="1:21">
      <c r="A2819" s="1" t="str">
        <f>"4601992052325"</f>
        <v>4601992052325</v>
      </c>
      <c r="B2819" s="1" t="s">
        <v>2842</v>
      </c>
      <c r="C2819" s="1" t="s">
        <v>24</v>
      </c>
      <c r="D2819" s="1" t="str">
        <f t="shared" ref="D2819:D2882" si="5683">"2021"</f>
        <v>2021</v>
      </c>
      <c r="E2819" s="1" t="str">
        <f>"73.87"</f>
        <v>73.87</v>
      </c>
      <c r="F2819" s="1" t="str">
        <f t="shared" ref="F2819:I2819" si="5684">"0"</f>
        <v>0</v>
      </c>
      <c r="G2819" s="1" t="str">
        <f t="shared" si="5684"/>
        <v>0</v>
      </c>
      <c r="H2819" s="1" t="str">
        <f t="shared" si="5684"/>
        <v>0</v>
      </c>
      <c r="I2819" s="1" t="str">
        <f t="shared" si="5684"/>
        <v>0</v>
      </c>
      <c r="J2819" s="1" t="str">
        <f>"6"</f>
        <v>6</v>
      </c>
      <c r="K2819" s="1" t="str">
        <f t="shared" ref="K2819:P2819" si="5685">"0"</f>
        <v>0</v>
      </c>
      <c r="L2819" s="1" t="str">
        <f t="shared" si="5685"/>
        <v>0</v>
      </c>
      <c r="M2819" s="1" t="str">
        <f t="shared" si="5685"/>
        <v>0</v>
      </c>
      <c r="N2819" s="1" t="str">
        <f t="shared" si="5685"/>
        <v>0</v>
      </c>
      <c r="O2819" s="1" t="str">
        <f t="shared" si="5685"/>
        <v>0</v>
      </c>
      <c r="P2819" s="1" t="str">
        <f t="shared" si="5685"/>
        <v>0</v>
      </c>
      <c r="Q2819" s="1" t="str">
        <f t="shared" ref="Q2819:Q2882" si="5686">"0.0070"</f>
        <v>0.0070</v>
      </c>
      <c r="R2819" s="1" t="s">
        <v>29</v>
      </c>
      <c r="S2819" s="1">
        <v>-0.0014</v>
      </c>
      <c r="T2819" s="1" t="str">
        <f t="shared" ref="T2819:T2882" si="5687">"0"</f>
        <v>0</v>
      </c>
      <c r="U2819" s="1" t="str">
        <f t="shared" si="5680"/>
        <v>0.0056</v>
      </c>
    </row>
    <row r="2820" s="1" customFormat="1" spans="1:21">
      <c r="A2820" s="1" t="str">
        <f>"4601992052326"</f>
        <v>4601992052326</v>
      </c>
      <c r="B2820" s="1" t="s">
        <v>2843</v>
      </c>
      <c r="C2820" s="1" t="s">
        <v>24</v>
      </c>
      <c r="D2820" s="1" t="str">
        <f t="shared" si="5683"/>
        <v>2021</v>
      </c>
      <c r="E2820" s="1" t="str">
        <f t="shared" si="5676"/>
        <v>24.18</v>
      </c>
      <c r="F2820" s="1" t="str">
        <f t="shared" ref="F2820:I2820" si="5688">"0"</f>
        <v>0</v>
      </c>
      <c r="G2820" s="1" t="str">
        <f t="shared" si="5688"/>
        <v>0</v>
      </c>
      <c r="H2820" s="1" t="str">
        <f t="shared" si="5688"/>
        <v>0</v>
      </c>
      <c r="I2820" s="1" t="str">
        <f t="shared" si="5688"/>
        <v>0</v>
      </c>
      <c r="J2820" s="1" t="str">
        <f t="shared" si="5678"/>
        <v>2</v>
      </c>
      <c r="K2820" s="1" t="str">
        <f t="shared" ref="K2820:P2820" si="5689">"0"</f>
        <v>0</v>
      </c>
      <c r="L2820" s="1" t="str">
        <f t="shared" si="5689"/>
        <v>0</v>
      </c>
      <c r="M2820" s="1" t="str">
        <f t="shared" si="5689"/>
        <v>0</v>
      </c>
      <c r="N2820" s="1" t="str">
        <f t="shared" si="5689"/>
        <v>0</v>
      </c>
      <c r="O2820" s="1" t="str">
        <f t="shared" si="5689"/>
        <v>0</v>
      </c>
      <c r="P2820" s="1" t="str">
        <f t="shared" si="5689"/>
        <v>0</v>
      </c>
      <c r="Q2820" s="1" t="str">
        <f t="shared" si="5686"/>
        <v>0.0070</v>
      </c>
      <c r="R2820" s="1" t="s">
        <v>29</v>
      </c>
      <c r="S2820" s="1">
        <v>-0.0014</v>
      </c>
      <c r="T2820" s="1" t="str">
        <f t="shared" si="5687"/>
        <v>0</v>
      </c>
      <c r="U2820" s="1" t="str">
        <f t="shared" si="5680"/>
        <v>0.0056</v>
      </c>
    </row>
    <row r="2821" s="1" customFormat="1" spans="1:21">
      <c r="A2821" s="1" t="str">
        <f>"4601992052387"</f>
        <v>4601992052387</v>
      </c>
      <c r="B2821" s="1" t="s">
        <v>2844</v>
      </c>
      <c r="C2821" s="1" t="s">
        <v>24</v>
      </c>
      <c r="D2821" s="1" t="str">
        <f t="shared" si="5683"/>
        <v>2021</v>
      </c>
      <c r="E2821" s="1" t="str">
        <f t="shared" ref="E2821:P2821" si="5690">"0"</f>
        <v>0</v>
      </c>
      <c r="F2821" s="1" t="str">
        <f t="shared" si="5690"/>
        <v>0</v>
      </c>
      <c r="G2821" s="1" t="str">
        <f t="shared" si="5690"/>
        <v>0</v>
      </c>
      <c r="H2821" s="1" t="str">
        <f t="shared" si="5690"/>
        <v>0</v>
      </c>
      <c r="I2821" s="1" t="str">
        <f t="shared" si="5690"/>
        <v>0</v>
      </c>
      <c r="J2821" s="1" t="str">
        <f t="shared" si="5690"/>
        <v>0</v>
      </c>
      <c r="K2821" s="1" t="str">
        <f t="shared" si="5690"/>
        <v>0</v>
      </c>
      <c r="L2821" s="1" t="str">
        <f t="shared" si="5690"/>
        <v>0</v>
      </c>
      <c r="M2821" s="1" t="str">
        <f t="shared" si="5690"/>
        <v>0</v>
      </c>
      <c r="N2821" s="1" t="str">
        <f t="shared" si="5690"/>
        <v>0</v>
      </c>
      <c r="O2821" s="1" t="str">
        <f t="shared" si="5690"/>
        <v>0</v>
      </c>
      <c r="P2821" s="1" t="str">
        <f t="shared" si="5690"/>
        <v>0</v>
      </c>
      <c r="Q2821" s="1" t="str">
        <f t="shared" si="5686"/>
        <v>0.0070</v>
      </c>
      <c r="R2821" s="1" t="s">
        <v>25</v>
      </c>
      <c r="T2821" s="1" t="str">
        <f t="shared" si="5687"/>
        <v>0</v>
      </c>
      <c r="U2821" s="1" t="str">
        <f>"0.0070"</f>
        <v>0.0070</v>
      </c>
    </row>
    <row r="2822" s="1" customFormat="1" spans="1:21">
      <c r="A2822" s="1" t="str">
        <f>"4601992052362"</f>
        <v>4601992052362</v>
      </c>
      <c r="B2822" s="1" t="s">
        <v>2845</v>
      </c>
      <c r="C2822" s="1" t="s">
        <v>24</v>
      </c>
      <c r="D2822" s="1" t="str">
        <f t="shared" si="5683"/>
        <v>2021</v>
      </c>
      <c r="E2822" s="1" t="str">
        <f t="shared" si="5676"/>
        <v>24.18</v>
      </c>
      <c r="F2822" s="1" t="str">
        <f t="shared" ref="F2822:I2822" si="5691">"0"</f>
        <v>0</v>
      </c>
      <c r="G2822" s="1" t="str">
        <f t="shared" si="5691"/>
        <v>0</v>
      </c>
      <c r="H2822" s="1" t="str">
        <f t="shared" si="5691"/>
        <v>0</v>
      </c>
      <c r="I2822" s="1" t="str">
        <f t="shared" si="5691"/>
        <v>0</v>
      </c>
      <c r="J2822" s="1" t="str">
        <f t="shared" si="5678"/>
        <v>2</v>
      </c>
      <c r="K2822" s="1" t="str">
        <f t="shared" ref="K2822:P2822" si="5692">"0"</f>
        <v>0</v>
      </c>
      <c r="L2822" s="1" t="str">
        <f t="shared" si="5692"/>
        <v>0</v>
      </c>
      <c r="M2822" s="1" t="str">
        <f t="shared" si="5692"/>
        <v>0</v>
      </c>
      <c r="N2822" s="1" t="str">
        <f t="shared" si="5692"/>
        <v>0</v>
      </c>
      <c r="O2822" s="1" t="str">
        <f t="shared" si="5692"/>
        <v>0</v>
      </c>
      <c r="P2822" s="1" t="str">
        <f t="shared" si="5692"/>
        <v>0</v>
      </c>
      <c r="Q2822" s="1" t="str">
        <f t="shared" si="5686"/>
        <v>0.0070</v>
      </c>
      <c r="R2822" s="1" t="s">
        <v>29</v>
      </c>
      <c r="S2822" s="1">
        <v>-0.0014</v>
      </c>
      <c r="T2822" s="1" t="str">
        <f t="shared" si="5687"/>
        <v>0</v>
      </c>
      <c r="U2822" s="1" t="str">
        <f t="shared" ref="U2822:U2826" si="5693">"0.0056"</f>
        <v>0.0056</v>
      </c>
    </row>
    <row r="2823" s="1" customFormat="1" spans="1:21">
      <c r="A2823" s="1" t="str">
        <f>"4601992052405"</f>
        <v>4601992052405</v>
      </c>
      <c r="B2823" s="1" t="s">
        <v>2846</v>
      </c>
      <c r="C2823" s="1" t="s">
        <v>24</v>
      </c>
      <c r="D2823" s="1" t="str">
        <f t="shared" si="5683"/>
        <v>2021</v>
      </c>
      <c r="E2823" s="1" t="str">
        <f>"14.00"</f>
        <v>14.00</v>
      </c>
      <c r="F2823" s="1" t="str">
        <f t="shared" ref="F2823:I2823" si="5694">"0"</f>
        <v>0</v>
      </c>
      <c r="G2823" s="1" t="str">
        <f t="shared" si="5694"/>
        <v>0</v>
      </c>
      <c r="H2823" s="1" t="str">
        <f t="shared" si="5694"/>
        <v>0</v>
      </c>
      <c r="I2823" s="1" t="str">
        <f t="shared" si="5694"/>
        <v>0</v>
      </c>
      <c r="J2823" s="1" t="str">
        <f>"1"</f>
        <v>1</v>
      </c>
      <c r="K2823" s="1" t="str">
        <f t="shared" ref="K2823:P2823" si="5695">"0"</f>
        <v>0</v>
      </c>
      <c r="L2823" s="1" t="str">
        <f t="shared" si="5695"/>
        <v>0</v>
      </c>
      <c r="M2823" s="1" t="str">
        <f t="shared" si="5695"/>
        <v>0</v>
      </c>
      <c r="N2823" s="1" t="str">
        <f t="shared" si="5695"/>
        <v>0</v>
      </c>
      <c r="O2823" s="1" t="str">
        <f t="shared" si="5695"/>
        <v>0</v>
      </c>
      <c r="P2823" s="1" t="str">
        <f t="shared" si="5695"/>
        <v>0</v>
      </c>
      <c r="Q2823" s="1" t="str">
        <f t="shared" si="5686"/>
        <v>0.0070</v>
      </c>
      <c r="R2823" s="1" t="s">
        <v>29</v>
      </c>
      <c r="S2823" s="1">
        <v>-0.0014</v>
      </c>
      <c r="T2823" s="1" t="str">
        <f t="shared" si="5687"/>
        <v>0</v>
      </c>
      <c r="U2823" s="1" t="str">
        <f t="shared" si="5693"/>
        <v>0.0056</v>
      </c>
    </row>
    <row r="2824" s="1" customFormat="1" spans="1:21">
      <c r="A2824" s="1" t="str">
        <f>"4601992052395"</f>
        <v>4601992052395</v>
      </c>
      <c r="B2824" s="1" t="s">
        <v>2847</v>
      </c>
      <c r="C2824" s="1" t="s">
        <v>24</v>
      </c>
      <c r="D2824" s="1" t="str">
        <f t="shared" si="5683"/>
        <v>2021</v>
      </c>
      <c r="E2824" s="1" t="str">
        <f>"24.18"</f>
        <v>24.18</v>
      </c>
      <c r="F2824" s="1" t="str">
        <f t="shared" ref="F2824:I2824" si="5696">"0"</f>
        <v>0</v>
      </c>
      <c r="G2824" s="1" t="str">
        <f t="shared" si="5696"/>
        <v>0</v>
      </c>
      <c r="H2824" s="1" t="str">
        <f t="shared" si="5696"/>
        <v>0</v>
      </c>
      <c r="I2824" s="1" t="str">
        <f t="shared" si="5696"/>
        <v>0</v>
      </c>
      <c r="J2824" s="1" t="str">
        <f t="shared" ref="J2824:J2826" si="5697">"2"</f>
        <v>2</v>
      </c>
      <c r="K2824" s="1" t="str">
        <f t="shared" ref="K2824:P2824" si="5698">"0"</f>
        <v>0</v>
      </c>
      <c r="L2824" s="1" t="str">
        <f t="shared" si="5698"/>
        <v>0</v>
      </c>
      <c r="M2824" s="1" t="str">
        <f t="shared" si="5698"/>
        <v>0</v>
      </c>
      <c r="N2824" s="1" t="str">
        <f t="shared" si="5698"/>
        <v>0</v>
      </c>
      <c r="O2824" s="1" t="str">
        <f t="shared" si="5698"/>
        <v>0</v>
      </c>
      <c r="P2824" s="1" t="str">
        <f t="shared" si="5698"/>
        <v>0</v>
      </c>
      <c r="Q2824" s="1" t="str">
        <f t="shared" si="5686"/>
        <v>0.0070</v>
      </c>
      <c r="R2824" s="1" t="s">
        <v>29</v>
      </c>
      <c r="S2824" s="1">
        <v>-0.0014</v>
      </c>
      <c r="T2824" s="1" t="str">
        <f t="shared" si="5687"/>
        <v>0</v>
      </c>
      <c r="U2824" s="1" t="str">
        <f t="shared" si="5693"/>
        <v>0.0056</v>
      </c>
    </row>
    <row r="2825" s="1" customFormat="1" spans="1:21">
      <c r="A2825" s="1" t="str">
        <f>"4601992052398"</f>
        <v>4601992052398</v>
      </c>
      <c r="B2825" s="1" t="s">
        <v>2848</v>
      </c>
      <c r="C2825" s="1" t="s">
        <v>24</v>
      </c>
      <c r="D2825" s="1" t="str">
        <f t="shared" si="5683"/>
        <v>2021</v>
      </c>
      <c r="E2825" s="1" t="str">
        <f>"36.59"</f>
        <v>36.59</v>
      </c>
      <c r="F2825" s="1" t="str">
        <f t="shared" ref="F2825:I2825" si="5699">"0"</f>
        <v>0</v>
      </c>
      <c r="G2825" s="1" t="str">
        <f t="shared" si="5699"/>
        <v>0</v>
      </c>
      <c r="H2825" s="1" t="str">
        <f t="shared" si="5699"/>
        <v>0</v>
      </c>
      <c r="I2825" s="1" t="str">
        <f t="shared" si="5699"/>
        <v>0</v>
      </c>
      <c r="J2825" s="1" t="str">
        <f t="shared" si="5697"/>
        <v>2</v>
      </c>
      <c r="K2825" s="1" t="str">
        <f t="shared" ref="K2825:P2825" si="5700">"0"</f>
        <v>0</v>
      </c>
      <c r="L2825" s="1" t="str">
        <f t="shared" si="5700"/>
        <v>0</v>
      </c>
      <c r="M2825" s="1" t="str">
        <f t="shared" si="5700"/>
        <v>0</v>
      </c>
      <c r="N2825" s="1" t="str">
        <f t="shared" si="5700"/>
        <v>0</v>
      </c>
      <c r="O2825" s="1" t="str">
        <f t="shared" si="5700"/>
        <v>0</v>
      </c>
      <c r="P2825" s="1" t="str">
        <f t="shared" si="5700"/>
        <v>0</v>
      </c>
      <c r="Q2825" s="1" t="str">
        <f t="shared" si="5686"/>
        <v>0.0070</v>
      </c>
      <c r="R2825" s="1" t="s">
        <v>29</v>
      </c>
      <c r="S2825" s="1">
        <v>-0.0014</v>
      </c>
      <c r="T2825" s="1" t="str">
        <f t="shared" si="5687"/>
        <v>0</v>
      </c>
      <c r="U2825" s="1" t="str">
        <f t="shared" si="5693"/>
        <v>0.0056</v>
      </c>
    </row>
    <row r="2826" s="1" customFormat="1" spans="1:21">
      <c r="A2826" s="1" t="str">
        <f>"4601992052464"</f>
        <v>4601992052464</v>
      </c>
      <c r="B2826" s="1" t="s">
        <v>2849</v>
      </c>
      <c r="C2826" s="1" t="s">
        <v>24</v>
      </c>
      <c r="D2826" s="1" t="str">
        <f t="shared" si="5683"/>
        <v>2021</v>
      </c>
      <c r="E2826" s="1" t="str">
        <f>"24.18"</f>
        <v>24.18</v>
      </c>
      <c r="F2826" s="1" t="str">
        <f t="shared" ref="F2826:I2826" si="5701">"0"</f>
        <v>0</v>
      </c>
      <c r="G2826" s="1" t="str">
        <f t="shared" si="5701"/>
        <v>0</v>
      </c>
      <c r="H2826" s="1" t="str">
        <f t="shared" si="5701"/>
        <v>0</v>
      </c>
      <c r="I2826" s="1" t="str">
        <f t="shared" si="5701"/>
        <v>0</v>
      </c>
      <c r="J2826" s="1" t="str">
        <f t="shared" si="5697"/>
        <v>2</v>
      </c>
      <c r="K2826" s="1" t="str">
        <f t="shared" ref="K2826:P2826" si="5702">"0"</f>
        <v>0</v>
      </c>
      <c r="L2826" s="1" t="str">
        <f t="shared" si="5702"/>
        <v>0</v>
      </c>
      <c r="M2826" s="1" t="str">
        <f t="shared" si="5702"/>
        <v>0</v>
      </c>
      <c r="N2826" s="1" t="str">
        <f t="shared" si="5702"/>
        <v>0</v>
      </c>
      <c r="O2826" s="1" t="str">
        <f t="shared" si="5702"/>
        <v>0</v>
      </c>
      <c r="P2826" s="1" t="str">
        <f t="shared" si="5702"/>
        <v>0</v>
      </c>
      <c r="Q2826" s="1" t="str">
        <f t="shared" si="5686"/>
        <v>0.0070</v>
      </c>
      <c r="R2826" s="1" t="s">
        <v>29</v>
      </c>
      <c r="S2826" s="1">
        <v>-0.0014</v>
      </c>
      <c r="T2826" s="1" t="str">
        <f t="shared" si="5687"/>
        <v>0</v>
      </c>
      <c r="U2826" s="1" t="str">
        <f t="shared" si="5693"/>
        <v>0.0056</v>
      </c>
    </row>
    <row r="2827" s="1" customFormat="1" spans="1:21">
      <c r="A2827" s="1" t="str">
        <f>"4601992018945"</f>
        <v>4601992018945</v>
      </c>
      <c r="B2827" s="1" t="s">
        <v>2850</v>
      </c>
      <c r="C2827" s="1" t="s">
        <v>24</v>
      </c>
      <c r="D2827" s="1" t="str">
        <f t="shared" si="5683"/>
        <v>2021</v>
      </c>
      <c r="E2827" s="1" t="str">
        <f t="shared" ref="E2827:P2827" si="5703">"0"</f>
        <v>0</v>
      </c>
      <c r="F2827" s="1" t="str">
        <f t="shared" si="5703"/>
        <v>0</v>
      </c>
      <c r="G2827" s="1" t="str">
        <f t="shared" si="5703"/>
        <v>0</v>
      </c>
      <c r="H2827" s="1" t="str">
        <f t="shared" si="5703"/>
        <v>0</v>
      </c>
      <c r="I2827" s="1" t="str">
        <f t="shared" si="5703"/>
        <v>0</v>
      </c>
      <c r="J2827" s="1" t="str">
        <f t="shared" si="5703"/>
        <v>0</v>
      </c>
      <c r="K2827" s="1" t="str">
        <f t="shared" si="5703"/>
        <v>0</v>
      </c>
      <c r="L2827" s="1" t="str">
        <f t="shared" si="5703"/>
        <v>0</v>
      </c>
      <c r="M2827" s="1" t="str">
        <f t="shared" si="5703"/>
        <v>0</v>
      </c>
      <c r="N2827" s="1" t="str">
        <f t="shared" si="5703"/>
        <v>0</v>
      </c>
      <c r="O2827" s="1" t="str">
        <f t="shared" si="5703"/>
        <v>0</v>
      </c>
      <c r="P2827" s="1" t="str">
        <f t="shared" si="5703"/>
        <v>0</v>
      </c>
      <c r="Q2827" s="1" t="str">
        <f t="shared" si="5686"/>
        <v>0.0070</v>
      </c>
      <c r="R2827" s="1" t="s">
        <v>25</v>
      </c>
      <c r="T2827" s="1" t="str">
        <f t="shared" si="5687"/>
        <v>0</v>
      </c>
      <c r="U2827" s="1" t="str">
        <f>"0.0070"</f>
        <v>0.0070</v>
      </c>
    </row>
    <row r="2828" s="1" customFormat="1" spans="1:21">
      <c r="A2828" s="1" t="str">
        <f>"4601992052522"</f>
        <v>4601992052522</v>
      </c>
      <c r="B2828" s="1" t="s">
        <v>2851</v>
      </c>
      <c r="C2828" s="1" t="s">
        <v>24</v>
      </c>
      <c r="D2828" s="1" t="str">
        <f t="shared" si="5683"/>
        <v>2021</v>
      </c>
      <c r="E2828" s="1" t="str">
        <f>"24.50"</f>
        <v>24.50</v>
      </c>
      <c r="F2828" s="1" t="str">
        <f t="shared" ref="F2828:I2828" si="5704">"0"</f>
        <v>0</v>
      </c>
      <c r="G2828" s="1" t="str">
        <f t="shared" si="5704"/>
        <v>0</v>
      </c>
      <c r="H2828" s="1" t="str">
        <f t="shared" si="5704"/>
        <v>0</v>
      </c>
      <c r="I2828" s="1" t="str">
        <f t="shared" si="5704"/>
        <v>0</v>
      </c>
      <c r="J2828" s="1" t="str">
        <f>"2"</f>
        <v>2</v>
      </c>
      <c r="K2828" s="1" t="str">
        <f t="shared" ref="K2828:P2828" si="5705">"0"</f>
        <v>0</v>
      </c>
      <c r="L2828" s="1" t="str">
        <f t="shared" si="5705"/>
        <v>0</v>
      </c>
      <c r="M2828" s="1" t="str">
        <f t="shared" si="5705"/>
        <v>0</v>
      </c>
      <c r="N2828" s="1" t="str">
        <f t="shared" si="5705"/>
        <v>0</v>
      </c>
      <c r="O2828" s="1" t="str">
        <f t="shared" si="5705"/>
        <v>0</v>
      </c>
      <c r="P2828" s="1" t="str">
        <f t="shared" si="5705"/>
        <v>0</v>
      </c>
      <c r="Q2828" s="1" t="str">
        <f t="shared" si="5686"/>
        <v>0.0070</v>
      </c>
      <c r="R2828" s="1" t="s">
        <v>29</v>
      </c>
      <c r="S2828" s="1">
        <v>-0.0014</v>
      </c>
      <c r="T2828" s="1" t="str">
        <f t="shared" si="5687"/>
        <v>0</v>
      </c>
      <c r="U2828" s="1" t="str">
        <f t="shared" ref="U2828:U2831" si="5706">"0.0056"</f>
        <v>0.0056</v>
      </c>
    </row>
    <row r="2829" s="1" customFormat="1" spans="1:21">
      <c r="A2829" s="1" t="str">
        <f>"4601992052526"</f>
        <v>4601992052526</v>
      </c>
      <c r="B2829" s="1" t="s">
        <v>2852</v>
      </c>
      <c r="C2829" s="1" t="s">
        <v>24</v>
      </c>
      <c r="D2829" s="1" t="str">
        <f t="shared" si="5683"/>
        <v>2021</v>
      </c>
      <c r="E2829" s="1" t="str">
        <f>"107.54"</f>
        <v>107.54</v>
      </c>
      <c r="F2829" s="1" t="str">
        <f t="shared" ref="F2829:I2829" si="5707">"0"</f>
        <v>0</v>
      </c>
      <c r="G2829" s="1" t="str">
        <f t="shared" si="5707"/>
        <v>0</v>
      </c>
      <c r="H2829" s="1" t="str">
        <f t="shared" si="5707"/>
        <v>0</v>
      </c>
      <c r="I2829" s="1" t="str">
        <f t="shared" si="5707"/>
        <v>0</v>
      </c>
      <c r="J2829" s="1" t="str">
        <f>"8"</f>
        <v>8</v>
      </c>
      <c r="K2829" s="1" t="str">
        <f t="shared" ref="K2829:P2829" si="5708">"0"</f>
        <v>0</v>
      </c>
      <c r="L2829" s="1" t="str">
        <f t="shared" si="5708"/>
        <v>0</v>
      </c>
      <c r="M2829" s="1" t="str">
        <f t="shared" si="5708"/>
        <v>0</v>
      </c>
      <c r="N2829" s="1" t="str">
        <f t="shared" si="5708"/>
        <v>0</v>
      </c>
      <c r="O2829" s="1" t="str">
        <f t="shared" si="5708"/>
        <v>0</v>
      </c>
      <c r="P2829" s="1" t="str">
        <f t="shared" si="5708"/>
        <v>0</v>
      </c>
      <c r="Q2829" s="1" t="str">
        <f t="shared" si="5686"/>
        <v>0.0070</v>
      </c>
      <c r="R2829" s="1" t="s">
        <v>29</v>
      </c>
      <c r="S2829" s="1">
        <v>-0.0014</v>
      </c>
      <c r="T2829" s="1" t="str">
        <f t="shared" si="5687"/>
        <v>0</v>
      </c>
      <c r="U2829" s="1" t="str">
        <f t="shared" si="5706"/>
        <v>0.0056</v>
      </c>
    </row>
    <row r="2830" s="1" customFormat="1" spans="1:21">
      <c r="A2830" s="1" t="str">
        <f>"4601992052467"</f>
        <v>4601992052467</v>
      </c>
      <c r="B2830" s="1" t="s">
        <v>2853</v>
      </c>
      <c r="C2830" s="1" t="s">
        <v>24</v>
      </c>
      <c r="D2830" s="1" t="str">
        <f t="shared" si="5683"/>
        <v>2021</v>
      </c>
      <c r="E2830" s="1" t="str">
        <f>"48.36"</f>
        <v>48.36</v>
      </c>
      <c r="F2830" s="1" t="str">
        <f t="shared" ref="F2830:I2830" si="5709">"0"</f>
        <v>0</v>
      </c>
      <c r="G2830" s="1" t="str">
        <f t="shared" si="5709"/>
        <v>0</v>
      </c>
      <c r="H2830" s="1" t="str">
        <f t="shared" si="5709"/>
        <v>0</v>
      </c>
      <c r="I2830" s="1" t="str">
        <f t="shared" si="5709"/>
        <v>0</v>
      </c>
      <c r="J2830" s="1" t="str">
        <f>"3"</f>
        <v>3</v>
      </c>
      <c r="K2830" s="1" t="str">
        <f t="shared" ref="K2830:P2830" si="5710">"0"</f>
        <v>0</v>
      </c>
      <c r="L2830" s="1" t="str">
        <f t="shared" si="5710"/>
        <v>0</v>
      </c>
      <c r="M2830" s="1" t="str">
        <f t="shared" si="5710"/>
        <v>0</v>
      </c>
      <c r="N2830" s="1" t="str">
        <f t="shared" si="5710"/>
        <v>0</v>
      </c>
      <c r="O2830" s="1" t="str">
        <f t="shared" si="5710"/>
        <v>0</v>
      </c>
      <c r="P2830" s="1" t="str">
        <f t="shared" si="5710"/>
        <v>0</v>
      </c>
      <c r="Q2830" s="1" t="str">
        <f t="shared" si="5686"/>
        <v>0.0070</v>
      </c>
      <c r="R2830" s="1" t="s">
        <v>29</v>
      </c>
      <c r="S2830" s="1">
        <v>-0.0014</v>
      </c>
      <c r="T2830" s="1" t="str">
        <f t="shared" si="5687"/>
        <v>0</v>
      </c>
      <c r="U2830" s="1" t="str">
        <f t="shared" si="5706"/>
        <v>0.0056</v>
      </c>
    </row>
    <row r="2831" s="1" customFormat="1" spans="1:21">
      <c r="A2831" s="1" t="str">
        <f>"4601992052501"</f>
        <v>4601992052501</v>
      </c>
      <c r="B2831" s="1" t="s">
        <v>2854</v>
      </c>
      <c r="C2831" s="1" t="s">
        <v>24</v>
      </c>
      <c r="D2831" s="1" t="str">
        <f t="shared" si="5683"/>
        <v>2021</v>
      </c>
      <c r="E2831" s="1" t="str">
        <f>"12.09"</f>
        <v>12.09</v>
      </c>
      <c r="F2831" s="1" t="str">
        <f t="shared" ref="F2831:I2831" si="5711">"0"</f>
        <v>0</v>
      </c>
      <c r="G2831" s="1" t="str">
        <f t="shared" si="5711"/>
        <v>0</v>
      </c>
      <c r="H2831" s="1" t="str">
        <f t="shared" si="5711"/>
        <v>0</v>
      </c>
      <c r="I2831" s="1" t="str">
        <f t="shared" si="5711"/>
        <v>0</v>
      </c>
      <c r="J2831" s="1" t="str">
        <f>"2"</f>
        <v>2</v>
      </c>
      <c r="K2831" s="1" t="str">
        <f t="shared" ref="K2831:P2831" si="5712">"0"</f>
        <v>0</v>
      </c>
      <c r="L2831" s="1" t="str">
        <f t="shared" si="5712"/>
        <v>0</v>
      </c>
      <c r="M2831" s="1" t="str">
        <f t="shared" si="5712"/>
        <v>0</v>
      </c>
      <c r="N2831" s="1" t="str">
        <f t="shared" si="5712"/>
        <v>0</v>
      </c>
      <c r="O2831" s="1" t="str">
        <f t="shared" si="5712"/>
        <v>0</v>
      </c>
      <c r="P2831" s="1" t="str">
        <f t="shared" si="5712"/>
        <v>0</v>
      </c>
      <c r="Q2831" s="1" t="str">
        <f t="shared" si="5686"/>
        <v>0.0070</v>
      </c>
      <c r="R2831" s="1" t="s">
        <v>29</v>
      </c>
      <c r="S2831" s="1">
        <v>-0.0014</v>
      </c>
      <c r="T2831" s="1" t="str">
        <f t="shared" si="5687"/>
        <v>0</v>
      </c>
      <c r="U2831" s="1" t="str">
        <f t="shared" si="5706"/>
        <v>0.0056</v>
      </c>
    </row>
    <row r="2832" s="1" customFormat="1" spans="1:21">
      <c r="A2832" s="1" t="str">
        <f>"4601992052538"</f>
        <v>4601992052538</v>
      </c>
      <c r="B2832" s="1" t="s">
        <v>2855</v>
      </c>
      <c r="C2832" s="1" t="s">
        <v>24</v>
      </c>
      <c r="D2832" s="1" t="str">
        <f t="shared" si="5683"/>
        <v>2021</v>
      </c>
      <c r="E2832" s="1" t="str">
        <f t="shared" ref="E2832:P2832" si="5713">"0"</f>
        <v>0</v>
      </c>
      <c r="F2832" s="1" t="str">
        <f t="shared" si="5713"/>
        <v>0</v>
      </c>
      <c r="G2832" s="1" t="str">
        <f t="shared" si="5713"/>
        <v>0</v>
      </c>
      <c r="H2832" s="1" t="str">
        <f t="shared" si="5713"/>
        <v>0</v>
      </c>
      <c r="I2832" s="1" t="str">
        <f t="shared" si="5713"/>
        <v>0</v>
      </c>
      <c r="J2832" s="1" t="str">
        <f t="shared" si="5713"/>
        <v>0</v>
      </c>
      <c r="K2832" s="1" t="str">
        <f t="shared" si="5713"/>
        <v>0</v>
      </c>
      <c r="L2832" s="1" t="str">
        <f t="shared" si="5713"/>
        <v>0</v>
      </c>
      <c r="M2832" s="1" t="str">
        <f t="shared" si="5713"/>
        <v>0</v>
      </c>
      <c r="N2832" s="1" t="str">
        <f t="shared" si="5713"/>
        <v>0</v>
      </c>
      <c r="O2832" s="1" t="str">
        <f t="shared" si="5713"/>
        <v>0</v>
      </c>
      <c r="P2832" s="1" t="str">
        <f t="shared" si="5713"/>
        <v>0</v>
      </c>
      <c r="Q2832" s="1" t="str">
        <f t="shared" si="5686"/>
        <v>0.0070</v>
      </c>
      <c r="R2832" s="1" t="s">
        <v>25</v>
      </c>
      <c r="T2832" s="1" t="str">
        <f t="shared" si="5687"/>
        <v>0</v>
      </c>
      <c r="U2832" s="1" t="str">
        <f t="shared" ref="U2832:U2834" si="5714">"0.0070"</f>
        <v>0.0070</v>
      </c>
    </row>
    <row r="2833" s="1" customFormat="1" spans="1:21">
      <c r="A2833" s="1" t="str">
        <f>"4601992052565"</f>
        <v>4601992052565</v>
      </c>
      <c r="B2833" s="1" t="s">
        <v>2856</v>
      </c>
      <c r="C2833" s="1" t="s">
        <v>24</v>
      </c>
      <c r="D2833" s="1" t="str">
        <f t="shared" si="5683"/>
        <v>2021</v>
      </c>
      <c r="E2833" s="1" t="str">
        <f t="shared" ref="E2833:P2833" si="5715">"0"</f>
        <v>0</v>
      </c>
      <c r="F2833" s="1" t="str">
        <f t="shared" si="5715"/>
        <v>0</v>
      </c>
      <c r="G2833" s="1" t="str">
        <f t="shared" si="5715"/>
        <v>0</v>
      </c>
      <c r="H2833" s="1" t="str">
        <f t="shared" si="5715"/>
        <v>0</v>
      </c>
      <c r="I2833" s="1" t="str">
        <f t="shared" si="5715"/>
        <v>0</v>
      </c>
      <c r="J2833" s="1" t="str">
        <f t="shared" si="5715"/>
        <v>0</v>
      </c>
      <c r="K2833" s="1" t="str">
        <f t="shared" si="5715"/>
        <v>0</v>
      </c>
      <c r="L2833" s="1" t="str">
        <f t="shared" si="5715"/>
        <v>0</v>
      </c>
      <c r="M2833" s="1" t="str">
        <f t="shared" si="5715"/>
        <v>0</v>
      </c>
      <c r="N2833" s="1" t="str">
        <f t="shared" si="5715"/>
        <v>0</v>
      </c>
      <c r="O2833" s="1" t="str">
        <f t="shared" si="5715"/>
        <v>0</v>
      </c>
      <c r="P2833" s="1" t="str">
        <f t="shared" si="5715"/>
        <v>0</v>
      </c>
      <c r="Q2833" s="1" t="str">
        <f t="shared" si="5686"/>
        <v>0.0070</v>
      </c>
      <c r="R2833" s="1" t="s">
        <v>25</v>
      </c>
      <c r="T2833" s="1" t="str">
        <f t="shared" si="5687"/>
        <v>0</v>
      </c>
      <c r="U2833" s="1" t="str">
        <f t="shared" si="5714"/>
        <v>0.0070</v>
      </c>
    </row>
    <row r="2834" s="1" customFormat="1" spans="1:21">
      <c r="A2834" s="1" t="str">
        <f>"4601992052573"</f>
        <v>4601992052573</v>
      </c>
      <c r="B2834" s="1" t="s">
        <v>2857</v>
      </c>
      <c r="C2834" s="1" t="s">
        <v>24</v>
      </c>
      <c r="D2834" s="1" t="str">
        <f t="shared" si="5683"/>
        <v>2021</v>
      </c>
      <c r="E2834" s="1" t="str">
        <f t="shared" ref="E2834:P2834" si="5716">"0"</f>
        <v>0</v>
      </c>
      <c r="F2834" s="1" t="str">
        <f t="shared" si="5716"/>
        <v>0</v>
      </c>
      <c r="G2834" s="1" t="str">
        <f t="shared" si="5716"/>
        <v>0</v>
      </c>
      <c r="H2834" s="1" t="str">
        <f t="shared" si="5716"/>
        <v>0</v>
      </c>
      <c r="I2834" s="1" t="str">
        <f t="shared" si="5716"/>
        <v>0</v>
      </c>
      <c r="J2834" s="1" t="str">
        <f t="shared" si="5716"/>
        <v>0</v>
      </c>
      <c r="K2834" s="1" t="str">
        <f t="shared" si="5716"/>
        <v>0</v>
      </c>
      <c r="L2834" s="1" t="str">
        <f t="shared" si="5716"/>
        <v>0</v>
      </c>
      <c r="M2834" s="1" t="str">
        <f t="shared" si="5716"/>
        <v>0</v>
      </c>
      <c r="N2834" s="1" t="str">
        <f t="shared" si="5716"/>
        <v>0</v>
      </c>
      <c r="O2834" s="1" t="str">
        <f t="shared" si="5716"/>
        <v>0</v>
      </c>
      <c r="P2834" s="1" t="str">
        <f t="shared" si="5716"/>
        <v>0</v>
      </c>
      <c r="Q2834" s="1" t="str">
        <f t="shared" si="5686"/>
        <v>0.0070</v>
      </c>
      <c r="R2834" s="1" t="s">
        <v>25</v>
      </c>
      <c r="T2834" s="1" t="str">
        <f t="shared" si="5687"/>
        <v>0</v>
      </c>
      <c r="U2834" s="1" t="str">
        <f t="shared" si="5714"/>
        <v>0.0070</v>
      </c>
    </row>
    <row r="2835" s="1" customFormat="1" spans="1:21">
      <c r="A2835" s="1" t="str">
        <f>"4601992052540"</f>
        <v>4601992052540</v>
      </c>
      <c r="B2835" s="1" t="s">
        <v>2858</v>
      </c>
      <c r="C2835" s="1" t="s">
        <v>24</v>
      </c>
      <c r="D2835" s="1" t="str">
        <f t="shared" si="5683"/>
        <v>2021</v>
      </c>
      <c r="E2835" s="1" t="str">
        <f>"36.75"</f>
        <v>36.75</v>
      </c>
      <c r="F2835" s="1" t="str">
        <f t="shared" ref="F2835:I2835" si="5717">"0"</f>
        <v>0</v>
      </c>
      <c r="G2835" s="1" t="str">
        <f t="shared" si="5717"/>
        <v>0</v>
      </c>
      <c r="H2835" s="1" t="str">
        <f t="shared" si="5717"/>
        <v>0</v>
      </c>
      <c r="I2835" s="1" t="str">
        <f t="shared" si="5717"/>
        <v>0</v>
      </c>
      <c r="J2835" s="1" t="str">
        <f>"3"</f>
        <v>3</v>
      </c>
      <c r="K2835" s="1" t="str">
        <f t="shared" ref="K2835:P2835" si="5718">"0"</f>
        <v>0</v>
      </c>
      <c r="L2835" s="1" t="str">
        <f t="shared" si="5718"/>
        <v>0</v>
      </c>
      <c r="M2835" s="1" t="str">
        <f t="shared" si="5718"/>
        <v>0</v>
      </c>
      <c r="N2835" s="1" t="str">
        <f t="shared" si="5718"/>
        <v>0</v>
      </c>
      <c r="O2835" s="1" t="str">
        <f t="shared" si="5718"/>
        <v>0</v>
      </c>
      <c r="P2835" s="1" t="str">
        <f t="shared" si="5718"/>
        <v>0</v>
      </c>
      <c r="Q2835" s="1" t="str">
        <f t="shared" si="5686"/>
        <v>0.0070</v>
      </c>
      <c r="R2835" s="1" t="s">
        <v>29</v>
      </c>
      <c r="S2835" s="1">
        <v>-0.0014</v>
      </c>
      <c r="T2835" s="1" t="str">
        <f t="shared" si="5687"/>
        <v>0</v>
      </c>
      <c r="U2835" s="1" t="str">
        <f t="shared" ref="U2835:U2839" si="5719">"0.0056"</f>
        <v>0.0056</v>
      </c>
    </row>
    <row r="2836" s="1" customFormat="1" spans="1:21">
      <c r="A2836" s="1" t="str">
        <f>"4601992052605"</f>
        <v>4601992052605</v>
      </c>
      <c r="B2836" s="1" t="s">
        <v>2859</v>
      </c>
      <c r="C2836" s="1" t="s">
        <v>24</v>
      </c>
      <c r="D2836" s="1" t="str">
        <f t="shared" si="5683"/>
        <v>2021</v>
      </c>
      <c r="E2836" s="1" t="str">
        <f>"153.64"</f>
        <v>153.64</v>
      </c>
      <c r="F2836" s="1" t="str">
        <f t="shared" ref="F2836:I2836" si="5720">"0"</f>
        <v>0</v>
      </c>
      <c r="G2836" s="1" t="str">
        <f t="shared" si="5720"/>
        <v>0</v>
      </c>
      <c r="H2836" s="1" t="str">
        <f t="shared" si="5720"/>
        <v>0</v>
      </c>
      <c r="I2836" s="1" t="str">
        <f t="shared" si="5720"/>
        <v>0</v>
      </c>
      <c r="J2836" s="1" t="str">
        <f>"16"</f>
        <v>16</v>
      </c>
      <c r="K2836" s="1" t="str">
        <f t="shared" ref="K2836:P2836" si="5721">"0"</f>
        <v>0</v>
      </c>
      <c r="L2836" s="1" t="str">
        <f t="shared" si="5721"/>
        <v>0</v>
      </c>
      <c r="M2836" s="1" t="str">
        <f t="shared" si="5721"/>
        <v>0</v>
      </c>
      <c r="N2836" s="1" t="str">
        <f t="shared" si="5721"/>
        <v>0</v>
      </c>
      <c r="O2836" s="1" t="str">
        <f t="shared" si="5721"/>
        <v>0</v>
      </c>
      <c r="P2836" s="1" t="str">
        <f t="shared" si="5721"/>
        <v>0</v>
      </c>
      <c r="Q2836" s="1" t="str">
        <f t="shared" si="5686"/>
        <v>0.0070</v>
      </c>
      <c r="R2836" s="1" t="s">
        <v>29</v>
      </c>
      <c r="S2836" s="1">
        <v>-0.0014</v>
      </c>
      <c r="T2836" s="1" t="str">
        <f t="shared" si="5687"/>
        <v>0</v>
      </c>
      <c r="U2836" s="1" t="str">
        <f t="shared" si="5719"/>
        <v>0.0056</v>
      </c>
    </row>
    <row r="2837" s="1" customFormat="1" spans="1:21">
      <c r="A2837" s="1" t="str">
        <f>"4601992052663"</f>
        <v>4601992052663</v>
      </c>
      <c r="B2837" s="1" t="s">
        <v>2860</v>
      </c>
      <c r="C2837" s="1" t="s">
        <v>24</v>
      </c>
      <c r="D2837" s="1" t="str">
        <f t="shared" si="5683"/>
        <v>2021</v>
      </c>
      <c r="E2837" s="1" t="str">
        <f t="shared" ref="E2837:E2842" si="5722">"12.09"</f>
        <v>12.09</v>
      </c>
      <c r="F2837" s="1" t="str">
        <f t="shared" ref="F2837:I2837" si="5723">"0"</f>
        <v>0</v>
      </c>
      <c r="G2837" s="1" t="str">
        <f t="shared" si="5723"/>
        <v>0</v>
      </c>
      <c r="H2837" s="1" t="str">
        <f t="shared" si="5723"/>
        <v>0</v>
      </c>
      <c r="I2837" s="1" t="str">
        <f t="shared" si="5723"/>
        <v>0</v>
      </c>
      <c r="J2837" s="1" t="str">
        <f t="shared" ref="J2837:J2842" si="5724">"1"</f>
        <v>1</v>
      </c>
      <c r="K2837" s="1" t="str">
        <f t="shared" ref="K2837:P2837" si="5725">"0"</f>
        <v>0</v>
      </c>
      <c r="L2837" s="1" t="str">
        <f t="shared" si="5725"/>
        <v>0</v>
      </c>
      <c r="M2837" s="1" t="str">
        <f t="shared" si="5725"/>
        <v>0</v>
      </c>
      <c r="N2837" s="1" t="str">
        <f t="shared" si="5725"/>
        <v>0</v>
      </c>
      <c r="O2837" s="1" t="str">
        <f t="shared" si="5725"/>
        <v>0</v>
      </c>
      <c r="P2837" s="1" t="str">
        <f t="shared" si="5725"/>
        <v>0</v>
      </c>
      <c r="Q2837" s="1" t="str">
        <f t="shared" si="5686"/>
        <v>0.0070</v>
      </c>
      <c r="R2837" s="1" t="s">
        <v>29</v>
      </c>
      <c r="S2837" s="1">
        <v>-0.0014</v>
      </c>
      <c r="T2837" s="1" t="str">
        <f t="shared" si="5687"/>
        <v>0</v>
      </c>
      <c r="U2837" s="1" t="str">
        <f t="shared" si="5719"/>
        <v>0.0056</v>
      </c>
    </row>
    <row r="2838" s="1" customFormat="1" spans="1:21">
      <c r="A2838" s="1" t="str">
        <f>"4601992052625"</f>
        <v>4601992052625</v>
      </c>
      <c r="B2838" s="1" t="s">
        <v>2861</v>
      </c>
      <c r="C2838" s="1" t="s">
        <v>24</v>
      </c>
      <c r="D2838" s="1" t="str">
        <f t="shared" si="5683"/>
        <v>2021</v>
      </c>
      <c r="E2838" s="1" t="str">
        <f>"47.92"</f>
        <v>47.92</v>
      </c>
      <c r="F2838" s="1" t="str">
        <f t="shared" ref="F2838:I2838" si="5726">"0"</f>
        <v>0</v>
      </c>
      <c r="G2838" s="1" t="str">
        <f t="shared" si="5726"/>
        <v>0</v>
      </c>
      <c r="H2838" s="1" t="str">
        <f t="shared" si="5726"/>
        <v>0</v>
      </c>
      <c r="I2838" s="1" t="str">
        <f t="shared" si="5726"/>
        <v>0</v>
      </c>
      <c r="J2838" s="1" t="str">
        <f>"4"</f>
        <v>4</v>
      </c>
      <c r="K2838" s="1" t="str">
        <f t="shared" ref="K2838:P2838" si="5727">"0"</f>
        <v>0</v>
      </c>
      <c r="L2838" s="1" t="str">
        <f t="shared" si="5727"/>
        <v>0</v>
      </c>
      <c r="M2838" s="1" t="str">
        <f t="shared" si="5727"/>
        <v>0</v>
      </c>
      <c r="N2838" s="1" t="str">
        <f t="shared" si="5727"/>
        <v>0</v>
      </c>
      <c r="O2838" s="1" t="str">
        <f t="shared" si="5727"/>
        <v>0</v>
      </c>
      <c r="P2838" s="1" t="str">
        <f t="shared" si="5727"/>
        <v>0</v>
      </c>
      <c r="Q2838" s="1" t="str">
        <f t="shared" si="5686"/>
        <v>0.0070</v>
      </c>
      <c r="R2838" s="1" t="s">
        <v>29</v>
      </c>
      <c r="S2838" s="1">
        <v>-0.0014</v>
      </c>
      <c r="T2838" s="1" t="str">
        <f t="shared" si="5687"/>
        <v>0</v>
      </c>
      <c r="U2838" s="1" t="str">
        <f t="shared" si="5719"/>
        <v>0.0056</v>
      </c>
    </row>
    <row r="2839" s="1" customFormat="1" spans="1:21">
      <c r="A2839" s="1" t="str">
        <f>"4601992052613"</f>
        <v>4601992052613</v>
      </c>
      <c r="B2839" s="1" t="s">
        <v>2862</v>
      </c>
      <c r="C2839" s="1" t="s">
        <v>24</v>
      </c>
      <c r="D2839" s="1" t="str">
        <f t="shared" si="5683"/>
        <v>2021</v>
      </c>
      <c r="E2839" s="1" t="str">
        <f t="shared" si="5722"/>
        <v>12.09</v>
      </c>
      <c r="F2839" s="1" t="str">
        <f t="shared" ref="F2839:I2839" si="5728">"0"</f>
        <v>0</v>
      </c>
      <c r="G2839" s="1" t="str">
        <f t="shared" si="5728"/>
        <v>0</v>
      </c>
      <c r="H2839" s="1" t="str">
        <f t="shared" si="5728"/>
        <v>0</v>
      </c>
      <c r="I2839" s="1" t="str">
        <f t="shared" si="5728"/>
        <v>0</v>
      </c>
      <c r="J2839" s="1" t="str">
        <f t="shared" si="5724"/>
        <v>1</v>
      </c>
      <c r="K2839" s="1" t="str">
        <f t="shared" ref="K2839:P2839" si="5729">"0"</f>
        <v>0</v>
      </c>
      <c r="L2839" s="1" t="str">
        <f t="shared" si="5729"/>
        <v>0</v>
      </c>
      <c r="M2839" s="1" t="str">
        <f t="shared" si="5729"/>
        <v>0</v>
      </c>
      <c r="N2839" s="1" t="str">
        <f t="shared" si="5729"/>
        <v>0</v>
      </c>
      <c r="O2839" s="1" t="str">
        <f t="shared" si="5729"/>
        <v>0</v>
      </c>
      <c r="P2839" s="1" t="str">
        <f t="shared" si="5729"/>
        <v>0</v>
      </c>
      <c r="Q2839" s="1" t="str">
        <f t="shared" si="5686"/>
        <v>0.0070</v>
      </c>
      <c r="R2839" s="1" t="s">
        <v>29</v>
      </c>
      <c r="S2839" s="1">
        <v>-0.0014</v>
      </c>
      <c r="T2839" s="1" t="str">
        <f t="shared" si="5687"/>
        <v>0</v>
      </c>
      <c r="U2839" s="1" t="str">
        <f t="shared" si="5719"/>
        <v>0.0056</v>
      </c>
    </row>
    <row r="2840" s="1" customFormat="1" spans="1:21">
      <c r="A2840" s="1" t="str">
        <f>"4601992052729"</f>
        <v>4601992052729</v>
      </c>
      <c r="B2840" s="1" t="s">
        <v>2863</v>
      </c>
      <c r="C2840" s="1" t="s">
        <v>24</v>
      </c>
      <c r="D2840" s="1" t="str">
        <f t="shared" si="5683"/>
        <v>2021</v>
      </c>
      <c r="E2840" s="1" t="str">
        <f t="shared" ref="E2840:G2840" si="5730">"0"</f>
        <v>0</v>
      </c>
      <c r="F2840" s="1" t="str">
        <f t="shared" si="5730"/>
        <v>0</v>
      </c>
      <c r="G2840" s="1" t="str">
        <f t="shared" si="5730"/>
        <v>0</v>
      </c>
      <c r="H2840" s="1" t="str">
        <f>"12.09"</f>
        <v>12.09</v>
      </c>
      <c r="I2840" s="1" t="str">
        <f t="shared" ref="I2840:P2840" si="5731">"0"</f>
        <v>0</v>
      </c>
      <c r="J2840" s="1" t="str">
        <f t="shared" si="5731"/>
        <v>0</v>
      </c>
      <c r="K2840" s="1" t="str">
        <f t="shared" si="5731"/>
        <v>0</v>
      </c>
      <c r="L2840" s="1" t="str">
        <f t="shared" si="5731"/>
        <v>0</v>
      </c>
      <c r="M2840" s="1" t="str">
        <f t="shared" si="5731"/>
        <v>0</v>
      </c>
      <c r="N2840" s="1" t="str">
        <f t="shared" si="5731"/>
        <v>0</v>
      </c>
      <c r="O2840" s="1" t="str">
        <f t="shared" si="5731"/>
        <v>0</v>
      </c>
      <c r="P2840" s="1" t="str">
        <f t="shared" si="5731"/>
        <v>0</v>
      </c>
      <c r="Q2840" s="1" t="str">
        <f t="shared" si="5686"/>
        <v>0.0070</v>
      </c>
      <c r="R2840" s="1" t="s">
        <v>25</v>
      </c>
      <c r="T2840" s="1" t="str">
        <f t="shared" si="5687"/>
        <v>0</v>
      </c>
      <c r="U2840" s="1" t="str">
        <f>"0.0070"</f>
        <v>0.0070</v>
      </c>
    </row>
    <row r="2841" s="1" customFormat="1" spans="1:21">
      <c r="A2841" s="1" t="str">
        <f>"4601992052680"</f>
        <v>4601992052680</v>
      </c>
      <c r="B2841" s="1" t="s">
        <v>2864</v>
      </c>
      <c r="C2841" s="1" t="s">
        <v>24</v>
      </c>
      <c r="D2841" s="1" t="str">
        <f t="shared" si="5683"/>
        <v>2021</v>
      </c>
      <c r="E2841" s="1" t="str">
        <f t="shared" si="5722"/>
        <v>12.09</v>
      </c>
      <c r="F2841" s="1" t="str">
        <f t="shared" ref="F2841:I2841" si="5732">"0"</f>
        <v>0</v>
      </c>
      <c r="G2841" s="1" t="str">
        <f t="shared" si="5732"/>
        <v>0</v>
      </c>
      <c r="H2841" s="1" t="str">
        <f t="shared" si="5732"/>
        <v>0</v>
      </c>
      <c r="I2841" s="1" t="str">
        <f t="shared" si="5732"/>
        <v>0</v>
      </c>
      <c r="J2841" s="1" t="str">
        <f t="shared" si="5724"/>
        <v>1</v>
      </c>
      <c r="K2841" s="1" t="str">
        <f t="shared" ref="K2841:P2841" si="5733">"0"</f>
        <v>0</v>
      </c>
      <c r="L2841" s="1" t="str">
        <f t="shared" si="5733"/>
        <v>0</v>
      </c>
      <c r="M2841" s="1" t="str">
        <f t="shared" si="5733"/>
        <v>0</v>
      </c>
      <c r="N2841" s="1" t="str">
        <f t="shared" si="5733"/>
        <v>0</v>
      </c>
      <c r="O2841" s="1" t="str">
        <f t="shared" si="5733"/>
        <v>0</v>
      </c>
      <c r="P2841" s="1" t="str">
        <f t="shared" si="5733"/>
        <v>0</v>
      </c>
      <c r="Q2841" s="1" t="str">
        <f t="shared" si="5686"/>
        <v>0.0070</v>
      </c>
      <c r="R2841" s="1" t="s">
        <v>29</v>
      </c>
      <c r="S2841" s="1">
        <v>-0.0014</v>
      </c>
      <c r="T2841" s="1" t="str">
        <f t="shared" si="5687"/>
        <v>0</v>
      </c>
      <c r="U2841" s="1" t="str">
        <f t="shared" ref="U2841:U2843" si="5734">"0.0056"</f>
        <v>0.0056</v>
      </c>
    </row>
    <row r="2842" s="1" customFormat="1" spans="1:21">
      <c r="A2842" s="1" t="str">
        <f>"4601992052717"</f>
        <v>4601992052717</v>
      </c>
      <c r="B2842" s="1" t="s">
        <v>2865</v>
      </c>
      <c r="C2842" s="1" t="s">
        <v>24</v>
      </c>
      <c r="D2842" s="1" t="str">
        <f t="shared" si="5683"/>
        <v>2021</v>
      </c>
      <c r="E2842" s="1" t="str">
        <f t="shared" si="5722"/>
        <v>12.09</v>
      </c>
      <c r="F2842" s="1" t="str">
        <f t="shared" ref="F2842:I2842" si="5735">"0"</f>
        <v>0</v>
      </c>
      <c r="G2842" s="1" t="str">
        <f t="shared" si="5735"/>
        <v>0</v>
      </c>
      <c r="H2842" s="1" t="str">
        <f t="shared" si="5735"/>
        <v>0</v>
      </c>
      <c r="I2842" s="1" t="str">
        <f t="shared" si="5735"/>
        <v>0</v>
      </c>
      <c r="J2842" s="1" t="str">
        <f t="shared" si="5724"/>
        <v>1</v>
      </c>
      <c r="K2842" s="1" t="str">
        <f t="shared" ref="K2842:P2842" si="5736">"0"</f>
        <v>0</v>
      </c>
      <c r="L2842" s="1" t="str">
        <f t="shared" si="5736"/>
        <v>0</v>
      </c>
      <c r="M2842" s="1" t="str">
        <f t="shared" si="5736"/>
        <v>0</v>
      </c>
      <c r="N2842" s="1" t="str">
        <f t="shared" si="5736"/>
        <v>0</v>
      </c>
      <c r="O2842" s="1" t="str">
        <f t="shared" si="5736"/>
        <v>0</v>
      </c>
      <c r="P2842" s="1" t="str">
        <f t="shared" si="5736"/>
        <v>0</v>
      </c>
      <c r="Q2842" s="1" t="str">
        <f t="shared" si="5686"/>
        <v>0.0070</v>
      </c>
      <c r="R2842" s="1" t="s">
        <v>29</v>
      </c>
      <c r="S2842" s="1">
        <v>-0.0014</v>
      </c>
      <c r="T2842" s="1" t="str">
        <f t="shared" si="5687"/>
        <v>0</v>
      </c>
      <c r="U2842" s="1" t="str">
        <f t="shared" si="5734"/>
        <v>0.0056</v>
      </c>
    </row>
    <row r="2843" s="1" customFormat="1" spans="1:21">
      <c r="A2843" s="1" t="str">
        <f>"4601992052692"</f>
        <v>4601992052692</v>
      </c>
      <c r="B2843" s="1" t="s">
        <v>2866</v>
      </c>
      <c r="C2843" s="1" t="s">
        <v>24</v>
      </c>
      <c r="D2843" s="1" t="str">
        <f t="shared" si="5683"/>
        <v>2021</v>
      </c>
      <c r="E2843" s="1" t="str">
        <f>"24.18"</f>
        <v>24.18</v>
      </c>
      <c r="F2843" s="1" t="str">
        <f t="shared" ref="F2843:I2843" si="5737">"0"</f>
        <v>0</v>
      </c>
      <c r="G2843" s="1" t="str">
        <f t="shared" si="5737"/>
        <v>0</v>
      </c>
      <c r="H2843" s="1" t="str">
        <f t="shared" si="5737"/>
        <v>0</v>
      </c>
      <c r="I2843" s="1" t="str">
        <f t="shared" si="5737"/>
        <v>0</v>
      </c>
      <c r="J2843" s="1" t="str">
        <f>"2"</f>
        <v>2</v>
      </c>
      <c r="K2843" s="1" t="str">
        <f t="shared" ref="K2843:P2843" si="5738">"0"</f>
        <v>0</v>
      </c>
      <c r="L2843" s="1" t="str">
        <f t="shared" si="5738"/>
        <v>0</v>
      </c>
      <c r="M2843" s="1" t="str">
        <f t="shared" si="5738"/>
        <v>0</v>
      </c>
      <c r="N2843" s="1" t="str">
        <f t="shared" si="5738"/>
        <v>0</v>
      </c>
      <c r="O2843" s="1" t="str">
        <f t="shared" si="5738"/>
        <v>0</v>
      </c>
      <c r="P2843" s="1" t="str">
        <f t="shared" si="5738"/>
        <v>0</v>
      </c>
      <c r="Q2843" s="1" t="str">
        <f t="shared" si="5686"/>
        <v>0.0070</v>
      </c>
      <c r="R2843" s="1" t="s">
        <v>29</v>
      </c>
      <c r="S2843" s="1">
        <v>-0.0014</v>
      </c>
      <c r="T2843" s="1" t="str">
        <f t="shared" si="5687"/>
        <v>0</v>
      </c>
      <c r="U2843" s="1" t="str">
        <f t="shared" si="5734"/>
        <v>0.0056</v>
      </c>
    </row>
    <row r="2844" s="1" customFormat="1" spans="1:21">
      <c r="A2844" s="1" t="str">
        <f>"4601992052777"</f>
        <v>4601992052777</v>
      </c>
      <c r="B2844" s="1" t="s">
        <v>2867</v>
      </c>
      <c r="C2844" s="1" t="s">
        <v>24</v>
      </c>
      <c r="D2844" s="1" t="str">
        <f t="shared" si="5683"/>
        <v>2021</v>
      </c>
      <c r="E2844" s="1" t="str">
        <f t="shared" ref="E2844:P2844" si="5739">"0"</f>
        <v>0</v>
      </c>
      <c r="F2844" s="1" t="str">
        <f t="shared" si="5739"/>
        <v>0</v>
      </c>
      <c r="G2844" s="1" t="str">
        <f t="shared" si="5739"/>
        <v>0</v>
      </c>
      <c r="H2844" s="1" t="str">
        <f t="shared" si="5739"/>
        <v>0</v>
      </c>
      <c r="I2844" s="1" t="str">
        <f t="shared" si="5739"/>
        <v>0</v>
      </c>
      <c r="J2844" s="1" t="str">
        <f t="shared" si="5739"/>
        <v>0</v>
      </c>
      <c r="K2844" s="1" t="str">
        <f t="shared" si="5739"/>
        <v>0</v>
      </c>
      <c r="L2844" s="1" t="str">
        <f t="shared" si="5739"/>
        <v>0</v>
      </c>
      <c r="M2844" s="1" t="str">
        <f t="shared" si="5739"/>
        <v>0</v>
      </c>
      <c r="N2844" s="1" t="str">
        <f t="shared" si="5739"/>
        <v>0</v>
      </c>
      <c r="O2844" s="1" t="str">
        <f t="shared" si="5739"/>
        <v>0</v>
      </c>
      <c r="P2844" s="1" t="str">
        <f t="shared" si="5739"/>
        <v>0</v>
      </c>
      <c r="Q2844" s="1" t="str">
        <f t="shared" si="5686"/>
        <v>0.0070</v>
      </c>
      <c r="R2844" s="1" t="s">
        <v>25</v>
      </c>
      <c r="T2844" s="1" t="str">
        <f t="shared" si="5687"/>
        <v>0</v>
      </c>
      <c r="U2844" s="1" t="str">
        <f>"0.0070"</f>
        <v>0.0070</v>
      </c>
    </row>
    <row r="2845" s="1" customFormat="1" spans="1:21">
      <c r="A2845" s="1" t="str">
        <f>"4601992052755"</f>
        <v>4601992052755</v>
      </c>
      <c r="B2845" s="1" t="s">
        <v>2868</v>
      </c>
      <c r="C2845" s="1" t="s">
        <v>24</v>
      </c>
      <c r="D2845" s="1" t="str">
        <f t="shared" si="5683"/>
        <v>2021</v>
      </c>
      <c r="E2845" s="1" t="str">
        <f>"96.31"</f>
        <v>96.31</v>
      </c>
      <c r="F2845" s="1" t="str">
        <f t="shared" ref="F2845:I2845" si="5740">"0"</f>
        <v>0</v>
      </c>
      <c r="G2845" s="1" t="str">
        <f t="shared" si="5740"/>
        <v>0</v>
      </c>
      <c r="H2845" s="1" t="str">
        <f t="shared" si="5740"/>
        <v>0</v>
      </c>
      <c r="I2845" s="1" t="str">
        <f t="shared" si="5740"/>
        <v>0</v>
      </c>
      <c r="J2845" s="1" t="str">
        <f>"7"</f>
        <v>7</v>
      </c>
      <c r="K2845" s="1" t="str">
        <f t="shared" ref="K2845:P2845" si="5741">"0"</f>
        <v>0</v>
      </c>
      <c r="L2845" s="1" t="str">
        <f t="shared" si="5741"/>
        <v>0</v>
      </c>
      <c r="M2845" s="1" t="str">
        <f t="shared" si="5741"/>
        <v>0</v>
      </c>
      <c r="N2845" s="1" t="str">
        <f t="shared" si="5741"/>
        <v>0</v>
      </c>
      <c r="O2845" s="1" t="str">
        <f t="shared" si="5741"/>
        <v>0</v>
      </c>
      <c r="P2845" s="1" t="str">
        <f t="shared" si="5741"/>
        <v>0</v>
      </c>
      <c r="Q2845" s="1" t="str">
        <f t="shared" si="5686"/>
        <v>0.0070</v>
      </c>
      <c r="R2845" s="1" t="s">
        <v>29</v>
      </c>
      <c r="S2845" s="1">
        <v>-0.0014</v>
      </c>
      <c r="T2845" s="1" t="str">
        <f t="shared" si="5687"/>
        <v>0</v>
      </c>
      <c r="U2845" s="1" t="str">
        <f t="shared" ref="U2845:U2847" si="5742">"0.0056"</f>
        <v>0.0056</v>
      </c>
    </row>
    <row r="2846" s="1" customFormat="1" spans="1:21">
      <c r="A2846" s="1" t="str">
        <f>"4601992052750"</f>
        <v>4601992052750</v>
      </c>
      <c r="B2846" s="1" t="s">
        <v>2869</v>
      </c>
      <c r="C2846" s="1" t="s">
        <v>24</v>
      </c>
      <c r="D2846" s="1" t="str">
        <f t="shared" si="5683"/>
        <v>2021</v>
      </c>
      <c r="E2846" s="1" t="str">
        <f>"2411.82"</f>
        <v>2411.82</v>
      </c>
      <c r="F2846" s="1" t="str">
        <f t="shared" ref="F2846:I2846" si="5743">"0"</f>
        <v>0</v>
      </c>
      <c r="G2846" s="1" t="str">
        <f t="shared" si="5743"/>
        <v>0</v>
      </c>
      <c r="H2846" s="1" t="str">
        <f t="shared" si="5743"/>
        <v>0</v>
      </c>
      <c r="I2846" s="1" t="str">
        <f t="shared" si="5743"/>
        <v>0</v>
      </c>
      <c r="J2846" s="1" t="str">
        <f>"89"</f>
        <v>89</v>
      </c>
      <c r="K2846" s="1" t="str">
        <f t="shared" ref="K2846:P2846" si="5744">"0"</f>
        <v>0</v>
      </c>
      <c r="L2846" s="1" t="str">
        <f t="shared" si="5744"/>
        <v>0</v>
      </c>
      <c r="M2846" s="1" t="str">
        <f t="shared" si="5744"/>
        <v>0</v>
      </c>
      <c r="N2846" s="1" t="str">
        <f t="shared" si="5744"/>
        <v>0</v>
      </c>
      <c r="O2846" s="1" t="str">
        <f t="shared" si="5744"/>
        <v>0</v>
      </c>
      <c r="P2846" s="1" t="str">
        <f t="shared" si="5744"/>
        <v>0</v>
      </c>
      <c r="Q2846" s="1" t="str">
        <f t="shared" si="5686"/>
        <v>0.0070</v>
      </c>
      <c r="R2846" s="1" t="s">
        <v>29</v>
      </c>
      <c r="S2846" s="1">
        <v>-0.0014</v>
      </c>
      <c r="T2846" s="1" t="str">
        <f t="shared" si="5687"/>
        <v>0</v>
      </c>
      <c r="U2846" s="1" t="str">
        <f t="shared" si="5742"/>
        <v>0.0056</v>
      </c>
    </row>
    <row r="2847" s="1" customFormat="1" spans="1:21">
      <c r="A2847" s="1" t="str">
        <f>"4601992052811"</f>
        <v>4601992052811</v>
      </c>
      <c r="B2847" s="1" t="s">
        <v>2870</v>
      </c>
      <c r="C2847" s="1" t="s">
        <v>24</v>
      </c>
      <c r="D2847" s="1" t="str">
        <f t="shared" si="5683"/>
        <v>2021</v>
      </c>
      <c r="E2847" s="1" t="str">
        <f>"12.09"</f>
        <v>12.09</v>
      </c>
      <c r="F2847" s="1" t="str">
        <f t="shared" ref="F2847:I2847" si="5745">"0"</f>
        <v>0</v>
      </c>
      <c r="G2847" s="1" t="str">
        <f t="shared" si="5745"/>
        <v>0</v>
      </c>
      <c r="H2847" s="1" t="str">
        <f t="shared" si="5745"/>
        <v>0</v>
      </c>
      <c r="I2847" s="1" t="str">
        <f t="shared" si="5745"/>
        <v>0</v>
      </c>
      <c r="J2847" s="1" t="str">
        <f>"2"</f>
        <v>2</v>
      </c>
      <c r="K2847" s="1" t="str">
        <f t="shared" ref="K2847:P2847" si="5746">"0"</f>
        <v>0</v>
      </c>
      <c r="L2847" s="1" t="str">
        <f t="shared" si="5746"/>
        <v>0</v>
      </c>
      <c r="M2847" s="1" t="str">
        <f t="shared" si="5746"/>
        <v>0</v>
      </c>
      <c r="N2847" s="1" t="str">
        <f t="shared" si="5746"/>
        <v>0</v>
      </c>
      <c r="O2847" s="1" t="str">
        <f t="shared" si="5746"/>
        <v>0</v>
      </c>
      <c r="P2847" s="1" t="str">
        <f t="shared" si="5746"/>
        <v>0</v>
      </c>
      <c r="Q2847" s="1" t="str">
        <f t="shared" si="5686"/>
        <v>0.0070</v>
      </c>
      <c r="R2847" s="1" t="s">
        <v>29</v>
      </c>
      <c r="S2847" s="1">
        <v>-0.0014</v>
      </c>
      <c r="T2847" s="1" t="str">
        <f t="shared" si="5687"/>
        <v>0</v>
      </c>
      <c r="U2847" s="1" t="str">
        <f t="shared" si="5742"/>
        <v>0.0056</v>
      </c>
    </row>
    <row r="2848" s="1" customFormat="1" spans="1:21">
      <c r="A2848" s="1" t="str">
        <f>"4601991403733"</f>
        <v>4601991403733</v>
      </c>
      <c r="B2848" s="1" t="s">
        <v>2871</v>
      </c>
      <c r="C2848" s="1" t="s">
        <v>24</v>
      </c>
      <c r="D2848" s="1" t="str">
        <f t="shared" si="5683"/>
        <v>2021</v>
      </c>
      <c r="E2848" s="1" t="str">
        <f t="shared" ref="E2848:P2848" si="5747">"0"</f>
        <v>0</v>
      </c>
      <c r="F2848" s="1" t="str">
        <f t="shared" si="5747"/>
        <v>0</v>
      </c>
      <c r="G2848" s="1" t="str">
        <f t="shared" si="5747"/>
        <v>0</v>
      </c>
      <c r="H2848" s="1" t="str">
        <f t="shared" si="5747"/>
        <v>0</v>
      </c>
      <c r="I2848" s="1" t="str">
        <f t="shared" si="5747"/>
        <v>0</v>
      </c>
      <c r="J2848" s="1" t="str">
        <f t="shared" si="5747"/>
        <v>0</v>
      </c>
      <c r="K2848" s="1" t="str">
        <f t="shared" si="5747"/>
        <v>0</v>
      </c>
      <c r="L2848" s="1" t="str">
        <f t="shared" si="5747"/>
        <v>0</v>
      </c>
      <c r="M2848" s="1" t="str">
        <f t="shared" si="5747"/>
        <v>0</v>
      </c>
      <c r="N2848" s="1" t="str">
        <f t="shared" si="5747"/>
        <v>0</v>
      </c>
      <c r="O2848" s="1" t="str">
        <f t="shared" si="5747"/>
        <v>0</v>
      </c>
      <c r="P2848" s="1" t="str">
        <f t="shared" si="5747"/>
        <v>0</v>
      </c>
      <c r="Q2848" s="1" t="str">
        <f t="shared" si="5686"/>
        <v>0.0070</v>
      </c>
      <c r="R2848" s="1" t="s">
        <v>25</v>
      </c>
      <c r="T2848" s="1" t="str">
        <f t="shared" si="5687"/>
        <v>0</v>
      </c>
      <c r="U2848" s="1" t="str">
        <f>"0.0070"</f>
        <v>0.0070</v>
      </c>
    </row>
    <row r="2849" s="1" customFormat="1" spans="1:21">
      <c r="A2849" s="1" t="str">
        <f>"4601992053506"</f>
        <v>4601992053506</v>
      </c>
      <c r="B2849" s="1" t="s">
        <v>2872</v>
      </c>
      <c r="C2849" s="1" t="s">
        <v>24</v>
      </c>
      <c r="D2849" s="1" t="str">
        <f t="shared" si="5683"/>
        <v>2021</v>
      </c>
      <c r="E2849" s="1" t="str">
        <f>"36.27"</f>
        <v>36.27</v>
      </c>
      <c r="F2849" s="1" t="str">
        <f t="shared" ref="F2849:I2849" si="5748">"0"</f>
        <v>0</v>
      </c>
      <c r="G2849" s="1" t="str">
        <f t="shared" si="5748"/>
        <v>0</v>
      </c>
      <c r="H2849" s="1" t="str">
        <f t="shared" si="5748"/>
        <v>0</v>
      </c>
      <c r="I2849" s="1" t="str">
        <f t="shared" si="5748"/>
        <v>0</v>
      </c>
      <c r="J2849" s="1" t="str">
        <f>"3"</f>
        <v>3</v>
      </c>
      <c r="K2849" s="1" t="str">
        <f t="shared" ref="K2849:P2849" si="5749">"0"</f>
        <v>0</v>
      </c>
      <c r="L2849" s="1" t="str">
        <f t="shared" si="5749"/>
        <v>0</v>
      </c>
      <c r="M2849" s="1" t="str">
        <f t="shared" si="5749"/>
        <v>0</v>
      </c>
      <c r="N2849" s="1" t="str">
        <f t="shared" si="5749"/>
        <v>0</v>
      </c>
      <c r="O2849" s="1" t="str">
        <f t="shared" si="5749"/>
        <v>0</v>
      </c>
      <c r="P2849" s="1" t="str">
        <f t="shared" si="5749"/>
        <v>0</v>
      </c>
      <c r="Q2849" s="1" t="str">
        <f t="shared" si="5686"/>
        <v>0.0070</v>
      </c>
      <c r="R2849" s="1" t="s">
        <v>29</v>
      </c>
      <c r="S2849" s="1">
        <v>-0.0014</v>
      </c>
      <c r="T2849" s="1" t="str">
        <f t="shared" si="5687"/>
        <v>0</v>
      </c>
      <c r="U2849" s="1" t="str">
        <f t="shared" ref="U2849:U2861" si="5750">"0.0056"</f>
        <v>0.0056</v>
      </c>
    </row>
    <row r="2850" s="1" customFormat="1" spans="1:21">
      <c r="A2850" s="1" t="str">
        <f>"4601992053510"</f>
        <v>4601992053510</v>
      </c>
      <c r="B2850" s="1" t="s">
        <v>2873</v>
      </c>
      <c r="C2850" s="1" t="s">
        <v>24</v>
      </c>
      <c r="D2850" s="1" t="str">
        <f t="shared" si="5683"/>
        <v>2021</v>
      </c>
      <c r="E2850" s="1" t="str">
        <f>"83.86"</f>
        <v>83.86</v>
      </c>
      <c r="F2850" s="1" t="str">
        <f t="shared" ref="F2850:I2850" si="5751">"0"</f>
        <v>0</v>
      </c>
      <c r="G2850" s="1" t="str">
        <f t="shared" si="5751"/>
        <v>0</v>
      </c>
      <c r="H2850" s="1" t="str">
        <f t="shared" si="5751"/>
        <v>0</v>
      </c>
      <c r="I2850" s="1" t="str">
        <f t="shared" si="5751"/>
        <v>0</v>
      </c>
      <c r="J2850" s="1" t="str">
        <f>"8"</f>
        <v>8</v>
      </c>
      <c r="K2850" s="1" t="str">
        <f t="shared" ref="K2850:P2850" si="5752">"0"</f>
        <v>0</v>
      </c>
      <c r="L2850" s="1" t="str">
        <f t="shared" si="5752"/>
        <v>0</v>
      </c>
      <c r="M2850" s="1" t="str">
        <f t="shared" si="5752"/>
        <v>0</v>
      </c>
      <c r="N2850" s="1" t="str">
        <f t="shared" si="5752"/>
        <v>0</v>
      </c>
      <c r="O2850" s="1" t="str">
        <f t="shared" si="5752"/>
        <v>0</v>
      </c>
      <c r="P2850" s="1" t="str">
        <f t="shared" si="5752"/>
        <v>0</v>
      </c>
      <c r="Q2850" s="1" t="str">
        <f t="shared" si="5686"/>
        <v>0.0070</v>
      </c>
      <c r="R2850" s="1" t="s">
        <v>29</v>
      </c>
      <c r="S2850" s="1">
        <v>-0.0014</v>
      </c>
      <c r="T2850" s="1" t="str">
        <f t="shared" si="5687"/>
        <v>0</v>
      </c>
      <c r="U2850" s="1" t="str">
        <f t="shared" si="5750"/>
        <v>0.0056</v>
      </c>
    </row>
    <row r="2851" s="1" customFormat="1" spans="1:21">
      <c r="A2851" s="1" t="str">
        <f>"4601992053548"</f>
        <v>4601992053548</v>
      </c>
      <c r="B2851" s="1" t="s">
        <v>2874</v>
      </c>
      <c r="C2851" s="1" t="s">
        <v>24</v>
      </c>
      <c r="D2851" s="1" t="str">
        <f t="shared" si="5683"/>
        <v>2021</v>
      </c>
      <c r="E2851" s="1" t="str">
        <f>"12.09"</f>
        <v>12.09</v>
      </c>
      <c r="F2851" s="1" t="str">
        <f t="shared" ref="F2851:I2851" si="5753">"0"</f>
        <v>0</v>
      </c>
      <c r="G2851" s="1" t="str">
        <f t="shared" si="5753"/>
        <v>0</v>
      </c>
      <c r="H2851" s="1" t="str">
        <f t="shared" si="5753"/>
        <v>0</v>
      </c>
      <c r="I2851" s="1" t="str">
        <f t="shared" si="5753"/>
        <v>0</v>
      </c>
      <c r="J2851" s="1" t="str">
        <f>"1"</f>
        <v>1</v>
      </c>
      <c r="K2851" s="1" t="str">
        <f t="shared" ref="K2851:P2851" si="5754">"0"</f>
        <v>0</v>
      </c>
      <c r="L2851" s="1" t="str">
        <f t="shared" si="5754"/>
        <v>0</v>
      </c>
      <c r="M2851" s="1" t="str">
        <f t="shared" si="5754"/>
        <v>0</v>
      </c>
      <c r="N2851" s="1" t="str">
        <f t="shared" si="5754"/>
        <v>0</v>
      </c>
      <c r="O2851" s="1" t="str">
        <f t="shared" si="5754"/>
        <v>0</v>
      </c>
      <c r="P2851" s="1" t="str">
        <f t="shared" si="5754"/>
        <v>0</v>
      </c>
      <c r="Q2851" s="1" t="str">
        <f t="shared" si="5686"/>
        <v>0.0070</v>
      </c>
      <c r="R2851" s="1" t="s">
        <v>25</v>
      </c>
      <c r="T2851" s="1" t="str">
        <f t="shared" si="5687"/>
        <v>0</v>
      </c>
      <c r="U2851" s="1" t="str">
        <f>"0.0070"</f>
        <v>0.0070</v>
      </c>
    </row>
    <row r="2852" s="1" customFormat="1" spans="1:21">
      <c r="A2852" s="1" t="str">
        <f>"4601992053563"</f>
        <v>4601992053563</v>
      </c>
      <c r="B2852" s="1" t="s">
        <v>2875</v>
      </c>
      <c r="C2852" s="1" t="s">
        <v>24</v>
      </c>
      <c r="D2852" s="1" t="str">
        <f t="shared" si="5683"/>
        <v>2021</v>
      </c>
      <c r="E2852" s="1" t="str">
        <f>"12.25"</f>
        <v>12.25</v>
      </c>
      <c r="F2852" s="1" t="str">
        <f t="shared" ref="F2852:I2852" si="5755">"0"</f>
        <v>0</v>
      </c>
      <c r="G2852" s="1" t="str">
        <f t="shared" si="5755"/>
        <v>0</v>
      </c>
      <c r="H2852" s="1" t="str">
        <f t="shared" si="5755"/>
        <v>0</v>
      </c>
      <c r="I2852" s="1" t="str">
        <f t="shared" si="5755"/>
        <v>0</v>
      </c>
      <c r="J2852" s="1" t="str">
        <f>"1"</f>
        <v>1</v>
      </c>
      <c r="K2852" s="1" t="str">
        <f t="shared" ref="K2852:P2852" si="5756">"0"</f>
        <v>0</v>
      </c>
      <c r="L2852" s="1" t="str">
        <f t="shared" si="5756"/>
        <v>0</v>
      </c>
      <c r="M2852" s="1" t="str">
        <f t="shared" si="5756"/>
        <v>0</v>
      </c>
      <c r="N2852" s="1" t="str">
        <f t="shared" si="5756"/>
        <v>0</v>
      </c>
      <c r="O2852" s="1" t="str">
        <f t="shared" si="5756"/>
        <v>0</v>
      </c>
      <c r="P2852" s="1" t="str">
        <f t="shared" si="5756"/>
        <v>0</v>
      </c>
      <c r="Q2852" s="1" t="str">
        <f t="shared" si="5686"/>
        <v>0.0070</v>
      </c>
      <c r="R2852" s="1" t="s">
        <v>29</v>
      </c>
      <c r="S2852" s="1">
        <v>-0.0014</v>
      </c>
      <c r="T2852" s="1" t="str">
        <f t="shared" si="5687"/>
        <v>0</v>
      </c>
      <c r="U2852" s="1" t="str">
        <f t="shared" si="5750"/>
        <v>0.0056</v>
      </c>
    </row>
    <row r="2853" s="1" customFormat="1" spans="1:21">
      <c r="A2853" s="1" t="str">
        <f>"4601992053608"</f>
        <v>4601992053608</v>
      </c>
      <c r="B2853" s="1" t="s">
        <v>2876</v>
      </c>
      <c r="C2853" s="1" t="s">
        <v>24</v>
      </c>
      <c r="D2853" s="1" t="str">
        <f t="shared" si="5683"/>
        <v>2021</v>
      </c>
      <c r="E2853" s="1" t="str">
        <f>"181.35"</f>
        <v>181.35</v>
      </c>
      <c r="F2853" s="1" t="str">
        <f t="shared" ref="F2853:I2853" si="5757">"0"</f>
        <v>0</v>
      </c>
      <c r="G2853" s="1" t="str">
        <f t="shared" si="5757"/>
        <v>0</v>
      </c>
      <c r="H2853" s="1" t="str">
        <f t="shared" si="5757"/>
        <v>0</v>
      </c>
      <c r="I2853" s="1" t="str">
        <f t="shared" si="5757"/>
        <v>0</v>
      </c>
      <c r="J2853" s="1" t="str">
        <f>"12"</f>
        <v>12</v>
      </c>
      <c r="K2853" s="1" t="str">
        <f t="shared" ref="K2853:P2853" si="5758">"0"</f>
        <v>0</v>
      </c>
      <c r="L2853" s="1" t="str">
        <f t="shared" si="5758"/>
        <v>0</v>
      </c>
      <c r="M2853" s="1" t="str">
        <f t="shared" si="5758"/>
        <v>0</v>
      </c>
      <c r="N2853" s="1" t="str">
        <f t="shared" si="5758"/>
        <v>0</v>
      </c>
      <c r="O2853" s="1" t="str">
        <f t="shared" si="5758"/>
        <v>0</v>
      </c>
      <c r="P2853" s="1" t="str">
        <f t="shared" si="5758"/>
        <v>0</v>
      </c>
      <c r="Q2853" s="1" t="str">
        <f t="shared" si="5686"/>
        <v>0.0070</v>
      </c>
      <c r="R2853" s="1" t="s">
        <v>29</v>
      </c>
      <c r="S2853" s="1">
        <v>-0.0014</v>
      </c>
      <c r="T2853" s="1" t="str">
        <f t="shared" si="5687"/>
        <v>0</v>
      </c>
      <c r="U2853" s="1" t="str">
        <f t="shared" si="5750"/>
        <v>0.0056</v>
      </c>
    </row>
    <row r="2854" s="1" customFormat="1" spans="1:21">
      <c r="A2854" s="1" t="str">
        <f>"4601991414901"</f>
        <v>4601991414901</v>
      </c>
      <c r="B2854" s="1" t="s">
        <v>2877</v>
      </c>
      <c r="C2854" s="1" t="s">
        <v>24</v>
      </c>
      <c r="D2854" s="1" t="str">
        <f t="shared" si="5683"/>
        <v>2021</v>
      </c>
      <c r="E2854" s="1" t="str">
        <f>"1443.78"</f>
        <v>1443.78</v>
      </c>
      <c r="F2854" s="1" t="str">
        <f t="shared" ref="F2854:I2854" si="5759">"0"</f>
        <v>0</v>
      </c>
      <c r="G2854" s="1" t="str">
        <f t="shared" si="5759"/>
        <v>0</v>
      </c>
      <c r="H2854" s="1" t="str">
        <f t="shared" si="5759"/>
        <v>0</v>
      </c>
      <c r="I2854" s="1" t="str">
        <f t="shared" si="5759"/>
        <v>0</v>
      </c>
      <c r="J2854" s="1" t="str">
        <f>"71"</f>
        <v>71</v>
      </c>
      <c r="K2854" s="1" t="str">
        <f t="shared" ref="K2854:P2854" si="5760">"0"</f>
        <v>0</v>
      </c>
      <c r="L2854" s="1" t="str">
        <f t="shared" si="5760"/>
        <v>0</v>
      </c>
      <c r="M2854" s="1" t="str">
        <f t="shared" si="5760"/>
        <v>0</v>
      </c>
      <c r="N2854" s="1" t="str">
        <f t="shared" si="5760"/>
        <v>0</v>
      </c>
      <c r="O2854" s="1" t="str">
        <f t="shared" si="5760"/>
        <v>0</v>
      </c>
      <c r="P2854" s="1" t="str">
        <f t="shared" si="5760"/>
        <v>0</v>
      </c>
      <c r="Q2854" s="1" t="str">
        <f t="shared" si="5686"/>
        <v>0.0070</v>
      </c>
      <c r="R2854" s="1" t="s">
        <v>29</v>
      </c>
      <c r="S2854" s="1">
        <v>-0.0014</v>
      </c>
      <c r="T2854" s="1" t="str">
        <f t="shared" si="5687"/>
        <v>0</v>
      </c>
      <c r="U2854" s="1" t="str">
        <f t="shared" si="5750"/>
        <v>0.0056</v>
      </c>
    </row>
    <row r="2855" s="1" customFormat="1" spans="1:21">
      <c r="A2855" s="1" t="str">
        <f>"4601992053613"</f>
        <v>4601992053613</v>
      </c>
      <c r="B2855" s="1" t="s">
        <v>2878</v>
      </c>
      <c r="C2855" s="1" t="s">
        <v>24</v>
      </c>
      <c r="D2855" s="1" t="str">
        <f t="shared" si="5683"/>
        <v>2021</v>
      </c>
      <c r="E2855" s="1" t="str">
        <f t="shared" ref="E2855:E2857" si="5761">"24.18"</f>
        <v>24.18</v>
      </c>
      <c r="F2855" s="1" t="str">
        <f t="shared" ref="F2855:I2855" si="5762">"0"</f>
        <v>0</v>
      </c>
      <c r="G2855" s="1" t="str">
        <f t="shared" si="5762"/>
        <v>0</v>
      </c>
      <c r="H2855" s="1" t="str">
        <f t="shared" si="5762"/>
        <v>0</v>
      </c>
      <c r="I2855" s="1" t="str">
        <f t="shared" si="5762"/>
        <v>0</v>
      </c>
      <c r="J2855" s="1" t="str">
        <f>"3"</f>
        <v>3</v>
      </c>
      <c r="K2855" s="1" t="str">
        <f t="shared" ref="K2855:P2855" si="5763">"0"</f>
        <v>0</v>
      </c>
      <c r="L2855" s="1" t="str">
        <f t="shared" si="5763"/>
        <v>0</v>
      </c>
      <c r="M2855" s="1" t="str">
        <f t="shared" si="5763"/>
        <v>0</v>
      </c>
      <c r="N2855" s="1" t="str">
        <f t="shared" si="5763"/>
        <v>0</v>
      </c>
      <c r="O2855" s="1" t="str">
        <f t="shared" si="5763"/>
        <v>0</v>
      </c>
      <c r="P2855" s="1" t="str">
        <f t="shared" si="5763"/>
        <v>0</v>
      </c>
      <c r="Q2855" s="1" t="str">
        <f t="shared" si="5686"/>
        <v>0.0070</v>
      </c>
      <c r="R2855" s="1" t="s">
        <v>29</v>
      </c>
      <c r="S2855" s="1">
        <v>-0.0014</v>
      </c>
      <c r="T2855" s="1" t="str">
        <f t="shared" si="5687"/>
        <v>0</v>
      </c>
      <c r="U2855" s="1" t="str">
        <f t="shared" si="5750"/>
        <v>0.0056</v>
      </c>
    </row>
    <row r="2856" s="1" customFormat="1" spans="1:21">
      <c r="A2856" s="1" t="str">
        <f>"4601992053623"</f>
        <v>4601992053623</v>
      </c>
      <c r="B2856" s="1" t="s">
        <v>2879</v>
      </c>
      <c r="C2856" s="1" t="s">
        <v>24</v>
      </c>
      <c r="D2856" s="1" t="str">
        <f t="shared" si="5683"/>
        <v>2021</v>
      </c>
      <c r="E2856" s="1" t="str">
        <f t="shared" si="5761"/>
        <v>24.18</v>
      </c>
      <c r="F2856" s="1" t="str">
        <f t="shared" ref="F2856:I2856" si="5764">"0"</f>
        <v>0</v>
      </c>
      <c r="G2856" s="1" t="str">
        <f t="shared" si="5764"/>
        <v>0</v>
      </c>
      <c r="H2856" s="1" t="str">
        <f t="shared" si="5764"/>
        <v>0</v>
      </c>
      <c r="I2856" s="1" t="str">
        <f t="shared" si="5764"/>
        <v>0</v>
      </c>
      <c r="J2856" s="1" t="str">
        <f>"3"</f>
        <v>3</v>
      </c>
      <c r="K2856" s="1" t="str">
        <f t="shared" ref="K2856:P2856" si="5765">"0"</f>
        <v>0</v>
      </c>
      <c r="L2856" s="1" t="str">
        <f t="shared" si="5765"/>
        <v>0</v>
      </c>
      <c r="M2856" s="1" t="str">
        <f t="shared" si="5765"/>
        <v>0</v>
      </c>
      <c r="N2856" s="1" t="str">
        <f t="shared" si="5765"/>
        <v>0</v>
      </c>
      <c r="O2856" s="1" t="str">
        <f t="shared" si="5765"/>
        <v>0</v>
      </c>
      <c r="P2856" s="1" t="str">
        <f t="shared" si="5765"/>
        <v>0</v>
      </c>
      <c r="Q2856" s="1" t="str">
        <f t="shared" si="5686"/>
        <v>0.0070</v>
      </c>
      <c r="R2856" s="1" t="s">
        <v>29</v>
      </c>
      <c r="S2856" s="1">
        <v>-0.0014</v>
      </c>
      <c r="T2856" s="1" t="str">
        <f t="shared" si="5687"/>
        <v>0</v>
      </c>
      <c r="U2856" s="1" t="str">
        <f t="shared" si="5750"/>
        <v>0.0056</v>
      </c>
    </row>
    <row r="2857" s="1" customFormat="1" spans="1:21">
      <c r="A2857" s="1" t="str">
        <f>"4601992053630"</f>
        <v>4601992053630</v>
      </c>
      <c r="B2857" s="1" t="s">
        <v>2880</v>
      </c>
      <c r="C2857" s="1" t="s">
        <v>24</v>
      </c>
      <c r="D2857" s="1" t="str">
        <f t="shared" si="5683"/>
        <v>2021</v>
      </c>
      <c r="E2857" s="1" t="str">
        <f t="shared" si="5761"/>
        <v>24.18</v>
      </c>
      <c r="F2857" s="1" t="str">
        <f t="shared" ref="F2857:I2857" si="5766">"0"</f>
        <v>0</v>
      </c>
      <c r="G2857" s="1" t="str">
        <f t="shared" si="5766"/>
        <v>0</v>
      </c>
      <c r="H2857" s="1" t="str">
        <f t="shared" si="5766"/>
        <v>0</v>
      </c>
      <c r="I2857" s="1" t="str">
        <f t="shared" si="5766"/>
        <v>0</v>
      </c>
      <c r="J2857" s="1" t="str">
        <f>"2"</f>
        <v>2</v>
      </c>
      <c r="K2857" s="1" t="str">
        <f t="shared" ref="K2857:P2857" si="5767">"0"</f>
        <v>0</v>
      </c>
      <c r="L2857" s="1" t="str">
        <f t="shared" si="5767"/>
        <v>0</v>
      </c>
      <c r="M2857" s="1" t="str">
        <f t="shared" si="5767"/>
        <v>0</v>
      </c>
      <c r="N2857" s="1" t="str">
        <f t="shared" si="5767"/>
        <v>0</v>
      </c>
      <c r="O2857" s="1" t="str">
        <f t="shared" si="5767"/>
        <v>0</v>
      </c>
      <c r="P2857" s="1" t="str">
        <f t="shared" si="5767"/>
        <v>0</v>
      </c>
      <c r="Q2857" s="1" t="str">
        <f t="shared" si="5686"/>
        <v>0.0070</v>
      </c>
      <c r="R2857" s="1" t="s">
        <v>29</v>
      </c>
      <c r="S2857" s="1">
        <v>-0.0014</v>
      </c>
      <c r="T2857" s="1" t="str">
        <f t="shared" si="5687"/>
        <v>0</v>
      </c>
      <c r="U2857" s="1" t="str">
        <f t="shared" si="5750"/>
        <v>0.0056</v>
      </c>
    </row>
    <row r="2858" s="1" customFormat="1" spans="1:21">
      <c r="A2858" s="1" t="str">
        <f>"4601992053711"</f>
        <v>4601992053711</v>
      </c>
      <c r="B2858" s="1" t="s">
        <v>2881</v>
      </c>
      <c r="C2858" s="1" t="s">
        <v>24</v>
      </c>
      <c r="D2858" s="1" t="str">
        <f t="shared" si="5683"/>
        <v>2021</v>
      </c>
      <c r="E2858" s="1" t="str">
        <f>"60.23"</f>
        <v>60.23</v>
      </c>
      <c r="F2858" s="1" t="str">
        <f t="shared" ref="F2858:I2858" si="5768">"0"</f>
        <v>0</v>
      </c>
      <c r="G2858" s="1" t="str">
        <f t="shared" si="5768"/>
        <v>0</v>
      </c>
      <c r="H2858" s="1" t="str">
        <f t="shared" si="5768"/>
        <v>0</v>
      </c>
      <c r="I2858" s="1" t="str">
        <f t="shared" si="5768"/>
        <v>0</v>
      </c>
      <c r="J2858" s="1" t="str">
        <f>"6"</f>
        <v>6</v>
      </c>
      <c r="K2858" s="1" t="str">
        <f t="shared" ref="K2858:P2858" si="5769">"0"</f>
        <v>0</v>
      </c>
      <c r="L2858" s="1" t="str">
        <f t="shared" si="5769"/>
        <v>0</v>
      </c>
      <c r="M2858" s="1" t="str">
        <f t="shared" si="5769"/>
        <v>0</v>
      </c>
      <c r="N2858" s="1" t="str">
        <f t="shared" si="5769"/>
        <v>0</v>
      </c>
      <c r="O2858" s="1" t="str">
        <f t="shared" si="5769"/>
        <v>0</v>
      </c>
      <c r="P2858" s="1" t="str">
        <f t="shared" si="5769"/>
        <v>0</v>
      </c>
      <c r="Q2858" s="1" t="str">
        <f t="shared" si="5686"/>
        <v>0.0070</v>
      </c>
      <c r="R2858" s="1" t="s">
        <v>29</v>
      </c>
      <c r="S2858" s="1">
        <v>-0.0014</v>
      </c>
      <c r="T2858" s="1" t="str">
        <f t="shared" si="5687"/>
        <v>0</v>
      </c>
      <c r="U2858" s="1" t="str">
        <f t="shared" si="5750"/>
        <v>0.0056</v>
      </c>
    </row>
    <row r="2859" s="1" customFormat="1" spans="1:21">
      <c r="A2859" s="1" t="str">
        <f>"4601992053664"</f>
        <v>4601992053664</v>
      </c>
      <c r="B2859" s="1" t="s">
        <v>2882</v>
      </c>
      <c r="C2859" s="1" t="s">
        <v>24</v>
      </c>
      <c r="D2859" s="1" t="str">
        <f t="shared" si="5683"/>
        <v>2021</v>
      </c>
      <c r="E2859" s="1" t="str">
        <f>"15.75"</f>
        <v>15.75</v>
      </c>
      <c r="F2859" s="1" t="str">
        <f t="shared" ref="F2859:I2859" si="5770">"0"</f>
        <v>0</v>
      </c>
      <c r="G2859" s="1" t="str">
        <f t="shared" si="5770"/>
        <v>0</v>
      </c>
      <c r="H2859" s="1" t="str">
        <f t="shared" si="5770"/>
        <v>0</v>
      </c>
      <c r="I2859" s="1" t="str">
        <f t="shared" si="5770"/>
        <v>0</v>
      </c>
      <c r="J2859" s="1" t="str">
        <f t="shared" ref="J2859:J2866" si="5771">"1"</f>
        <v>1</v>
      </c>
      <c r="K2859" s="1" t="str">
        <f t="shared" ref="K2859:P2859" si="5772">"0"</f>
        <v>0</v>
      </c>
      <c r="L2859" s="1" t="str">
        <f t="shared" si="5772"/>
        <v>0</v>
      </c>
      <c r="M2859" s="1" t="str">
        <f t="shared" si="5772"/>
        <v>0</v>
      </c>
      <c r="N2859" s="1" t="str">
        <f t="shared" si="5772"/>
        <v>0</v>
      </c>
      <c r="O2859" s="1" t="str">
        <f t="shared" si="5772"/>
        <v>0</v>
      </c>
      <c r="P2859" s="1" t="str">
        <f t="shared" si="5772"/>
        <v>0</v>
      </c>
      <c r="Q2859" s="1" t="str">
        <f t="shared" si="5686"/>
        <v>0.0070</v>
      </c>
      <c r="R2859" s="1" t="s">
        <v>29</v>
      </c>
      <c r="S2859" s="1">
        <v>-0.0014</v>
      </c>
      <c r="T2859" s="1" t="str">
        <f t="shared" si="5687"/>
        <v>0</v>
      </c>
      <c r="U2859" s="1" t="str">
        <f t="shared" si="5750"/>
        <v>0.0056</v>
      </c>
    </row>
    <row r="2860" s="1" customFormat="1" spans="1:21">
      <c r="A2860" s="1" t="str">
        <f>"4601992053758"</f>
        <v>4601992053758</v>
      </c>
      <c r="B2860" s="1" t="s">
        <v>2883</v>
      </c>
      <c r="C2860" s="1" t="s">
        <v>24</v>
      </c>
      <c r="D2860" s="1" t="str">
        <f t="shared" si="5683"/>
        <v>2021</v>
      </c>
      <c r="E2860" s="1" t="str">
        <f>"48.36"</f>
        <v>48.36</v>
      </c>
      <c r="F2860" s="1" t="str">
        <f t="shared" ref="F2860:I2860" si="5773">"0"</f>
        <v>0</v>
      </c>
      <c r="G2860" s="1" t="str">
        <f t="shared" si="5773"/>
        <v>0</v>
      </c>
      <c r="H2860" s="1" t="str">
        <f t="shared" si="5773"/>
        <v>0</v>
      </c>
      <c r="I2860" s="1" t="str">
        <f t="shared" si="5773"/>
        <v>0</v>
      </c>
      <c r="J2860" s="1" t="str">
        <f>"4"</f>
        <v>4</v>
      </c>
      <c r="K2860" s="1" t="str">
        <f t="shared" ref="K2860:P2860" si="5774">"0"</f>
        <v>0</v>
      </c>
      <c r="L2860" s="1" t="str">
        <f t="shared" si="5774"/>
        <v>0</v>
      </c>
      <c r="M2860" s="1" t="str">
        <f t="shared" si="5774"/>
        <v>0</v>
      </c>
      <c r="N2860" s="1" t="str">
        <f t="shared" si="5774"/>
        <v>0</v>
      </c>
      <c r="O2860" s="1" t="str">
        <f t="shared" si="5774"/>
        <v>0</v>
      </c>
      <c r="P2860" s="1" t="str">
        <f t="shared" si="5774"/>
        <v>0</v>
      </c>
      <c r="Q2860" s="1" t="str">
        <f t="shared" si="5686"/>
        <v>0.0070</v>
      </c>
      <c r="R2860" s="1" t="s">
        <v>29</v>
      </c>
      <c r="S2860" s="1">
        <v>-0.0014</v>
      </c>
      <c r="T2860" s="1" t="str">
        <f t="shared" si="5687"/>
        <v>0</v>
      </c>
      <c r="U2860" s="1" t="str">
        <f t="shared" si="5750"/>
        <v>0.0056</v>
      </c>
    </row>
    <row r="2861" s="1" customFormat="1" spans="1:21">
      <c r="A2861" s="1" t="str">
        <f>"4601992053726"</f>
        <v>4601992053726</v>
      </c>
      <c r="B2861" s="1" t="s">
        <v>2884</v>
      </c>
      <c r="C2861" s="1" t="s">
        <v>24</v>
      </c>
      <c r="D2861" s="1" t="str">
        <f t="shared" si="5683"/>
        <v>2021</v>
      </c>
      <c r="E2861" s="1" t="str">
        <f>"72.70"</f>
        <v>72.70</v>
      </c>
      <c r="F2861" s="1" t="str">
        <f t="shared" ref="F2861:I2861" si="5775">"0"</f>
        <v>0</v>
      </c>
      <c r="G2861" s="1" t="str">
        <f t="shared" si="5775"/>
        <v>0</v>
      </c>
      <c r="H2861" s="1" t="str">
        <f t="shared" si="5775"/>
        <v>0</v>
      </c>
      <c r="I2861" s="1" t="str">
        <f t="shared" si="5775"/>
        <v>0</v>
      </c>
      <c r="J2861" s="1" t="str">
        <f>"7"</f>
        <v>7</v>
      </c>
      <c r="K2861" s="1" t="str">
        <f t="shared" ref="K2861:P2861" si="5776">"0"</f>
        <v>0</v>
      </c>
      <c r="L2861" s="1" t="str">
        <f t="shared" si="5776"/>
        <v>0</v>
      </c>
      <c r="M2861" s="1" t="str">
        <f t="shared" si="5776"/>
        <v>0</v>
      </c>
      <c r="N2861" s="1" t="str">
        <f t="shared" si="5776"/>
        <v>0</v>
      </c>
      <c r="O2861" s="1" t="str">
        <f t="shared" si="5776"/>
        <v>0</v>
      </c>
      <c r="P2861" s="1" t="str">
        <f t="shared" si="5776"/>
        <v>0</v>
      </c>
      <c r="Q2861" s="1" t="str">
        <f t="shared" si="5686"/>
        <v>0.0070</v>
      </c>
      <c r="R2861" s="1" t="s">
        <v>29</v>
      </c>
      <c r="S2861" s="1">
        <v>-0.0014</v>
      </c>
      <c r="T2861" s="1" t="str">
        <f t="shared" si="5687"/>
        <v>0</v>
      </c>
      <c r="U2861" s="1" t="str">
        <f t="shared" si="5750"/>
        <v>0.0056</v>
      </c>
    </row>
    <row r="2862" s="1" customFormat="1" spans="1:21">
      <c r="A2862" s="1" t="str">
        <f>"4601992053818"</f>
        <v>4601992053818</v>
      </c>
      <c r="B2862" s="1" t="s">
        <v>2885</v>
      </c>
      <c r="C2862" s="1" t="s">
        <v>24</v>
      </c>
      <c r="D2862" s="1" t="str">
        <f t="shared" si="5683"/>
        <v>2021</v>
      </c>
      <c r="E2862" s="1" t="str">
        <f>"195.45"</f>
        <v>195.45</v>
      </c>
      <c r="F2862" s="1" t="str">
        <f>"194002.55"</f>
        <v>194002.55</v>
      </c>
      <c r="G2862" s="1" t="str">
        <f t="shared" ref="G2862:P2862" si="5777">"0"</f>
        <v>0</v>
      </c>
      <c r="H2862" s="1" t="str">
        <f t="shared" si="5777"/>
        <v>0</v>
      </c>
      <c r="I2862" s="1" t="str">
        <f>"992.5943"</f>
        <v>992.5943</v>
      </c>
      <c r="J2862" s="1" t="str">
        <f>"25"</f>
        <v>25</v>
      </c>
      <c r="K2862" s="1" t="str">
        <f t="shared" si="5777"/>
        <v>0</v>
      </c>
      <c r="L2862" s="1" t="str">
        <f t="shared" si="5777"/>
        <v>0</v>
      </c>
      <c r="M2862" s="1" t="str">
        <f t="shared" si="5777"/>
        <v>0</v>
      </c>
      <c r="N2862" s="1" t="str">
        <f t="shared" si="5777"/>
        <v>0</v>
      </c>
      <c r="O2862" s="1" t="str">
        <f t="shared" si="5777"/>
        <v>0</v>
      </c>
      <c r="P2862" s="1" t="str">
        <f t="shared" si="5777"/>
        <v>0</v>
      </c>
      <c r="Q2862" s="1" t="str">
        <f t="shared" si="5686"/>
        <v>0.0070</v>
      </c>
      <c r="R2862" s="1" t="s">
        <v>69</v>
      </c>
      <c r="S2862" s="1" t="str">
        <f>"0.0014"</f>
        <v>0.0014</v>
      </c>
      <c r="T2862" s="1" t="str">
        <f t="shared" si="5687"/>
        <v>0</v>
      </c>
      <c r="U2862" s="1" t="str">
        <f>"0.0084"</f>
        <v>0.0084</v>
      </c>
    </row>
    <row r="2863" s="1" customFormat="1" spans="1:21">
      <c r="A2863" s="1" t="str">
        <f>"4601992053828"</f>
        <v>4601992053828</v>
      </c>
      <c r="B2863" s="1" t="s">
        <v>2886</v>
      </c>
      <c r="C2863" s="1" t="s">
        <v>24</v>
      </c>
      <c r="D2863" s="1" t="str">
        <f t="shared" si="5683"/>
        <v>2021</v>
      </c>
      <c r="E2863" s="1" t="str">
        <f>"12.09"</f>
        <v>12.09</v>
      </c>
      <c r="F2863" s="1" t="str">
        <f t="shared" ref="F2863:I2863" si="5778">"0"</f>
        <v>0</v>
      </c>
      <c r="G2863" s="1" t="str">
        <f t="shared" si="5778"/>
        <v>0</v>
      </c>
      <c r="H2863" s="1" t="str">
        <f t="shared" si="5778"/>
        <v>0</v>
      </c>
      <c r="I2863" s="1" t="str">
        <f t="shared" si="5778"/>
        <v>0</v>
      </c>
      <c r="J2863" s="1" t="str">
        <f t="shared" si="5771"/>
        <v>1</v>
      </c>
      <c r="K2863" s="1" t="str">
        <f t="shared" ref="K2863:P2863" si="5779">"0"</f>
        <v>0</v>
      </c>
      <c r="L2863" s="1" t="str">
        <f t="shared" si="5779"/>
        <v>0</v>
      </c>
      <c r="M2863" s="1" t="str">
        <f t="shared" si="5779"/>
        <v>0</v>
      </c>
      <c r="N2863" s="1" t="str">
        <f t="shared" si="5779"/>
        <v>0</v>
      </c>
      <c r="O2863" s="1" t="str">
        <f t="shared" si="5779"/>
        <v>0</v>
      </c>
      <c r="P2863" s="1" t="str">
        <f t="shared" si="5779"/>
        <v>0</v>
      </c>
      <c r="Q2863" s="1" t="str">
        <f t="shared" si="5686"/>
        <v>0.0070</v>
      </c>
      <c r="R2863" s="1" t="s">
        <v>29</v>
      </c>
      <c r="S2863" s="1">
        <v>-0.0014</v>
      </c>
      <c r="T2863" s="1" t="str">
        <f t="shared" si="5687"/>
        <v>0</v>
      </c>
      <c r="U2863" s="1" t="str">
        <f t="shared" ref="U2863:U2871" si="5780">"0.0056"</f>
        <v>0.0056</v>
      </c>
    </row>
    <row r="2864" s="1" customFormat="1" spans="1:21">
      <c r="A2864" s="1" t="str">
        <f>"4601992053849"</f>
        <v>4601992053849</v>
      </c>
      <c r="B2864" s="1" t="s">
        <v>2887</v>
      </c>
      <c r="C2864" s="1" t="s">
        <v>24</v>
      </c>
      <c r="D2864" s="1" t="str">
        <f t="shared" si="5683"/>
        <v>2021</v>
      </c>
      <c r="E2864" s="1" t="str">
        <f>"12.09"</f>
        <v>12.09</v>
      </c>
      <c r="F2864" s="1" t="str">
        <f t="shared" ref="F2864:I2864" si="5781">"0"</f>
        <v>0</v>
      </c>
      <c r="G2864" s="1" t="str">
        <f t="shared" si="5781"/>
        <v>0</v>
      </c>
      <c r="H2864" s="1" t="str">
        <f t="shared" si="5781"/>
        <v>0</v>
      </c>
      <c r="I2864" s="1" t="str">
        <f t="shared" si="5781"/>
        <v>0</v>
      </c>
      <c r="J2864" s="1" t="str">
        <f t="shared" si="5771"/>
        <v>1</v>
      </c>
      <c r="K2864" s="1" t="str">
        <f t="shared" ref="K2864:P2864" si="5782">"0"</f>
        <v>0</v>
      </c>
      <c r="L2864" s="1" t="str">
        <f t="shared" si="5782"/>
        <v>0</v>
      </c>
      <c r="M2864" s="1" t="str">
        <f t="shared" si="5782"/>
        <v>0</v>
      </c>
      <c r="N2864" s="1" t="str">
        <f t="shared" si="5782"/>
        <v>0</v>
      </c>
      <c r="O2864" s="1" t="str">
        <f t="shared" si="5782"/>
        <v>0</v>
      </c>
      <c r="P2864" s="1" t="str">
        <f t="shared" si="5782"/>
        <v>0</v>
      </c>
      <c r="Q2864" s="1" t="str">
        <f t="shared" si="5686"/>
        <v>0.0070</v>
      </c>
      <c r="R2864" s="1" t="s">
        <v>29</v>
      </c>
      <c r="S2864" s="1">
        <v>-0.0014</v>
      </c>
      <c r="T2864" s="1" t="str">
        <f t="shared" si="5687"/>
        <v>0</v>
      </c>
      <c r="U2864" s="1" t="str">
        <f t="shared" si="5780"/>
        <v>0.0056</v>
      </c>
    </row>
    <row r="2865" s="1" customFormat="1" spans="1:21">
      <c r="A2865" s="1" t="str">
        <f>"4601992053906"</f>
        <v>4601992053906</v>
      </c>
      <c r="B2865" s="1" t="s">
        <v>2888</v>
      </c>
      <c r="C2865" s="1" t="s">
        <v>24</v>
      </c>
      <c r="D2865" s="1" t="str">
        <f t="shared" si="5683"/>
        <v>2021</v>
      </c>
      <c r="E2865" s="1" t="str">
        <f>"12.25"</f>
        <v>12.25</v>
      </c>
      <c r="F2865" s="1" t="str">
        <f t="shared" ref="F2865:I2865" si="5783">"0"</f>
        <v>0</v>
      </c>
      <c r="G2865" s="1" t="str">
        <f t="shared" si="5783"/>
        <v>0</v>
      </c>
      <c r="H2865" s="1" t="str">
        <f t="shared" si="5783"/>
        <v>0</v>
      </c>
      <c r="I2865" s="1" t="str">
        <f t="shared" si="5783"/>
        <v>0</v>
      </c>
      <c r="J2865" s="1" t="str">
        <f t="shared" si="5771"/>
        <v>1</v>
      </c>
      <c r="K2865" s="1" t="str">
        <f t="shared" ref="K2865:P2865" si="5784">"0"</f>
        <v>0</v>
      </c>
      <c r="L2865" s="1" t="str">
        <f t="shared" si="5784"/>
        <v>0</v>
      </c>
      <c r="M2865" s="1" t="str">
        <f t="shared" si="5784"/>
        <v>0</v>
      </c>
      <c r="N2865" s="1" t="str">
        <f t="shared" si="5784"/>
        <v>0</v>
      </c>
      <c r="O2865" s="1" t="str">
        <f t="shared" si="5784"/>
        <v>0</v>
      </c>
      <c r="P2865" s="1" t="str">
        <f t="shared" si="5784"/>
        <v>0</v>
      </c>
      <c r="Q2865" s="1" t="str">
        <f t="shared" si="5686"/>
        <v>0.0070</v>
      </c>
      <c r="R2865" s="1" t="s">
        <v>29</v>
      </c>
      <c r="S2865" s="1">
        <v>-0.0014</v>
      </c>
      <c r="T2865" s="1" t="str">
        <f t="shared" si="5687"/>
        <v>0</v>
      </c>
      <c r="U2865" s="1" t="str">
        <f t="shared" si="5780"/>
        <v>0.0056</v>
      </c>
    </row>
    <row r="2866" s="1" customFormat="1" spans="1:21">
      <c r="A2866" s="1" t="str">
        <f>"4601992053907"</f>
        <v>4601992053907</v>
      </c>
      <c r="B2866" s="1" t="s">
        <v>2889</v>
      </c>
      <c r="C2866" s="1" t="s">
        <v>24</v>
      </c>
      <c r="D2866" s="1" t="str">
        <f t="shared" si="5683"/>
        <v>2021</v>
      </c>
      <c r="E2866" s="1" t="str">
        <f>"14.00"</f>
        <v>14.00</v>
      </c>
      <c r="F2866" s="1" t="str">
        <f t="shared" ref="F2866:I2866" si="5785">"0"</f>
        <v>0</v>
      </c>
      <c r="G2866" s="1" t="str">
        <f t="shared" si="5785"/>
        <v>0</v>
      </c>
      <c r="H2866" s="1" t="str">
        <f t="shared" si="5785"/>
        <v>0</v>
      </c>
      <c r="I2866" s="1" t="str">
        <f t="shared" si="5785"/>
        <v>0</v>
      </c>
      <c r="J2866" s="1" t="str">
        <f t="shared" si="5771"/>
        <v>1</v>
      </c>
      <c r="K2866" s="1" t="str">
        <f t="shared" ref="K2866:P2866" si="5786">"0"</f>
        <v>0</v>
      </c>
      <c r="L2866" s="1" t="str">
        <f t="shared" si="5786"/>
        <v>0</v>
      </c>
      <c r="M2866" s="1" t="str">
        <f t="shared" si="5786"/>
        <v>0</v>
      </c>
      <c r="N2866" s="1" t="str">
        <f t="shared" si="5786"/>
        <v>0</v>
      </c>
      <c r="O2866" s="1" t="str">
        <f t="shared" si="5786"/>
        <v>0</v>
      </c>
      <c r="P2866" s="1" t="str">
        <f t="shared" si="5786"/>
        <v>0</v>
      </c>
      <c r="Q2866" s="1" t="str">
        <f t="shared" si="5686"/>
        <v>0.0070</v>
      </c>
      <c r="R2866" s="1" t="s">
        <v>29</v>
      </c>
      <c r="S2866" s="1">
        <v>-0.0014</v>
      </c>
      <c r="T2866" s="1" t="str">
        <f t="shared" si="5687"/>
        <v>0</v>
      </c>
      <c r="U2866" s="1" t="str">
        <f t="shared" si="5780"/>
        <v>0.0056</v>
      </c>
    </row>
    <row r="2867" s="1" customFormat="1" spans="1:21">
      <c r="A2867" s="1" t="str">
        <f>"4601992053877"</f>
        <v>4601992053877</v>
      </c>
      <c r="B2867" s="1" t="s">
        <v>2890</v>
      </c>
      <c r="C2867" s="1" t="s">
        <v>24</v>
      </c>
      <c r="D2867" s="1" t="str">
        <f t="shared" si="5683"/>
        <v>2021</v>
      </c>
      <c r="E2867" s="1" t="str">
        <f>"49.00"</f>
        <v>49.00</v>
      </c>
      <c r="F2867" s="1" t="str">
        <f t="shared" ref="F2867:I2867" si="5787">"0"</f>
        <v>0</v>
      </c>
      <c r="G2867" s="1" t="str">
        <f t="shared" si="5787"/>
        <v>0</v>
      </c>
      <c r="H2867" s="1" t="str">
        <f t="shared" si="5787"/>
        <v>0</v>
      </c>
      <c r="I2867" s="1" t="str">
        <f t="shared" si="5787"/>
        <v>0</v>
      </c>
      <c r="J2867" s="1" t="str">
        <f>"4"</f>
        <v>4</v>
      </c>
      <c r="K2867" s="1" t="str">
        <f t="shared" ref="K2867:P2867" si="5788">"0"</f>
        <v>0</v>
      </c>
      <c r="L2867" s="1" t="str">
        <f t="shared" si="5788"/>
        <v>0</v>
      </c>
      <c r="M2867" s="1" t="str">
        <f t="shared" si="5788"/>
        <v>0</v>
      </c>
      <c r="N2867" s="1" t="str">
        <f t="shared" si="5788"/>
        <v>0</v>
      </c>
      <c r="O2867" s="1" t="str">
        <f t="shared" si="5788"/>
        <v>0</v>
      </c>
      <c r="P2867" s="1" t="str">
        <f t="shared" si="5788"/>
        <v>0</v>
      </c>
      <c r="Q2867" s="1" t="str">
        <f t="shared" si="5686"/>
        <v>0.0070</v>
      </c>
      <c r="R2867" s="1" t="s">
        <v>29</v>
      </c>
      <c r="S2867" s="1">
        <v>-0.0014</v>
      </c>
      <c r="T2867" s="1" t="str">
        <f t="shared" si="5687"/>
        <v>0</v>
      </c>
      <c r="U2867" s="1" t="str">
        <f t="shared" si="5780"/>
        <v>0.0056</v>
      </c>
    </row>
    <row r="2868" s="1" customFormat="1" spans="1:21">
      <c r="A2868" s="1" t="str">
        <f>"4601992053884"</f>
        <v>4601992053884</v>
      </c>
      <c r="B2868" s="1" t="s">
        <v>2891</v>
      </c>
      <c r="C2868" s="1" t="s">
        <v>24</v>
      </c>
      <c r="D2868" s="1" t="str">
        <f t="shared" si="5683"/>
        <v>2021</v>
      </c>
      <c r="E2868" s="1" t="str">
        <f>"12.08"</f>
        <v>12.08</v>
      </c>
      <c r="F2868" s="1" t="str">
        <f t="shared" ref="F2868:I2868" si="5789">"0"</f>
        <v>0</v>
      </c>
      <c r="G2868" s="1" t="str">
        <f t="shared" si="5789"/>
        <v>0</v>
      </c>
      <c r="H2868" s="1" t="str">
        <f t="shared" si="5789"/>
        <v>0</v>
      </c>
      <c r="I2868" s="1" t="str">
        <f t="shared" si="5789"/>
        <v>0</v>
      </c>
      <c r="J2868" s="1" t="str">
        <f>"1"</f>
        <v>1</v>
      </c>
      <c r="K2868" s="1" t="str">
        <f t="shared" ref="K2868:P2868" si="5790">"0"</f>
        <v>0</v>
      </c>
      <c r="L2868" s="1" t="str">
        <f t="shared" si="5790"/>
        <v>0</v>
      </c>
      <c r="M2868" s="1" t="str">
        <f t="shared" si="5790"/>
        <v>0</v>
      </c>
      <c r="N2868" s="1" t="str">
        <f t="shared" si="5790"/>
        <v>0</v>
      </c>
      <c r="O2868" s="1" t="str">
        <f t="shared" si="5790"/>
        <v>0</v>
      </c>
      <c r="P2868" s="1" t="str">
        <f t="shared" si="5790"/>
        <v>0</v>
      </c>
      <c r="Q2868" s="1" t="str">
        <f t="shared" si="5686"/>
        <v>0.0070</v>
      </c>
      <c r="R2868" s="1" t="s">
        <v>29</v>
      </c>
      <c r="S2868" s="1">
        <v>-0.0014</v>
      </c>
      <c r="T2868" s="1" t="str">
        <f t="shared" si="5687"/>
        <v>0</v>
      </c>
      <c r="U2868" s="1" t="str">
        <f t="shared" si="5780"/>
        <v>0.0056</v>
      </c>
    </row>
    <row r="2869" s="1" customFormat="1" spans="1:21">
      <c r="A2869" s="1" t="str">
        <f>"4601992053872"</f>
        <v>4601992053872</v>
      </c>
      <c r="B2869" s="1" t="s">
        <v>2892</v>
      </c>
      <c r="C2869" s="1" t="s">
        <v>24</v>
      </c>
      <c r="D2869" s="1" t="str">
        <f t="shared" si="5683"/>
        <v>2021</v>
      </c>
      <c r="E2869" s="1" t="str">
        <f>"12.25"</f>
        <v>12.25</v>
      </c>
      <c r="F2869" s="1" t="str">
        <f t="shared" ref="F2869:I2869" si="5791">"0"</f>
        <v>0</v>
      </c>
      <c r="G2869" s="1" t="str">
        <f t="shared" si="5791"/>
        <v>0</v>
      </c>
      <c r="H2869" s="1" t="str">
        <f t="shared" si="5791"/>
        <v>0</v>
      </c>
      <c r="I2869" s="1" t="str">
        <f t="shared" si="5791"/>
        <v>0</v>
      </c>
      <c r="J2869" s="1" t="str">
        <f>"1"</f>
        <v>1</v>
      </c>
      <c r="K2869" s="1" t="str">
        <f t="shared" ref="K2869:P2869" si="5792">"0"</f>
        <v>0</v>
      </c>
      <c r="L2869" s="1" t="str">
        <f t="shared" si="5792"/>
        <v>0</v>
      </c>
      <c r="M2869" s="1" t="str">
        <f t="shared" si="5792"/>
        <v>0</v>
      </c>
      <c r="N2869" s="1" t="str">
        <f t="shared" si="5792"/>
        <v>0</v>
      </c>
      <c r="O2869" s="1" t="str">
        <f t="shared" si="5792"/>
        <v>0</v>
      </c>
      <c r="P2869" s="1" t="str">
        <f t="shared" si="5792"/>
        <v>0</v>
      </c>
      <c r="Q2869" s="1" t="str">
        <f t="shared" si="5686"/>
        <v>0.0070</v>
      </c>
      <c r="R2869" s="1" t="s">
        <v>29</v>
      </c>
      <c r="S2869" s="1">
        <v>-0.0014</v>
      </c>
      <c r="T2869" s="1" t="str">
        <f t="shared" si="5687"/>
        <v>0</v>
      </c>
      <c r="U2869" s="1" t="str">
        <f t="shared" si="5780"/>
        <v>0.0056</v>
      </c>
    </row>
    <row r="2870" s="1" customFormat="1" spans="1:21">
      <c r="A2870" s="1" t="str">
        <f>"4601992053924"</f>
        <v>4601992053924</v>
      </c>
      <c r="B2870" s="1" t="s">
        <v>2893</v>
      </c>
      <c r="C2870" s="1" t="s">
        <v>24</v>
      </c>
      <c r="D2870" s="1" t="str">
        <f t="shared" si="5683"/>
        <v>2021</v>
      </c>
      <c r="E2870" s="1" t="str">
        <f>"38.16"</f>
        <v>38.16</v>
      </c>
      <c r="F2870" s="1" t="str">
        <f t="shared" ref="F2870:I2870" si="5793">"0"</f>
        <v>0</v>
      </c>
      <c r="G2870" s="1" t="str">
        <f t="shared" si="5793"/>
        <v>0</v>
      </c>
      <c r="H2870" s="1" t="str">
        <f t="shared" si="5793"/>
        <v>0</v>
      </c>
      <c r="I2870" s="1" t="str">
        <f t="shared" si="5793"/>
        <v>0</v>
      </c>
      <c r="J2870" s="1" t="str">
        <f>"3"</f>
        <v>3</v>
      </c>
      <c r="K2870" s="1" t="str">
        <f t="shared" ref="K2870:P2870" si="5794">"0"</f>
        <v>0</v>
      </c>
      <c r="L2870" s="1" t="str">
        <f t="shared" si="5794"/>
        <v>0</v>
      </c>
      <c r="M2870" s="1" t="str">
        <f t="shared" si="5794"/>
        <v>0</v>
      </c>
      <c r="N2870" s="1" t="str">
        <f t="shared" si="5794"/>
        <v>0</v>
      </c>
      <c r="O2870" s="1" t="str">
        <f t="shared" si="5794"/>
        <v>0</v>
      </c>
      <c r="P2870" s="1" t="str">
        <f t="shared" si="5794"/>
        <v>0</v>
      </c>
      <c r="Q2870" s="1" t="str">
        <f t="shared" si="5686"/>
        <v>0.0070</v>
      </c>
      <c r="R2870" s="1" t="s">
        <v>29</v>
      </c>
      <c r="S2870" s="1">
        <v>-0.0014</v>
      </c>
      <c r="T2870" s="1" t="str">
        <f t="shared" si="5687"/>
        <v>0</v>
      </c>
      <c r="U2870" s="1" t="str">
        <f t="shared" si="5780"/>
        <v>0.0056</v>
      </c>
    </row>
    <row r="2871" s="1" customFormat="1" spans="1:21">
      <c r="A2871" s="1" t="str">
        <f>"4601992053851"</f>
        <v>4601992053851</v>
      </c>
      <c r="B2871" s="1" t="s">
        <v>2894</v>
      </c>
      <c r="C2871" s="1" t="s">
        <v>24</v>
      </c>
      <c r="D2871" s="1" t="str">
        <f t="shared" si="5683"/>
        <v>2021</v>
      </c>
      <c r="E2871" s="1" t="str">
        <f>"24.18"</f>
        <v>24.18</v>
      </c>
      <c r="F2871" s="1" t="str">
        <f t="shared" ref="F2871:I2871" si="5795">"0"</f>
        <v>0</v>
      </c>
      <c r="G2871" s="1" t="str">
        <f t="shared" si="5795"/>
        <v>0</v>
      </c>
      <c r="H2871" s="1" t="str">
        <f t="shared" si="5795"/>
        <v>0</v>
      </c>
      <c r="I2871" s="1" t="str">
        <f t="shared" si="5795"/>
        <v>0</v>
      </c>
      <c r="J2871" s="1" t="str">
        <f>"2"</f>
        <v>2</v>
      </c>
      <c r="K2871" s="1" t="str">
        <f t="shared" ref="K2871:P2871" si="5796">"0"</f>
        <v>0</v>
      </c>
      <c r="L2871" s="1" t="str">
        <f t="shared" si="5796"/>
        <v>0</v>
      </c>
      <c r="M2871" s="1" t="str">
        <f t="shared" si="5796"/>
        <v>0</v>
      </c>
      <c r="N2871" s="1" t="str">
        <f t="shared" si="5796"/>
        <v>0</v>
      </c>
      <c r="O2871" s="1" t="str">
        <f t="shared" si="5796"/>
        <v>0</v>
      </c>
      <c r="P2871" s="1" t="str">
        <f t="shared" si="5796"/>
        <v>0</v>
      </c>
      <c r="Q2871" s="1" t="str">
        <f t="shared" si="5686"/>
        <v>0.0070</v>
      </c>
      <c r="R2871" s="1" t="s">
        <v>29</v>
      </c>
      <c r="S2871" s="1">
        <v>-0.0014</v>
      </c>
      <c r="T2871" s="1" t="str">
        <f t="shared" si="5687"/>
        <v>0</v>
      </c>
      <c r="U2871" s="1" t="str">
        <f t="shared" si="5780"/>
        <v>0.0056</v>
      </c>
    </row>
    <row r="2872" s="1" customFormat="1" spans="1:21">
      <c r="A2872" s="1" t="str">
        <f>"4601992054001"</f>
        <v>4601992054001</v>
      </c>
      <c r="B2872" s="1" t="s">
        <v>2895</v>
      </c>
      <c r="C2872" s="1" t="s">
        <v>24</v>
      </c>
      <c r="D2872" s="1" t="str">
        <f t="shared" si="5683"/>
        <v>2021</v>
      </c>
      <c r="E2872" s="1" t="str">
        <f t="shared" ref="E2872:P2872" si="5797">"0"</f>
        <v>0</v>
      </c>
      <c r="F2872" s="1" t="str">
        <f t="shared" si="5797"/>
        <v>0</v>
      </c>
      <c r="G2872" s="1" t="str">
        <f t="shared" si="5797"/>
        <v>0</v>
      </c>
      <c r="H2872" s="1" t="str">
        <f t="shared" si="5797"/>
        <v>0</v>
      </c>
      <c r="I2872" s="1" t="str">
        <f t="shared" si="5797"/>
        <v>0</v>
      </c>
      <c r="J2872" s="1" t="str">
        <f t="shared" si="5797"/>
        <v>0</v>
      </c>
      <c r="K2872" s="1" t="str">
        <f t="shared" si="5797"/>
        <v>0</v>
      </c>
      <c r="L2872" s="1" t="str">
        <f t="shared" si="5797"/>
        <v>0</v>
      </c>
      <c r="M2872" s="1" t="str">
        <f t="shared" si="5797"/>
        <v>0</v>
      </c>
      <c r="N2872" s="1" t="str">
        <f t="shared" si="5797"/>
        <v>0</v>
      </c>
      <c r="O2872" s="1" t="str">
        <f t="shared" si="5797"/>
        <v>0</v>
      </c>
      <c r="P2872" s="1" t="str">
        <f t="shared" si="5797"/>
        <v>0</v>
      </c>
      <c r="Q2872" s="1" t="str">
        <f t="shared" si="5686"/>
        <v>0.0070</v>
      </c>
      <c r="R2872" s="1" t="s">
        <v>25</v>
      </c>
      <c r="T2872" s="1" t="str">
        <f t="shared" si="5687"/>
        <v>0</v>
      </c>
      <c r="U2872" s="1" t="str">
        <f>"0.0070"</f>
        <v>0.0070</v>
      </c>
    </row>
    <row r="2873" s="1" customFormat="1" spans="1:21">
      <c r="A2873" s="1" t="str">
        <f>"4601992053940"</f>
        <v>4601992053940</v>
      </c>
      <c r="B2873" s="1" t="s">
        <v>2896</v>
      </c>
      <c r="C2873" s="1" t="s">
        <v>24</v>
      </c>
      <c r="D2873" s="1" t="str">
        <f t="shared" si="5683"/>
        <v>2021</v>
      </c>
      <c r="E2873" s="1" t="str">
        <f>"72.62"</f>
        <v>72.62</v>
      </c>
      <c r="F2873" s="1" t="str">
        <f t="shared" ref="F2873:I2873" si="5798">"0"</f>
        <v>0</v>
      </c>
      <c r="G2873" s="1" t="str">
        <f t="shared" si="5798"/>
        <v>0</v>
      </c>
      <c r="H2873" s="1" t="str">
        <f t="shared" si="5798"/>
        <v>0</v>
      </c>
      <c r="I2873" s="1" t="str">
        <f t="shared" si="5798"/>
        <v>0</v>
      </c>
      <c r="J2873" s="1" t="str">
        <f>"5"</f>
        <v>5</v>
      </c>
      <c r="K2873" s="1" t="str">
        <f t="shared" ref="K2873:P2873" si="5799">"0"</f>
        <v>0</v>
      </c>
      <c r="L2873" s="1" t="str">
        <f t="shared" si="5799"/>
        <v>0</v>
      </c>
      <c r="M2873" s="1" t="str">
        <f t="shared" si="5799"/>
        <v>0</v>
      </c>
      <c r="N2873" s="1" t="str">
        <f t="shared" si="5799"/>
        <v>0</v>
      </c>
      <c r="O2873" s="1" t="str">
        <f t="shared" si="5799"/>
        <v>0</v>
      </c>
      <c r="P2873" s="1" t="str">
        <f t="shared" si="5799"/>
        <v>0</v>
      </c>
      <c r="Q2873" s="1" t="str">
        <f t="shared" si="5686"/>
        <v>0.0070</v>
      </c>
      <c r="R2873" s="1" t="s">
        <v>29</v>
      </c>
      <c r="S2873" s="1">
        <v>-0.0014</v>
      </c>
      <c r="T2873" s="1" t="str">
        <f t="shared" si="5687"/>
        <v>0</v>
      </c>
      <c r="U2873" s="1" t="str">
        <f t="shared" ref="U2873:U2875" si="5800">"0.0056"</f>
        <v>0.0056</v>
      </c>
    </row>
    <row r="2874" s="1" customFormat="1" spans="1:21">
      <c r="A2874" s="1" t="str">
        <f>"4601992053974"</f>
        <v>4601992053974</v>
      </c>
      <c r="B2874" s="1" t="s">
        <v>2897</v>
      </c>
      <c r="C2874" s="1" t="s">
        <v>24</v>
      </c>
      <c r="D2874" s="1" t="str">
        <f t="shared" si="5683"/>
        <v>2021</v>
      </c>
      <c r="E2874" s="1" t="str">
        <f>"24.18"</f>
        <v>24.18</v>
      </c>
      <c r="F2874" s="1" t="str">
        <f t="shared" ref="F2874:I2874" si="5801">"0"</f>
        <v>0</v>
      </c>
      <c r="G2874" s="1" t="str">
        <f t="shared" si="5801"/>
        <v>0</v>
      </c>
      <c r="H2874" s="1" t="str">
        <f t="shared" si="5801"/>
        <v>0</v>
      </c>
      <c r="I2874" s="1" t="str">
        <f t="shared" si="5801"/>
        <v>0</v>
      </c>
      <c r="J2874" s="1" t="str">
        <f>"2"</f>
        <v>2</v>
      </c>
      <c r="K2874" s="1" t="str">
        <f t="shared" ref="K2874:P2874" si="5802">"0"</f>
        <v>0</v>
      </c>
      <c r="L2874" s="1" t="str">
        <f t="shared" si="5802"/>
        <v>0</v>
      </c>
      <c r="M2874" s="1" t="str">
        <f t="shared" si="5802"/>
        <v>0</v>
      </c>
      <c r="N2874" s="1" t="str">
        <f t="shared" si="5802"/>
        <v>0</v>
      </c>
      <c r="O2874" s="1" t="str">
        <f t="shared" si="5802"/>
        <v>0</v>
      </c>
      <c r="P2874" s="1" t="str">
        <f t="shared" si="5802"/>
        <v>0</v>
      </c>
      <c r="Q2874" s="1" t="str">
        <f t="shared" si="5686"/>
        <v>0.0070</v>
      </c>
      <c r="R2874" s="1" t="s">
        <v>29</v>
      </c>
      <c r="S2874" s="1">
        <v>-0.0014</v>
      </c>
      <c r="T2874" s="1" t="str">
        <f t="shared" si="5687"/>
        <v>0</v>
      </c>
      <c r="U2874" s="1" t="str">
        <f t="shared" si="5800"/>
        <v>0.0056</v>
      </c>
    </row>
    <row r="2875" s="1" customFormat="1" spans="1:21">
      <c r="A2875" s="1" t="str">
        <f>"4601992053960"</f>
        <v>4601992053960</v>
      </c>
      <c r="B2875" s="1" t="s">
        <v>2898</v>
      </c>
      <c r="C2875" s="1" t="s">
        <v>24</v>
      </c>
      <c r="D2875" s="1" t="str">
        <f t="shared" si="5683"/>
        <v>2021</v>
      </c>
      <c r="E2875" s="1" t="str">
        <f>"68.50"</f>
        <v>68.50</v>
      </c>
      <c r="F2875" s="1" t="str">
        <f t="shared" ref="F2875:I2875" si="5803">"0"</f>
        <v>0</v>
      </c>
      <c r="G2875" s="1" t="str">
        <f t="shared" si="5803"/>
        <v>0</v>
      </c>
      <c r="H2875" s="1" t="str">
        <f t="shared" si="5803"/>
        <v>0</v>
      </c>
      <c r="I2875" s="1" t="str">
        <f t="shared" si="5803"/>
        <v>0</v>
      </c>
      <c r="J2875" s="1" t="str">
        <f>"4"</f>
        <v>4</v>
      </c>
      <c r="K2875" s="1" t="str">
        <f t="shared" ref="K2875:P2875" si="5804">"0"</f>
        <v>0</v>
      </c>
      <c r="L2875" s="1" t="str">
        <f t="shared" si="5804"/>
        <v>0</v>
      </c>
      <c r="M2875" s="1" t="str">
        <f t="shared" si="5804"/>
        <v>0</v>
      </c>
      <c r="N2875" s="1" t="str">
        <f t="shared" si="5804"/>
        <v>0</v>
      </c>
      <c r="O2875" s="1" t="str">
        <f t="shared" si="5804"/>
        <v>0</v>
      </c>
      <c r="P2875" s="1" t="str">
        <f t="shared" si="5804"/>
        <v>0</v>
      </c>
      <c r="Q2875" s="1" t="str">
        <f t="shared" si="5686"/>
        <v>0.0070</v>
      </c>
      <c r="R2875" s="1" t="s">
        <v>29</v>
      </c>
      <c r="S2875" s="1">
        <v>-0.0014</v>
      </c>
      <c r="T2875" s="1" t="str">
        <f t="shared" si="5687"/>
        <v>0</v>
      </c>
      <c r="U2875" s="1" t="str">
        <f t="shared" si="5800"/>
        <v>0.0056</v>
      </c>
    </row>
    <row r="2876" s="1" customFormat="1" spans="1:21">
      <c r="A2876" s="1" t="str">
        <f>"4601992054009"</f>
        <v>4601992054009</v>
      </c>
      <c r="B2876" s="1" t="s">
        <v>2899</v>
      </c>
      <c r="C2876" s="1" t="s">
        <v>24</v>
      </c>
      <c r="D2876" s="1" t="str">
        <f t="shared" si="5683"/>
        <v>2021</v>
      </c>
      <c r="E2876" s="1" t="str">
        <f t="shared" ref="E2876:P2876" si="5805">"0"</f>
        <v>0</v>
      </c>
      <c r="F2876" s="1" t="str">
        <f t="shared" si="5805"/>
        <v>0</v>
      </c>
      <c r="G2876" s="1" t="str">
        <f t="shared" si="5805"/>
        <v>0</v>
      </c>
      <c r="H2876" s="1" t="str">
        <f t="shared" si="5805"/>
        <v>0</v>
      </c>
      <c r="I2876" s="1" t="str">
        <f t="shared" si="5805"/>
        <v>0</v>
      </c>
      <c r="J2876" s="1" t="str">
        <f t="shared" si="5805"/>
        <v>0</v>
      </c>
      <c r="K2876" s="1" t="str">
        <f t="shared" si="5805"/>
        <v>0</v>
      </c>
      <c r="L2876" s="1" t="str">
        <f t="shared" si="5805"/>
        <v>0</v>
      </c>
      <c r="M2876" s="1" t="str">
        <f t="shared" si="5805"/>
        <v>0</v>
      </c>
      <c r="N2876" s="1" t="str">
        <f t="shared" si="5805"/>
        <v>0</v>
      </c>
      <c r="O2876" s="1" t="str">
        <f t="shared" si="5805"/>
        <v>0</v>
      </c>
      <c r="P2876" s="1" t="str">
        <f t="shared" si="5805"/>
        <v>0</v>
      </c>
      <c r="Q2876" s="1" t="str">
        <f t="shared" si="5686"/>
        <v>0.0070</v>
      </c>
      <c r="R2876" s="1" t="s">
        <v>25</v>
      </c>
      <c r="T2876" s="1" t="str">
        <f t="shared" si="5687"/>
        <v>0</v>
      </c>
      <c r="U2876" s="1" t="str">
        <f>"0.0070"</f>
        <v>0.0070</v>
      </c>
    </row>
    <row r="2877" s="1" customFormat="1" spans="1:21">
      <c r="A2877" s="1" t="str">
        <f>"4601992054013"</f>
        <v>4601992054013</v>
      </c>
      <c r="B2877" s="1" t="s">
        <v>2900</v>
      </c>
      <c r="C2877" s="1" t="s">
        <v>24</v>
      </c>
      <c r="D2877" s="1" t="str">
        <f t="shared" si="5683"/>
        <v>2021</v>
      </c>
      <c r="E2877" s="1" t="str">
        <f>"36.59"</f>
        <v>36.59</v>
      </c>
      <c r="F2877" s="1" t="str">
        <f t="shared" ref="F2877:I2877" si="5806">"0"</f>
        <v>0</v>
      </c>
      <c r="G2877" s="1" t="str">
        <f t="shared" si="5806"/>
        <v>0</v>
      </c>
      <c r="H2877" s="1" t="str">
        <f t="shared" si="5806"/>
        <v>0</v>
      </c>
      <c r="I2877" s="1" t="str">
        <f t="shared" si="5806"/>
        <v>0</v>
      </c>
      <c r="J2877" s="1" t="str">
        <f t="shared" ref="J2877:J2880" si="5807">"3"</f>
        <v>3</v>
      </c>
      <c r="K2877" s="1" t="str">
        <f t="shared" ref="K2877:P2877" si="5808">"0"</f>
        <v>0</v>
      </c>
      <c r="L2877" s="1" t="str">
        <f t="shared" si="5808"/>
        <v>0</v>
      </c>
      <c r="M2877" s="1" t="str">
        <f t="shared" si="5808"/>
        <v>0</v>
      </c>
      <c r="N2877" s="1" t="str">
        <f t="shared" si="5808"/>
        <v>0</v>
      </c>
      <c r="O2877" s="1" t="str">
        <f t="shared" si="5808"/>
        <v>0</v>
      </c>
      <c r="P2877" s="1" t="str">
        <f t="shared" si="5808"/>
        <v>0</v>
      </c>
      <c r="Q2877" s="1" t="str">
        <f t="shared" si="5686"/>
        <v>0.0070</v>
      </c>
      <c r="R2877" s="1" t="s">
        <v>29</v>
      </c>
      <c r="S2877" s="1">
        <v>-0.0014</v>
      </c>
      <c r="T2877" s="1" t="str">
        <f t="shared" si="5687"/>
        <v>0</v>
      </c>
      <c r="U2877" s="1" t="str">
        <f t="shared" ref="U2877:U2882" si="5809">"0.0056"</f>
        <v>0.0056</v>
      </c>
    </row>
    <row r="2878" s="1" customFormat="1" spans="1:21">
      <c r="A2878" s="1" t="str">
        <f>"4601992054017"</f>
        <v>4601992054017</v>
      </c>
      <c r="B2878" s="1" t="s">
        <v>2901</v>
      </c>
      <c r="C2878" s="1" t="s">
        <v>24</v>
      </c>
      <c r="D2878" s="1" t="str">
        <f t="shared" si="5683"/>
        <v>2021</v>
      </c>
      <c r="E2878" s="1" t="str">
        <f>"12.09"</f>
        <v>12.09</v>
      </c>
      <c r="F2878" s="1" t="str">
        <f t="shared" ref="F2878:I2878" si="5810">"0"</f>
        <v>0</v>
      </c>
      <c r="G2878" s="1" t="str">
        <f t="shared" si="5810"/>
        <v>0</v>
      </c>
      <c r="H2878" s="1" t="str">
        <f t="shared" si="5810"/>
        <v>0</v>
      </c>
      <c r="I2878" s="1" t="str">
        <f t="shared" si="5810"/>
        <v>0</v>
      </c>
      <c r="J2878" s="1" t="str">
        <f t="shared" si="5807"/>
        <v>3</v>
      </c>
      <c r="K2878" s="1" t="str">
        <f t="shared" ref="K2878:P2878" si="5811">"0"</f>
        <v>0</v>
      </c>
      <c r="L2878" s="1" t="str">
        <f t="shared" si="5811"/>
        <v>0</v>
      </c>
      <c r="M2878" s="1" t="str">
        <f t="shared" si="5811"/>
        <v>0</v>
      </c>
      <c r="N2878" s="1" t="str">
        <f t="shared" si="5811"/>
        <v>0</v>
      </c>
      <c r="O2878" s="1" t="str">
        <f t="shared" si="5811"/>
        <v>0</v>
      </c>
      <c r="P2878" s="1" t="str">
        <f t="shared" si="5811"/>
        <v>0</v>
      </c>
      <c r="Q2878" s="1" t="str">
        <f t="shared" si="5686"/>
        <v>0.0070</v>
      </c>
      <c r="R2878" s="1" t="s">
        <v>29</v>
      </c>
      <c r="S2878" s="1">
        <v>-0.0014</v>
      </c>
      <c r="T2878" s="1" t="str">
        <f t="shared" si="5687"/>
        <v>0</v>
      </c>
      <c r="U2878" s="1" t="str">
        <f t="shared" si="5809"/>
        <v>0.0056</v>
      </c>
    </row>
    <row r="2879" s="1" customFormat="1" spans="1:21">
      <c r="A2879" s="1" t="str">
        <f>"4601992054022"</f>
        <v>4601992054022</v>
      </c>
      <c r="B2879" s="1" t="s">
        <v>2902</v>
      </c>
      <c r="C2879" s="1" t="s">
        <v>24</v>
      </c>
      <c r="D2879" s="1" t="str">
        <f t="shared" si="5683"/>
        <v>2021</v>
      </c>
      <c r="E2879" s="1" t="str">
        <f t="shared" ref="E2879:P2879" si="5812">"0"</f>
        <v>0</v>
      </c>
      <c r="F2879" s="1" t="str">
        <f t="shared" si="5812"/>
        <v>0</v>
      </c>
      <c r="G2879" s="1" t="str">
        <f t="shared" si="5812"/>
        <v>0</v>
      </c>
      <c r="H2879" s="1" t="str">
        <f t="shared" si="5812"/>
        <v>0</v>
      </c>
      <c r="I2879" s="1" t="str">
        <f t="shared" si="5812"/>
        <v>0</v>
      </c>
      <c r="J2879" s="1" t="str">
        <f t="shared" si="5812"/>
        <v>0</v>
      </c>
      <c r="K2879" s="1" t="str">
        <f t="shared" si="5812"/>
        <v>0</v>
      </c>
      <c r="L2879" s="1" t="str">
        <f t="shared" si="5812"/>
        <v>0</v>
      </c>
      <c r="M2879" s="1" t="str">
        <f t="shared" si="5812"/>
        <v>0</v>
      </c>
      <c r="N2879" s="1" t="str">
        <f t="shared" si="5812"/>
        <v>0</v>
      </c>
      <c r="O2879" s="1" t="str">
        <f t="shared" si="5812"/>
        <v>0</v>
      </c>
      <c r="P2879" s="1" t="str">
        <f t="shared" si="5812"/>
        <v>0</v>
      </c>
      <c r="Q2879" s="1" t="str">
        <f t="shared" si="5686"/>
        <v>0.0070</v>
      </c>
      <c r="R2879" s="1" t="s">
        <v>25</v>
      </c>
      <c r="T2879" s="1" t="str">
        <f t="shared" si="5687"/>
        <v>0</v>
      </c>
      <c r="U2879" s="1" t="str">
        <f>"0.0070"</f>
        <v>0.0070</v>
      </c>
    </row>
    <row r="2880" s="1" customFormat="1" spans="1:21">
      <c r="A2880" s="1" t="str">
        <f>"4601992054043"</f>
        <v>4601992054043</v>
      </c>
      <c r="B2880" s="1" t="s">
        <v>2903</v>
      </c>
      <c r="C2880" s="1" t="s">
        <v>24</v>
      </c>
      <c r="D2880" s="1" t="str">
        <f t="shared" si="5683"/>
        <v>2021</v>
      </c>
      <c r="E2880" s="1" t="str">
        <f>"48.14"</f>
        <v>48.14</v>
      </c>
      <c r="F2880" s="1" t="str">
        <f t="shared" ref="F2880:I2880" si="5813">"0"</f>
        <v>0</v>
      </c>
      <c r="G2880" s="1" t="str">
        <f t="shared" si="5813"/>
        <v>0</v>
      </c>
      <c r="H2880" s="1" t="str">
        <f t="shared" si="5813"/>
        <v>0</v>
      </c>
      <c r="I2880" s="1" t="str">
        <f t="shared" si="5813"/>
        <v>0</v>
      </c>
      <c r="J2880" s="1" t="str">
        <f t="shared" si="5807"/>
        <v>3</v>
      </c>
      <c r="K2880" s="1" t="str">
        <f t="shared" ref="K2880:P2880" si="5814">"0"</f>
        <v>0</v>
      </c>
      <c r="L2880" s="1" t="str">
        <f t="shared" si="5814"/>
        <v>0</v>
      </c>
      <c r="M2880" s="1" t="str">
        <f t="shared" si="5814"/>
        <v>0</v>
      </c>
      <c r="N2880" s="1" t="str">
        <f t="shared" si="5814"/>
        <v>0</v>
      </c>
      <c r="O2880" s="1" t="str">
        <f t="shared" si="5814"/>
        <v>0</v>
      </c>
      <c r="P2880" s="1" t="str">
        <f t="shared" si="5814"/>
        <v>0</v>
      </c>
      <c r="Q2880" s="1" t="str">
        <f t="shared" si="5686"/>
        <v>0.0070</v>
      </c>
      <c r="R2880" s="1" t="s">
        <v>29</v>
      </c>
      <c r="S2880" s="1">
        <v>-0.0014</v>
      </c>
      <c r="T2880" s="1" t="str">
        <f t="shared" si="5687"/>
        <v>0</v>
      </c>
      <c r="U2880" s="1" t="str">
        <f t="shared" si="5809"/>
        <v>0.0056</v>
      </c>
    </row>
    <row r="2881" s="1" customFormat="1" spans="1:21">
      <c r="A2881" s="1" t="str">
        <f>"4601992054031"</f>
        <v>4601992054031</v>
      </c>
      <c r="B2881" s="1" t="s">
        <v>2904</v>
      </c>
      <c r="C2881" s="1" t="s">
        <v>24</v>
      </c>
      <c r="D2881" s="1" t="str">
        <f t="shared" si="5683"/>
        <v>2021</v>
      </c>
      <c r="E2881" s="1" t="str">
        <f>"12.09"</f>
        <v>12.09</v>
      </c>
      <c r="F2881" s="1" t="str">
        <f t="shared" ref="F2881:I2881" si="5815">"0"</f>
        <v>0</v>
      </c>
      <c r="G2881" s="1" t="str">
        <f t="shared" si="5815"/>
        <v>0</v>
      </c>
      <c r="H2881" s="1" t="str">
        <f t="shared" si="5815"/>
        <v>0</v>
      </c>
      <c r="I2881" s="1" t="str">
        <f t="shared" si="5815"/>
        <v>0</v>
      </c>
      <c r="J2881" s="1" t="str">
        <f>"1"</f>
        <v>1</v>
      </c>
      <c r="K2881" s="1" t="str">
        <f t="shared" ref="K2881:P2881" si="5816">"0"</f>
        <v>0</v>
      </c>
      <c r="L2881" s="1" t="str">
        <f t="shared" si="5816"/>
        <v>0</v>
      </c>
      <c r="M2881" s="1" t="str">
        <f t="shared" si="5816"/>
        <v>0</v>
      </c>
      <c r="N2881" s="1" t="str">
        <f t="shared" si="5816"/>
        <v>0</v>
      </c>
      <c r="O2881" s="1" t="str">
        <f t="shared" si="5816"/>
        <v>0</v>
      </c>
      <c r="P2881" s="1" t="str">
        <f t="shared" si="5816"/>
        <v>0</v>
      </c>
      <c r="Q2881" s="1" t="str">
        <f t="shared" si="5686"/>
        <v>0.0070</v>
      </c>
      <c r="R2881" s="1" t="s">
        <v>29</v>
      </c>
      <c r="S2881" s="1">
        <v>-0.0014</v>
      </c>
      <c r="T2881" s="1" t="str">
        <f t="shared" si="5687"/>
        <v>0</v>
      </c>
      <c r="U2881" s="1" t="str">
        <f t="shared" si="5809"/>
        <v>0.0056</v>
      </c>
    </row>
    <row r="2882" s="1" customFormat="1" spans="1:21">
      <c r="A2882" s="1" t="str">
        <f>"4601992054060"</f>
        <v>4601992054060</v>
      </c>
      <c r="B2882" s="1" t="s">
        <v>2905</v>
      </c>
      <c r="C2882" s="1" t="s">
        <v>24</v>
      </c>
      <c r="D2882" s="1" t="str">
        <f t="shared" si="5683"/>
        <v>2021</v>
      </c>
      <c r="E2882" s="1" t="str">
        <f>"171.59"</f>
        <v>171.59</v>
      </c>
      <c r="F2882" s="1" t="str">
        <f t="shared" ref="F2882:I2882" si="5817">"0"</f>
        <v>0</v>
      </c>
      <c r="G2882" s="1" t="str">
        <f t="shared" si="5817"/>
        <v>0</v>
      </c>
      <c r="H2882" s="1" t="str">
        <f t="shared" si="5817"/>
        <v>0</v>
      </c>
      <c r="I2882" s="1" t="str">
        <f t="shared" si="5817"/>
        <v>0</v>
      </c>
      <c r="J2882" s="1" t="str">
        <f>"11"</f>
        <v>11</v>
      </c>
      <c r="K2882" s="1" t="str">
        <f t="shared" ref="K2882:P2882" si="5818">"0"</f>
        <v>0</v>
      </c>
      <c r="L2882" s="1" t="str">
        <f t="shared" si="5818"/>
        <v>0</v>
      </c>
      <c r="M2882" s="1" t="str">
        <f t="shared" si="5818"/>
        <v>0</v>
      </c>
      <c r="N2882" s="1" t="str">
        <f t="shared" si="5818"/>
        <v>0</v>
      </c>
      <c r="O2882" s="1" t="str">
        <f t="shared" si="5818"/>
        <v>0</v>
      </c>
      <c r="P2882" s="1" t="str">
        <f t="shared" si="5818"/>
        <v>0</v>
      </c>
      <c r="Q2882" s="1" t="str">
        <f t="shared" si="5686"/>
        <v>0.0070</v>
      </c>
      <c r="R2882" s="1" t="s">
        <v>29</v>
      </c>
      <c r="S2882" s="1">
        <v>-0.0014</v>
      </c>
      <c r="T2882" s="1" t="str">
        <f t="shared" si="5687"/>
        <v>0</v>
      </c>
      <c r="U2882" s="1" t="str">
        <f t="shared" si="5809"/>
        <v>0.0056</v>
      </c>
    </row>
    <row r="2883" s="1" customFormat="1" spans="1:21">
      <c r="A2883" s="1" t="str">
        <f>"4601992020170"</f>
        <v>4601992020170</v>
      </c>
      <c r="B2883" s="1" t="s">
        <v>2906</v>
      </c>
      <c r="C2883" s="1" t="s">
        <v>24</v>
      </c>
      <c r="D2883" s="1" t="str">
        <f t="shared" ref="D2883:D2946" si="5819">"2021"</f>
        <v>2021</v>
      </c>
      <c r="E2883" s="1" t="str">
        <f t="shared" ref="E2883:P2883" si="5820">"0"</f>
        <v>0</v>
      </c>
      <c r="F2883" s="1" t="str">
        <f t="shared" si="5820"/>
        <v>0</v>
      </c>
      <c r="G2883" s="1" t="str">
        <f t="shared" si="5820"/>
        <v>0</v>
      </c>
      <c r="H2883" s="1" t="str">
        <f t="shared" si="5820"/>
        <v>0</v>
      </c>
      <c r="I2883" s="1" t="str">
        <f t="shared" si="5820"/>
        <v>0</v>
      </c>
      <c r="J2883" s="1" t="str">
        <f t="shared" si="5820"/>
        <v>0</v>
      </c>
      <c r="K2883" s="1" t="str">
        <f t="shared" si="5820"/>
        <v>0</v>
      </c>
      <c r="L2883" s="1" t="str">
        <f t="shared" si="5820"/>
        <v>0</v>
      </c>
      <c r="M2883" s="1" t="str">
        <f t="shared" si="5820"/>
        <v>0</v>
      </c>
      <c r="N2883" s="1" t="str">
        <f t="shared" si="5820"/>
        <v>0</v>
      </c>
      <c r="O2883" s="1" t="str">
        <f t="shared" si="5820"/>
        <v>0</v>
      </c>
      <c r="P2883" s="1" t="str">
        <f t="shared" si="5820"/>
        <v>0</v>
      </c>
      <c r="Q2883" s="1" t="str">
        <f t="shared" ref="Q2883:Q2946" si="5821">"0.0070"</f>
        <v>0.0070</v>
      </c>
      <c r="R2883" s="1" t="s">
        <v>25</v>
      </c>
      <c r="T2883" s="1" t="str">
        <f t="shared" ref="T2883:T2946" si="5822">"0"</f>
        <v>0</v>
      </c>
      <c r="U2883" s="1" t="str">
        <f>"0.0070"</f>
        <v>0.0070</v>
      </c>
    </row>
    <row r="2884" s="1" customFormat="1" spans="1:21">
      <c r="A2884" s="1" t="str">
        <f>"4601992054074"</f>
        <v>4601992054074</v>
      </c>
      <c r="B2884" s="1" t="s">
        <v>2907</v>
      </c>
      <c r="C2884" s="1" t="s">
        <v>24</v>
      </c>
      <c r="D2884" s="1" t="str">
        <f t="shared" si="5819"/>
        <v>2021</v>
      </c>
      <c r="E2884" s="1" t="str">
        <f>"12.09"</f>
        <v>12.09</v>
      </c>
      <c r="F2884" s="1" t="str">
        <f t="shared" ref="F2884:I2884" si="5823">"0"</f>
        <v>0</v>
      </c>
      <c r="G2884" s="1" t="str">
        <f t="shared" si="5823"/>
        <v>0</v>
      </c>
      <c r="H2884" s="1" t="str">
        <f t="shared" si="5823"/>
        <v>0</v>
      </c>
      <c r="I2884" s="1" t="str">
        <f t="shared" si="5823"/>
        <v>0</v>
      </c>
      <c r="J2884" s="1" t="str">
        <f>"1"</f>
        <v>1</v>
      </c>
      <c r="K2884" s="1" t="str">
        <f t="shared" ref="K2884:P2884" si="5824">"0"</f>
        <v>0</v>
      </c>
      <c r="L2884" s="1" t="str">
        <f t="shared" si="5824"/>
        <v>0</v>
      </c>
      <c r="M2884" s="1" t="str">
        <f t="shared" si="5824"/>
        <v>0</v>
      </c>
      <c r="N2884" s="1" t="str">
        <f t="shared" si="5824"/>
        <v>0</v>
      </c>
      <c r="O2884" s="1" t="str">
        <f t="shared" si="5824"/>
        <v>0</v>
      </c>
      <c r="P2884" s="1" t="str">
        <f t="shared" si="5824"/>
        <v>0</v>
      </c>
      <c r="Q2884" s="1" t="str">
        <f t="shared" si="5821"/>
        <v>0.0070</v>
      </c>
      <c r="R2884" s="1" t="s">
        <v>29</v>
      </c>
      <c r="S2884" s="1">
        <v>-0.0014</v>
      </c>
      <c r="T2884" s="1" t="str">
        <f t="shared" si="5822"/>
        <v>0</v>
      </c>
      <c r="U2884" s="1" t="str">
        <f t="shared" ref="U2884:U2886" si="5825">"0.0056"</f>
        <v>0.0056</v>
      </c>
    </row>
    <row r="2885" s="1" customFormat="1" spans="1:21">
      <c r="A2885" s="1" t="str">
        <f>"4601992054067"</f>
        <v>4601992054067</v>
      </c>
      <c r="B2885" s="1" t="s">
        <v>2908</v>
      </c>
      <c r="C2885" s="1" t="s">
        <v>24</v>
      </c>
      <c r="D2885" s="1" t="str">
        <f t="shared" si="5819"/>
        <v>2021</v>
      </c>
      <c r="E2885" s="1" t="str">
        <f>"87.09"</f>
        <v>87.09</v>
      </c>
      <c r="F2885" s="1" t="str">
        <f t="shared" ref="F2885:I2885" si="5826">"0"</f>
        <v>0</v>
      </c>
      <c r="G2885" s="1" t="str">
        <f t="shared" si="5826"/>
        <v>0</v>
      </c>
      <c r="H2885" s="1" t="str">
        <f t="shared" si="5826"/>
        <v>0</v>
      </c>
      <c r="I2885" s="1" t="str">
        <f t="shared" si="5826"/>
        <v>0</v>
      </c>
      <c r="J2885" s="1" t="str">
        <f>"6"</f>
        <v>6</v>
      </c>
      <c r="K2885" s="1" t="str">
        <f t="shared" ref="K2885:P2885" si="5827">"0"</f>
        <v>0</v>
      </c>
      <c r="L2885" s="1" t="str">
        <f t="shared" si="5827"/>
        <v>0</v>
      </c>
      <c r="M2885" s="1" t="str">
        <f t="shared" si="5827"/>
        <v>0</v>
      </c>
      <c r="N2885" s="1" t="str">
        <f t="shared" si="5827"/>
        <v>0</v>
      </c>
      <c r="O2885" s="1" t="str">
        <f t="shared" si="5827"/>
        <v>0</v>
      </c>
      <c r="P2885" s="1" t="str">
        <f t="shared" si="5827"/>
        <v>0</v>
      </c>
      <c r="Q2885" s="1" t="str">
        <f t="shared" si="5821"/>
        <v>0.0070</v>
      </c>
      <c r="R2885" s="1" t="s">
        <v>29</v>
      </c>
      <c r="S2885" s="1">
        <v>-0.0014</v>
      </c>
      <c r="T2885" s="1" t="str">
        <f t="shared" si="5822"/>
        <v>0</v>
      </c>
      <c r="U2885" s="1" t="str">
        <f t="shared" si="5825"/>
        <v>0.0056</v>
      </c>
    </row>
    <row r="2886" s="1" customFormat="1" spans="1:21">
      <c r="A2886" s="1" t="str">
        <f>"4601992054213"</f>
        <v>4601992054213</v>
      </c>
      <c r="B2886" s="1" t="s">
        <v>2909</v>
      </c>
      <c r="C2886" s="1" t="s">
        <v>24</v>
      </c>
      <c r="D2886" s="1" t="str">
        <f t="shared" si="5819"/>
        <v>2021</v>
      </c>
      <c r="E2886" s="1" t="str">
        <f>"24.18"</f>
        <v>24.18</v>
      </c>
      <c r="F2886" s="1" t="str">
        <f t="shared" ref="F2886:I2886" si="5828">"0"</f>
        <v>0</v>
      </c>
      <c r="G2886" s="1" t="str">
        <f t="shared" si="5828"/>
        <v>0</v>
      </c>
      <c r="H2886" s="1" t="str">
        <f t="shared" si="5828"/>
        <v>0</v>
      </c>
      <c r="I2886" s="1" t="str">
        <f t="shared" si="5828"/>
        <v>0</v>
      </c>
      <c r="J2886" s="1" t="str">
        <f>"2"</f>
        <v>2</v>
      </c>
      <c r="K2886" s="1" t="str">
        <f t="shared" ref="K2886:P2886" si="5829">"0"</f>
        <v>0</v>
      </c>
      <c r="L2886" s="1" t="str">
        <f t="shared" si="5829"/>
        <v>0</v>
      </c>
      <c r="M2886" s="1" t="str">
        <f t="shared" si="5829"/>
        <v>0</v>
      </c>
      <c r="N2886" s="1" t="str">
        <f t="shared" si="5829"/>
        <v>0</v>
      </c>
      <c r="O2886" s="1" t="str">
        <f t="shared" si="5829"/>
        <v>0</v>
      </c>
      <c r="P2886" s="1" t="str">
        <f t="shared" si="5829"/>
        <v>0</v>
      </c>
      <c r="Q2886" s="1" t="str">
        <f t="shared" si="5821"/>
        <v>0.0070</v>
      </c>
      <c r="R2886" s="1" t="s">
        <v>29</v>
      </c>
      <c r="S2886" s="1">
        <v>-0.0014</v>
      </c>
      <c r="T2886" s="1" t="str">
        <f t="shared" si="5822"/>
        <v>0</v>
      </c>
      <c r="U2886" s="1" t="str">
        <f t="shared" si="5825"/>
        <v>0.0056</v>
      </c>
    </row>
    <row r="2887" s="1" customFormat="1" spans="1:21">
      <c r="A2887" s="1" t="str">
        <f>"4601992054301"</f>
        <v>4601992054301</v>
      </c>
      <c r="B2887" s="1" t="s">
        <v>2910</v>
      </c>
      <c r="C2887" s="1" t="s">
        <v>24</v>
      </c>
      <c r="D2887" s="1" t="str">
        <f t="shared" si="5819"/>
        <v>2021</v>
      </c>
      <c r="E2887" s="1" t="str">
        <f t="shared" ref="E2887:E2892" si="5830">"12.09"</f>
        <v>12.09</v>
      </c>
      <c r="F2887" s="1" t="str">
        <f t="shared" ref="F2887:I2887" si="5831">"0"</f>
        <v>0</v>
      </c>
      <c r="G2887" s="1" t="str">
        <f t="shared" si="5831"/>
        <v>0</v>
      </c>
      <c r="H2887" s="1" t="str">
        <f t="shared" si="5831"/>
        <v>0</v>
      </c>
      <c r="I2887" s="1" t="str">
        <f t="shared" si="5831"/>
        <v>0</v>
      </c>
      <c r="J2887" s="1" t="str">
        <f t="shared" ref="J2887:J2892" si="5832">"1"</f>
        <v>1</v>
      </c>
      <c r="K2887" s="1" t="str">
        <f t="shared" ref="K2887:P2887" si="5833">"0"</f>
        <v>0</v>
      </c>
      <c r="L2887" s="1" t="str">
        <f t="shared" si="5833"/>
        <v>0</v>
      </c>
      <c r="M2887" s="1" t="str">
        <f t="shared" si="5833"/>
        <v>0</v>
      </c>
      <c r="N2887" s="1" t="str">
        <f t="shared" si="5833"/>
        <v>0</v>
      </c>
      <c r="O2887" s="1" t="str">
        <f t="shared" si="5833"/>
        <v>0</v>
      </c>
      <c r="P2887" s="1" t="str">
        <f t="shared" si="5833"/>
        <v>0</v>
      </c>
      <c r="Q2887" s="1" t="str">
        <f t="shared" si="5821"/>
        <v>0.0070</v>
      </c>
      <c r="R2887" s="1" t="s">
        <v>25</v>
      </c>
      <c r="T2887" s="1" t="str">
        <f t="shared" si="5822"/>
        <v>0</v>
      </c>
      <c r="U2887" s="1" t="str">
        <f t="shared" ref="U2887:U2892" si="5834">"0.0070"</f>
        <v>0.0070</v>
      </c>
    </row>
    <row r="2888" s="1" customFormat="1" spans="1:21">
      <c r="A2888" s="1" t="str">
        <f>"4601992054297"</f>
        <v>4601992054297</v>
      </c>
      <c r="B2888" s="1" t="s">
        <v>2911</v>
      </c>
      <c r="C2888" s="1" t="s">
        <v>24</v>
      </c>
      <c r="D2888" s="1" t="str">
        <f t="shared" si="5819"/>
        <v>2021</v>
      </c>
      <c r="E2888" s="1" t="str">
        <f>"36.27"</f>
        <v>36.27</v>
      </c>
      <c r="F2888" s="1" t="str">
        <f t="shared" ref="F2888:I2888" si="5835">"0"</f>
        <v>0</v>
      </c>
      <c r="G2888" s="1" t="str">
        <f t="shared" si="5835"/>
        <v>0</v>
      </c>
      <c r="H2888" s="1" t="str">
        <f t="shared" si="5835"/>
        <v>0</v>
      </c>
      <c r="I2888" s="1" t="str">
        <f t="shared" si="5835"/>
        <v>0</v>
      </c>
      <c r="J2888" s="1" t="str">
        <f>"4"</f>
        <v>4</v>
      </c>
      <c r="K2888" s="1" t="str">
        <f t="shared" ref="K2888:P2888" si="5836">"0"</f>
        <v>0</v>
      </c>
      <c r="L2888" s="1" t="str">
        <f t="shared" si="5836"/>
        <v>0</v>
      </c>
      <c r="M2888" s="1" t="str">
        <f t="shared" si="5836"/>
        <v>0</v>
      </c>
      <c r="N2888" s="1" t="str">
        <f t="shared" si="5836"/>
        <v>0</v>
      </c>
      <c r="O2888" s="1" t="str">
        <f t="shared" si="5836"/>
        <v>0</v>
      </c>
      <c r="P2888" s="1" t="str">
        <f t="shared" si="5836"/>
        <v>0</v>
      </c>
      <c r="Q2888" s="1" t="str">
        <f t="shared" si="5821"/>
        <v>0.0070</v>
      </c>
      <c r="R2888" s="1" t="s">
        <v>29</v>
      </c>
      <c r="S2888" s="1">
        <v>-0.0014</v>
      </c>
      <c r="T2888" s="1" t="str">
        <f t="shared" si="5822"/>
        <v>0</v>
      </c>
      <c r="U2888" s="1" t="str">
        <f t="shared" ref="U2888:U2891" si="5837">"0.0056"</f>
        <v>0.0056</v>
      </c>
    </row>
    <row r="2889" s="1" customFormat="1" spans="1:21">
      <c r="A2889" s="1" t="str">
        <f>"4601992054349"</f>
        <v>4601992054349</v>
      </c>
      <c r="B2889" s="1" t="s">
        <v>2912</v>
      </c>
      <c r="C2889" s="1" t="s">
        <v>24</v>
      </c>
      <c r="D2889" s="1" t="str">
        <f t="shared" si="5819"/>
        <v>2021</v>
      </c>
      <c r="E2889" s="1" t="str">
        <f t="shared" ref="E2889:P2889" si="5838">"0"</f>
        <v>0</v>
      </c>
      <c r="F2889" s="1" t="str">
        <f t="shared" si="5838"/>
        <v>0</v>
      </c>
      <c r="G2889" s="1" t="str">
        <f t="shared" si="5838"/>
        <v>0</v>
      </c>
      <c r="H2889" s="1" t="str">
        <f t="shared" si="5838"/>
        <v>0</v>
      </c>
      <c r="I2889" s="1" t="str">
        <f t="shared" si="5838"/>
        <v>0</v>
      </c>
      <c r="J2889" s="1" t="str">
        <f t="shared" si="5838"/>
        <v>0</v>
      </c>
      <c r="K2889" s="1" t="str">
        <f t="shared" si="5838"/>
        <v>0</v>
      </c>
      <c r="L2889" s="1" t="str">
        <f t="shared" si="5838"/>
        <v>0</v>
      </c>
      <c r="M2889" s="1" t="str">
        <f t="shared" si="5838"/>
        <v>0</v>
      </c>
      <c r="N2889" s="1" t="str">
        <f t="shared" si="5838"/>
        <v>0</v>
      </c>
      <c r="O2889" s="1" t="str">
        <f t="shared" si="5838"/>
        <v>0</v>
      </c>
      <c r="P2889" s="1" t="str">
        <f t="shared" si="5838"/>
        <v>0</v>
      </c>
      <c r="Q2889" s="1" t="str">
        <f t="shared" si="5821"/>
        <v>0.0070</v>
      </c>
      <c r="R2889" s="1" t="s">
        <v>25</v>
      </c>
      <c r="T2889" s="1" t="str">
        <f t="shared" si="5822"/>
        <v>0</v>
      </c>
      <c r="U2889" s="1" t="str">
        <f t="shared" si="5834"/>
        <v>0.0070</v>
      </c>
    </row>
    <row r="2890" s="1" customFormat="1" spans="1:21">
      <c r="A2890" s="1" t="str">
        <f>"4601992054362"</f>
        <v>4601992054362</v>
      </c>
      <c r="B2890" s="1" t="s">
        <v>2913</v>
      </c>
      <c r="C2890" s="1" t="s">
        <v>24</v>
      </c>
      <c r="D2890" s="1" t="str">
        <f t="shared" si="5819"/>
        <v>2021</v>
      </c>
      <c r="E2890" s="1" t="str">
        <f>"12.25"</f>
        <v>12.25</v>
      </c>
      <c r="F2890" s="1" t="str">
        <f t="shared" ref="F2890:I2890" si="5839">"0"</f>
        <v>0</v>
      </c>
      <c r="G2890" s="1" t="str">
        <f t="shared" si="5839"/>
        <v>0</v>
      </c>
      <c r="H2890" s="1" t="str">
        <f t="shared" si="5839"/>
        <v>0</v>
      </c>
      <c r="I2890" s="1" t="str">
        <f t="shared" si="5839"/>
        <v>0</v>
      </c>
      <c r="J2890" s="1" t="str">
        <f t="shared" si="5832"/>
        <v>1</v>
      </c>
      <c r="K2890" s="1" t="str">
        <f t="shared" ref="K2890:P2890" si="5840">"0"</f>
        <v>0</v>
      </c>
      <c r="L2890" s="1" t="str">
        <f t="shared" si="5840"/>
        <v>0</v>
      </c>
      <c r="M2890" s="1" t="str">
        <f t="shared" si="5840"/>
        <v>0</v>
      </c>
      <c r="N2890" s="1" t="str">
        <f t="shared" si="5840"/>
        <v>0</v>
      </c>
      <c r="O2890" s="1" t="str">
        <f t="shared" si="5840"/>
        <v>0</v>
      </c>
      <c r="P2890" s="1" t="str">
        <f t="shared" si="5840"/>
        <v>0</v>
      </c>
      <c r="Q2890" s="1" t="str">
        <f t="shared" si="5821"/>
        <v>0.0070</v>
      </c>
      <c r="R2890" s="1" t="s">
        <v>29</v>
      </c>
      <c r="S2890" s="1">
        <v>-0.0014</v>
      </c>
      <c r="T2890" s="1" t="str">
        <f t="shared" si="5822"/>
        <v>0</v>
      </c>
      <c r="U2890" s="1" t="str">
        <f t="shared" si="5837"/>
        <v>0.0056</v>
      </c>
    </row>
    <row r="2891" s="1" customFormat="1" spans="1:21">
      <c r="A2891" s="1" t="str">
        <f>"4601992054318"</f>
        <v>4601992054318</v>
      </c>
      <c r="B2891" s="1" t="s">
        <v>2914</v>
      </c>
      <c r="C2891" s="1" t="s">
        <v>24</v>
      </c>
      <c r="D2891" s="1" t="str">
        <f t="shared" si="5819"/>
        <v>2021</v>
      </c>
      <c r="E2891" s="1" t="str">
        <f t="shared" si="5830"/>
        <v>12.09</v>
      </c>
      <c r="F2891" s="1" t="str">
        <f t="shared" ref="F2891:I2891" si="5841">"0"</f>
        <v>0</v>
      </c>
      <c r="G2891" s="1" t="str">
        <f t="shared" si="5841"/>
        <v>0</v>
      </c>
      <c r="H2891" s="1" t="str">
        <f t="shared" si="5841"/>
        <v>0</v>
      </c>
      <c r="I2891" s="1" t="str">
        <f t="shared" si="5841"/>
        <v>0</v>
      </c>
      <c r="J2891" s="1" t="str">
        <f t="shared" si="5832"/>
        <v>1</v>
      </c>
      <c r="K2891" s="1" t="str">
        <f t="shared" ref="K2891:P2891" si="5842">"0"</f>
        <v>0</v>
      </c>
      <c r="L2891" s="1" t="str">
        <f t="shared" si="5842"/>
        <v>0</v>
      </c>
      <c r="M2891" s="1" t="str">
        <f t="shared" si="5842"/>
        <v>0</v>
      </c>
      <c r="N2891" s="1" t="str">
        <f t="shared" si="5842"/>
        <v>0</v>
      </c>
      <c r="O2891" s="1" t="str">
        <f t="shared" si="5842"/>
        <v>0</v>
      </c>
      <c r="P2891" s="1" t="str">
        <f t="shared" si="5842"/>
        <v>0</v>
      </c>
      <c r="Q2891" s="1" t="str">
        <f t="shared" si="5821"/>
        <v>0.0070</v>
      </c>
      <c r="R2891" s="1" t="s">
        <v>29</v>
      </c>
      <c r="S2891" s="1">
        <v>-0.0014</v>
      </c>
      <c r="T2891" s="1" t="str">
        <f t="shared" si="5822"/>
        <v>0</v>
      </c>
      <c r="U2891" s="1" t="str">
        <f t="shared" si="5837"/>
        <v>0.0056</v>
      </c>
    </row>
    <row r="2892" s="1" customFormat="1" spans="1:21">
      <c r="A2892" s="1" t="str">
        <f>"4601992054432"</f>
        <v>4601992054432</v>
      </c>
      <c r="B2892" s="1" t="s">
        <v>2915</v>
      </c>
      <c r="C2892" s="1" t="s">
        <v>24</v>
      </c>
      <c r="D2892" s="1" t="str">
        <f t="shared" si="5819"/>
        <v>2021</v>
      </c>
      <c r="E2892" s="1" t="str">
        <f t="shared" si="5830"/>
        <v>12.09</v>
      </c>
      <c r="F2892" s="1" t="str">
        <f t="shared" ref="F2892:I2892" si="5843">"0"</f>
        <v>0</v>
      </c>
      <c r="G2892" s="1" t="str">
        <f t="shared" si="5843"/>
        <v>0</v>
      </c>
      <c r="H2892" s="1" t="str">
        <f t="shared" si="5843"/>
        <v>0</v>
      </c>
      <c r="I2892" s="1" t="str">
        <f t="shared" si="5843"/>
        <v>0</v>
      </c>
      <c r="J2892" s="1" t="str">
        <f t="shared" si="5832"/>
        <v>1</v>
      </c>
      <c r="K2892" s="1" t="str">
        <f t="shared" ref="K2892:P2892" si="5844">"0"</f>
        <v>0</v>
      </c>
      <c r="L2892" s="1" t="str">
        <f t="shared" si="5844"/>
        <v>0</v>
      </c>
      <c r="M2892" s="1" t="str">
        <f t="shared" si="5844"/>
        <v>0</v>
      </c>
      <c r="N2892" s="1" t="str">
        <f t="shared" si="5844"/>
        <v>0</v>
      </c>
      <c r="O2892" s="1" t="str">
        <f t="shared" si="5844"/>
        <v>0</v>
      </c>
      <c r="P2892" s="1" t="str">
        <f t="shared" si="5844"/>
        <v>0</v>
      </c>
      <c r="Q2892" s="1" t="str">
        <f t="shared" si="5821"/>
        <v>0.0070</v>
      </c>
      <c r="R2892" s="1" t="s">
        <v>25</v>
      </c>
      <c r="T2892" s="1" t="str">
        <f t="shared" si="5822"/>
        <v>0</v>
      </c>
      <c r="U2892" s="1" t="str">
        <f t="shared" si="5834"/>
        <v>0.0070</v>
      </c>
    </row>
    <row r="2893" s="1" customFormat="1" spans="1:21">
      <c r="A2893" s="1" t="str">
        <f>"4601992054359"</f>
        <v>4601992054359</v>
      </c>
      <c r="B2893" s="1" t="s">
        <v>2916</v>
      </c>
      <c r="C2893" s="1" t="s">
        <v>24</v>
      </c>
      <c r="D2893" s="1" t="str">
        <f t="shared" si="5819"/>
        <v>2021</v>
      </c>
      <c r="E2893" s="1" t="str">
        <f>"132.95"</f>
        <v>132.95</v>
      </c>
      <c r="F2893" s="1" t="str">
        <f t="shared" ref="F2893:I2893" si="5845">"0"</f>
        <v>0</v>
      </c>
      <c r="G2893" s="1" t="str">
        <f t="shared" si="5845"/>
        <v>0</v>
      </c>
      <c r="H2893" s="1" t="str">
        <f t="shared" si="5845"/>
        <v>0</v>
      </c>
      <c r="I2893" s="1" t="str">
        <f t="shared" si="5845"/>
        <v>0</v>
      </c>
      <c r="J2893" s="1" t="str">
        <f>"17"</f>
        <v>17</v>
      </c>
      <c r="K2893" s="1" t="str">
        <f t="shared" ref="K2893:P2893" si="5846">"0"</f>
        <v>0</v>
      </c>
      <c r="L2893" s="1" t="str">
        <f t="shared" si="5846"/>
        <v>0</v>
      </c>
      <c r="M2893" s="1" t="str">
        <f t="shared" si="5846"/>
        <v>0</v>
      </c>
      <c r="N2893" s="1" t="str">
        <f t="shared" si="5846"/>
        <v>0</v>
      </c>
      <c r="O2893" s="1" t="str">
        <f t="shared" si="5846"/>
        <v>0</v>
      </c>
      <c r="P2893" s="1" t="str">
        <f t="shared" si="5846"/>
        <v>0</v>
      </c>
      <c r="Q2893" s="1" t="str">
        <f t="shared" si="5821"/>
        <v>0.0070</v>
      </c>
      <c r="R2893" s="1" t="s">
        <v>29</v>
      </c>
      <c r="S2893" s="1">
        <v>-0.0014</v>
      </c>
      <c r="T2893" s="1" t="str">
        <f t="shared" si="5822"/>
        <v>0</v>
      </c>
      <c r="U2893" s="1" t="str">
        <f t="shared" ref="U2893:U2895" si="5847">"0.0056"</f>
        <v>0.0056</v>
      </c>
    </row>
    <row r="2894" s="1" customFormat="1" spans="1:21">
      <c r="A2894" s="1" t="str">
        <f>"4601992054379"</f>
        <v>4601992054379</v>
      </c>
      <c r="B2894" s="1" t="s">
        <v>2917</v>
      </c>
      <c r="C2894" s="1" t="s">
        <v>24</v>
      </c>
      <c r="D2894" s="1" t="str">
        <f t="shared" si="5819"/>
        <v>2021</v>
      </c>
      <c r="E2894" s="1" t="str">
        <f>"36.48"</f>
        <v>36.48</v>
      </c>
      <c r="F2894" s="1" t="str">
        <f t="shared" ref="F2894:I2894" si="5848">"0"</f>
        <v>0</v>
      </c>
      <c r="G2894" s="1" t="str">
        <f t="shared" si="5848"/>
        <v>0</v>
      </c>
      <c r="H2894" s="1" t="str">
        <f t="shared" si="5848"/>
        <v>0</v>
      </c>
      <c r="I2894" s="1" t="str">
        <f t="shared" si="5848"/>
        <v>0</v>
      </c>
      <c r="J2894" s="1" t="str">
        <f>"3"</f>
        <v>3</v>
      </c>
      <c r="K2894" s="1" t="str">
        <f t="shared" ref="K2894:P2894" si="5849">"0"</f>
        <v>0</v>
      </c>
      <c r="L2894" s="1" t="str">
        <f t="shared" si="5849"/>
        <v>0</v>
      </c>
      <c r="M2894" s="1" t="str">
        <f t="shared" si="5849"/>
        <v>0</v>
      </c>
      <c r="N2894" s="1" t="str">
        <f t="shared" si="5849"/>
        <v>0</v>
      </c>
      <c r="O2894" s="1" t="str">
        <f t="shared" si="5849"/>
        <v>0</v>
      </c>
      <c r="P2894" s="1" t="str">
        <f t="shared" si="5849"/>
        <v>0</v>
      </c>
      <c r="Q2894" s="1" t="str">
        <f t="shared" si="5821"/>
        <v>0.0070</v>
      </c>
      <c r="R2894" s="1" t="s">
        <v>29</v>
      </c>
      <c r="S2894" s="1">
        <v>-0.0014</v>
      </c>
      <c r="T2894" s="1" t="str">
        <f t="shared" si="5822"/>
        <v>0</v>
      </c>
      <c r="U2894" s="1" t="str">
        <f t="shared" si="5847"/>
        <v>0.0056</v>
      </c>
    </row>
    <row r="2895" s="1" customFormat="1" spans="1:21">
      <c r="A2895" s="1" t="str">
        <f>"4601992054372"</f>
        <v>4601992054372</v>
      </c>
      <c r="B2895" s="1" t="s">
        <v>2918</v>
      </c>
      <c r="C2895" s="1" t="s">
        <v>24</v>
      </c>
      <c r="D2895" s="1" t="str">
        <f t="shared" si="5819"/>
        <v>2021</v>
      </c>
      <c r="E2895" s="1" t="str">
        <f>"26.25"</f>
        <v>26.25</v>
      </c>
      <c r="F2895" s="1" t="str">
        <f t="shared" ref="F2895:I2895" si="5850">"0"</f>
        <v>0</v>
      </c>
      <c r="G2895" s="1" t="str">
        <f t="shared" si="5850"/>
        <v>0</v>
      </c>
      <c r="H2895" s="1" t="str">
        <f t="shared" si="5850"/>
        <v>0</v>
      </c>
      <c r="I2895" s="1" t="str">
        <f t="shared" si="5850"/>
        <v>0</v>
      </c>
      <c r="J2895" s="1" t="str">
        <f t="shared" ref="J2895:J2899" si="5851">"2"</f>
        <v>2</v>
      </c>
      <c r="K2895" s="1" t="str">
        <f t="shared" ref="K2895:P2895" si="5852">"0"</f>
        <v>0</v>
      </c>
      <c r="L2895" s="1" t="str">
        <f t="shared" si="5852"/>
        <v>0</v>
      </c>
      <c r="M2895" s="1" t="str">
        <f t="shared" si="5852"/>
        <v>0</v>
      </c>
      <c r="N2895" s="1" t="str">
        <f t="shared" si="5852"/>
        <v>0</v>
      </c>
      <c r="O2895" s="1" t="str">
        <f t="shared" si="5852"/>
        <v>0</v>
      </c>
      <c r="P2895" s="1" t="str">
        <f t="shared" si="5852"/>
        <v>0</v>
      </c>
      <c r="Q2895" s="1" t="str">
        <f t="shared" si="5821"/>
        <v>0.0070</v>
      </c>
      <c r="R2895" s="1" t="s">
        <v>29</v>
      </c>
      <c r="S2895" s="1">
        <v>-0.0014</v>
      </c>
      <c r="T2895" s="1" t="str">
        <f t="shared" si="5822"/>
        <v>0</v>
      </c>
      <c r="U2895" s="1" t="str">
        <f t="shared" si="5847"/>
        <v>0.0056</v>
      </c>
    </row>
    <row r="2896" s="1" customFormat="1" spans="1:21">
      <c r="A2896" s="1" t="str">
        <f>"4601992054471"</f>
        <v>4601992054471</v>
      </c>
      <c r="B2896" s="1" t="s">
        <v>2919</v>
      </c>
      <c r="C2896" s="1" t="s">
        <v>24</v>
      </c>
      <c r="D2896" s="1" t="str">
        <f t="shared" si="5819"/>
        <v>2021</v>
      </c>
      <c r="E2896" s="1" t="str">
        <f>"36.27"</f>
        <v>36.27</v>
      </c>
      <c r="F2896" s="1" t="str">
        <f t="shared" ref="F2896:I2896" si="5853">"0"</f>
        <v>0</v>
      </c>
      <c r="G2896" s="1" t="str">
        <f t="shared" si="5853"/>
        <v>0</v>
      </c>
      <c r="H2896" s="1" t="str">
        <f t="shared" si="5853"/>
        <v>0</v>
      </c>
      <c r="I2896" s="1" t="str">
        <f t="shared" si="5853"/>
        <v>0</v>
      </c>
      <c r="J2896" s="1" t="str">
        <f>"3"</f>
        <v>3</v>
      </c>
      <c r="K2896" s="1" t="str">
        <f t="shared" ref="K2896:P2896" si="5854">"0"</f>
        <v>0</v>
      </c>
      <c r="L2896" s="1" t="str">
        <f t="shared" si="5854"/>
        <v>0</v>
      </c>
      <c r="M2896" s="1" t="str">
        <f t="shared" si="5854"/>
        <v>0</v>
      </c>
      <c r="N2896" s="1" t="str">
        <f t="shared" si="5854"/>
        <v>0</v>
      </c>
      <c r="O2896" s="1" t="str">
        <f t="shared" si="5854"/>
        <v>0</v>
      </c>
      <c r="P2896" s="1" t="str">
        <f t="shared" si="5854"/>
        <v>0</v>
      </c>
      <c r="Q2896" s="1" t="str">
        <f t="shared" si="5821"/>
        <v>0.0070</v>
      </c>
      <c r="R2896" s="1" t="s">
        <v>25</v>
      </c>
      <c r="T2896" s="1" t="str">
        <f t="shared" si="5822"/>
        <v>0</v>
      </c>
      <c r="U2896" s="1" t="str">
        <f>"0.0070"</f>
        <v>0.0070</v>
      </c>
    </row>
    <row r="2897" s="1" customFormat="1" spans="1:21">
      <c r="A2897" s="1" t="str">
        <f>"4601992054466"</f>
        <v>4601992054466</v>
      </c>
      <c r="B2897" s="1" t="s">
        <v>2920</v>
      </c>
      <c r="C2897" s="1" t="s">
        <v>24</v>
      </c>
      <c r="D2897" s="1" t="str">
        <f t="shared" si="5819"/>
        <v>2021</v>
      </c>
      <c r="E2897" s="1" t="str">
        <f>"24.18"</f>
        <v>24.18</v>
      </c>
      <c r="F2897" s="1" t="str">
        <f t="shared" ref="F2897:I2897" si="5855">"0"</f>
        <v>0</v>
      </c>
      <c r="G2897" s="1" t="str">
        <f t="shared" si="5855"/>
        <v>0</v>
      </c>
      <c r="H2897" s="1" t="str">
        <f t="shared" si="5855"/>
        <v>0</v>
      </c>
      <c r="I2897" s="1" t="str">
        <f t="shared" si="5855"/>
        <v>0</v>
      </c>
      <c r="J2897" s="1" t="str">
        <f t="shared" si="5851"/>
        <v>2</v>
      </c>
      <c r="K2897" s="1" t="str">
        <f t="shared" ref="K2897:P2897" si="5856">"0"</f>
        <v>0</v>
      </c>
      <c r="L2897" s="1" t="str">
        <f t="shared" si="5856"/>
        <v>0</v>
      </c>
      <c r="M2897" s="1" t="str">
        <f t="shared" si="5856"/>
        <v>0</v>
      </c>
      <c r="N2897" s="1" t="str">
        <f t="shared" si="5856"/>
        <v>0</v>
      </c>
      <c r="O2897" s="1" t="str">
        <f t="shared" si="5856"/>
        <v>0</v>
      </c>
      <c r="P2897" s="1" t="str">
        <f t="shared" si="5856"/>
        <v>0</v>
      </c>
      <c r="Q2897" s="1" t="str">
        <f t="shared" si="5821"/>
        <v>0.0070</v>
      </c>
      <c r="R2897" s="1" t="s">
        <v>29</v>
      </c>
      <c r="S2897" s="1">
        <v>-0.0014</v>
      </c>
      <c r="T2897" s="1" t="str">
        <f t="shared" si="5822"/>
        <v>0</v>
      </c>
      <c r="U2897" s="1" t="str">
        <f t="shared" ref="U2897:U2901" si="5857">"0.0056"</f>
        <v>0.0056</v>
      </c>
    </row>
    <row r="2898" s="1" customFormat="1" spans="1:21">
      <c r="A2898" s="1" t="str">
        <f>"4601992054500"</f>
        <v>4601992054500</v>
      </c>
      <c r="B2898" s="1" t="s">
        <v>2921</v>
      </c>
      <c r="C2898" s="1" t="s">
        <v>24</v>
      </c>
      <c r="D2898" s="1" t="str">
        <f t="shared" si="5819"/>
        <v>2021</v>
      </c>
      <c r="E2898" s="1" t="str">
        <f>"24.18"</f>
        <v>24.18</v>
      </c>
      <c r="F2898" s="1" t="str">
        <f t="shared" ref="F2898:I2898" si="5858">"0"</f>
        <v>0</v>
      </c>
      <c r="G2898" s="1" t="str">
        <f t="shared" si="5858"/>
        <v>0</v>
      </c>
      <c r="H2898" s="1" t="str">
        <f t="shared" si="5858"/>
        <v>0</v>
      </c>
      <c r="I2898" s="1" t="str">
        <f t="shared" si="5858"/>
        <v>0</v>
      </c>
      <c r="J2898" s="1" t="str">
        <f t="shared" si="5851"/>
        <v>2</v>
      </c>
      <c r="K2898" s="1" t="str">
        <f t="shared" ref="K2898:P2898" si="5859">"0"</f>
        <v>0</v>
      </c>
      <c r="L2898" s="1" t="str">
        <f t="shared" si="5859"/>
        <v>0</v>
      </c>
      <c r="M2898" s="1" t="str">
        <f t="shared" si="5859"/>
        <v>0</v>
      </c>
      <c r="N2898" s="1" t="str">
        <f t="shared" si="5859"/>
        <v>0</v>
      </c>
      <c r="O2898" s="1" t="str">
        <f t="shared" si="5859"/>
        <v>0</v>
      </c>
      <c r="P2898" s="1" t="str">
        <f t="shared" si="5859"/>
        <v>0</v>
      </c>
      <c r="Q2898" s="1" t="str">
        <f t="shared" si="5821"/>
        <v>0.0070</v>
      </c>
      <c r="R2898" s="1" t="s">
        <v>29</v>
      </c>
      <c r="S2898" s="1">
        <v>-0.0014</v>
      </c>
      <c r="T2898" s="1" t="str">
        <f t="shared" si="5822"/>
        <v>0</v>
      </c>
      <c r="U2898" s="1" t="str">
        <f t="shared" si="5857"/>
        <v>0.0056</v>
      </c>
    </row>
    <row r="2899" s="1" customFormat="1" spans="1:21">
      <c r="A2899" s="1" t="str">
        <f>"4601992054504"</f>
        <v>4601992054504</v>
      </c>
      <c r="B2899" s="1" t="s">
        <v>2922</v>
      </c>
      <c r="C2899" s="1" t="s">
        <v>24</v>
      </c>
      <c r="D2899" s="1" t="str">
        <f t="shared" si="5819"/>
        <v>2021</v>
      </c>
      <c r="E2899" s="1" t="str">
        <f>"24.07"</f>
        <v>24.07</v>
      </c>
      <c r="F2899" s="1" t="str">
        <f t="shared" ref="F2899:I2899" si="5860">"0"</f>
        <v>0</v>
      </c>
      <c r="G2899" s="1" t="str">
        <f t="shared" si="5860"/>
        <v>0</v>
      </c>
      <c r="H2899" s="1" t="str">
        <f t="shared" si="5860"/>
        <v>0</v>
      </c>
      <c r="I2899" s="1" t="str">
        <f t="shared" si="5860"/>
        <v>0</v>
      </c>
      <c r="J2899" s="1" t="str">
        <f t="shared" si="5851"/>
        <v>2</v>
      </c>
      <c r="K2899" s="1" t="str">
        <f t="shared" ref="K2899:P2899" si="5861">"0"</f>
        <v>0</v>
      </c>
      <c r="L2899" s="1" t="str">
        <f t="shared" si="5861"/>
        <v>0</v>
      </c>
      <c r="M2899" s="1" t="str">
        <f t="shared" si="5861"/>
        <v>0</v>
      </c>
      <c r="N2899" s="1" t="str">
        <f t="shared" si="5861"/>
        <v>0</v>
      </c>
      <c r="O2899" s="1" t="str">
        <f t="shared" si="5861"/>
        <v>0</v>
      </c>
      <c r="P2899" s="1" t="str">
        <f t="shared" si="5861"/>
        <v>0</v>
      </c>
      <c r="Q2899" s="1" t="str">
        <f t="shared" si="5821"/>
        <v>0.0070</v>
      </c>
      <c r="R2899" s="1" t="s">
        <v>29</v>
      </c>
      <c r="S2899" s="1">
        <v>-0.0014</v>
      </c>
      <c r="T2899" s="1" t="str">
        <f t="shared" si="5822"/>
        <v>0</v>
      </c>
      <c r="U2899" s="1" t="str">
        <f t="shared" si="5857"/>
        <v>0.0056</v>
      </c>
    </row>
    <row r="2900" s="1" customFormat="1" spans="1:21">
      <c r="A2900" s="1" t="str">
        <f>"4601992054517"</f>
        <v>4601992054517</v>
      </c>
      <c r="B2900" s="1" t="s">
        <v>2923</v>
      </c>
      <c r="C2900" s="1" t="s">
        <v>24</v>
      </c>
      <c r="D2900" s="1" t="str">
        <f t="shared" si="5819"/>
        <v>2021</v>
      </c>
      <c r="E2900" s="1" t="str">
        <f>"11.98"</f>
        <v>11.98</v>
      </c>
      <c r="F2900" s="1" t="str">
        <f t="shared" ref="F2900:I2900" si="5862">"0"</f>
        <v>0</v>
      </c>
      <c r="G2900" s="1" t="str">
        <f t="shared" si="5862"/>
        <v>0</v>
      </c>
      <c r="H2900" s="1" t="str">
        <f t="shared" si="5862"/>
        <v>0</v>
      </c>
      <c r="I2900" s="1" t="str">
        <f t="shared" si="5862"/>
        <v>0</v>
      </c>
      <c r="J2900" s="1" t="str">
        <f t="shared" ref="J2900:J2904" si="5863">"1"</f>
        <v>1</v>
      </c>
      <c r="K2900" s="1" t="str">
        <f t="shared" ref="K2900:P2900" si="5864">"0"</f>
        <v>0</v>
      </c>
      <c r="L2900" s="1" t="str">
        <f t="shared" si="5864"/>
        <v>0</v>
      </c>
      <c r="M2900" s="1" t="str">
        <f t="shared" si="5864"/>
        <v>0</v>
      </c>
      <c r="N2900" s="1" t="str">
        <f t="shared" si="5864"/>
        <v>0</v>
      </c>
      <c r="O2900" s="1" t="str">
        <f t="shared" si="5864"/>
        <v>0</v>
      </c>
      <c r="P2900" s="1" t="str">
        <f t="shared" si="5864"/>
        <v>0</v>
      </c>
      <c r="Q2900" s="1" t="str">
        <f t="shared" si="5821"/>
        <v>0.0070</v>
      </c>
      <c r="R2900" s="1" t="s">
        <v>29</v>
      </c>
      <c r="S2900" s="1">
        <v>-0.0014</v>
      </c>
      <c r="T2900" s="1" t="str">
        <f t="shared" si="5822"/>
        <v>0</v>
      </c>
      <c r="U2900" s="1" t="str">
        <f t="shared" si="5857"/>
        <v>0.0056</v>
      </c>
    </row>
    <row r="2901" s="1" customFormat="1" spans="1:21">
      <c r="A2901" s="1" t="str">
        <f>"4601992054501"</f>
        <v>4601992054501</v>
      </c>
      <c r="B2901" s="1" t="s">
        <v>2924</v>
      </c>
      <c r="C2901" s="1" t="s">
        <v>24</v>
      </c>
      <c r="D2901" s="1" t="str">
        <f t="shared" si="5819"/>
        <v>2021</v>
      </c>
      <c r="E2901" s="1" t="str">
        <f>"12.09"</f>
        <v>12.09</v>
      </c>
      <c r="F2901" s="1" t="str">
        <f t="shared" ref="F2901:I2901" si="5865">"0"</f>
        <v>0</v>
      </c>
      <c r="G2901" s="1" t="str">
        <f t="shared" si="5865"/>
        <v>0</v>
      </c>
      <c r="H2901" s="1" t="str">
        <f t="shared" si="5865"/>
        <v>0</v>
      </c>
      <c r="I2901" s="1" t="str">
        <f t="shared" si="5865"/>
        <v>0</v>
      </c>
      <c r="J2901" s="1" t="str">
        <f t="shared" si="5863"/>
        <v>1</v>
      </c>
      <c r="K2901" s="1" t="str">
        <f t="shared" ref="K2901:P2901" si="5866">"0"</f>
        <v>0</v>
      </c>
      <c r="L2901" s="1" t="str">
        <f t="shared" si="5866"/>
        <v>0</v>
      </c>
      <c r="M2901" s="1" t="str">
        <f t="shared" si="5866"/>
        <v>0</v>
      </c>
      <c r="N2901" s="1" t="str">
        <f t="shared" si="5866"/>
        <v>0</v>
      </c>
      <c r="O2901" s="1" t="str">
        <f t="shared" si="5866"/>
        <v>0</v>
      </c>
      <c r="P2901" s="1" t="str">
        <f t="shared" si="5866"/>
        <v>0</v>
      </c>
      <c r="Q2901" s="1" t="str">
        <f t="shared" si="5821"/>
        <v>0.0070</v>
      </c>
      <c r="R2901" s="1" t="s">
        <v>29</v>
      </c>
      <c r="S2901" s="1">
        <v>-0.0014</v>
      </c>
      <c r="T2901" s="1" t="str">
        <f t="shared" si="5822"/>
        <v>0</v>
      </c>
      <c r="U2901" s="1" t="str">
        <f t="shared" si="5857"/>
        <v>0.0056</v>
      </c>
    </row>
    <row r="2902" s="1" customFormat="1" spans="1:21">
      <c r="A2902" s="1" t="str">
        <f>"4601992054546"</f>
        <v>4601992054546</v>
      </c>
      <c r="B2902" s="1" t="s">
        <v>2925</v>
      </c>
      <c r="C2902" s="1" t="s">
        <v>24</v>
      </c>
      <c r="D2902" s="1" t="str">
        <f t="shared" si="5819"/>
        <v>2021</v>
      </c>
      <c r="E2902" s="1" t="str">
        <f t="shared" ref="E2902:P2902" si="5867">"0"</f>
        <v>0</v>
      </c>
      <c r="F2902" s="1" t="str">
        <f t="shared" si="5867"/>
        <v>0</v>
      </c>
      <c r="G2902" s="1" t="str">
        <f t="shared" si="5867"/>
        <v>0</v>
      </c>
      <c r="H2902" s="1" t="str">
        <f t="shared" si="5867"/>
        <v>0</v>
      </c>
      <c r="I2902" s="1" t="str">
        <f t="shared" si="5867"/>
        <v>0</v>
      </c>
      <c r="J2902" s="1" t="str">
        <f t="shared" si="5867"/>
        <v>0</v>
      </c>
      <c r="K2902" s="1" t="str">
        <f t="shared" si="5867"/>
        <v>0</v>
      </c>
      <c r="L2902" s="1" t="str">
        <f t="shared" si="5867"/>
        <v>0</v>
      </c>
      <c r="M2902" s="1" t="str">
        <f t="shared" si="5867"/>
        <v>0</v>
      </c>
      <c r="N2902" s="1" t="str">
        <f t="shared" si="5867"/>
        <v>0</v>
      </c>
      <c r="O2902" s="1" t="str">
        <f t="shared" si="5867"/>
        <v>0</v>
      </c>
      <c r="P2902" s="1" t="str">
        <f t="shared" si="5867"/>
        <v>0</v>
      </c>
      <c r="Q2902" s="1" t="str">
        <f t="shared" si="5821"/>
        <v>0.0070</v>
      </c>
      <c r="R2902" s="1" t="s">
        <v>25</v>
      </c>
      <c r="T2902" s="1" t="str">
        <f t="shared" si="5822"/>
        <v>0</v>
      </c>
      <c r="U2902" s="1" t="str">
        <f>"0.0070"</f>
        <v>0.0070</v>
      </c>
    </row>
    <row r="2903" s="1" customFormat="1" spans="1:21">
      <c r="A2903" s="1" t="str">
        <f>"4601992054538"</f>
        <v>4601992054538</v>
      </c>
      <c r="B2903" s="1" t="s">
        <v>2926</v>
      </c>
      <c r="C2903" s="1" t="s">
        <v>24</v>
      </c>
      <c r="D2903" s="1" t="str">
        <f t="shared" si="5819"/>
        <v>2021</v>
      </c>
      <c r="E2903" s="1" t="str">
        <f>"24.07"</f>
        <v>24.07</v>
      </c>
      <c r="F2903" s="1" t="str">
        <f t="shared" ref="F2903:I2903" si="5868">"0"</f>
        <v>0</v>
      </c>
      <c r="G2903" s="1" t="str">
        <f t="shared" si="5868"/>
        <v>0</v>
      </c>
      <c r="H2903" s="1" t="str">
        <f t="shared" si="5868"/>
        <v>0</v>
      </c>
      <c r="I2903" s="1" t="str">
        <f t="shared" si="5868"/>
        <v>0</v>
      </c>
      <c r="J2903" s="1" t="str">
        <f>"2"</f>
        <v>2</v>
      </c>
      <c r="K2903" s="1" t="str">
        <f t="shared" ref="K2903:P2903" si="5869">"0"</f>
        <v>0</v>
      </c>
      <c r="L2903" s="1" t="str">
        <f t="shared" si="5869"/>
        <v>0</v>
      </c>
      <c r="M2903" s="1" t="str">
        <f t="shared" si="5869"/>
        <v>0</v>
      </c>
      <c r="N2903" s="1" t="str">
        <f t="shared" si="5869"/>
        <v>0</v>
      </c>
      <c r="O2903" s="1" t="str">
        <f t="shared" si="5869"/>
        <v>0</v>
      </c>
      <c r="P2903" s="1" t="str">
        <f t="shared" si="5869"/>
        <v>0</v>
      </c>
      <c r="Q2903" s="1" t="str">
        <f t="shared" si="5821"/>
        <v>0.0070</v>
      </c>
      <c r="R2903" s="1" t="s">
        <v>29</v>
      </c>
      <c r="S2903" s="1">
        <v>-0.0014</v>
      </c>
      <c r="T2903" s="1" t="str">
        <f t="shared" si="5822"/>
        <v>0</v>
      </c>
      <c r="U2903" s="1" t="str">
        <f t="shared" ref="U2903:U2908" si="5870">"0.0056"</f>
        <v>0.0056</v>
      </c>
    </row>
    <row r="2904" s="1" customFormat="1" spans="1:21">
      <c r="A2904" s="1" t="str">
        <f>"4601992054592"</f>
        <v>4601992054592</v>
      </c>
      <c r="B2904" s="1" t="s">
        <v>2927</v>
      </c>
      <c r="C2904" s="1" t="s">
        <v>24</v>
      </c>
      <c r="D2904" s="1" t="str">
        <f t="shared" si="5819"/>
        <v>2021</v>
      </c>
      <c r="E2904" s="1" t="str">
        <f>"15.75"</f>
        <v>15.75</v>
      </c>
      <c r="F2904" s="1" t="str">
        <f t="shared" ref="F2904:I2904" si="5871">"0"</f>
        <v>0</v>
      </c>
      <c r="G2904" s="1" t="str">
        <f t="shared" si="5871"/>
        <v>0</v>
      </c>
      <c r="H2904" s="1" t="str">
        <f t="shared" si="5871"/>
        <v>0</v>
      </c>
      <c r="I2904" s="1" t="str">
        <f t="shared" si="5871"/>
        <v>0</v>
      </c>
      <c r="J2904" s="1" t="str">
        <f t="shared" si="5863"/>
        <v>1</v>
      </c>
      <c r="K2904" s="1" t="str">
        <f t="shared" ref="K2904:P2904" si="5872">"0"</f>
        <v>0</v>
      </c>
      <c r="L2904" s="1" t="str">
        <f t="shared" si="5872"/>
        <v>0</v>
      </c>
      <c r="M2904" s="1" t="str">
        <f t="shared" si="5872"/>
        <v>0</v>
      </c>
      <c r="N2904" s="1" t="str">
        <f t="shared" si="5872"/>
        <v>0</v>
      </c>
      <c r="O2904" s="1" t="str">
        <f t="shared" si="5872"/>
        <v>0</v>
      </c>
      <c r="P2904" s="1" t="str">
        <f t="shared" si="5872"/>
        <v>0</v>
      </c>
      <c r="Q2904" s="1" t="str">
        <f t="shared" si="5821"/>
        <v>0.0070</v>
      </c>
      <c r="R2904" s="1" t="s">
        <v>29</v>
      </c>
      <c r="S2904" s="1">
        <v>-0.0014</v>
      </c>
      <c r="T2904" s="1" t="str">
        <f t="shared" si="5822"/>
        <v>0</v>
      </c>
      <c r="U2904" s="1" t="str">
        <f t="shared" si="5870"/>
        <v>0.0056</v>
      </c>
    </row>
    <row r="2905" s="1" customFormat="1" spans="1:21">
      <c r="A2905" s="1" t="str">
        <f>"4601992054520"</f>
        <v>4601992054520</v>
      </c>
      <c r="B2905" s="1" t="s">
        <v>2928</v>
      </c>
      <c r="C2905" s="1" t="s">
        <v>24</v>
      </c>
      <c r="D2905" s="1" t="str">
        <f t="shared" si="5819"/>
        <v>2021</v>
      </c>
      <c r="E2905" s="1" t="str">
        <f>"24.18"</f>
        <v>24.18</v>
      </c>
      <c r="F2905" s="1" t="str">
        <f t="shared" ref="F2905:I2905" si="5873">"0"</f>
        <v>0</v>
      </c>
      <c r="G2905" s="1" t="str">
        <f t="shared" si="5873"/>
        <v>0</v>
      </c>
      <c r="H2905" s="1" t="str">
        <f t="shared" si="5873"/>
        <v>0</v>
      </c>
      <c r="I2905" s="1" t="str">
        <f t="shared" si="5873"/>
        <v>0</v>
      </c>
      <c r="J2905" s="1" t="str">
        <f>"2"</f>
        <v>2</v>
      </c>
      <c r="K2905" s="1" t="str">
        <f t="shared" ref="K2905:P2905" si="5874">"0"</f>
        <v>0</v>
      </c>
      <c r="L2905" s="1" t="str">
        <f t="shared" si="5874"/>
        <v>0</v>
      </c>
      <c r="M2905" s="1" t="str">
        <f t="shared" si="5874"/>
        <v>0</v>
      </c>
      <c r="N2905" s="1" t="str">
        <f t="shared" si="5874"/>
        <v>0</v>
      </c>
      <c r="O2905" s="1" t="str">
        <f t="shared" si="5874"/>
        <v>0</v>
      </c>
      <c r="P2905" s="1" t="str">
        <f t="shared" si="5874"/>
        <v>0</v>
      </c>
      <c r="Q2905" s="1" t="str">
        <f t="shared" si="5821"/>
        <v>0.0070</v>
      </c>
      <c r="R2905" s="1" t="s">
        <v>29</v>
      </c>
      <c r="S2905" s="1">
        <v>-0.0014</v>
      </c>
      <c r="T2905" s="1" t="str">
        <f t="shared" si="5822"/>
        <v>0</v>
      </c>
      <c r="U2905" s="1" t="str">
        <f t="shared" si="5870"/>
        <v>0.0056</v>
      </c>
    </row>
    <row r="2906" s="1" customFormat="1" spans="1:21">
      <c r="A2906" s="1" t="str">
        <f>"4601992054545"</f>
        <v>4601992054545</v>
      </c>
      <c r="B2906" s="1" t="s">
        <v>2929</v>
      </c>
      <c r="C2906" s="1" t="s">
        <v>24</v>
      </c>
      <c r="D2906" s="1" t="str">
        <f t="shared" si="5819"/>
        <v>2021</v>
      </c>
      <c r="E2906" s="1" t="str">
        <f>"120.90"</f>
        <v>120.90</v>
      </c>
      <c r="F2906" s="1" t="str">
        <f t="shared" ref="F2906:I2906" si="5875">"0"</f>
        <v>0</v>
      </c>
      <c r="G2906" s="1" t="str">
        <f t="shared" si="5875"/>
        <v>0</v>
      </c>
      <c r="H2906" s="1" t="str">
        <f t="shared" si="5875"/>
        <v>0</v>
      </c>
      <c r="I2906" s="1" t="str">
        <f t="shared" si="5875"/>
        <v>0</v>
      </c>
      <c r="J2906" s="1" t="str">
        <f>"12"</f>
        <v>12</v>
      </c>
      <c r="K2906" s="1" t="str">
        <f t="shared" ref="K2906:P2906" si="5876">"0"</f>
        <v>0</v>
      </c>
      <c r="L2906" s="1" t="str">
        <f t="shared" si="5876"/>
        <v>0</v>
      </c>
      <c r="M2906" s="1" t="str">
        <f t="shared" si="5876"/>
        <v>0</v>
      </c>
      <c r="N2906" s="1" t="str">
        <f t="shared" si="5876"/>
        <v>0</v>
      </c>
      <c r="O2906" s="1" t="str">
        <f t="shared" si="5876"/>
        <v>0</v>
      </c>
      <c r="P2906" s="1" t="str">
        <f t="shared" si="5876"/>
        <v>0</v>
      </c>
      <c r="Q2906" s="1" t="str">
        <f t="shared" si="5821"/>
        <v>0.0070</v>
      </c>
      <c r="R2906" s="1" t="s">
        <v>29</v>
      </c>
      <c r="S2906" s="1">
        <v>-0.0014</v>
      </c>
      <c r="T2906" s="1" t="str">
        <f t="shared" si="5822"/>
        <v>0</v>
      </c>
      <c r="U2906" s="1" t="str">
        <f t="shared" si="5870"/>
        <v>0.0056</v>
      </c>
    </row>
    <row r="2907" s="1" customFormat="1" spans="1:21">
      <c r="A2907" s="1" t="str">
        <f>"4601992054601"</f>
        <v>4601992054601</v>
      </c>
      <c r="B2907" s="1" t="s">
        <v>2930</v>
      </c>
      <c r="C2907" s="1" t="s">
        <v>24</v>
      </c>
      <c r="D2907" s="1" t="str">
        <f t="shared" si="5819"/>
        <v>2021</v>
      </c>
      <c r="E2907" s="1" t="str">
        <f>"112.91"</f>
        <v>112.91</v>
      </c>
      <c r="F2907" s="1" t="str">
        <f t="shared" ref="F2907:I2907" si="5877">"0"</f>
        <v>0</v>
      </c>
      <c r="G2907" s="1" t="str">
        <f t="shared" si="5877"/>
        <v>0</v>
      </c>
      <c r="H2907" s="1" t="str">
        <f t="shared" si="5877"/>
        <v>0</v>
      </c>
      <c r="I2907" s="1" t="str">
        <f t="shared" si="5877"/>
        <v>0</v>
      </c>
      <c r="J2907" s="1" t="str">
        <f>"4"</f>
        <v>4</v>
      </c>
      <c r="K2907" s="1" t="str">
        <f t="shared" ref="K2907:P2907" si="5878">"0"</f>
        <v>0</v>
      </c>
      <c r="L2907" s="1" t="str">
        <f t="shared" si="5878"/>
        <v>0</v>
      </c>
      <c r="M2907" s="1" t="str">
        <f t="shared" si="5878"/>
        <v>0</v>
      </c>
      <c r="N2907" s="1" t="str">
        <f t="shared" si="5878"/>
        <v>0</v>
      </c>
      <c r="O2907" s="1" t="str">
        <f t="shared" si="5878"/>
        <v>0</v>
      </c>
      <c r="P2907" s="1" t="str">
        <f t="shared" si="5878"/>
        <v>0</v>
      </c>
      <c r="Q2907" s="1" t="str">
        <f t="shared" si="5821"/>
        <v>0.0070</v>
      </c>
      <c r="R2907" s="1" t="s">
        <v>29</v>
      </c>
      <c r="S2907" s="1">
        <v>-0.0014</v>
      </c>
      <c r="T2907" s="1" t="str">
        <f t="shared" si="5822"/>
        <v>0</v>
      </c>
      <c r="U2907" s="1" t="str">
        <f t="shared" si="5870"/>
        <v>0.0056</v>
      </c>
    </row>
    <row r="2908" s="1" customFormat="1" spans="1:21">
      <c r="A2908" s="1" t="str">
        <f>"4601992054634"</f>
        <v>4601992054634</v>
      </c>
      <c r="B2908" s="1" t="s">
        <v>2931</v>
      </c>
      <c r="C2908" s="1" t="s">
        <v>24</v>
      </c>
      <c r="D2908" s="1" t="str">
        <f t="shared" si="5819"/>
        <v>2021</v>
      </c>
      <c r="E2908" s="1" t="str">
        <f>"107.82"</f>
        <v>107.82</v>
      </c>
      <c r="F2908" s="1" t="str">
        <f t="shared" ref="F2908:I2908" si="5879">"0"</f>
        <v>0</v>
      </c>
      <c r="G2908" s="1" t="str">
        <f t="shared" si="5879"/>
        <v>0</v>
      </c>
      <c r="H2908" s="1" t="str">
        <f t="shared" si="5879"/>
        <v>0</v>
      </c>
      <c r="I2908" s="1" t="str">
        <f t="shared" si="5879"/>
        <v>0</v>
      </c>
      <c r="J2908" s="1" t="str">
        <f>"5"</f>
        <v>5</v>
      </c>
      <c r="K2908" s="1" t="str">
        <f t="shared" ref="K2908:P2908" si="5880">"0"</f>
        <v>0</v>
      </c>
      <c r="L2908" s="1" t="str">
        <f t="shared" si="5880"/>
        <v>0</v>
      </c>
      <c r="M2908" s="1" t="str">
        <f t="shared" si="5880"/>
        <v>0</v>
      </c>
      <c r="N2908" s="1" t="str">
        <f t="shared" si="5880"/>
        <v>0</v>
      </c>
      <c r="O2908" s="1" t="str">
        <f t="shared" si="5880"/>
        <v>0</v>
      </c>
      <c r="P2908" s="1" t="str">
        <f t="shared" si="5880"/>
        <v>0</v>
      </c>
      <c r="Q2908" s="1" t="str">
        <f t="shared" si="5821"/>
        <v>0.0070</v>
      </c>
      <c r="R2908" s="1" t="s">
        <v>29</v>
      </c>
      <c r="S2908" s="1">
        <v>-0.0014</v>
      </c>
      <c r="T2908" s="1" t="str">
        <f t="shared" si="5822"/>
        <v>0</v>
      </c>
      <c r="U2908" s="1" t="str">
        <f t="shared" si="5870"/>
        <v>0.0056</v>
      </c>
    </row>
    <row r="2909" s="1" customFormat="1" spans="1:21">
      <c r="A2909" s="1" t="str">
        <f>"4601992054616"</f>
        <v>4601992054616</v>
      </c>
      <c r="B2909" s="1" t="s">
        <v>2932</v>
      </c>
      <c r="C2909" s="1" t="s">
        <v>24</v>
      </c>
      <c r="D2909" s="1" t="str">
        <f t="shared" si="5819"/>
        <v>2021</v>
      </c>
      <c r="E2909" s="1" t="str">
        <f>"85.76"</f>
        <v>85.76</v>
      </c>
      <c r="F2909" s="1" t="str">
        <f t="shared" ref="F2909:I2909" si="5881">"0"</f>
        <v>0</v>
      </c>
      <c r="G2909" s="1" t="str">
        <f t="shared" si="5881"/>
        <v>0</v>
      </c>
      <c r="H2909" s="1" t="str">
        <f t="shared" si="5881"/>
        <v>0</v>
      </c>
      <c r="I2909" s="1" t="str">
        <f t="shared" si="5881"/>
        <v>0</v>
      </c>
      <c r="J2909" s="1" t="str">
        <f>"6"</f>
        <v>6</v>
      </c>
      <c r="K2909" s="1" t="str">
        <f t="shared" ref="K2909:P2909" si="5882">"0"</f>
        <v>0</v>
      </c>
      <c r="L2909" s="1" t="str">
        <f t="shared" si="5882"/>
        <v>0</v>
      </c>
      <c r="M2909" s="1" t="str">
        <f t="shared" si="5882"/>
        <v>0</v>
      </c>
      <c r="N2909" s="1" t="str">
        <f t="shared" si="5882"/>
        <v>0</v>
      </c>
      <c r="O2909" s="1" t="str">
        <f t="shared" si="5882"/>
        <v>0</v>
      </c>
      <c r="P2909" s="1" t="str">
        <f t="shared" si="5882"/>
        <v>0</v>
      </c>
      <c r="Q2909" s="1" t="str">
        <f t="shared" si="5821"/>
        <v>0.0070</v>
      </c>
      <c r="R2909" s="1" t="s">
        <v>25</v>
      </c>
      <c r="T2909" s="1" t="str">
        <f t="shared" si="5822"/>
        <v>0</v>
      </c>
      <c r="U2909" s="1" t="str">
        <f t="shared" ref="U2909:U2911" si="5883">"0.0070"</f>
        <v>0.0070</v>
      </c>
    </row>
    <row r="2910" s="1" customFormat="1" spans="1:21">
      <c r="A2910" s="1" t="str">
        <f>"4601992054630"</f>
        <v>4601992054630</v>
      </c>
      <c r="B2910" s="1" t="s">
        <v>2933</v>
      </c>
      <c r="C2910" s="1" t="s">
        <v>24</v>
      </c>
      <c r="D2910" s="1" t="str">
        <f t="shared" si="5819"/>
        <v>2021</v>
      </c>
      <c r="E2910" s="1" t="str">
        <f>"117.42"</f>
        <v>117.42</v>
      </c>
      <c r="F2910" s="1" t="str">
        <f t="shared" ref="F2910:I2910" si="5884">"0"</f>
        <v>0</v>
      </c>
      <c r="G2910" s="1" t="str">
        <f t="shared" si="5884"/>
        <v>0</v>
      </c>
      <c r="H2910" s="1" t="str">
        <f t="shared" si="5884"/>
        <v>0</v>
      </c>
      <c r="I2910" s="1" t="str">
        <f t="shared" si="5884"/>
        <v>0</v>
      </c>
      <c r="J2910" s="1" t="str">
        <f>"7"</f>
        <v>7</v>
      </c>
      <c r="K2910" s="1" t="str">
        <f t="shared" ref="K2910:P2910" si="5885">"0"</f>
        <v>0</v>
      </c>
      <c r="L2910" s="1" t="str">
        <f t="shared" si="5885"/>
        <v>0</v>
      </c>
      <c r="M2910" s="1" t="str">
        <f t="shared" si="5885"/>
        <v>0</v>
      </c>
      <c r="N2910" s="1" t="str">
        <f t="shared" si="5885"/>
        <v>0</v>
      </c>
      <c r="O2910" s="1" t="str">
        <f t="shared" si="5885"/>
        <v>0</v>
      </c>
      <c r="P2910" s="1" t="str">
        <f t="shared" si="5885"/>
        <v>0</v>
      </c>
      <c r="Q2910" s="1" t="str">
        <f t="shared" si="5821"/>
        <v>0.0070</v>
      </c>
      <c r="R2910" s="1" t="s">
        <v>25</v>
      </c>
      <c r="T2910" s="1" t="str">
        <f t="shared" si="5822"/>
        <v>0</v>
      </c>
      <c r="U2910" s="1" t="str">
        <f t="shared" si="5883"/>
        <v>0.0070</v>
      </c>
    </row>
    <row r="2911" s="1" customFormat="1" spans="1:21">
      <c r="A2911" s="1" t="str">
        <f>"4601992054900"</f>
        <v>4601992054900</v>
      </c>
      <c r="B2911" s="1" t="s">
        <v>2934</v>
      </c>
      <c r="C2911" s="1" t="s">
        <v>24</v>
      </c>
      <c r="D2911" s="1" t="str">
        <f t="shared" si="5819"/>
        <v>2021</v>
      </c>
      <c r="E2911" s="1" t="str">
        <f t="shared" ref="E2911:P2911" si="5886">"0"</f>
        <v>0</v>
      </c>
      <c r="F2911" s="1" t="str">
        <f t="shared" si="5886"/>
        <v>0</v>
      </c>
      <c r="G2911" s="1" t="str">
        <f t="shared" si="5886"/>
        <v>0</v>
      </c>
      <c r="H2911" s="1" t="str">
        <f t="shared" si="5886"/>
        <v>0</v>
      </c>
      <c r="I2911" s="1" t="str">
        <f t="shared" si="5886"/>
        <v>0</v>
      </c>
      <c r="J2911" s="1" t="str">
        <f t="shared" si="5886"/>
        <v>0</v>
      </c>
      <c r="K2911" s="1" t="str">
        <f t="shared" si="5886"/>
        <v>0</v>
      </c>
      <c r="L2911" s="1" t="str">
        <f t="shared" si="5886"/>
        <v>0</v>
      </c>
      <c r="M2911" s="1" t="str">
        <f t="shared" si="5886"/>
        <v>0</v>
      </c>
      <c r="N2911" s="1" t="str">
        <f t="shared" si="5886"/>
        <v>0</v>
      </c>
      <c r="O2911" s="1" t="str">
        <f t="shared" si="5886"/>
        <v>0</v>
      </c>
      <c r="P2911" s="1" t="str">
        <f t="shared" si="5886"/>
        <v>0</v>
      </c>
      <c r="Q2911" s="1" t="str">
        <f t="shared" si="5821"/>
        <v>0.0070</v>
      </c>
      <c r="R2911" s="1" t="s">
        <v>25</v>
      </c>
      <c r="T2911" s="1" t="str">
        <f t="shared" si="5822"/>
        <v>0</v>
      </c>
      <c r="U2911" s="1" t="str">
        <f t="shared" si="5883"/>
        <v>0.0070</v>
      </c>
    </row>
    <row r="2912" s="1" customFormat="1" spans="1:21">
      <c r="A2912" s="1" t="str">
        <f>"4601992054660"</f>
        <v>4601992054660</v>
      </c>
      <c r="B2912" s="1" t="s">
        <v>2935</v>
      </c>
      <c r="C2912" s="1" t="s">
        <v>24</v>
      </c>
      <c r="D2912" s="1" t="str">
        <f t="shared" si="5819"/>
        <v>2021</v>
      </c>
      <c r="E2912" s="1" t="str">
        <f>"23.96"</f>
        <v>23.96</v>
      </c>
      <c r="F2912" s="1" t="str">
        <f t="shared" ref="F2912:I2912" si="5887">"0"</f>
        <v>0</v>
      </c>
      <c r="G2912" s="1" t="str">
        <f t="shared" si="5887"/>
        <v>0</v>
      </c>
      <c r="H2912" s="1" t="str">
        <f t="shared" si="5887"/>
        <v>0</v>
      </c>
      <c r="I2912" s="1" t="str">
        <f t="shared" si="5887"/>
        <v>0</v>
      </c>
      <c r="J2912" s="1" t="str">
        <f>"3"</f>
        <v>3</v>
      </c>
      <c r="K2912" s="1" t="str">
        <f t="shared" ref="K2912:P2912" si="5888">"0"</f>
        <v>0</v>
      </c>
      <c r="L2912" s="1" t="str">
        <f t="shared" si="5888"/>
        <v>0</v>
      </c>
      <c r="M2912" s="1" t="str">
        <f t="shared" si="5888"/>
        <v>0</v>
      </c>
      <c r="N2912" s="1" t="str">
        <f t="shared" si="5888"/>
        <v>0</v>
      </c>
      <c r="O2912" s="1" t="str">
        <f t="shared" si="5888"/>
        <v>0</v>
      </c>
      <c r="P2912" s="1" t="str">
        <f t="shared" si="5888"/>
        <v>0</v>
      </c>
      <c r="Q2912" s="1" t="str">
        <f t="shared" si="5821"/>
        <v>0.0070</v>
      </c>
      <c r="R2912" s="1" t="s">
        <v>29</v>
      </c>
      <c r="S2912" s="1">
        <v>-0.0014</v>
      </c>
      <c r="T2912" s="1" t="str">
        <f t="shared" si="5822"/>
        <v>0</v>
      </c>
      <c r="U2912" s="1" t="str">
        <f t="shared" ref="U2912:U2916" si="5889">"0.0056"</f>
        <v>0.0056</v>
      </c>
    </row>
    <row r="2913" s="1" customFormat="1" spans="1:21">
      <c r="A2913" s="1" t="str">
        <f>"4601992054690"</f>
        <v>4601992054690</v>
      </c>
      <c r="B2913" s="1" t="s">
        <v>2936</v>
      </c>
      <c r="C2913" s="1" t="s">
        <v>24</v>
      </c>
      <c r="D2913" s="1" t="str">
        <f t="shared" si="5819"/>
        <v>2021</v>
      </c>
      <c r="E2913" s="1" t="str">
        <f>"71.88"</f>
        <v>71.88</v>
      </c>
      <c r="F2913" s="1" t="str">
        <f t="shared" ref="F2913:I2913" si="5890">"0"</f>
        <v>0</v>
      </c>
      <c r="G2913" s="1" t="str">
        <f t="shared" si="5890"/>
        <v>0</v>
      </c>
      <c r="H2913" s="1" t="str">
        <f t="shared" si="5890"/>
        <v>0</v>
      </c>
      <c r="I2913" s="1" t="str">
        <f t="shared" si="5890"/>
        <v>0</v>
      </c>
      <c r="J2913" s="1" t="str">
        <f>"6"</f>
        <v>6</v>
      </c>
      <c r="K2913" s="1" t="str">
        <f t="shared" ref="K2913:P2913" si="5891">"0"</f>
        <v>0</v>
      </c>
      <c r="L2913" s="1" t="str">
        <f t="shared" si="5891"/>
        <v>0</v>
      </c>
      <c r="M2913" s="1" t="str">
        <f t="shared" si="5891"/>
        <v>0</v>
      </c>
      <c r="N2913" s="1" t="str">
        <f t="shared" si="5891"/>
        <v>0</v>
      </c>
      <c r="O2913" s="1" t="str">
        <f t="shared" si="5891"/>
        <v>0</v>
      </c>
      <c r="P2913" s="1" t="str">
        <f t="shared" si="5891"/>
        <v>0</v>
      </c>
      <c r="Q2913" s="1" t="str">
        <f t="shared" si="5821"/>
        <v>0.0070</v>
      </c>
      <c r="R2913" s="1" t="s">
        <v>25</v>
      </c>
      <c r="T2913" s="1" t="str">
        <f t="shared" si="5822"/>
        <v>0</v>
      </c>
      <c r="U2913" s="1" t="str">
        <f>"0.0070"</f>
        <v>0.0070</v>
      </c>
    </row>
    <row r="2914" s="1" customFormat="1" spans="1:21">
      <c r="A2914" s="1" t="str">
        <f>"4601992054764"</f>
        <v>4601992054764</v>
      </c>
      <c r="B2914" s="1" t="s">
        <v>2937</v>
      </c>
      <c r="C2914" s="1" t="s">
        <v>24</v>
      </c>
      <c r="D2914" s="1" t="str">
        <f t="shared" si="5819"/>
        <v>2021</v>
      </c>
      <c r="E2914" s="1" t="str">
        <f>"11.98"</f>
        <v>11.98</v>
      </c>
      <c r="F2914" s="1" t="str">
        <f t="shared" ref="F2914:I2914" si="5892">"0"</f>
        <v>0</v>
      </c>
      <c r="G2914" s="1" t="str">
        <f t="shared" si="5892"/>
        <v>0</v>
      </c>
      <c r="H2914" s="1" t="str">
        <f t="shared" si="5892"/>
        <v>0</v>
      </c>
      <c r="I2914" s="1" t="str">
        <f t="shared" si="5892"/>
        <v>0</v>
      </c>
      <c r="J2914" s="1" t="str">
        <f>"1"</f>
        <v>1</v>
      </c>
      <c r="K2914" s="1" t="str">
        <f t="shared" ref="K2914:P2914" si="5893">"0"</f>
        <v>0</v>
      </c>
      <c r="L2914" s="1" t="str">
        <f t="shared" si="5893"/>
        <v>0</v>
      </c>
      <c r="M2914" s="1" t="str">
        <f t="shared" si="5893"/>
        <v>0</v>
      </c>
      <c r="N2914" s="1" t="str">
        <f t="shared" si="5893"/>
        <v>0</v>
      </c>
      <c r="O2914" s="1" t="str">
        <f t="shared" si="5893"/>
        <v>0</v>
      </c>
      <c r="P2914" s="1" t="str">
        <f t="shared" si="5893"/>
        <v>0</v>
      </c>
      <c r="Q2914" s="1" t="str">
        <f t="shared" si="5821"/>
        <v>0.0070</v>
      </c>
      <c r="R2914" s="1" t="s">
        <v>29</v>
      </c>
      <c r="S2914" s="1">
        <v>-0.0014</v>
      </c>
      <c r="T2914" s="1" t="str">
        <f t="shared" si="5822"/>
        <v>0</v>
      </c>
      <c r="U2914" s="1" t="str">
        <f t="shared" si="5889"/>
        <v>0.0056</v>
      </c>
    </row>
    <row r="2915" s="1" customFormat="1" spans="1:21">
      <c r="A2915" s="1" t="str">
        <f>"4601992054896"</f>
        <v>4601992054896</v>
      </c>
      <c r="B2915" s="1" t="s">
        <v>2938</v>
      </c>
      <c r="C2915" s="1" t="s">
        <v>24</v>
      </c>
      <c r="D2915" s="1" t="str">
        <f t="shared" si="5819"/>
        <v>2021</v>
      </c>
      <c r="E2915" s="1" t="str">
        <f>"12.09"</f>
        <v>12.09</v>
      </c>
      <c r="F2915" s="1" t="str">
        <f t="shared" ref="F2915:I2915" si="5894">"0"</f>
        <v>0</v>
      </c>
      <c r="G2915" s="1" t="str">
        <f t="shared" si="5894"/>
        <v>0</v>
      </c>
      <c r="H2915" s="1" t="str">
        <f t="shared" si="5894"/>
        <v>0</v>
      </c>
      <c r="I2915" s="1" t="str">
        <f t="shared" si="5894"/>
        <v>0</v>
      </c>
      <c r="J2915" s="1" t="str">
        <f>"1"</f>
        <v>1</v>
      </c>
      <c r="K2915" s="1" t="str">
        <f t="shared" ref="K2915:P2915" si="5895">"0"</f>
        <v>0</v>
      </c>
      <c r="L2915" s="1" t="str">
        <f t="shared" si="5895"/>
        <v>0</v>
      </c>
      <c r="M2915" s="1" t="str">
        <f t="shared" si="5895"/>
        <v>0</v>
      </c>
      <c r="N2915" s="1" t="str">
        <f t="shared" si="5895"/>
        <v>0</v>
      </c>
      <c r="O2915" s="1" t="str">
        <f t="shared" si="5895"/>
        <v>0</v>
      </c>
      <c r="P2915" s="1" t="str">
        <f t="shared" si="5895"/>
        <v>0</v>
      </c>
      <c r="Q2915" s="1" t="str">
        <f t="shared" si="5821"/>
        <v>0.0070</v>
      </c>
      <c r="R2915" s="1" t="s">
        <v>29</v>
      </c>
      <c r="S2915" s="1">
        <v>-0.0014</v>
      </c>
      <c r="T2915" s="1" t="str">
        <f t="shared" si="5822"/>
        <v>0</v>
      </c>
      <c r="U2915" s="1" t="str">
        <f t="shared" si="5889"/>
        <v>0.0056</v>
      </c>
    </row>
    <row r="2916" s="1" customFormat="1" spans="1:21">
      <c r="A2916" s="1" t="str">
        <f>"4601992054916"</f>
        <v>4601992054916</v>
      </c>
      <c r="B2916" s="1" t="s">
        <v>2939</v>
      </c>
      <c r="C2916" s="1" t="s">
        <v>24</v>
      </c>
      <c r="D2916" s="1" t="str">
        <f t="shared" si="5819"/>
        <v>2021</v>
      </c>
      <c r="E2916" s="1" t="str">
        <f>"24.18"</f>
        <v>24.18</v>
      </c>
      <c r="F2916" s="1" t="str">
        <f t="shared" ref="F2916:I2916" si="5896">"0"</f>
        <v>0</v>
      </c>
      <c r="G2916" s="1" t="str">
        <f t="shared" si="5896"/>
        <v>0</v>
      </c>
      <c r="H2916" s="1" t="str">
        <f t="shared" si="5896"/>
        <v>0</v>
      </c>
      <c r="I2916" s="1" t="str">
        <f t="shared" si="5896"/>
        <v>0</v>
      </c>
      <c r="J2916" s="1" t="str">
        <f>"2"</f>
        <v>2</v>
      </c>
      <c r="K2916" s="1" t="str">
        <f t="shared" ref="K2916:P2916" si="5897">"0"</f>
        <v>0</v>
      </c>
      <c r="L2916" s="1" t="str">
        <f t="shared" si="5897"/>
        <v>0</v>
      </c>
      <c r="M2916" s="1" t="str">
        <f t="shared" si="5897"/>
        <v>0</v>
      </c>
      <c r="N2916" s="1" t="str">
        <f t="shared" si="5897"/>
        <v>0</v>
      </c>
      <c r="O2916" s="1" t="str">
        <f t="shared" si="5897"/>
        <v>0</v>
      </c>
      <c r="P2916" s="1" t="str">
        <f t="shared" si="5897"/>
        <v>0</v>
      </c>
      <c r="Q2916" s="1" t="str">
        <f t="shared" si="5821"/>
        <v>0.0070</v>
      </c>
      <c r="R2916" s="1" t="s">
        <v>29</v>
      </c>
      <c r="S2916" s="1">
        <v>-0.0014</v>
      </c>
      <c r="T2916" s="1" t="str">
        <f t="shared" si="5822"/>
        <v>0</v>
      </c>
      <c r="U2916" s="1" t="str">
        <f t="shared" si="5889"/>
        <v>0.0056</v>
      </c>
    </row>
    <row r="2917" s="1" customFormat="1" spans="1:21">
      <c r="A2917" s="1" t="str">
        <f>"4601992054922"</f>
        <v>4601992054922</v>
      </c>
      <c r="B2917" s="1" t="s">
        <v>2940</v>
      </c>
      <c r="C2917" s="1" t="s">
        <v>24</v>
      </c>
      <c r="D2917" s="1" t="str">
        <f t="shared" si="5819"/>
        <v>2021</v>
      </c>
      <c r="E2917" s="1" t="str">
        <f t="shared" ref="E2917:P2917" si="5898">"0"</f>
        <v>0</v>
      </c>
      <c r="F2917" s="1" t="str">
        <f t="shared" si="5898"/>
        <v>0</v>
      </c>
      <c r="G2917" s="1" t="str">
        <f t="shared" si="5898"/>
        <v>0</v>
      </c>
      <c r="H2917" s="1" t="str">
        <f t="shared" si="5898"/>
        <v>0</v>
      </c>
      <c r="I2917" s="1" t="str">
        <f t="shared" si="5898"/>
        <v>0</v>
      </c>
      <c r="J2917" s="1" t="str">
        <f t="shared" si="5898"/>
        <v>0</v>
      </c>
      <c r="K2917" s="1" t="str">
        <f t="shared" si="5898"/>
        <v>0</v>
      </c>
      <c r="L2917" s="1" t="str">
        <f t="shared" si="5898"/>
        <v>0</v>
      </c>
      <c r="M2917" s="1" t="str">
        <f t="shared" si="5898"/>
        <v>0</v>
      </c>
      <c r="N2917" s="1" t="str">
        <f t="shared" si="5898"/>
        <v>0</v>
      </c>
      <c r="O2917" s="1" t="str">
        <f t="shared" si="5898"/>
        <v>0</v>
      </c>
      <c r="P2917" s="1" t="str">
        <f t="shared" si="5898"/>
        <v>0</v>
      </c>
      <c r="Q2917" s="1" t="str">
        <f t="shared" si="5821"/>
        <v>0.0070</v>
      </c>
      <c r="R2917" s="1" t="s">
        <v>25</v>
      </c>
      <c r="T2917" s="1" t="str">
        <f t="shared" si="5822"/>
        <v>0</v>
      </c>
      <c r="U2917" s="1" t="str">
        <f t="shared" ref="U2917:U2921" si="5899">"0.0070"</f>
        <v>0.0070</v>
      </c>
    </row>
    <row r="2918" s="1" customFormat="1" spans="1:21">
      <c r="A2918" s="1" t="str">
        <f>"4601992054919"</f>
        <v>4601992054919</v>
      </c>
      <c r="B2918" s="1" t="s">
        <v>2941</v>
      </c>
      <c r="C2918" s="1" t="s">
        <v>24</v>
      </c>
      <c r="D2918" s="1" t="str">
        <f t="shared" si="5819"/>
        <v>2021</v>
      </c>
      <c r="E2918" s="1" t="str">
        <f>"36.27"</f>
        <v>36.27</v>
      </c>
      <c r="F2918" s="1" t="str">
        <f t="shared" ref="F2918:I2918" si="5900">"0"</f>
        <v>0</v>
      </c>
      <c r="G2918" s="1" t="str">
        <f t="shared" si="5900"/>
        <v>0</v>
      </c>
      <c r="H2918" s="1" t="str">
        <f t="shared" si="5900"/>
        <v>0</v>
      </c>
      <c r="I2918" s="1" t="str">
        <f t="shared" si="5900"/>
        <v>0</v>
      </c>
      <c r="J2918" s="1" t="str">
        <f>"2"</f>
        <v>2</v>
      </c>
      <c r="K2918" s="1" t="str">
        <f t="shared" ref="K2918:P2918" si="5901">"0"</f>
        <v>0</v>
      </c>
      <c r="L2918" s="1" t="str">
        <f t="shared" si="5901"/>
        <v>0</v>
      </c>
      <c r="M2918" s="1" t="str">
        <f t="shared" si="5901"/>
        <v>0</v>
      </c>
      <c r="N2918" s="1" t="str">
        <f t="shared" si="5901"/>
        <v>0</v>
      </c>
      <c r="O2918" s="1" t="str">
        <f t="shared" si="5901"/>
        <v>0</v>
      </c>
      <c r="P2918" s="1" t="str">
        <f t="shared" si="5901"/>
        <v>0</v>
      </c>
      <c r="Q2918" s="1" t="str">
        <f t="shared" si="5821"/>
        <v>0.0070</v>
      </c>
      <c r="R2918" s="1" t="s">
        <v>29</v>
      </c>
      <c r="S2918" s="1">
        <v>-0.0014</v>
      </c>
      <c r="T2918" s="1" t="str">
        <f t="shared" si="5822"/>
        <v>0</v>
      </c>
      <c r="U2918" s="1" t="str">
        <f t="shared" ref="U2918:U2922" si="5902">"0.0056"</f>
        <v>0.0056</v>
      </c>
    </row>
    <row r="2919" s="1" customFormat="1" spans="1:21">
      <c r="A2919" s="1" t="str">
        <f>"4601992054982"</f>
        <v>4601992054982</v>
      </c>
      <c r="B2919" s="1" t="s">
        <v>2942</v>
      </c>
      <c r="C2919" s="1" t="s">
        <v>24</v>
      </c>
      <c r="D2919" s="1" t="str">
        <f t="shared" si="5819"/>
        <v>2021</v>
      </c>
      <c r="E2919" s="1" t="str">
        <f t="shared" ref="E2919:G2919" si="5903">"0"</f>
        <v>0</v>
      </c>
      <c r="F2919" s="1" t="str">
        <f t="shared" si="5903"/>
        <v>0</v>
      </c>
      <c r="G2919" s="1" t="str">
        <f t="shared" si="5903"/>
        <v>0</v>
      </c>
      <c r="H2919" s="1" t="str">
        <f>"24.50"</f>
        <v>24.50</v>
      </c>
      <c r="I2919" s="1" t="str">
        <f t="shared" ref="I2919:P2919" si="5904">"0"</f>
        <v>0</v>
      </c>
      <c r="J2919" s="1" t="str">
        <f t="shared" si="5904"/>
        <v>0</v>
      </c>
      <c r="K2919" s="1" t="str">
        <f t="shared" si="5904"/>
        <v>0</v>
      </c>
      <c r="L2919" s="1" t="str">
        <f t="shared" si="5904"/>
        <v>0</v>
      </c>
      <c r="M2919" s="1" t="str">
        <f t="shared" si="5904"/>
        <v>0</v>
      </c>
      <c r="N2919" s="1" t="str">
        <f t="shared" si="5904"/>
        <v>0</v>
      </c>
      <c r="O2919" s="1" t="str">
        <f t="shared" si="5904"/>
        <v>0</v>
      </c>
      <c r="P2919" s="1" t="str">
        <f t="shared" si="5904"/>
        <v>0</v>
      </c>
      <c r="Q2919" s="1" t="str">
        <f t="shared" si="5821"/>
        <v>0.0070</v>
      </c>
      <c r="R2919" s="1" t="s">
        <v>25</v>
      </c>
      <c r="T2919" s="1" t="str">
        <f t="shared" si="5822"/>
        <v>0</v>
      </c>
      <c r="U2919" s="1" t="str">
        <f t="shared" si="5899"/>
        <v>0.0070</v>
      </c>
    </row>
    <row r="2920" s="1" customFormat="1" spans="1:21">
      <c r="A2920" s="1" t="str">
        <f>"4601992054930"</f>
        <v>4601992054930</v>
      </c>
      <c r="B2920" s="1" t="s">
        <v>2943</v>
      </c>
      <c r="C2920" s="1" t="s">
        <v>24</v>
      </c>
      <c r="D2920" s="1" t="str">
        <f t="shared" si="5819"/>
        <v>2021</v>
      </c>
      <c r="E2920" s="1" t="str">
        <f>"48.36"</f>
        <v>48.36</v>
      </c>
      <c r="F2920" s="1" t="str">
        <f t="shared" ref="F2920:I2920" si="5905">"0"</f>
        <v>0</v>
      </c>
      <c r="G2920" s="1" t="str">
        <f t="shared" si="5905"/>
        <v>0</v>
      </c>
      <c r="H2920" s="1" t="str">
        <f t="shared" si="5905"/>
        <v>0</v>
      </c>
      <c r="I2920" s="1" t="str">
        <f t="shared" si="5905"/>
        <v>0</v>
      </c>
      <c r="J2920" s="1" t="str">
        <f>"4"</f>
        <v>4</v>
      </c>
      <c r="K2920" s="1" t="str">
        <f t="shared" ref="K2920:P2920" si="5906">"0"</f>
        <v>0</v>
      </c>
      <c r="L2920" s="1" t="str">
        <f t="shared" si="5906"/>
        <v>0</v>
      </c>
      <c r="M2920" s="1" t="str">
        <f t="shared" si="5906"/>
        <v>0</v>
      </c>
      <c r="N2920" s="1" t="str">
        <f t="shared" si="5906"/>
        <v>0</v>
      </c>
      <c r="O2920" s="1" t="str">
        <f t="shared" si="5906"/>
        <v>0</v>
      </c>
      <c r="P2920" s="1" t="str">
        <f t="shared" si="5906"/>
        <v>0</v>
      </c>
      <c r="Q2920" s="1" t="str">
        <f t="shared" si="5821"/>
        <v>0.0070</v>
      </c>
      <c r="R2920" s="1" t="s">
        <v>29</v>
      </c>
      <c r="S2920" s="1">
        <v>-0.0014</v>
      </c>
      <c r="T2920" s="1" t="str">
        <f t="shared" si="5822"/>
        <v>0</v>
      </c>
      <c r="U2920" s="1" t="str">
        <f t="shared" si="5902"/>
        <v>0.0056</v>
      </c>
    </row>
    <row r="2921" s="1" customFormat="1" spans="1:21">
      <c r="A2921" s="1" t="str">
        <f>"4601992054984"</f>
        <v>4601992054984</v>
      </c>
      <c r="B2921" s="1" t="s">
        <v>2944</v>
      </c>
      <c r="C2921" s="1" t="s">
        <v>24</v>
      </c>
      <c r="D2921" s="1" t="str">
        <f t="shared" si="5819"/>
        <v>2021</v>
      </c>
      <c r="E2921" s="1" t="str">
        <f t="shared" ref="E2921:G2921" si="5907">"0"</f>
        <v>0</v>
      </c>
      <c r="F2921" s="1" t="str">
        <f t="shared" si="5907"/>
        <v>0</v>
      </c>
      <c r="G2921" s="1" t="str">
        <f t="shared" si="5907"/>
        <v>0</v>
      </c>
      <c r="H2921" s="1" t="str">
        <f>"12.09"</f>
        <v>12.09</v>
      </c>
      <c r="I2921" s="1" t="str">
        <f t="shared" ref="I2921:P2921" si="5908">"0"</f>
        <v>0</v>
      </c>
      <c r="J2921" s="1" t="str">
        <f t="shared" si="5908"/>
        <v>0</v>
      </c>
      <c r="K2921" s="1" t="str">
        <f t="shared" si="5908"/>
        <v>0</v>
      </c>
      <c r="L2921" s="1" t="str">
        <f t="shared" si="5908"/>
        <v>0</v>
      </c>
      <c r="M2921" s="1" t="str">
        <f t="shared" si="5908"/>
        <v>0</v>
      </c>
      <c r="N2921" s="1" t="str">
        <f t="shared" si="5908"/>
        <v>0</v>
      </c>
      <c r="O2921" s="1" t="str">
        <f t="shared" si="5908"/>
        <v>0</v>
      </c>
      <c r="P2921" s="1" t="str">
        <f t="shared" si="5908"/>
        <v>0</v>
      </c>
      <c r="Q2921" s="1" t="str">
        <f t="shared" si="5821"/>
        <v>0.0070</v>
      </c>
      <c r="R2921" s="1" t="s">
        <v>25</v>
      </c>
      <c r="T2921" s="1" t="str">
        <f t="shared" si="5822"/>
        <v>0</v>
      </c>
      <c r="U2921" s="1" t="str">
        <f t="shared" si="5899"/>
        <v>0.0070</v>
      </c>
    </row>
    <row r="2922" s="1" customFormat="1" spans="1:21">
      <c r="A2922" s="1" t="str">
        <f>"4601992054927"</f>
        <v>4601992054927</v>
      </c>
      <c r="B2922" s="1" t="s">
        <v>2945</v>
      </c>
      <c r="C2922" s="1" t="s">
        <v>24</v>
      </c>
      <c r="D2922" s="1" t="str">
        <f t="shared" si="5819"/>
        <v>2021</v>
      </c>
      <c r="E2922" s="1" t="str">
        <f>"24.18"</f>
        <v>24.18</v>
      </c>
      <c r="F2922" s="1" t="str">
        <f t="shared" ref="F2922:I2922" si="5909">"0"</f>
        <v>0</v>
      </c>
      <c r="G2922" s="1" t="str">
        <f t="shared" si="5909"/>
        <v>0</v>
      </c>
      <c r="H2922" s="1" t="str">
        <f t="shared" si="5909"/>
        <v>0</v>
      </c>
      <c r="I2922" s="1" t="str">
        <f t="shared" si="5909"/>
        <v>0</v>
      </c>
      <c r="J2922" s="1" t="str">
        <f t="shared" ref="J2922:J2927" si="5910">"2"</f>
        <v>2</v>
      </c>
      <c r="K2922" s="1" t="str">
        <f t="shared" ref="K2922:P2922" si="5911">"0"</f>
        <v>0</v>
      </c>
      <c r="L2922" s="1" t="str">
        <f t="shared" si="5911"/>
        <v>0</v>
      </c>
      <c r="M2922" s="1" t="str">
        <f t="shared" si="5911"/>
        <v>0</v>
      </c>
      <c r="N2922" s="1" t="str">
        <f t="shared" si="5911"/>
        <v>0</v>
      </c>
      <c r="O2922" s="1" t="str">
        <f t="shared" si="5911"/>
        <v>0</v>
      </c>
      <c r="P2922" s="1" t="str">
        <f t="shared" si="5911"/>
        <v>0</v>
      </c>
      <c r="Q2922" s="1" t="str">
        <f t="shared" si="5821"/>
        <v>0.0070</v>
      </c>
      <c r="R2922" s="1" t="s">
        <v>29</v>
      </c>
      <c r="S2922" s="1">
        <v>-0.0014</v>
      </c>
      <c r="T2922" s="1" t="str">
        <f t="shared" si="5822"/>
        <v>0</v>
      </c>
      <c r="U2922" s="1" t="str">
        <f t="shared" si="5902"/>
        <v>0.0056</v>
      </c>
    </row>
    <row r="2923" s="1" customFormat="1" spans="1:21">
      <c r="A2923" s="1" t="str">
        <f>"4601992055014"</f>
        <v>4601992055014</v>
      </c>
      <c r="B2923" s="1" t="s">
        <v>2946</v>
      </c>
      <c r="C2923" s="1" t="s">
        <v>24</v>
      </c>
      <c r="D2923" s="1" t="str">
        <f t="shared" si="5819"/>
        <v>2021</v>
      </c>
      <c r="E2923" s="1" t="str">
        <f t="shared" ref="E2923:P2923" si="5912">"0"</f>
        <v>0</v>
      </c>
      <c r="F2923" s="1" t="str">
        <f t="shared" si="5912"/>
        <v>0</v>
      </c>
      <c r="G2923" s="1" t="str">
        <f t="shared" si="5912"/>
        <v>0</v>
      </c>
      <c r="H2923" s="1" t="str">
        <f t="shared" si="5912"/>
        <v>0</v>
      </c>
      <c r="I2923" s="1" t="str">
        <f t="shared" si="5912"/>
        <v>0</v>
      </c>
      <c r="J2923" s="1" t="str">
        <f t="shared" si="5912"/>
        <v>0</v>
      </c>
      <c r="K2923" s="1" t="str">
        <f t="shared" si="5912"/>
        <v>0</v>
      </c>
      <c r="L2923" s="1" t="str">
        <f t="shared" si="5912"/>
        <v>0</v>
      </c>
      <c r="M2923" s="1" t="str">
        <f t="shared" si="5912"/>
        <v>0</v>
      </c>
      <c r="N2923" s="1" t="str">
        <f t="shared" si="5912"/>
        <v>0</v>
      </c>
      <c r="O2923" s="1" t="str">
        <f t="shared" si="5912"/>
        <v>0</v>
      </c>
      <c r="P2923" s="1" t="str">
        <f t="shared" si="5912"/>
        <v>0</v>
      </c>
      <c r="Q2923" s="1" t="str">
        <f t="shared" si="5821"/>
        <v>0.0070</v>
      </c>
      <c r="R2923" s="1" t="s">
        <v>25</v>
      </c>
      <c r="T2923" s="1" t="str">
        <f t="shared" si="5822"/>
        <v>0</v>
      </c>
      <c r="U2923" s="1" t="str">
        <f t="shared" ref="U2923:U2925" si="5913">"0.0070"</f>
        <v>0.0070</v>
      </c>
    </row>
    <row r="2924" s="1" customFormat="1" spans="1:21">
      <c r="A2924" s="1" t="str">
        <f>"4601992055018"</f>
        <v>4601992055018</v>
      </c>
      <c r="B2924" s="1" t="s">
        <v>2947</v>
      </c>
      <c r="C2924" s="1" t="s">
        <v>24</v>
      </c>
      <c r="D2924" s="1" t="str">
        <f t="shared" si="5819"/>
        <v>2021</v>
      </c>
      <c r="E2924" s="1" t="str">
        <f t="shared" ref="E2924:P2924" si="5914">"0"</f>
        <v>0</v>
      </c>
      <c r="F2924" s="1" t="str">
        <f t="shared" si="5914"/>
        <v>0</v>
      </c>
      <c r="G2924" s="1" t="str">
        <f t="shared" si="5914"/>
        <v>0</v>
      </c>
      <c r="H2924" s="1" t="str">
        <f t="shared" si="5914"/>
        <v>0</v>
      </c>
      <c r="I2924" s="1" t="str">
        <f t="shared" si="5914"/>
        <v>0</v>
      </c>
      <c r="J2924" s="1" t="str">
        <f t="shared" si="5914"/>
        <v>0</v>
      </c>
      <c r="K2924" s="1" t="str">
        <f t="shared" si="5914"/>
        <v>0</v>
      </c>
      <c r="L2924" s="1" t="str">
        <f t="shared" si="5914"/>
        <v>0</v>
      </c>
      <c r="M2924" s="1" t="str">
        <f t="shared" si="5914"/>
        <v>0</v>
      </c>
      <c r="N2924" s="1" t="str">
        <f t="shared" si="5914"/>
        <v>0</v>
      </c>
      <c r="O2924" s="1" t="str">
        <f t="shared" si="5914"/>
        <v>0</v>
      </c>
      <c r="P2924" s="1" t="str">
        <f t="shared" si="5914"/>
        <v>0</v>
      </c>
      <c r="Q2924" s="1" t="str">
        <f t="shared" si="5821"/>
        <v>0.0070</v>
      </c>
      <c r="R2924" s="1" t="s">
        <v>25</v>
      </c>
      <c r="T2924" s="1" t="str">
        <f t="shared" si="5822"/>
        <v>0</v>
      </c>
      <c r="U2924" s="1" t="str">
        <f t="shared" si="5913"/>
        <v>0.0070</v>
      </c>
    </row>
    <row r="2925" s="1" customFormat="1" spans="1:21">
      <c r="A2925" s="1" t="str">
        <f>"4601992055042"</f>
        <v>4601992055042</v>
      </c>
      <c r="B2925" s="1" t="s">
        <v>2948</v>
      </c>
      <c r="C2925" s="1" t="s">
        <v>24</v>
      </c>
      <c r="D2925" s="1" t="str">
        <f t="shared" si="5819"/>
        <v>2021</v>
      </c>
      <c r="E2925" s="1" t="str">
        <f t="shared" ref="E2925:G2925" si="5915">"0"</f>
        <v>0</v>
      </c>
      <c r="F2925" s="1" t="str">
        <f t="shared" si="5915"/>
        <v>0</v>
      </c>
      <c r="G2925" s="1" t="str">
        <f t="shared" si="5915"/>
        <v>0</v>
      </c>
      <c r="H2925" s="1" t="str">
        <f>"12.09"</f>
        <v>12.09</v>
      </c>
      <c r="I2925" s="1" t="str">
        <f t="shared" ref="I2925:P2925" si="5916">"0"</f>
        <v>0</v>
      </c>
      <c r="J2925" s="1" t="str">
        <f t="shared" si="5910"/>
        <v>2</v>
      </c>
      <c r="K2925" s="1" t="str">
        <f t="shared" si="5916"/>
        <v>0</v>
      </c>
      <c r="L2925" s="1" t="str">
        <f t="shared" si="5916"/>
        <v>0</v>
      </c>
      <c r="M2925" s="1" t="str">
        <f t="shared" si="5916"/>
        <v>0</v>
      </c>
      <c r="N2925" s="1" t="str">
        <f t="shared" si="5916"/>
        <v>0</v>
      </c>
      <c r="O2925" s="1" t="str">
        <f t="shared" si="5916"/>
        <v>0</v>
      </c>
      <c r="P2925" s="1" t="str">
        <f t="shared" si="5916"/>
        <v>0</v>
      </c>
      <c r="Q2925" s="1" t="str">
        <f t="shared" si="5821"/>
        <v>0.0070</v>
      </c>
      <c r="R2925" s="1" t="s">
        <v>25</v>
      </c>
      <c r="T2925" s="1" t="str">
        <f t="shared" si="5822"/>
        <v>0</v>
      </c>
      <c r="U2925" s="1" t="str">
        <f t="shared" si="5913"/>
        <v>0.0070</v>
      </c>
    </row>
    <row r="2926" s="1" customFormat="1" spans="1:21">
      <c r="A2926" s="1" t="str">
        <f>"4601992055064"</f>
        <v>4601992055064</v>
      </c>
      <c r="B2926" s="1" t="s">
        <v>2949</v>
      </c>
      <c r="C2926" s="1" t="s">
        <v>24</v>
      </c>
      <c r="D2926" s="1" t="str">
        <f t="shared" si="5819"/>
        <v>2021</v>
      </c>
      <c r="E2926" s="1" t="str">
        <f>"53.58"</f>
        <v>53.58</v>
      </c>
      <c r="F2926" s="1" t="str">
        <f t="shared" ref="F2926:I2926" si="5917">"0"</f>
        <v>0</v>
      </c>
      <c r="G2926" s="1" t="str">
        <f t="shared" si="5917"/>
        <v>0</v>
      </c>
      <c r="H2926" s="1" t="str">
        <f t="shared" si="5917"/>
        <v>0</v>
      </c>
      <c r="I2926" s="1" t="str">
        <f t="shared" si="5917"/>
        <v>0</v>
      </c>
      <c r="J2926" s="1" t="str">
        <f>"5"</f>
        <v>5</v>
      </c>
      <c r="K2926" s="1" t="str">
        <f t="shared" ref="K2926:P2926" si="5918">"0"</f>
        <v>0</v>
      </c>
      <c r="L2926" s="1" t="str">
        <f t="shared" si="5918"/>
        <v>0</v>
      </c>
      <c r="M2926" s="1" t="str">
        <f t="shared" si="5918"/>
        <v>0</v>
      </c>
      <c r="N2926" s="1" t="str">
        <f t="shared" si="5918"/>
        <v>0</v>
      </c>
      <c r="O2926" s="1" t="str">
        <f t="shared" si="5918"/>
        <v>0</v>
      </c>
      <c r="P2926" s="1" t="str">
        <f t="shared" si="5918"/>
        <v>0</v>
      </c>
      <c r="Q2926" s="1" t="str">
        <f t="shared" si="5821"/>
        <v>0.0070</v>
      </c>
      <c r="R2926" s="1" t="s">
        <v>29</v>
      </c>
      <c r="S2926" s="1">
        <v>-0.0014</v>
      </c>
      <c r="T2926" s="1" t="str">
        <f t="shared" si="5822"/>
        <v>0</v>
      </c>
      <c r="U2926" s="1" t="str">
        <f t="shared" ref="U2926:U2928" si="5919">"0.0056"</f>
        <v>0.0056</v>
      </c>
    </row>
    <row r="2927" s="1" customFormat="1" spans="1:21">
      <c r="A2927" s="1" t="str">
        <f>"4601992055040"</f>
        <v>4601992055040</v>
      </c>
      <c r="B2927" s="1" t="s">
        <v>2950</v>
      </c>
      <c r="C2927" s="1" t="s">
        <v>24</v>
      </c>
      <c r="D2927" s="1" t="str">
        <f t="shared" si="5819"/>
        <v>2021</v>
      </c>
      <c r="E2927" s="1" t="str">
        <f>"24.18"</f>
        <v>24.18</v>
      </c>
      <c r="F2927" s="1" t="str">
        <f t="shared" ref="F2927:I2927" si="5920">"0"</f>
        <v>0</v>
      </c>
      <c r="G2927" s="1" t="str">
        <f t="shared" si="5920"/>
        <v>0</v>
      </c>
      <c r="H2927" s="1" t="str">
        <f t="shared" si="5920"/>
        <v>0</v>
      </c>
      <c r="I2927" s="1" t="str">
        <f t="shared" si="5920"/>
        <v>0</v>
      </c>
      <c r="J2927" s="1" t="str">
        <f t="shared" si="5910"/>
        <v>2</v>
      </c>
      <c r="K2927" s="1" t="str">
        <f t="shared" ref="K2927:P2927" si="5921">"0"</f>
        <v>0</v>
      </c>
      <c r="L2927" s="1" t="str">
        <f t="shared" si="5921"/>
        <v>0</v>
      </c>
      <c r="M2927" s="1" t="str">
        <f t="shared" si="5921"/>
        <v>0</v>
      </c>
      <c r="N2927" s="1" t="str">
        <f t="shared" si="5921"/>
        <v>0</v>
      </c>
      <c r="O2927" s="1" t="str">
        <f t="shared" si="5921"/>
        <v>0</v>
      </c>
      <c r="P2927" s="1" t="str">
        <f t="shared" si="5921"/>
        <v>0</v>
      </c>
      <c r="Q2927" s="1" t="str">
        <f t="shared" si="5821"/>
        <v>0.0070</v>
      </c>
      <c r="R2927" s="1" t="s">
        <v>29</v>
      </c>
      <c r="S2927" s="1">
        <v>-0.0014</v>
      </c>
      <c r="T2927" s="1" t="str">
        <f t="shared" si="5822"/>
        <v>0</v>
      </c>
      <c r="U2927" s="1" t="str">
        <f t="shared" si="5919"/>
        <v>0.0056</v>
      </c>
    </row>
    <row r="2928" s="1" customFormat="1" spans="1:21">
      <c r="A2928" s="1" t="str">
        <f>"4601991408151"</f>
        <v>4601991408151</v>
      </c>
      <c r="B2928" s="1" t="s">
        <v>2951</v>
      </c>
      <c r="C2928" s="1" t="s">
        <v>24</v>
      </c>
      <c r="D2928" s="1" t="str">
        <f t="shared" si="5819"/>
        <v>2021</v>
      </c>
      <c r="E2928" s="1" t="str">
        <f>"554.38"</f>
        <v>554.38</v>
      </c>
      <c r="F2928" s="1" t="str">
        <f t="shared" ref="F2928:I2928" si="5922">"0"</f>
        <v>0</v>
      </c>
      <c r="G2928" s="1" t="str">
        <f t="shared" si="5922"/>
        <v>0</v>
      </c>
      <c r="H2928" s="1" t="str">
        <f t="shared" si="5922"/>
        <v>0</v>
      </c>
      <c r="I2928" s="1" t="str">
        <f t="shared" si="5922"/>
        <v>0</v>
      </c>
      <c r="J2928" s="1" t="str">
        <f>"55"</f>
        <v>55</v>
      </c>
      <c r="K2928" s="1" t="str">
        <f t="shared" ref="K2928:P2928" si="5923">"0"</f>
        <v>0</v>
      </c>
      <c r="L2928" s="1" t="str">
        <f t="shared" si="5923"/>
        <v>0</v>
      </c>
      <c r="M2928" s="1" t="str">
        <f t="shared" si="5923"/>
        <v>0</v>
      </c>
      <c r="N2928" s="1" t="str">
        <f t="shared" si="5923"/>
        <v>0</v>
      </c>
      <c r="O2928" s="1" t="str">
        <f t="shared" si="5923"/>
        <v>0</v>
      </c>
      <c r="P2928" s="1" t="str">
        <f t="shared" si="5923"/>
        <v>0</v>
      </c>
      <c r="Q2928" s="1" t="str">
        <f t="shared" si="5821"/>
        <v>0.0070</v>
      </c>
      <c r="R2928" s="1" t="s">
        <v>29</v>
      </c>
      <c r="S2928" s="1">
        <v>-0.0014</v>
      </c>
      <c r="T2928" s="1" t="str">
        <f t="shared" si="5822"/>
        <v>0</v>
      </c>
      <c r="U2928" s="1" t="str">
        <f t="shared" si="5919"/>
        <v>0.0056</v>
      </c>
    </row>
    <row r="2929" s="1" customFormat="1" spans="1:21">
      <c r="A2929" s="1" t="str">
        <f>"4601992055087"</f>
        <v>4601992055087</v>
      </c>
      <c r="B2929" s="1" t="s">
        <v>2952</v>
      </c>
      <c r="C2929" s="1" t="s">
        <v>24</v>
      </c>
      <c r="D2929" s="1" t="str">
        <f t="shared" si="5819"/>
        <v>2021</v>
      </c>
      <c r="E2929" s="1" t="str">
        <f t="shared" ref="E2929:P2929" si="5924">"0"</f>
        <v>0</v>
      </c>
      <c r="F2929" s="1" t="str">
        <f t="shared" si="5924"/>
        <v>0</v>
      </c>
      <c r="G2929" s="1" t="str">
        <f t="shared" si="5924"/>
        <v>0</v>
      </c>
      <c r="H2929" s="1" t="str">
        <f t="shared" si="5924"/>
        <v>0</v>
      </c>
      <c r="I2929" s="1" t="str">
        <f t="shared" si="5924"/>
        <v>0</v>
      </c>
      <c r="J2929" s="1" t="str">
        <f t="shared" si="5924"/>
        <v>0</v>
      </c>
      <c r="K2929" s="1" t="str">
        <f t="shared" si="5924"/>
        <v>0</v>
      </c>
      <c r="L2929" s="1" t="str">
        <f t="shared" si="5924"/>
        <v>0</v>
      </c>
      <c r="M2929" s="1" t="str">
        <f t="shared" si="5924"/>
        <v>0</v>
      </c>
      <c r="N2929" s="1" t="str">
        <f t="shared" si="5924"/>
        <v>0</v>
      </c>
      <c r="O2929" s="1" t="str">
        <f t="shared" si="5924"/>
        <v>0</v>
      </c>
      <c r="P2929" s="1" t="str">
        <f t="shared" si="5924"/>
        <v>0</v>
      </c>
      <c r="Q2929" s="1" t="str">
        <f t="shared" si="5821"/>
        <v>0.0070</v>
      </c>
      <c r="R2929" s="1" t="s">
        <v>25</v>
      </c>
      <c r="T2929" s="1" t="str">
        <f t="shared" si="5822"/>
        <v>0</v>
      </c>
      <c r="U2929" s="1" t="str">
        <f t="shared" ref="U2929:U2932" si="5925">"0.0070"</f>
        <v>0.0070</v>
      </c>
    </row>
    <row r="2930" s="1" customFormat="1" spans="1:21">
      <c r="A2930" s="1" t="str">
        <f>"4601992055088"</f>
        <v>4601992055088</v>
      </c>
      <c r="B2930" s="1" t="s">
        <v>2953</v>
      </c>
      <c r="C2930" s="1" t="s">
        <v>24</v>
      </c>
      <c r="D2930" s="1" t="str">
        <f t="shared" si="5819"/>
        <v>2021</v>
      </c>
      <c r="E2930" s="1" t="str">
        <f>"24.07"</f>
        <v>24.07</v>
      </c>
      <c r="F2930" s="1" t="str">
        <f t="shared" ref="F2930:I2930" si="5926">"0"</f>
        <v>0</v>
      </c>
      <c r="G2930" s="1" t="str">
        <f t="shared" si="5926"/>
        <v>0</v>
      </c>
      <c r="H2930" s="1" t="str">
        <f t="shared" si="5926"/>
        <v>0</v>
      </c>
      <c r="I2930" s="1" t="str">
        <f t="shared" si="5926"/>
        <v>0</v>
      </c>
      <c r="J2930" s="1" t="str">
        <f>"2"</f>
        <v>2</v>
      </c>
      <c r="K2930" s="1" t="str">
        <f t="shared" ref="K2930:P2930" si="5927">"0"</f>
        <v>0</v>
      </c>
      <c r="L2930" s="1" t="str">
        <f t="shared" si="5927"/>
        <v>0</v>
      </c>
      <c r="M2930" s="1" t="str">
        <f t="shared" si="5927"/>
        <v>0</v>
      </c>
      <c r="N2930" s="1" t="str">
        <f t="shared" si="5927"/>
        <v>0</v>
      </c>
      <c r="O2930" s="1" t="str">
        <f t="shared" si="5927"/>
        <v>0</v>
      </c>
      <c r="P2930" s="1" t="str">
        <f t="shared" si="5927"/>
        <v>0</v>
      </c>
      <c r="Q2930" s="1" t="str">
        <f t="shared" si="5821"/>
        <v>0.0070</v>
      </c>
      <c r="R2930" s="1" t="s">
        <v>29</v>
      </c>
      <c r="S2930" s="1">
        <v>-0.0014</v>
      </c>
      <c r="T2930" s="1" t="str">
        <f t="shared" si="5822"/>
        <v>0</v>
      </c>
      <c r="U2930" s="1" t="str">
        <f>"0.0056"</f>
        <v>0.0056</v>
      </c>
    </row>
    <row r="2931" s="1" customFormat="1" spans="1:21">
      <c r="A2931" s="1" t="str">
        <f>"4601992055111"</f>
        <v>4601992055111</v>
      </c>
      <c r="B2931" s="1" t="s">
        <v>2954</v>
      </c>
      <c r="C2931" s="1" t="s">
        <v>24</v>
      </c>
      <c r="D2931" s="1" t="str">
        <f t="shared" si="5819"/>
        <v>2021</v>
      </c>
      <c r="E2931" s="1" t="str">
        <f>"12.25"</f>
        <v>12.25</v>
      </c>
      <c r="F2931" s="1" t="str">
        <f t="shared" ref="F2931:I2931" si="5928">"0"</f>
        <v>0</v>
      </c>
      <c r="G2931" s="1" t="str">
        <f t="shared" si="5928"/>
        <v>0</v>
      </c>
      <c r="H2931" s="1" t="str">
        <f t="shared" si="5928"/>
        <v>0</v>
      </c>
      <c r="I2931" s="1" t="str">
        <f t="shared" si="5928"/>
        <v>0</v>
      </c>
      <c r="J2931" s="1" t="str">
        <f>"1"</f>
        <v>1</v>
      </c>
      <c r="K2931" s="1" t="str">
        <f t="shared" ref="K2931:P2931" si="5929">"0"</f>
        <v>0</v>
      </c>
      <c r="L2931" s="1" t="str">
        <f t="shared" si="5929"/>
        <v>0</v>
      </c>
      <c r="M2931" s="1" t="str">
        <f t="shared" si="5929"/>
        <v>0</v>
      </c>
      <c r="N2931" s="1" t="str">
        <f t="shared" si="5929"/>
        <v>0</v>
      </c>
      <c r="O2931" s="1" t="str">
        <f t="shared" si="5929"/>
        <v>0</v>
      </c>
      <c r="P2931" s="1" t="str">
        <f t="shared" si="5929"/>
        <v>0</v>
      </c>
      <c r="Q2931" s="1" t="str">
        <f t="shared" si="5821"/>
        <v>0.0070</v>
      </c>
      <c r="R2931" s="1" t="s">
        <v>25</v>
      </c>
      <c r="T2931" s="1" t="str">
        <f t="shared" si="5822"/>
        <v>0</v>
      </c>
      <c r="U2931" s="1" t="str">
        <f t="shared" si="5925"/>
        <v>0.0070</v>
      </c>
    </row>
    <row r="2932" s="1" customFormat="1" spans="1:21">
      <c r="A2932" s="1" t="str">
        <f>"4601992055098"</f>
        <v>4601992055098</v>
      </c>
      <c r="B2932" s="1" t="s">
        <v>2955</v>
      </c>
      <c r="C2932" s="1" t="s">
        <v>24</v>
      </c>
      <c r="D2932" s="1" t="str">
        <f t="shared" si="5819"/>
        <v>2021</v>
      </c>
      <c r="E2932" s="1" t="str">
        <f t="shared" ref="E2932:I2932" si="5930">"0"</f>
        <v>0</v>
      </c>
      <c r="F2932" s="1" t="str">
        <f t="shared" si="5930"/>
        <v>0</v>
      </c>
      <c r="G2932" s="1" t="str">
        <f t="shared" si="5930"/>
        <v>0</v>
      </c>
      <c r="H2932" s="1" t="str">
        <f t="shared" si="5930"/>
        <v>0</v>
      </c>
      <c r="I2932" s="1" t="str">
        <f t="shared" si="5930"/>
        <v>0</v>
      </c>
      <c r="J2932" s="1" t="str">
        <f>"1"</f>
        <v>1</v>
      </c>
      <c r="K2932" s="1" t="str">
        <f t="shared" ref="K2932:P2932" si="5931">"0"</f>
        <v>0</v>
      </c>
      <c r="L2932" s="1" t="str">
        <f t="shared" si="5931"/>
        <v>0</v>
      </c>
      <c r="M2932" s="1" t="str">
        <f t="shared" si="5931"/>
        <v>0</v>
      </c>
      <c r="N2932" s="1" t="str">
        <f t="shared" si="5931"/>
        <v>0</v>
      </c>
      <c r="O2932" s="1" t="str">
        <f t="shared" si="5931"/>
        <v>0</v>
      </c>
      <c r="P2932" s="1" t="str">
        <f t="shared" si="5931"/>
        <v>0</v>
      </c>
      <c r="Q2932" s="1" t="str">
        <f t="shared" si="5821"/>
        <v>0.0070</v>
      </c>
      <c r="R2932" s="1" t="s">
        <v>25</v>
      </c>
      <c r="T2932" s="1" t="str">
        <f t="shared" si="5822"/>
        <v>0</v>
      </c>
      <c r="U2932" s="1" t="str">
        <f t="shared" si="5925"/>
        <v>0.0070</v>
      </c>
    </row>
    <row r="2933" s="1" customFormat="1" spans="1:21">
      <c r="A2933" s="1" t="str">
        <f>"4601992055105"</f>
        <v>4601992055105</v>
      </c>
      <c r="B2933" s="1" t="s">
        <v>2956</v>
      </c>
      <c r="C2933" s="1" t="s">
        <v>24</v>
      </c>
      <c r="D2933" s="1" t="str">
        <f t="shared" si="5819"/>
        <v>2021</v>
      </c>
      <c r="E2933" s="1" t="str">
        <f>"24.18"</f>
        <v>24.18</v>
      </c>
      <c r="F2933" s="1" t="str">
        <f t="shared" ref="F2933:I2933" si="5932">"0"</f>
        <v>0</v>
      </c>
      <c r="G2933" s="1" t="str">
        <f t="shared" si="5932"/>
        <v>0</v>
      </c>
      <c r="H2933" s="1" t="str">
        <f t="shared" si="5932"/>
        <v>0</v>
      </c>
      <c r="I2933" s="1" t="str">
        <f t="shared" si="5932"/>
        <v>0</v>
      </c>
      <c r="J2933" s="1" t="str">
        <f>"2"</f>
        <v>2</v>
      </c>
      <c r="K2933" s="1" t="str">
        <f t="shared" ref="K2933:P2933" si="5933">"0"</f>
        <v>0</v>
      </c>
      <c r="L2933" s="1" t="str">
        <f t="shared" si="5933"/>
        <v>0</v>
      </c>
      <c r="M2933" s="1" t="str">
        <f t="shared" si="5933"/>
        <v>0</v>
      </c>
      <c r="N2933" s="1" t="str">
        <f t="shared" si="5933"/>
        <v>0</v>
      </c>
      <c r="O2933" s="1" t="str">
        <f t="shared" si="5933"/>
        <v>0</v>
      </c>
      <c r="P2933" s="1" t="str">
        <f t="shared" si="5933"/>
        <v>0</v>
      </c>
      <c r="Q2933" s="1" t="str">
        <f t="shared" si="5821"/>
        <v>0.0070</v>
      </c>
      <c r="R2933" s="1" t="s">
        <v>29</v>
      </c>
      <c r="S2933" s="1">
        <v>-0.0014</v>
      </c>
      <c r="T2933" s="1" t="str">
        <f t="shared" si="5822"/>
        <v>0</v>
      </c>
      <c r="U2933" s="1" t="str">
        <f t="shared" ref="U2933:U2939" si="5934">"0.0056"</f>
        <v>0.0056</v>
      </c>
    </row>
    <row r="2934" s="1" customFormat="1" spans="1:21">
      <c r="A2934" s="1" t="str">
        <f>"4601992055118"</f>
        <v>4601992055118</v>
      </c>
      <c r="B2934" s="1" t="s">
        <v>2957</v>
      </c>
      <c r="C2934" s="1" t="s">
        <v>24</v>
      </c>
      <c r="D2934" s="1" t="str">
        <f t="shared" si="5819"/>
        <v>2021</v>
      </c>
      <c r="E2934" s="1" t="str">
        <f t="shared" ref="E2934:P2934" si="5935">"0"</f>
        <v>0</v>
      </c>
      <c r="F2934" s="1" t="str">
        <f t="shared" si="5935"/>
        <v>0</v>
      </c>
      <c r="G2934" s="1" t="str">
        <f t="shared" si="5935"/>
        <v>0</v>
      </c>
      <c r="H2934" s="1" t="str">
        <f t="shared" si="5935"/>
        <v>0</v>
      </c>
      <c r="I2934" s="1" t="str">
        <f t="shared" si="5935"/>
        <v>0</v>
      </c>
      <c r="J2934" s="1" t="str">
        <f t="shared" si="5935"/>
        <v>0</v>
      </c>
      <c r="K2934" s="1" t="str">
        <f t="shared" si="5935"/>
        <v>0</v>
      </c>
      <c r="L2934" s="1" t="str">
        <f t="shared" si="5935"/>
        <v>0</v>
      </c>
      <c r="M2934" s="1" t="str">
        <f t="shared" si="5935"/>
        <v>0</v>
      </c>
      <c r="N2934" s="1" t="str">
        <f t="shared" si="5935"/>
        <v>0</v>
      </c>
      <c r="O2934" s="1" t="str">
        <f t="shared" si="5935"/>
        <v>0</v>
      </c>
      <c r="P2934" s="1" t="str">
        <f t="shared" si="5935"/>
        <v>0</v>
      </c>
      <c r="Q2934" s="1" t="str">
        <f t="shared" si="5821"/>
        <v>0.0070</v>
      </c>
      <c r="R2934" s="1" t="s">
        <v>25</v>
      </c>
      <c r="T2934" s="1" t="str">
        <f t="shared" si="5822"/>
        <v>0</v>
      </c>
      <c r="U2934" s="1" t="str">
        <f>"0.0070"</f>
        <v>0.0070</v>
      </c>
    </row>
    <row r="2935" s="1" customFormat="1" spans="1:21">
      <c r="A2935" s="1" t="str">
        <f>"4601992055138"</f>
        <v>4601992055138</v>
      </c>
      <c r="B2935" s="1" t="s">
        <v>2958</v>
      </c>
      <c r="C2935" s="1" t="s">
        <v>24</v>
      </c>
      <c r="D2935" s="1" t="str">
        <f t="shared" si="5819"/>
        <v>2021</v>
      </c>
      <c r="E2935" s="1" t="str">
        <f t="shared" ref="E2935:P2935" si="5936">"0"</f>
        <v>0</v>
      </c>
      <c r="F2935" s="1" t="str">
        <f t="shared" si="5936"/>
        <v>0</v>
      </c>
      <c r="G2935" s="1" t="str">
        <f t="shared" si="5936"/>
        <v>0</v>
      </c>
      <c r="H2935" s="1" t="str">
        <f t="shared" si="5936"/>
        <v>0</v>
      </c>
      <c r="I2935" s="1" t="str">
        <f t="shared" si="5936"/>
        <v>0</v>
      </c>
      <c r="J2935" s="1" t="str">
        <f t="shared" si="5936"/>
        <v>0</v>
      </c>
      <c r="K2935" s="1" t="str">
        <f t="shared" si="5936"/>
        <v>0</v>
      </c>
      <c r="L2935" s="1" t="str">
        <f t="shared" si="5936"/>
        <v>0</v>
      </c>
      <c r="M2935" s="1" t="str">
        <f t="shared" si="5936"/>
        <v>0</v>
      </c>
      <c r="N2935" s="1" t="str">
        <f t="shared" si="5936"/>
        <v>0</v>
      </c>
      <c r="O2935" s="1" t="str">
        <f t="shared" si="5936"/>
        <v>0</v>
      </c>
      <c r="P2935" s="1" t="str">
        <f t="shared" si="5936"/>
        <v>0</v>
      </c>
      <c r="Q2935" s="1" t="str">
        <f t="shared" si="5821"/>
        <v>0.0070</v>
      </c>
      <c r="R2935" s="1" t="s">
        <v>25</v>
      </c>
      <c r="T2935" s="1" t="str">
        <f t="shared" si="5822"/>
        <v>0</v>
      </c>
      <c r="U2935" s="1" t="str">
        <f>"0.0070"</f>
        <v>0.0070</v>
      </c>
    </row>
    <row r="2936" s="1" customFormat="1" spans="1:21">
      <c r="A2936" s="1" t="str">
        <f>"4601992055239"</f>
        <v>4601992055239</v>
      </c>
      <c r="B2936" s="1" t="s">
        <v>2959</v>
      </c>
      <c r="C2936" s="1" t="s">
        <v>24</v>
      </c>
      <c r="D2936" s="1" t="str">
        <f t="shared" si="5819"/>
        <v>2021</v>
      </c>
      <c r="E2936" s="1" t="str">
        <f>"36.16"</f>
        <v>36.16</v>
      </c>
      <c r="F2936" s="1" t="str">
        <f t="shared" ref="F2936:I2936" si="5937">"0"</f>
        <v>0</v>
      </c>
      <c r="G2936" s="1" t="str">
        <f t="shared" si="5937"/>
        <v>0</v>
      </c>
      <c r="H2936" s="1" t="str">
        <f t="shared" si="5937"/>
        <v>0</v>
      </c>
      <c r="I2936" s="1" t="str">
        <f t="shared" si="5937"/>
        <v>0</v>
      </c>
      <c r="J2936" s="1" t="str">
        <f>"3"</f>
        <v>3</v>
      </c>
      <c r="K2936" s="1" t="str">
        <f t="shared" ref="K2936:P2936" si="5938">"0"</f>
        <v>0</v>
      </c>
      <c r="L2936" s="1" t="str">
        <f t="shared" si="5938"/>
        <v>0</v>
      </c>
      <c r="M2936" s="1" t="str">
        <f t="shared" si="5938"/>
        <v>0</v>
      </c>
      <c r="N2936" s="1" t="str">
        <f t="shared" si="5938"/>
        <v>0</v>
      </c>
      <c r="O2936" s="1" t="str">
        <f t="shared" si="5938"/>
        <v>0</v>
      </c>
      <c r="P2936" s="1" t="str">
        <f t="shared" si="5938"/>
        <v>0</v>
      </c>
      <c r="Q2936" s="1" t="str">
        <f t="shared" si="5821"/>
        <v>0.0070</v>
      </c>
      <c r="R2936" s="1" t="s">
        <v>29</v>
      </c>
      <c r="S2936" s="1">
        <v>-0.0014</v>
      </c>
      <c r="T2936" s="1" t="str">
        <f t="shared" si="5822"/>
        <v>0</v>
      </c>
      <c r="U2936" s="1" t="str">
        <f t="shared" si="5934"/>
        <v>0.0056</v>
      </c>
    </row>
    <row r="2937" s="1" customFormat="1" spans="1:21">
      <c r="A2937" s="1" t="str">
        <f>"4601992055195"</f>
        <v>4601992055195</v>
      </c>
      <c r="B2937" s="1" t="s">
        <v>2960</v>
      </c>
      <c r="C2937" s="1" t="s">
        <v>24</v>
      </c>
      <c r="D2937" s="1" t="str">
        <f t="shared" si="5819"/>
        <v>2021</v>
      </c>
      <c r="E2937" s="1" t="str">
        <f t="shared" ref="E2937:E2941" si="5939">"12.09"</f>
        <v>12.09</v>
      </c>
      <c r="F2937" s="1" t="str">
        <f t="shared" ref="F2937:I2937" si="5940">"0"</f>
        <v>0</v>
      </c>
      <c r="G2937" s="1" t="str">
        <f t="shared" si="5940"/>
        <v>0</v>
      </c>
      <c r="H2937" s="1" t="str">
        <f t="shared" si="5940"/>
        <v>0</v>
      </c>
      <c r="I2937" s="1" t="str">
        <f t="shared" si="5940"/>
        <v>0</v>
      </c>
      <c r="J2937" s="1" t="str">
        <f t="shared" ref="J2937:J2941" si="5941">"1"</f>
        <v>1</v>
      </c>
      <c r="K2937" s="1" t="str">
        <f t="shared" ref="K2937:P2937" si="5942">"0"</f>
        <v>0</v>
      </c>
      <c r="L2937" s="1" t="str">
        <f t="shared" si="5942"/>
        <v>0</v>
      </c>
      <c r="M2937" s="1" t="str">
        <f t="shared" si="5942"/>
        <v>0</v>
      </c>
      <c r="N2937" s="1" t="str">
        <f t="shared" si="5942"/>
        <v>0</v>
      </c>
      <c r="O2937" s="1" t="str">
        <f t="shared" si="5942"/>
        <v>0</v>
      </c>
      <c r="P2937" s="1" t="str">
        <f t="shared" si="5942"/>
        <v>0</v>
      </c>
      <c r="Q2937" s="1" t="str">
        <f t="shared" si="5821"/>
        <v>0.0070</v>
      </c>
      <c r="R2937" s="1" t="s">
        <v>29</v>
      </c>
      <c r="S2937" s="1">
        <v>-0.0014</v>
      </c>
      <c r="T2937" s="1" t="str">
        <f t="shared" si="5822"/>
        <v>0</v>
      </c>
      <c r="U2937" s="1" t="str">
        <f t="shared" si="5934"/>
        <v>0.0056</v>
      </c>
    </row>
    <row r="2938" s="1" customFormat="1" spans="1:21">
      <c r="A2938" s="1" t="str">
        <f>"4601992055275"</f>
        <v>4601992055275</v>
      </c>
      <c r="B2938" s="1" t="s">
        <v>2961</v>
      </c>
      <c r="C2938" s="1" t="s">
        <v>24</v>
      </c>
      <c r="D2938" s="1" t="str">
        <f t="shared" si="5819"/>
        <v>2021</v>
      </c>
      <c r="E2938" s="1" t="str">
        <f>"12.25"</f>
        <v>12.25</v>
      </c>
      <c r="F2938" s="1" t="str">
        <f t="shared" ref="F2938:I2938" si="5943">"0"</f>
        <v>0</v>
      </c>
      <c r="G2938" s="1" t="str">
        <f t="shared" si="5943"/>
        <v>0</v>
      </c>
      <c r="H2938" s="1" t="str">
        <f t="shared" si="5943"/>
        <v>0</v>
      </c>
      <c r="I2938" s="1" t="str">
        <f t="shared" si="5943"/>
        <v>0</v>
      </c>
      <c r="J2938" s="1" t="str">
        <f>"3"</f>
        <v>3</v>
      </c>
      <c r="K2938" s="1" t="str">
        <f t="shared" ref="K2938:P2938" si="5944">"0"</f>
        <v>0</v>
      </c>
      <c r="L2938" s="1" t="str">
        <f t="shared" si="5944"/>
        <v>0</v>
      </c>
      <c r="M2938" s="1" t="str">
        <f t="shared" si="5944"/>
        <v>0</v>
      </c>
      <c r="N2938" s="1" t="str">
        <f t="shared" si="5944"/>
        <v>0</v>
      </c>
      <c r="O2938" s="1" t="str">
        <f t="shared" si="5944"/>
        <v>0</v>
      </c>
      <c r="P2938" s="1" t="str">
        <f t="shared" si="5944"/>
        <v>0</v>
      </c>
      <c r="Q2938" s="1" t="str">
        <f t="shared" si="5821"/>
        <v>0.0070</v>
      </c>
      <c r="R2938" s="1" t="s">
        <v>29</v>
      </c>
      <c r="S2938" s="1">
        <v>-0.0014</v>
      </c>
      <c r="T2938" s="1" t="str">
        <f t="shared" si="5822"/>
        <v>0</v>
      </c>
      <c r="U2938" s="1" t="str">
        <f t="shared" si="5934"/>
        <v>0.0056</v>
      </c>
    </row>
    <row r="2939" s="1" customFormat="1" spans="1:21">
      <c r="A2939" s="1" t="str">
        <f>"4601992055257"</f>
        <v>4601992055257</v>
      </c>
      <c r="B2939" s="1" t="s">
        <v>2962</v>
      </c>
      <c r="C2939" s="1" t="s">
        <v>24</v>
      </c>
      <c r="D2939" s="1" t="str">
        <f t="shared" si="5819"/>
        <v>2021</v>
      </c>
      <c r="E2939" s="1" t="str">
        <f t="shared" si="5939"/>
        <v>12.09</v>
      </c>
      <c r="F2939" s="1" t="str">
        <f t="shared" ref="F2939:I2939" si="5945">"0"</f>
        <v>0</v>
      </c>
      <c r="G2939" s="1" t="str">
        <f t="shared" si="5945"/>
        <v>0</v>
      </c>
      <c r="H2939" s="1" t="str">
        <f t="shared" si="5945"/>
        <v>0</v>
      </c>
      <c r="I2939" s="1" t="str">
        <f t="shared" si="5945"/>
        <v>0</v>
      </c>
      <c r="J2939" s="1" t="str">
        <f t="shared" si="5941"/>
        <v>1</v>
      </c>
      <c r="K2939" s="1" t="str">
        <f t="shared" ref="K2939:P2939" si="5946">"0"</f>
        <v>0</v>
      </c>
      <c r="L2939" s="1" t="str">
        <f t="shared" si="5946"/>
        <v>0</v>
      </c>
      <c r="M2939" s="1" t="str">
        <f t="shared" si="5946"/>
        <v>0</v>
      </c>
      <c r="N2939" s="1" t="str">
        <f t="shared" si="5946"/>
        <v>0</v>
      </c>
      <c r="O2939" s="1" t="str">
        <f t="shared" si="5946"/>
        <v>0</v>
      </c>
      <c r="P2939" s="1" t="str">
        <f t="shared" si="5946"/>
        <v>0</v>
      </c>
      <c r="Q2939" s="1" t="str">
        <f t="shared" si="5821"/>
        <v>0.0070</v>
      </c>
      <c r="R2939" s="1" t="s">
        <v>29</v>
      </c>
      <c r="S2939" s="1">
        <v>-0.0014</v>
      </c>
      <c r="T2939" s="1" t="str">
        <f t="shared" si="5822"/>
        <v>0</v>
      </c>
      <c r="U2939" s="1" t="str">
        <f t="shared" si="5934"/>
        <v>0.0056</v>
      </c>
    </row>
    <row r="2940" s="1" customFormat="1" spans="1:21">
      <c r="A2940" s="1" t="str">
        <f>"4601992055323"</f>
        <v>4601992055323</v>
      </c>
      <c r="B2940" s="1" t="s">
        <v>2963</v>
      </c>
      <c r="C2940" s="1" t="s">
        <v>24</v>
      </c>
      <c r="D2940" s="1" t="str">
        <f t="shared" si="5819"/>
        <v>2021</v>
      </c>
      <c r="E2940" s="1" t="str">
        <f t="shared" ref="E2940:G2940" si="5947">"0"</f>
        <v>0</v>
      </c>
      <c r="F2940" s="1" t="str">
        <f t="shared" si="5947"/>
        <v>0</v>
      </c>
      <c r="G2940" s="1" t="str">
        <f t="shared" si="5947"/>
        <v>0</v>
      </c>
      <c r="H2940" s="1" t="str">
        <f>"24.50"</f>
        <v>24.50</v>
      </c>
      <c r="I2940" s="1" t="str">
        <f t="shared" ref="I2940:P2940" si="5948">"0"</f>
        <v>0</v>
      </c>
      <c r="J2940" s="1" t="str">
        <f t="shared" si="5948"/>
        <v>0</v>
      </c>
      <c r="K2940" s="1" t="str">
        <f t="shared" si="5948"/>
        <v>0</v>
      </c>
      <c r="L2940" s="1" t="str">
        <f t="shared" si="5948"/>
        <v>0</v>
      </c>
      <c r="M2940" s="1" t="str">
        <f t="shared" si="5948"/>
        <v>0</v>
      </c>
      <c r="N2940" s="1" t="str">
        <f t="shared" si="5948"/>
        <v>0</v>
      </c>
      <c r="O2940" s="1" t="str">
        <f t="shared" si="5948"/>
        <v>0</v>
      </c>
      <c r="P2940" s="1" t="str">
        <f t="shared" si="5948"/>
        <v>0</v>
      </c>
      <c r="Q2940" s="1" t="str">
        <f t="shared" si="5821"/>
        <v>0.0070</v>
      </c>
      <c r="R2940" s="1" t="s">
        <v>25</v>
      </c>
      <c r="T2940" s="1" t="str">
        <f t="shared" si="5822"/>
        <v>0</v>
      </c>
      <c r="U2940" s="1" t="str">
        <f>"0.0070"</f>
        <v>0.0070</v>
      </c>
    </row>
    <row r="2941" s="1" customFormat="1" spans="1:21">
      <c r="A2941" s="1" t="str">
        <f>"4601992055310"</f>
        <v>4601992055310</v>
      </c>
      <c r="B2941" s="1" t="s">
        <v>2964</v>
      </c>
      <c r="C2941" s="1" t="s">
        <v>24</v>
      </c>
      <c r="D2941" s="1" t="str">
        <f t="shared" si="5819"/>
        <v>2021</v>
      </c>
      <c r="E2941" s="1" t="str">
        <f t="shared" si="5939"/>
        <v>12.09</v>
      </c>
      <c r="F2941" s="1" t="str">
        <f t="shared" ref="F2941:I2941" si="5949">"0"</f>
        <v>0</v>
      </c>
      <c r="G2941" s="1" t="str">
        <f t="shared" si="5949"/>
        <v>0</v>
      </c>
      <c r="H2941" s="1" t="str">
        <f t="shared" si="5949"/>
        <v>0</v>
      </c>
      <c r="I2941" s="1" t="str">
        <f t="shared" si="5949"/>
        <v>0</v>
      </c>
      <c r="J2941" s="1" t="str">
        <f t="shared" si="5941"/>
        <v>1</v>
      </c>
      <c r="K2941" s="1" t="str">
        <f t="shared" ref="K2941:P2941" si="5950">"0"</f>
        <v>0</v>
      </c>
      <c r="L2941" s="1" t="str">
        <f t="shared" si="5950"/>
        <v>0</v>
      </c>
      <c r="M2941" s="1" t="str">
        <f t="shared" si="5950"/>
        <v>0</v>
      </c>
      <c r="N2941" s="1" t="str">
        <f t="shared" si="5950"/>
        <v>0</v>
      </c>
      <c r="O2941" s="1" t="str">
        <f t="shared" si="5950"/>
        <v>0</v>
      </c>
      <c r="P2941" s="1" t="str">
        <f t="shared" si="5950"/>
        <v>0</v>
      </c>
      <c r="Q2941" s="1" t="str">
        <f t="shared" si="5821"/>
        <v>0.0070</v>
      </c>
      <c r="R2941" s="1" t="s">
        <v>29</v>
      </c>
      <c r="S2941" s="1">
        <v>-0.0014</v>
      </c>
      <c r="T2941" s="1" t="str">
        <f t="shared" si="5822"/>
        <v>0</v>
      </c>
      <c r="U2941" s="1" t="str">
        <f t="shared" ref="U2941:U2947" si="5951">"0.0056"</f>
        <v>0.0056</v>
      </c>
    </row>
    <row r="2942" s="1" customFormat="1" spans="1:21">
      <c r="A2942" s="1" t="str">
        <f>"4601992055299"</f>
        <v>4601992055299</v>
      </c>
      <c r="B2942" s="1" t="s">
        <v>2965</v>
      </c>
      <c r="C2942" s="1" t="s">
        <v>24</v>
      </c>
      <c r="D2942" s="1" t="str">
        <f t="shared" si="5819"/>
        <v>2021</v>
      </c>
      <c r="E2942" s="1" t="str">
        <f>"36.27"</f>
        <v>36.27</v>
      </c>
      <c r="F2942" s="1" t="str">
        <f t="shared" ref="F2942:I2942" si="5952">"0"</f>
        <v>0</v>
      </c>
      <c r="G2942" s="1" t="str">
        <f t="shared" si="5952"/>
        <v>0</v>
      </c>
      <c r="H2942" s="1" t="str">
        <f t="shared" si="5952"/>
        <v>0</v>
      </c>
      <c r="I2942" s="1" t="str">
        <f t="shared" si="5952"/>
        <v>0</v>
      </c>
      <c r="J2942" s="1" t="str">
        <f t="shared" ref="J2942:J2945" si="5953">"3"</f>
        <v>3</v>
      </c>
      <c r="K2942" s="1" t="str">
        <f t="shared" ref="K2942:P2942" si="5954">"0"</f>
        <v>0</v>
      </c>
      <c r="L2942" s="1" t="str">
        <f t="shared" si="5954"/>
        <v>0</v>
      </c>
      <c r="M2942" s="1" t="str">
        <f t="shared" si="5954"/>
        <v>0</v>
      </c>
      <c r="N2942" s="1" t="str">
        <f t="shared" si="5954"/>
        <v>0</v>
      </c>
      <c r="O2942" s="1" t="str">
        <f t="shared" si="5954"/>
        <v>0</v>
      </c>
      <c r="P2942" s="1" t="str">
        <f t="shared" si="5954"/>
        <v>0</v>
      </c>
      <c r="Q2942" s="1" t="str">
        <f t="shared" si="5821"/>
        <v>0.0070</v>
      </c>
      <c r="R2942" s="1" t="s">
        <v>29</v>
      </c>
      <c r="S2942" s="1">
        <v>-0.0014</v>
      </c>
      <c r="T2942" s="1" t="str">
        <f t="shared" si="5822"/>
        <v>0</v>
      </c>
      <c r="U2942" s="1" t="str">
        <f t="shared" si="5951"/>
        <v>0.0056</v>
      </c>
    </row>
    <row r="2943" s="1" customFormat="1" spans="1:21">
      <c r="A2943" s="1" t="str">
        <f>"4601992055967"</f>
        <v>4601992055967</v>
      </c>
      <c r="B2943" s="1" t="s">
        <v>2966</v>
      </c>
      <c r="C2943" s="1" t="s">
        <v>24</v>
      </c>
      <c r="D2943" s="1" t="str">
        <f t="shared" si="5819"/>
        <v>2021</v>
      </c>
      <c r="E2943" s="1" t="str">
        <f>"56.00"</f>
        <v>56.00</v>
      </c>
      <c r="F2943" s="1" t="str">
        <f t="shared" ref="F2943:I2943" si="5955">"0"</f>
        <v>0</v>
      </c>
      <c r="G2943" s="1" t="str">
        <f t="shared" si="5955"/>
        <v>0</v>
      </c>
      <c r="H2943" s="1" t="str">
        <f t="shared" si="5955"/>
        <v>0</v>
      </c>
      <c r="I2943" s="1" t="str">
        <f t="shared" si="5955"/>
        <v>0</v>
      </c>
      <c r="J2943" s="1" t="str">
        <f>"2"</f>
        <v>2</v>
      </c>
      <c r="K2943" s="1" t="str">
        <f t="shared" ref="K2943:P2943" si="5956">"0"</f>
        <v>0</v>
      </c>
      <c r="L2943" s="1" t="str">
        <f t="shared" si="5956"/>
        <v>0</v>
      </c>
      <c r="M2943" s="1" t="str">
        <f t="shared" si="5956"/>
        <v>0</v>
      </c>
      <c r="N2943" s="1" t="str">
        <f t="shared" si="5956"/>
        <v>0</v>
      </c>
      <c r="O2943" s="1" t="str">
        <f t="shared" si="5956"/>
        <v>0</v>
      </c>
      <c r="P2943" s="1" t="str">
        <f t="shared" si="5956"/>
        <v>0</v>
      </c>
      <c r="Q2943" s="1" t="str">
        <f t="shared" si="5821"/>
        <v>0.0070</v>
      </c>
      <c r="R2943" s="1" t="s">
        <v>29</v>
      </c>
      <c r="S2943" s="1">
        <v>-0.0014</v>
      </c>
      <c r="T2943" s="1" t="str">
        <f t="shared" si="5822"/>
        <v>0</v>
      </c>
      <c r="U2943" s="1" t="str">
        <f t="shared" si="5951"/>
        <v>0.0056</v>
      </c>
    </row>
    <row r="2944" s="1" customFormat="1" spans="1:21">
      <c r="A2944" s="1" t="str">
        <f>"4601992055794"</f>
        <v>4601992055794</v>
      </c>
      <c r="B2944" s="1" t="s">
        <v>2967</v>
      </c>
      <c r="C2944" s="1" t="s">
        <v>24</v>
      </c>
      <c r="D2944" s="1" t="str">
        <f t="shared" si="5819"/>
        <v>2021</v>
      </c>
      <c r="E2944" s="1" t="str">
        <f>"36.27"</f>
        <v>36.27</v>
      </c>
      <c r="F2944" s="1" t="str">
        <f t="shared" ref="F2944:I2944" si="5957">"0"</f>
        <v>0</v>
      </c>
      <c r="G2944" s="1" t="str">
        <f t="shared" si="5957"/>
        <v>0</v>
      </c>
      <c r="H2944" s="1" t="str">
        <f t="shared" si="5957"/>
        <v>0</v>
      </c>
      <c r="I2944" s="1" t="str">
        <f t="shared" si="5957"/>
        <v>0</v>
      </c>
      <c r="J2944" s="1" t="str">
        <f t="shared" si="5953"/>
        <v>3</v>
      </c>
      <c r="K2944" s="1" t="str">
        <f t="shared" ref="K2944:P2944" si="5958">"0"</f>
        <v>0</v>
      </c>
      <c r="L2944" s="1" t="str">
        <f t="shared" si="5958"/>
        <v>0</v>
      </c>
      <c r="M2944" s="1" t="str">
        <f t="shared" si="5958"/>
        <v>0</v>
      </c>
      <c r="N2944" s="1" t="str">
        <f t="shared" si="5958"/>
        <v>0</v>
      </c>
      <c r="O2944" s="1" t="str">
        <f t="shared" si="5958"/>
        <v>0</v>
      </c>
      <c r="P2944" s="1" t="str">
        <f t="shared" si="5958"/>
        <v>0</v>
      </c>
      <c r="Q2944" s="1" t="str">
        <f t="shared" si="5821"/>
        <v>0.0070</v>
      </c>
      <c r="R2944" s="1" t="s">
        <v>29</v>
      </c>
      <c r="S2944" s="1">
        <v>-0.0014</v>
      </c>
      <c r="T2944" s="1" t="str">
        <f t="shared" si="5822"/>
        <v>0</v>
      </c>
      <c r="U2944" s="1" t="str">
        <f t="shared" si="5951"/>
        <v>0.0056</v>
      </c>
    </row>
    <row r="2945" s="1" customFormat="1" spans="1:21">
      <c r="A2945" s="1" t="str">
        <f>"4601992055978"</f>
        <v>4601992055978</v>
      </c>
      <c r="B2945" s="1" t="s">
        <v>2968</v>
      </c>
      <c r="C2945" s="1" t="s">
        <v>24</v>
      </c>
      <c r="D2945" s="1" t="str">
        <f t="shared" si="5819"/>
        <v>2021</v>
      </c>
      <c r="E2945" s="1" t="str">
        <f>"48.36"</f>
        <v>48.36</v>
      </c>
      <c r="F2945" s="1" t="str">
        <f t="shared" ref="F2945:I2945" si="5959">"0"</f>
        <v>0</v>
      </c>
      <c r="G2945" s="1" t="str">
        <f t="shared" si="5959"/>
        <v>0</v>
      </c>
      <c r="H2945" s="1" t="str">
        <f t="shared" si="5959"/>
        <v>0</v>
      </c>
      <c r="I2945" s="1" t="str">
        <f t="shared" si="5959"/>
        <v>0</v>
      </c>
      <c r="J2945" s="1" t="str">
        <f t="shared" si="5953"/>
        <v>3</v>
      </c>
      <c r="K2945" s="1" t="str">
        <f t="shared" ref="K2945:P2945" si="5960">"0"</f>
        <v>0</v>
      </c>
      <c r="L2945" s="1" t="str">
        <f t="shared" si="5960"/>
        <v>0</v>
      </c>
      <c r="M2945" s="1" t="str">
        <f t="shared" si="5960"/>
        <v>0</v>
      </c>
      <c r="N2945" s="1" t="str">
        <f t="shared" si="5960"/>
        <v>0</v>
      </c>
      <c r="O2945" s="1" t="str">
        <f t="shared" si="5960"/>
        <v>0</v>
      </c>
      <c r="P2945" s="1" t="str">
        <f t="shared" si="5960"/>
        <v>0</v>
      </c>
      <c r="Q2945" s="1" t="str">
        <f t="shared" si="5821"/>
        <v>0.0070</v>
      </c>
      <c r="R2945" s="1" t="s">
        <v>29</v>
      </c>
      <c r="S2945" s="1">
        <v>-0.0014</v>
      </c>
      <c r="T2945" s="1" t="str">
        <f t="shared" si="5822"/>
        <v>0</v>
      </c>
      <c r="U2945" s="1" t="str">
        <f t="shared" si="5951"/>
        <v>0.0056</v>
      </c>
    </row>
    <row r="2946" s="1" customFormat="1" spans="1:21">
      <c r="A2946" s="1" t="str">
        <f>"4601991401603"</f>
        <v>4601991401603</v>
      </c>
      <c r="B2946" s="1" t="s">
        <v>2969</v>
      </c>
      <c r="C2946" s="1" t="s">
        <v>24</v>
      </c>
      <c r="D2946" s="1" t="str">
        <f t="shared" si="5819"/>
        <v>2021</v>
      </c>
      <c r="E2946" s="1" t="str">
        <f>"6835.38"</f>
        <v>6835.38</v>
      </c>
      <c r="F2946" s="1" t="str">
        <f t="shared" ref="F2946:I2946" si="5961">"0"</f>
        <v>0</v>
      </c>
      <c r="G2946" s="1" t="str">
        <f t="shared" si="5961"/>
        <v>0</v>
      </c>
      <c r="H2946" s="1" t="str">
        <f t="shared" si="5961"/>
        <v>0</v>
      </c>
      <c r="I2946" s="1" t="str">
        <f t="shared" si="5961"/>
        <v>0</v>
      </c>
      <c r="J2946" s="1" t="str">
        <f>"36"</f>
        <v>36</v>
      </c>
      <c r="K2946" s="1" t="str">
        <f t="shared" ref="K2946:P2946" si="5962">"0"</f>
        <v>0</v>
      </c>
      <c r="L2946" s="1" t="str">
        <f t="shared" si="5962"/>
        <v>0</v>
      </c>
      <c r="M2946" s="1" t="str">
        <f t="shared" si="5962"/>
        <v>0</v>
      </c>
      <c r="N2946" s="1" t="str">
        <f t="shared" si="5962"/>
        <v>0</v>
      </c>
      <c r="O2946" s="1" t="str">
        <f t="shared" si="5962"/>
        <v>0</v>
      </c>
      <c r="P2946" s="1" t="str">
        <f t="shared" si="5962"/>
        <v>0</v>
      </c>
      <c r="Q2946" s="1" t="str">
        <f t="shared" si="5821"/>
        <v>0.0070</v>
      </c>
      <c r="R2946" s="1" t="s">
        <v>29</v>
      </c>
      <c r="S2946" s="1">
        <v>-0.0014</v>
      </c>
      <c r="T2946" s="1" t="str">
        <f t="shared" si="5822"/>
        <v>0</v>
      </c>
      <c r="U2946" s="1" t="str">
        <f t="shared" si="5951"/>
        <v>0.0056</v>
      </c>
    </row>
    <row r="2947" s="1" customFormat="1" spans="1:21">
      <c r="A2947" s="1" t="str">
        <f>"4601992056004"</f>
        <v>4601992056004</v>
      </c>
      <c r="B2947" s="1" t="s">
        <v>2970</v>
      </c>
      <c r="C2947" s="1" t="s">
        <v>24</v>
      </c>
      <c r="D2947" s="1" t="str">
        <f t="shared" ref="D2947:D3010" si="5963">"2021"</f>
        <v>2021</v>
      </c>
      <c r="E2947" s="1" t="str">
        <f>"24.18"</f>
        <v>24.18</v>
      </c>
      <c r="F2947" s="1" t="str">
        <f t="shared" ref="F2947:I2947" si="5964">"0"</f>
        <v>0</v>
      </c>
      <c r="G2947" s="1" t="str">
        <f t="shared" si="5964"/>
        <v>0</v>
      </c>
      <c r="H2947" s="1" t="str">
        <f t="shared" si="5964"/>
        <v>0</v>
      </c>
      <c r="I2947" s="1" t="str">
        <f t="shared" si="5964"/>
        <v>0</v>
      </c>
      <c r="J2947" s="1" t="str">
        <f>"2"</f>
        <v>2</v>
      </c>
      <c r="K2947" s="1" t="str">
        <f t="shared" ref="K2947:P2947" si="5965">"0"</f>
        <v>0</v>
      </c>
      <c r="L2947" s="1" t="str">
        <f t="shared" si="5965"/>
        <v>0</v>
      </c>
      <c r="M2947" s="1" t="str">
        <f t="shared" si="5965"/>
        <v>0</v>
      </c>
      <c r="N2947" s="1" t="str">
        <f t="shared" si="5965"/>
        <v>0</v>
      </c>
      <c r="O2947" s="1" t="str">
        <f t="shared" si="5965"/>
        <v>0</v>
      </c>
      <c r="P2947" s="1" t="str">
        <f t="shared" si="5965"/>
        <v>0</v>
      </c>
      <c r="Q2947" s="1" t="str">
        <f t="shared" ref="Q2947:Q3010" si="5966">"0.0070"</f>
        <v>0.0070</v>
      </c>
      <c r="R2947" s="1" t="s">
        <v>29</v>
      </c>
      <c r="S2947" s="1">
        <v>-0.0014</v>
      </c>
      <c r="T2947" s="1" t="str">
        <f t="shared" ref="T2947:T3010" si="5967">"0"</f>
        <v>0</v>
      </c>
      <c r="U2947" s="1" t="str">
        <f t="shared" si="5951"/>
        <v>0.0056</v>
      </c>
    </row>
    <row r="2948" s="1" customFormat="1" spans="1:21">
      <c r="A2948" s="1" t="str">
        <f>"4601992056020"</f>
        <v>4601992056020</v>
      </c>
      <c r="B2948" s="1" t="s">
        <v>2971</v>
      </c>
      <c r="C2948" s="1" t="s">
        <v>24</v>
      </c>
      <c r="D2948" s="1" t="str">
        <f t="shared" si="5963"/>
        <v>2021</v>
      </c>
      <c r="E2948" s="1" t="str">
        <f t="shared" ref="E2948:G2948" si="5968">"0"</f>
        <v>0</v>
      </c>
      <c r="F2948" s="1" t="str">
        <f t="shared" si="5968"/>
        <v>0</v>
      </c>
      <c r="G2948" s="1" t="str">
        <f t="shared" si="5968"/>
        <v>0</v>
      </c>
      <c r="H2948" s="1" t="str">
        <f>"24.18"</f>
        <v>24.18</v>
      </c>
      <c r="I2948" s="1" t="str">
        <f t="shared" ref="I2948:P2948" si="5969">"0"</f>
        <v>0</v>
      </c>
      <c r="J2948" s="1" t="str">
        <f t="shared" si="5969"/>
        <v>0</v>
      </c>
      <c r="K2948" s="1" t="str">
        <f t="shared" si="5969"/>
        <v>0</v>
      </c>
      <c r="L2948" s="1" t="str">
        <f t="shared" si="5969"/>
        <v>0</v>
      </c>
      <c r="M2948" s="1" t="str">
        <f t="shared" si="5969"/>
        <v>0</v>
      </c>
      <c r="N2948" s="1" t="str">
        <f t="shared" si="5969"/>
        <v>0</v>
      </c>
      <c r="O2948" s="1" t="str">
        <f t="shared" si="5969"/>
        <v>0</v>
      </c>
      <c r="P2948" s="1" t="str">
        <f t="shared" si="5969"/>
        <v>0</v>
      </c>
      <c r="Q2948" s="1" t="str">
        <f t="shared" si="5966"/>
        <v>0.0070</v>
      </c>
      <c r="R2948" s="1" t="s">
        <v>25</v>
      </c>
      <c r="T2948" s="1" t="str">
        <f t="shared" si="5967"/>
        <v>0</v>
      </c>
      <c r="U2948" s="1" t="str">
        <f>"0.0070"</f>
        <v>0.0070</v>
      </c>
    </row>
    <row r="2949" s="1" customFormat="1" spans="1:21">
      <c r="A2949" s="1" t="str">
        <f>"4601992056006"</f>
        <v>4601992056006</v>
      </c>
      <c r="B2949" s="1" t="s">
        <v>2972</v>
      </c>
      <c r="C2949" s="1" t="s">
        <v>24</v>
      </c>
      <c r="D2949" s="1" t="str">
        <f t="shared" si="5963"/>
        <v>2021</v>
      </c>
      <c r="E2949" s="1" t="str">
        <f>"96.72"</f>
        <v>96.72</v>
      </c>
      <c r="F2949" s="1" t="str">
        <f t="shared" ref="F2949:I2949" si="5970">"0"</f>
        <v>0</v>
      </c>
      <c r="G2949" s="1" t="str">
        <f t="shared" si="5970"/>
        <v>0</v>
      </c>
      <c r="H2949" s="1" t="str">
        <f t="shared" si="5970"/>
        <v>0</v>
      </c>
      <c r="I2949" s="1" t="str">
        <f t="shared" si="5970"/>
        <v>0</v>
      </c>
      <c r="J2949" s="1" t="str">
        <f>"6"</f>
        <v>6</v>
      </c>
      <c r="K2949" s="1" t="str">
        <f t="shared" ref="K2949:P2949" si="5971">"0"</f>
        <v>0</v>
      </c>
      <c r="L2949" s="1" t="str">
        <f t="shared" si="5971"/>
        <v>0</v>
      </c>
      <c r="M2949" s="1" t="str">
        <f t="shared" si="5971"/>
        <v>0</v>
      </c>
      <c r="N2949" s="1" t="str">
        <f t="shared" si="5971"/>
        <v>0</v>
      </c>
      <c r="O2949" s="1" t="str">
        <f t="shared" si="5971"/>
        <v>0</v>
      </c>
      <c r="P2949" s="1" t="str">
        <f t="shared" si="5971"/>
        <v>0</v>
      </c>
      <c r="Q2949" s="1" t="str">
        <f t="shared" si="5966"/>
        <v>0.0070</v>
      </c>
      <c r="R2949" s="1" t="s">
        <v>29</v>
      </c>
      <c r="S2949" s="1">
        <v>-0.0014</v>
      </c>
      <c r="T2949" s="1" t="str">
        <f t="shared" si="5967"/>
        <v>0</v>
      </c>
      <c r="U2949" s="1" t="str">
        <f t="shared" ref="U2949:U2956" si="5972">"0.0056"</f>
        <v>0.0056</v>
      </c>
    </row>
    <row r="2950" s="1" customFormat="1" spans="1:21">
      <c r="A2950" s="1" t="str">
        <f>"4601992056121"</f>
        <v>4601992056121</v>
      </c>
      <c r="B2950" s="1" t="s">
        <v>2973</v>
      </c>
      <c r="C2950" s="1" t="s">
        <v>24</v>
      </c>
      <c r="D2950" s="1" t="str">
        <f t="shared" si="5963"/>
        <v>2021</v>
      </c>
      <c r="E2950" s="1" t="str">
        <f>"24.18"</f>
        <v>24.18</v>
      </c>
      <c r="F2950" s="1" t="str">
        <f t="shared" ref="F2950:I2950" si="5973">"0"</f>
        <v>0</v>
      </c>
      <c r="G2950" s="1" t="str">
        <f t="shared" si="5973"/>
        <v>0</v>
      </c>
      <c r="H2950" s="1" t="str">
        <f t="shared" si="5973"/>
        <v>0</v>
      </c>
      <c r="I2950" s="1" t="str">
        <f t="shared" si="5973"/>
        <v>0</v>
      </c>
      <c r="J2950" s="1" t="str">
        <f>"3"</f>
        <v>3</v>
      </c>
      <c r="K2950" s="1" t="str">
        <f t="shared" ref="K2950:P2950" si="5974">"0"</f>
        <v>0</v>
      </c>
      <c r="L2950" s="1" t="str">
        <f t="shared" si="5974"/>
        <v>0</v>
      </c>
      <c r="M2950" s="1" t="str">
        <f t="shared" si="5974"/>
        <v>0</v>
      </c>
      <c r="N2950" s="1" t="str">
        <f t="shared" si="5974"/>
        <v>0</v>
      </c>
      <c r="O2950" s="1" t="str">
        <f t="shared" si="5974"/>
        <v>0</v>
      </c>
      <c r="P2950" s="1" t="str">
        <f t="shared" si="5974"/>
        <v>0</v>
      </c>
      <c r="Q2950" s="1" t="str">
        <f t="shared" si="5966"/>
        <v>0.0070</v>
      </c>
      <c r="R2950" s="1" t="s">
        <v>29</v>
      </c>
      <c r="S2950" s="1">
        <v>-0.0014</v>
      </c>
      <c r="T2950" s="1" t="str">
        <f t="shared" si="5967"/>
        <v>0</v>
      </c>
      <c r="U2950" s="1" t="str">
        <f t="shared" si="5972"/>
        <v>0.0056</v>
      </c>
    </row>
    <row r="2951" s="1" customFormat="1" spans="1:21">
      <c r="A2951" s="1" t="str">
        <f>"4601992056088"</f>
        <v>4601992056088</v>
      </c>
      <c r="B2951" s="1" t="s">
        <v>2974</v>
      </c>
      <c r="C2951" s="1" t="s">
        <v>24</v>
      </c>
      <c r="D2951" s="1" t="str">
        <f t="shared" si="5963"/>
        <v>2021</v>
      </c>
      <c r="E2951" s="1" t="str">
        <f>"37.80"</f>
        <v>37.80</v>
      </c>
      <c r="F2951" s="1" t="str">
        <f t="shared" ref="F2951:I2951" si="5975">"0"</f>
        <v>0</v>
      </c>
      <c r="G2951" s="1" t="str">
        <f t="shared" si="5975"/>
        <v>0</v>
      </c>
      <c r="H2951" s="1" t="str">
        <f t="shared" si="5975"/>
        <v>0</v>
      </c>
      <c r="I2951" s="1" t="str">
        <f t="shared" si="5975"/>
        <v>0</v>
      </c>
      <c r="J2951" s="1" t="str">
        <f>"4"</f>
        <v>4</v>
      </c>
      <c r="K2951" s="1" t="str">
        <f t="shared" ref="K2951:P2951" si="5976">"0"</f>
        <v>0</v>
      </c>
      <c r="L2951" s="1" t="str">
        <f t="shared" si="5976"/>
        <v>0</v>
      </c>
      <c r="M2951" s="1" t="str">
        <f t="shared" si="5976"/>
        <v>0</v>
      </c>
      <c r="N2951" s="1" t="str">
        <f t="shared" si="5976"/>
        <v>0</v>
      </c>
      <c r="O2951" s="1" t="str">
        <f t="shared" si="5976"/>
        <v>0</v>
      </c>
      <c r="P2951" s="1" t="str">
        <f t="shared" si="5976"/>
        <v>0</v>
      </c>
      <c r="Q2951" s="1" t="str">
        <f t="shared" si="5966"/>
        <v>0.0070</v>
      </c>
      <c r="R2951" s="1" t="s">
        <v>29</v>
      </c>
      <c r="S2951" s="1">
        <v>-0.0014</v>
      </c>
      <c r="T2951" s="1" t="str">
        <f t="shared" si="5967"/>
        <v>0</v>
      </c>
      <c r="U2951" s="1" t="str">
        <f t="shared" si="5972"/>
        <v>0.0056</v>
      </c>
    </row>
    <row r="2952" s="1" customFormat="1" spans="1:21">
      <c r="A2952" s="1" t="str">
        <f>"4601992056141"</f>
        <v>4601992056141</v>
      </c>
      <c r="B2952" s="1" t="s">
        <v>2975</v>
      </c>
      <c r="C2952" s="1" t="s">
        <v>24</v>
      </c>
      <c r="D2952" s="1" t="str">
        <f t="shared" si="5963"/>
        <v>2021</v>
      </c>
      <c r="E2952" s="1" t="str">
        <f>"35.94"</f>
        <v>35.94</v>
      </c>
      <c r="F2952" s="1" t="str">
        <f t="shared" ref="F2952:I2952" si="5977">"0"</f>
        <v>0</v>
      </c>
      <c r="G2952" s="1" t="str">
        <f t="shared" si="5977"/>
        <v>0</v>
      </c>
      <c r="H2952" s="1" t="str">
        <f t="shared" si="5977"/>
        <v>0</v>
      </c>
      <c r="I2952" s="1" t="str">
        <f t="shared" si="5977"/>
        <v>0</v>
      </c>
      <c r="J2952" s="1" t="str">
        <f>"5"</f>
        <v>5</v>
      </c>
      <c r="K2952" s="1" t="str">
        <f t="shared" ref="K2952:P2952" si="5978">"0"</f>
        <v>0</v>
      </c>
      <c r="L2952" s="1" t="str">
        <f t="shared" si="5978"/>
        <v>0</v>
      </c>
      <c r="M2952" s="1" t="str">
        <f t="shared" si="5978"/>
        <v>0</v>
      </c>
      <c r="N2952" s="1" t="str">
        <f t="shared" si="5978"/>
        <v>0</v>
      </c>
      <c r="O2952" s="1" t="str">
        <f t="shared" si="5978"/>
        <v>0</v>
      </c>
      <c r="P2952" s="1" t="str">
        <f t="shared" si="5978"/>
        <v>0</v>
      </c>
      <c r="Q2952" s="1" t="str">
        <f t="shared" si="5966"/>
        <v>0.0070</v>
      </c>
      <c r="R2952" s="1" t="s">
        <v>29</v>
      </c>
      <c r="S2952" s="1">
        <v>-0.0014</v>
      </c>
      <c r="T2952" s="1" t="str">
        <f t="shared" si="5967"/>
        <v>0</v>
      </c>
      <c r="U2952" s="1" t="str">
        <f t="shared" si="5972"/>
        <v>0.0056</v>
      </c>
    </row>
    <row r="2953" s="1" customFormat="1" spans="1:21">
      <c r="A2953" s="1" t="str">
        <f>"4601992056158"</f>
        <v>4601992056158</v>
      </c>
      <c r="B2953" s="1" t="s">
        <v>2976</v>
      </c>
      <c r="C2953" s="1" t="s">
        <v>24</v>
      </c>
      <c r="D2953" s="1" t="str">
        <f t="shared" si="5963"/>
        <v>2021</v>
      </c>
      <c r="E2953" s="1" t="str">
        <f>"108.81"</f>
        <v>108.81</v>
      </c>
      <c r="F2953" s="1" t="str">
        <f t="shared" ref="F2953:I2953" si="5979">"0"</f>
        <v>0</v>
      </c>
      <c r="G2953" s="1" t="str">
        <f t="shared" si="5979"/>
        <v>0</v>
      </c>
      <c r="H2953" s="1" t="str">
        <f t="shared" si="5979"/>
        <v>0</v>
      </c>
      <c r="I2953" s="1" t="str">
        <f t="shared" si="5979"/>
        <v>0</v>
      </c>
      <c r="J2953" s="1" t="str">
        <f>"9"</f>
        <v>9</v>
      </c>
      <c r="K2953" s="1" t="str">
        <f t="shared" ref="K2953:P2953" si="5980">"0"</f>
        <v>0</v>
      </c>
      <c r="L2953" s="1" t="str">
        <f t="shared" si="5980"/>
        <v>0</v>
      </c>
      <c r="M2953" s="1" t="str">
        <f t="shared" si="5980"/>
        <v>0</v>
      </c>
      <c r="N2953" s="1" t="str">
        <f t="shared" si="5980"/>
        <v>0</v>
      </c>
      <c r="O2953" s="1" t="str">
        <f t="shared" si="5980"/>
        <v>0</v>
      </c>
      <c r="P2953" s="1" t="str">
        <f t="shared" si="5980"/>
        <v>0</v>
      </c>
      <c r="Q2953" s="1" t="str">
        <f t="shared" si="5966"/>
        <v>0.0070</v>
      </c>
      <c r="R2953" s="1" t="s">
        <v>29</v>
      </c>
      <c r="S2953" s="1">
        <v>-0.0014</v>
      </c>
      <c r="T2953" s="1" t="str">
        <f t="shared" si="5967"/>
        <v>0</v>
      </c>
      <c r="U2953" s="1" t="str">
        <f t="shared" si="5972"/>
        <v>0.0056</v>
      </c>
    </row>
    <row r="2954" s="1" customFormat="1" spans="1:21">
      <c r="A2954" s="1" t="str">
        <f>"4601992056156"</f>
        <v>4601992056156</v>
      </c>
      <c r="B2954" s="1" t="s">
        <v>2977</v>
      </c>
      <c r="C2954" s="1" t="s">
        <v>24</v>
      </c>
      <c r="D2954" s="1" t="str">
        <f t="shared" si="5963"/>
        <v>2021</v>
      </c>
      <c r="E2954" s="1" t="str">
        <f>"36.43"</f>
        <v>36.43</v>
      </c>
      <c r="F2954" s="1" t="str">
        <f t="shared" ref="F2954:I2954" si="5981">"0"</f>
        <v>0</v>
      </c>
      <c r="G2954" s="1" t="str">
        <f t="shared" si="5981"/>
        <v>0</v>
      </c>
      <c r="H2954" s="1" t="str">
        <f t="shared" si="5981"/>
        <v>0</v>
      </c>
      <c r="I2954" s="1" t="str">
        <f t="shared" si="5981"/>
        <v>0</v>
      </c>
      <c r="J2954" s="1" t="str">
        <f>"5"</f>
        <v>5</v>
      </c>
      <c r="K2954" s="1" t="str">
        <f t="shared" ref="K2954:P2954" si="5982">"0"</f>
        <v>0</v>
      </c>
      <c r="L2954" s="1" t="str">
        <f t="shared" si="5982"/>
        <v>0</v>
      </c>
      <c r="M2954" s="1" t="str">
        <f t="shared" si="5982"/>
        <v>0</v>
      </c>
      <c r="N2954" s="1" t="str">
        <f t="shared" si="5982"/>
        <v>0</v>
      </c>
      <c r="O2954" s="1" t="str">
        <f t="shared" si="5982"/>
        <v>0</v>
      </c>
      <c r="P2954" s="1" t="str">
        <f t="shared" si="5982"/>
        <v>0</v>
      </c>
      <c r="Q2954" s="1" t="str">
        <f t="shared" si="5966"/>
        <v>0.0070</v>
      </c>
      <c r="R2954" s="1" t="s">
        <v>29</v>
      </c>
      <c r="S2954" s="1">
        <v>-0.0014</v>
      </c>
      <c r="T2954" s="1" t="str">
        <f t="shared" si="5967"/>
        <v>0</v>
      </c>
      <c r="U2954" s="1" t="str">
        <f t="shared" si="5972"/>
        <v>0.0056</v>
      </c>
    </row>
    <row r="2955" s="1" customFormat="1" spans="1:21">
      <c r="A2955" s="1" t="str">
        <f>"4601992056196"</f>
        <v>4601992056196</v>
      </c>
      <c r="B2955" s="1" t="s">
        <v>2978</v>
      </c>
      <c r="C2955" s="1" t="s">
        <v>24</v>
      </c>
      <c r="D2955" s="1" t="str">
        <f t="shared" si="5963"/>
        <v>2021</v>
      </c>
      <c r="E2955" s="1" t="str">
        <f>"12.09"</f>
        <v>12.09</v>
      </c>
      <c r="F2955" s="1" t="str">
        <f t="shared" ref="F2955:I2955" si="5983">"0"</f>
        <v>0</v>
      </c>
      <c r="G2955" s="1" t="str">
        <f t="shared" si="5983"/>
        <v>0</v>
      </c>
      <c r="H2955" s="1" t="str">
        <f t="shared" si="5983"/>
        <v>0</v>
      </c>
      <c r="I2955" s="1" t="str">
        <f t="shared" si="5983"/>
        <v>0</v>
      </c>
      <c r="J2955" s="1" t="str">
        <f>"1"</f>
        <v>1</v>
      </c>
      <c r="K2955" s="1" t="str">
        <f t="shared" ref="K2955:P2955" si="5984">"0"</f>
        <v>0</v>
      </c>
      <c r="L2955" s="1" t="str">
        <f t="shared" si="5984"/>
        <v>0</v>
      </c>
      <c r="M2955" s="1" t="str">
        <f t="shared" si="5984"/>
        <v>0</v>
      </c>
      <c r="N2955" s="1" t="str">
        <f t="shared" si="5984"/>
        <v>0</v>
      </c>
      <c r="O2955" s="1" t="str">
        <f t="shared" si="5984"/>
        <v>0</v>
      </c>
      <c r="P2955" s="1" t="str">
        <f t="shared" si="5984"/>
        <v>0</v>
      </c>
      <c r="Q2955" s="1" t="str">
        <f t="shared" si="5966"/>
        <v>0.0070</v>
      </c>
      <c r="R2955" s="1" t="s">
        <v>29</v>
      </c>
      <c r="S2955" s="1">
        <v>-0.0014</v>
      </c>
      <c r="T2955" s="1" t="str">
        <f t="shared" si="5967"/>
        <v>0</v>
      </c>
      <c r="U2955" s="1" t="str">
        <f t="shared" si="5972"/>
        <v>0.0056</v>
      </c>
    </row>
    <row r="2956" s="1" customFormat="1" spans="1:21">
      <c r="A2956" s="1" t="str">
        <f>"4601992056174"</f>
        <v>4601992056174</v>
      </c>
      <c r="B2956" s="1" t="s">
        <v>2979</v>
      </c>
      <c r="C2956" s="1" t="s">
        <v>24</v>
      </c>
      <c r="D2956" s="1" t="str">
        <f t="shared" si="5963"/>
        <v>2021</v>
      </c>
      <c r="E2956" s="1" t="str">
        <f>"36.27"</f>
        <v>36.27</v>
      </c>
      <c r="F2956" s="1" t="str">
        <f t="shared" ref="F2956:I2956" si="5985">"0"</f>
        <v>0</v>
      </c>
      <c r="G2956" s="1" t="str">
        <f t="shared" si="5985"/>
        <v>0</v>
      </c>
      <c r="H2956" s="1" t="str">
        <f t="shared" si="5985"/>
        <v>0</v>
      </c>
      <c r="I2956" s="1" t="str">
        <f t="shared" si="5985"/>
        <v>0</v>
      </c>
      <c r="J2956" s="1" t="str">
        <f>"3"</f>
        <v>3</v>
      </c>
      <c r="K2956" s="1" t="str">
        <f t="shared" ref="K2956:P2956" si="5986">"0"</f>
        <v>0</v>
      </c>
      <c r="L2956" s="1" t="str">
        <f t="shared" si="5986"/>
        <v>0</v>
      </c>
      <c r="M2956" s="1" t="str">
        <f t="shared" si="5986"/>
        <v>0</v>
      </c>
      <c r="N2956" s="1" t="str">
        <f t="shared" si="5986"/>
        <v>0</v>
      </c>
      <c r="O2956" s="1" t="str">
        <f t="shared" si="5986"/>
        <v>0</v>
      </c>
      <c r="P2956" s="1" t="str">
        <f t="shared" si="5986"/>
        <v>0</v>
      </c>
      <c r="Q2956" s="1" t="str">
        <f t="shared" si="5966"/>
        <v>0.0070</v>
      </c>
      <c r="R2956" s="1" t="s">
        <v>29</v>
      </c>
      <c r="S2956" s="1">
        <v>-0.0014</v>
      </c>
      <c r="T2956" s="1" t="str">
        <f t="shared" si="5967"/>
        <v>0</v>
      </c>
      <c r="U2956" s="1" t="str">
        <f t="shared" si="5972"/>
        <v>0.0056</v>
      </c>
    </row>
    <row r="2957" s="1" customFormat="1" spans="1:21">
      <c r="A2957" s="1" t="str">
        <f>"4601992056209"</f>
        <v>4601992056209</v>
      </c>
      <c r="B2957" s="1" t="s">
        <v>2980</v>
      </c>
      <c r="C2957" s="1" t="s">
        <v>24</v>
      </c>
      <c r="D2957" s="1" t="str">
        <f t="shared" si="5963"/>
        <v>2021</v>
      </c>
      <c r="E2957" s="1" t="str">
        <f t="shared" ref="E2957:I2957" si="5987">"0"</f>
        <v>0</v>
      </c>
      <c r="F2957" s="1" t="str">
        <f t="shared" si="5987"/>
        <v>0</v>
      </c>
      <c r="G2957" s="1" t="str">
        <f t="shared" si="5987"/>
        <v>0</v>
      </c>
      <c r="H2957" s="1" t="str">
        <f t="shared" si="5987"/>
        <v>0</v>
      </c>
      <c r="I2957" s="1" t="str">
        <f t="shared" si="5987"/>
        <v>0</v>
      </c>
      <c r="J2957" s="1" t="str">
        <f>"2"</f>
        <v>2</v>
      </c>
      <c r="K2957" s="1" t="str">
        <f t="shared" ref="K2957:P2957" si="5988">"0"</f>
        <v>0</v>
      </c>
      <c r="L2957" s="1" t="str">
        <f t="shared" si="5988"/>
        <v>0</v>
      </c>
      <c r="M2957" s="1" t="str">
        <f t="shared" si="5988"/>
        <v>0</v>
      </c>
      <c r="N2957" s="1" t="str">
        <f t="shared" si="5988"/>
        <v>0</v>
      </c>
      <c r="O2957" s="1" t="str">
        <f t="shared" si="5988"/>
        <v>0</v>
      </c>
      <c r="P2957" s="1" t="str">
        <f t="shared" si="5988"/>
        <v>0</v>
      </c>
      <c r="Q2957" s="1" t="str">
        <f t="shared" si="5966"/>
        <v>0.0070</v>
      </c>
      <c r="R2957" s="1" t="s">
        <v>25</v>
      </c>
      <c r="T2957" s="1" t="str">
        <f t="shared" si="5967"/>
        <v>0</v>
      </c>
      <c r="U2957" s="1" t="str">
        <f>"0.0070"</f>
        <v>0.0070</v>
      </c>
    </row>
    <row r="2958" s="1" customFormat="1" spans="1:21">
      <c r="A2958" s="1" t="str">
        <f>"4601992056310"</f>
        <v>4601992056310</v>
      </c>
      <c r="B2958" s="1" t="s">
        <v>2981</v>
      </c>
      <c r="C2958" s="1" t="s">
        <v>24</v>
      </c>
      <c r="D2958" s="1" t="str">
        <f t="shared" si="5963"/>
        <v>2021</v>
      </c>
      <c r="E2958" s="1" t="str">
        <f>"314.34"</f>
        <v>314.34</v>
      </c>
      <c r="F2958" s="1" t="str">
        <f t="shared" ref="F2958:I2958" si="5989">"0"</f>
        <v>0</v>
      </c>
      <c r="G2958" s="1" t="str">
        <f t="shared" si="5989"/>
        <v>0</v>
      </c>
      <c r="H2958" s="1" t="str">
        <f t="shared" si="5989"/>
        <v>0</v>
      </c>
      <c r="I2958" s="1" t="str">
        <f t="shared" si="5989"/>
        <v>0</v>
      </c>
      <c r="J2958" s="1" t="str">
        <f>"26"</f>
        <v>26</v>
      </c>
      <c r="K2958" s="1" t="str">
        <f t="shared" ref="K2958:P2958" si="5990">"0"</f>
        <v>0</v>
      </c>
      <c r="L2958" s="1" t="str">
        <f t="shared" si="5990"/>
        <v>0</v>
      </c>
      <c r="M2958" s="1" t="str">
        <f t="shared" si="5990"/>
        <v>0</v>
      </c>
      <c r="N2958" s="1" t="str">
        <f t="shared" si="5990"/>
        <v>0</v>
      </c>
      <c r="O2958" s="1" t="str">
        <f t="shared" si="5990"/>
        <v>0</v>
      </c>
      <c r="P2958" s="1" t="str">
        <f t="shared" si="5990"/>
        <v>0</v>
      </c>
      <c r="Q2958" s="1" t="str">
        <f t="shared" si="5966"/>
        <v>0.0070</v>
      </c>
      <c r="R2958" s="1" t="s">
        <v>29</v>
      </c>
      <c r="S2958" s="1">
        <v>-0.0014</v>
      </c>
      <c r="T2958" s="1" t="str">
        <f t="shared" si="5967"/>
        <v>0</v>
      </c>
      <c r="U2958" s="1" t="str">
        <f t="shared" ref="U2958:U2960" si="5991">"0.0056"</f>
        <v>0.0056</v>
      </c>
    </row>
    <row r="2959" s="1" customFormat="1" spans="1:21">
      <c r="A2959" s="1" t="str">
        <f>"4601992056322"</f>
        <v>4601992056322</v>
      </c>
      <c r="B2959" s="1" t="s">
        <v>2982</v>
      </c>
      <c r="C2959" s="1" t="s">
        <v>24</v>
      </c>
      <c r="D2959" s="1" t="str">
        <f t="shared" si="5963"/>
        <v>2021</v>
      </c>
      <c r="E2959" s="1" t="str">
        <f>"191.68"</f>
        <v>191.68</v>
      </c>
      <c r="F2959" s="1" t="str">
        <f t="shared" ref="F2959:I2959" si="5992">"0"</f>
        <v>0</v>
      </c>
      <c r="G2959" s="1" t="str">
        <f t="shared" si="5992"/>
        <v>0</v>
      </c>
      <c r="H2959" s="1" t="str">
        <f t="shared" si="5992"/>
        <v>0</v>
      </c>
      <c r="I2959" s="1" t="str">
        <f t="shared" si="5992"/>
        <v>0</v>
      </c>
      <c r="J2959" s="1" t="str">
        <f>"14"</f>
        <v>14</v>
      </c>
      <c r="K2959" s="1" t="str">
        <f t="shared" ref="K2959:P2959" si="5993">"0"</f>
        <v>0</v>
      </c>
      <c r="L2959" s="1" t="str">
        <f t="shared" si="5993"/>
        <v>0</v>
      </c>
      <c r="M2959" s="1" t="str">
        <f t="shared" si="5993"/>
        <v>0</v>
      </c>
      <c r="N2959" s="1" t="str">
        <f t="shared" si="5993"/>
        <v>0</v>
      </c>
      <c r="O2959" s="1" t="str">
        <f t="shared" si="5993"/>
        <v>0</v>
      </c>
      <c r="P2959" s="1" t="str">
        <f t="shared" si="5993"/>
        <v>0</v>
      </c>
      <c r="Q2959" s="1" t="str">
        <f t="shared" si="5966"/>
        <v>0.0070</v>
      </c>
      <c r="R2959" s="1" t="s">
        <v>29</v>
      </c>
      <c r="S2959" s="1">
        <v>-0.0014</v>
      </c>
      <c r="T2959" s="1" t="str">
        <f t="shared" si="5967"/>
        <v>0</v>
      </c>
      <c r="U2959" s="1" t="str">
        <f t="shared" si="5991"/>
        <v>0.0056</v>
      </c>
    </row>
    <row r="2960" s="1" customFormat="1" spans="1:21">
      <c r="A2960" s="1" t="str">
        <f>"4601992056321"</f>
        <v>4601992056321</v>
      </c>
      <c r="B2960" s="1" t="s">
        <v>2983</v>
      </c>
      <c r="C2960" s="1" t="s">
        <v>24</v>
      </c>
      <c r="D2960" s="1" t="str">
        <f t="shared" si="5963"/>
        <v>2021</v>
      </c>
      <c r="E2960" s="1" t="str">
        <f>"60.45"</f>
        <v>60.45</v>
      </c>
      <c r="F2960" s="1" t="str">
        <f t="shared" ref="F2960:I2960" si="5994">"0"</f>
        <v>0</v>
      </c>
      <c r="G2960" s="1" t="str">
        <f t="shared" si="5994"/>
        <v>0</v>
      </c>
      <c r="H2960" s="1" t="str">
        <f t="shared" si="5994"/>
        <v>0</v>
      </c>
      <c r="I2960" s="1" t="str">
        <f t="shared" si="5994"/>
        <v>0</v>
      </c>
      <c r="J2960" s="1" t="str">
        <f>"5"</f>
        <v>5</v>
      </c>
      <c r="K2960" s="1" t="str">
        <f t="shared" ref="K2960:P2960" si="5995">"0"</f>
        <v>0</v>
      </c>
      <c r="L2960" s="1" t="str">
        <f t="shared" si="5995"/>
        <v>0</v>
      </c>
      <c r="M2960" s="1" t="str">
        <f t="shared" si="5995"/>
        <v>0</v>
      </c>
      <c r="N2960" s="1" t="str">
        <f t="shared" si="5995"/>
        <v>0</v>
      </c>
      <c r="O2960" s="1" t="str">
        <f t="shared" si="5995"/>
        <v>0</v>
      </c>
      <c r="P2960" s="1" t="str">
        <f t="shared" si="5995"/>
        <v>0</v>
      </c>
      <c r="Q2960" s="1" t="str">
        <f t="shared" si="5966"/>
        <v>0.0070</v>
      </c>
      <c r="R2960" s="1" t="s">
        <v>29</v>
      </c>
      <c r="S2960" s="1">
        <v>-0.0014</v>
      </c>
      <c r="T2960" s="1" t="str">
        <f t="shared" si="5967"/>
        <v>0</v>
      </c>
      <c r="U2960" s="1" t="str">
        <f t="shared" si="5991"/>
        <v>0.0056</v>
      </c>
    </row>
    <row r="2961" s="1" customFormat="1" spans="1:21">
      <c r="A2961" s="1" t="str">
        <f>"4601992056414"</f>
        <v>4601992056414</v>
      </c>
      <c r="B2961" s="1" t="s">
        <v>2984</v>
      </c>
      <c r="C2961" s="1" t="s">
        <v>24</v>
      </c>
      <c r="D2961" s="1" t="str">
        <f t="shared" si="5963"/>
        <v>2021</v>
      </c>
      <c r="E2961" s="1" t="str">
        <f t="shared" ref="E2961:G2961" si="5996">"0"</f>
        <v>0</v>
      </c>
      <c r="F2961" s="1" t="str">
        <f t="shared" si="5996"/>
        <v>0</v>
      </c>
      <c r="G2961" s="1" t="str">
        <f t="shared" si="5996"/>
        <v>0</v>
      </c>
      <c r="H2961" s="1" t="str">
        <f>"12.09"</f>
        <v>12.09</v>
      </c>
      <c r="I2961" s="1" t="str">
        <f t="shared" ref="I2961:P2961" si="5997">"0"</f>
        <v>0</v>
      </c>
      <c r="J2961" s="1" t="str">
        <f t="shared" si="5997"/>
        <v>0</v>
      </c>
      <c r="K2961" s="1" t="str">
        <f t="shared" si="5997"/>
        <v>0</v>
      </c>
      <c r="L2961" s="1" t="str">
        <f t="shared" si="5997"/>
        <v>0</v>
      </c>
      <c r="M2961" s="1" t="str">
        <f t="shared" si="5997"/>
        <v>0</v>
      </c>
      <c r="N2961" s="1" t="str">
        <f t="shared" si="5997"/>
        <v>0</v>
      </c>
      <c r="O2961" s="1" t="str">
        <f t="shared" si="5997"/>
        <v>0</v>
      </c>
      <c r="P2961" s="1" t="str">
        <f t="shared" si="5997"/>
        <v>0</v>
      </c>
      <c r="Q2961" s="1" t="str">
        <f t="shared" si="5966"/>
        <v>0.0070</v>
      </c>
      <c r="R2961" s="1" t="s">
        <v>25</v>
      </c>
      <c r="T2961" s="1" t="str">
        <f t="shared" si="5967"/>
        <v>0</v>
      </c>
      <c r="U2961" s="1" t="str">
        <f>"0.0070"</f>
        <v>0.0070</v>
      </c>
    </row>
    <row r="2962" s="1" customFormat="1" spans="1:21">
      <c r="A2962" s="1" t="str">
        <f>"4601992056388"</f>
        <v>4601992056388</v>
      </c>
      <c r="B2962" s="1" t="s">
        <v>2985</v>
      </c>
      <c r="C2962" s="1" t="s">
        <v>24</v>
      </c>
      <c r="D2962" s="1" t="str">
        <f t="shared" si="5963"/>
        <v>2021</v>
      </c>
      <c r="E2962" s="1" t="str">
        <f>"36.27"</f>
        <v>36.27</v>
      </c>
      <c r="F2962" s="1" t="str">
        <f t="shared" ref="F2962:I2962" si="5998">"0"</f>
        <v>0</v>
      </c>
      <c r="G2962" s="1" t="str">
        <f t="shared" si="5998"/>
        <v>0</v>
      </c>
      <c r="H2962" s="1" t="str">
        <f t="shared" si="5998"/>
        <v>0</v>
      </c>
      <c r="I2962" s="1" t="str">
        <f t="shared" si="5998"/>
        <v>0</v>
      </c>
      <c r="J2962" s="1" t="str">
        <f t="shared" ref="J2962:J2965" si="5999">"2"</f>
        <v>2</v>
      </c>
      <c r="K2962" s="1" t="str">
        <f t="shared" ref="K2962:P2962" si="6000">"0"</f>
        <v>0</v>
      </c>
      <c r="L2962" s="1" t="str">
        <f t="shared" si="6000"/>
        <v>0</v>
      </c>
      <c r="M2962" s="1" t="str">
        <f t="shared" si="6000"/>
        <v>0</v>
      </c>
      <c r="N2962" s="1" t="str">
        <f t="shared" si="6000"/>
        <v>0</v>
      </c>
      <c r="O2962" s="1" t="str">
        <f t="shared" si="6000"/>
        <v>0</v>
      </c>
      <c r="P2962" s="1" t="str">
        <f t="shared" si="6000"/>
        <v>0</v>
      </c>
      <c r="Q2962" s="1" t="str">
        <f t="shared" si="5966"/>
        <v>0.0070</v>
      </c>
      <c r="R2962" s="1" t="s">
        <v>29</v>
      </c>
      <c r="S2962" s="1">
        <v>-0.0014</v>
      </c>
      <c r="T2962" s="1" t="str">
        <f t="shared" si="5967"/>
        <v>0</v>
      </c>
      <c r="U2962" s="1" t="str">
        <f t="shared" ref="U2962:U2971" si="6001">"0.0056"</f>
        <v>0.0056</v>
      </c>
    </row>
    <row r="2963" s="1" customFormat="1" spans="1:21">
      <c r="A2963" s="1" t="str">
        <f>"4601992056418"</f>
        <v>4601992056418</v>
      </c>
      <c r="B2963" s="1" t="s">
        <v>2986</v>
      </c>
      <c r="C2963" s="1" t="s">
        <v>24</v>
      </c>
      <c r="D2963" s="1" t="str">
        <f t="shared" si="5963"/>
        <v>2021</v>
      </c>
      <c r="E2963" s="1" t="str">
        <f>"23.96"</f>
        <v>23.96</v>
      </c>
      <c r="F2963" s="1" t="str">
        <f t="shared" ref="F2963:I2963" si="6002">"0"</f>
        <v>0</v>
      </c>
      <c r="G2963" s="1" t="str">
        <f t="shared" si="6002"/>
        <v>0</v>
      </c>
      <c r="H2963" s="1" t="str">
        <f t="shared" si="6002"/>
        <v>0</v>
      </c>
      <c r="I2963" s="1" t="str">
        <f t="shared" si="6002"/>
        <v>0</v>
      </c>
      <c r="J2963" s="1" t="str">
        <f t="shared" si="5999"/>
        <v>2</v>
      </c>
      <c r="K2963" s="1" t="str">
        <f t="shared" ref="K2963:P2963" si="6003">"0"</f>
        <v>0</v>
      </c>
      <c r="L2963" s="1" t="str">
        <f t="shared" si="6003"/>
        <v>0</v>
      </c>
      <c r="M2963" s="1" t="str">
        <f t="shared" si="6003"/>
        <v>0</v>
      </c>
      <c r="N2963" s="1" t="str">
        <f t="shared" si="6003"/>
        <v>0</v>
      </c>
      <c r="O2963" s="1" t="str">
        <f t="shared" si="6003"/>
        <v>0</v>
      </c>
      <c r="P2963" s="1" t="str">
        <f t="shared" si="6003"/>
        <v>0</v>
      </c>
      <c r="Q2963" s="1" t="str">
        <f t="shared" si="5966"/>
        <v>0.0070</v>
      </c>
      <c r="R2963" s="1" t="s">
        <v>29</v>
      </c>
      <c r="S2963" s="1">
        <v>-0.0014</v>
      </c>
      <c r="T2963" s="1" t="str">
        <f t="shared" si="5967"/>
        <v>0</v>
      </c>
      <c r="U2963" s="1" t="str">
        <f t="shared" si="6001"/>
        <v>0.0056</v>
      </c>
    </row>
    <row r="2964" s="1" customFormat="1" spans="1:21">
      <c r="A2964" s="1" t="str">
        <f>"4601992056449"</f>
        <v>4601992056449</v>
      </c>
      <c r="B2964" s="1" t="s">
        <v>2987</v>
      </c>
      <c r="C2964" s="1" t="s">
        <v>24</v>
      </c>
      <c r="D2964" s="1" t="str">
        <f t="shared" si="5963"/>
        <v>2021</v>
      </c>
      <c r="E2964" s="1" t="str">
        <f t="shared" ref="E2964:P2964" si="6004">"0"</f>
        <v>0</v>
      </c>
      <c r="F2964" s="1" t="str">
        <f t="shared" si="6004"/>
        <v>0</v>
      </c>
      <c r="G2964" s="1" t="str">
        <f t="shared" si="6004"/>
        <v>0</v>
      </c>
      <c r="H2964" s="1" t="str">
        <f t="shared" si="6004"/>
        <v>0</v>
      </c>
      <c r="I2964" s="1" t="str">
        <f t="shared" si="6004"/>
        <v>0</v>
      </c>
      <c r="J2964" s="1" t="str">
        <f t="shared" si="6004"/>
        <v>0</v>
      </c>
      <c r="K2964" s="1" t="str">
        <f t="shared" si="6004"/>
        <v>0</v>
      </c>
      <c r="L2964" s="1" t="str">
        <f t="shared" si="6004"/>
        <v>0</v>
      </c>
      <c r="M2964" s="1" t="str">
        <f t="shared" si="6004"/>
        <v>0</v>
      </c>
      <c r="N2964" s="1" t="str">
        <f t="shared" si="6004"/>
        <v>0</v>
      </c>
      <c r="O2964" s="1" t="str">
        <f t="shared" si="6004"/>
        <v>0</v>
      </c>
      <c r="P2964" s="1" t="str">
        <f t="shared" si="6004"/>
        <v>0</v>
      </c>
      <c r="Q2964" s="1" t="str">
        <f t="shared" si="5966"/>
        <v>0.0070</v>
      </c>
      <c r="R2964" s="1" t="s">
        <v>25</v>
      </c>
      <c r="T2964" s="1" t="str">
        <f t="shared" si="5967"/>
        <v>0</v>
      </c>
      <c r="U2964" s="1" t="str">
        <f>"0.0070"</f>
        <v>0.0070</v>
      </c>
    </row>
    <row r="2965" s="1" customFormat="1" spans="1:21">
      <c r="A2965" s="1" t="str">
        <f>"4601992056453"</f>
        <v>4601992056453</v>
      </c>
      <c r="B2965" s="1" t="s">
        <v>2988</v>
      </c>
      <c r="C2965" s="1" t="s">
        <v>24</v>
      </c>
      <c r="D2965" s="1" t="str">
        <f t="shared" si="5963"/>
        <v>2021</v>
      </c>
      <c r="E2965" s="1" t="str">
        <f>"48.36"</f>
        <v>48.36</v>
      </c>
      <c r="F2965" s="1" t="str">
        <f t="shared" ref="F2965:I2965" si="6005">"0"</f>
        <v>0</v>
      </c>
      <c r="G2965" s="1" t="str">
        <f t="shared" si="6005"/>
        <v>0</v>
      </c>
      <c r="H2965" s="1" t="str">
        <f t="shared" si="6005"/>
        <v>0</v>
      </c>
      <c r="I2965" s="1" t="str">
        <f t="shared" si="6005"/>
        <v>0</v>
      </c>
      <c r="J2965" s="1" t="str">
        <f t="shared" si="5999"/>
        <v>2</v>
      </c>
      <c r="K2965" s="1" t="str">
        <f t="shared" ref="K2965:P2965" si="6006">"0"</f>
        <v>0</v>
      </c>
      <c r="L2965" s="1" t="str">
        <f t="shared" si="6006"/>
        <v>0</v>
      </c>
      <c r="M2965" s="1" t="str">
        <f t="shared" si="6006"/>
        <v>0</v>
      </c>
      <c r="N2965" s="1" t="str">
        <f t="shared" si="6006"/>
        <v>0</v>
      </c>
      <c r="O2965" s="1" t="str">
        <f t="shared" si="6006"/>
        <v>0</v>
      </c>
      <c r="P2965" s="1" t="str">
        <f t="shared" si="6006"/>
        <v>0</v>
      </c>
      <c r="Q2965" s="1" t="str">
        <f t="shared" si="5966"/>
        <v>0.0070</v>
      </c>
      <c r="R2965" s="1" t="s">
        <v>29</v>
      </c>
      <c r="S2965" s="1">
        <v>-0.0014</v>
      </c>
      <c r="T2965" s="1" t="str">
        <f t="shared" si="5967"/>
        <v>0</v>
      </c>
      <c r="U2965" s="1" t="str">
        <f t="shared" si="6001"/>
        <v>0.0056</v>
      </c>
    </row>
    <row r="2966" s="1" customFormat="1" spans="1:21">
      <c r="A2966" s="1" t="str">
        <f>"4601992056478"</f>
        <v>4601992056478</v>
      </c>
      <c r="B2966" s="1" t="s">
        <v>2989</v>
      </c>
      <c r="C2966" s="1" t="s">
        <v>24</v>
      </c>
      <c r="D2966" s="1" t="str">
        <f t="shared" si="5963"/>
        <v>2021</v>
      </c>
      <c r="E2966" s="1" t="str">
        <f>"84.30"</f>
        <v>84.30</v>
      </c>
      <c r="F2966" s="1" t="str">
        <f t="shared" ref="F2966:I2966" si="6007">"0"</f>
        <v>0</v>
      </c>
      <c r="G2966" s="1" t="str">
        <f t="shared" si="6007"/>
        <v>0</v>
      </c>
      <c r="H2966" s="1" t="str">
        <f t="shared" si="6007"/>
        <v>0</v>
      </c>
      <c r="I2966" s="1" t="str">
        <f t="shared" si="6007"/>
        <v>0</v>
      </c>
      <c r="J2966" s="1" t="str">
        <f>"8"</f>
        <v>8</v>
      </c>
      <c r="K2966" s="1" t="str">
        <f t="shared" ref="K2966:P2966" si="6008">"0"</f>
        <v>0</v>
      </c>
      <c r="L2966" s="1" t="str">
        <f t="shared" si="6008"/>
        <v>0</v>
      </c>
      <c r="M2966" s="1" t="str">
        <f t="shared" si="6008"/>
        <v>0</v>
      </c>
      <c r="N2966" s="1" t="str">
        <f t="shared" si="6008"/>
        <v>0</v>
      </c>
      <c r="O2966" s="1" t="str">
        <f t="shared" si="6008"/>
        <v>0</v>
      </c>
      <c r="P2966" s="1" t="str">
        <f t="shared" si="6008"/>
        <v>0</v>
      </c>
      <c r="Q2966" s="1" t="str">
        <f t="shared" si="5966"/>
        <v>0.0070</v>
      </c>
      <c r="R2966" s="1" t="s">
        <v>29</v>
      </c>
      <c r="S2966" s="1">
        <v>-0.0014</v>
      </c>
      <c r="T2966" s="1" t="str">
        <f t="shared" si="5967"/>
        <v>0</v>
      </c>
      <c r="U2966" s="1" t="str">
        <f t="shared" si="6001"/>
        <v>0.0056</v>
      </c>
    </row>
    <row r="2967" s="1" customFormat="1" spans="1:21">
      <c r="A2967" s="1" t="str">
        <f>"4601992056489"</f>
        <v>4601992056489</v>
      </c>
      <c r="B2967" s="1" t="s">
        <v>2990</v>
      </c>
      <c r="C2967" s="1" t="s">
        <v>24</v>
      </c>
      <c r="D2967" s="1" t="str">
        <f t="shared" si="5963"/>
        <v>2021</v>
      </c>
      <c r="E2967" s="1" t="str">
        <f t="shared" ref="E2967:E2971" si="6009">"36.27"</f>
        <v>36.27</v>
      </c>
      <c r="F2967" s="1" t="str">
        <f t="shared" ref="F2967:I2967" si="6010">"0"</f>
        <v>0</v>
      </c>
      <c r="G2967" s="1" t="str">
        <f t="shared" si="6010"/>
        <v>0</v>
      </c>
      <c r="H2967" s="1" t="str">
        <f t="shared" si="6010"/>
        <v>0</v>
      </c>
      <c r="I2967" s="1" t="str">
        <f t="shared" si="6010"/>
        <v>0</v>
      </c>
      <c r="J2967" s="1" t="str">
        <f t="shared" ref="J2967:J2971" si="6011">"3"</f>
        <v>3</v>
      </c>
      <c r="K2967" s="1" t="str">
        <f t="shared" ref="K2967:P2967" si="6012">"0"</f>
        <v>0</v>
      </c>
      <c r="L2967" s="1" t="str">
        <f t="shared" si="6012"/>
        <v>0</v>
      </c>
      <c r="M2967" s="1" t="str">
        <f t="shared" si="6012"/>
        <v>0</v>
      </c>
      <c r="N2967" s="1" t="str">
        <f t="shared" si="6012"/>
        <v>0</v>
      </c>
      <c r="O2967" s="1" t="str">
        <f t="shared" si="6012"/>
        <v>0</v>
      </c>
      <c r="P2967" s="1" t="str">
        <f t="shared" si="6012"/>
        <v>0</v>
      </c>
      <c r="Q2967" s="1" t="str">
        <f t="shared" si="5966"/>
        <v>0.0070</v>
      </c>
      <c r="R2967" s="1" t="s">
        <v>29</v>
      </c>
      <c r="S2967" s="1">
        <v>-0.0014</v>
      </c>
      <c r="T2967" s="1" t="str">
        <f t="shared" si="5967"/>
        <v>0</v>
      </c>
      <c r="U2967" s="1" t="str">
        <f t="shared" si="6001"/>
        <v>0.0056</v>
      </c>
    </row>
    <row r="2968" s="1" customFormat="1" spans="1:21">
      <c r="A2968" s="1" t="str">
        <f>"4601992056508"</f>
        <v>4601992056508</v>
      </c>
      <c r="B2968" s="1" t="s">
        <v>2991</v>
      </c>
      <c r="C2968" s="1" t="s">
        <v>24</v>
      </c>
      <c r="D2968" s="1" t="str">
        <f t="shared" si="5963"/>
        <v>2021</v>
      </c>
      <c r="E2968" s="1" t="str">
        <f t="shared" si="6009"/>
        <v>36.27</v>
      </c>
      <c r="F2968" s="1" t="str">
        <f t="shared" ref="F2968:I2968" si="6013">"0"</f>
        <v>0</v>
      </c>
      <c r="G2968" s="1" t="str">
        <f t="shared" si="6013"/>
        <v>0</v>
      </c>
      <c r="H2968" s="1" t="str">
        <f t="shared" si="6013"/>
        <v>0</v>
      </c>
      <c r="I2968" s="1" t="str">
        <f t="shared" si="6013"/>
        <v>0</v>
      </c>
      <c r="J2968" s="1" t="str">
        <f t="shared" si="6011"/>
        <v>3</v>
      </c>
      <c r="K2968" s="1" t="str">
        <f t="shared" ref="K2968:P2968" si="6014">"0"</f>
        <v>0</v>
      </c>
      <c r="L2968" s="1" t="str">
        <f t="shared" si="6014"/>
        <v>0</v>
      </c>
      <c r="M2968" s="1" t="str">
        <f t="shared" si="6014"/>
        <v>0</v>
      </c>
      <c r="N2968" s="1" t="str">
        <f t="shared" si="6014"/>
        <v>0</v>
      </c>
      <c r="O2968" s="1" t="str">
        <f t="shared" si="6014"/>
        <v>0</v>
      </c>
      <c r="P2968" s="1" t="str">
        <f t="shared" si="6014"/>
        <v>0</v>
      </c>
      <c r="Q2968" s="1" t="str">
        <f t="shared" si="5966"/>
        <v>0.0070</v>
      </c>
      <c r="R2968" s="1" t="s">
        <v>29</v>
      </c>
      <c r="S2968" s="1">
        <v>-0.0014</v>
      </c>
      <c r="T2968" s="1" t="str">
        <f t="shared" si="5967"/>
        <v>0</v>
      </c>
      <c r="U2968" s="1" t="str">
        <f t="shared" si="6001"/>
        <v>0.0056</v>
      </c>
    </row>
    <row r="2969" s="1" customFormat="1" spans="1:21">
      <c r="A2969" s="1" t="str">
        <f>"4601992056538"</f>
        <v>4601992056538</v>
      </c>
      <c r="B2969" s="1" t="s">
        <v>2992</v>
      </c>
      <c r="C2969" s="1" t="s">
        <v>24</v>
      </c>
      <c r="D2969" s="1" t="str">
        <f t="shared" si="5963"/>
        <v>2021</v>
      </c>
      <c r="E2969" s="1" t="str">
        <f>"167.72"</f>
        <v>167.72</v>
      </c>
      <c r="F2969" s="1" t="str">
        <f t="shared" ref="F2969:I2969" si="6015">"0"</f>
        <v>0</v>
      </c>
      <c r="G2969" s="1" t="str">
        <f t="shared" si="6015"/>
        <v>0</v>
      </c>
      <c r="H2969" s="1" t="str">
        <f t="shared" si="6015"/>
        <v>0</v>
      </c>
      <c r="I2969" s="1" t="str">
        <f t="shared" si="6015"/>
        <v>0</v>
      </c>
      <c r="J2969" s="1" t="str">
        <f>"15"</f>
        <v>15</v>
      </c>
      <c r="K2969" s="1" t="str">
        <f t="shared" ref="K2969:P2969" si="6016">"0"</f>
        <v>0</v>
      </c>
      <c r="L2969" s="1" t="str">
        <f t="shared" si="6016"/>
        <v>0</v>
      </c>
      <c r="M2969" s="1" t="str">
        <f t="shared" si="6016"/>
        <v>0</v>
      </c>
      <c r="N2969" s="1" t="str">
        <f t="shared" si="6016"/>
        <v>0</v>
      </c>
      <c r="O2969" s="1" t="str">
        <f t="shared" si="6016"/>
        <v>0</v>
      </c>
      <c r="P2969" s="1" t="str">
        <f t="shared" si="6016"/>
        <v>0</v>
      </c>
      <c r="Q2969" s="1" t="str">
        <f t="shared" si="5966"/>
        <v>0.0070</v>
      </c>
      <c r="R2969" s="1" t="s">
        <v>29</v>
      </c>
      <c r="S2969" s="1">
        <v>-0.0014</v>
      </c>
      <c r="T2969" s="1" t="str">
        <f t="shared" si="5967"/>
        <v>0</v>
      </c>
      <c r="U2969" s="1" t="str">
        <f t="shared" si="6001"/>
        <v>0.0056</v>
      </c>
    </row>
    <row r="2970" s="1" customFormat="1" spans="1:21">
      <c r="A2970" s="1" t="str">
        <f>"4601992056524"</f>
        <v>4601992056524</v>
      </c>
      <c r="B2970" s="1" t="s">
        <v>2993</v>
      </c>
      <c r="C2970" s="1" t="s">
        <v>24</v>
      </c>
      <c r="D2970" s="1" t="str">
        <f t="shared" si="5963"/>
        <v>2021</v>
      </c>
      <c r="E2970" s="1" t="str">
        <f>"116.12"</f>
        <v>116.12</v>
      </c>
      <c r="F2970" s="1" t="str">
        <f t="shared" ref="F2970:I2970" si="6017">"0"</f>
        <v>0</v>
      </c>
      <c r="G2970" s="1" t="str">
        <f t="shared" si="6017"/>
        <v>0</v>
      </c>
      <c r="H2970" s="1" t="str">
        <f t="shared" si="6017"/>
        <v>0</v>
      </c>
      <c r="I2970" s="1" t="str">
        <f t="shared" si="6017"/>
        <v>0</v>
      </c>
      <c r="J2970" s="1" t="str">
        <f>"11"</f>
        <v>11</v>
      </c>
      <c r="K2970" s="1" t="str">
        <f t="shared" ref="K2970:P2970" si="6018">"0"</f>
        <v>0</v>
      </c>
      <c r="L2970" s="1" t="str">
        <f t="shared" si="6018"/>
        <v>0</v>
      </c>
      <c r="M2970" s="1" t="str">
        <f t="shared" si="6018"/>
        <v>0</v>
      </c>
      <c r="N2970" s="1" t="str">
        <f t="shared" si="6018"/>
        <v>0</v>
      </c>
      <c r="O2970" s="1" t="str">
        <f t="shared" si="6018"/>
        <v>0</v>
      </c>
      <c r="P2970" s="1" t="str">
        <f t="shared" si="6018"/>
        <v>0</v>
      </c>
      <c r="Q2970" s="1" t="str">
        <f t="shared" si="5966"/>
        <v>0.0070</v>
      </c>
      <c r="R2970" s="1" t="s">
        <v>29</v>
      </c>
      <c r="S2970" s="1">
        <v>-0.0014</v>
      </c>
      <c r="T2970" s="1" t="str">
        <f t="shared" si="5967"/>
        <v>0</v>
      </c>
      <c r="U2970" s="1" t="str">
        <f t="shared" si="6001"/>
        <v>0.0056</v>
      </c>
    </row>
    <row r="2971" s="1" customFormat="1" spans="1:21">
      <c r="A2971" s="1" t="str">
        <f>"4601992056570"</f>
        <v>4601992056570</v>
      </c>
      <c r="B2971" s="1" t="s">
        <v>2994</v>
      </c>
      <c r="C2971" s="1" t="s">
        <v>24</v>
      </c>
      <c r="D2971" s="1" t="str">
        <f t="shared" si="5963"/>
        <v>2021</v>
      </c>
      <c r="E2971" s="1" t="str">
        <f t="shared" si="6009"/>
        <v>36.27</v>
      </c>
      <c r="F2971" s="1" t="str">
        <f t="shared" ref="F2971:I2971" si="6019">"0"</f>
        <v>0</v>
      </c>
      <c r="G2971" s="1" t="str">
        <f t="shared" si="6019"/>
        <v>0</v>
      </c>
      <c r="H2971" s="1" t="str">
        <f t="shared" si="6019"/>
        <v>0</v>
      </c>
      <c r="I2971" s="1" t="str">
        <f t="shared" si="6019"/>
        <v>0</v>
      </c>
      <c r="J2971" s="1" t="str">
        <f t="shared" si="6011"/>
        <v>3</v>
      </c>
      <c r="K2971" s="1" t="str">
        <f t="shared" ref="K2971:P2971" si="6020">"0"</f>
        <v>0</v>
      </c>
      <c r="L2971" s="1" t="str">
        <f t="shared" si="6020"/>
        <v>0</v>
      </c>
      <c r="M2971" s="1" t="str">
        <f t="shared" si="6020"/>
        <v>0</v>
      </c>
      <c r="N2971" s="1" t="str">
        <f t="shared" si="6020"/>
        <v>0</v>
      </c>
      <c r="O2971" s="1" t="str">
        <f t="shared" si="6020"/>
        <v>0</v>
      </c>
      <c r="P2971" s="1" t="str">
        <f t="shared" si="6020"/>
        <v>0</v>
      </c>
      <c r="Q2971" s="1" t="str">
        <f t="shared" si="5966"/>
        <v>0.0070</v>
      </c>
      <c r="R2971" s="1" t="s">
        <v>29</v>
      </c>
      <c r="S2971" s="1">
        <v>-0.0014</v>
      </c>
      <c r="T2971" s="1" t="str">
        <f t="shared" si="5967"/>
        <v>0</v>
      </c>
      <c r="U2971" s="1" t="str">
        <f t="shared" si="6001"/>
        <v>0.0056</v>
      </c>
    </row>
    <row r="2972" s="1" customFormat="1" spans="1:21">
      <c r="A2972" s="1" t="str">
        <f>"4601992056579"</f>
        <v>4601992056579</v>
      </c>
      <c r="B2972" s="1" t="s">
        <v>2995</v>
      </c>
      <c r="C2972" s="1" t="s">
        <v>24</v>
      </c>
      <c r="D2972" s="1" t="str">
        <f t="shared" si="5963"/>
        <v>2021</v>
      </c>
      <c r="E2972" s="1" t="str">
        <f>"12.09"</f>
        <v>12.09</v>
      </c>
      <c r="F2972" s="1" t="str">
        <f t="shared" ref="F2972:I2972" si="6021">"0"</f>
        <v>0</v>
      </c>
      <c r="G2972" s="1" t="str">
        <f t="shared" si="6021"/>
        <v>0</v>
      </c>
      <c r="H2972" s="1" t="str">
        <f t="shared" si="6021"/>
        <v>0</v>
      </c>
      <c r="I2972" s="1" t="str">
        <f t="shared" si="6021"/>
        <v>0</v>
      </c>
      <c r="J2972" s="1" t="str">
        <f>"1"</f>
        <v>1</v>
      </c>
      <c r="K2972" s="1" t="str">
        <f t="shared" ref="K2972:P2972" si="6022">"0"</f>
        <v>0</v>
      </c>
      <c r="L2972" s="1" t="str">
        <f t="shared" si="6022"/>
        <v>0</v>
      </c>
      <c r="M2972" s="1" t="str">
        <f t="shared" si="6022"/>
        <v>0</v>
      </c>
      <c r="N2972" s="1" t="str">
        <f t="shared" si="6022"/>
        <v>0</v>
      </c>
      <c r="O2972" s="1" t="str">
        <f t="shared" si="6022"/>
        <v>0</v>
      </c>
      <c r="P2972" s="1" t="str">
        <f t="shared" si="6022"/>
        <v>0</v>
      </c>
      <c r="Q2972" s="1" t="str">
        <f t="shared" si="5966"/>
        <v>0.0070</v>
      </c>
      <c r="R2972" s="1" t="s">
        <v>25</v>
      </c>
      <c r="T2972" s="1" t="str">
        <f t="shared" si="5967"/>
        <v>0</v>
      </c>
      <c r="U2972" s="1" t="str">
        <f>"0.0070"</f>
        <v>0.0070</v>
      </c>
    </row>
    <row r="2973" s="1" customFormat="1" spans="1:21">
      <c r="A2973" s="1" t="str">
        <f>"4601992056612"</f>
        <v>4601992056612</v>
      </c>
      <c r="B2973" s="1" t="s">
        <v>2996</v>
      </c>
      <c r="C2973" s="1" t="s">
        <v>24</v>
      </c>
      <c r="D2973" s="1" t="str">
        <f t="shared" si="5963"/>
        <v>2021</v>
      </c>
      <c r="E2973" s="1" t="str">
        <f>"23.96"</f>
        <v>23.96</v>
      </c>
      <c r="F2973" s="1" t="str">
        <f t="shared" ref="F2973:I2973" si="6023">"0"</f>
        <v>0</v>
      </c>
      <c r="G2973" s="1" t="str">
        <f t="shared" si="6023"/>
        <v>0</v>
      </c>
      <c r="H2973" s="1" t="str">
        <f t="shared" si="6023"/>
        <v>0</v>
      </c>
      <c r="I2973" s="1" t="str">
        <f t="shared" si="6023"/>
        <v>0</v>
      </c>
      <c r="J2973" s="1" t="str">
        <f>"3"</f>
        <v>3</v>
      </c>
      <c r="K2973" s="1" t="str">
        <f t="shared" ref="K2973:P2973" si="6024">"0"</f>
        <v>0</v>
      </c>
      <c r="L2973" s="1" t="str">
        <f t="shared" si="6024"/>
        <v>0</v>
      </c>
      <c r="M2973" s="1" t="str">
        <f t="shared" si="6024"/>
        <v>0</v>
      </c>
      <c r="N2973" s="1" t="str">
        <f t="shared" si="6024"/>
        <v>0</v>
      </c>
      <c r="O2973" s="1" t="str">
        <f t="shared" si="6024"/>
        <v>0</v>
      </c>
      <c r="P2973" s="1" t="str">
        <f t="shared" si="6024"/>
        <v>0</v>
      </c>
      <c r="Q2973" s="1" t="str">
        <f t="shared" si="5966"/>
        <v>0.0070</v>
      </c>
      <c r="R2973" s="1" t="s">
        <v>29</v>
      </c>
      <c r="S2973" s="1">
        <v>-0.0014</v>
      </c>
      <c r="T2973" s="1" t="str">
        <f t="shared" si="5967"/>
        <v>0</v>
      </c>
      <c r="U2973" s="1" t="str">
        <f t="shared" ref="U2973:U2977" si="6025">"0.0056"</f>
        <v>0.0056</v>
      </c>
    </row>
    <row r="2974" s="1" customFormat="1" spans="1:21">
      <c r="A2974" s="1" t="str">
        <f>"4601992056690"</f>
        <v>4601992056690</v>
      </c>
      <c r="B2974" s="1" t="s">
        <v>2997</v>
      </c>
      <c r="C2974" s="1" t="s">
        <v>24</v>
      </c>
      <c r="D2974" s="1" t="str">
        <f t="shared" si="5963"/>
        <v>2021</v>
      </c>
      <c r="E2974" s="1" t="str">
        <f>"12.09"</f>
        <v>12.09</v>
      </c>
      <c r="F2974" s="1" t="str">
        <f t="shared" ref="F2974:I2974" si="6026">"0"</f>
        <v>0</v>
      </c>
      <c r="G2974" s="1" t="str">
        <f t="shared" si="6026"/>
        <v>0</v>
      </c>
      <c r="H2974" s="1" t="str">
        <f t="shared" si="6026"/>
        <v>0</v>
      </c>
      <c r="I2974" s="1" t="str">
        <f t="shared" si="6026"/>
        <v>0</v>
      </c>
      <c r="J2974" s="1" t="str">
        <f>"2"</f>
        <v>2</v>
      </c>
      <c r="K2974" s="1" t="str">
        <f t="shared" ref="K2974:P2974" si="6027">"0"</f>
        <v>0</v>
      </c>
      <c r="L2974" s="1" t="str">
        <f t="shared" si="6027"/>
        <v>0</v>
      </c>
      <c r="M2974" s="1" t="str">
        <f t="shared" si="6027"/>
        <v>0</v>
      </c>
      <c r="N2974" s="1" t="str">
        <f t="shared" si="6027"/>
        <v>0</v>
      </c>
      <c r="O2974" s="1" t="str">
        <f t="shared" si="6027"/>
        <v>0</v>
      </c>
      <c r="P2974" s="1" t="str">
        <f t="shared" si="6027"/>
        <v>0</v>
      </c>
      <c r="Q2974" s="1" t="str">
        <f t="shared" si="5966"/>
        <v>0.0070</v>
      </c>
      <c r="R2974" s="1" t="s">
        <v>29</v>
      </c>
      <c r="S2974" s="1">
        <v>-0.0014</v>
      </c>
      <c r="T2974" s="1" t="str">
        <f t="shared" si="5967"/>
        <v>0</v>
      </c>
      <c r="U2974" s="1" t="str">
        <f t="shared" si="6025"/>
        <v>0.0056</v>
      </c>
    </row>
    <row r="2975" s="1" customFormat="1" spans="1:21">
      <c r="A2975" s="1" t="str">
        <f>"4601992056609"</f>
        <v>4601992056609</v>
      </c>
      <c r="B2975" s="1" t="s">
        <v>2998</v>
      </c>
      <c r="C2975" s="1" t="s">
        <v>24</v>
      </c>
      <c r="D2975" s="1" t="str">
        <f t="shared" si="5963"/>
        <v>2021</v>
      </c>
      <c r="E2975" s="1" t="str">
        <f>"95.84"</f>
        <v>95.84</v>
      </c>
      <c r="F2975" s="1" t="str">
        <f t="shared" ref="F2975:I2975" si="6028">"0"</f>
        <v>0</v>
      </c>
      <c r="G2975" s="1" t="str">
        <f t="shared" si="6028"/>
        <v>0</v>
      </c>
      <c r="H2975" s="1" t="str">
        <f t="shared" si="6028"/>
        <v>0</v>
      </c>
      <c r="I2975" s="1" t="str">
        <f t="shared" si="6028"/>
        <v>0</v>
      </c>
      <c r="J2975" s="1" t="str">
        <f>"7"</f>
        <v>7</v>
      </c>
      <c r="K2975" s="1" t="str">
        <f t="shared" ref="K2975:P2975" si="6029">"0"</f>
        <v>0</v>
      </c>
      <c r="L2975" s="1" t="str">
        <f t="shared" si="6029"/>
        <v>0</v>
      </c>
      <c r="M2975" s="1" t="str">
        <f t="shared" si="6029"/>
        <v>0</v>
      </c>
      <c r="N2975" s="1" t="str">
        <f t="shared" si="6029"/>
        <v>0</v>
      </c>
      <c r="O2975" s="1" t="str">
        <f t="shared" si="6029"/>
        <v>0</v>
      </c>
      <c r="P2975" s="1" t="str">
        <f t="shared" si="6029"/>
        <v>0</v>
      </c>
      <c r="Q2975" s="1" t="str">
        <f t="shared" si="5966"/>
        <v>0.0070</v>
      </c>
      <c r="R2975" s="1" t="s">
        <v>29</v>
      </c>
      <c r="S2975" s="1">
        <v>-0.0014</v>
      </c>
      <c r="T2975" s="1" t="str">
        <f t="shared" si="5967"/>
        <v>0</v>
      </c>
      <c r="U2975" s="1" t="str">
        <f t="shared" si="6025"/>
        <v>0.0056</v>
      </c>
    </row>
    <row r="2976" s="1" customFormat="1" spans="1:21">
      <c r="A2976" s="1" t="str">
        <f>"4601992056673"</f>
        <v>4601992056673</v>
      </c>
      <c r="B2976" s="1" t="s">
        <v>2999</v>
      </c>
      <c r="C2976" s="1" t="s">
        <v>24</v>
      </c>
      <c r="D2976" s="1" t="str">
        <f t="shared" si="5963"/>
        <v>2021</v>
      </c>
      <c r="E2976" s="1" t="str">
        <f>"42.00"</f>
        <v>42.00</v>
      </c>
      <c r="F2976" s="1" t="str">
        <f t="shared" ref="F2976:I2976" si="6030">"0"</f>
        <v>0</v>
      </c>
      <c r="G2976" s="1" t="str">
        <f t="shared" si="6030"/>
        <v>0</v>
      </c>
      <c r="H2976" s="1" t="str">
        <f t="shared" si="6030"/>
        <v>0</v>
      </c>
      <c r="I2976" s="1" t="str">
        <f t="shared" si="6030"/>
        <v>0</v>
      </c>
      <c r="J2976" s="1" t="str">
        <f>"2"</f>
        <v>2</v>
      </c>
      <c r="K2976" s="1" t="str">
        <f t="shared" ref="K2976:P2976" si="6031">"0"</f>
        <v>0</v>
      </c>
      <c r="L2976" s="1" t="str">
        <f t="shared" si="6031"/>
        <v>0</v>
      </c>
      <c r="M2976" s="1" t="str">
        <f t="shared" si="6031"/>
        <v>0</v>
      </c>
      <c r="N2976" s="1" t="str">
        <f t="shared" si="6031"/>
        <v>0</v>
      </c>
      <c r="O2976" s="1" t="str">
        <f t="shared" si="6031"/>
        <v>0</v>
      </c>
      <c r="P2976" s="1" t="str">
        <f t="shared" si="6031"/>
        <v>0</v>
      </c>
      <c r="Q2976" s="1" t="str">
        <f t="shared" si="5966"/>
        <v>0.0070</v>
      </c>
      <c r="R2976" s="1" t="s">
        <v>29</v>
      </c>
      <c r="S2976" s="1">
        <v>-0.0014</v>
      </c>
      <c r="T2976" s="1" t="str">
        <f t="shared" si="5967"/>
        <v>0</v>
      </c>
      <c r="U2976" s="1" t="str">
        <f t="shared" si="6025"/>
        <v>0.0056</v>
      </c>
    </row>
    <row r="2977" s="1" customFormat="1" spans="1:21">
      <c r="A2977" s="1" t="str">
        <f>"4601992056637"</f>
        <v>4601992056637</v>
      </c>
      <c r="B2977" s="1" t="s">
        <v>3000</v>
      </c>
      <c r="C2977" s="1" t="s">
        <v>24</v>
      </c>
      <c r="D2977" s="1" t="str">
        <f t="shared" si="5963"/>
        <v>2021</v>
      </c>
      <c r="E2977" s="1" t="str">
        <f>"36.16"</f>
        <v>36.16</v>
      </c>
      <c r="F2977" s="1" t="str">
        <f t="shared" ref="F2977:I2977" si="6032">"0"</f>
        <v>0</v>
      </c>
      <c r="G2977" s="1" t="str">
        <f t="shared" si="6032"/>
        <v>0</v>
      </c>
      <c r="H2977" s="1" t="str">
        <f t="shared" si="6032"/>
        <v>0</v>
      </c>
      <c r="I2977" s="1" t="str">
        <f t="shared" si="6032"/>
        <v>0</v>
      </c>
      <c r="J2977" s="1" t="str">
        <f>"3"</f>
        <v>3</v>
      </c>
      <c r="K2977" s="1" t="str">
        <f t="shared" ref="K2977:P2977" si="6033">"0"</f>
        <v>0</v>
      </c>
      <c r="L2977" s="1" t="str">
        <f t="shared" si="6033"/>
        <v>0</v>
      </c>
      <c r="M2977" s="1" t="str">
        <f t="shared" si="6033"/>
        <v>0</v>
      </c>
      <c r="N2977" s="1" t="str">
        <f t="shared" si="6033"/>
        <v>0</v>
      </c>
      <c r="O2977" s="1" t="str">
        <f t="shared" si="6033"/>
        <v>0</v>
      </c>
      <c r="P2977" s="1" t="str">
        <f t="shared" si="6033"/>
        <v>0</v>
      </c>
      <c r="Q2977" s="1" t="str">
        <f t="shared" si="5966"/>
        <v>0.0070</v>
      </c>
      <c r="R2977" s="1" t="s">
        <v>29</v>
      </c>
      <c r="S2977" s="1">
        <v>-0.0014</v>
      </c>
      <c r="T2977" s="1" t="str">
        <f t="shared" si="5967"/>
        <v>0</v>
      </c>
      <c r="U2977" s="1" t="str">
        <f t="shared" si="6025"/>
        <v>0.0056</v>
      </c>
    </row>
    <row r="2978" s="1" customFormat="1" spans="1:21">
      <c r="A2978" s="1" t="str">
        <f>"4601992056726"</f>
        <v>4601992056726</v>
      </c>
      <c r="B2978" s="1" t="s">
        <v>3001</v>
      </c>
      <c r="C2978" s="1" t="s">
        <v>24</v>
      </c>
      <c r="D2978" s="1" t="str">
        <f t="shared" si="5963"/>
        <v>2021</v>
      </c>
      <c r="E2978" s="1" t="str">
        <f t="shared" ref="E2978:P2978" si="6034">"0"</f>
        <v>0</v>
      </c>
      <c r="F2978" s="1" t="str">
        <f t="shared" si="6034"/>
        <v>0</v>
      </c>
      <c r="G2978" s="1" t="str">
        <f t="shared" si="6034"/>
        <v>0</v>
      </c>
      <c r="H2978" s="1" t="str">
        <f t="shared" si="6034"/>
        <v>0</v>
      </c>
      <c r="I2978" s="1" t="str">
        <f t="shared" si="6034"/>
        <v>0</v>
      </c>
      <c r="J2978" s="1" t="str">
        <f t="shared" si="6034"/>
        <v>0</v>
      </c>
      <c r="K2978" s="1" t="str">
        <f t="shared" si="6034"/>
        <v>0</v>
      </c>
      <c r="L2978" s="1" t="str">
        <f t="shared" si="6034"/>
        <v>0</v>
      </c>
      <c r="M2978" s="1" t="str">
        <f t="shared" si="6034"/>
        <v>0</v>
      </c>
      <c r="N2978" s="1" t="str">
        <f t="shared" si="6034"/>
        <v>0</v>
      </c>
      <c r="O2978" s="1" t="str">
        <f t="shared" si="6034"/>
        <v>0</v>
      </c>
      <c r="P2978" s="1" t="str">
        <f t="shared" si="6034"/>
        <v>0</v>
      </c>
      <c r="Q2978" s="1" t="str">
        <f t="shared" si="5966"/>
        <v>0.0070</v>
      </c>
      <c r="R2978" s="1" t="s">
        <v>25</v>
      </c>
      <c r="T2978" s="1" t="str">
        <f t="shared" si="5967"/>
        <v>0</v>
      </c>
      <c r="U2978" s="1" t="str">
        <f t="shared" ref="U2978:U2983" si="6035">"0.0070"</f>
        <v>0.0070</v>
      </c>
    </row>
    <row r="2979" s="1" customFormat="1" spans="1:21">
      <c r="A2979" s="1" t="str">
        <f>"4601992056741"</f>
        <v>4601992056741</v>
      </c>
      <c r="B2979" s="1" t="s">
        <v>3002</v>
      </c>
      <c r="C2979" s="1" t="s">
        <v>24</v>
      </c>
      <c r="D2979" s="1" t="str">
        <f t="shared" si="5963"/>
        <v>2021</v>
      </c>
      <c r="E2979" s="1" t="str">
        <f t="shared" ref="E2979:P2979" si="6036">"0"</f>
        <v>0</v>
      </c>
      <c r="F2979" s="1" t="str">
        <f t="shared" si="6036"/>
        <v>0</v>
      </c>
      <c r="G2979" s="1" t="str">
        <f t="shared" si="6036"/>
        <v>0</v>
      </c>
      <c r="H2979" s="1" t="str">
        <f t="shared" si="6036"/>
        <v>0</v>
      </c>
      <c r="I2979" s="1" t="str">
        <f t="shared" si="6036"/>
        <v>0</v>
      </c>
      <c r="J2979" s="1" t="str">
        <f t="shared" si="6036"/>
        <v>0</v>
      </c>
      <c r="K2979" s="1" t="str">
        <f t="shared" si="6036"/>
        <v>0</v>
      </c>
      <c r="L2979" s="1" t="str">
        <f t="shared" si="6036"/>
        <v>0</v>
      </c>
      <c r="M2979" s="1" t="str">
        <f t="shared" si="6036"/>
        <v>0</v>
      </c>
      <c r="N2979" s="1" t="str">
        <f t="shared" si="6036"/>
        <v>0</v>
      </c>
      <c r="O2979" s="1" t="str">
        <f t="shared" si="6036"/>
        <v>0</v>
      </c>
      <c r="P2979" s="1" t="str">
        <f t="shared" si="6036"/>
        <v>0</v>
      </c>
      <c r="Q2979" s="1" t="str">
        <f t="shared" si="5966"/>
        <v>0.0070</v>
      </c>
      <c r="R2979" s="1" t="s">
        <v>25</v>
      </c>
      <c r="T2979" s="1" t="str">
        <f t="shared" si="5967"/>
        <v>0</v>
      </c>
      <c r="U2979" s="1" t="str">
        <f t="shared" si="6035"/>
        <v>0.0070</v>
      </c>
    </row>
    <row r="2980" s="1" customFormat="1" spans="1:21">
      <c r="A2980" s="1" t="str">
        <f>"4601992056701"</f>
        <v>4601992056701</v>
      </c>
      <c r="B2980" s="1" t="s">
        <v>3003</v>
      </c>
      <c r="C2980" s="1" t="s">
        <v>24</v>
      </c>
      <c r="D2980" s="1" t="str">
        <f t="shared" si="5963"/>
        <v>2021</v>
      </c>
      <c r="E2980" s="1" t="str">
        <f>"24.18"</f>
        <v>24.18</v>
      </c>
      <c r="F2980" s="1" t="str">
        <f t="shared" ref="F2980:I2980" si="6037">"0"</f>
        <v>0</v>
      </c>
      <c r="G2980" s="1" t="str">
        <f t="shared" si="6037"/>
        <v>0</v>
      </c>
      <c r="H2980" s="1" t="str">
        <f t="shared" si="6037"/>
        <v>0</v>
      </c>
      <c r="I2980" s="1" t="str">
        <f t="shared" si="6037"/>
        <v>0</v>
      </c>
      <c r="J2980" s="1" t="str">
        <f>"4"</f>
        <v>4</v>
      </c>
      <c r="K2980" s="1" t="str">
        <f t="shared" ref="K2980:P2980" si="6038">"0"</f>
        <v>0</v>
      </c>
      <c r="L2980" s="1" t="str">
        <f t="shared" si="6038"/>
        <v>0</v>
      </c>
      <c r="M2980" s="1" t="str">
        <f t="shared" si="6038"/>
        <v>0</v>
      </c>
      <c r="N2980" s="1" t="str">
        <f t="shared" si="6038"/>
        <v>0</v>
      </c>
      <c r="O2980" s="1" t="str">
        <f t="shared" si="6038"/>
        <v>0</v>
      </c>
      <c r="P2980" s="1" t="str">
        <f t="shared" si="6038"/>
        <v>0</v>
      </c>
      <c r="Q2980" s="1" t="str">
        <f t="shared" si="5966"/>
        <v>0.0070</v>
      </c>
      <c r="R2980" s="1" t="s">
        <v>29</v>
      </c>
      <c r="S2980" s="1">
        <v>-0.0014</v>
      </c>
      <c r="T2980" s="1" t="str">
        <f t="shared" si="5967"/>
        <v>0</v>
      </c>
      <c r="U2980" s="1" t="str">
        <f>"0.0056"</f>
        <v>0.0056</v>
      </c>
    </row>
    <row r="2981" s="1" customFormat="1" spans="1:21">
      <c r="A2981" s="1" t="str">
        <f>"4601992056735"</f>
        <v>4601992056735</v>
      </c>
      <c r="B2981" s="1" t="s">
        <v>3004</v>
      </c>
      <c r="C2981" s="1" t="s">
        <v>24</v>
      </c>
      <c r="D2981" s="1" t="str">
        <f t="shared" si="5963"/>
        <v>2021</v>
      </c>
      <c r="E2981" s="1" t="str">
        <f>"24.50"</f>
        <v>24.50</v>
      </c>
      <c r="F2981" s="1" t="str">
        <f t="shared" ref="F2981:I2981" si="6039">"0"</f>
        <v>0</v>
      </c>
      <c r="G2981" s="1" t="str">
        <f t="shared" si="6039"/>
        <v>0</v>
      </c>
      <c r="H2981" s="1" t="str">
        <f t="shared" si="6039"/>
        <v>0</v>
      </c>
      <c r="I2981" s="1" t="str">
        <f t="shared" si="6039"/>
        <v>0</v>
      </c>
      <c r="J2981" s="1" t="str">
        <f t="shared" ref="J2981:J2985" si="6040">"2"</f>
        <v>2</v>
      </c>
      <c r="K2981" s="1" t="str">
        <f t="shared" ref="K2981:P2981" si="6041">"0"</f>
        <v>0</v>
      </c>
      <c r="L2981" s="1" t="str">
        <f t="shared" si="6041"/>
        <v>0</v>
      </c>
      <c r="M2981" s="1" t="str">
        <f t="shared" si="6041"/>
        <v>0</v>
      </c>
      <c r="N2981" s="1" t="str">
        <f t="shared" si="6041"/>
        <v>0</v>
      </c>
      <c r="O2981" s="1" t="str">
        <f t="shared" si="6041"/>
        <v>0</v>
      </c>
      <c r="P2981" s="1" t="str">
        <f t="shared" si="6041"/>
        <v>0</v>
      </c>
      <c r="Q2981" s="1" t="str">
        <f t="shared" si="5966"/>
        <v>0.0070</v>
      </c>
      <c r="R2981" s="1" t="s">
        <v>25</v>
      </c>
      <c r="T2981" s="1" t="str">
        <f t="shared" si="5967"/>
        <v>0</v>
      </c>
      <c r="U2981" s="1" t="str">
        <f t="shared" si="6035"/>
        <v>0.0070</v>
      </c>
    </row>
    <row r="2982" s="1" customFormat="1" spans="1:21">
      <c r="A2982" s="1" t="str">
        <f>"4601992056796"</f>
        <v>4601992056796</v>
      </c>
      <c r="B2982" s="1" t="s">
        <v>3005</v>
      </c>
      <c r="C2982" s="1" t="s">
        <v>24</v>
      </c>
      <c r="D2982" s="1" t="str">
        <f t="shared" si="5963"/>
        <v>2021</v>
      </c>
      <c r="E2982" s="1" t="str">
        <f t="shared" ref="E2982:P2982" si="6042">"0"</f>
        <v>0</v>
      </c>
      <c r="F2982" s="1" t="str">
        <f t="shared" si="6042"/>
        <v>0</v>
      </c>
      <c r="G2982" s="1" t="str">
        <f t="shared" si="6042"/>
        <v>0</v>
      </c>
      <c r="H2982" s="1" t="str">
        <f t="shared" si="6042"/>
        <v>0</v>
      </c>
      <c r="I2982" s="1" t="str">
        <f t="shared" si="6042"/>
        <v>0</v>
      </c>
      <c r="J2982" s="1" t="str">
        <f t="shared" si="6042"/>
        <v>0</v>
      </c>
      <c r="K2982" s="1" t="str">
        <f t="shared" si="6042"/>
        <v>0</v>
      </c>
      <c r="L2982" s="1" t="str">
        <f t="shared" si="6042"/>
        <v>0</v>
      </c>
      <c r="M2982" s="1" t="str">
        <f t="shared" si="6042"/>
        <v>0</v>
      </c>
      <c r="N2982" s="1" t="str">
        <f t="shared" si="6042"/>
        <v>0</v>
      </c>
      <c r="O2982" s="1" t="str">
        <f t="shared" si="6042"/>
        <v>0</v>
      </c>
      <c r="P2982" s="1" t="str">
        <f t="shared" si="6042"/>
        <v>0</v>
      </c>
      <c r="Q2982" s="1" t="str">
        <f t="shared" si="5966"/>
        <v>0.0070</v>
      </c>
      <c r="R2982" s="1" t="s">
        <v>25</v>
      </c>
      <c r="T2982" s="1" t="str">
        <f t="shared" si="5967"/>
        <v>0</v>
      </c>
      <c r="U2982" s="1" t="str">
        <f t="shared" si="6035"/>
        <v>0.0070</v>
      </c>
    </row>
    <row r="2983" s="1" customFormat="1" spans="1:21">
      <c r="A2983" s="1" t="str">
        <f>"4601992056738"</f>
        <v>4601992056738</v>
      </c>
      <c r="B2983" s="1" t="s">
        <v>3006</v>
      </c>
      <c r="C2983" s="1" t="s">
        <v>24</v>
      </c>
      <c r="D2983" s="1" t="str">
        <f t="shared" si="5963"/>
        <v>2021</v>
      </c>
      <c r="E2983" s="1" t="str">
        <f t="shared" ref="E2983:G2983" si="6043">"0"</f>
        <v>0</v>
      </c>
      <c r="F2983" s="1" t="str">
        <f t="shared" si="6043"/>
        <v>0</v>
      </c>
      <c r="G2983" s="1" t="str">
        <f t="shared" si="6043"/>
        <v>0</v>
      </c>
      <c r="H2983" s="1" t="str">
        <f>"24.18"</f>
        <v>24.18</v>
      </c>
      <c r="I2983" s="1" t="str">
        <f t="shared" ref="I2983:P2983" si="6044">"0"</f>
        <v>0</v>
      </c>
      <c r="J2983" s="1" t="str">
        <f>"3"</f>
        <v>3</v>
      </c>
      <c r="K2983" s="1" t="str">
        <f t="shared" si="6044"/>
        <v>0</v>
      </c>
      <c r="L2983" s="1" t="str">
        <f t="shared" si="6044"/>
        <v>0</v>
      </c>
      <c r="M2983" s="1" t="str">
        <f t="shared" si="6044"/>
        <v>0</v>
      </c>
      <c r="N2983" s="1" t="str">
        <f t="shared" si="6044"/>
        <v>0</v>
      </c>
      <c r="O2983" s="1" t="str">
        <f t="shared" si="6044"/>
        <v>0</v>
      </c>
      <c r="P2983" s="1" t="str">
        <f t="shared" si="6044"/>
        <v>0</v>
      </c>
      <c r="Q2983" s="1" t="str">
        <f t="shared" si="5966"/>
        <v>0.0070</v>
      </c>
      <c r="R2983" s="1" t="s">
        <v>25</v>
      </c>
      <c r="T2983" s="1" t="str">
        <f t="shared" si="5967"/>
        <v>0</v>
      </c>
      <c r="U2983" s="1" t="str">
        <f t="shared" si="6035"/>
        <v>0.0070</v>
      </c>
    </row>
    <row r="2984" s="1" customFormat="1" spans="1:21">
      <c r="A2984" s="1" t="str">
        <f>"4601992056769"</f>
        <v>4601992056769</v>
      </c>
      <c r="B2984" s="1" t="s">
        <v>3007</v>
      </c>
      <c r="C2984" s="1" t="s">
        <v>24</v>
      </c>
      <c r="D2984" s="1" t="str">
        <f t="shared" si="5963"/>
        <v>2021</v>
      </c>
      <c r="E2984" s="1" t="str">
        <f>"33.26"</f>
        <v>33.26</v>
      </c>
      <c r="F2984" s="1" t="str">
        <f t="shared" ref="F2984:I2984" si="6045">"0"</f>
        <v>0</v>
      </c>
      <c r="G2984" s="1" t="str">
        <f t="shared" si="6045"/>
        <v>0</v>
      </c>
      <c r="H2984" s="1" t="str">
        <f t="shared" si="6045"/>
        <v>0</v>
      </c>
      <c r="I2984" s="1" t="str">
        <f t="shared" si="6045"/>
        <v>0</v>
      </c>
      <c r="J2984" s="1" t="str">
        <f t="shared" si="6040"/>
        <v>2</v>
      </c>
      <c r="K2984" s="1" t="str">
        <f t="shared" ref="K2984:P2984" si="6046">"0"</f>
        <v>0</v>
      </c>
      <c r="L2984" s="1" t="str">
        <f t="shared" si="6046"/>
        <v>0</v>
      </c>
      <c r="M2984" s="1" t="str">
        <f t="shared" si="6046"/>
        <v>0</v>
      </c>
      <c r="N2984" s="1" t="str">
        <f t="shared" si="6046"/>
        <v>0</v>
      </c>
      <c r="O2984" s="1" t="str">
        <f t="shared" si="6046"/>
        <v>0</v>
      </c>
      <c r="P2984" s="1" t="str">
        <f t="shared" si="6046"/>
        <v>0</v>
      </c>
      <c r="Q2984" s="1" t="str">
        <f t="shared" si="5966"/>
        <v>0.0070</v>
      </c>
      <c r="R2984" s="1" t="s">
        <v>29</v>
      </c>
      <c r="S2984" s="1">
        <v>-0.0014</v>
      </c>
      <c r="T2984" s="1" t="str">
        <f t="shared" si="5967"/>
        <v>0</v>
      </c>
      <c r="U2984" s="1" t="str">
        <f t="shared" ref="U2984:U2995" si="6047">"0.0056"</f>
        <v>0.0056</v>
      </c>
    </row>
    <row r="2985" s="1" customFormat="1" spans="1:21">
      <c r="A2985" s="1" t="str">
        <f>"4601992056792"</f>
        <v>4601992056792</v>
      </c>
      <c r="B2985" s="1" t="s">
        <v>3008</v>
      </c>
      <c r="C2985" s="1" t="s">
        <v>24</v>
      </c>
      <c r="D2985" s="1" t="str">
        <f t="shared" si="5963"/>
        <v>2021</v>
      </c>
      <c r="E2985" s="1" t="str">
        <f>"12.09"</f>
        <v>12.09</v>
      </c>
      <c r="F2985" s="1" t="str">
        <f t="shared" ref="F2985:I2985" si="6048">"0"</f>
        <v>0</v>
      </c>
      <c r="G2985" s="1" t="str">
        <f t="shared" si="6048"/>
        <v>0</v>
      </c>
      <c r="H2985" s="1" t="str">
        <f t="shared" si="6048"/>
        <v>0</v>
      </c>
      <c r="I2985" s="1" t="str">
        <f t="shared" si="6048"/>
        <v>0</v>
      </c>
      <c r="J2985" s="1" t="str">
        <f t="shared" si="6040"/>
        <v>2</v>
      </c>
      <c r="K2985" s="1" t="str">
        <f t="shared" ref="K2985:P2985" si="6049">"0"</f>
        <v>0</v>
      </c>
      <c r="L2985" s="1" t="str">
        <f t="shared" si="6049"/>
        <v>0</v>
      </c>
      <c r="M2985" s="1" t="str">
        <f t="shared" si="6049"/>
        <v>0</v>
      </c>
      <c r="N2985" s="1" t="str">
        <f t="shared" si="6049"/>
        <v>0</v>
      </c>
      <c r="O2985" s="1" t="str">
        <f t="shared" si="6049"/>
        <v>0</v>
      </c>
      <c r="P2985" s="1" t="str">
        <f t="shared" si="6049"/>
        <v>0</v>
      </c>
      <c r="Q2985" s="1" t="str">
        <f t="shared" si="5966"/>
        <v>0.0070</v>
      </c>
      <c r="R2985" s="1" t="s">
        <v>25</v>
      </c>
      <c r="T2985" s="1" t="str">
        <f t="shared" si="5967"/>
        <v>0</v>
      </c>
      <c r="U2985" s="1" t="str">
        <f t="shared" ref="U2985:U2987" si="6050">"0.0070"</f>
        <v>0.0070</v>
      </c>
    </row>
    <row r="2986" s="1" customFormat="1" spans="1:21">
      <c r="A2986" s="1" t="str">
        <f>"4601992056804"</f>
        <v>4601992056804</v>
      </c>
      <c r="B2986" s="1" t="s">
        <v>3009</v>
      </c>
      <c r="C2986" s="1" t="s">
        <v>24</v>
      </c>
      <c r="D2986" s="1" t="str">
        <f t="shared" si="5963"/>
        <v>2021</v>
      </c>
      <c r="E2986" s="1" t="str">
        <f>"128.06"</f>
        <v>128.06</v>
      </c>
      <c r="F2986" s="1" t="str">
        <f t="shared" ref="F2986:I2986" si="6051">"0"</f>
        <v>0</v>
      </c>
      <c r="G2986" s="1" t="str">
        <f t="shared" si="6051"/>
        <v>0</v>
      </c>
      <c r="H2986" s="1" t="str">
        <f t="shared" si="6051"/>
        <v>0</v>
      </c>
      <c r="I2986" s="1" t="str">
        <f t="shared" si="6051"/>
        <v>0</v>
      </c>
      <c r="J2986" s="1" t="str">
        <f>"8"</f>
        <v>8</v>
      </c>
      <c r="K2986" s="1" t="str">
        <f t="shared" ref="K2986:P2986" si="6052">"0"</f>
        <v>0</v>
      </c>
      <c r="L2986" s="1" t="str">
        <f t="shared" si="6052"/>
        <v>0</v>
      </c>
      <c r="M2986" s="1" t="str">
        <f t="shared" si="6052"/>
        <v>0</v>
      </c>
      <c r="N2986" s="1" t="str">
        <f t="shared" si="6052"/>
        <v>0</v>
      </c>
      <c r="O2986" s="1" t="str">
        <f t="shared" si="6052"/>
        <v>0</v>
      </c>
      <c r="P2986" s="1" t="str">
        <f t="shared" si="6052"/>
        <v>0</v>
      </c>
      <c r="Q2986" s="1" t="str">
        <f t="shared" si="5966"/>
        <v>0.0070</v>
      </c>
      <c r="R2986" s="1" t="s">
        <v>25</v>
      </c>
      <c r="T2986" s="1" t="str">
        <f t="shared" si="5967"/>
        <v>0</v>
      </c>
      <c r="U2986" s="1" t="str">
        <f t="shared" si="6050"/>
        <v>0.0070</v>
      </c>
    </row>
    <row r="2987" s="1" customFormat="1" spans="1:21">
      <c r="A2987" s="1" t="str">
        <f>"4601992056813"</f>
        <v>4601992056813</v>
      </c>
      <c r="B2987" s="1" t="s">
        <v>3010</v>
      </c>
      <c r="C2987" s="1" t="s">
        <v>24</v>
      </c>
      <c r="D2987" s="1" t="str">
        <f t="shared" si="5963"/>
        <v>2021</v>
      </c>
      <c r="E2987" s="1" t="str">
        <f t="shared" ref="E2987:P2987" si="6053">"0"</f>
        <v>0</v>
      </c>
      <c r="F2987" s="1" t="str">
        <f t="shared" si="6053"/>
        <v>0</v>
      </c>
      <c r="G2987" s="1" t="str">
        <f t="shared" si="6053"/>
        <v>0</v>
      </c>
      <c r="H2987" s="1" t="str">
        <f t="shared" si="6053"/>
        <v>0</v>
      </c>
      <c r="I2987" s="1" t="str">
        <f t="shared" si="6053"/>
        <v>0</v>
      </c>
      <c r="J2987" s="1" t="str">
        <f t="shared" si="6053"/>
        <v>0</v>
      </c>
      <c r="K2987" s="1" t="str">
        <f t="shared" si="6053"/>
        <v>0</v>
      </c>
      <c r="L2987" s="1" t="str">
        <f t="shared" si="6053"/>
        <v>0</v>
      </c>
      <c r="M2987" s="1" t="str">
        <f t="shared" si="6053"/>
        <v>0</v>
      </c>
      <c r="N2987" s="1" t="str">
        <f t="shared" si="6053"/>
        <v>0</v>
      </c>
      <c r="O2987" s="1" t="str">
        <f t="shared" si="6053"/>
        <v>0</v>
      </c>
      <c r="P2987" s="1" t="str">
        <f t="shared" si="6053"/>
        <v>0</v>
      </c>
      <c r="Q2987" s="1" t="str">
        <f t="shared" si="5966"/>
        <v>0.0070</v>
      </c>
      <c r="R2987" s="1" t="s">
        <v>25</v>
      </c>
      <c r="T2987" s="1" t="str">
        <f t="shared" si="5967"/>
        <v>0</v>
      </c>
      <c r="U2987" s="1" t="str">
        <f t="shared" si="6050"/>
        <v>0.0070</v>
      </c>
    </row>
    <row r="2988" s="1" customFormat="1" spans="1:21">
      <c r="A2988" s="1" t="str">
        <f>"4601992056790"</f>
        <v>4601992056790</v>
      </c>
      <c r="B2988" s="1" t="s">
        <v>3011</v>
      </c>
      <c r="C2988" s="1" t="s">
        <v>24</v>
      </c>
      <c r="D2988" s="1" t="str">
        <f t="shared" si="5963"/>
        <v>2021</v>
      </c>
      <c r="E2988" s="1" t="str">
        <f>"12.25"</f>
        <v>12.25</v>
      </c>
      <c r="F2988" s="1" t="str">
        <f t="shared" ref="F2988:I2988" si="6054">"0"</f>
        <v>0</v>
      </c>
      <c r="G2988" s="1" t="str">
        <f t="shared" si="6054"/>
        <v>0</v>
      </c>
      <c r="H2988" s="1" t="str">
        <f t="shared" si="6054"/>
        <v>0</v>
      </c>
      <c r="I2988" s="1" t="str">
        <f t="shared" si="6054"/>
        <v>0</v>
      </c>
      <c r="J2988" s="1" t="str">
        <f t="shared" ref="J2988:J2993" si="6055">"1"</f>
        <v>1</v>
      </c>
      <c r="K2988" s="1" t="str">
        <f t="shared" ref="K2988:P2988" si="6056">"0"</f>
        <v>0</v>
      </c>
      <c r="L2988" s="1" t="str">
        <f t="shared" si="6056"/>
        <v>0</v>
      </c>
      <c r="M2988" s="1" t="str">
        <f t="shared" si="6056"/>
        <v>0</v>
      </c>
      <c r="N2988" s="1" t="str">
        <f t="shared" si="6056"/>
        <v>0</v>
      </c>
      <c r="O2988" s="1" t="str">
        <f t="shared" si="6056"/>
        <v>0</v>
      </c>
      <c r="P2988" s="1" t="str">
        <f t="shared" si="6056"/>
        <v>0</v>
      </c>
      <c r="Q2988" s="1" t="str">
        <f t="shared" si="5966"/>
        <v>0.0070</v>
      </c>
      <c r="R2988" s="1" t="s">
        <v>29</v>
      </c>
      <c r="S2988" s="1">
        <v>-0.0014</v>
      </c>
      <c r="T2988" s="1" t="str">
        <f t="shared" si="5967"/>
        <v>0</v>
      </c>
      <c r="U2988" s="1" t="str">
        <f t="shared" si="6047"/>
        <v>0.0056</v>
      </c>
    </row>
    <row r="2989" s="1" customFormat="1" spans="1:21">
      <c r="A2989" s="1" t="str">
        <f>"4601992056828"</f>
        <v>4601992056828</v>
      </c>
      <c r="B2989" s="1" t="s">
        <v>3012</v>
      </c>
      <c r="C2989" s="1" t="s">
        <v>24</v>
      </c>
      <c r="D2989" s="1" t="str">
        <f t="shared" si="5963"/>
        <v>2021</v>
      </c>
      <c r="E2989" s="1" t="str">
        <f>"12.09"</f>
        <v>12.09</v>
      </c>
      <c r="F2989" s="1" t="str">
        <f t="shared" ref="F2989:I2989" si="6057">"0"</f>
        <v>0</v>
      </c>
      <c r="G2989" s="1" t="str">
        <f t="shared" si="6057"/>
        <v>0</v>
      </c>
      <c r="H2989" s="1" t="str">
        <f t="shared" si="6057"/>
        <v>0</v>
      </c>
      <c r="I2989" s="1" t="str">
        <f t="shared" si="6057"/>
        <v>0</v>
      </c>
      <c r="J2989" s="1" t="str">
        <f t="shared" si="6055"/>
        <v>1</v>
      </c>
      <c r="K2989" s="1" t="str">
        <f t="shared" ref="K2989:P2989" si="6058">"0"</f>
        <v>0</v>
      </c>
      <c r="L2989" s="1" t="str">
        <f t="shared" si="6058"/>
        <v>0</v>
      </c>
      <c r="M2989" s="1" t="str">
        <f t="shared" si="6058"/>
        <v>0</v>
      </c>
      <c r="N2989" s="1" t="str">
        <f t="shared" si="6058"/>
        <v>0</v>
      </c>
      <c r="O2989" s="1" t="str">
        <f t="shared" si="6058"/>
        <v>0</v>
      </c>
      <c r="P2989" s="1" t="str">
        <f t="shared" si="6058"/>
        <v>0</v>
      </c>
      <c r="Q2989" s="1" t="str">
        <f t="shared" si="5966"/>
        <v>0.0070</v>
      </c>
      <c r="R2989" s="1" t="s">
        <v>29</v>
      </c>
      <c r="S2989" s="1">
        <v>-0.0014</v>
      </c>
      <c r="T2989" s="1" t="str">
        <f t="shared" si="5967"/>
        <v>0</v>
      </c>
      <c r="U2989" s="1" t="str">
        <f t="shared" si="6047"/>
        <v>0.0056</v>
      </c>
    </row>
    <row r="2990" s="1" customFormat="1" spans="1:21">
      <c r="A2990" s="1" t="str">
        <f>"4601992056822"</f>
        <v>4601992056822</v>
      </c>
      <c r="B2990" s="1" t="s">
        <v>3013</v>
      </c>
      <c r="C2990" s="1" t="s">
        <v>24</v>
      </c>
      <c r="D2990" s="1" t="str">
        <f t="shared" si="5963"/>
        <v>2021</v>
      </c>
      <c r="E2990" s="1" t="str">
        <f>"24.18"</f>
        <v>24.18</v>
      </c>
      <c r="F2990" s="1" t="str">
        <f t="shared" ref="F2990:I2990" si="6059">"0"</f>
        <v>0</v>
      </c>
      <c r="G2990" s="1" t="str">
        <f t="shared" si="6059"/>
        <v>0</v>
      </c>
      <c r="H2990" s="1" t="str">
        <f t="shared" si="6059"/>
        <v>0</v>
      </c>
      <c r="I2990" s="1" t="str">
        <f t="shared" si="6059"/>
        <v>0</v>
      </c>
      <c r="J2990" s="1" t="str">
        <f>"4"</f>
        <v>4</v>
      </c>
      <c r="K2990" s="1" t="str">
        <f t="shared" ref="K2990:P2990" si="6060">"0"</f>
        <v>0</v>
      </c>
      <c r="L2990" s="1" t="str">
        <f t="shared" si="6060"/>
        <v>0</v>
      </c>
      <c r="M2990" s="1" t="str">
        <f t="shared" si="6060"/>
        <v>0</v>
      </c>
      <c r="N2990" s="1" t="str">
        <f t="shared" si="6060"/>
        <v>0</v>
      </c>
      <c r="O2990" s="1" t="str">
        <f t="shared" si="6060"/>
        <v>0</v>
      </c>
      <c r="P2990" s="1" t="str">
        <f t="shared" si="6060"/>
        <v>0</v>
      </c>
      <c r="Q2990" s="1" t="str">
        <f t="shared" si="5966"/>
        <v>0.0070</v>
      </c>
      <c r="R2990" s="1" t="s">
        <v>29</v>
      </c>
      <c r="S2990" s="1">
        <v>-0.0014</v>
      </c>
      <c r="T2990" s="1" t="str">
        <f t="shared" si="5967"/>
        <v>0</v>
      </c>
      <c r="U2990" s="1" t="str">
        <f t="shared" si="6047"/>
        <v>0.0056</v>
      </c>
    </row>
    <row r="2991" s="1" customFormat="1" spans="1:21">
      <c r="A2991" s="1" t="str">
        <f>"4601992056842"</f>
        <v>4601992056842</v>
      </c>
      <c r="B2991" s="1" t="s">
        <v>3014</v>
      </c>
      <c r="C2991" s="1" t="s">
        <v>24</v>
      </c>
      <c r="D2991" s="1" t="str">
        <f t="shared" si="5963"/>
        <v>2021</v>
      </c>
      <c r="E2991" s="1" t="str">
        <f>"36.05"</f>
        <v>36.05</v>
      </c>
      <c r="F2991" s="1" t="str">
        <f t="shared" ref="F2991:I2991" si="6061">"0"</f>
        <v>0</v>
      </c>
      <c r="G2991" s="1" t="str">
        <f t="shared" si="6061"/>
        <v>0</v>
      </c>
      <c r="H2991" s="1" t="str">
        <f t="shared" si="6061"/>
        <v>0</v>
      </c>
      <c r="I2991" s="1" t="str">
        <f t="shared" si="6061"/>
        <v>0</v>
      </c>
      <c r="J2991" s="1" t="str">
        <f t="shared" ref="J2991:J2995" si="6062">"3"</f>
        <v>3</v>
      </c>
      <c r="K2991" s="1" t="str">
        <f t="shared" ref="K2991:P2991" si="6063">"0"</f>
        <v>0</v>
      </c>
      <c r="L2991" s="1" t="str">
        <f t="shared" si="6063"/>
        <v>0</v>
      </c>
      <c r="M2991" s="1" t="str">
        <f t="shared" si="6063"/>
        <v>0</v>
      </c>
      <c r="N2991" s="1" t="str">
        <f t="shared" si="6063"/>
        <v>0</v>
      </c>
      <c r="O2991" s="1" t="str">
        <f t="shared" si="6063"/>
        <v>0</v>
      </c>
      <c r="P2991" s="1" t="str">
        <f t="shared" si="6063"/>
        <v>0</v>
      </c>
      <c r="Q2991" s="1" t="str">
        <f t="shared" si="5966"/>
        <v>0.0070</v>
      </c>
      <c r="R2991" s="1" t="s">
        <v>29</v>
      </c>
      <c r="S2991" s="1">
        <v>-0.0014</v>
      </c>
      <c r="T2991" s="1" t="str">
        <f t="shared" si="5967"/>
        <v>0</v>
      </c>
      <c r="U2991" s="1" t="str">
        <f t="shared" si="6047"/>
        <v>0.0056</v>
      </c>
    </row>
    <row r="2992" s="1" customFormat="1" spans="1:21">
      <c r="A2992" s="1" t="str">
        <f>"4601992056803"</f>
        <v>4601992056803</v>
      </c>
      <c r="B2992" s="1" t="s">
        <v>3015</v>
      </c>
      <c r="C2992" s="1" t="s">
        <v>24</v>
      </c>
      <c r="D2992" s="1" t="str">
        <f t="shared" si="5963"/>
        <v>2021</v>
      </c>
      <c r="E2992" s="1" t="str">
        <f>"49.00"</f>
        <v>49.00</v>
      </c>
      <c r="F2992" s="1" t="str">
        <f t="shared" ref="F2992:I2992" si="6064">"0"</f>
        <v>0</v>
      </c>
      <c r="G2992" s="1" t="str">
        <f t="shared" si="6064"/>
        <v>0</v>
      </c>
      <c r="H2992" s="1" t="str">
        <f t="shared" si="6064"/>
        <v>0</v>
      </c>
      <c r="I2992" s="1" t="str">
        <f t="shared" si="6064"/>
        <v>0</v>
      </c>
      <c r="J2992" s="1" t="str">
        <f t="shared" si="6062"/>
        <v>3</v>
      </c>
      <c r="K2992" s="1" t="str">
        <f t="shared" ref="K2992:P2992" si="6065">"0"</f>
        <v>0</v>
      </c>
      <c r="L2992" s="1" t="str">
        <f t="shared" si="6065"/>
        <v>0</v>
      </c>
      <c r="M2992" s="1" t="str">
        <f t="shared" si="6065"/>
        <v>0</v>
      </c>
      <c r="N2992" s="1" t="str">
        <f t="shared" si="6065"/>
        <v>0</v>
      </c>
      <c r="O2992" s="1" t="str">
        <f t="shared" si="6065"/>
        <v>0</v>
      </c>
      <c r="P2992" s="1" t="str">
        <f t="shared" si="6065"/>
        <v>0</v>
      </c>
      <c r="Q2992" s="1" t="str">
        <f t="shared" si="5966"/>
        <v>0.0070</v>
      </c>
      <c r="R2992" s="1" t="s">
        <v>29</v>
      </c>
      <c r="S2992" s="1">
        <v>-0.0014</v>
      </c>
      <c r="T2992" s="1" t="str">
        <f t="shared" si="5967"/>
        <v>0</v>
      </c>
      <c r="U2992" s="1" t="str">
        <f t="shared" si="6047"/>
        <v>0.0056</v>
      </c>
    </row>
    <row r="2993" s="1" customFormat="1" spans="1:21">
      <c r="A2993" s="1" t="str">
        <f>"4601992056872"</f>
        <v>4601992056872</v>
      </c>
      <c r="B2993" s="1" t="s">
        <v>3016</v>
      </c>
      <c r="C2993" s="1" t="s">
        <v>24</v>
      </c>
      <c r="D2993" s="1" t="str">
        <f t="shared" si="5963"/>
        <v>2021</v>
      </c>
      <c r="E2993" s="1" t="str">
        <f>"12.09"</f>
        <v>12.09</v>
      </c>
      <c r="F2993" s="1" t="str">
        <f t="shared" ref="F2993:I2993" si="6066">"0"</f>
        <v>0</v>
      </c>
      <c r="G2993" s="1" t="str">
        <f t="shared" si="6066"/>
        <v>0</v>
      </c>
      <c r="H2993" s="1" t="str">
        <f t="shared" si="6066"/>
        <v>0</v>
      </c>
      <c r="I2993" s="1" t="str">
        <f t="shared" si="6066"/>
        <v>0</v>
      </c>
      <c r="J2993" s="1" t="str">
        <f t="shared" si="6055"/>
        <v>1</v>
      </c>
      <c r="K2993" s="1" t="str">
        <f t="shared" ref="K2993:P2993" si="6067">"0"</f>
        <v>0</v>
      </c>
      <c r="L2993" s="1" t="str">
        <f t="shared" si="6067"/>
        <v>0</v>
      </c>
      <c r="M2993" s="1" t="str">
        <f t="shared" si="6067"/>
        <v>0</v>
      </c>
      <c r="N2993" s="1" t="str">
        <f t="shared" si="6067"/>
        <v>0</v>
      </c>
      <c r="O2993" s="1" t="str">
        <f t="shared" si="6067"/>
        <v>0</v>
      </c>
      <c r="P2993" s="1" t="str">
        <f t="shared" si="6067"/>
        <v>0</v>
      </c>
      <c r="Q2993" s="1" t="str">
        <f t="shared" si="5966"/>
        <v>0.0070</v>
      </c>
      <c r="R2993" s="1" t="s">
        <v>29</v>
      </c>
      <c r="S2993" s="1">
        <v>-0.0014</v>
      </c>
      <c r="T2993" s="1" t="str">
        <f t="shared" si="5967"/>
        <v>0</v>
      </c>
      <c r="U2993" s="1" t="str">
        <f t="shared" si="6047"/>
        <v>0.0056</v>
      </c>
    </row>
    <row r="2994" s="1" customFormat="1" spans="1:21">
      <c r="A2994" s="1" t="str">
        <f>"4601992056883"</f>
        <v>4601992056883</v>
      </c>
      <c r="B2994" s="1" t="s">
        <v>3017</v>
      </c>
      <c r="C2994" s="1" t="s">
        <v>24</v>
      </c>
      <c r="D2994" s="1" t="str">
        <f t="shared" si="5963"/>
        <v>2021</v>
      </c>
      <c r="E2994" s="1" t="str">
        <f>"45.58"</f>
        <v>45.58</v>
      </c>
      <c r="F2994" s="1" t="str">
        <f t="shared" ref="F2994:I2994" si="6068">"0"</f>
        <v>0</v>
      </c>
      <c r="G2994" s="1" t="str">
        <f t="shared" si="6068"/>
        <v>0</v>
      </c>
      <c r="H2994" s="1" t="str">
        <f t="shared" si="6068"/>
        <v>0</v>
      </c>
      <c r="I2994" s="1" t="str">
        <f t="shared" si="6068"/>
        <v>0</v>
      </c>
      <c r="J2994" s="1" t="str">
        <f t="shared" si="6062"/>
        <v>3</v>
      </c>
      <c r="K2994" s="1" t="str">
        <f t="shared" ref="K2994:P2994" si="6069">"0"</f>
        <v>0</v>
      </c>
      <c r="L2994" s="1" t="str">
        <f t="shared" si="6069"/>
        <v>0</v>
      </c>
      <c r="M2994" s="1" t="str">
        <f t="shared" si="6069"/>
        <v>0</v>
      </c>
      <c r="N2994" s="1" t="str">
        <f t="shared" si="6069"/>
        <v>0</v>
      </c>
      <c r="O2994" s="1" t="str">
        <f t="shared" si="6069"/>
        <v>0</v>
      </c>
      <c r="P2994" s="1" t="str">
        <f t="shared" si="6069"/>
        <v>0</v>
      </c>
      <c r="Q2994" s="1" t="str">
        <f t="shared" si="5966"/>
        <v>0.0070</v>
      </c>
      <c r="R2994" s="1" t="s">
        <v>29</v>
      </c>
      <c r="S2994" s="1">
        <v>-0.0014</v>
      </c>
      <c r="T2994" s="1" t="str">
        <f t="shared" si="5967"/>
        <v>0</v>
      </c>
      <c r="U2994" s="1" t="str">
        <f t="shared" si="6047"/>
        <v>0.0056</v>
      </c>
    </row>
    <row r="2995" s="1" customFormat="1" spans="1:21">
      <c r="A2995" s="1" t="str">
        <f>"4601992056843"</f>
        <v>4601992056843</v>
      </c>
      <c r="B2995" s="1" t="s">
        <v>3018</v>
      </c>
      <c r="C2995" s="1" t="s">
        <v>24</v>
      </c>
      <c r="D2995" s="1" t="str">
        <f t="shared" si="5963"/>
        <v>2021</v>
      </c>
      <c r="E2995" s="1" t="str">
        <f>"26.25"</f>
        <v>26.25</v>
      </c>
      <c r="F2995" s="1" t="str">
        <f t="shared" ref="F2995:I2995" si="6070">"0"</f>
        <v>0</v>
      </c>
      <c r="G2995" s="1" t="str">
        <f t="shared" si="6070"/>
        <v>0</v>
      </c>
      <c r="H2995" s="1" t="str">
        <f t="shared" si="6070"/>
        <v>0</v>
      </c>
      <c r="I2995" s="1" t="str">
        <f t="shared" si="6070"/>
        <v>0</v>
      </c>
      <c r="J2995" s="1" t="str">
        <f t="shared" si="6062"/>
        <v>3</v>
      </c>
      <c r="K2995" s="1" t="str">
        <f t="shared" ref="K2995:P2995" si="6071">"0"</f>
        <v>0</v>
      </c>
      <c r="L2995" s="1" t="str">
        <f t="shared" si="6071"/>
        <v>0</v>
      </c>
      <c r="M2995" s="1" t="str">
        <f t="shared" si="6071"/>
        <v>0</v>
      </c>
      <c r="N2995" s="1" t="str">
        <f t="shared" si="6071"/>
        <v>0</v>
      </c>
      <c r="O2995" s="1" t="str">
        <f t="shared" si="6071"/>
        <v>0</v>
      </c>
      <c r="P2995" s="1" t="str">
        <f t="shared" si="6071"/>
        <v>0</v>
      </c>
      <c r="Q2995" s="1" t="str">
        <f t="shared" si="5966"/>
        <v>0.0070</v>
      </c>
      <c r="R2995" s="1" t="s">
        <v>29</v>
      </c>
      <c r="S2995" s="1">
        <v>-0.0014</v>
      </c>
      <c r="T2995" s="1" t="str">
        <f t="shared" si="5967"/>
        <v>0</v>
      </c>
      <c r="U2995" s="1" t="str">
        <f t="shared" si="6047"/>
        <v>0.0056</v>
      </c>
    </row>
    <row r="2996" s="1" customFormat="1" spans="1:21">
      <c r="A2996" s="1" t="str">
        <f>"4601992056905"</f>
        <v>4601992056905</v>
      </c>
      <c r="B2996" s="1" t="s">
        <v>3019</v>
      </c>
      <c r="C2996" s="1" t="s">
        <v>24</v>
      </c>
      <c r="D2996" s="1" t="str">
        <f t="shared" si="5963"/>
        <v>2021</v>
      </c>
      <c r="E2996" s="1" t="str">
        <f t="shared" ref="E2996:P2996" si="6072">"0"</f>
        <v>0</v>
      </c>
      <c r="F2996" s="1" t="str">
        <f t="shared" si="6072"/>
        <v>0</v>
      </c>
      <c r="G2996" s="1" t="str">
        <f t="shared" si="6072"/>
        <v>0</v>
      </c>
      <c r="H2996" s="1" t="str">
        <f t="shared" si="6072"/>
        <v>0</v>
      </c>
      <c r="I2996" s="1" t="str">
        <f t="shared" si="6072"/>
        <v>0</v>
      </c>
      <c r="J2996" s="1" t="str">
        <f t="shared" si="6072"/>
        <v>0</v>
      </c>
      <c r="K2996" s="1" t="str">
        <f t="shared" si="6072"/>
        <v>0</v>
      </c>
      <c r="L2996" s="1" t="str">
        <f t="shared" si="6072"/>
        <v>0</v>
      </c>
      <c r="M2996" s="1" t="str">
        <f t="shared" si="6072"/>
        <v>0</v>
      </c>
      <c r="N2996" s="1" t="str">
        <f t="shared" si="6072"/>
        <v>0</v>
      </c>
      <c r="O2996" s="1" t="str">
        <f t="shared" si="6072"/>
        <v>0</v>
      </c>
      <c r="P2996" s="1" t="str">
        <f t="shared" si="6072"/>
        <v>0</v>
      </c>
      <c r="Q2996" s="1" t="str">
        <f t="shared" si="5966"/>
        <v>0.0070</v>
      </c>
      <c r="R2996" s="1" t="s">
        <v>25</v>
      </c>
      <c r="T2996" s="1" t="str">
        <f t="shared" si="5967"/>
        <v>0</v>
      </c>
      <c r="U2996" s="1" t="str">
        <f>"0.0070"</f>
        <v>0.0070</v>
      </c>
    </row>
    <row r="2997" s="1" customFormat="1" spans="1:21">
      <c r="A2997" s="1" t="str">
        <f>"4601992056887"</f>
        <v>4601992056887</v>
      </c>
      <c r="B2997" s="1" t="s">
        <v>3020</v>
      </c>
      <c r="C2997" s="1" t="s">
        <v>24</v>
      </c>
      <c r="D2997" s="1" t="str">
        <f t="shared" si="5963"/>
        <v>2021</v>
      </c>
      <c r="E2997" s="1" t="str">
        <f>"103.38"</f>
        <v>103.38</v>
      </c>
      <c r="F2997" s="1" t="str">
        <f t="shared" ref="F2997:I2997" si="6073">"0"</f>
        <v>0</v>
      </c>
      <c r="G2997" s="1" t="str">
        <f t="shared" si="6073"/>
        <v>0</v>
      </c>
      <c r="H2997" s="1" t="str">
        <f t="shared" si="6073"/>
        <v>0</v>
      </c>
      <c r="I2997" s="1" t="str">
        <f t="shared" si="6073"/>
        <v>0</v>
      </c>
      <c r="J2997" s="1" t="str">
        <f>"7"</f>
        <v>7</v>
      </c>
      <c r="K2997" s="1" t="str">
        <f t="shared" ref="K2997:P2997" si="6074">"0"</f>
        <v>0</v>
      </c>
      <c r="L2997" s="1" t="str">
        <f t="shared" si="6074"/>
        <v>0</v>
      </c>
      <c r="M2997" s="1" t="str">
        <f t="shared" si="6074"/>
        <v>0</v>
      </c>
      <c r="N2997" s="1" t="str">
        <f t="shared" si="6074"/>
        <v>0</v>
      </c>
      <c r="O2997" s="1" t="str">
        <f t="shared" si="6074"/>
        <v>0</v>
      </c>
      <c r="P2997" s="1" t="str">
        <f t="shared" si="6074"/>
        <v>0</v>
      </c>
      <c r="Q2997" s="1" t="str">
        <f t="shared" si="5966"/>
        <v>0.0070</v>
      </c>
      <c r="R2997" s="1" t="s">
        <v>29</v>
      </c>
      <c r="S2997" s="1">
        <v>-0.0014</v>
      </c>
      <c r="T2997" s="1" t="str">
        <f t="shared" si="5967"/>
        <v>0</v>
      </c>
      <c r="U2997" s="1" t="str">
        <f t="shared" ref="U2997:U3001" si="6075">"0.0056"</f>
        <v>0.0056</v>
      </c>
    </row>
    <row r="2998" s="1" customFormat="1" spans="1:21">
      <c r="A2998" s="1" t="str">
        <f>"4601992056898"</f>
        <v>4601992056898</v>
      </c>
      <c r="B2998" s="1" t="s">
        <v>3021</v>
      </c>
      <c r="C2998" s="1" t="s">
        <v>24</v>
      </c>
      <c r="D2998" s="1" t="str">
        <f t="shared" si="5963"/>
        <v>2021</v>
      </c>
      <c r="E2998" s="1" t="str">
        <f>"96.28"</f>
        <v>96.28</v>
      </c>
      <c r="F2998" s="1" t="str">
        <f t="shared" ref="F2998:I2998" si="6076">"0"</f>
        <v>0</v>
      </c>
      <c r="G2998" s="1" t="str">
        <f t="shared" si="6076"/>
        <v>0</v>
      </c>
      <c r="H2998" s="1" t="str">
        <f t="shared" si="6076"/>
        <v>0</v>
      </c>
      <c r="I2998" s="1" t="str">
        <f t="shared" si="6076"/>
        <v>0</v>
      </c>
      <c r="J2998" s="1" t="str">
        <f>"13"</f>
        <v>13</v>
      </c>
      <c r="K2998" s="1" t="str">
        <f t="shared" ref="K2998:P2998" si="6077">"0"</f>
        <v>0</v>
      </c>
      <c r="L2998" s="1" t="str">
        <f t="shared" si="6077"/>
        <v>0</v>
      </c>
      <c r="M2998" s="1" t="str">
        <f t="shared" si="6077"/>
        <v>0</v>
      </c>
      <c r="N2998" s="1" t="str">
        <f t="shared" si="6077"/>
        <v>0</v>
      </c>
      <c r="O2998" s="1" t="str">
        <f t="shared" si="6077"/>
        <v>0</v>
      </c>
      <c r="P2998" s="1" t="str">
        <f t="shared" si="6077"/>
        <v>0</v>
      </c>
      <c r="Q2998" s="1" t="str">
        <f t="shared" si="5966"/>
        <v>0.0070</v>
      </c>
      <c r="R2998" s="1" t="s">
        <v>29</v>
      </c>
      <c r="S2998" s="1">
        <v>-0.0014</v>
      </c>
      <c r="T2998" s="1" t="str">
        <f t="shared" si="5967"/>
        <v>0</v>
      </c>
      <c r="U2998" s="1" t="str">
        <f t="shared" si="6075"/>
        <v>0.0056</v>
      </c>
    </row>
    <row r="2999" s="1" customFormat="1" spans="1:21">
      <c r="A2999" s="1" t="str">
        <f>"4601992056927"</f>
        <v>4601992056927</v>
      </c>
      <c r="B2999" s="1" t="s">
        <v>3022</v>
      </c>
      <c r="C2999" s="1" t="s">
        <v>24</v>
      </c>
      <c r="D2999" s="1" t="str">
        <f t="shared" si="5963"/>
        <v>2021</v>
      </c>
      <c r="E2999" s="1" t="str">
        <f t="shared" ref="E2999:P2999" si="6078">"0"</f>
        <v>0</v>
      </c>
      <c r="F2999" s="1" t="str">
        <f t="shared" si="6078"/>
        <v>0</v>
      </c>
      <c r="G2999" s="1" t="str">
        <f t="shared" si="6078"/>
        <v>0</v>
      </c>
      <c r="H2999" s="1" t="str">
        <f t="shared" si="6078"/>
        <v>0</v>
      </c>
      <c r="I2999" s="1" t="str">
        <f t="shared" si="6078"/>
        <v>0</v>
      </c>
      <c r="J2999" s="1" t="str">
        <f t="shared" si="6078"/>
        <v>0</v>
      </c>
      <c r="K2999" s="1" t="str">
        <f t="shared" si="6078"/>
        <v>0</v>
      </c>
      <c r="L2999" s="1" t="str">
        <f t="shared" si="6078"/>
        <v>0</v>
      </c>
      <c r="M2999" s="1" t="str">
        <f t="shared" si="6078"/>
        <v>0</v>
      </c>
      <c r="N2999" s="1" t="str">
        <f t="shared" si="6078"/>
        <v>0</v>
      </c>
      <c r="O2999" s="1" t="str">
        <f t="shared" si="6078"/>
        <v>0</v>
      </c>
      <c r="P2999" s="1" t="str">
        <f t="shared" si="6078"/>
        <v>0</v>
      </c>
      <c r="Q2999" s="1" t="str">
        <f t="shared" si="5966"/>
        <v>0.0070</v>
      </c>
      <c r="R2999" s="1" t="s">
        <v>25</v>
      </c>
      <c r="T2999" s="1" t="str">
        <f t="shared" si="5967"/>
        <v>0</v>
      </c>
      <c r="U2999" s="1" t="str">
        <f t="shared" ref="U2999:U3004" si="6079">"0.0070"</f>
        <v>0.0070</v>
      </c>
    </row>
    <row r="3000" s="1" customFormat="1" spans="1:21">
      <c r="A3000" s="1" t="str">
        <f>"4601992056940"</f>
        <v>4601992056940</v>
      </c>
      <c r="B3000" s="1" t="s">
        <v>3023</v>
      </c>
      <c r="C3000" s="1" t="s">
        <v>24</v>
      </c>
      <c r="D3000" s="1" t="str">
        <f t="shared" si="5963"/>
        <v>2021</v>
      </c>
      <c r="E3000" s="1" t="str">
        <f>"36.27"</f>
        <v>36.27</v>
      </c>
      <c r="F3000" s="1" t="str">
        <f t="shared" ref="F3000:I3000" si="6080">"0"</f>
        <v>0</v>
      </c>
      <c r="G3000" s="1" t="str">
        <f t="shared" si="6080"/>
        <v>0</v>
      </c>
      <c r="H3000" s="1" t="str">
        <f t="shared" si="6080"/>
        <v>0</v>
      </c>
      <c r="I3000" s="1" t="str">
        <f t="shared" si="6080"/>
        <v>0</v>
      </c>
      <c r="J3000" s="1" t="str">
        <f>"4"</f>
        <v>4</v>
      </c>
      <c r="K3000" s="1" t="str">
        <f t="shared" ref="K3000:P3000" si="6081">"0"</f>
        <v>0</v>
      </c>
      <c r="L3000" s="1" t="str">
        <f t="shared" si="6081"/>
        <v>0</v>
      </c>
      <c r="M3000" s="1" t="str">
        <f t="shared" si="6081"/>
        <v>0</v>
      </c>
      <c r="N3000" s="1" t="str">
        <f t="shared" si="6081"/>
        <v>0</v>
      </c>
      <c r="O3000" s="1" t="str">
        <f t="shared" si="6081"/>
        <v>0</v>
      </c>
      <c r="P3000" s="1" t="str">
        <f t="shared" si="6081"/>
        <v>0</v>
      </c>
      <c r="Q3000" s="1" t="str">
        <f t="shared" si="5966"/>
        <v>0.0070</v>
      </c>
      <c r="R3000" s="1" t="s">
        <v>29</v>
      </c>
      <c r="S3000" s="1">
        <v>-0.0014</v>
      </c>
      <c r="T3000" s="1" t="str">
        <f t="shared" si="5967"/>
        <v>0</v>
      </c>
      <c r="U3000" s="1" t="str">
        <f t="shared" si="6075"/>
        <v>0.0056</v>
      </c>
    </row>
    <row r="3001" s="1" customFormat="1" spans="1:21">
      <c r="A3001" s="1" t="str">
        <f>"4601992056981"</f>
        <v>4601992056981</v>
      </c>
      <c r="B3001" s="1" t="s">
        <v>3024</v>
      </c>
      <c r="C3001" s="1" t="s">
        <v>24</v>
      </c>
      <c r="D3001" s="1" t="str">
        <f t="shared" si="5963"/>
        <v>2021</v>
      </c>
      <c r="E3001" s="1" t="str">
        <f>"23.96"</f>
        <v>23.96</v>
      </c>
      <c r="F3001" s="1" t="str">
        <f t="shared" ref="F3001:I3001" si="6082">"0"</f>
        <v>0</v>
      </c>
      <c r="G3001" s="1" t="str">
        <f t="shared" si="6082"/>
        <v>0</v>
      </c>
      <c r="H3001" s="1" t="str">
        <f t="shared" si="6082"/>
        <v>0</v>
      </c>
      <c r="I3001" s="1" t="str">
        <f t="shared" si="6082"/>
        <v>0</v>
      </c>
      <c r="J3001" s="1" t="str">
        <f>"2"</f>
        <v>2</v>
      </c>
      <c r="K3001" s="1" t="str">
        <f t="shared" ref="K3001:P3001" si="6083">"0"</f>
        <v>0</v>
      </c>
      <c r="L3001" s="1" t="str">
        <f t="shared" si="6083"/>
        <v>0</v>
      </c>
      <c r="M3001" s="1" t="str">
        <f t="shared" si="6083"/>
        <v>0</v>
      </c>
      <c r="N3001" s="1" t="str">
        <f t="shared" si="6083"/>
        <v>0</v>
      </c>
      <c r="O3001" s="1" t="str">
        <f t="shared" si="6083"/>
        <v>0</v>
      </c>
      <c r="P3001" s="1" t="str">
        <f t="shared" si="6083"/>
        <v>0</v>
      </c>
      <c r="Q3001" s="1" t="str">
        <f t="shared" si="5966"/>
        <v>0.0070</v>
      </c>
      <c r="R3001" s="1" t="s">
        <v>29</v>
      </c>
      <c r="S3001" s="1">
        <v>-0.0014</v>
      </c>
      <c r="T3001" s="1" t="str">
        <f t="shared" si="5967"/>
        <v>0</v>
      </c>
      <c r="U3001" s="1" t="str">
        <f t="shared" si="6075"/>
        <v>0.0056</v>
      </c>
    </row>
    <row r="3002" s="1" customFormat="1" spans="1:21">
      <c r="A3002" s="1" t="str">
        <f>"4601992057061"</f>
        <v>4601992057061</v>
      </c>
      <c r="B3002" s="1" t="s">
        <v>3025</v>
      </c>
      <c r="C3002" s="1" t="s">
        <v>24</v>
      </c>
      <c r="D3002" s="1" t="str">
        <f t="shared" si="5963"/>
        <v>2021</v>
      </c>
      <c r="E3002" s="1" t="str">
        <f>"131.73"</f>
        <v>131.73</v>
      </c>
      <c r="F3002" s="1" t="str">
        <f t="shared" ref="F3002:I3002" si="6084">"0"</f>
        <v>0</v>
      </c>
      <c r="G3002" s="1" t="str">
        <f t="shared" si="6084"/>
        <v>0</v>
      </c>
      <c r="H3002" s="1" t="str">
        <f t="shared" si="6084"/>
        <v>0</v>
      </c>
      <c r="I3002" s="1" t="str">
        <f t="shared" si="6084"/>
        <v>0</v>
      </c>
      <c r="J3002" s="1" t="str">
        <f>"6"</f>
        <v>6</v>
      </c>
      <c r="K3002" s="1" t="str">
        <f t="shared" ref="K3002:P3002" si="6085">"0"</f>
        <v>0</v>
      </c>
      <c r="L3002" s="1" t="str">
        <f t="shared" si="6085"/>
        <v>0</v>
      </c>
      <c r="M3002" s="1" t="str">
        <f t="shared" si="6085"/>
        <v>0</v>
      </c>
      <c r="N3002" s="1" t="str">
        <f t="shared" si="6085"/>
        <v>0</v>
      </c>
      <c r="O3002" s="1" t="str">
        <f t="shared" si="6085"/>
        <v>0</v>
      </c>
      <c r="P3002" s="1" t="str">
        <f t="shared" si="6085"/>
        <v>0</v>
      </c>
      <c r="Q3002" s="1" t="str">
        <f t="shared" si="5966"/>
        <v>0.0070</v>
      </c>
      <c r="R3002" s="1" t="s">
        <v>25</v>
      </c>
      <c r="T3002" s="1" t="str">
        <f t="shared" si="5967"/>
        <v>0</v>
      </c>
      <c r="U3002" s="1" t="str">
        <f t="shared" si="6079"/>
        <v>0.0070</v>
      </c>
    </row>
    <row r="3003" s="1" customFormat="1" spans="1:21">
      <c r="A3003" s="1" t="str">
        <f>"4601992056994"</f>
        <v>4601992056994</v>
      </c>
      <c r="B3003" s="1" t="s">
        <v>3026</v>
      </c>
      <c r="C3003" s="1" t="s">
        <v>24</v>
      </c>
      <c r="D3003" s="1" t="str">
        <f t="shared" si="5963"/>
        <v>2021</v>
      </c>
      <c r="E3003" s="1" t="str">
        <f>"47.92"</f>
        <v>47.92</v>
      </c>
      <c r="F3003" s="1" t="str">
        <f t="shared" ref="F3003:I3003" si="6086">"0"</f>
        <v>0</v>
      </c>
      <c r="G3003" s="1" t="str">
        <f t="shared" si="6086"/>
        <v>0</v>
      </c>
      <c r="H3003" s="1" t="str">
        <f t="shared" si="6086"/>
        <v>0</v>
      </c>
      <c r="I3003" s="1" t="str">
        <f t="shared" si="6086"/>
        <v>0</v>
      </c>
      <c r="J3003" s="1" t="str">
        <f>"4"</f>
        <v>4</v>
      </c>
      <c r="K3003" s="1" t="str">
        <f t="shared" ref="K3003:P3003" si="6087">"0"</f>
        <v>0</v>
      </c>
      <c r="L3003" s="1" t="str">
        <f t="shared" si="6087"/>
        <v>0</v>
      </c>
      <c r="M3003" s="1" t="str">
        <f t="shared" si="6087"/>
        <v>0</v>
      </c>
      <c r="N3003" s="1" t="str">
        <f t="shared" si="6087"/>
        <v>0</v>
      </c>
      <c r="O3003" s="1" t="str">
        <f t="shared" si="6087"/>
        <v>0</v>
      </c>
      <c r="P3003" s="1" t="str">
        <f t="shared" si="6087"/>
        <v>0</v>
      </c>
      <c r="Q3003" s="1" t="str">
        <f t="shared" si="5966"/>
        <v>0.0070</v>
      </c>
      <c r="R3003" s="1" t="s">
        <v>29</v>
      </c>
      <c r="S3003" s="1">
        <v>-0.0014</v>
      </c>
      <c r="T3003" s="1" t="str">
        <f t="shared" si="5967"/>
        <v>0</v>
      </c>
      <c r="U3003" s="1" t="str">
        <f t="shared" ref="U3003:U3007" si="6088">"0.0056"</f>
        <v>0.0056</v>
      </c>
    </row>
    <row r="3004" s="1" customFormat="1" spans="1:21">
      <c r="A3004" s="1" t="str">
        <f>"4601992057095"</f>
        <v>4601992057095</v>
      </c>
      <c r="B3004" s="1" t="s">
        <v>3027</v>
      </c>
      <c r="C3004" s="1" t="s">
        <v>24</v>
      </c>
      <c r="D3004" s="1" t="str">
        <f t="shared" si="5963"/>
        <v>2021</v>
      </c>
      <c r="E3004" s="1" t="str">
        <f t="shared" ref="E3004:P3004" si="6089">"0"</f>
        <v>0</v>
      </c>
      <c r="F3004" s="1" t="str">
        <f t="shared" si="6089"/>
        <v>0</v>
      </c>
      <c r="G3004" s="1" t="str">
        <f t="shared" si="6089"/>
        <v>0</v>
      </c>
      <c r="H3004" s="1" t="str">
        <f t="shared" si="6089"/>
        <v>0</v>
      </c>
      <c r="I3004" s="1" t="str">
        <f t="shared" si="6089"/>
        <v>0</v>
      </c>
      <c r="J3004" s="1" t="str">
        <f t="shared" si="6089"/>
        <v>0</v>
      </c>
      <c r="K3004" s="1" t="str">
        <f t="shared" si="6089"/>
        <v>0</v>
      </c>
      <c r="L3004" s="1" t="str">
        <f t="shared" si="6089"/>
        <v>0</v>
      </c>
      <c r="M3004" s="1" t="str">
        <f t="shared" si="6089"/>
        <v>0</v>
      </c>
      <c r="N3004" s="1" t="str">
        <f t="shared" si="6089"/>
        <v>0</v>
      </c>
      <c r="O3004" s="1" t="str">
        <f t="shared" si="6089"/>
        <v>0</v>
      </c>
      <c r="P3004" s="1" t="str">
        <f t="shared" si="6089"/>
        <v>0</v>
      </c>
      <c r="Q3004" s="1" t="str">
        <f t="shared" si="5966"/>
        <v>0.0070</v>
      </c>
      <c r="R3004" s="1" t="s">
        <v>25</v>
      </c>
      <c r="T3004" s="1" t="str">
        <f t="shared" si="5967"/>
        <v>0</v>
      </c>
      <c r="U3004" s="1" t="str">
        <f t="shared" si="6079"/>
        <v>0.0070</v>
      </c>
    </row>
    <row r="3005" s="1" customFormat="1" spans="1:21">
      <c r="A3005" s="1" t="str">
        <f>"4601992057064"</f>
        <v>4601992057064</v>
      </c>
      <c r="B3005" s="1" t="s">
        <v>3028</v>
      </c>
      <c r="C3005" s="1" t="s">
        <v>24</v>
      </c>
      <c r="D3005" s="1" t="str">
        <f t="shared" si="5963"/>
        <v>2021</v>
      </c>
      <c r="E3005" s="1" t="str">
        <f>"159.40"</f>
        <v>159.40</v>
      </c>
      <c r="F3005" s="1" t="str">
        <f t="shared" ref="F3005:I3005" si="6090">"0"</f>
        <v>0</v>
      </c>
      <c r="G3005" s="1" t="str">
        <f t="shared" si="6090"/>
        <v>0</v>
      </c>
      <c r="H3005" s="1" t="str">
        <f t="shared" si="6090"/>
        <v>0</v>
      </c>
      <c r="I3005" s="1" t="str">
        <f t="shared" si="6090"/>
        <v>0</v>
      </c>
      <c r="J3005" s="1" t="str">
        <f>"6"</f>
        <v>6</v>
      </c>
      <c r="K3005" s="1" t="str">
        <f t="shared" ref="K3005:P3005" si="6091">"0"</f>
        <v>0</v>
      </c>
      <c r="L3005" s="1" t="str">
        <f t="shared" si="6091"/>
        <v>0</v>
      </c>
      <c r="M3005" s="1" t="str">
        <f t="shared" si="6091"/>
        <v>0</v>
      </c>
      <c r="N3005" s="1" t="str">
        <f t="shared" si="6091"/>
        <v>0</v>
      </c>
      <c r="O3005" s="1" t="str">
        <f t="shared" si="6091"/>
        <v>0</v>
      </c>
      <c r="P3005" s="1" t="str">
        <f t="shared" si="6091"/>
        <v>0</v>
      </c>
      <c r="Q3005" s="1" t="str">
        <f t="shared" si="5966"/>
        <v>0.0070</v>
      </c>
      <c r="R3005" s="1" t="s">
        <v>29</v>
      </c>
      <c r="S3005" s="1">
        <v>-0.0014</v>
      </c>
      <c r="T3005" s="1" t="str">
        <f t="shared" si="5967"/>
        <v>0</v>
      </c>
      <c r="U3005" s="1" t="str">
        <f t="shared" si="6088"/>
        <v>0.0056</v>
      </c>
    </row>
    <row r="3006" s="1" customFormat="1" spans="1:21">
      <c r="A3006" s="1" t="str">
        <f>"4601992057057"</f>
        <v>4601992057057</v>
      </c>
      <c r="B3006" s="1" t="s">
        <v>3029</v>
      </c>
      <c r="C3006" s="1" t="s">
        <v>24</v>
      </c>
      <c r="D3006" s="1" t="str">
        <f t="shared" si="5963"/>
        <v>2021</v>
      </c>
      <c r="E3006" s="1" t="str">
        <f>"12.09"</f>
        <v>12.09</v>
      </c>
      <c r="F3006" s="1" t="str">
        <f t="shared" ref="F3006:I3006" si="6092">"0"</f>
        <v>0</v>
      </c>
      <c r="G3006" s="1" t="str">
        <f t="shared" si="6092"/>
        <v>0</v>
      </c>
      <c r="H3006" s="1" t="str">
        <f t="shared" si="6092"/>
        <v>0</v>
      </c>
      <c r="I3006" s="1" t="str">
        <f t="shared" si="6092"/>
        <v>0</v>
      </c>
      <c r="J3006" s="1" t="str">
        <f>"1"</f>
        <v>1</v>
      </c>
      <c r="K3006" s="1" t="str">
        <f t="shared" ref="K3006:P3006" si="6093">"0"</f>
        <v>0</v>
      </c>
      <c r="L3006" s="1" t="str">
        <f t="shared" si="6093"/>
        <v>0</v>
      </c>
      <c r="M3006" s="1" t="str">
        <f t="shared" si="6093"/>
        <v>0</v>
      </c>
      <c r="N3006" s="1" t="str">
        <f t="shared" si="6093"/>
        <v>0</v>
      </c>
      <c r="O3006" s="1" t="str">
        <f t="shared" si="6093"/>
        <v>0</v>
      </c>
      <c r="P3006" s="1" t="str">
        <f t="shared" si="6093"/>
        <v>0</v>
      </c>
      <c r="Q3006" s="1" t="str">
        <f t="shared" si="5966"/>
        <v>0.0070</v>
      </c>
      <c r="R3006" s="1" t="s">
        <v>29</v>
      </c>
      <c r="S3006" s="1">
        <v>-0.0014</v>
      </c>
      <c r="T3006" s="1" t="str">
        <f t="shared" si="5967"/>
        <v>0</v>
      </c>
      <c r="U3006" s="1" t="str">
        <f t="shared" si="6088"/>
        <v>0.0056</v>
      </c>
    </row>
    <row r="3007" s="1" customFormat="1" spans="1:21">
      <c r="A3007" s="1" t="str">
        <f>"4601992057081"</f>
        <v>4601992057081</v>
      </c>
      <c r="B3007" s="1" t="s">
        <v>3030</v>
      </c>
      <c r="C3007" s="1" t="s">
        <v>24</v>
      </c>
      <c r="D3007" s="1" t="str">
        <f t="shared" si="5963"/>
        <v>2021</v>
      </c>
      <c r="E3007" s="1" t="str">
        <f>"51.80"</f>
        <v>51.80</v>
      </c>
      <c r="F3007" s="1" t="str">
        <f t="shared" ref="F3007:I3007" si="6094">"0"</f>
        <v>0</v>
      </c>
      <c r="G3007" s="1" t="str">
        <f t="shared" si="6094"/>
        <v>0</v>
      </c>
      <c r="H3007" s="1" t="str">
        <f t="shared" si="6094"/>
        <v>0</v>
      </c>
      <c r="I3007" s="1" t="str">
        <f t="shared" si="6094"/>
        <v>0</v>
      </c>
      <c r="J3007" s="1" t="str">
        <f>"4"</f>
        <v>4</v>
      </c>
      <c r="K3007" s="1" t="str">
        <f t="shared" ref="K3007:P3007" si="6095">"0"</f>
        <v>0</v>
      </c>
      <c r="L3007" s="1" t="str">
        <f t="shared" si="6095"/>
        <v>0</v>
      </c>
      <c r="M3007" s="1" t="str">
        <f t="shared" si="6095"/>
        <v>0</v>
      </c>
      <c r="N3007" s="1" t="str">
        <f t="shared" si="6095"/>
        <v>0</v>
      </c>
      <c r="O3007" s="1" t="str">
        <f t="shared" si="6095"/>
        <v>0</v>
      </c>
      <c r="P3007" s="1" t="str">
        <f t="shared" si="6095"/>
        <v>0</v>
      </c>
      <c r="Q3007" s="1" t="str">
        <f t="shared" si="5966"/>
        <v>0.0070</v>
      </c>
      <c r="R3007" s="1" t="s">
        <v>29</v>
      </c>
      <c r="S3007" s="1">
        <v>-0.0014</v>
      </c>
      <c r="T3007" s="1" t="str">
        <f t="shared" si="5967"/>
        <v>0</v>
      </c>
      <c r="U3007" s="1" t="str">
        <f t="shared" si="6088"/>
        <v>0.0056</v>
      </c>
    </row>
    <row r="3008" s="1" customFormat="1" spans="1:21">
      <c r="A3008" s="1" t="str">
        <f>"4601992057113"</f>
        <v>4601992057113</v>
      </c>
      <c r="B3008" s="1" t="s">
        <v>3031</v>
      </c>
      <c r="C3008" s="1" t="s">
        <v>24</v>
      </c>
      <c r="D3008" s="1" t="str">
        <f t="shared" si="5963"/>
        <v>2021</v>
      </c>
      <c r="E3008" s="1" t="str">
        <f>"63.53"</f>
        <v>63.53</v>
      </c>
      <c r="F3008" s="1" t="str">
        <f t="shared" ref="F3008:I3008" si="6096">"0"</f>
        <v>0</v>
      </c>
      <c r="G3008" s="1" t="str">
        <f t="shared" si="6096"/>
        <v>0</v>
      </c>
      <c r="H3008" s="1" t="str">
        <f t="shared" si="6096"/>
        <v>0</v>
      </c>
      <c r="I3008" s="1" t="str">
        <f t="shared" si="6096"/>
        <v>0</v>
      </c>
      <c r="J3008" s="1" t="str">
        <f>"3"</f>
        <v>3</v>
      </c>
      <c r="K3008" s="1" t="str">
        <f t="shared" ref="K3008:P3008" si="6097">"0"</f>
        <v>0</v>
      </c>
      <c r="L3008" s="1" t="str">
        <f t="shared" si="6097"/>
        <v>0</v>
      </c>
      <c r="M3008" s="1" t="str">
        <f t="shared" si="6097"/>
        <v>0</v>
      </c>
      <c r="N3008" s="1" t="str">
        <f t="shared" si="6097"/>
        <v>0</v>
      </c>
      <c r="O3008" s="1" t="str">
        <f t="shared" si="6097"/>
        <v>0</v>
      </c>
      <c r="P3008" s="1" t="str">
        <f t="shared" si="6097"/>
        <v>0</v>
      </c>
      <c r="Q3008" s="1" t="str">
        <f t="shared" si="5966"/>
        <v>0.0070</v>
      </c>
      <c r="R3008" s="1" t="s">
        <v>25</v>
      </c>
      <c r="T3008" s="1" t="str">
        <f t="shared" si="5967"/>
        <v>0</v>
      </c>
      <c r="U3008" s="1" t="str">
        <f t="shared" ref="U3008:U3013" si="6098">"0.0070"</f>
        <v>0.0070</v>
      </c>
    </row>
    <row r="3009" s="1" customFormat="1" spans="1:21">
      <c r="A3009" s="1" t="str">
        <f>"4601992057128"</f>
        <v>4601992057128</v>
      </c>
      <c r="B3009" s="1" t="s">
        <v>3032</v>
      </c>
      <c r="C3009" s="1" t="s">
        <v>24</v>
      </c>
      <c r="D3009" s="1" t="str">
        <f t="shared" si="5963"/>
        <v>2021</v>
      </c>
      <c r="E3009" s="1" t="str">
        <f t="shared" ref="E3009:P3009" si="6099">"0"</f>
        <v>0</v>
      </c>
      <c r="F3009" s="1" t="str">
        <f t="shared" si="6099"/>
        <v>0</v>
      </c>
      <c r="G3009" s="1" t="str">
        <f t="shared" si="6099"/>
        <v>0</v>
      </c>
      <c r="H3009" s="1" t="str">
        <f t="shared" si="6099"/>
        <v>0</v>
      </c>
      <c r="I3009" s="1" t="str">
        <f t="shared" si="6099"/>
        <v>0</v>
      </c>
      <c r="J3009" s="1" t="str">
        <f t="shared" si="6099"/>
        <v>0</v>
      </c>
      <c r="K3009" s="1" t="str">
        <f t="shared" si="6099"/>
        <v>0</v>
      </c>
      <c r="L3009" s="1" t="str">
        <f t="shared" si="6099"/>
        <v>0</v>
      </c>
      <c r="M3009" s="1" t="str">
        <f t="shared" si="6099"/>
        <v>0</v>
      </c>
      <c r="N3009" s="1" t="str">
        <f t="shared" si="6099"/>
        <v>0</v>
      </c>
      <c r="O3009" s="1" t="str">
        <f t="shared" si="6099"/>
        <v>0</v>
      </c>
      <c r="P3009" s="1" t="str">
        <f t="shared" si="6099"/>
        <v>0</v>
      </c>
      <c r="Q3009" s="1" t="str">
        <f t="shared" si="5966"/>
        <v>0.0070</v>
      </c>
      <c r="R3009" s="1" t="s">
        <v>25</v>
      </c>
      <c r="T3009" s="1" t="str">
        <f t="shared" si="5967"/>
        <v>0</v>
      </c>
      <c r="U3009" s="1" t="str">
        <f t="shared" si="6098"/>
        <v>0.0070</v>
      </c>
    </row>
    <row r="3010" s="1" customFormat="1" spans="1:21">
      <c r="A3010" s="1" t="str">
        <f>"4601992057135"</f>
        <v>4601992057135</v>
      </c>
      <c r="B3010" s="1" t="s">
        <v>3033</v>
      </c>
      <c r="C3010" s="1" t="s">
        <v>24</v>
      </c>
      <c r="D3010" s="1" t="str">
        <f t="shared" si="5963"/>
        <v>2021</v>
      </c>
      <c r="E3010" s="1" t="str">
        <f>"11.98"</f>
        <v>11.98</v>
      </c>
      <c r="F3010" s="1" t="str">
        <f t="shared" ref="F3010:I3010" si="6100">"0"</f>
        <v>0</v>
      </c>
      <c r="G3010" s="1" t="str">
        <f t="shared" si="6100"/>
        <v>0</v>
      </c>
      <c r="H3010" s="1" t="str">
        <f t="shared" si="6100"/>
        <v>0</v>
      </c>
      <c r="I3010" s="1" t="str">
        <f t="shared" si="6100"/>
        <v>0</v>
      </c>
      <c r="J3010" s="1" t="str">
        <f>"1"</f>
        <v>1</v>
      </c>
      <c r="K3010" s="1" t="str">
        <f t="shared" ref="K3010:P3010" si="6101">"0"</f>
        <v>0</v>
      </c>
      <c r="L3010" s="1" t="str">
        <f t="shared" si="6101"/>
        <v>0</v>
      </c>
      <c r="M3010" s="1" t="str">
        <f t="shared" si="6101"/>
        <v>0</v>
      </c>
      <c r="N3010" s="1" t="str">
        <f t="shared" si="6101"/>
        <v>0</v>
      </c>
      <c r="O3010" s="1" t="str">
        <f t="shared" si="6101"/>
        <v>0</v>
      </c>
      <c r="P3010" s="1" t="str">
        <f t="shared" si="6101"/>
        <v>0</v>
      </c>
      <c r="Q3010" s="1" t="str">
        <f t="shared" si="5966"/>
        <v>0.0070</v>
      </c>
      <c r="R3010" s="1" t="s">
        <v>29</v>
      </c>
      <c r="S3010" s="1">
        <v>-0.0014</v>
      </c>
      <c r="T3010" s="1" t="str">
        <f t="shared" si="5967"/>
        <v>0</v>
      </c>
      <c r="U3010" s="1" t="str">
        <f t="shared" ref="U3010:U3012" si="6102">"0.0056"</f>
        <v>0.0056</v>
      </c>
    </row>
    <row r="3011" s="1" customFormat="1" spans="1:21">
      <c r="A3011" s="1" t="str">
        <f>"4601992057143"</f>
        <v>4601992057143</v>
      </c>
      <c r="B3011" s="1" t="s">
        <v>3034</v>
      </c>
      <c r="C3011" s="1" t="s">
        <v>24</v>
      </c>
      <c r="D3011" s="1" t="str">
        <f t="shared" ref="D3011:D3074" si="6103">"2021"</f>
        <v>2021</v>
      </c>
      <c r="E3011" s="1" t="str">
        <f>"152.95"</f>
        <v>152.95</v>
      </c>
      <c r="F3011" s="1" t="str">
        <f t="shared" ref="F3011:I3011" si="6104">"0"</f>
        <v>0</v>
      </c>
      <c r="G3011" s="1" t="str">
        <f t="shared" si="6104"/>
        <v>0</v>
      </c>
      <c r="H3011" s="1" t="str">
        <f t="shared" si="6104"/>
        <v>0</v>
      </c>
      <c r="I3011" s="1" t="str">
        <f t="shared" si="6104"/>
        <v>0</v>
      </c>
      <c r="J3011" s="1" t="str">
        <f>"17"</f>
        <v>17</v>
      </c>
      <c r="K3011" s="1" t="str">
        <f t="shared" ref="K3011:P3011" si="6105">"0"</f>
        <v>0</v>
      </c>
      <c r="L3011" s="1" t="str">
        <f t="shared" si="6105"/>
        <v>0</v>
      </c>
      <c r="M3011" s="1" t="str">
        <f t="shared" si="6105"/>
        <v>0</v>
      </c>
      <c r="N3011" s="1" t="str">
        <f t="shared" si="6105"/>
        <v>0</v>
      </c>
      <c r="O3011" s="1" t="str">
        <f t="shared" si="6105"/>
        <v>0</v>
      </c>
      <c r="P3011" s="1" t="str">
        <f t="shared" si="6105"/>
        <v>0</v>
      </c>
      <c r="Q3011" s="1" t="str">
        <f t="shared" ref="Q3011:Q3074" si="6106">"0.0070"</f>
        <v>0.0070</v>
      </c>
      <c r="R3011" s="1" t="s">
        <v>29</v>
      </c>
      <c r="S3011" s="1">
        <v>-0.0014</v>
      </c>
      <c r="T3011" s="1" t="str">
        <f t="shared" ref="T3011:T3074" si="6107">"0"</f>
        <v>0</v>
      </c>
      <c r="U3011" s="1" t="str">
        <f t="shared" si="6102"/>
        <v>0.0056</v>
      </c>
    </row>
    <row r="3012" s="1" customFormat="1" spans="1:21">
      <c r="A3012" s="1" t="str">
        <f>"4601992057207"</f>
        <v>4601992057207</v>
      </c>
      <c r="B3012" s="1" t="s">
        <v>3035</v>
      </c>
      <c r="C3012" s="1" t="s">
        <v>24</v>
      </c>
      <c r="D3012" s="1" t="str">
        <f t="shared" si="6103"/>
        <v>2021</v>
      </c>
      <c r="E3012" s="1" t="str">
        <f>"24.37"</f>
        <v>24.37</v>
      </c>
      <c r="F3012" s="1" t="str">
        <f t="shared" ref="F3012:I3012" si="6108">"0"</f>
        <v>0</v>
      </c>
      <c r="G3012" s="1" t="str">
        <f t="shared" si="6108"/>
        <v>0</v>
      </c>
      <c r="H3012" s="1" t="str">
        <f t="shared" si="6108"/>
        <v>0</v>
      </c>
      <c r="I3012" s="1" t="str">
        <f t="shared" si="6108"/>
        <v>0</v>
      </c>
      <c r="J3012" s="1" t="str">
        <f>"3"</f>
        <v>3</v>
      </c>
      <c r="K3012" s="1" t="str">
        <f t="shared" ref="K3012:P3012" si="6109">"0"</f>
        <v>0</v>
      </c>
      <c r="L3012" s="1" t="str">
        <f t="shared" si="6109"/>
        <v>0</v>
      </c>
      <c r="M3012" s="1" t="str">
        <f t="shared" si="6109"/>
        <v>0</v>
      </c>
      <c r="N3012" s="1" t="str">
        <f t="shared" si="6109"/>
        <v>0</v>
      </c>
      <c r="O3012" s="1" t="str">
        <f t="shared" si="6109"/>
        <v>0</v>
      </c>
      <c r="P3012" s="1" t="str">
        <f t="shared" si="6109"/>
        <v>0</v>
      </c>
      <c r="Q3012" s="1" t="str">
        <f t="shared" si="6106"/>
        <v>0.0070</v>
      </c>
      <c r="R3012" s="1" t="s">
        <v>29</v>
      </c>
      <c r="S3012" s="1">
        <v>-0.0014</v>
      </c>
      <c r="T3012" s="1" t="str">
        <f t="shared" si="6107"/>
        <v>0</v>
      </c>
      <c r="U3012" s="1" t="str">
        <f t="shared" si="6102"/>
        <v>0.0056</v>
      </c>
    </row>
    <row r="3013" s="1" customFormat="1" spans="1:21">
      <c r="A3013" s="1" t="str">
        <f>"4601992057196"</f>
        <v>4601992057196</v>
      </c>
      <c r="B3013" s="1" t="s">
        <v>3036</v>
      </c>
      <c r="C3013" s="1" t="s">
        <v>24</v>
      </c>
      <c r="D3013" s="1" t="str">
        <f t="shared" si="6103"/>
        <v>2021</v>
      </c>
      <c r="E3013" s="1" t="str">
        <f t="shared" ref="E3013:I3013" si="6110">"0"</f>
        <v>0</v>
      </c>
      <c r="F3013" s="1" t="str">
        <f t="shared" si="6110"/>
        <v>0</v>
      </c>
      <c r="G3013" s="1" t="str">
        <f t="shared" si="6110"/>
        <v>0</v>
      </c>
      <c r="H3013" s="1" t="str">
        <f t="shared" si="6110"/>
        <v>0</v>
      </c>
      <c r="I3013" s="1" t="str">
        <f t="shared" si="6110"/>
        <v>0</v>
      </c>
      <c r="J3013" s="1" t="str">
        <f>"1"</f>
        <v>1</v>
      </c>
      <c r="K3013" s="1" t="str">
        <f t="shared" ref="K3013:P3013" si="6111">"0"</f>
        <v>0</v>
      </c>
      <c r="L3013" s="1" t="str">
        <f t="shared" si="6111"/>
        <v>0</v>
      </c>
      <c r="M3013" s="1" t="str">
        <f t="shared" si="6111"/>
        <v>0</v>
      </c>
      <c r="N3013" s="1" t="str">
        <f t="shared" si="6111"/>
        <v>0</v>
      </c>
      <c r="O3013" s="1" t="str">
        <f t="shared" si="6111"/>
        <v>0</v>
      </c>
      <c r="P3013" s="1" t="str">
        <f t="shared" si="6111"/>
        <v>0</v>
      </c>
      <c r="Q3013" s="1" t="str">
        <f t="shared" si="6106"/>
        <v>0.0070</v>
      </c>
      <c r="R3013" s="1" t="s">
        <v>25</v>
      </c>
      <c r="T3013" s="1" t="str">
        <f t="shared" si="6107"/>
        <v>0</v>
      </c>
      <c r="U3013" s="1" t="str">
        <f t="shared" si="6098"/>
        <v>0.0070</v>
      </c>
    </row>
    <row r="3014" s="1" customFormat="1" spans="1:21">
      <c r="A3014" s="1" t="str">
        <f>"4601992057171"</f>
        <v>4601992057171</v>
      </c>
      <c r="B3014" s="1" t="s">
        <v>3037</v>
      </c>
      <c r="C3014" s="1" t="s">
        <v>24</v>
      </c>
      <c r="D3014" s="1" t="str">
        <f t="shared" si="6103"/>
        <v>2021</v>
      </c>
      <c r="E3014" s="1" t="str">
        <f>"83.86"</f>
        <v>83.86</v>
      </c>
      <c r="F3014" s="1" t="str">
        <f t="shared" ref="F3014:I3014" si="6112">"0"</f>
        <v>0</v>
      </c>
      <c r="G3014" s="1" t="str">
        <f t="shared" si="6112"/>
        <v>0</v>
      </c>
      <c r="H3014" s="1" t="str">
        <f t="shared" si="6112"/>
        <v>0</v>
      </c>
      <c r="I3014" s="1" t="str">
        <f t="shared" si="6112"/>
        <v>0</v>
      </c>
      <c r="J3014" s="1" t="str">
        <f>"8"</f>
        <v>8</v>
      </c>
      <c r="K3014" s="1" t="str">
        <f t="shared" ref="K3014:P3014" si="6113">"0"</f>
        <v>0</v>
      </c>
      <c r="L3014" s="1" t="str">
        <f t="shared" si="6113"/>
        <v>0</v>
      </c>
      <c r="M3014" s="1" t="str">
        <f t="shared" si="6113"/>
        <v>0</v>
      </c>
      <c r="N3014" s="1" t="str">
        <f t="shared" si="6113"/>
        <v>0</v>
      </c>
      <c r="O3014" s="1" t="str">
        <f t="shared" si="6113"/>
        <v>0</v>
      </c>
      <c r="P3014" s="1" t="str">
        <f t="shared" si="6113"/>
        <v>0</v>
      </c>
      <c r="Q3014" s="1" t="str">
        <f t="shared" si="6106"/>
        <v>0.0070</v>
      </c>
      <c r="R3014" s="1" t="s">
        <v>29</v>
      </c>
      <c r="S3014" s="1">
        <v>-0.0014</v>
      </c>
      <c r="T3014" s="1" t="str">
        <f t="shared" si="6107"/>
        <v>0</v>
      </c>
      <c r="U3014" s="1" t="str">
        <f t="shared" ref="U3014:U3020" si="6114">"0.0056"</f>
        <v>0.0056</v>
      </c>
    </row>
    <row r="3015" s="1" customFormat="1" spans="1:21">
      <c r="A3015" s="1" t="str">
        <f>"4601992057266"</f>
        <v>4601992057266</v>
      </c>
      <c r="B3015" s="1" t="s">
        <v>3038</v>
      </c>
      <c r="C3015" s="1" t="s">
        <v>24</v>
      </c>
      <c r="D3015" s="1" t="str">
        <f t="shared" si="6103"/>
        <v>2021</v>
      </c>
      <c r="E3015" s="1" t="str">
        <f t="shared" ref="E3015:P3015" si="6115">"0"</f>
        <v>0</v>
      </c>
      <c r="F3015" s="1" t="str">
        <f t="shared" si="6115"/>
        <v>0</v>
      </c>
      <c r="G3015" s="1" t="str">
        <f t="shared" si="6115"/>
        <v>0</v>
      </c>
      <c r="H3015" s="1" t="str">
        <f t="shared" si="6115"/>
        <v>0</v>
      </c>
      <c r="I3015" s="1" t="str">
        <f t="shared" si="6115"/>
        <v>0</v>
      </c>
      <c r="J3015" s="1" t="str">
        <f t="shared" si="6115"/>
        <v>0</v>
      </c>
      <c r="K3015" s="1" t="str">
        <f t="shared" si="6115"/>
        <v>0</v>
      </c>
      <c r="L3015" s="1" t="str">
        <f t="shared" si="6115"/>
        <v>0</v>
      </c>
      <c r="M3015" s="1" t="str">
        <f t="shared" si="6115"/>
        <v>0</v>
      </c>
      <c r="N3015" s="1" t="str">
        <f t="shared" si="6115"/>
        <v>0</v>
      </c>
      <c r="O3015" s="1" t="str">
        <f t="shared" si="6115"/>
        <v>0</v>
      </c>
      <c r="P3015" s="1" t="str">
        <f t="shared" si="6115"/>
        <v>0</v>
      </c>
      <c r="Q3015" s="1" t="str">
        <f t="shared" si="6106"/>
        <v>0.0070</v>
      </c>
      <c r="R3015" s="1" t="s">
        <v>25</v>
      </c>
      <c r="T3015" s="1" t="str">
        <f t="shared" si="6107"/>
        <v>0</v>
      </c>
      <c r="U3015" s="1" t="str">
        <f>"0.0070"</f>
        <v>0.0070</v>
      </c>
    </row>
    <row r="3016" s="1" customFormat="1" spans="1:21">
      <c r="A3016" s="1" t="str">
        <f>"4601992057257"</f>
        <v>4601992057257</v>
      </c>
      <c r="B3016" s="1" t="s">
        <v>3039</v>
      </c>
      <c r="C3016" s="1" t="s">
        <v>24</v>
      </c>
      <c r="D3016" s="1" t="str">
        <f t="shared" si="6103"/>
        <v>2021</v>
      </c>
      <c r="E3016" s="1" t="str">
        <f>"12.28"</f>
        <v>12.28</v>
      </c>
      <c r="F3016" s="1" t="str">
        <f t="shared" ref="F3016:I3016" si="6116">"0"</f>
        <v>0</v>
      </c>
      <c r="G3016" s="1" t="str">
        <f t="shared" si="6116"/>
        <v>0</v>
      </c>
      <c r="H3016" s="1" t="str">
        <f t="shared" si="6116"/>
        <v>0</v>
      </c>
      <c r="I3016" s="1" t="str">
        <f t="shared" si="6116"/>
        <v>0</v>
      </c>
      <c r="J3016" s="1" t="str">
        <f>"2"</f>
        <v>2</v>
      </c>
      <c r="K3016" s="1" t="str">
        <f t="shared" ref="K3016:P3016" si="6117">"0"</f>
        <v>0</v>
      </c>
      <c r="L3016" s="1" t="str">
        <f t="shared" si="6117"/>
        <v>0</v>
      </c>
      <c r="M3016" s="1" t="str">
        <f t="shared" si="6117"/>
        <v>0</v>
      </c>
      <c r="N3016" s="1" t="str">
        <f t="shared" si="6117"/>
        <v>0</v>
      </c>
      <c r="O3016" s="1" t="str">
        <f t="shared" si="6117"/>
        <v>0</v>
      </c>
      <c r="P3016" s="1" t="str">
        <f t="shared" si="6117"/>
        <v>0</v>
      </c>
      <c r="Q3016" s="1" t="str">
        <f t="shared" si="6106"/>
        <v>0.0070</v>
      </c>
      <c r="R3016" s="1" t="s">
        <v>29</v>
      </c>
      <c r="S3016" s="1">
        <v>-0.0014</v>
      </c>
      <c r="T3016" s="1" t="str">
        <f t="shared" si="6107"/>
        <v>0</v>
      </c>
      <c r="U3016" s="1" t="str">
        <f t="shared" si="6114"/>
        <v>0.0056</v>
      </c>
    </row>
    <row r="3017" s="1" customFormat="1" spans="1:21">
      <c r="A3017" s="1" t="str">
        <f>"4601992057291"</f>
        <v>4601992057291</v>
      </c>
      <c r="B3017" s="1" t="s">
        <v>3040</v>
      </c>
      <c r="C3017" s="1" t="s">
        <v>24</v>
      </c>
      <c r="D3017" s="1" t="str">
        <f t="shared" si="6103"/>
        <v>2021</v>
      </c>
      <c r="E3017" s="1" t="str">
        <f>"107.82"</f>
        <v>107.82</v>
      </c>
      <c r="F3017" s="1" t="str">
        <f t="shared" ref="F3017:I3017" si="6118">"0"</f>
        <v>0</v>
      </c>
      <c r="G3017" s="1" t="str">
        <f t="shared" si="6118"/>
        <v>0</v>
      </c>
      <c r="H3017" s="1" t="str">
        <f t="shared" si="6118"/>
        <v>0</v>
      </c>
      <c r="I3017" s="1" t="str">
        <f t="shared" si="6118"/>
        <v>0</v>
      </c>
      <c r="J3017" s="1" t="str">
        <f>"9"</f>
        <v>9</v>
      </c>
      <c r="K3017" s="1" t="str">
        <f t="shared" ref="K3017:P3017" si="6119">"0"</f>
        <v>0</v>
      </c>
      <c r="L3017" s="1" t="str">
        <f t="shared" si="6119"/>
        <v>0</v>
      </c>
      <c r="M3017" s="1" t="str">
        <f t="shared" si="6119"/>
        <v>0</v>
      </c>
      <c r="N3017" s="1" t="str">
        <f t="shared" si="6119"/>
        <v>0</v>
      </c>
      <c r="O3017" s="1" t="str">
        <f t="shared" si="6119"/>
        <v>0</v>
      </c>
      <c r="P3017" s="1" t="str">
        <f t="shared" si="6119"/>
        <v>0</v>
      </c>
      <c r="Q3017" s="1" t="str">
        <f t="shared" si="6106"/>
        <v>0.0070</v>
      </c>
      <c r="R3017" s="1" t="s">
        <v>25</v>
      </c>
      <c r="T3017" s="1" t="str">
        <f t="shared" si="6107"/>
        <v>0</v>
      </c>
      <c r="U3017" s="1" t="str">
        <f>"0.0070"</f>
        <v>0.0070</v>
      </c>
    </row>
    <row r="3018" s="1" customFormat="1" spans="1:21">
      <c r="A3018" s="1" t="str">
        <f>"4601992057239"</f>
        <v>4601992057239</v>
      </c>
      <c r="B3018" s="1" t="s">
        <v>3041</v>
      </c>
      <c r="C3018" s="1" t="s">
        <v>24</v>
      </c>
      <c r="D3018" s="1" t="str">
        <f t="shared" si="6103"/>
        <v>2021</v>
      </c>
      <c r="E3018" s="1" t="str">
        <f>"83.86"</f>
        <v>83.86</v>
      </c>
      <c r="F3018" s="1" t="str">
        <f t="shared" ref="F3018:I3018" si="6120">"0"</f>
        <v>0</v>
      </c>
      <c r="G3018" s="1" t="str">
        <f t="shared" si="6120"/>
        <v>0</v>
      </c>
      <c r="H3018" s="1" t="str">
        <f t="shared" si="6120"/>
        <v>0</v>
      </c>
      <c r="I3018" s="1" t="str">
        <f t="shared" si="6120"/>
        <v>0</v>
      </c>
      <c r="J3018" s="1" t="str">
        <f>"6"</f>
        <v>6</v>
      </c>
      <c r="K3018" s="1" t="str">
        <f t="shared" ref="K3018:P3018" si="6121">"0"</f>
        <v>0</v>
      </c>
      <c r="L3018" s="1" t="str">
        <f t="shared" si="6121"/>
        <v>0</v>
      </c>
      <c r="M3018" s="1" t="str">
        <f t="shared" si="6121"/>
        <v>0</v>
      </c>
      <c r="N3018" s="1" t="str">
        <f t="shared" si="6121"/>
        <v>0</v>
      </c>
      <c r="O3018" s="1" t="str">
        <f t="shared" si="6121"/>
        <v>0</v>
      </c>
      <c r="P3018" s="1" t="str">
        <f t="shared" si="6121"/>
        <v>0</v>
      </c>
      <c r="Q3018" s="1" t="str">
        <f t="shared" si="6106"/>
        <v>0.0070</v>
      </c>
      <c r="R3018" s="1" t="s">
        <v>29</v>
      </c>
      <c r="S3018" s="1">
        <v>-0.0014</v>
      </c>
      <c r="T3018" s="1" t="str">
        <f t="shared" si="6107"/>
        <v>0</v>
      </c>
      <c r="U3018" s="1" t="str">
        <f t="shared" si="6114"/>
        <v>0.0056</v>
      </c>
    </row>
    <row r="3019" s="1" customFormat="1" spans="1:21">
      <c r="A3019" s="1" t="str">
        <f>"4601992057303"</f>
        <v>4601992057303</v>
      </c>
      <c r="B3019" s="1" t="s">
        <v>3042</v>
      </c>
      <c r="C3019" s="1" t="s">
        <v>24</v>
      </c>
      <c r="D3019" s="1" t="str">
        <f t="shared" si="6103"/>
        <v>2021</v>
      </c>
      <c r="E3019" s="1" t="str">
        <f>"12.25"</f>
        <v>12.25</v>
      </c>
      <c r="F3019" s="1" t="str">
        <f t="shared" ref="F3019:I3019" si="6122">"0"</f>
        <v>0</v>
      </c>
      <c r="G3019" s="1" t="str">
        <f t="shared" si="6122"/>
        <v>0</v>
      </c>
      <c r="H3019" s="1" t="str">
        <f t="shared" si="6122"/>
        <v>0</v>
      </c>
      <c r="I3019" s="1" t="str">
        <f t="shared" si="6122"/>
        <v>0</v>
      </c>
      <c r="J3019" s="1" t="str">
        <f t="shared" ref="J3019:J3024" si="6123">"1"</f>
        <v>1</v>
      </c>
      <c r="K3019" s="1" t="str">
        <f t="shared" ref="K3019:P3019" si="6124">"0"</f>
        <v>0</v>
      </c>
      <c r="L3019" s="1" t="str">
        <f t="shared" si="6124"/>
        <v>0</v>
      </c>
      <c r="M3019" s="1" t="str">
        <f t="shared" si="6124"/>
        <v>0</v>
      </c>
      <c r="N3019" s="1" t="str">
        <f t="shared" si="6124"/>
        <v>0</v>
      </c>
      <c r="O3019" s="1" t="str">
        <f t="shared" si="6124"/>
        <v>0</v>
      </c>
      <c r="P3019" s="1" t="str">
        <f t="shared" si="6124"/>
        <v>0</v>
      </c>
      <c r="Q3019" s="1" t="str">
        <f t="shared" si="6106"/>
        <v>0.0070</v>
      </c>
      <c r="R3019" s="1" t="s">
        <v>29</v>
      </c>
      <c r="S3019" s="1">
        <v>-0.0014</v>
      </c>
      <c r="T3019" s="1" t="str">
        <f t="shared" si="6107"/>
        <v>0</v>
      </c>
      <c r="U3019" s="1" t="str">
        <f t="shared" si="6114"/>
        <v>0.0056</v>
      </c>
    </row>
    <row r="3020" s="1" customFormat="1" spans="1:21">
      <c r="A3020" s="1" t="str">
        <f>"4601992057282"</f>
        <v>4601992057282</v>
      </c>
      <c r="B3020" s="1" t="s">
        <v>3043</v>
      </c>
      <c r="C3020" s="1" t="s">
        <v>24</v>
      </c>
      <c r="D3020" s="1" t="str">
        <f t="shared" si="6103"/>
        <v>2021</v>
      </c>
      <c r="E3020" s="1" t="str">
        <f>"37.10"</f>
        <v>37.10</v>
      </c>
      <c r="F3020" s="1" t="str">
        <f t="shared" ref="F3020:I3020" si="6125">"0"</f>
        <v>0</v>
      </c>
      <c r="G3020" s="1" t="str">
        <f t="shared" si="6125"/>
        <v>0</v>
      </c>
      <c r="H3020" s="1" t="str">
        <f t="shared" si="6125"/>
        <v>0</v>
      </c>
      <c r="I3020" s="1" t="str">
        <f t="shared" si="6125"/>
        <v>0</v>
      </c>
      <c r="J3020" s="1" t="str">
        <f>"3"</f>
        <v>3</v>
      </c>
      <c r="K3020" s="1" t="str">
        <f t="shared" ref="K3020:P3020" si="6126">"0"</f>
        <v>0</v>
      </c>
      <c r="L3020" s="1" t="str">
        <f t="shared" si="6126"/>
        <v>0</v>
      </c>
      <c r="M3020" s="1" t="str">
        <f t="shared" si="6126"/>
        <v>0</v>
      </c>
      <c r="N3020" s="1" t="str">
        <f t="shared" si="6126"/>
        <v>0</v>
      </c>
      <c r="O3020" s="1" t="str">
        <f t="shared" si="6126"/>
        <v>0</v>
      </c>
      <c r="P3020" s="1" t="str">
        <f t="shared" si="6126"/>
        <v>0</v>
      </c>
      <c r="Q3020" s="1" t="str">
        <f t="shared" si="6106"/>
        <v>0.0070</v>
      </c>
      <c r="R3020" s="1" t="s">
        <v>29</v>
      </c>
      <c r="S3020" s="1">
        <v>-0.0014</v>
      </c>
      <c r="T3020" s="1" t="str">
        <f t="shared" si="6107"/>
        <v>0</v>
      </c>
      <c r="U3020" s="1" t="str">
        <f t="shared" si="6114"/>
        <v>0.0056</v>
      </c>
    </row>
    <row r="3021" s="1" customFormat="1" spans="1:21">
      <c r="A3021" s="1" t="str">
        <f>"4601992057336"</f>
        <v>4601992057336</v>
      </c>
      <c r="B3021" s="1" t="s">
        <v>3044</v>
      </c>
      <c r="C3021" s="1" t="s">
        <v>24</v>
      </c>
      <c r="D3021" s="1" t="str">
        <f t="shared" si="6103"/>
        <v>2021</v>
      </c>
      <c r="E3021" s="1" t="str">
        <f t="shared" ref="E3021:P3021" si="6127">"0"</f>
        <v>0</v>
      </c>
      <c r="F3021" s="1" t="str">
        <f t="shared" si="6127"/>
        <v>0</v>
      </c>
      <c r="G3021" s="1" t="str">
        <f t="shared" si="6127"/>
        <v>0</v>
      </c>
      <c r="H3021" s="1" t="str">
        <f t="shared" si="6127"/>
        <v>0</v>
      </c>
      <c r="I3021" s="1" t="str">
        <f t="shared" si="6127"/>
        <v>0</v>
      </c>
      <c r="J3021" s="1" t="str">
        <f t="shared" si="6127"/>
        <v>0</v>
      </c>
      <c r="K3021" s="1" t="str">
        <f t="shared" si="6127"/>
        <v>0</v>
      </c>
      <c r="L3021" s="1" t="str">
        <f t="shared" si="6127"/>
        <v>0</v>
      </c>
      <c r="M3021" s="1" t="str">
        <f t="shared" si="6127"/>
        <v>0</v>
      </c>
      <c r="N3021" s="1" t="str">
        <f t="shared" si="6127"/>
        <v>0</v>
      </c>
      <c r="O3021" s="1" t="str">
        <f t="shared" si="6127"/>
        <v>0</v>
      </c>
      <c r="P3021" s="1" t="str">
        <f t="shared" si="6127"/>
        <v>0</v>
      </c>
      <c r="Q3021" s="1" t="str">
        <f t="shared" si="6106"/>
        <v>0.0070</v>
      </c>
      <c r="R3021" s="1" t="s">
        <v>25</v>
      </c>
      <c r="T3021" s="1" t="str">
        <f t="shared" si="6107"/>
        <v>0</v>
      </c>
      <c r="U3021" s="1" t="str">
        <f>"0.0070"</f>
        <v>0.0070</v>
      </c>
    </row>
    <row r="3022" s="1" customFormat="1" spans="1:21">
      <c r="A3022" s="1" t="str">
        <f>"4601992057297"</f>
        <v>4601992057297</v>
      </c>
      <c r="B3022" s="1" t="s">
        <v>3045</v>
      </c>
      <c r="C3022" s="1" t="s">
        <v>24</v>
      </c>
      <c r="D3022" s="1" t="str">
        <f t="shared" si="6103"/>
        <v>2021</v>
      </c>
      <c r="E3022" s="1" t="str">
        <f>"12.09"</f>
        <v>12.09</v>
      </c>
      <c r="F3022" s="1" t="str">
        <f t="shared" ref="F3022:I3022" si="6128">"0"</f>
        <v>0</v>
      </c>
      <c r="G3022" s="1" t="str">
        <f t="shared" si="6128"/>
        <v>0</v>
      </c>
      <c r="H3022" s="1" t="str">
        <f t="shared" si="6128"/>
        <v>0</v>
      </c>
      <c r="I3022" s="1" t="str">
        <f t="shared" si="6128"/>
        <v>0</v>
      </c>
      <c r="J3022" s="1" t="str">
        <f t="shared" si="6123"/>
        <v>1</v>
      </c>
      <c r="K3022" s="1" t="str">
        <f t="shared" ref="K3022:P3022" si="6129">"0"</f>
        <v>0</v>
      </c>
      <c r="L3022" s="1" t="str">
        <f t="shared" si="6129"/>
        <v>0</v>
      </c>
      <c r="M3022" s="1" t="str">
        <f t="shared" si="6129"/>
        <v>0</v>
      </c>
      <c r="N3022" s="1" t="str">
        <f t="shared" si="6129"/>
        <v>0</v>
      </c>
      <c r="O3022" s="1" t="str">
        <f t="shared" si="6129"/>
        <v>0</v>
      </c>
      <c r="P3022" s="1" t="str">
        <f t="shared" si="6129"/>
        <v>0</v>
      </c>
      <c r="Q3022" s="1" t="str">
        <f t="shared" si="6106"/>
        <v>0.0070</v>
      </c>
      <c r="R3022" s="1" t="s">
        <v>29</v>
      </c>
      <c r="S3022" s="1">
        <v>-0.0014</v>
      </c>
      <c r="T3022" s="1" t="str">
        <f t="shared" si="6107"/>
        <v>0</v>
      </c>
      <c r="U3022" s="1" t="str">
        <f t="shared" ref="U3022:U3024" si="6130">"0.0056"</f>
        <v>0.0056</v>
      </c>
    </row>
    <row r="3023" s="1" customFormat="1" spans="1:21">
      <c r="A3023" s="1" t="str">
        <f>"4601992057206"</f>
        <v>4601992057206</v>
      </c>
      <c r="B3023" s="1" t="s">
        <v>3046</v>
      </c>
      <c r="C3023" s="1" t="s">
        <v>24</v>
      </c>
      <c r="D3023" s="1" t="str">
        <f t="shared" si="6103"/>
        <v>2021</v>
      </c>
      <c r="E3023" s="1" t="str">
        <f>"24.18"</f>
        <v>24.18</v>
      </c>
      <c r="F3023" s="1" t="str">
        <f t="shared" ref="F3023:I3023" si="6131">"0"</f>
        <v>0</v>
      </c>
      <c r="G3023" s="1" t="str">
        <f t="shared" si="6131"/>
        <v>0</v>
      </c>
      <c r="H3023" s="1" t="str">
        <f t="shared" si="6131"/>
        <v>0</v>
      </c>
      <c r="I3023" s="1" t="str">
        <f t="shared" si="6131"/>
        <v>0</v>
      </c>
      <c r="J3023" s="1" t="str">
        <f>"2"</f>
        <v>2</v>
      </c>
      <c r="K3023" s="1" t="str">
        <f t="shared" ref="K3023:P3023" si="6132">"0"</f>
        <v>0</v>
      </c>
      <c r="L3023" s="1" t="str">
        <f t="shared" si="6132"/>
        <v>0</v>
      </c>
      <c r="M3023" s="1" t="str">
        <f t="shared" si="6132"/>
        <v>0</v>
      </c>
      <c r="N3023" s="1" t="str">
        <f t="shared" si="6132"/>
        <v>0</v>
      </c>
      <c r="O3023" s="1" t="str">
        <f t="shared" si="6132"/>
        <v>0</v>
      </c>
      <c r="P3023" s="1" t="str">
        <f t="shared" si="6132"/>
        <v>0</v>
      </c>
      <c r="Q3023" s="1" t="str">
        <f t="shared" si="6106"/>
        <v>0.0070</v>
      </c>
      <c r="R3023" s="1" t="s">
        <v>29</v>
      </c>
      <c r="S3023" s="1">
        <v>-0.0014</v>
      </c>
      <c r="T3023" s="1" t="str">
        <f t="shared" si="6107"/>
        <v>0</v>
      </c>
      <c r="U3023" s="1" t="str">
        <f t="shared" si="6130"/>
        <v>0.0056</v>
      </c>
    </row>
    <row r="3024" s="1" customFormat="1" spans="1:21">
      <c r="A3024" s="1" t="str">
        <f>"4601992057321"</f>
        <v>4601992057321</v>
      </c>
      <c r="B3024" s="1" t="s">
        <v>3047</v>
      </c>
      <c r="C3024" s="1" t="s">
        <v>24</v>
      </c>
      <c r="D3024" s="1" t="str">
        <f t="shared" si="6103"/>
        <v>2021</v>
      </c>
      <c r="E3024" s="1" t="str">
        <f>"15.75"</f>
        <v>15.75</v>
      </c>
      <c r="F3024" s="1" t="str">
        <f t="shared" ref="F3024:I3024" si="6133">"0"</f>
        <v>0</v>
      </c>
      <c r="G3024" s="1" t="str">
        <f t="shared" si="6133"/>
        <v>0</v>
      </c>
      <c r="H3024" s="1" t="str">
        <f t="shared" si="6133"/>
        <v>0</v>
      </c>
      <c r="I3024" s="1" t="str">
        <f t="shared" si="6133"/>
        <v>0</v>
      </c>
      <c r="J3024" s="1" t="str">
        <f t="shared" si="6123"/>
        <v>1</v>
      </c>
      <c r="K3024" s="1" t="str">
        <f t="shared" ref="K3024:P3024" si="6134">"0"</f>
        <v>0</v>
      </c>
      <c r="L3024" s="1" t="str">
        <f t="shared" si="6134"/>
        <v>0</v>
      </c>
      <c r="M3024" s="1" t="str">
        <f t="shared" si="6134"/>
        <v>0</v>
      </c>
      <c r="N3024" s="1" t="str">
        <f t="shared" si="6134"/>
        <v>0</v>
      </c>
      <c r="O3024" s="1" t="str">
        <f t="shared" si="6134"/>
        <v>0</v>
      </c>
      <c r="P3024" s="1" t="str">
        <f t="shared" si="6134"/>
        <v>0</v>
      </c>
      <c r="Q3024" s="1" t="str">
        <f t="shared" si="6106"/>
        <v>0.0070</v>
      </c>
      <c r="R3024" s="1" t="s">
        <v>29</v>
      </c>
      <c r="S3024" s="1">
        <v>-0.0014</v>
      </c>
      <c r="T3024" s="1" t="str">
        <f t="shared" si="6107"/>
        <v>0</v>
      </c>
      <c r="U3024" s="1" t="str">
        <f t="shared" si="6130"/>
        <v>0.0056</v>
      </c>
    </row>
    <row r="3025" s="1" customFormat="1" spans="1:21">
      <c r="A3025" s="1" t="str">
        <f>"4601992057381"</f>
        <v>4601992057381</v>
      </c>
      <c r="B3025" s="1" t="s">
        <v>3048</v>
      </c>
      <c r="C3025" s="1" t="s">
        <v>24</v>
      </c>
      <c r="D3025" s="1" t="str">
        <f t="shared" si="6103"/>
        <v>2021</v>
      </c>
      <c r="E3025" s="1" t="str">
        <f t="shared" ref="E3025:P3025" si="6135">"0"</f>
        <v>0</v>
      </c>
      <c r="F3025" s="1" t="str">
        <f t="shared" si="6135"/>
        <v>0</v>
      </c>
      <c r="G3025" s="1" t="str">
        <f t="shared" si="6135"/>
        <v>0</v>
      </c>
      <c r="H3025" s="1" t="str">
        <f t="shared" si="6135"/>
        <v>0</v>
      </c>
      <c r="I3025" s="1" t="str">
        <f t="shared" si="6135"/>
        <v>0</v>
      </c>
      <c r="J3025" s="1" t="str">
        <f t="shared" si="6135"/>
        <v>0</v>
      </c>
      <c r="K3025" s="1" t="str">
        <f t="shared" si="6135"/>
        <v>0</v>
      </c>
      <c r="L3025" s="1" t="str">
        <f t="shared" si="6135"/>
        <v>0</v>
      </c>
      <c r="M3025" s="1" t="str">
        <f t="shared" si="6135"/>
        <v>0</v>
      </c>
      <c r="N3025" s="1" t="str">
        <f t="shared" si="6135"/>
        <v>0</v>
      </c>
      <c r="O3025" s="1" t="str">
        <f t="shared" si="6135"/>
        <v>0</v>
      </c>
      <c r="P3025" s="1" t="str">
        <f t="shared" si="6135"/>
        <v>0</v>
      </c>
      <c r="Q3025" s="1" t="str">
        <f t="shared" si="6106"/>
        <v>0.0070</v>
      </c>
      <c r="R3025" s="1" t="s">
        <v>25</v>
      </c>
      <c r="T3025" s="1" t="str">
        <f t="shared" si="6107"/>
        <v>0</v>
      </c>
      <c r="U3025" s="1" t="str">
        <f>"0.0070"</f>
        <v>0.0070</v>
      </c>
    </row>
    <row r="3026" s="1" customFormat="1" spans="1:21">
      <c r="A3026" s="1" t="str">
        <f>"4601992057339"</f>
        <v>4601992057339</v>
      </c>
      <c r="B3026" s="1" t="s">
        <v>3049</v>
      </c>
      <c r="C3026" s="1" t="s">
        <v>24</v>
      </c>
      <c r="D3026" s="1" t="str">
        <f t="shared" si="6103"/>
        <v>2021</v>
      </c>
      <c r="E3026" s="1" t="str">
        <f>"215.64"</f>
        <v>215.64</v>
      </c>
      <c r="F3026" s="1" t="str">
        <f t="shared" ref="F3026:I3026" si="6136">"0"</f>
        <v>0</v>
      </c>
      <c r="G3026" s="1" t="str">
        <f t="shared" si="6136"/>
        <v>0</v>
      </c>
      <c r="H3026" s="1" t="str">
        <f t="shared" si="6136"/>
        <v>0</v>
      </c>
      <c r="I3026" s="1" t="str">
        <f t="shared" si="6136"/>
        <v>0</v>
      </c>
      <c r="J3026" s="1" t="str">
        <f>"18"</f>
        <v>18</v>
      </c>
      <c r="K3026" s="1" t="str">
        <f t="shared" ref="K3026:P3026" si="6137">"0"</f>
        <v>0</v>
      </c>
      <c r="L3026" s="1" t="str">
        <f t="shared" si="6137"/>
        <v>0</v>
      </c>
      <c r="M3026" s="1" t="str">
        <f t="shared" si="6137"/>
        <v>0</v>
      </c>
      <c r="N3026" s="1" t="str">
        <f t="shared" si="6137"/>
        <v>0</v>
      </c>
      <c r="O3026" s="1" t="str">
        <f t="shared" si="6137"/>
        <v>0</v>
      </c>
      <c r="P3026" s="1" t="str">
        <f t="shared" si="6137"/>
        <v>0</v>
      </c>
      <c r="Q3026" s="1" t="str">
        <f t="shared" si="6106"/>
        <v>0.0070</v>
      </c>
      <c r="R3026" s="1" t="s">
        <v>29</v>
      </c>
      <c r="S3026" s="1">
        <v>-0.0014</v>
      </c>
      <c r="T3026" s="1" t="str">
        <f t="shared" si="6107"/>
        <v>0</v>
      </c>
      <c r="U3026" s="1" t="str">
        <f t="shared" ref="U3026:U3031" si="6138">"0.0056"</f>
        <v>0.0056</v>
      </c>
    </row>
    <row r="3027" s="1" customFormat="1" spans="1:21">
      <c r="A3027" s="1" t="str">
        <f>"4601992057313"</f>
        <v>4601992057313</v>
      </c>
      <c r="B3027" s="1" t="s">
        <v>3050</v>
      </c>
      <c r="C3027" s="1" t="s">
        <v>24</v>
      </c>
      <c r="D3027" s="1" t="str">
        <f t="shared" si="6103"/>
        <v>2021</v>
      </c>
      <c r="E3027" s="1" t="str">
        <f>"24.18"</f>
        <v>24.18</v>
      </c>
      <c r="F3027" s="1" t="str">
        <f t="shared" ref="F3027:I3027" si="6139">"0"</f>
        <v>0</v>
      </c>
      <c r="G3027" s="1" t="str">
        <f t="shared" si="6139"/>
        <v>0</v>
      </c>
      <c r="H3027" s="1" t="str">
        <f t="shared" si="6139"/>
        <v>0</v>
      </c>
      <c r="I3027" s="1" t="str">
        <f t="shared" si="6139"/>
        <v>0</v>
      </c>
      <c r="J3027" s="1" t="str">
        <f>"2"</f>
        <v>2</v>
      </c>
      <c r="K3027" s="1" t="str">
        <f t="shared" ref="K3027:P3027" si="6140">"0"</f>
        <v>0</v>
      </c>
      <c r="L3027" s="1" t="str">
        <f t="shared" si="6140"/>
        <v>0</v>
      </c>
      <c r="M3027" s="1" t="str">
        <f t="shared" si="6140"/>
        <v>0</v>
      </c>
      <c r="N3027" s="1" t="str">
        <f t="shared" si="6140"/>
        <v>0</v>
      </c>
      <c r="O3027" s="1" t="str">
        <f t="shared" si="6140"/>
        <v>0</v>
      </c>
      <c r="P3027" s="1" t="str">
        <f t="shared" si="6140"/>
        <v>0</v>
      </c>
      <c r="Q3027" s="1" t="str">
        <f t="shared" si="6106"/>
        <v>0.0070</v>
      </c>
      <c r="R3027" s="1" t="s">
        <v>29</v>
      </c>
      <c r="S3027" s="1">
        <v>-0.0014</v>
      </c>
      <c r="T3027" s="1" t="str">
        <f t="shared" si="6107"/>
        <v>0</v>
      </c>
      <c r="U3027" s="1" t="str">
        <f t="shared" si="6138"/>
        <v>0.0056</v>
      </c>
    </row>
    <row r="3028" s="1" customFormat="1" spans="1:21">
      <c r="A3028" s="1" t="str">
        <f>"4601992057383"</f>
        <v>4601992057383</v>
      </c>
      <c r="B3028" s="1" t="s">
        <v>3051</v>
      </c>
      <c r="C3028" s="1" t="s">
        <v>24</v>
      </c>
      <c r="D3028" s="1" t="str">
        <f t="shared" si="6103"/>
        <v>2021</v>
      </c>
      <c r="E3028" s="1" t="str">
        <f>"48.36"</f>
        <v>48.36</v>
      </c>
      <c r="F3028" s="1" t="str">
        <f t="shared" ref="F3028:I3028" si="6141">"0"</f>
        <v>0</v>
      </c>
      <c r="G3028" s="1" t="str">
        <f t="shared" si="6141"/>
        <v>0</v>
      </c>
      <c r="H3028" s="1" t="str">
        <f t="shared" si="6141"/>
        <v>0</v>
      </c>
      <c r="I3028" s="1" t="str">
        <f t="shared" si="6141"/>
        <v>0</v>
      </c>
      <c r="J3028" s="1" t="str">
        <f>"4"</f>
        <v>4</v>
      </c>
      <c r="K3028" s="1" t="str">
        <f t="shared" ref="K3028:P3028" si="6142">"0"</f>
        <v>0</v>
      </c>
      <c r="L3028" s="1" t="str">
        <f t="shared" si="6142"/>
        <v>0</v>
      </c>
      <c r="M3028" s="1" t="str">
        <f t="shared" si="6142"/>
        <v>0</v>
      </c>
      <c r="N3028" s="1" t="str">
        <f t="shared" si="6142"/>
        <v>0</v>
      </c>
      <c r="O3028" s="1" t="str">
        <f t="shared" si="6142"/>
        <v>0</v>
      </c>
      <c r="P3028" s="1" t="str">
        <f t="shared" si="6142"/>
        <v>0</v>
      </c>
      <c r="Q3028" s="1" t="str">
        <f t="shared" si="6106"/>
        <v>0.0070</v>
      </c>
      <c r="R3028" s="1" t="s">
        <v>29</v>
      </c>
      <c r="S3028" s="1">
        <v>-0.0014</v>
      </c>
      <c r="T3028" s="1" t="str">
        <f t="shared" si="6107"/>
        <v>0</v>
      </c>
      <c r="U3028" s="1" t="str">
        <f t="shared" si="6138"/>
        <v>0.0056</v>
      </c>
    </row>
    <row r="3029" s="1" customFormat="1" spans="1:21">
      <c r="A3029" s="1" t="str">
        <f>"4601992057384"</f>
        <v>4601992057384</v>
      </c>
      <c r="B3029" s="1" t="s">
        <v>3052</v>
      </c>
      <c r="C3029" s="1" t="s">
        <v>24</v>
      </c>
      <c r="D3029" s="1" t="str">
        <f t="shared" si="6103"/>
        <v>2021</v>
      </c>
      <c r="E3029" s="1" t="str">
        <f>"12.09"</f>
        <v>12.09</v>
      </c>
      <c r="F3029" s="1" t="str">
        <f t="shared" ref="F3029:I3029" si="6143">"0"</f>
        <v>0</v>
      </c>
      <c r="G3029" s="1" t="str">
        <f t="shared" si="6143"/>
        <v>0</v>
      </c>
      <c r="H3029" s="1" t="str">
        <f t="shared" si="6143"/>
        <v>0</v>
      </c>
      <c r="I3029" s="1" t="str">
        <f t="shared" si="6143"/>
        <v>0</v>
      </c>
      <c r="J3029" s="1" t="str">
        <f>"1"</f>
        <v>1</v>
      </c>
      <c r="K3029" s="1" t="str">
        <f t="shared" ref="K3029:P3029" si="6144">"0"</f>
        <v>0</v>
      </c>
      <c r="L3029" s="1" t="str">
        <f t="shared" si="6144"/>
        <v>0</v>
      </c>
      <c r="M3029" s="1" t="str">
        <f t="shared" si="6144"/>
        <v>0</v>
      </c>
      <c r="N3029" s="1" t="str">
        <f t="shared" si="6144"/>
        <v>0</v>
      </c>
      <c r="O3029" s="1" t="str">
        <f t="shared" si="6144"/>
        <v>0</v>
      </c>
      <c r="P3029" s="1" t="str">
        <f t="shared" si="6144"/>
        <v>0</v>
      </c>
      <c r="Q3029" s="1" t="str">
        <f t="shared" si="6106"/>
        <v>0.0070</v>
      </c>
      <c r="R3029" s="1" t="s">
        <v>29</v>
      </c>
      <c r="S3029" s="1">
        <v>-0.0014</v>
      </c>
      <c r="T3029" s="1" t="str">
        <f t="shared" si="6107"/>
        <v>0</v>
      </c>
      <c r="U3029" s="1" t="str">
        <f t="shared" si="6138"/>
        <v>0.0056</v>
      </c>
    </row>
    <row r="3030" s="1" customFormat="1" spans="1:21">
      <c r="A3030" s="1" t="str">
        <f>"4601992057470"</f>
        <v>4601992057470</v>
      </c>
      <c r="B3030" s="1" t="s">
        <v>3053</v>
      </c>
      <c r="C3030" s="1" t="s">
        <v>24</v>
      </c>
      <c r="D3030" s="1" t="str">
        <f t="shared" si="6103"/>
        <v>2021</v>
      </c>
      <c r="E3030" s="1" t="str">
        <f>"24.18"</f>
        <v>24.18</v>
      </c>
      <c r="F3030" s="1" t="str">
        <f t="shared" ref="F3030:I3030" si="6145">"0"</f>
        <v>0</v>
      </c>
      <c r="G3030" s="1" t="str">
        <f t="shared" si="6145"/>
        <v>0</v>
      </c>
      <c r="H3030" s="1" t="str">
        <f t="shared" si="6145"/>
        <v>0</v>
      </c>
      <c r="I3030" s="1" t="str">
        <f t="shared" si="6145"/>
        <v>0</v>
      </c>
      <c r="J3030" s="1" t="str">
        <f>"2"</f>
        <v>2</v>
      </c>
      <c r="K3030" s="1" t="str">
        <f t="shared" ref="K3030:P3030" si="6146">"0"</f>
        <v>0</v>
      </c>
      <c r="L3030" s="1" t="str">
        <f t="shared" si="6146"/>
        <v>0</v>
      </c>
      <c r="M3030" s="1" t="str">
        <f t="shared" si="6146"/>
        <v>0</v>
      </c>
      <c r="N3030" s="1" t="str">
        <f t="shared" si="6146"/>
        <v>0</v>
      </c>
      <c r="O3030" s="1" t="str">
        <f t="shared" si="6146"/>
        <v>0</v>
      </c>
      <c r="P3030" s="1" t="str">
        <f t="shared" si="6146"/>
        <v>0</v>
      </c>
      <c r="Q3030" s="1" t="str">
        <f t="shared" si="6106"/>
        <v>0.0070</v>
      </c>
      <c r="R3030" s="1" t="s">
        <v>29</v>
      </c>
      <c r="S3030" s="1">
        <v>-0.0014</v>
      </c>
      <c r="T3030" s="1" t="str">
        <f t="shared" si="6107"/>
        <v>0</v>
      </c>
      <c r="U3030" s="1" t="str">
        <f t="shared" si="6138"/>
        <v>0.0056</v>
      </c>
    </row>
    <row r="3031" s="1" customFormat="1" spans="1:21">
      <c r="A3031" s="1" t="str">
        <f>"4601992057415"</f>
        <v>4601992057415</v>
      </c>
      <c r="B3031" s="1" t="s">
        <v>3054</v>
      </c>
      <c r="C3031" s="1" t="s">
        <v>24</v>
      </c>
      <c r="D3031" s="1" t="str">
        <f t="shared" si="6103"/>
        <v>2021</v>
      </c>
      <c r="E3031" s="1" t="str">
        <f>"65.20"</f>
        <v>65.20</v>
      </c>
      <c r="F3031" s="1" t="str">
        <f t="shared" ref="F3031:I3031" si="6147">"0"</f>
        <v>0</v>
      </c>
      <c r="G3031" s="1" t="str">
        <f t="shared" si="6147"/>
        <v>0</v>
      </c>
      <c r="H3031" s="1" t="str">
        <f t="shared" si="6147"/>
        <v>0</v>
      </c>
      <c r="I3031" s="1" t="str">
        <f t="shared" si="6147"/>
        <v>0</v>
      </c>
      <c r="J3031" s="1" t="str">
        <f>"7"</f>
        <v>7</v>
      </c>
      <c r="K3031" s="1" t="str">
        <f t="shared" ref="K3031:P3031" si="6148">"0"</f>
        <v>0</v>
      </c>
      <c r="L3031" s="1" t="str">
        <f t="shared" si="6148"/>
        <v>0</v>
      </c>
      <c r="M3031" s="1" t="str">
        <f t="shared" si="6148"/>
        <v>0</v>
      </c>
      <c r="N3031" s="1" t="str">
        <f t="shared" si="6148"/>
        <v>0</v>
      </c>
      <c r="O3031" s="1" t="str">
        <f t="shared" si="6148"/>
        <v>0</v>
      </c>
      <c r="P3031" s="1" t="str">
        <f t="shared" si="6148"/>
        <v>0</v>
      </c>
      <c r="Q3031" s="1" t="str">
        <f t="shared" si="6106"/>
        <v>0.0070</v>
      </c>
      <c r="R3031" s="1" t="s">
        <v>29</v>
      </c>
      <c r="S3031" s="1">
        <v>-0.0014</v>
      </c>
      <c r="T3031" s="1" t="str">
        <f t="shared" si="6107"/>
        <v>0</v>
      </c>
      <c r="U3031" s="1" t="str">
        <f t="shared" si="6138"/>
        <v>0.0056</v>
      </c>
    </row>
    <row r="3032" s="1" customFormat="1" spans="1:21">
      <c r="A3032" s="1" t="str">
        <f>"4601992057471"</f>
        <v>4601992057471</v>
      </c>
      <c r="B3032" s="1" t="s">
        <v>3055</v>
      </c>
      <c r="C3032" s="1" t="s">
        <v>24</v>
      </c>
      <c r="D3032" s="1" t="str">
        <f t="shared" si="6103"/>
        <v>2021</v>
      </c>
      <c r="E3032" s="1" t="str">
        <f>"12.09"</f>
        <v>12.09</v>
      </c>
      <c r="F3032" s="1" t="str">
        <f t="shared" ref="F3032:I3032" si="6149">"0"</f>
        <v>0</v>
      </c>
      <c r="G3032" s="1" t="str">
        <f t="shared" si="6149"/>
        <v>0</v>
      </c>
      <c r="H3032" s="1" t="str">
        <f t="shared" si="6149"/>
        <v>0</v>
      </c>
      <c r="I3032" s="1" t="str">
        <f t="shared" si="6149"/>
        <v>0</v>
      </c>
      <c r="J3032" s="1" t="str">
        <f>"1"</f>
        <v>1</v>
      </c>
      <c r="K3032" s="1" t="str">
        <f t="shared" ref="K3032:P3032" si="6150">"0"</f>
        <v>0</v>
      </c>
      <c r="L3032" s="1" t="str">
        <f t="shared" si="6150"/>
        <v>0</v>
      </c>
      <c r="M3032" s="1" t="str">
        <f t="shared" si="6150"/>
        <v>0</v>
      </c>
      <c r="N3032" s="1" t="str">
        <f t="shared" si="6150"/>
        <v>0</v>
      </c>
      <c r="O3032" s="1" t="str">
        <f t="shared" si="6150"/>
        <v>0</v>
      </c>
      <c r="P3032" s="1" t="str">
        <f t="shared" si="6150"/>
        <v>0</v>
      </c>
      <c r="Q3032" s="1" t="str">
        <f t="shared" si="6106"/>
        <v>0.0070</v>
      </c>
      <c r="R3032" s="1" t="s">
        <v>25</v>
      </c>
      <c r="T3032" s="1" t="str">
        <f t="shared" si="6107"/>
        <v>0</v>
      </c>
      <c r="U3032" s="1" t="str">
        <f t="shared" ref="U3032:U3035" si="6151">"0.0070"</f>
        <v>0.0070</v>
      </c>
    </row>
    <row r="3033" s="1" customFormat="1" spans="1:21">
      <c r="A3033" s="1" t="str">
        <f>"4601992057394"</f>
        <v>4601992057394</v>
      </c>
      <c r="B3033" s="1" t="s">
        <v>3056</v>
      </c>
      <c r="C3033" s="1" t="s">
        <v>24</v>
      </c>
      <c r="D3033" s="1" t="str">
        <f t="shared" si="6103"/>
        <v>2021</v>
      </c>
      <c r="E3033" s="1" t="str">
        <f>"35.94"</f>
        <v>35.94</v>
      </c>
      <c r="F3033" s="1" t="str">
        <f t="shared" ref="F3033:I3033" si="6152">"0"</f>
        <v>0</v>
      </c>
      <c r="G3033" s="1" t="str">
        <f t="shared" si="6152"/>
        <v>0</v>
      </c>
      <c r="H3033" s="1" t="str">
        <f t="shared" si="6152"/>
        <v>0</v>
      </c>
      <c r="I3033" s="1" t="str">
        <f t="shared" si="6152"/>
        <v>0</v>
      </c>
      <c r="J3033" s="1" t="str">
        <f>"9"</f>
        <v>9</v>
      </c>
      <c r="K3033" s="1" t="str">
        <f t="shared" ref="K3033:P3033" si="6153">"0"</f>
        <v>0</v>
      </c>
      <c r="L3033" s="1" t="str">
        <f t="shared" si="6153"/>
        <v>0</v>
      </c>
      <c r="M3033" s="1" t="str">
        <f t="shared" si="6153"/>
        <v>0</v>
      </c>
      <c r="N3033" s="1" t="str">
        <f t="shared" si="6153"/>
        <v>0</v>
      </c>
      <c r="O3033" s="1" t="str">
        <f t="shared" si="6153"/>
        <v>0</v>
      </c>
      <c r="P3033" s="1" t="str">
        <f t="shared" si="6153"/>
        <v>0</v>
      </c>
      <c r="Q3033" s="1" t="str">
        <f t="shared" si="6106"/>
        <v>0.0070</v>
      </c>
      <c r="R3033" s="1" t="s">
        <v>29</v>
      </c>
      <c r="S3033" s="1">
        <v>-0.0014</v>
      </c>
      <c r="T3033" s="1" t="str">
        <f t="shared" si="6107"/>
        <v>0</v>
      </c>
      <c r="U3033" s="1" t="str">
        <f t="shared" ref="U3033:U3038" si="6154">"0.0056"</f>
        <v>0.0056</v>
      </c>
    </row>
    <row r="3034" s="1" customFormat="1" spans="1:21">
      <c r="A3034" s="1" t="str">
        <f>"4601992057477"</f>
        <v>4601992057477</v>
      </c>
      <c r="B3034" s="1" t="s">
        <v>3057</v>
      </c>
      <c r="C3034" s="1" t="s">
        <v>24</v>
      </c>
      <c r="D3034" s="1" t="str">
        <f t="shared" si="6103"/>
        <v>2021</v>
      </c>
      <c r="E3034" s="1" t="str">
        <f t="shared" ref="E3034:P3034" si="6155">"0"</f>
        <v>0</v>
      </c>
      <c r="F3034" s="1" t="str">
        <f t="shared" si="6155"/>
        <v>0</v>
      </c>
      <c r="G3034" s="1" t="str">
        <f t="shared" si="6155"/>
        <v>0</v>
      </c>
      <c r="H3034" s="1" t="str">
        <f t="shared" si="6155"/>
        <v>0</v>
      </c>
      <c r="I3034" s="1" t="str">
        <f t="shared" si="6155"/>
        <v>0</v>
      </c>
      <c r="J3034" s="1" t="str">
        <f t="shared" si="6155"/>
        <v>0</v>
      </c>
      <c r="K3034" s="1" t="str">
        <f t="shared" si="6155"/>
        <v>0</v>
      </c>
      <c r="L3034" s="1" t="str">
        <f t="shared" si="6155"/>
        <v>0</v>
      </c>
      <c r="M3034" s="1" t="str">
        <f t="shared" si="6155"/>
        <v>0</v>
      </c>
      <c r="N3034" s="1" t="str">
        <f t="shared" si="6155"/>
        <v>0</v>
      </c>
      <c r="O3034" s="1" t="str">
        <f t="shared" si="6155"/>
        <v>0</v>
      </c>
      <c r="P3034" s="1" t="str">
        <f t="shared" si="6155"/>
        <v>0</v>
      </c>
      <c r="Q3034" s="1" t="str">
        <f t="shared" si="6106"/>
        <v>0.0070</v>
      </c>
      <c r="R3034" s="1" t="s">
        <v>25</v>
      </c>
      <c r="T3034" s="1" t="str">
        <f t="shared" si="6107"/>
        <v>0</v>
      </c>
      <c r="U3034" s="1" t="str">
        <f t="shared" si="6151"/>
        <v>0.0070</v>
      </c>
    </row>
    <row r="3035" s="1" customFormat="1" spans="1:21">
      <c r="A3035" s="1" t="str">
        <f>"4601992057542"</f>
        <v>4601992057542</v>
      </c>
      <c r="B3035" s="1" t="s">
        <v>3058</v>
      </c>
      <c r="C3035" s="1" t="s">
        <v>24</v>
      </c>
      <c r="D3035" s="1" t="str">
        <f t="shared" si="6103"/>
        <v>2021</v>
      </c>
      <c r="E3035" s="1" t="str">
        <f t="shared" ref="E3035:G3035" si="6156">"0"</f>
        <v>0</v>
      </c>
      <c r="F3035" s="1" t="str">
        <f t="shared" si="6156"/>
        <v>0</v>
      </c>
      <c r="G3035" s="1" t="str">
        <f t="shared" si="6156"/>
        <v>0</v>
      </c>
      <c r="H3035" s="1" t="str">
        <f>"11.98"</f>
        <v>11.98</v>
      </c>
      <c r="I3035" s="1" t="str">
        <f t="shared" ref="I3035:P3035" si="6157">"0"</f>
        <v>0</v>
      </c>
      <c r="J3035" s="1" t="str">
        <f t="shared" si="6157"/>
        <v>0</v>
      </c>
      <c r="K3035" s="1" t="str">
        <f t="shared" si="6157"/>
        <v>0</v>
      </c>
      <c r="L3035" s="1" t="str">
        <f t="shared" si="6157"/>
        <v>0</v>
      </c>
      <c r="M3035" s="1" t="str">
        <f t="shared" si="6157"/>
        <v>0</v>
      </c>
      <c r="N3035" s="1" t="str">
        <f t="shared" si="6157"/>
        <v>0</v>
      </c>
      <c r="O3035" s="1" t="str">
        <f t="shared" si="6157"/>
        <v>0</v>
      </c>
      <c r="P3035" s="1" t="str">
        <f t="shared" si="6157"/>
        <v>0</v>
      </c>
      <c r="Q3035" s="1" t="str">
        <f t="shared" si="6106"/>
        <v>0.0070</v>
      </c>
      <c r="R3035" s="1" t="s">
        <v>25</v>
      </c>
      <c r="T3035" s="1" t="str">
        <f t="shared" si="6107"/>
        <v>0</v>
      </c>
      <c r="U3035" s="1" t="str">
        <f t="shared" si="6151"/>
        <v>0.0070</v>
      </c>
    </row>
    <row r="3036" s="1" customFormat="1" spans="1:21">
      <c r="A3036" s="1" t="str">
        <f>"4601992057504"</f>
        <v>4601992057504</v>
      </c>
      <c r="B3036" s="1" t="s">
        <v>3059</v>
      </c>
      <c r="C3036" s="1" t="s">
        <v>24</v>
      </c>
      <c r="D3036" s="1" t="str">
        <f t="shared" si="6103"/>
        <v>2021</v>
      </c>
      <c r="E3036" s="1" t="str">
        <f>"36.27"</f>
        <v>36.27</v>
      </c>
      <c r="F3036" s="1" t="str">
        <f t="shared" ref="F3036:I3036" si="6158">"0"</f>
        <v>0</v>
      </c>
      <c r="G3036" s="1" t="str">
        <f t="shared" si="6158"/>
        <v>0</v>
      </c>
      <c r="H3036" s="1" t="str">
        <f t="shared" si="6158"/>
        <v>0</v>
      </c>
      <c r="I3036" s="1" t="str">
        <f t="shared" si="6158"/>
        <v>0</v>
      </c>
      <c r="J3036" s="1" t="str">
        <f>"3"</f>
        <v>3</v>
      </c>
      <c r="K3036" s="1" t="str">
        <f t="shared" ref="K3036:P3036" si="6159">"0"</f>
        <v>0</v>
      </c>
      <c r="L3036" s="1" t="str">
        <f t="shared" si="6159"/>
        <v>0</v>
      </c>
      <c r="M3036" s="1" t="str">
        <f t="shared" si="6159"/>
        <v>0</v>
      </c>
      <c r="N3036" s="1" t="str">
        <f t="shared" si="6159"/>
        <v>0</v>
      </c>
      <c r="O3036" s="1" t="str">
        <f t="shared" si="6159"/>
        <v>0</v>
      </c>
      <c r="P3036" s="1" t="str">
        <f t="shared" si="6159"/>
        <v>0</v>
      </c>
      <c r="Q3036" s="1" t="str">
        <f t="shared" si="6106"/>
        <v>0.0070</v>
      </c>
      <c r="R3036" s="1" t="s">
        <v>29</v>
      </c>
      <c r="S3036" s="1">
        <v>-0.0014</v>
      </c>
      <c r="T3036" s="1" t="str">
        <f t="shared" si="6107"/>
        <v>0</v>
      </c>
      <c r="U3036" s="1" t="str">
        <f t="shared" si="6154"/>
        <v>0.0056</v>
      </c>
    </row>
    <row r="3037" s="1" customFormat="1" spans="1:21">
      <c r="A3037" s="1" t="str">
        <f>"4601992057493"</f>
        <v>4601992057493</v>
      </c>
      <c r="B3037" s="1" t="s">
        <v>3060</v>
      </c>
      <c r="C3037" s="1" t="s">
        <v>24</v>
      </c>
      <c r="D3037" s="1" t="str">
        <f t="shared" si="6103"/>
        <v>2021</v>
      </c>
      <c r="E3037" s="1" t="str">
        <f>"60.01"</f>
        <v>60.01</v>
      </c>
      <c r="F3037" s="1" t="str">
        <f t="shared" ref="F3037:I3037" si="6160">"0"</f>
        <v>0</v>
      </c>
      <c r="G3037" s="1" t="str">
        <f t="shared" si="6160"/>
        <v>0</v>
      </c>
      <c r="H3037" s="1" t="str">
        <f t="shared" si="6160"/>
        <v>0</v>
      </c>
      <c r="I3037" s="1" t="str">
        <f t="shared" si="6160"/>
        <v>0</v>
      </c>
      <c r="J3037" s="1" t="str">
        <f>"8"</f>
        <v>8</v>
      </c>
      <c r="K3037" s="1" t="str">
        <f t="shared" ref="K3037:P3037" si="6161">"0"</f>
        <v>0</v>
      </c>
      <c r="L3037" s="1" t="str">
        <f t="shared" si="6161"/>
        <v>0</v>
      </c>
      <c r="M3037" s="1" t="str">
        <f t="shared" si="6161"/>
        <v>0</v>
      </c>
      <c r="N3037" s="1" t="str">
        <f t="shared" si="6161"/>
        <v>0</v>
      </c>
      <c r="O3037" s="1" t="str">
        <f t="shared" si="6161"/>
        <v>0</v>
      </c>
      <c r="P3037" s="1" t="str">
        <f t="shared" si="6161"/>
        <v>0</v>
      </c>
      <c r="Q3037" s="1" t="str">
        <f t="shared" si="6106"/>
        <v>0.0070</v>
      </c>
      <c r="R3037" s="1" t="s">
        <v>29</v>
      </c>
      <c r="S3037" s="1">
        <v>-0.0014</v>
      </c>
      <c r="T3037" s="1" t="str">
        <f t="shared" si="6107"/>
        <v>0</v>
      </c>
      <c r="U3037" s="1" t="str">
        <f t="shared" si="6154"/>
        <v>0.0056</v>
      </c>
    </row>
    <row r="3038" s="1" customFormat="1" spans="1:21">
      <c r="A3038" s="1" t="str">
        <f>"4601992057484"</f>
        <v>4601992057484</v>
      </c>
      <c r="B3038" s="1" t="s">
        <v>3061</v>
      </c>
      <c r="C3038" s="1" t="s">
        <v>24</v>
      </c>
      <c r="D3038" s="1" t="str">
        <f t="shared" si="6103"/>
        <v>2021</v>
      </c>
      <c r="E3038" s="1" t="str">
        <f>"14.00"</f>
        <v>14.00</v>
      </c>
      <c r="F3038" s="1" t="str">
        <f t="shared" ref="F3038:I3038" si="6162">"0"</f>
        <v>0</v>
      </c>
      <c r="G3038" s="1" t="str">
        <f t="shared" si="6162"/>
        <v>0</v>
      </c>
      <c r="H3038" s="1" t="str">
        <f t="shared" si="6162"/>
        <v>0</v>
      </c>
      <c r="I3038" s="1" t="str">
        <f t="shared" si="6162"/>
        <v>0</v>
      </c>
      <c r="J3038" s="1" t="str">
        <f>"2"</f>
        <v>2</v>
      </c>
      <c r="K3038" s="1" t="str">
        <f t="shared" ref="K3038:P3038" si="6163">"0"</f>
        <v>0</v>
      </c>
      <c r="L3038" s="1" t="str">
        <f t="shared" si="6163"/>
        <v>0</v>
      </c>
      <c r="M3038" s="1" t="str">
        <f t="shared" si="6163"/>
        <v>0</v>
      </c>
      <c r="N3038" s="1" t="str">
        <f t="shared" si="6163"/>
        <v>0</v>
      </c>
      <c r="O3038" s="1" t="str">
        <f t="shared" si="6163"/>
        <v>0</v>
      </c>
      <c r="P3038" s="1" t="str">
        <f t="shared" si="6163"/>
        <v>0</v>
      </c>
      <c r="Q3038" s="1" t="str">
        <f t="shared" si="6106"/>
        <v>0.0070</v>
      </c>
      <c r="R3038" s="1" t="s">
        <v>29</v>
      </c>
      <c r="S3038" s="1">
        <v>-0.0014</v>
      </c>
      <c r="T3038" s="1" t="str">
        <f t="shared" si="6107"/>
        <v>0</v>
      </c>
      <c r="U3038" s="1" t="str">
        <f t="shared" si="6154"/>
        <v>0.0056</v>
      </c>
    </row>
    <row r="3039" s="1" customFormat="1" spans="1:21">
      <c r="A3039" s="1" t="str">
        <f>"4601992057612"</f>
        <v>4601992057612</v>
      </c>
      <c r="B3039" s="1" t="s">
        <v>3062</v>
      </c>
      <c r="C3039" s="1" t="s">
        <v>24</v>
      </c>
      <c r="D3039" s="1" t="str">
        <f t="shared" si="6103"/>
        <v>2021</v>
      </c>
      <c r="E3039" s="1" t="str">
        <f t="shared" ref="E3039:P3039" si="6164">"0"</f>
        <v>0</v>
      </c>
      <c r="F3039" s="1" t="str">
        <f t="shared" si="6164"/>
        <v>0</v>
      </c>
      <c r="G3039" s="1" t="str">
        <f t="shared" si="6164"/>
        <v>0</v>
      </c>
      <c r="H3039" s="1" t="str">
        <f t="shared" si="6164"/>
        <v>0</v>
      </c>
      <c r="I3039" s="1" t="str">
        <f t="shared" si="6164"/>
        <v>0</v>
      </c>
      <c r="J3039" s="1" t="str">
        <f t="shared" si="6164"/>
        <v>0</v>
      </c>
      <c r="K3039" s="1" t="str">
        <f t="shared" si="6164"/>
        <v>0</v>
      </c>
      <c r="L3039" s="1" t="str">
        <f t="shared" si="6164"/>
        <v>0</v>
      </c>
      <c r="M3039" s="1" t="str">
        <f t="shared" si="6164"/>
        <v>0</v>
      </c>
      <c r="N3039" s="1" t="str">
        <f t="shared" si="6164"/>
        <v>0</v>
      </c>
      <c r="O3039" s="1" t="str">
        <f t="shared" si="6164"/>
        <v>0</v>
      </c>
      <c r="P3039" s="1" t="str">
        <f t="shared" si="6164"/>
        <v>0</v>
      </c>
      <c r="Q3039" s="1" t="str">
        <f t="shared" si="6106"/>
        <v>0.0070</v>
      </c>
      <c r="R3039" s="1" t="s">
        <v>25</v>
      </c>
      <c r="T3039" s="1" t="str">
        <f t="shared" si="6107"/>
        <v>0</v>
      </c>
      <c r="U3039" s="1" t="str">
        <f t="shared" ref="U3039:U3044" si="6165">"0.0070"</f>
        <v>0.0070</v>
      </c>
    </row>
    <row r="3040" s="1" customFormat="1" spans="1:21">
      <c r="A3040" s="1" t="str">
        <f>"4601992057584"</f>
        <v>4601992057584</v>
      </c>
      <c r="B3040" s="1" t="s">
        <v>3063</v>
      </c>
      <c r="C3040" s="1" t="s">
        <v>24</v>
      </c>
      <c r="D3040" s="1" t="str">
        <f t="shared" si="6103"/>
        <v>2021</v>
      </c>
      <c r="E3040" s="1" t="str">
        <f>"290.16"</f>
        <v>290.16</v>
      </c>
      <c r="F3040" s="1" t="str">
        <f t="shared" ref="F3040:I3040" si="6166">"0"</f>
        <v>0</v>
      </c>
      <c r="G3040" s="1" t="str">
        <f t="shared" si="6166"/>
        <v>0</v>
      </c>
      <c r="H3040" s="1" t="str">
        <f t="shared" si="6166"/>
        <v>0</v>
      </c>
      <c r="I3040" s="1" t="str">
        <f t="shared" si="6166"/>
        <v>0</v>
      </c>
      <c r="J3040" s="1" t="str">
        <f>"13"</f>
        <v>13</v>
      </c>
      <c r="K3040" s="1" t="str">
        <f t="shared" ref="K3040:P3040" si="6167">"0"</f>
        <v>0</v>
      </c>
      <c r="L3040" s="1" t="str">
        <f t="shared" si="6167"/>
        <v>0</v>
      </c>
      <c r="M3040" s="1" t="str">
        <f t="shared" si="6167"/>
        <v>0</v>
      </c>
      <c r="N3040" s="1" t="str">
        <f t="shared" si="6167"/>
        <v>0</v>
      </c>
      <c r="O3040" s="1" t="str">
        <f t="shared" si="6167"/>
        <v>0</v>
      </c>
      <c r="P3040" s="1" t="str">
        <f t="shared" si="6167"/>
        <v>0</v>
      </c>
      <c r="Q3040" s="1" t="str">
        <f t="shared" si="6106"/>
        <v>0.0070</v>
      </c>
      <c r="R3040" s="1" t="s">
        <v>29</v>
      </c>
      <c r="S3040" s="1">
        <v>-0.0014</v>
      </c>
      <c r="T3040" s="1" t="str">
        <f t="shared" si="6107"/>
        <v>0</v>
      </c>
      <c r="U3040" s="1" t="str">
        <f t="shared" ref="U3040:U3043" si="6168">"0.0056"</f>
        <v>0.0056</v>
      </c>
    </row>
    <row r="3041" s="1" customFormat="1" spans="1:21">
      <c r="A3041" s="1" t="str">
        <f>"4601992057598"</f>
        <v>4601992057598</v>
      </c>
      <c r="B3041" s="1" t="s">
        <v>3064</v>
      </c>
      <c r="C3041" s="1" t="s">
        <v>24</v>
      </c>
      <c r="D3041" s="1" t="str">
        <f t="shared" si="6103"/>
        <v>2021</v>
      </c>
      <c r="E3041" s="1" t="str">
        <f>"12.09"</f>
        <v>12.09</v>
      </c>
      <c r="F3041" s="1" t="str">
        <f t="shared" ref="F3041:I3041" si="6169">"0"</f>
        <v>0</v>
      </c>
      <c r="G3041" s="1" t="str">
        <f t="shared" si="6169"/>
        <v>0</v>
      </c>
      <c r="H3041" s="1" t="str">
        <f t="shared" si="6169"/>
        <v>0</v>
      </c>
      <c r="I3041" s="1" t="str">
        <f t="shared" si="6169"/>
        <v>0</v>
      </c>
      <c r="J3041" s="1" t="str">
        <f>"1"</f>
        <v>1</v>
      </c>
      <c r="K3041" s="1" t="str">
        <f t="shared" ref="K3041:P3041" si="6170">"0"</f>
        <v>0</v>
      </c>
      <c r="L3041" s="1" t="str">
        <f t="shared" si="6170"/>
        <v>0</v>
      </c>
      <c r="M3041" s="1" t="str">
        <f t="shared" si="6170"/>
        <v>0</v>
      </c>
      <c r="N3041" s="1" t="str">
        <f t="shared" si="6170"/>
        <v>0</v>
      </c>
      <c r="O3041" s="1" t="str">
        <f t="shared" si="6170"/>
        <v>0</v>
      </c>
      <c r="P3041" s="1" t="str">
        <f t="shared" si="6170"/>
        <v>0</v>
      </c>
      <c r="Q3041" s="1" t="str">
        <f t="shared" si="6106"/>
        <v>0.0070</v>
      </c>
      <c r="R3041" s="1" t="s">
        <v>29</v>
      </c>
      <c r="S3041" s="1">
        <v>-0.0014</v>
      </c>
      <c r="T3041" s="1" t="str">
        <f t="shared" si="6107"/>
        <v>0</v>
      </c>
      <c r="U3041" s="1" t="str">
        <f t="shared" si="6168"/>
        <v>0.0056</v>
      </c>
    </row>
    <row r="3042" s="1" customFormat="1" spans="1:21">
      <c r="A3042" s="1" t="str">
        <f>"4601992057707"</f>
        <v>4601992057707</v>
      </c>
      <c r="B3042" s="1" t="s">
        <v>3065</v>
      </c>
      <c r="C3042" s="1" t="s">
        <v>24</v>
      </c>
      <c r="D3042" s="1" t="str">
        <f t="shared" si="6103"/>
        <v>2021</v>
      </c>
      <c r="E3042" s="1" t="str">
        <f t="shared" ref="E3042:P3042" si="6171">"0"</f>
        <v>0</v>
      </c>
      <c r="F3042" s="1" t="str">
        <f t="shared" si="6171"/>
        <v>0</v>
      </c>
      <c r="G3042" s="1" t="str">
        <f t="shared" si="6171"/>
        <v>0</v>
      </c>
      <c r="H3042" s="1" t="str">
        <f t="shared" si="6171"/>
        <v>0</v>
      </c>
      <c r="I3042" s="1" t="str">
        <f t="shared" si="6171"/>
        <v>0</v>
      </c>
      <c r="J3042" s="1" t="str">
        <f t="shared" si="6171"/>
        <v>0</v>
      </c>
      <c r="K3042" s="1" t="str">
        <f t="shared" si="6171"/>
        <v>0</v>
      </c>
      <c r="L3042" s="1" t="str">
        <f t="shared" si="6171"/>
        <v>0</v>
      </c>
      <c r="M3042" s="1" t="str">
        <f t="shared" si="6171"/>
        <v>0</v>
      </c>
      <c r="N3042" s="1" t="str">
        <f t="shared" si="6171"/>
        <v>0</v>
      </c>
      <c r="O3042" s="1" t="str">
        <f t="shared" si="6171"/>
        <v>0</v>
      </c>
      <c r="P3042" s="1" t="str">
        <f t="shared" si="6171"/>
        <v>0</v>
      </c>
      <c r="Q3042" s="1" t="str">
        <f t="shared" si="6106"/>
        <v>0.0070</v>
      </c>
      <c r="R3042" s="1" t="s">
        <v>25</v>
      </c>
      <c r="T3042" s="1" t="str">
        <f t="shared" si="6107"/>
        <v>0</v>
      </c>
      <c r="U3042" s="1" t="str">
        <f t="shared" si="6165"/>
        <v>0.0070</v>
      </c>
    </row>
    <row r="3043" s="1" customFormat="1" spans="1:21">
      <c r="A3043" s="1" t="str">
        <f>"4601992057604"</f>
        <v>4601992057604</v>
      </c>
      <c r="B3043" s="1" t="s">
        <v>3066</v>
      </c>
      <c r="C3043" s="1" t="s">
        <v>24</v>
      </c>
      <c r="D3043" s="1" t="str">
        <f t="shared" si="6103"/>
        <v>2021</v>
      </c>
      <c r="E3043" s="1" t="str">
        <f t="shared" ref="E3043:E3046" si="6172">"24.18"</f>
        <v>24.18</v>
      </c>
      <c r="F3043" s="1" t="str">
        <f t="shared" ref="F3043:I3043" si="6173">"0"</f>
        <v>0</v>
      </c>
      <c r="G3043" s="1" t="str">
        <f t="shared" si="6173"/>
        <v>0</v>
      </c>
      <c r="H3043" s="1" t="str">
        <f t="shared" si="6173"/>
        <v>0</v>
      </c>
      <c r="I3043" s="1" t="str">
        <f t="shared" si="6173"/>
        <v>0</v>
      </c>
      <c r="J3043" s="1" t="str">
        <f>"2"</f>
        <v>2</v>
      </c>
      <c r="K3043" s="1" t="str">
        <f t="shared" ref="K3043:P3043" si="6174">"0"</f>
        <v>0</v>
      </c>
      <c r="L3043" s="1" t="str">
        <f t="shared" si="6174"/>
        <v>0</v>
      </c>
      <c r="M3043" s="1" t="str">
        <f t="shared" si="6174"/>
        <v>0</v>
      </c>
      <c r="N3043" s="1" t="str">
        <f t="shared" si="6174"/>
        <v>0</v>
      </c>
      <c r="O3043" s="1" t="str">
        <f t="shared" si="6174"/>
        <v>0</v>
      </c>
      <c r="P3043" s="1" t="str">
        <f t="shared" si="6174"/>
        <v>0</v>
      </c>
      <c r="Q3043" s="1" t="str">
        <f t="shared" si="6106"/>
        <v>0.0070</v>
      </c>
      <c r="R3043" s="1" t="s">
        <v>29</v>
      </c>
      <c r="S3043" s="1">
        <v>-0.0014</v>
      </c>
      <c r="T3043" s="1" t="str">
        <f t="shared" si="6107"/>
        <v>0</v>
      </c>
      <c r="U3043" s="1" t="str">
        <f t="shared" si="6168"/>
        <v>0.0056</v>
      </c>
    </row>
    <row r="3044" s="1" customFormat="1" spans="1:21">
      <c r="A3044" s="1" t="str">
        <f>"4601992057613"</f>
        <v>4601992057613</v>
      </c>
      <c r="B3044" s="1" t="s">
        <v>3067</v>
      </c>
      <c r="C3044" s="1" t="s">
        <v>24</v>
      </c>
      <c r="D3044" s="1" t="str">
        <f t="shared" si="6103"/>
        <v>2021</v>
      </c>
      <c r="E3044" s="1" t="str">
        <f t="shared" ref="E3044:I3044" si="6175">"0"</f>
        <v>0</v>
      </c>
      <c r="F3044" s="1" t="str">
        <f t="shared" si="6175"/>
        <v>0</v>
      </c>
      <c r="G3044" s="1" t="str">
        <f t="shared" si="6175"/>
        <v>0</v>
      </c>
      <c r="H3044" s="1" t="str">
        <f t="shared" si="6175"/>
        <v>0</v>
      </c>
      <c r="I3044" s="1" t="str">
        <f t="shared" si="6175"/>
        <v>0</v>
      </c>
      <c r="J3044" s="1" t="str">
        <f>"3"</f>
        <v>3</v>
      </c>
      <c r="K3044" s="1" t="str">
        <f t="shared" ref="K3044:P3044" si="6176">"0"</f>
        <v>0</v>
      </c>
      <c r="L3044" s="1" t="str">
        <f t="shared" si="6176"/>
        <v>0</v>
      </c>
      <c r="M3044" s="1" t="str">
        <f t="shared" si="6176"/>
        <v>0</v>
      </c>
      <c r="N3044" s="1" t="str">
        <f t="shared" si="6176"/>
        <v>0</v>
      </c>
      <c r="O3044" s="1" t="str">
        <f t="shared" si="6176"/>
        <v>0</v>
      </c>
      <c r="P3044" s="1" t="str">
        <f t="shared" si="6176"/>
        <v>0</v>
      </c>
      <c r="Q3044" s="1" t="str">
        <f t="shared" si="6106"/>
        <v>0.0070</v>
      </c>
      <c r="R3044" s="1" t="s">
        <v>25</v>
      </c>
      <c r="T3044" s="1" t="str">
        <f t="shared" si="6107"/>
        <v>0</v>
      </c>
      <c r="U3044" s="1" t="str">
        <f t="shared" si="6165"/>
        <v>0.0070</v>
      </c>
    </row>
    <row r="3045" s="1" customFormat="1" spans="1:21">
      <c r="A3045" s="1" t="str">
        <f>"4601992057718"</f>
        <v>4601992057718</v>
      </c>
      <c r="B3045" s="1" t="s">
        <v>3068</v>
      </c>
      <c r="C3045" s="1" t="s">
        <v>24</v>
      </c>
      <c r="D3045" s="1" t="str">
        <f t="shared" si="6103"/>
        <v>2021</v>
      </c>
      <c r="E3045" s="1" t="str">
        <f t="shared" si="6172"/>
        <v>24.18</v>
      </c>
      <c r="F3045" s="1" t="str">
        <f t="shared" ref="F3045:I3045" si="6177">"0"</f>
        <v>0</v>
      </c>
      <c r="G3045" s="1" t="str">
        <f t="shared" si="6177"/>
        <v>0</v>
      </c>
      <c r="H3045" s="1" t="str">
        <f t="shared" si="6177"/>
        <v>0</v>
      </c>
      <c r="I3045" s="1" t="str">
        <f t="shared" si="6177"/>
        <v>0</v>
      </c>
      <c r="J3045" s="1" t="str">
        <f>"2"</f>
        <v>2</v>
      </c>
      <c r="K3045" s="1" t="str">
        <f t="shared" ref="K3045:P3045" si="6178">"0"</f>
        <v>0</v>
      </c>
      <c r="L3045" s="1" t="str">
        <f t="shared" si="6178"/>
        <v>0</v>
      </c>
      <c r="M3045" s="1" t="str">
        <f t="shared" si="6178"/>
        <v>0</v>
      </c>
      <c r="N3045" s="1" t="str">
        <f t="shared" si="6178"/>
        <v>0</v>
      </c>
      <c r="O3045" s="1" t="str">
        <f t="shared" si="6178"/>
        <v>0</v>
      </c>
      <c r="P3045" s="1" t="str">
        <f t="shared" si="6178"/>
        <v>0</v>
      </c>
      <c r="Q3045" s="1" t="str">
        <f t="shared" si="6106"/>
        <v>0.0070</v>
      </c>
      <c r="R3045" s="1" t="s">
        <v>29</v>
      </c>
      <c r="S3045" s="1">
        <v>-0.0014</v>
      </c>
      <c r="T3045" s="1" t="str">
        <f t="shared" si="6107"/>
        <v>0</v>
      </c>
      <c r="U3045" s="1" t="str">
        <f t="shared" ref="U3045:U3048" si="6179">"0.0056"</f>
        <v>0.0056</v>
      </c>
    </row>
    <row r="3046" s="1" customFormat="1" spans="1:21">
      <c r="A3046" s="1" t="str">
        <f>"4601992057726"</f>
        <v>4601992057726</v>
      </c>
      <c r="B3046" s="1" t="s">
        <v>3069</v>
      </c>
      <c r="C3046" s="1" t="s">
        <v>24</v>
      </c>
      <c r="D3046" s="1" t="str">
        <f t="shared" si="6103"/>
        <v>2021</v>
      </c>
      <c r="E3046" s="1" t="str">
        <f t="shared" si="6172"/>
        <v>24.18</v>
      </c>
      <c r="F3046" s="1" t="str">
        <f t="shared" ref="F3046:I3046" si="6180">"0"</f>
        <v>0</v>
      </c>
      <c r="G3046" s="1" t="str">
        <f t="shared" si="6180"/>
        <v>0</v>
      </c>
      <c r="H3046" s="1" t="str">
        <f t="shared" si="6180"/>
        <v>0</v>
      </c>
      <c r="I3046" s="1" t="str">
        <f t="shared" si="6180"/>
        <v>0</v>
      </c>
      <c r="J3046" s="1" t="str">
        <f>"3"</f>
        <v>3</v>
      </c>
      <c r="K3046" s="1" t="str">
        <f t="shared" ref="K3046:P3046" si="6181">"0"</f>
        <v>0</v>
      </c>
      <c r="L3046" s="1" t="str">
        <f t="shared" si="6181"/>
        <v>0</v>
      </c>
      <c r="M3046" s="1" t="str">
        <f t="shared" si="6181"/>
        <v>0</v>
      </c>
      <c r="N3046" s="1" t="str">
        <f t="shared" si="6181"/>
        <v>0</v>
      </c>
      <c r="O3046" s="1" t="str">
        <f t="shared" si="6181"/>
        <v>0</v>
      </c>
      <c r="P3046" s="1" t="str">
        <f t="shared" si="6181"/>
        <v>0</v>
      </c>
      <c r="Q3046" s="1" t="str">
        <f t="shared" si="6106"/>
        <v>0.0070</v>
      </c>
      <c r="R3046" s="1" t="s">
        <v>29</v>
      </c>
      <c r="S3046" s="1">
        <v>-0.0014</v>
      </c>
      <c r="T3046" s="1" t="str">
        <f t="shared" si="6107"/>
        <v>0</v>
      </c>
      <c r="U3046" s="1" t="str">
        <f t="shared" si="6179"/>
        <v>0.0056</v>
      </c>
    </row>
    <row r="3047" s="1" customFormat="1" spans="1:21">
      <c r="A3047" s="1" t="str">
        <f>"4601992057689"</f>
        <v>4601992057689</v>
      </c>
      <c r="B3047" s="1" t="s">
        <v>3070</v>
      </c>
      <c r="C3047" s="1" t="s">
        <v>24</v>
      </c>
      <c r="D3047" s="1" t="str">
        <f t="shared" si="6103"/>
        <v>2021</v>
      </c>
      <c r="E3047" s="1" t="str">
        <f>"84.94"</f>
        <v>84.94</v>
      </c>
      <c r="F3047" s="1" t="str">
        <f t="shared" ref="F3047:I3047" si="6182">"0"</f>
        <v>0</v>
      </c>
      <c r="G3047" s="1" t="str">
        <f t="shared" si="6182"/>
        <v>0</v>
      </c>
      <c r="H3047" s="1" t="str">
        <f t="shared" si="6182"/>
        <v>0</v>
      </c>
      <c r="I3047" s="1" t="str">
        <f t="shared" si="6182"/>
        <v>0</v>
      </c>
      <c r="J3047" s="1" t="str">
        <f>"4"</f>
        <v>4</v>
      </c>
      <c r="K3047" s="1" t="str">
        <f t="shared" ref="K3047:P3047" si="6183">"0"</f>
        <v>0</v>
      </c>
      <c r="L3047" s="1" t="str">
        <f t="shared" si="6183"/>
        <v>0</v>
      </c>
      <c r="M3047" s="1" t="str">
        <f t="shared" si="6183"/>
        <v>0</v>
      </c>
      <c r="N3047" s="1" t="str">
        <f t="shared" si="6183"/>
        <v>0</v>
      </c>
      <c r="O3047" s="1" t="str">
        <f t="shared" si="6183"/>
        <v>0</v>
      </c>
      <c r="P3047" s="1" t="str">
        <f t="shared" si="6183"/>
        <v>0</v>
      </c>
      <c r="Q3047" s="1" t="str">
        <f t="shared" si="6106"/>
        <v>0.0070</v>
      </c>
      <c r="R3047" s="1" t="s">
        <v>29</v>
      </c>
      <c r="S3047" s="1">
        <v>-0.0014</v>
      </c>
      <c r="T3047" s="1" t="str">
        <f t="shared" si="6107"/>
        <v>0</v>
      </c>
      <c r="U3047" s="1" t="str">
        <f t="shared" si="6179"/>
        <v>0.0056</v>
      </c>
    </row>
    <row r="3048" s="1" customFormat="1" spans="1:21">
      <c r="A3048" s="1" t="str">
        <f>"4601992057746"</f>
        <v>4601992057746</v>
      </c>
      <c r="B3048" s="1" t="s">
        <v>3071</v>
      </c>
      <c r="C3048" s="1" t="s">
        <v>24</v>
      </c>
      <c r="D3048" s="1" t="str">
        <f t="shared" si="6103"/>
        <v>2021</v>
      </c>
      <c r="E3048" s="1" t="str">
        <f>"81.28"</f>
        <v>81.28</v>
      </c>
      <c r="F3048" s="1" t="str">
        <f t="shared" ref="F3048:I3048" si="6184">"0"</f>
        <v>0</v>
      </c>
      <c r="G3048" s="1" t="str">
        <f t="shared" si="6184"/>
        <v>0</v>
      </c>
      <c r="H3048" s="1" t="str">
        <f t="shared" si="6184"/>
        <v>0</v>
      </c>
      <c r="I3048" s="1" t="str">
        <f t="shared" si="6184"/>
        <v>0</v>
      </c>
      <c r="J3048" s="1" t="str">
        <f>"4"</f>
        <v>4</v>
      </c>
      <c r="K3048" s="1" t="str">
        <f t="shared" ref="K3048:P3048" si="6185">"0"</f>
        <v>0</v>
      </c>
      <c r="L3048" s="1" t="str">
        <f t="shared" si="6185"/>
        <v>0</v>
      </c>
      <c r="M3048" s="1" t="str">
        <f t="shared" si="6185"/>
        <v>0</v>
      </c>
      <c r="N3048" s="1" t="str">
        <f t="shared" si="6185"/>
        <v>0</v>
      </c>
      <c r="O3048" s="1" t="str">
        <f t="shared" si="6185"/>
        <v>0</v>
      </c>
      <c r="P3048" s="1" t="str">
        <f t="shared" si="6185"/>
        <v>0</v>
      </c>
      <c r="Q3048" s="1" t="str">
        <f t="shared" si="6106"/>
        <v>0.0070</v>
      </c>
      <c r="R3048" s="1" t="s">
        <v>29</v>
      </c>
      <c r="S3048" s="1">
        <v>-0.0014</v>
      </c>
      <c r="T3048" s="1" t="str">
        <f t="shared" si="6107"/>
        <v>0</v>
      </c>
      <c r="U3048" s="1" t="str">
        <f t="shared" si="6179"/>
        <v>0.0056</v>
      </c>
    </row>
    <row r="3049" s="1" customFormat="1" spans="1:21">
      <c r="A3049" s="1" t="str">
        <f>"4601992057807"</f>
        <v>4601992057807</v>
      </c>
      <c r="B3049" s="1" t="s">
        <v>3072</v>
      </c>
      <c r="C3049" s="1" t="s">
        <v>24</v>
      </c>
      <c r="D3049" s="1" t="str">
        <f t="shared" si="6103"/>
        <v>2021</v>
      </c>
      <c r="E3049" s="1" t="str">
        <f t="shared" ref="E3049:E3054" si="6186">"12.09"</f>
        <v>12.09</v>
      </c>
      <c r="F3049" s="1" t="str">
        <f t="shared" ref="F3049:I3049" si="6187">"0"</f>
        <v>0</v>
      </c>
      <c r="G3049" s="1" t="str">
        <f t="shared" si="6187"/>
        <v>0</v>
      </c>
      <c r="H3049" s="1" t="str">
        <f t="shared" si="6187"/>
        <v>0</v>
      </c>
      <c r="I3049" s="1" t="str">
        <f t="shared" si="6187"/>
        <v>0</v>
      </c>
      <c r="J3049" s="1" t="str">
        <f>"1"</f>
        <v>1</v>
      </c>
      <c r="K3049" s="1" t="str">
        <f t="shared" ref="K3049:P3049" si="6188">"0"</f>
        <v>0</v>
      </c>
      <c r="L3049" s="1" t="str">
        <f t="shared" si="6188"/>
        <v>0</v>
      </c>
      <c r="M3049" s="1" t="str">
        <f t="shared" si="6188"/>
        <v>0</v>
      </c>
      <c r="N3049" s="1" t="str">
        <f t="shared" si="6188"/>
        <v>0</v>
      </c>
      <c r="O3049" s="1" t="str">
        <f t="shared" si="6188"/>
        <v>0</v>
      </c>
      <c r="P3049" s="1" t="str">
        <f t="shared" si="6188"/>
        <v>0</v>
      </c>
      <c r="Q3049" s="1" t="str">
        <f t="shared" si="6106"/>
        <v>0.0070</v>
      </c>
      <c r="R3049" s="1" t="s">
        <v>25</v>
      </c>
      <c r="T3049" s="1" t="str">
        <f t="shared" si="6107"/>
        <v>0</v>
      </c>
      <c r="U3049" s="1" t="str">
        <f>"0.0070"</f>
        <v>0.0070</v>
      </c>
    </row>
    <row r="3050" s="1" customFormat="1" spans="1:21">
      <c r="A3050" s="1" t="str">
        <f>"4601992057806"</f>
        <v>4601992057806</v>
      </c>
      <c r="B3050" s="1" t="s">
        <v>3073</v>
      </c>
      <c r="C3050" s="1" t="s">
        <v>24</v>
      </c>
      <c r="D3050" s="1" t="str">
        <f t="shared" si="6103"/>
        <v>2021</v>
      </c>
      <c r="E3050" s="1" t="str">
        <f>"24.18"</f>
        <v>24.18</v>
      </c>
      <c r="F3050" s="1" t="str">
        <f t="shared" ref="F3050:I3050" si="6189">"0"</f>
        <v>0</v>
      </c>
      <c r="G3050" s="1" t="str">
        <f t="shared" si="6189"/>
        <v>0</v>
      </c>
      <c r="H3050" s="1" t="str">
        <f t="shared" si="6189"/>
        <v>0</v>
      </c>
      <c r="I3050" s="1" t="str">
        <f t="shared" si="6189"/>
        <v>0</v>
      </c>
      <c r="J3050" s="1" t="str">
        <f t="shared" ref="J3050:J3054" si="6190">"2"</f>
        <v>2</v>
      </c>
      <c r="K3050" s="1" t="str">
        <f t="shared" ref="K3050:P3050" si="6191">"0"</f>
        <v>0</v>
      </c>
      <c r="L3050" s="1" t="str">
        <f t="shared" si="6191"/>
        <v>0</v>
      </c>
      <c r="M3050" s="1" t="str">
        <f t="shared" si="6191"/>
        <v>0</v>
      </c>
      <c r="N3050" s="1" t="str">
        <f t="shared" si="6191"/>
        <v>0</v>
      </c>
      <c r="O3050" s="1" t="str">
        <f t="shared" si="6191"/>
        <v>0</v>
      </c>
      <c r="P3050" s="1" t="str">
        <f t="shared" si="6191"/>
        <v>0</v>
      </c>
      <c r="Q3050" s="1" t="str">
        <f t="shared" si="6106"/>
        <v>0.0070</v>
      </c>
      <c r="R3050" s="1" t="s">
        <v>29</v>
      </c>
      <c r="S3050" s="1">
        <v>-0.0014</v>
      </c>
      <c r="T3050" s="1" t="str">
        <f t="shared" si="6107"/>
        <v>0</v>
      </c>
      <c r="U3050" s="1" t="str">
        <f t="shared" ref="U3050:U3052" si="6192">"0.0056"</f>
        <v>0.0056</v>
      </c>
    </row>
    <row r="3051" s="1" customFormat="1" spans="1:21">
      <c r="A3051" s="1" t="str">
        <f>"4601992057776"</f>
        <v>4601992057776</v>
      </c>
      <c r="B3051" s="1" t="s">
        <v>3074</v>
      </c>
      <c r="C3051" s="1" t="s">
        <v>24</v>
      </c>
      <c r="D3051" s="1" t="str">
        <f t="shared" si="6103"/>
        <v>2021</v>
      </c>
      <c r="E3051" s="1" t="str">
        <f t="shared" si="6186"/>
        <v>12.09</v>
      </c>
      <c r="F3051" s="1" t="str">
        <f t="shared" ref="F3051:I3051" si="6193">"0"</f>
        <v>0</v>
      </c>
      <c r="G3051" s="1" t="str">
        <f t="shared" si="6193"/>
        <v>0</v>
      </c>
      <c r="H3051" s="1" t="str">
        <f t="shared" si="6193"/>
        <v>0</v>
      </c>
      <c r="I3051" s="1" t="str">
        <f t="shared" si="6193"/>
        <v>0</v>
      </c>
      <c r="J3051" s="1" t="str">
        <f>"1"</f>
        <v>1</v>
      </c>
      <c r="K3051" s="1" t="str">
        <f t="shared" ref="K3051:P3051" si="6194">"0"</f>
        <v>0</v>
      </c>
      <c r="L3051" s="1" t="str">
        <f t="shared" si="6194"/>
        <v>0</v>
      </c>
      <c r="M3051" s="1" t="str">
        <f t="shared" si="6194"/>
        <v>0</v>
      </c>
      <c r="N3051" s="1" t="str">
        <f t="shared" si="6194"/>
        <v>0</v>
      </c>
      <c r="O3051" s="1" t="str">
        <f t="shared" si="6194"/>
        <v>0</v>
      </c>
      <c r="P3051" s="1" t="str">
        <f t="shared" si="6194"/>
        <v>0</v>
      </c>
      <c r="Q3051" s="1" t="str">
        <f t="shared" si="6106"/>
        <v>0.0070</v>
      </c>
      <c r="R3051" s="1" t="s">
        <v>29</v>
      </c>
      <c r="S3051" s="1">
        <v>-0.0014</v>
      </c>
      <c r="T3051" s="1" t="str">
        <f t="shared" si="6107"/>
        <v>0</v>
      </c>
      <c r="U3051" s="1" t="str">
        <f t="shared" si="6192"/>
        <v>0.0056</v>
      </c>
    </row>
    <row r="3052" s="1" customFormat="1" spans="1:21">
      <c r="A3052" s="1" t="str">
        <f>"4601992057780"</f>
        <v>4601992057780</v>
      </c>
      <c r="B3052" s="1" t="s">
        <v>3075</v>
      </c>
      <c r="C3052" s="1" t="s">
        <v>24</v>
      </c>
      <c r="D3052" s="1" t="str">
        <f t="shared" si="6103"/>
        <v>2021</v>
      </c>
      <c r="E3052" s="1" t="str">
        <f>"11.98"</f>
        <v>11.98</v>
      </c>
      <c r="F3052" s="1" t="str">
        <f t="shared" ref="F3052:I3052" si="6195">"0"</f>
        <v>0</v>
      </c>
      <c r="G3052" s="1" t="str">
        <f t="shared" si="6195"/>
        <v>0</v>
      </c>
      <c r="H3052" s="1" t="str">
        <f t="shared" si="6195"/>
        <v>0</v>
      </c>
      <c r="I3052" s="1" t="str">
        <f t="shared" si="6195"/>
        <v>0</v>
      </c>
      <c r="J3052" s="1" t="str">
        <f t="shared" si="6190"/>
        <v>2</v>
      </c>
      <c r="K3052" s="1" t="str">
        <f t="shared" ref="K3052:P3052" si="6196">"0"</f>
        <v>0</v>
      </c>
      <c r="L3052" s="1" t="str">
        <f t="shared" si="6196"/>
        <v>0</v>
      </c>
      <c r="M3052" s="1" t="str">
        <f t="shared" si="6196"/>
        <v>0</v>
      </c>
      <c r="N3052" s="1" t="str">
        <f t="shared" si="6196"/>
        <v>0</v>
      </c>
      <c r="O3052" s="1" t="str">
        <f t="shared" si="6196"/>
        <v>0</v>
      </c>
      <c r="P3052" s="1" t="str">
        <f t="shared" si="6196"/>
        <v>0</v>
      </c>
      <c r="Q3052" s="1" t="str">
        <f t="shared" si="6106"/>
        <v>0.0070</v>
      </c>
      <c r="R3052" s="1" t="s">
        <v>29</v>
      </c>
      <c r="S3052" s="1">
        <v>-0.0014</v>
      </c>
      <c r="T3052" s="1" t="str">
        <f t="shared" si="6107"/>
        <v>0</v>
      </c>
      <c r="U3052" s="1" t="str">
        <f t="shared" si="6192"/>
        <v>0.0056</v>
      </c>
    </row>
    <row r="3053" s="1" customFormat="1" spans="1:21">
      <c r="A3053" s="1" t="str">
        <f>"4601992058390"</f>
        <v>4601992058390</v>
      </c>
      <c r="B3053" s="1" t="s">
        <v>3076</v>
      </c>
      <c r="C3053" s="1" t="s">
        <v>24</v>
      </c>
      <c r="D3053" s="1" t="str">
        <f t="shared" si="6103"/>
        <v>2021</v>
      </c>
      <c r="E3053" s="1" t="str">
        <f t="shared" ref="E3053:P3053" si="6197">"0"</f>
        <v>0</v>
      </c>
      <c r="F3053" s="1" t="str">
        <f t="shared" si="6197"/>
        <v>0</v>
      </c>
      <c r="G3053" s="1" t="str">
        <f t="shared" si="6197"/>
        <v>0</v>
      </c>
      <c r="H3053" s="1" t="str">
        <f t="shared" si="6197"/>
        <v>0</v>
      </c>
      <c r="I3053" s="1" t="str">
        <f t="shared" si="6197"/>
        <v>0</v>
      </c>
      <c r="J3053" s="1" t="str">
        <f t="shared" si="6197"/>
        <v>0</v>
      </c>
      <c r="K3053" s="1" t="str">
        <f t="shared" si="6197"/>
        <v>0</v>
      </c>
      <c r="L3053" s="1" t="str">
        <f t="shared" si="6197"/>
        <v>0</v>
      </c>
      <c r="M3053" s="1" t="str">
        <f t="shared" si="6197"/>
        <v>0</v>
      </c>
      <c r="N3053" s="1" t="str">
        <f t="shared" si="6197"/>
        <v>0</v>
      </c>
      <c r="O3053" s="1" t="str">
        <f t="shared" si="6197"/>
        <v>0</v>
      </c>
      <c r="P3053" s="1" t="str">
        <f t="shared" si="6197"/>
        <v>0</v>
      </c>
      <c r="Q3053" s="1" t="str">
        <f t="shared" si="6106"/>
        <v>0.0070</v>
      </c>
      <c r="R3053" s="1" t="s">
        <v>25</v>
      </c>
      <c r="T3053" s="1" t="str">
        <f t="shared" si="6107"/>
        <v>0</v>
      </c>
      <c r="U3053" s="1" t="str">
        <f>"0.0070"</f>
        <v>0.0070</v>
      </c>
    </row>
    <row r="3054" s="1" customFormat="1" spans="1:21">
      <c r="A3054" s="1" t="str">
        <f>"4601992057825"</f>
        <v>4601992057825</v>
      </c>
      <c r="B3054" s="1" t="s">
        <v>3077</v>
      </c>
      <c r="C3054" s="1" t="s">
        <v>24</v>
      </c>
      <c r="D3054" s="1" t="str">
        <f t="shared" si="6103"/>
        <v>2021</v>
      </c>
      <c r="E3054" s="1" t="str">
        <f t="shared" si="6186"/>
        <v>12.09</v>
      </c>
      <c r="F3054" s="1" t="str">
        <f t="shared" ref="F3054:I3054" si="6198">"0"</f>
        <v>0</v>
      </c>
      <c r="G3054" s="1" t="str">
        <f t="shared" si="6198"/>
        <v>0</v>
      </c>
      <c r="H3054" s="1" t="str">
        <f t="shared" si="6198"/>
        <v>0</v>
      </c>
      <c r="I3054" s="1" t="str">
        <f t="shared" si="6198"/>
        <v>0</v>
      </c>
      <c r="J3054" s="1" t="str">
        <f t="shared" si="6190"/>
        <v>2</v>
      </c>
      <c r="K3054" s="1" t="str">
        <f t="shared" ref="K3054:P3054" si="6199">"0"</f>
        <v>0</v>
      </c>
      <c r="L3054" s="1" t="str">
        <f t="shared" si="6199"/>
        <v>0</v>
      </c>
      <c r="M3054" s="1" t="str">
        <f t="shared" si="6199"/>
        <v>0</v>
      </c>
      <c r="N3054" s="1" t="str">
        <f t="shared" si="6199"/>
        <v>0</v>
      </c>
      <c r="O3054" s="1" t="str">
        <f t="shared" si="6199"/>
        <v>0</v>
      </c>
      <c r="P3054" s="1" t="str">
        <f t="shared" si="6199"/>
        <v>0</v>
      </c>
      <c r="Q3054" s="1" t="str">
        <f t="shared" si="6106"/>
        <v>0.0070</v>
      </c>
      <c r="R3054" s="1" t="s">
        <v>29</v>
      </c>
      <c r="S3054" s="1">
        <v>-0.0014</v>
      </c>
      <c r="T3054" s="1" t="str">
        <f t="shared" si="6107"/>
        <v>0</v>
      </c>
      <c r="U3054" s="1" t="str">
        <f t="shared" ref="U3054:U3060" si="6200">"0.0056"</f>
        <v>0.0056</v>
      </c>
    </row>
    <row r="3055" s="1" customFormat="1" spans="1:21">
      <c r="A3055" s="1" t="str">
        <f>"4601992057859"</f>
        <v>4601992057859</v>
      </c>
      <c r="B3055" s="1" t="s">
        <v>3078</v>
      </c>
      <c r="C3055" s="1" t="s">
        <v>24</v>
      </c>
      <c r="D3055" s="1" t="str">
        <f t="shared" si="6103"/>
        <v>2021</v>
      </c>
      <c r="E3055" s="1" t="str">
        <f>"61.25"</f>
        <v>61.25</v>
      </c>
      <c r="F3055" s="1" t="str">
        <f t="shared" ref="F3055:I3055" si="6201">"0"</f>
        <v>0</v>
      </c>
      <c r="G3055" s="1" t="str">
        <f t="shared" si="6201"/>
        <v>0</v>
      </c>
      <c r="H3055" s="1" t="str">
        <f t="shared" si="6201"/>
        <v>0</v>
      </c>
      <c r="I3055" s="1" t="str">
        <f t="shared" si="6201"/>
        <v>0</v>
      </c>
      <c r="J3055" s="1" t="str">
        <f>"4"</f>
        <v>4</v>
      </c>
      <c r="K3055" s="1" t="str">
        <f t="shared" ref="K3055:P3055" si="6202">"0"</f>
        <v>0</v>
      </c>
      <c r="L3055" s="1" t="str">
        <f t="shared" si="6202"/>
        <v>0</v>
      </c>
      <c r="M3055" s="1" t="str">
        <f t="shared" si="6202"/>
        <v>0</v>
      </c>
      <c r="N3055" s="1" t="str">
        <f t="shared" si="6202"/>
        <v>0</v>
      </c>
      <c r="O3055" s="1" t="str">
        <f t="shared" si="6202"/>
        <v>0</v>
      </c>
      <c r="P3055" s="1" t="str">
        <f t="shared" si="6202"/>
        <v>0</v>
      </c>
      <c r="Q3055" s="1" t="str">
        <f t="shared" si="6106"/>
        <v>0.0070</v>
      </c>
      <c r="R3055" s="1" t="s">
        <v>29</v>
      </c>
      <c r="S3055" s="1">
        <v>-0.0014</v>
      </c>
      <c r="T3055" s="1" t="str">
        <f t="shared" si="6107"/>
        <v>0</v>
      </c>
      <c r="U3055" s="1" t="str">
        <f t="shared" si="6200"/>
        <v>0.0056</v>
      </c>
    </row>
    <row r="3056" s="1" customFormat="1" spans="1:21">
      <c r="A3056" s="1" t="str">
        <f>"4601992058360"</f>
        <v>4601992058360</v>
      </c>
      <c r="B3056" s="1" t="s">
        <v>3079</v>
      </c>
      <c r="C3056" s="1" t="s">
        <v>24</v>
      </c>
      <c r="D3056" s="1" t="str">
        <f t="shared" si="6103"/>
        <v>2021</v>
      </c>
      <c r="E3056" s="1" t="str">
        <f t="shared" ref="E3056:E3060" si="6203">"12.09"</f>
        <v>12.09</v>
      </c>
      <c r="F3056" s="1" t="str">
        <f t="shared" ref="F3056:I3056" si="6204">"0"</f>
        <v>0</v>
      </c>
      <c r="G3056" s="1" t="str">
        <f t="shared" si="6204"/>
        <v>0</v>
      </c>
      <c r="H3056" s="1" t="str">
        <f t="shared" si="6204"/>
        <v>0</v>
      </c>
      <c r="I3056" s="1" t="str">
        <f t="shared" si="6204"/>
        <v>0</v>
      </c>
      <c r="J3056" s="1" t="str">
        <f t="shared" ref="J3056:J3060" si="6205">"1"</f>
        <v>1</v>
      </c>
      <c r="K3056" s="1" t="str">
        <f t="shared" ref="K3056:P3056" si="6206">"0"</f>
        <v>0</v>
      </c>
      <c r="L3056" s="1" t="str">
        <f t="shared" si="6206"/>
        <v>0</v>
      </c>
      <c r="M3056" s="1" t="str">
        <f t="shared" si="6206"/>
        <v>0</v>
      </c>
      <c r="N3056" s="1" t="str">
        <f t="shared" si="6206"/>
        <v>0</v>
      </c>
      <c r="O3056" s="1" t="str">
        <f t="shared" si="6206"/>
        <v>0</v>
      </c>
      <c r="P3056" s="1" t="str">
        <f t="shared" si="6206"/>
        <v>0</v>
      </c>
      <c r="Q3056" s="1" t="str">
        <f t="shared" si="6106"/>
        <v>0.0070</v>
      </c>
      <c r="R3056" s="1" t="s">
        <v>29</v>
      </c>
      <c r="S3056" s="1">
        <v>-0.0014</v>
      </c>
      <c r="T3056" s="1" t="str">
        <f t="shared" si="6107"/>
        <v>0</v>
      </c>
      <c r="U3056" s="1" t="str">
        <f t="shared" si="6200"/>
        <v>0.0056</v>
      </c>
    </row>
    <row r="3057" s="1" customFormat="1" spans="1:21">
      <c r="A3057" s="1" t="str">
        <f>"4601992058425"</f>
        <v>4601992058425</v>
      </c>
      <c r="B3057" s="1" t="s">
        <v>3080</v>
      </c>
      <c r="C3057" s="1" t="s">
        <v>24</v>
      </c>
      <c r="D3057" s="1" t="str">
        <f t="shared" si="6103"/>
        <v>2021</v>
      </c>
      <c r="E3057" s="1" t="str">
        <f>"42.85"</f>
        <v>42.85</v>
      </c>
      <c r="F3057" s="1" t="str">
        <f t="shared" ref="F3057:I3057" si="6207">"0"</f>
        <v>0</v>
      </c>
      <c r="G3057" s="1" t="str">
        <f t="shared" si="6207"/>
        <v>0</v>
      </c>
      <c r="H3057" s="1" t="str">
        <f t="shared" si="6207"/>
        <v>0</v>
      </c>
      <c r="I3057" s="1" t="str">
        <f t="shared" si="6207"/>
        <v>0</v>
      </c>
      <c r="J3057" s="1" t="str">
        <f>"3"</f>
        <v>3</v>
      </c>
      <c r="K3057" s="1" t="str">
        <f t="shared" ref="K3057:P3057" si="6208">"0"</f>
        <v>0</v>
      </c>
      <c r="L3057" s="1" t="str">
        <f t="shared" si="6208"/>
        <v>0</v>
      </c>
      <c r="M3057" s="1" t="str">
        <f t="shared" si="6208"/>
        <v>0</v>
      </c>
      <c r="N3057" s="1" t="str">
        <f t="shared" si="6208"/>
        <v>0</v>
      </c>
      <c r="O3057" s="1" t="str">
        <f t="shared" si="6208"/>
        <v>0</v>
      </c>
      <c r="P3057" s="1" t="str">
        <f t="shared" si="6208"/>
        <v>0</v>
      </c>
      <c r="Q3057" s="1" t="str">
        <f t="shared" si="6106"/>
        <v>0.0070</v>
      </c>
      <c r="R3057" s="1" t="s">
        <v>29</v>
      </c>
      <c r="S3057" s="1">
        <v>-0.0014</v>
      </c>
      <c r="T3057" s="1" t="str">
        <f t="shared" si="6107"/>
        <v>0</v>
      </c>
      <c r="U3057" s="1" t="str">
        <f t="shared" si="6200"/>
        <v>0.0056</v>
      </c>
    </row>
    <row r="3058" s="1" customFormat="1" spans="1:21">
      <c r="A3058" s="1" t="str">
        <f>"4601992058408"</f>
        <v>4601992058408</v>
      </c>
      <c r="B3058" s="1" t="s">
        <v>3081</v>
      </c>
      <c r="C3058" s="1" t="s">
        <v>24</v>
      </c>
      <c r="D3058" s="1" t="str">
        <f t="shared" si="6103"/>
        <v>2021</v>
      </c>
      <c r="E3058" s="1" t="str">
        <f t="shared" si="6203"/>
        <v>12.09</v>
      </c>
      <c r="F3058" s="1" t="str">
        <f t="shared" ref="F3058:I3058" si="6209">"0"</f>
        <v>0</v>
      </c>
      <c r="G3058" s="1" t="str">
        <f t="shared" si="6209"/>
        <v>0</v>
      </c>
      <c r="H3058" s="1" t="str">
        <f t="shared" si="6209"/>
        <v>0</v>
      </c>
      <c r="I3058" s="1" t="str">
        <f t="shared" si="6209"/>
        <v>0</v>
      </c>
      <c r="J3058" s="1" t="str">
        <f t="shared" si="6205"/>
        <v>1</v>
      </c>
      <c r="K3058" s="1" t="str">
        <f t="shared" ref="K3058:P3058" si="6210">"0"</f>
        <v>0</v>
      </c>
      <c r="L3058" s="1" t="str">
        <f t="shared" si="6210"/>
        <v>0</v>
      </c>
      <c r="M3058" s="1" t="str">
        <f t="shared" si="6210"/>
        <v>0</v>
      </c>
      <c r="N3058" s="1" t="str">
        <f t="shared" si="6210"/>
        <v>0</v>
      </c>
      <c r="O3058" s="1" t="str">
        <f t="shared" si="6210"/>
        <v>0</v>
      </c>
      <c r="P3058" s="1" t="str">
        <f t="shared" si="6210"/>
        <v>0</v>
      </c>
      <c r="Q3058" s="1" t="str">
        <f t="shared" si="6106"/>
        <v>0.0070</v>
      </c>
      <c r="R3058" s="1" t="s">
        <v>29</v>
      </c>
      <c r="S3058" s="1">
        <v>-0.0014</v>
      </c>
      <c r="T3058" s="1" t="str">
        <f t="shared" si="6107"/>
        <v>0</v>
      </c>
      <c r="U3058" s="1" t="str">
        <f t="shared" si="6200"/>
        <v>0.0056</v>
      </c>
    </row>
    <row r="3059" s="1" customFormat="1" spans="1:21">
      <c r="A3059" s="1" t="str">
        <f>"4601992058433"</f>
        <v>4601992058433</v>
      </c>
      <c r="B3059" s="1" t="s">
        <v>3082</v>
      </c>
      <c r="C3059" s="1" t="s">
        <v>24</v>
      </c>
      <c r="D3059" s="1" t="str">
        <f t="shared" si="6103"/>
        <v>2021</v>
      </c>
      <c r="E3059" s="1" t="str">
        <f>"35.94"</f>
        <v>35.94</v>
      </c>
      <c r="F3059" s="1" t="str">
        <f t="shared" ref="F3059:I3059" si="6211">"0"</f>
        <v>0</v>
      </c>
      <c r="G3059" s="1" t="str">
        <f t="shared" si="6211"/>
        <v>0</v>
      </c>
      <c r="H3059" s="1" t="str">
        <f t="shared" si="6211"/>
        <v>0</v>
      </c>
      <c r="I3059" s="1" t="str">
        <f t="shared" si="6211"/>
        <v>0</v>
      </c>
      <c r="J3059" s="1" t="str">
        <f>"9"</f>
        <v>9</v>
      </c>
      <c r="K3059" s="1" t="str">
        <f t="shared" ref="K3059:P3059" si="6212">"0"</f>
        <v>0</v>
      </c>
      <c r="L3059" s="1" t="str">
        <f t="shared" si="6212"/>
        <v>0</v>
      </c>
      <c r="M3059" s="1" t="str">
        <f t="shared" si="6212"/>
        <v>0</v>
      </c>
      <c r="N3059" s="1" t="str">
        <f t="shared" si="6212"/>
        <v>0</v>
      </c>
      <c r="O3059" s="1" t="str">
        <f t="shared" si="6212"/>
        <v>0</v>
      </c>
      <c r="P3059" s="1" t="str">
        <f t="shared" si="6212"/>
        <v>0</v>
      </c>
      <c r="Q3059" s="1" t="str">
        <f t="shared" si="6106"/>
        <v>0.0070</v>
      </c>
      <c r="R3059" s="1" t="s">
        <v>29</v>
      </c>
      <c r="S3059" s="1">
        <v>-0.0014</v>
      </c>
      <c r="T3059" s="1" t="str">
        <f t="shared" si="6107"/>
        <v>0</v>
      </c>
      <c r="U3059" s="1" t="str">
        <f t="shared" si="6200"/>
        <v>0.0056</v>
      </c>
    </row>
    <row r="3060" s="1" customFormat="1" spans="1:21">
      <c r="A3060" s="1" t="str">
        <f>"4601992058472"</f>
        <v>4601992058472</v>
      </c>
      <c r="B3060" s="1" t="s">
        <v>3083</v>
      </c>
      <c r="C3060" s="1" t="s">
        <v>24</v>
      </c>
      <c r="D3060" s="1" t="str">
        <f t="shared" si="6103"/>
        <v>2021</v>
      </c>
      <c r="E3060" s="1" t="str">
        <f t="shared" si="6203"/>
        <v>12.09</v>
      </c>
      <c r="F3060" s="1" t="str">
        <f t="shared" ref="F3060:I3060" si="6213">"0"</f>
        <v>0</v>
      </c>
      <c r="G3060" s="1" t="str">
        <f t="shared" si="6213"/>
        <v>0</v>
      </c>
      <c r="H3060" s="1" t="str">
        <f t="shared" si="6213"/>
        <v>0</v>
      </c>
      <c r="I3060" s="1" t="str">
        <f t="shared" si="6213"/>
        <v>0</v>
      </c>
      <c r="J3060" s="1" t="str">
        <f t="shared" si="6205"/>
        <v>1</v>
      </c>
      <c r="K3060" s="1" t="str">
        <f t="shared" ref="K3060:P3060" si="6214">"0"</f>
        <v>0</v>
      </c>
      <c r="L3060" s="1" t="str">
        <f t="shared" si="6214"/>
        <v>0</v>
      </c>
      <c r="M3060" s="1" t="str">
        <f t="shared" si="6214"/>
        <v>0</v>
      </c>
      <c r="N3060" s="1" t="str">
        <f t="shared" si="6214"/>
        <v>0</v>
      </c>
      <c r="O3060" s="1" t="str">
        <f t="shared" si="6214"/>
        <v>0</v>
      </c>
      <c r="P3060" s="1" t="str">
        <f t="shared" si="6214"/>
        <v>0</v>
      </c>
      <c r="Q3060" s="1" t="str">
        <f t="shared" si="6106"/>
        <v>0.0070</v>
      </c>
      <c r="R3060" s="1" t="s">
        <v>29</v>
      </c>
      <c r="S3060" s="1">
        <v>-0.0014</v>
      </c>
      <c r="T3060" s="1" t="str">
        <f t="shared" si="6107"/>
        <v>0</v>
      </c>
      <c r="U3060" s="1" t="str">
        <f t="shared" si="6200"/>
        <v>0.0056</v>
      </c>
    </row>
    <row r="3061" s="1" customFormat="1" spans="1:21">
      <c r="A3061" s="1" t="str">
        <f>"4601992058497"</f>
        <v>4601992058497</v>
      </c>
      <c r="B3061" s="1" t="s">
        <v>3084</v>
      </c>
      <c r="C3061" s="1" t="s">
        <v>24</v>
      </c>
      <c r="D3061" s="1" t="str">
        <f t="shared" si="6103"/>
        <v>2021</v>
      </c>
      <c r="E3061" s="1" t="str">
        <f t="shared" ref="E3061:P3061" si="6215">"0"</f>
        <v>0</v>
      </c>
      <c r="F3061" s="1" t="str">
        <f t="shared" si="6215"/>
        <v>0</v>
      </c>
      <c r="G3061" s="1" t="str">
        <f t="shared" si="6215"/>
        <v>0</v>
      </c>
      <c r="H3061" s="1" t="str">
        <f t="shared" si="6215"/>
        <v>0</v>
      </c>
      <c r="I3061" s="1" t="str">
        <f t="shared" si="6215"/>
        <v>0</v>
      </c>
      <c r="J3061" s="1" t="str">
        <f t="shared" si="6215"/>
        <v>0</v>
      </c>
      <c r="K3061" s="1" t="str">
        <f t="shared" si="6215"/>
        <v>0</v>
      </c>
      <c r="L3061" s="1" t="str">
        <f t="shared" si="6215"/>
        <v>0</v>
      </c>
      <c r="M3061" s="1" t="str">
        <f t="shared" si="6215"/>
        <v>0</v>
      </c>
      <c r="N3061" s="1" t="str">
        <f t="shared" si="6215"/>
        <v>0</v>
      </c>
      <c r="O3061" s="1" t="str">
        <f t="shared" si="6215"/>
        <v>0</v>
      </c>
      <c r="P3061" s="1" t="str">
        <f t="shared" si="6215"/>
        <v>0</v>
      </c>
      <c r="Q3061" s="1" t="str">
        <f t="shared" si="6106"/>
        <v>0.0070</v>
      </c>
      <c r="R3061" s="1" t="s">
        <v>25</v>
      </c>
      <c r="T3061" s="1" t="str">
        <f t="shared" si="6107"/>
        <v>0</v>
      </c>
      <c r="U3061" s="1" t="str">
        <f>"0.0070"</f>
        <v>0.0070</v>
      </c>
    </row>
    <row r="3062" s="1" customFormat="1" spans="1:21">
      <c r="A3062" s="1" t="str">
        <f>"4601992058509"</f>
        <v>4601992058509</v>
      </c>
      <c r="B3062" s="1" t="s">
        <v>3085</v>
      </c>
      <c r="C3062" s="1" t="s">
        <v>24</v>
      </c>
      <c r="D3062" s="1" t="str">
        <f t="shared" si="6103"/>
        <v>2021</v>
      </c>
      <c r="E3062" s="1" t="str">
        <f>"132.20"</f>
        <v>132.20</v>
      </c>
      <c r="F3062" s="1" t="str">
        <f t="shared" ref="F3062:I3062" si="6216">"0"</f>
        <v>0</v>
      </c>
      <c r="G3062" s="1" t="str">
        <f t="shared" si="6216"/>
        <v>0</v>
      </c>
      <c r="H3062" s="1" t="str">
        <f t="shared" si="6216"/>
        <v>0</v>
      </c>
      <c r="I3062" s="1" t="str">
        <f t="shared" si="6216"/>
        <v>0</v>
      </c>
      <c r="J3062" s="1" t="str">
        <f>"4"</f>
        <v>4</v>
      </c>
      <c r="K3062" s="1" t="str">
        <f t="shared" ref="K3062:P3062" si="6217">"0"</f>
        <v>0</v>
      </c>
      <c r="L3062" s="1" t="str">
        <f t="shared" si="6217"/>
        <v>0</v>
      </c>
      <c r="M3062" s="1" t="str">
        <f t="shared" si="6217"/>
        <v>0</v>
      </c>
      <c r="N3062" s="1" t="str">
        <f t="shared" si="6217"/>
        <v>0</v>
      </c>
      <c r="O3062" s="1" t="str">
        <f t="shared" si="6217"/>
        <v>0</v>
      </c>
      <c r="P3062" s="1" t="str">
        <f t="shared" si="6217"/>
        <v>0</v>
      </c>
      <c r="Q3062" s="1" t="str">
        <f t="shared" si="6106"/>
        <v>0.0070</v>
      </c>
      <c r="R3062" s="1" t="s">
        <v>29</v>
      </c>
      <c r="S3062" s="1">
        <v>-0.0014</v>
      </c>
      <c r="T3062" s="1" t="str">
        <f t="shared" si="6107"/>
        <v>0</v>
      </c>
      <c r="U3062" s="1" t="str">
        <f t="shared" ref="U3062:U3069" si="6218">"0.0056"</f>
        <v>0.0056</v>
      </c>
    </row>
    <row r="3063" s="1" customFormat="1" spans="1:21">
      <c r="A3063" s="1" t="str">
        <f>"4601992058520"</f>
        <v>4601992058520</v>
      </c>
      <c r="B3063" s="1" t="s">
        <v>3086</v>
      </c>
      <c r="C3063" s="1" t="s">
        <v>24</v>
      </c>
      <c r="D3063" s="1" t="str">
        <f t="shared" si="6103"/>
        <v>2021</v>
      </c>
      <c r="E3063" s="1" t="str">
        <f>"84.63"</f>
        <v>84.63</v>
      </c>
      <c r="F3063" s="1" t="str">
        <f t="shared" ref="F3063:I3063" si="6219">"0"</f>
        <v>0</v>
      </c>
      <c r="G3063" s="1" t="str">
        <f t="shared" si="6219"/>
        <v>0</v>
      </c>
      <c r="H3063" s="1" t="str">
        <f t="shared" si="6219"/>
        <v>0</v>
      </c>
      <c r="I3063" s="1" t="str">
        <f t="shared" si="6219"/>
        <v>0</v>
      </c>
      <c r="J3063" s="1" t="str">
        <f>"7"</f>
        <v>7</v>
      </c>
      <c r="K3063" s="1" t="str">
        <f t="shared" ref="K3063:P3063" si="6220">"0"</f>
        <v>0</v>
      </c>
      <c r="L3063" s="1" t="str">
        <f t="shared" si="6220"/>
        <v>0</v>
      </c>
      <c r="M3063" s="1" t="str">
        <f t="shared" si="6220"/>
        <v>0</v>
      </c>
      <c r="N3063" s="1" t="str">
        <f t="shared" si="6220"/>
        <v>0</v>
      </c>
      <c r="O3063" s="1" t="str">
        <f t="shared" si="6220"/>
        <v>0</v>
      </c>
      <c r="P3063" s="1" t="str">
        <f t="shared" si="6220"/>
        <v>0</v>
      </c>
      <c r="Q3063" s="1" t="str">
        <f t="shared" si="6106"/>
        <v>0.0070</v>
      </c>
      <c r="R3063" s="1" t="s">
        <v>29</v>
      </c>
      <c r="S3063" s="1">
        <v>-0.0014</v>
      </c>
      <c r="T3063" s="1" t="str">
        <f t="shared" si="6107"/>
        <v>0</v>
      </c>
      <c r="U3063" s="1" t="str">
        <f t="shared" si="6218"/>
        <v>0.0056</v>
      </c>
    </row>
    <row r="3064" s="1" customFormat="1" spans="1:21">
      <c r="A3064" s="1" t="str">
        <f>"4601992058521"</f>
        <v>4601992058521</v>
      </c>
      <c r="B3064" s="1" t="s">
        <v>3087</v>
      </c>
      <c r="C3064" s="1" t="s">
        <v>24</v>
      </c>
      <c r="D3064" s="1" t="str">
        <f t="shared" si="6103"/>
        <v>2021</v>
      </c>
      <c r="E3064" s="1" t="str">
        <f>"12.09"</f>
        <v>12.09</v>
      </c>
      <c r="F3064" s="1" t="str">
        <f t="shared" ref="F3064:I3064" si="6221">"0"</f>
        <v>0</v>
      </c>
      <c r="G3064" s="1" t="str">
        <f t="shared" si="6221"/>
        <v>0</v>
      </c>
      <c r="H3064" s="1" t="str">
        <f t="shared" si="6221"/>
        <v>0</v>
      </c>
      <c r="I3064" s="1" t="str">
        <f t="shared" si="6221"/>
        <v>0</v>
      </c>
      <c r="J3064" s="1" t="str">
        <f>"1"</f>
        <v>1</v>
      </c>
      <c r="K3064" s="1" t="str">
        <f t="shared" ref="K3064:P3064" si="6222">"0"</f>
        <v>0</v>
      </c>
      <c r="L3064" s="1" t="str">
        <f t="shared" si="6222"/>
        <v>0</v>
      </c>
      <c r="M3064" s="1" t="str">
        <f t="shared" si="6222"/>
        <v>0</v>
      </c>
      <c r="N3064" s="1" t="str">
        <f t="shared" si="6222"/>
        <v>0</v>
      </c>
      <c r="O3064" s="1" t="str">
        <f t="shared" si="6222"/>
        <v>0</v>
      </c>
      <c r="P3064" s="1" t="str">
        <f t="shared" si="6222"/>
        <v>0</v>
      </c>
      <c r="Q3064" s="1" t="str">
        <f t="shared" si="6106"/>
        <v>0.0070</v>
      </c>
      <c r="R3064" s="1" t="s">
        <v>29</v>
      </c>
      <c r="S3064" s="1">
        <v>-0.0014</v>
      </c>
      <c r="T3064" s="1" t="str">
        <f t="shared" si="6107"/>
        <v>0</v>
      </c>
      <c r="U3064" s="1" t="str">
        <f t="shared" si="6218"/>
        <v>0.0056</v>
      </c>
    </row>
    <row r="3065" s="1" customFormat="1" spans="1:21">
      <c r="A3065" s="1" t="str">
        <f>"4601992058511"</f>
        <v>4601992058511</v>
      </c>
      <c r="B3065" s="1" t="s">
        <v>3088</v>
      </c>
      <c r="C3065" s="1" t="s">
        <v>24</v>
      </c>
      <c r="D3065" s="1" t="str">
        <f t="shared" si="6103"/>
        <v>2021</v>
      </c>
      <c r="E3065" s="1" t="str">
        <f>"36.27"</f>
        <v>36.27</v>
      </c>
      <c r="F3065" s="1" t="str">
        <f t="shared" ref="F3065:I3065" si="6223">"0"</f>
        <v>0</v>
      </c>
      <c r="G3065" s="1" t="str">
        <f t="shared" si="6223"/>
        <v>0</v>
      </c>
      <c r="H3065" s="1" t="str">
        <f t="shared" si="6223"/>
        <v>0</v>
      </c>
      <c r="I3065" s="1" t="str">
        <f t="shared" si="6223"/>
        <v>0</v>
      </c>
      <c r="J3065" s="1" t="str">
        <f>"3"</f>
        <v>3</v>
      </c>
      <c r="K3065" s="1" t="str">
        <f t="shared" ref="K3065:P3065" si="6224">"0"</f>
        <v>0</v>
      </c>
      <c r="L3065" s="1" t="str">
        <f t="shared" si="6224"/>
        <v>0</v>
      </c>
      <c r="M3065" s="1" t="str">
        <f t="shared" si="6224"/>
        <v>0</v>
      </c>
      <c r="N3065" s="1" t="str">
        <f t="shared" si="6224"/>
        <v>0</v>
      </c>
      <c r="O3065" s="1" t="str">
        <f t="shared" si="6224"/>
        <v>0</v>
      </c>
      <c r="P3065" s="1" t="str">
        <f t="shared" si="6224"/>
        <v>0</v>
      </c>
      <c r="Q3065" s="1" t="str">
        <f t="shared" si="6106"/>
        <v>0.0070</v>
      </c>
      <c r="R3065" s="1" t="s">
        <v>29</v>
      </c>
      <c r="S3065" s="1">
        <v>-0.0014</v>
      </c>
      <c r="T3065" s="1" t="str">
        <f t="shared" si="6107"/>
        <v>0</v>
      </c>
      <c r="U3065" s="1" t="str">
        <f t="shared" si="6218"/>
        <v>0.0056</v>
      </c>
    </row>
    <row r="3066" s="1" customFormat="1" spans="1:21">
      <c r="A3066" s="1" t="str">
        <f>"4601992058529"</f>
        <v>4601992058529</v>
      </c>
      <c r="B3066" s="1" t="s">
        <v>3089</v>
      </c>
      <c r="C3066" s="1" t="s">
        <v>24</v>
      </c>
      <c r="D3066" s="1" t="str">
        <f t="shared" si="6103"/>
        <v>2021</v>
      </c>
      <c r="E3066" s="1" t="str">
        <f>"24.18"</f>
        <v>24.18</v>
      </c>
      <c r="F3066" s="1" t="str">
        <f t="shared" ref="F3066:I3066" si="6225">"0"</f>
        <v>0</v>
      </c>
      <c r="G3066" s="1" t="str">
        <f t="shared" si="6225"/>
        <v>0</v>
      </c>
      <c r="H3066" s="1" t="str">
        <f t="shared" si="6225"/>
        <v>0</v>
      </c>
      <c r="I3066" s="1" t="str">
        <f t="shared" si="6225"/>
        <v>0</v>
      </c>
      <c r="J3066" s="1" t="str">
        <f>"3"</f>
        <v>3</v>
      </c>
      <c r="K3066" s="1" t="str">
        <f t="shared" ref="K3066:P3066" si="6226">"0"</f>
        <v>0</v>
      </c>
      <c r="L3066" s="1" t="str">
        <f t="shared" si="6226"/>
        <v>0</v>
      </c>
      <c r="M3066" s="1" t="str">
        <f t="shared" si="6226"/>
        <v>0</v>
      </c>
      <c r="N3066" s="1" t="str">
        <f t="shared" si="6226"/>
        <v>0</v>
      </c>
      <c r="O3066" s="1" t="str">
        <f t="shared" si="6226"/>
        <v>0</v>
      </c>
      <c r="P3066" s="1" t="str">
        <f t="shared" si="6226"/>
        <v>0</v>
      </c>
      <c r="Q3066" s="1" t="str">
        <f t="shared" si="6106"/>
        <v>0.0070</v>
      </c>
      <c r="R3066" s="1" t="s">
        <v>29</v>
      </c>
      <c r="S3066" s="1">
        <v>-0.0014</v>
      </c>
      <c r="T3066" s="1" t="str">
        <f t="shared" si="6107"/>
        <v>0</v>
      </c>
      <c r="U3066" s="1" t="str">
        <f t="shared" si="6218"/>
        <v>0.0056</v>
      </c>
    </row>
    <row r="3067" s="1" customFormat="1" spans="1:21">
      <c r="A3067" s="1" t="str">
        <f>"4601992058487"</f>
        <v>4601992058487</v>
      </c>
      <c r="B3067" s="1" t="s">
        <v>3090</v>
      </c>
      <c r="C3067" s="1" t="s">
        <v>24</v>
      </c>
      <c r="D3067" s="1" t="str">
        <f t="shared" si="6103"/>
        <v>2021</v>
      </c>
      <c r="E3067" s="1" t="str">
        <f>"768.14"</f>
        <v>768.14</v>
      </c>
      <c r="F3067" s="1" t="str">
        <f t="shared" ref="F3067:I3067" si="6227">"0"</f>
        <v>0</v>
      </c>
      <c r="G3067" s="1" t="str">
        <f t="shared" si="6227"/>
        <v>0</v>
      </c>
      <c r="H3067" s="1" t="str">
        <f t="shared" si="6227"/>
        <v>0</v>
      </c>
      <c r="I3067" s="1" t="str">
        <f t="shared" si="6227"/>
        <v>0</v>
      </c>
      <c r="J3067" s="1" t="str">
        <f>"35"</f>
        <v>35</v>
      </c>
      <c r="K3067" s="1" t="str">
        <f t="shared" ref="K3067:P3067" si="6228">"0"</f>
        <v>0</v>
      </c>
      <c r="L3067" s="1" t="str">
        <f t="shared" si="6228"/>
        <v>0</v>
      </c>
      <c r="M3067" s="1" t="str">
        <f t="shared" si="6228"/>
        <v>0</v>
      </c>
      <c r="N3067" s="1" t="str">
        <f t="shared" si="6228"/>
        <v>0</v>
      </c>
      <c r="O3067" s="1" t="str">
        <f t="shared" si="6228"/>
        <v>0</v>
      </c>
      <c r="P3067" s="1" t="str">
        <f t="shared" si="6228"/>
        <v>0</v>
      </c>
      <c r="Q3067" s="1" t="str">
        <f t="shared" si="6106"/>
        <v>0.0070</v>
      </c>
      <c r="R3067" s="1" t="s">
        <v>29</v>
      </c>
      <c r="S3067" s="1">
        <v>-0.0014</v>
      </c>
      <c r="T3067" s="1" t="str">
        <f t="shared" si="6107"/>
        <v>0</v>
      </c>
      <c r="U3067" s="1" t="str">
        <f t="shared" si="6218"/>
        <v>0.0056</v>
      </c>
    </row>
    <row r="3068" s="1" customFormat="1" spans="1:21">
      <c r="A3068" s="1" t="str">
        <f>"4601992058579"</f>
        <v>4601992058579</v>
      </c>
      <c r="B3068" s="1" t="s">
        <v>3091</v>
      </c>
      <c r="C3068" s="1" t="s">
        <v>24</v>
      </c>
      <c r="D3068" s="1" t="str">
        <f t="shared" si="6103"/>
        <v>2021</v>
      </c>
      <c r="E3068" s="1" t="str">
        <f>"60.45"</f>
        <v>60.45</v>
      </c>
      <c r="F3068" s="1" t="str">
        <f t="shared" ref="F3068:I3068" si="6229">"0"</f>
        <v>0</v>
      </c>
      <c r="G3068" s="1" t="str">
        <f t="shared" si="6229"/>
        <v>0</v>
      </c>
      <c r="H3068" s="1" t="str">
        <f t="shared" si="6229"/>
        <v>0</v>
      </c>
      <c r="I3068" s="1" t="str">
        <f t="shared" si="6229"/>
        <v>0</v>
      </c>
      <c r="J3068" s="1" t="str">
        <f>"5"</f>
        <v>5</v>
      </c>
      <c r="K3068" s="1" t="str">
        <f t="shared" ref="K3068:P3068" si="6230">"0"</f>
        <v>0</v>
      </c>
      <c r="L3068" s="1" t="str">
        <f t="shared" si="6230"/>
        <v>0</v>
      </c>
      <c r="M3068" s="1" t="str">
        <f t="shared" si="6230"/>
        <v>0</v>
      </c>
      <c r="N3068" s="1" t="str">
        <f t="shared" si="6230"/>
        <v>0</v>
      </c>
      <c r="O3068" s="1" t="str">
        <f t="shared" si="6230"/>
        <v>0</v>
      </c>
      <c r="P3068" s="1" t="str">
        <f t="shared" si="6230"/>
        <v>0</v>
      </c>
      <c r="Q3068" s="1" t="str">
        <f t="shared" si="6106"/>
        <v>0.0070</v>
      </c>
      <c r="R3068" s="1" t="s">
        <v>29</v>
      </c>
      <c r="S3068" s="1">
        <v>-0.0014</v>
      </c>
      <c r="T3068" s="1" t="str">
        <f t="shared" si="6107"/>
        <v>0</v>
      </c>
      <c r="U3068" s="1" t="str">
        <f t="shared" si="6218"/>
        <v>0.0056</v>
      </c>
    </row>
    <row r="3069" s="1" customFormat="1" spans="1:21">
      <c r="A3069" s="1" t="str">
        <f>"4601992058542"</f>
        <v>4601992058542</v>
      </c>
      <c r="B3069" s="1" t="s">
        <v>3092</v>
      </c>
      <c r="C3069" s="1" t="s">
        <v>24</v>
      </c>
      <c r="D3069" s="1" t="str">
        <f t="shared" si="6103"/>
        <v>2021</v>
      </c>
      <c r="E3069" s="1" t="str">
        <f>"3729.52"</f>
        <v>3729.52</v>
      </c>
      <c r="F3069" s="1" t="str">
        <f t="shared" ref="F3069:I3069" si="6231">"0"</f>
        <v>0</v>
      </c>
      <c r="G3069" s="1" t="str">
        <f t="shared" si="6231"/>
        <v>0</v>
      </c>
      <c r="H3069" s="1" t="str">
        <f t="shared" si="6231"/>
        <v>0</v>
      </c>
      <c r="I3069" s="1" t="str">
        <f t="shared" si="6231"/>
        <v>0</v>
      </c>
      <c r="J3069" s="1" t="str">
        <f>"136"</f>
        <v>136</v>
      </c>
      <c r="K3069" s="1" t="str">
        <f>"1"</f>
        <v>1</v>
      </c>
      <c r="L3069" s="1" t="str">
        <f>"1"</f>
        <v>1</v>
      </c>
      <c r="M3069" s="1" t="str">
        <f t="shared" ref="M3069:P3069" si="6232">"0"</f>
        <v>0</v>
      </c>
      <c r="N3069" s="1" t="str">
        <f t="shared" si="6232"/>
        <v>0</v>
      </c>
      <c r="O3069" s="1" t="str">
        <f t="shared" si="6232"/>
        <v>0</v>
      </c>
      <c r="P3069" s="1" t="str">
        <f t="shared" si="6232"/>
        <v>0</v>
      </c>
      <c r="Q3069" s="1" t="str">
        <f t="shared" si="6106"/>
        <v>0.0070</v>
      </c>
      <c r="R3069" s="1" t="s">
        <v>29</v>
      </c>
      <c r="S3069" s="1">
        <v>-0.0014</v>
      </c>
      <c r="T3069" s="1" t="str">
        <f t="shared" si="6107"/>
        <v>0</v>
      </c>
      <c r="U3069" s="1" t="str">
        <f t="shared" si="6218"/>
        <v>0.0056</v>
      </c>
    </row>
    <row r="3070" s="1" customFormat="1" spans="1:21">
      <c r="A3070" s="1" t="str">
        <f>"4601992058622"</f>
        <v>4601992058622</v>
      </c>
      <c r="B3070" s="1" t="s">
        <v>3093</v>
      </c>
      <c r="C3070" s="1" t="s">
        <v>24</v>
      </c>
      <c r="D3070" s="1" t="str">
        <f t="shared" si="6103"/>
        <v>2021</v>
      </c>
      <c r="E3070" s="1" t="str">
        <f t="shared" ref="E3070:I3070" si="6233">"0"</f>
        <v>0</v>
      </c>
      <c r="F3070" s="1" t="str">
        <f t="shared" si="6233"/>
        <v>0</v>
      </c>
      <c r="G3070" s="1" t="str">
        <f t="shared" si="6233"/>
        <v>0</v>
      </c>
      <c r="H3070" s="1" t="str">
        <f t="shared" si="6233"/>
        <v>0</v>
      </c>
      <c r="I3070" s="1" t="str">
        <f t="shared" si="6233"/>
        <v>0</v>
      </c>
      <c r="J3070" s="1" t="str">
        <f>"2"</f>
        <v>2</v>
      </c>
      <c r="K3070" s="1" t="str">
        <f t="shared" ref="K3070:P3070" si="6234">"0"</f>
        <v>0</v>
      </c>
      <c r="L3070" s="1" t="str">
        <f t="shared" si="6234"/>
        <v>0</v>
      </c>
      <c r="M3070" s="1" t="str">
        <f t="shared" si="6234"/>
        <v>0</v>
      </c>
      <c r="N3070" s="1" t="str">
        <f t="shared" si="6234"/>
        <v>0</v>
      </c>
      <c r="O3070" s="1" t="str">
        <f t="shared" si="6234"/>
        <v>0</v>
      </c>
      <c r="P3070" s="1" t="str">
        <f t="shared" si="6234"/>
        <v>0</v>
      </c>
      <c r="Q3070" s="1" t="str">
        <f t="shared" si="6106"/>
        <v>0.0070</v>
      </c>
      <c r="R3070" s="1" t="s">
        <v>25</v>
      </c>
      <c r="T3070" s="1" t="str">
        <f t="shared" si="6107"/>
        <v>0</v>
      </c>
      <c r="U3070" s="1" t="str">
        <f t="shared" ref="U3070:U3074" si="6235">"0.0070"</f>
        <v>0.0070</v>
      </c>
    </row>
    <row r="3071" s="1" customFormat="1" spans="1:21">
      <c r="A3071" s="1" t="str">
        <f>"4601992058609"</f>
        <v>4601992058609</v>
      </c>
      <c r="B3071" s="1" t="s">
        <v>3094</v>
      </c>
      <c r="C3071" s="1" t="s">
        <v>24</v>
      </c>
      <c r="D3071" s="1" t="str">
        <f t="shared" si="6103"/>
        <v>2021</v>
      </c>
      <c r="E3071" s="1" t="str">
        <f>"106.48"</f>
        <v>106.48</v>
      </c>
      <c r="F3071" s="1" t="str">
        <f t="shared" ref="F3071:I3071" si="6236">"0"</f>
        <v>0</v>
      </c>
      <c r="G3071" s="1" t="str">
        <f t="shared" si="6236"/>
        <v>0</v>
      </c>
      <c r="H3071" s="1" t="str">
        <f t="shared" si="6236"/>
        <v>0</v>
      </c>
      <c r="I3071" s="1" t="str">
        <f t="shared" si="6236"/>
        <v>0</v>
      </c>
      <c r="J3071" s="1" t="str">
        <f>"7"</f>
        <v>7</v>
      </c>
      <c r="K3071" s="1" t="str">
        <f t="shared" ref="K3071:P3071" si="6237">"0"</f>
        <v>0</v>
      </c>
      <c r="L3071" s="1" t="str">
        <f t="shared" si="6237"/>
        <v>0</v>
      </c>
      <c r="M3071" s="1" t="str">
        <f t="shared" si="6237"/>
        <v>0</v>
      </c>
      <c r="N3071" s="1" t="str">
        <f t="shared" si="6237"/>
        <v>0</v>
      </c>
      <c r="O3071" s="1" t="str">
        <f t="shared" si="6237"/>
        <v>0</v>
      </c>
      <c r="P3071" s="1" t="str">
        <f t="shared" si="6237"/>
        <v>0</v>
      </c>
      <c r="Q3071" s="1" t="str">
        <f t="shared" si="6106"/>
        <v>0.0070</v>
      </c>
      <c r="R3071" s="1" t="s">
        <v>29</v>
      </c>
      <c r="S3071" s="1">
        <v>-0.0014</v>
      </c>
      <c r="T3071" s="1" t="str">
        <f t="shared" si="6107"/>
        <v>0</v>
      </c>
      <c r="U3071" s="1" t="str">
        <f t="shared" ref="U3071:U3075" si="6238">"0.0056"</f>
        <v>0.0056</v>
      </c>
    </row>
    <row r="3072" s="1" customFormat="1" spans="1:21">
      <c r="A3072" s="1" t="str">
        <f>"4601992058682"</f>
        <v>4601992058682</v>
      </c>
      <c r="B3072" s="1" t="s">
        <v>3095</v>
      </c>
      <c r="C3072" s="1" t="s">
        <v>24</v>
      </c>
      <c r="D3072" s="1" t="str">
        <f t="shared" si="6103"/>
        <v>2021</v>
      </c>
      <c r="E3072" s="1" t="str">
        <f t="shared" ref="E3072:P3072" si="6239">"0"</f>
        <v>0</v>
      </c>
      <c r="F3072" s="1" t="str">
        <f t="shared" si="6239"/>
        <v>0</v>
      </c>
      <c r="G3072" s="1" t="str">
        <f t="shared" si="6239"/>
        <v>0</v>
      </c>
      <c r="H3072" s="1" t="str">
        <f t="shared" si="6239"/>
        <v>0</v>
      </c>
      <c r="I3072" s="1" t="str">
        <f t="shared" si="6239"/>
        <v>0</v>
      </c>
      <c r="J3072" s="1" t="str">
        <f t="shared" si="6239"/>
        <v>0</v>
      </c>
      <c r="K3072" s="1" t="str">
        <f t="shared" si="6239"/>
        <v>0</v>
      </c>
      <c r="L3072" s="1" t="str">
        <f t="shared" si="6239"/>
        <v>0</v>
      </c>
      <c r="M3072" s="1" t="str">
        <f t="shared" si="6239"/>
        <v>0</v>
      </c>
      <c r="N3072" s="1" t="str">
        <f t="shared" si="6239"/>
        <v>0</v>
      </c>
      <c r="O3072" s="1" t="str">
        <f t="shared" si="6239"/>
        <v>0</v>
      </c>
      <c r="P3072" s="1" t="str">
        <f t="shared" si="6239"/>
        <v>0</v>
      </c>
      <c r="Q3072" s="1" t="str">
        <f t="shared" si="6106"/>
        <v>0.0070</v>
      </c>
      <c r="R3072" s="1" t="s">
        <v>25</v>
      </c>
      <c r="T3072" s="1" t="str">
        <f t="shared" si="6107"/>
        <v>0</v>
      </c>
      <c r="U3072" s="1" t="str">
        <f t="shared" si="6235"/>
        <v>0.0070</v>
      </c>
    </row>
    <row r="3073" s="1" customFormat="1" spans="1:21">
      <c r="A3073" s="1" t="str">
        <f>"4601992058679"</f>
        <v>4601992058679</v>
      </c>
      <c r="B3073" s="1" t="s">
        <v>3096</v>
      </c>
      <c r="C3073" s="1" t="s">
        <v>24</v>
      </c>
      <c r="D3073" s="1" t="str">
        <f t="shared" si="6103"/>
        <v>2021</v>
      </c>
      <c r="E3073" s="1" t="str">
        <f>"37.53"</f>
        <v>37.53</v>
      </c>
      <c r="F3073" s="1" t="str">
        <f t="shared" ref="F3073:I3073" si="6240">"0"</f>
        <v>0</v>
      </c>
      <c r="G3073" s="1" t="str">
        <f t="shared" si="6240"/>
        <v>0</v>
      </c>
      <c r="H3073" s="1" t="str">
        <f t="shared" si="6240"/>
        <v>0</v>
      </c>
      <c r="I3073" s="1" t="str">
        <f t="shared" si="6240"/>
        <v>0</v>
      </c>
      <c r="J3073" s="1" t="str">
        <f>"3"</f>
        <v>3</v>
      </c>
      <c r="K3073" s="1" t="str">
        <f t="shared" ref="K3073:P3073" si="6241">"0"</f>
        <v>0</v>
      </c>
      <c r="L3073" s="1" t="str">
        <f t="shared" si="6241"/>
        <v>0</v>
      </c>
      <c r="M3073" s="1" t="str">
        <f t="shared" si="6241"/>
        <v>0</v>
      </c>
      <c r="N3073" s="1" t="str">
        <f t="shared" si="6241"/>
        <v>0</v>
      </c>
      <c r="O3073" s="1" t="str">
        <f t="shared" si="6241"/>
        <v>0</v>
      </c>
      <c r="P3073" s="1" t="str">
        <f t="shared" si="6241"/>
        <v>0</v>
      </c>
      <c r="Q3073" s="1" t="str">
        <f t="shared" si="6106"/>
        <v>0.0070</v>
      </c>
      <c r="R3073" s="1" t="s">
        <v>29</v>
      </c>
      <c r="S3073" s="1">
        <v>-0.0014</v>
      </c>
      <c r="T3073" s="1" t="str">
        <f t="shared" si="6107"/>
        <v>0</v>
      </c>
      <c r="U3073" s="1" t="str">
        <f t="shared" si="6238"/>
        <v>0.0056</v>
      </c>
    </row>
    <row r="3074" s="1" customFormat="1" spans="1:21">
      <c r="A3074" s="1" t="str">
        <f>"4601992058726"</f>
        <v>4601992058726</v>
      </c>
      <c r="B3074" s="1" t="s">
        <v>3097</v>
      </c>
      <c r="C3074" s="1" t="s">
        <v>24</v>
      </c>
      <c r="D3074" s="1" t="str">
        <f t="shared" si="6103"/>
        <v>2021</v>
      </c>
      <c r="E3074" s="1" t="str">
        <f t="shared" ref="E3074:G3074" si="6242">"0"</f>
        <v>0</v>
      </c>
      <c r="F3074" s="1" t="str">
        <f t="shared" si="6242"/>
        <v>0</v>
      </c>
      <c r="G3074" s="1" t="str">
        <f t="shared" si="6242"/>
        <v>0</v>
      </c>
      <c r="H3074" s="1" t="str">
        <f>"24.18"</f>
        <v>24.18</v>
      </c>
      <c r="I3074" s="1" t="str">
        <f t="shared" ref="I3074:P3074" si="6243">"0"</f>
        <v>0</v>
      </c>
      <c r="J3074" s="1" t="str">
        <f>"2"</f>
        <v>2</v>
      </c>
      <c r="K3074" s="1" t="str">
        <f t="shared" si="6243"/>
        <v>0</v>
      </c>
      <c r="L3074" s="1" t="str">
        <f t="shared" si="6243"/>
        <v>0</v>
      </c>
      <c r="M3074" s="1" t="str">
        <f t="shared" si="6243"/>
        <v>0</v>
      </c>
      <c r="N3074" s="1" t="str">
        <f t="shared" si="6243"/>
        <v>0</v>
      </c>
      <c r="O3074" s="1" t="str">
        <f t="shared" si="6243"/>
        <v>0</v>
      </c>
      <c r="P3074" s="1" t="str">
        <f t="shared" si="6243"/>
        <v>0</v>
      </c>
      <c r="Q3074" s="1" t="str">
        <f t="shared" si="6106"/>
        <v>0.0070</v>
      </c>
      <c r="R3074" s="1" t="s">
        <v>25</v>
      </c>
      <c r="T3074" s="1" t="str">
        <f t="shared" si="6107"/>
        <v>0</v>
      </c>
      <c r="U3074" s="1" t="str">
        <f t="shared" si="6235"/>
        <v>0.0070</v>
      </c>
    </row>
    <row r="3075" s="1" customFormat="1" spans="1:21">
      <c r="A3075" s="1" t="str">
        <f>"4601992058667"</f>
        <v>4601992058667</v>
      </c>
      <c r="B3075" s="1" t="s">
        <v>3098</v>
      </c>
      <c r="C3075" s="1" t="s">
        <v>24</v>
      </c>
      <c r="D3075" s="1" t="str">
        <f t="shared" ref="D3075:D3138" si="6244">"2021"</f>
        <v>2021</v>
      </c>
      <c r="E3075" s="1" t="str">
        <f>"191.68"</f>
        <v>191.68</v>
      </c>
      <c r="F3075" s="1" t="str">
        <f t="shared" ref="F3075:I3075" si="6245">"0"</f>
        <v>0</v>
      </c>
      <c r="G3075" s="1" t="str">
        <f t="shared" si="6245"/>
        <v>0</v>
      </c>
      <c r="H3075" s="1" t="str">
        <f t="shared" si="6245"/>
        <v>0</v>
      </c>
      <c r="I3075" s="1" t="str">
        <f t="shared" si="6245"/>
        <v>0</v>
      </c>
      <c r="J3075" s="1" t="str">
        <f>"12"</f>
        <v>12</v>
      </c>
      <c r="K3075" s="1" t="str">
        <f t="shared" ref="K3075:P3075" si="6246">"0"</f>
        <v>0</v>
      </c>
      <c r="L3075" s="1" t="str">
        <f t="shared" si="6246"/>
        <v>0</v>
      </c>
      <c r="M3075" s="1" t="str">
        <f t="shared" si="6246"/>
        <v>0</v>
      </c>
      <c r="N3075" s="1" t="str">
        <f t="shared" si="6246"/>
        <v>0</v>
      </c>
      <c r="O3075" s="1" t="str">
        <f t="shared" si="6246"/>
        <v>0</v>
      </c>
      <c r="P3075" s="1" t="str">
        <f t="shared" si="6246"/>
        <v>0</v>
      </c>
      <c r="Q3075" s="1" t="str">
        <f t="shared" ref="Q3075:Q3138" si="6247">"0.0070"</f>
        <v>0.0070</v>
      </c>
      <c r="R3075" s="1" t="s">
        <v>29</v>
      </c>
      <c r="S3075" s="1">
        <v>-0.0014</v>
      </c>
      <c r="T3075" s="1" t="str">
        <f t="shared" ref="T3075:T3138" si="6248">"0"</f>
        <v>0</v>
      </c>
      <c r="U3075" s="1" t="str">
        <f t="shared" si="6238"/>
        <v>0.0056</v>
      </c>
    </row>
    <row r="3076" s="1" customFormat="1" spans="1:21">
      <c r="A3076" s="1" t="str">
        <f>"4601992058731"</f>
        <v>4601992058731</v>
      </c>
      <c r="B3076" s="1" t="s">
        <v>3099</v>
      </c>
      <c r="C3076" s="1" t="s">
        <v>24</v>
      </c>
      <c r="D3076" s="1" t="str">
        <f t="shared" si="6244"/>
        <v>2021</v>
      </c>
      <c r="E3076" s="1" t="str">
        <f t="shared" ref="E3076:E3080" si="6249">"12.09"</f>
        <v>12.09</v>
      </c>
      <c r="F3076" s="1" t="str">
        <f t="shared" ref="F3076:I3076" si="6250">"0"</f>
        <v>0</v>
      </c>
      <c r="G3076" s="1" t="str">
        <f t="shared" si="6250"/>
        <v>0</v>
      </c>
      <c r="H3076" s="1" t="str">
        <f t="shared" si="6250"/>
        <v>0</v>
      </c>
      <c r="I3076" s="1" t="str">
        <f t="shared" si="6250"/>
        <v>0</v>
      </c>
      <c r="J3076" s="1" t="str">
        <f t="shared" ref="J3076:J3080" si="6251">"1"</f>
        <v>1</v>
      </c>
      <c r="K3076" s="1" t="str">
        <f t="shared" ref="K3076:P3076" si="6252">"0"</f>
        <v>0</v>
      </c>
      <c r="L3076" s="1" t="str">
        <f t="shared" si="6252"/>
        <v>0</v>
      </c>
      <c r="M3076" s="1" t="str">
        <f t="shared" si="6252"/>
        <v>0</v>
      </c>
      <c r="N3076" s="1" t="str">
        <f t="shared" si="6252"/>
        <v>0</v>
      </c>
      <c r="O3076" s="1" t="str">
        <f t="shared" si="6252"/>
        <v>0</v>
      </c>
      <c r="P3076" s="1" t="str">
        <f t="shared" si="6252"/>
        <v>0</v>
      </c>
      <c r="Q3076" s="1" t="str">
        <f t="shared" si="6247"/>
        <v>0.0070</v>
      </c>
      <c r="R3076" s="1" t="s">
        <v>25</v>
      </c>
      <c r="T3076" s="1" t="str">
        <f t="shared" si="6248"/>
        <v>0</v>
      </c>
      <c r="U3076" s="1" t="str">
        <f>"0.0070"</f>
        <v>0.0070</v>
      </c>
    </row>
    <row r="3077" s="1" customFormat="1" spans="1:21">
      <c r="A3077" s="1" t="str">
        <f>"4601992058735"</f>
        <v>4601992058735</v>
      </c>
      <c r="B3077" s="1" t="s">
        <v>3100</v>
      </c>
      <c r="C3077" s="1" t="s">
        <v>24</v>
      </c>
      <c r="D3077" s="1" t="str">
        <f t="shared" si="6244"/>
        <v>2021</v>
      </c>
      <c r="E3077" s="1" t="str">
        <f>"36.27"</f>
        <v>36.27</v>
      </c>
      <c r="F3077" s="1" t="str">
        <f t="shared" ref="F3077:I3077" si="6253">"0"</f>
        <v>0</v>
      </c>
      <c r="G3077" s="1" t="str">
        <f t="shared" si="6253"/>
        <v>0</v>
      </c>
      <c r="H3077" s="1" t="str">
        <f t="shared" si="6253"/>
        <v>0</v>
      </c>
      <c r="I3077" s="1" t="str">
        <f t="shared" si="6253"/>
        <v>0</v>
      </c>
      <c r="J3077" s="1" t="str">
        <f>"3"</f>
        <v>3</v>
      </c>
      <c r="K3077" s="1" t="str">
        <f t="shared" ref="K3077:P3077" si="6254">"0"</f>
        <v>0</v>
      </c>
      <c r="L3077" s="1" t="str">
        <f t="shared" si="6254"/>
        <v>0</v>
      </c>
      <c r="M3077" s="1" t="str">
        <f t="shared" si="6254"/>
        <v>0</v>
      </c>
      <c r="N3077" s="1" t="str">
        <f t="shared" si="6254"/>
        <v>0</v>
      </c>
      <c r="O3077" s="1" t="str">
        <f t="shared" si="6254"/>
        <v>0</v>
      </c>
      <c r="P3077" s="1" t="str">
        <f t="shared" si="6254"/>
        <v>0</v>
      </c>
      <c r="Q3077" s="1" t="str">
        <f t="shared" si="6247"/>
        <v>0.0070</v>
      </c>
      <c r="R3077" s="1" t="s">
        <v>29</v>
      </c>
      <c r="S3077" s="1">
        <v>-0.0014</v>
      </c>
      <c r="T3077" s="1" t="str">
        <f t="shared" si="6248"/>
        <v>0</v>
      </c>
      <c r="U3077" s="1" t="str">
        <f t="shared" ref="U3077:U3080" si="6255">"0.0056"</f>
        <v>0.0056</v>
      </c>
    </row>
    <row r="3078" s="1" customFormat="1" spans="1:21">
      <c r="A3078" s="1" t="str">
        <f>"4601992058751"</f>
        <v>4601992058751</v>
      </c>
      <c r="B3078" s="1" t="s">
        <v>3101</v>
      </c>
      <c r="C3078" s="1" t="s">
        <v>24</v>
      </c>
      <c r="D3078" s="1" t="str">
        <f t="shared" si="6244"/>
        <v>2021</v>
      </c>
      <c r="E3078" s="1" t="str">
        <f t="shared" si="6249"/>
        <v>12.09</v>
      </c>
      <c r="F3078" s="1" t="str">
        <f t="shared" ref="F3078:I3078" si="6256">"0"</f>
        <v>0</v>
      </c>
      <c r="G3078" s="1" t="str">
        <f t="shared" si="6256"/>
        <v>0</v>
      </c>
      <c r="H3078" s="1" t="str">
        <f t="shared" si="6256"/>
        <v>0</v>
      </c>
      <c r="I3078" s="1" t="str">
        <f t="shared" si="6256"/>
        <v>0</v>
      </c>
      <c r="J3078" s="1" t="str">
        <f t="shared" si="6251"/>
        <v>1</v>
      </c>
      <c r="K3078" s="1" t="str">
        <f t="shared" ref="K3078:P3078" si="6257">"0"</f>
        <v>0</v>
      </c>
      <c r="L3078" s="1" t="str">
        <f t="shared" si="6257"/>
        <v>0</v>
      </c>
      <c r="M3078" s="1" t="str">
        <f t="shared" si="6257"/>
        <v>0</v>
      </c>
      <c r="N3078" s="1" t="str">
        <f t="shared" si="6257"/>
        <v>0</v>
      </c>
      <c r="O3078" s="1" t="str">
        <f t="shared" si="6257"/>
        <v>0</v>
      </c>
      <c r="P3078" s="1" t="str">
        <f t="shared" si="6257"/>
        <v>0</v>
      </c>
      <c r="Q3078" s="1" t="str">
        <f t="shared" si="6247"/>
        <v>0.0070</v>
      </c>
      <c r="R3078" s="1" t="s">
        <v>29</v>
      </c>
      <c r="S3078" s="1">
        <v>-0.0014</v>
      </c>
      <c r="T3078" s="1" t="str">
        <f t="shared" si="6248"/>
        <v>0</v>
      </c>
      <c r="U3078" s="1" t="str">
        <f t="shared" si="6255"/>
        <v>0.0056</v>
      </c>
    </row>
    <row r="3079" s="1" customFormat="1" spans="1:21">
      <c r="A3079" s="1" t="str">
        <f>"4601992058754"</f>
        <v>4601992058754</v>
      </c>
      <c r="B3079" s="1" t="s">
        <v>3102</v>
      </c>
      <c r="C3079" s="1" t="s">
        <v>24</v>
      </c>
      <c r="D3079" s="1" t="str">
        <f t="shared" si="6244"/>
        <v>2021</v>
      </c>
      <c r="E3079" s="1" t="str">
        <f>"29.48"</f>
        <v>29.48</v>
      </c>
      <c r="F3079" s="1" t="str">
        <f t="shared" ref="F3079:I3079" si="6258">"0"</f>
        <v>0</v>
      </c>
      <c r="G3079" s="1" t="str">
        <f t="shared" si="6258"/>
        <v>0</v>
      </c>
      <c r="H3079" s="1" t="str">
        <f t="shared" si="6258"/>
        <v>0</v>
      </c>
      <c r="I3079" s="1" t="str">
        <f t="shared" si="6258"/>
        <v>0</v>
      </c>
      <c r="J3079" s="1" t="str">
        <f t="shared" ref="J3079:J3086" si="6259">"2"</f>
        <v>2</v>
      </c>
      <c r="K3079" s="1" t="str">
        <f t="shared" ref="K3079:P3079" si="6260">"0"</f>
        <v>0</v>
      </c>
      <c r="L3079" s="1" t="str">
        <f t="shared" si="6260"/>
        <v>0</v>
      </c>
      <c r="M3079" s="1" t="str">
        <f t="shared" si="6260"/>
        <v>0</v>
      </c>
      <c r="N3079" s="1" t="str">
        <f t="shared" si="6260"/>
        <v>0</v>
      </c>
      <c r="O3079" s="1" t="str">
        <f t="shared" si="6260"/>
        <v>0</v>
      </c>
      <c r="P3079" s="1" t="str">
        <f t="shared" si="6260"/>
        <v>0</v>
      </c>
      <c r="Q3079" s="1" t="str">
        <f t="shared" si="6247"/>
        <v>0.0070</v>
      </c>
      <c r="R3079" s="1" t="s">
        <v>29</v>
      </c>
      <c r="S3079" s="1">
        <v>-0.0014</v>
      </c>
      <c r="T3079" s="1" t="str">
        <f t="shared" si="6248"/>
        <v>0</v>
      </c>
      <c r="U3079" s="1" t="str">
        <f t="shared" si="6255"/>
        <v>0.0056</v>
      </c>
    </row>
    <row r="3080" s="1" customFormat="1" spans="1:21">
      <c r="A3080" s="1" t="str">
        <f>"4601992058780"</f>
        <v>4601992058780</v>
      </c>
      <c r="B3080" s="1" t="s">
        <v>3103</v>
      </c>
      <c r="C3080" s="1" t="s">
        <v>24</v>
      </c>
      <c r="D3080" s="1" t="str">
        <f t="shared" si="6244"/>
        <v>2021</v>
      </c>
      <c r="E3080" s="1" t="str">
        <f t="shared" si="6249"/>
        <v>12.09</v>
      </c>
      <c r="F3080" s="1" t="str">
        <f t="shared" ref="F3080:I3080" si="6261">"0"</f>
        <v>0</v>
      </c>
      <c r="G3080" s="1" t="str">
        <f t="shared" si="6261"/>
        <v>0</v>
      </c>
      <c r="H3080" s="1" t="str">
        <f t="shared" si="6261"/>
        <v>0</v>
      </c>
      <c r="I3080" s="1" t="str">
        <f t="shared" si="6261"/>
        <v>0</v>
      </c>
      <c r="J3080" s="1" t="str">
        <f t="shared" si="6251"/>
        <v>1</v>
      </c>
      <c r="K3080" s="1" t="str">
        <f t="shared" ref="K3080:P3080" si="6262">"0"</f>
        <v>0</v>
      </c>
      <c r="L3080" s="1" t="str">
        <f t="shared" si="6262"/>
        <v>0</v>
      </c>
      <c r="M3080" s="1" t="str">
        <f t="shared" si="6262"/>
        <v>0</v>
      </c>
      <c r="N3080" s="1" t="str">
        <f t="shared" si="6262"/>
        <v>0</v>
      </c>
      <c r="O3080" s="1" t="str">
        <f t="shared" si="6262"/>
        <v>0</v>
      </c>
      <c r="P3080" s="1" t="str">
        <f t="shared" si="6262"/>
        <v>0</v>
      </c>
      <c r="Q3080" s="1" t="str">
        <f t="shared" si="6247"/>
        <v>0.0070</v>
      </c>
      <c r="R3080" s="1" t="s">
        <v>29</v>
      </c>
      <c r="S3080" s="1">
        <v>-0.0014</v>
      </c>
      <c r="T3080" s="1" t="str">
        <f t="shared" si="6248"/>
        <v>0</v>
      </c>
      <c r="U3080" s="1" t="str">
        <f t="shared" si="6255"/>
        <v>0.0056</v>
      </c>
    </row>
    <row r="3081" s="1" customFormat="1" spans="1:21">
      <c r="A3081" s="1" t="str">
        <f>"4601992058776"</f>
        <v>4601992058776</v>
      </c>
      <c r="B3081" s="1" t="s">
        <v>3104</v>
      </c>
      <c r="C3081" s="1" t="s">
        <v>24</v>
      </c>
      <c r="D3081" s="1" t="str">
        <f t="shared" si="6244"/>
        <v>2021</v>
      </c>
      <c r="E3081" s="1" t="str">
        <f>"24.22"</f>
        <v>24.22</v>
      </c>
      <c r="F3081" s="1" t="str">
        <f t="shared" ref="F3081:I3081" si="6263">"0"</f>
        <v>0</v>
      </c>
      <c r="G3081" s="1" t="str">
        <f t="shared" si="6263"/>
        <v>0</v>
      </c>
      <c r="H3081" s="1" t="str">
        <f>"60.55"</f>
        <v>60.55</v>
      </c>
      <c r="I3081" s="1" t="str">
        <f t="shared" si="6263"/>
        <v>0</v>
      </c>
      <c r="J3081" s="1" t="str">
        <f>"5"</f>
        <v>5</v>
      </c>
      <c r="K3081" s="1" t="str">
        <f t="shared" ref="K3081:P3081" si="6264">"0"</f>
        <v>0</v>
      </c>
      <c r="L3081" s="1" t="str">
        <f t="shared" si="6264"/>
        <v>0</v>
      </c>
      <c r="M3081" s="1" t="str">
        <f t="shared" si="6264"/>
        <v>0</v>
      </c>
      <c r="N3081" s="1" t="str">
        <f t="shared" si="6264"/>
        <v>0</v>
      </c>
      <c r="O3081" s="1" t="str">
        <f t="shared" si="6264"/>
        <v>0</v>
      </c>
      <c r="P3081" s="1" t="str">
        <f t="shared" si="6264"/>
        <v>0</v>
      </c>
      <c r="Q3081" s="1" t="str">
        <f t="shared" si="6247"/>
        <v>0.0070</v>
      </c>
      <c r="R3081" s="1" t="s">
        <v>25</v>
      </c>
      <c r="T3081" s="1" t="str">
        <f t="shared" si="6248"/>
        <v>0</v>
      </c>
      <c r="U3081" s="1" t="str">
        <f t="shared" ref="U3081:U3083" si="6265">"0.0070"</f>
        <v>0.0070</v>
      </c>
    </row>
    <row r="3082" s="1" customFormat="1" spans="1:21">
      <c r="A3082" s="1" t="str">
        <f>"4601992058790"</f>
        <v>4601992058790</v>
      </c>
      <c r="B3082" s="1" t="s">
        <v>3105</v>
      </c>
      <c r="C3082" s="1" t="s">
        <v>24</v>
      </c>
      <c r="D3082" s="1" t="str">
        <f t="shared" si="6244"/>
        <v>2021</v>
      </c>
      <c r="E3082" s="1" t="str">
        <f t="shared" ref="E3082:G3082" si="6266">"0"</f>
        <v>0</v>
      </c>
      <c r="F3082" s="1" t="str">
        <f t="shared" si="6266"/>
        <v>0</v>
      </c>
      <c r="G3082" s="1" t="str">
        <f t="shared" si="6266"/>
        <v>0</v>
      </c>
      <c r="H3082" s="1" t="str">
        <f>"17.50"</f>
        <v>17.50</v>
      </c>
      <c r="I3082" s="1" t="str">
        <f t="shared" ref="I3082:P3082" si="6267">"0"</f>
        <v>0</v>
      </c>
      <c r="J3082" s="1" t="str">
        <f t="shared" si="6267"/>
        <v>0</v>
      </c>
      <c r="K3082" s="1" t="str">
        <f t="shared" si="6267"/>
        <v>0</v>
      </c>
      <c r="L3082" s="1" t="str">
        <f t="shared" si="6267"/>
        <v>0</v>
      </c>
      <c r="M3082" s="1" t="str">
        <f t="shared" si="6267"/>
        <v>0</v>
      </c>
      <c r="N3082" s="1" t="str">
        <f t="shared" si="6267"/>
        <v>0</v>
      </c>
      <c r="O3082" s="1" t="str">
        <f t="shared" si="6267"/>
        <v>0</v>
      </c>
      <c r="P3082" s="1" t="str">
        <f t="shared" si="6267"/>
        <v>0</v>
      </c>
      <c r="Q3082" s="1" t="str">
        <f t="shared" si="6247"/>
        <v>0.0070</v>
      </c>
      <c r="R3082" s="1" t="s">
        <v>25</v>
      </c>
      <c r="T3082" s="1" t="str">
        <f t="shared" si="6248"/>
        <v>0</v>
      </c>
      <c r="U3082" s="1" t="str">
        <f t="shared" si="6265"/>
        <v>0.0070</v>
      </c>
    </row>
    <row r="3083" s="1" customFormat="1" spans="1:21">
      <c r="A3083" s="1" t="str">
        <f>"4601992058801"</f>
        <v>4601992058801</v>
      </c>
      <c r="B3083" s="1" t="s">
        <v>3106</v>
      </c>
      <c r="C3083" s="1" t="s">
        <v>24</v>
      </c>
      <c r="D3083" s="1" t="str">
        <f t="shared" si="6244"/>
        <v>2021</v>
      </c>
      <c r="E3083" s="1" t="str">
        <f>"24.07"</f>
        <v>24.07</v>
      </c>
      <c r="F3083" s="1" t="str">
        <f t="shared" ref="F3083:I3083" si="6268">"0"</f>
        <v>0</v>
      </c>
      <c r="G3083" s="1" t="str">
        <f t="shared" si="6268"/>
        <v>0</v>
      </c>
      <c r="H3083" s="1" t="str">
        <f t="shared" si="6268"/>
        <v>0</v>
      </c>
      <c r="I3083" s="1" t="str">
        <f t="shared" si="6268"/>
        <v>0</v>
      </c>
      <c r="J3083" s="1" t="str">
        <f t="shared" si="6259"/>
        <v>2</v>
      </c>
      <c r="K3083" s="1" t="str">
        <f t="shared" ref="K3083:P3083" si="6269">"0"</f>
        <v>0</v>
      </c>
      <c r="L3083" s="1" t="str">
        <f t="shared" si="6269"/>
        <v>0</v>
      </c>
      <c r="M3083" s="1" t="str">
        <f t="shared" si="6269"/>
        <v>0</v>
      </c>
      <c r="N3083" s="1" t="str">
        <f t="shared" si="6269"/>
        <v>0</v>
      </c>
      <c r="O3083" s="1" t="str">
        <f t="shared" si="6269"/>
        <v>0</v>
      </c>
      <c r="P3083" s="1" t="str">
        <f t="shared" si="6269"/>
        <v>0</v>
      </c>
      <c r="Q3083" s="1" t="str">
        <f t="shared" si="6247"/>
        <v>0.0070</v>
      </c>
      <c r="R3083" s="1" t="s">
        <v>25</v>
      </c>
      <c r="T3083" s="1" t="str">
        <f t="shared" si="6248"/>
        <v>0</v>
      </c>
      <c r="U3083" s="1" t="str">
        <f t="shared" si="6265"/>
        <v>0.0070</v>
      </c>
    </row>
    <row r="3084" s="1" customFormat="1" spans="1:21">
      <c r="A3084" s="1" t="str">
        <f>"4601992058777"</f>
        <v>4601992058777</v>
      </c>
      <c r="B3084" s="1" t="s">
        <v>3107</v>
      </c>
      <c r="C3084" s="1" t="s">
        <v>24</v>
      </c>
      <c r="D3084" s="1" t="str">
        <f t="shared" si="6244"/>
        <v>2021</v>
      </c>
      <c r="E3084" s="1" t="str">
        <f>"36.27"</f>
        <v>36.27</v>
      </c>
      <c r="F3084" s="1" t="str">
        <f t="shared" ref="F3084:I3084" si="6270">"0"</f>
        <v>0</v>
      </c>
      <c r="G3084" s="1" t="str">
        <f t="shared" si="6270"/>
        <v>0</v>
      </c>
      <c r="H3084" s="1" t="str">
        <f t="shared" si="6270"/>
        <v>0</v>
      </c>
      <c r="I3084" s="1" t="str">
        <f t="shared" si="6270"/>
        <v>0</v>
      </c>
      <c r="J3084" s="1" t="str">
        <f t="shared" si="6259"/>
        <v>2</v>
      </c>
      <c r="K3084" s="1" t="str">
        <f t="shared" ref="K3084:P3084" si="6271">"0"</f>
        <v>0</v>
      </c>
      <c r="L3084" s="1" t="str">
        <f t="shared" si="6271"/>
        <v>0</v>
      </c>
      <c r="M3084" s="1" t="str">
        <f t="shared" si="6271"/>
        <v>0</v>
      </c>
      <c r="N3084" s="1" t="str">
        <f t="shared" si="6271"/>
        <v>0</v>
      </c>
      <c r="O3084" s="1" t="str">
        <f t="shared" si="6271"/>
        <v>0</v>
      </c>
      <c r="P3084" s="1" t="str">
        <f t="shared" si="6271"/>
        <v>0</v>
      </c>
      <c r="Q3084" s="1" t="str">
        <f t="shared" si="6247"/>
        <v>0.0070</v>
      </c>
      <c r="R3084" s="1" t="s">
        <v>29</v>
      </c>
      <c r="S3084" s="1">
        <v>-0.0014</v>
      </c>
      <c r="T3084" s="1" t="str">
        <f t="shared" si="6248"/>
        <v>0</v>
      </c>
      <c r="U3084" s="1" t="str">
        <f t="shared" ref="U3084:U3087" si="6272">"0.0056"</f>
        <v>0.0056</v>
      </c>
    </row>
    <row r="3085" s="1" customFormat="1" spans="1:21">
      <c r="A3085" s="1" t="str">
        <f>"4601992058805"</f>
        <v>4601992058805</v>
      </c>
      <c r="B3085" s="1" t="s">
        <v>3108</v>
      </c>
      <c r="C3085" s="1" t="s">
        <v>24</v>
      </c>
      <c r="D3085" s="1" t="str">
        <f t="shared" si="6244"/>
        <v>2021</v>
      </c>
      <c r="E3085" s="1" t="str">
        <f>"24.07"</f>
        <v>24.07</v>
      </c>
      <c r="F3085" s="1" t="str">
        <f t="shared" ref="F3085:I3085" si="6273">"0"</f>
        <v>0</v>
      </c>
      <c r="G3085" s="1" t="str">
        <f t="shared" si="6273"/>
        <v>0</v>
      </c>
      <c r="H3085" s="1" t="str">
        <f t="shared" si="6273"/>
        <v>0</v>
      </c>
      <c r="I3085" s="1" t="str">
        <f t="shared" si="6273"/>
        <v>0</v>
      </c>
      <c r="J3085" s="1" t="str">
        <f t="shared" si="6259"/>
        <v>2</v>
      </c>
      <c r="K3085" s="1" t="str">
        <f t="shared" ref="K3085:P3085" si="6274">"0"</f>
        <v>0</v>
      </c>
      <c r="L3085" s="1" t="str">
        <f t="shared" si="6274"/>
        <v>0</v>
      </c>
      <c r="M3085" s="1" t="str">
        <f t="shared" si="6274"/>
        <v>0</v>
      </c>
      <c r="N3085" s="1" t="str">
        <f t="shared" si="6274"/>
        <v>0</v>
      </c>
      <c r="O3085" s="1" t="str">
        <f t="shared" si="6274"/>
        <v>0</v>
      </c>
      <c r="P3085" s="1" t="str">
        <f t="shared" si="6274"/>
        <v>0</v>
      </c>
      <c r="Q3085" s="1" t="str">
        <f t="shared" si="6247"/>
        <v>0.0070</v>
      </c>
      <c r="R3085" s="1" t="s">
        <v>29</v>
      </c>
      <c r="S3085" s="1">
        <v>-0.0014</v>
      </c>
      <c r="T3085" s="1" t="str">
        <f t="shared" si="6248"/>
        <v>0</v>
      </c>
      <c r="U3085" s="1" t="str">
        <f t="shared" si="6272"/>
        <v>0.0056</v>
      </c>
    </row>
    <row r="3086" s="1" customFormat="1" spans="1:21">
      <c r="A3086" s="1" t="str">
        <f>"4601992058861"</f>
        <v>4601992058861</v>
      </c>
      <c r="B3086" s="1" t="s">
        <v>3109</v>
      </c>
      <c r="C3086" s="1" t="s">
        <v>24</v>
      </c>
      <c r="D3086" s="1" t="str">
        <f t="shared" si="6244"/>
        <v>2021</v>
      </c>
      <c r="E3086" s="1" t="str">
        <f>"12.09"</f>
        <v>12.09</v>
      </c>
      <c r="F3086" s="1" t="str">
        <f t="shared" ref="F3086:I3086" si="6275">"0"</f>
        <v>0</v>
      </c>
      <c r="G3086" s="1" t="str">
        <f t="shared" si="6275"/>
        <v>0</v>
      </c>
      <c r="H3086" s="1" t="str">
        <f t="shared" si="6275"/>
        <v>0</v>
      </c>
      <c r="I3086" s="1" t="str">
        <f t="shared" si="6275"/>
        <v>0</v>
      </c>
      <c r="J3086" s="1" t="str">
        <f t="shared" si="6259"/>
        <v>2</v>
      </c>
      <c r="K3086" s="1" t="str">
        <f t="shared" ref="K3086:P3086" si="6276">"0"</f>
        <v>0</v>
      </c>
      <c r="L3086" s="1" t="str">
        <f t="shared" si="6276"/>
        <v>0</v>
      </c>
      <c r="M3086" s="1" t="str">
        <f t="shared" si="6276"/>
        <v>0</v>
      </c>
      <c r="N3086" s="1" t="str">
        <f t="shared" si="6276"/>
        <v>0</v>
      </c>
      <c r="O3086" s="1" t="str">
        <f t="shared" si="6276"/>
        <v>0</v>
      </c>
      <c r="P3086" s="1" t="str">
        <f t="shared" si="6276"/>
        <v>0</v>
      </c>
      <c r="Q3086" s="1" t="str">
        <f t="shared" si="6247"/>
        <v>0.0070</v>
      </c>
      <c r="R3086" s="1" t="s">
        <v>29</v>
      </c>
      <c r="S3086" s="1">
        <v>-0.0014</v>
      </c>
      <c r="T3086" s="1" t="str">
        <f t="shared" si="6248"/>
        <v>0</v>
      </c>
      <c r="U3086" s="1" t="str">
        <f t="shared" si="6272"/>
        <v>0.0056</v>
      </c>
    </row>
    <row r="3087" s="1" customFormat="1" spans="1:21">
      <c r="A3087" s="1" t="str">
        <f>"4601992058828"</f>
        <v>4601992058828</v>
      </c>
      <c r="B3087" s="1" t="s">
        <v>3110</v>
      </c>
      <c r="C3087" s="1" t="s">
        <v>24</v>
      </c>
      <c r="D3087" s="1" t="str">
        <f t="shared" si="6244"/>
        <v>2021</v>
      </c>
      <c r="E3087" s="1" t="str">
        <f>"48.36"</f>
        <v>48.36</v>
      </c>
      <c r="F3087" s="1" t="str">
        <f t="shared" ref="F3087:I3087" si="6277">"0"</f>
        <v>0</v>
      </c>
      <c r="G3087" s="1" t="str">
        <f t="shared" si="6277"/>
        <v>0</v>
      </c>
      <c r="H3087" s="1" t="str">
        <f t="shared" si="6277"/>
        <v>0</v>
      </c>
      <c r="I3087" s="1" t="str">
        <f t="shared" si="6277"/>
        <v>0</v>
      </c>
      <c r="J3087" s="1" t="str">
        <f>"7"</f>
        <v>7</v>
      </c>
      <c r="K3087" s="1" t="str">
        <f t="shared" ref="K3087:P3087" si="6278">"0"</f>
        <v>0</v>
      </c>
      <c r="L3087" s="1" t="str">
        <f t="shared" si="6278"/>
        <v>0</v>
      </c>
      <c r="M3087" s="1" t="str">
        <f t="shared" si="6278"/>
        <v>0</v>
      </c>
      <c r="N3087" s="1" t="str">
        <f t="shared" si="6278"/>
        <v>0</v>
      </c>
      <c r="O3087" s="1" t="str">
        <f t="shared" si="6278"/>
        <v>0</v>
      </c>
      <c r="P3087" s="1" t="str">
        <f t="shared" si="6278"/>
        <v>0</v>
      </c>
      <c r="Q3087" s="1" t="str">
        <f t="shared" si="6247"/>
        <v>0.0070</v>
      </c>
      <c r="R3087" s="1" t="s">
        <v>29</v>
      </c>
      <c r="S3087" s="1">
        <v>-0.0014</v>
      </c>
      <c r="T3087" s="1" t="str">
        <f t="shared" si="6248"/>
        <v>0</v>
      </c>
      <c r="U3087" s="1" t="str">
        <f t="shared" si="6272"/>
        <v>0.0056</v>
      </c>
    </row>
    <row r="3088" s="1" customFormat="1" spans="1:21">
      <c r="A3088" s="1" t="str">
        <f>"4601992058807"</f>
        <v>4601992058807</v>
      </c>
      <c r="B3088" s="1" t="s">
        <v>3111</v>
      </c>
      <c r="C3088" s="1" t="s">
        <v>24</v>
      </c>
      <c r="D3088" s="1" t="str">
        <f t="shared" si="6244"/>
        <v>2021</v>
      </c>
      <c r="E3088" s="1" t="str">
        <f>"36.16"</f>
        <v>36.16</v>
      </c>
      <c r="F3088" s="1" t="str">
        <f t="shared" ref="F3088:I3088" si="6279">"0"</f>
        <v>0</v>
      </c>
      <c r="G3088" s="1" t="str">
        <f t="shared" si="6279"/>
        <v>0</v>
      </c>
      <c r="H3088" s="1" t="str">
        <f t="shared" si="6279"/>
        <v>0</v>
      </c>
      <c r="I3088" s="1" t="str">
        <f t="shared" si="6279"/>
        <v>0</v>
      </c>
      <c r="J3088" s="1" t="str">
        <f>"3"</f>
        <v>3</v>
      </c>
      <c r="K3088" s="1" t="str">
        <f t="shared" ref="K3088:P3088" si="6280">"0"</f>
        <v>0</v>
      </c>
      <c r="L3088" s="1" t="str">
        <f t="shared" si="6280"/>
        <v>0</v>
      </c>
      <c r="M3088" s="1" t="str">
        <f t="shared" si="6280"/>
        <v>0</v>
      </c>
      <c r="N3088" s="1" t="str">
        <f t="shared" si="6280"/>
        <v>0</v>
      </c>
      <c r="O3088" s="1" t="str">
        <f t="shared" si="6280"/>
        <v>0</v>
      </c>
      <c r="P3088" s="1" t="str">
        <f t="shared" si="6280"/>
        <v>0</v>
      </c>
      <c r="Q3088" s="1" t="str">
        <f t="shared" si="6247"/>
        <v>0.0070</v>
      </c>
      <c r="R3088" s="1" t="s">
        <v>25</v>
      </c>
      <c r="T3088" s="1" t="str">
        <f t="shared" si="6248"/>
        <v>0</v>
      </c>
      <c r="U3088" s="1" t="str">
        <f t="shared" ref="U3088:U3091" si="6281">"0.0070"</f>
        <v>0.0070</v>
      </c>
    </row>
    <row r="3089" s="1" customFormat="1" spans="1:21">
      <c r="A3089" s="1" t="str">
        <f>"4601992058890"</f>
        <v>4601992058890</v>
      </c>
      <c r="B3089" s="1" t="s">
        <v>3112</v>
      </c>
      <c r="C3089" s="1" t="s">
        <v>24</v>
      </c>
      <c r="D3089" s="1" t="str">
        <f t="shared" si="6244"/>
        <v>2021</v>
      </c>
      <c r="E3089" s="1" t="str">
        <f>"12.09"</f>
        <v>12.09</v>
      </c>
      <c r="F3089" s="1" t="str">
        <f t="shared" ref="F3089:I3089" si="6282">"0"</f>
        <v>0</v>
      </c>
      <c r="G3089" s="1" t="str">
        <f t="shared" si="6282"/>
        <v>0</v>
      </c>
      <c r="H3089" s="1" t="str">
        <f t="shared" si="6282"/>
        <v>0</v>
      </c>
      <c r="I3089" s="1" t="str">
        <f t="shared" si="6282"/>
        <v>0</v>
      </c>
      <c r="J3089" s="1" t="str">
        <f>"2"</f>
        <v>2</v>
      </c>
      <c r="K3089" s="1" t="str">
        <f t="shared" ref="K3089:P3089" si="6283">"0"</f>
        <v>0</v>
      </c>
      <c r="L3089" s="1" t="str">
        <f t="shared" si="6283"/>
        <v>0</v>
      </c>
      <c r="M3089" s="1" t="str">
        <f t="shared" si="6283"/>
        <v>0</v>
      </c>
      <c r="N3089" s="1" t="str">
        <f t="shared" si="6283"/>
        <v>0</v>
      </c>
      <c r="O3089" s="1" t="str">
        <f t="shared" si="6283"/>
        <v>0</v>
      </c>
      <c r="P3089" s="1" t="str">
        <f t="shared" si="6283"/>
        <v>0</v>
      </c>
      <c r="Q3089" s="1" t="str">
        <f t="shared" si="6247"/>
        <v>0.0070</v>
      </c>
      <c r="R3089" s="1" t="s">
        <v>29</v>
      </c>
      <c r="S3089" s="1">
        <v>-0.0014</v>
      </c>
      <c r="T3089" s="1" t="str">
        <f t="shared" si="6248"/>
        <v>0</v>
      </c>
      <c r="U3089" s="1" t="str">
        <f t="shared" ref="U3089:U3094" si="6284">"0.0056"</f>
        <v>0.0056</v>
      </c>
    </row>
    <row r="3090" s="1" customFormat="1" spans="1:21">
      <c r="A3090" s="1" t="str">
        <f>"4601992058897"</f>
        <v>4601992058897</v>
      </c>
      <c r="B3090" s="1" t="s">
        <v>3113</v>
      </c>
      <c r="C3090" s="1" t="s">
        <v>24</v>
      </c>
      <c r="D3090" s="1" t="str">
        <f t="shared" si="6244"/>
        <v>2021</v>
      </c>
      <c r="E3090" s="1" t="str">
        <f t="shared" ref="E3090:P3090" si="6285">"0"</f>
        <v>0</v>
      </c>
      <c r="F3090" s="1" t="str">
        <f t="shared" si="6285"/>
        <v>0</v>
      </c>
      <c r="G3090" s="1" t="str">
        <f t="shared" si="6285"/>
        <v>0</v>
      </c>
      <c r="H3090" s="1" t="str">
        <f t="shared" si="6285"/>
        <v>0</v>
      </c>
      <c r="I3090" s="1" t="str">
        <f t="shared" si="6285"/>
        <v>0</v>
      </c>
      <c r="J3090" s="1" t="str">
        <f t="shared" si="6285"/>
        <v>0</v>
      </c>
      <c r="K3090" s="1" t="str">
        <f t="shared" si="6285"/>
        <v>0</v>
      </c>
      <c r="L3090" s="1" t="str">
        <f t="shared" si="6285"/>
        <v>0</v>
      </c>
      <c r="M3090" s="1" t="str">
        <f t="shared" si="6285"/>
        <v>0</v>
      </c>
      <c r="N3090" s="1" t="str">
        <f t="shared" si="6285"/>
        <v>0</v>
      </c>
      <c r="O3090" s="1" t="str">
        <f t="shared" si="6285"/>
        <v>0</v>
      </c>
      <c r="P3090" s="1" t="str">
        <f t="shared" si="6285"/>
        <v>0</v>
      </c>
      <c r="Q3090" s="1" t="str">
        <f t="shared" si="6247"/>
        <v>0.0070</v>
      </c>
      <c r="R3090" s="1" t="s">
        <v>25</v>
      </c>
      <c r="T3090" s="1" t="str">
        <f t="shared" si="6248"/>
        <v>0</v>
      </c>
      <c r="U3090" s="1" t="str">
        <f t="shared" si="6281"/>
        <v>0.0070</v>
      </c>
    </row>
    <row r="3091" s="1" customFormat="1" spans="1:21">
      <c r="A3091" s="1" t="str">
        <f>"4601992058930"</f>
        <v>4601992058930</v>
      </c>
      <c r="B3091" s="1" t="s">
        <v>3114</v>
      </c>
      <c r="C3091" s="1" t="s">
        <v>24</v>
      </c>
      <c r="D3091" s="1" t="str">
        <f t="shared" si="6244"/>
        <v>2021</v>
      </c>
      <c r="E3091" s="1" t="str">
        <f t="shared" ref="E3091:P3091" si="6286">"0"</f>
        <v>0</v>
      </c>
      <c r="F3091" s="1" t="str">
        <f t="shared" si="6286"/>
        <v>0</v>
      </c>
      <c r="G3091" s="1" t="str">
        <f t="shared" si="6286"/>
        <v>0</v>
      </c>
      <c r="H3091" s="1" t="str">
        <f t="shared" si="6286"/>
        <v>0</v>
      </c>
      <c r="I3091" s="1" t="str">
        <f t="shared" si="6286"/>
        <v>0</v>
      </c>
      <c r="J3091" s="1" t="str">
        <f t="shared" si="6286"/>
        <v>0</v>
      </c>
      <c r="K3091" s="1" t="str">
        <f t="shared" si="6286"/>
        <v>0</v>
      </c>
      <c r="L3091" s="1" t="str">
        <f t="shared" si="6286"/>
        <v>0</v>
      </c>
      <c r="M3091" s="1" t="str">
        <f t="shared" si="6286"/>
        <v>0</v>
      </c>
      <c r="N3091" s="1" t="str">
        <f t="shared" si="6286"/>
        <v>0</v>
      </c>
      <c r="O3091" s="1" t="str">
        <f t="shared" si="6286"/>
        <v>0</v>
      </c>
      <c r="P3091" s="1" t="str">
        <f t="shared" si="6286"/>
        <v>0</v>
      </c>
      <c r="Q3091" s="1" t="str">
        <f t="shared" si="6247"/>
        <v>0.0070</v>
      </c>
      <c r="R3091" s="1" t="s">
        <v>25</v>
      </c>
      <c r="T3091" s="1" t="str">
        <f t="shared" si="6248"/>
        <v>0</v>
      </c>
      <c r="U3091" s="1" t="str">
        <f t="shared" si="6281"/>
        <v>0.0070</v>
      </c>
    </row>
    <row r="3092" s="1" customFormat="1" spans="1:21">
      <c r="A3092" s="1" t="str">
        <f>"4601992058907"</f>
        <v>4601992058907</v>
      </c>
      <c r="B3092" s="1" t="s">
        <v>3115</v>
      </c>
      <c r="C3092" s="1" t="s">
        <v>24</v>
      </c>
      <c r="D3092" s="1" t="str">
        <f t="shared" si="6244"/>
        <v>2021</v>
      </c>
      <c r="E3092" s="1" t="str">
        <f>"24.18"</f>
        <v>24.18</v>
      </c>
      <c r="F3092" s="1" t="str">
        <f t="shared" ref="F3092:I3092" si="6287">"0"</f>
        <v>0</v>
      </c>
      <c r="G3092" s="1" t="str">
        <f t="shared" si="6287"/>
        <v>0</v>
      </c>
      <c r="H3092" s="1" t="str">
        <f t="shared" si="6287"/>
        <v>0</v>
      </c>
      <c r="I3092" s="1" t="str">
        <f t="shared" si="6287"/>
        <v>0</v>
      </c>
      <c r="J3092" s="1" t="str">
        <f>"5"</f>
        <v>5</v>
      </c>
      <c r="K3092" s="1" t="str">
        <f t="shared" ref="K3092:P3092" si="6288">"0"</f>
        <v>0</v>
      </c>
      <c r="L3092" s="1" t="str">
        <f t="shared" si="6288"/>
        <v>0</v>
      </c>
      <c r="M3092" s="1" t="str">
        <f t="shared" si="6288"/>
        <v>0</v>
      </c>
      <c r="N3092" s="1" t="str">
        <f t="shared" si="6288"/>
        <v>0</v>
      </c>
      <c r="O3092" s="1" t="str">
        <f t="shared" si="6288"/>
        <v>0</v>
      </c>
      <c r="P3092" s="1" t="str">
        <f t="shared" si="6288"/>
        <v>0</v>
      </c>
      <c r="Q3092" s="1" t="str">
        <f t="shared" si="6247"/>
        <v>0.0070</v>
      </c>
      <c r="R3092" s="1" t="s">
        <v>29</v>
      </c>
      <c r="S3092" s="1">
        <v>-0.0014</v>
      </c>
      <c r="T3092" s="1" t="str">
        <f t="shared" si="6248"/>
        <v>0</v>
      </c>
      <c r="U3092" s="1" t="str">
        <f t="shared" si="6284"/>
        <v>0.0056</v>
      </c>
    </row>
    <row r="3093" s="1" customFormat="1" spans="1:21">
      <c r="A3093" s="1" t="str">
        <f>"4601992058951"</f>
        <v>4601992058951</v>
      </c>
      <c r="B3093" s="1" t="s">
        <v>3116</v>
      </c>
      <c r="C3093" s="1" t="s">
        <v>24</v>
      </c>
      <c r="D3093" s="1" t="str">
        <f t="shared" si="6244"/>
        <v>2021</v>
      </c>
      <c r="E3093" s="1" t="str">
        <f t="shared" ref="E3093:P3093" si="6289">"0"</f>
        <v>0</v>
      </c>
      <c r="F3093" s="1" t="str">
        <f t="shared" si="6289"/>
        <v>0</v>
      </c>
      <c r="G3093" s="1" t="str">
        <f t="shared" si="6289"/>
        <v>0</v>
      </c>
      <c r="H3093" s="1" t="str">
        <f t="shared" si="6289"/>
        <v>0</v>
      </c>
      <c r="I3093" s="1" t="str">
        <f t="shared" si="6289"/>
        <v>0</v>
      </c>
      <c r="J3093" s="1" t="str">
        <f t="shared" si="6289"/>
        <v>0</v>
      </c>
      <c r="K3093" s="1" t="str">
        <f t="shared" si="6289"/>
        <v>0</v>
      </c>
      <c r="L3093" s="1" t="str">
        <f t="shared" si="6289"/>
        <v>0</v>
      </c>
      <c r="M3093" s="1" t="str">
        <f t="shared" si="6289"/>
        <v>0</v>
      </c>
      <c r="N3093" s="1" t="str">
        <f t="shared" si="6289"/>
        <v>0</v>
      </c>
      <c r="O3093" s="1" t="str">
        <f t="shared" si="6289"/>
        <v>0</v>
      </c>
      <c r="P3093" s="1" t="str">
        <f t="shared" si="6289"/>
        <v>0</v>
      </c>
      <c r="Q3093" s="1" t="str">
        <f t="shared" si="6247"/>
        <v>0.0070</v>
      </c>
      <c r="R3093" s="1" t="s">
        <v>25</v>
      </c>
      <c r="T3093" s="1" t="str">
        <f t="shared" si="6248"/>
        <v>0</v>
      </c>
      <c r="U3093" s="1" t="str">
        <f t="shared" ref="U3093:U3098" si="6290">"0.0070"</f>
        <v>0.0070</v>
      </c>
    </row>
    <row r="3094" s="1" customFormat="1" spans="1:21">
      <c r="A3094" s="1" t="str">
        <f>"4601992058994"</f>
        <v>4601992058994</v>
      </c>
      <c r="B3094" s="1" t="s">
        <v>3117</v>
      </c>
      <c r="C3094" s="1" t="s">
        <v>24</v>
      </c>
      <c r="D3094" s="1" t="str">
        <f t="shared" si="6244"/>
        <v>2021</v>
      </c>
      <c r="E3094" s="1" t="str">
        <f>"12.09"</f>
        <v>12.09</v>
      </c>
      <c r="F3094" s="1" t="str">
        <f t="shared" ref="F3094:I3094" si="6291">"0"</f>
        <v>0</v>
      </c>
      <c r="G3094" s="1" t="str">
        <f t="shared" si="6291"/>
        <v>0</v>
      </c>
      <c r="H3094" s="1" t="str">
        <f t="shared" si="6291"/>
        <v>0</v>
      </c>
      <c r="I3094" s="1" t="str">
        <f t="shared" si="6291"/>
        <v>0</v>
      </c>
      <c r="J3094" s="1" t="str">
        <f>"1"</f>
        <v>1</v>
      </c>
      <c r="K3094" s="1" t="str">
        <f t="shared" ref="K3094:P3094" si="6292">"0"</f>
        <v>0</v>
      </c>
      <c r="L3094" s="1" t="str">
        <f t="shared" si="6292"/>
        <v>0</v>
      </c>
      <c r="M3094" s="1" t="str">
        <f t="shared" si="6292"/>
        <v>0</v>
      </c>
      <c r="N3094" s="1" t="str">
        <f t="shared" si="6292"/>
        <v>0</v>
      </c>
      <c r="O3094" s="1" t="str">
        <f t="shared" si="6292"/>
        <v>0</v>
      </c>
      <c r="P3094" s="1" t="str">
        <f t="shared" si="6292"/>
        <v>0</v>
      </c>
      <c r="Q3094" s="1" t="str">
        <f t="shared" si="6247"/>
        <v>0.0070</v>
      </c>
      <c r="R3094" s="1" t="s">
        <v>29</v>
      </c>
      <c r="S3094" s="1">
        <v>-0.0014</v>
      </c>
      <c r="T3094" s="1" t="str">
        <f t="shared" si="6248"/>
        <v>0</v>
      </c>
      <c r="U3094" s="1" t="str">
        <f t="shared" si="6284"/>
        <v>0.0056</v>
      </c>
    </row>
    <row r="3095" s="1" customFormat="1" spans="1:21">
      <c r="A3095" s="1" t="str">
        <f>"4601992059069"</f>
        <v>4601992059069</v>
      </c>
      <c r="B3095" s="1" t="s">
        <v>3118</v>
      </c>
      <c r="C3095" s="1" t="s">
        <v>24</v>
      </c>
      <c r="D3095" s="1" t="str">
        <f t="shared" si="6244"/>
        <v>2021</v>
      </c>
      <c r="E3095" s="1" t="str">
        <f t="shared" ref="E3095:P3095" si="6293">"0"</f>
        <v>0</v>
      </c>
      <c r="F3095" s="1" t="str">
        <f t="shared" si="6293"/>
        <v>0</v>
      </c>
      <c r="G3095" s="1" t="str">
        <f t="shared" si="6293"/>
        <v>0</v>
      </c>
      <c r="H3095" s="1" t="str">
        <f t="shared" si="6293"/>
        <v>0</v>
      </c>
      <c r="I3095" s="1" t="str">
        <f t="shared" si="6293"/>
        <v>0</v>
      </c>
      <c r="J3095" s="1" t="str">
        <f t="shared" si="6293"/>
        <v>0</v>
      </c>
      <c r="K3095" s="1" t="str">
        <f t="shared" si="6293"/>
        <v>0</v>
      </c>
      <c r="L3095" s="1" t="str">
        <f t="shared" si="6293"/>
        <v>0</v>
      </c>
      <c r="M3095" s="1" t="str">
        <f t="shared" si="6293"/>
        <v>0</v>
      </c>
      <c r="N3095" s="1" t="str">
        <f t="shared" si="6293"/>
        <v>0</v>
      </c>
      <c r="O3095" s="1" t="str">
        <f t="shared" si="6293"/>
        <v>0</v>
      </c>
      <c r="P3095" s="1" t="str">
        <f t="shared" si="6293"/>
        <v>0</v>
      </c>
      <c r="Q3095" s="1" t="str">
        <f t="shared" si="6247"/>
        <v>0.0070</v>
      </c>
      <c r="R3095" s="1" t="s">
        <v>25</v>
      </c>
      <c r="T3095" s="1" t="str">
        <f t="shared" si="6248"/>
        <v>0</v>
      </c>
      <c r="U3095" s="1" t="str">
        <f t="shared" si="6290"/>
        <v>0.0070</v>
      </c>
    </row>
    <row r="3096" s="1" customFormat="1" spans="1:21">
      <c r="A3096" s="1" t="str">
        <f>"4601992059006"</f>
        <v>4601992059006</v>
      </c>
      <c r="B3096" s="1" t="s">
        <v>3119</v>
      </c>
      <c r="C3096" s="1" t="s">
        <v>24</v>
      </c>
      <c r="D3096" s="1" t="str">
        <f t="shared" si="6244"/>
        <v>2021</v>
      </c>
      <c r="E3096" s="1" t="str">
        <f>"48.25"</f>
        <v>48.25</v>
      </c>
      <c r="F3096" s="1" t="str">
        <f t="shared" ref="F3096:I3096" si="6294">"0"</f>
        <v>0</v>
      </c>
      <c r="G3096" s="1" t="str">
        <f t="shared" si="6294"/>
        <v>0</v>
      </c>
      <c r="H3096" s="1" t="str">
        <f t="shared" si="6294"/>
        <v>0</v>
      </c>
      <c r="I3096" s="1" t="str">
        <f t="shared" si="6294"/>
        <v>0</v>
      </c>
      <c r="J3096" s="1" t="str">
        <f>"4"</f>
        <v>4</v>
      </c>
      <c r="K3096" s="1" t="str">
        <f t="shared" ref="K3096:P3096" si="6295">"0"</f>
        <v>0</v>
      </c>
      <c r="L3096" s="1" t="str">
        <f t="shared" si="6295"/>
        <v>0</v>
      </c>
      <c r="M3096" s="1" t="str">
        <f t="shared" si="6295"/>
        <v>0</v>
      </c>
      <c r="N3096" s="1" t="str">
        <f t="shared" si="6295"/>
        <v>0</v>
      </c>
      <c r="O3096" s="1" t="str">
        <f t="shared" si="6295"/>
        <v>0</v>
      </c>
      <c r="P3096" s="1" t="str">
        <f t="shared" si="6295"/>
        <v>0</v>
      </c>
      <c r="Q3096" s="1" t="str">
        <f t="shared" si="6247"/>
        <v>0.0070</v>
      </c>
      <c r="R3096" s="1" t="s">
        <v>29</v>
      </c>
      <c r="S3096" s="1">
        <v>-0.0014</v>
      </c>
      <c r="T3096" s="1" t="str">
        <f t="shared" si="6248"/>
        <v>0</v>
      </c>
      <c r="U3096" s="1" t="str">
        <f t="shared" ref="U3096:U3099" si="6296">"0.0056"</f>
        <v>0.0056</v>
      </c>
    </row>
    <row r="3097" s="1" customFormat="1" spans="1:21">
      <c r="A3097" s="1" t="str">
        <f>"4601992059061"</f>
        <v>4601992059061</v>
      </c>
      <c r="B3097" s="1" t="s">
        <v>3120</v>
      </c>
      <c r="C3097" s="1" t="s">
        <v>24</v>
      </c>
      <c r="D3097" s="1" t="str">
        <f t="shared" si="6244"/>
        <v>2021</v>
      </c>
      <c r="E3097" s="1" t="str">
        <f>"108.81"</f>
        <v>108.81</v>
      </c>
      <c r="F3097" s="1" t="str">
        <f t="shared" ref="F3097:I3097" si="6297">"0"</f>
        <v>0</v>
      </c>
      <c r="G3097" s="1" t="str">
        <f t="shared" si="6297"/>
        <v>0</v>
      </c>
      <c r="H3097" s="1" t="str">
        <f t="shared" si="6297"/>
        <v>0</v>
      </c>
      <c r="I3097" s="1" t="str">
        <f t="shared" si="6297"/>
        <v>0</v>
      </c>
      <c r="J3097" s="1" t="str">
        <f>"9"</f>
        <v>9</v>
      </c>
      <c r="K3097" s="1" t="str">
        <f t="shared" ref="K3097:P3097" si="6298">"0"</f>
        <v>0</v>
      </c>
      <c r="L3097" s="1" t="str">
        <f t="shared" si="6298"/>
        <v>0</v>
      </c>
      <c r="M3097" s="1" t="str">
        <f t="shared" si="6298"/>
        <v>0</v>
      </c>
      <c r="N3097" s="1" t="str">
        <f t="shared" si="6298"/>
        <v>0</v>
      </c>
      <c r="O3097" s="1" t="str">
        <f t="shared" si="6298"/>
        <v>0</v>
      </c>
      <c r="P3097" s="1" t="str">
        <f t="shared" si="6298"/>
        <v>0</v>
      </c>
      <c r="Q3097" s="1" t="str">
        <f t="shared" si="6247"/>
        <v>0.0070</v>
      </c>
      <c r="R3097" s="1" t="s">
        <v>29</v>
      </c>
      <c r="S3097" s="1">
        <v>-0.0014</v>
      </c>
      <c r="T3097" s="1" t="str">
        <f t="shared" si="6248"/>
        <v>0</v>
      </c>
      <c r="U3097" s="1" t="str">
        <f t="shared" si="6296"/>
        <v>0.0056</v>
      </c>
    </row>
    <row r="3098" s="1" customFormat="1" spans="1:21">
      <c r="A3098" s="1" t="str">
        <f>"4601992059085"</f>
        <v>4601992059085</v>
      </c>
      <c r="B3098" s="1" t="s">
        <v>3121</v>
      </c>
      <c r="C3098" s="1" t="s">
        <v>24</v>
      </c>
      <c r="D3098" s="1" t="str">
        <f t="shared" si="6244"/>
        <v>2021</v>
      </c>
      <c r="E3098" s="1" t="str">
        <f t="shared" ref="E3098:P3098" si="6299">"0"</f>
        <v>0</v>
      </c>
      <c r="F3098" s="1" t="str">
        <f t="shared" si="6299"/>
        <v>0</v>
      </c>
      <c r="G3098" s="1" t="str">
        <f t="shared" si="6299"/>
        <v>0</v>
      </c>
      <c r="H3098" s="1" t="str">
        <f t="shared" si="6299"/>
        <v>0</v>
      </c>
      <c r="I3098" s="1" t="str">
        <f t="shared" si="6299"/>
        <v>0</v>
      </c>
      <c r="J3098" s="1" t="str">
        <f t="shared" si="6299"/>
        <v>0</v>
      </c>
      <c r="K3098" s="1" t="str">
        <f t="shared" si="6299"/>
        <v>0</v>
      </c>
      <c r="L3098" s="1" t="str">
        <f t="shared" si="6299"/>
        <v>0</v>
      </c>
      <c r="M3098" s="1" t="str">
        <f t="shared" si="6299"/>
        <v>0</v>
      </c>
      <c r="N3098" s="1" t="str">
        <f t="shared" si="6299"/>
        <v>0</v>
      </c>
      <c r="O3098" s="1" t="str">
        <f t="shared" si="6299"/>
        <v>0</v>
      </c>
      <c r="P3098" s="1" t="str">
        <f t="shared" si="6299"/>
        <v>0</v>
      </c>
      <c r="Q3098" s="1" t="str">
        <f t="shared" si="6247"/>
        <v>0.0070</v>
      </c>
      <c r="R3098" s="1" t="s">
        <v>25</v>
      </c>
      <c r="T3098" s="1" t="str">
        <f t="shared" si="6248"/>
        <v>0</v>
      </c>
      <c r="U3098" s="1" t="str">
        <f t="shared" si="6290"/>
        <v>0.0070</v>
      </c>
    </row>
    <row r="3099" s="1" customFormat="1" spans="1:21">
      <c r="A3099" s="1" t="str">
        <f>"4601992059098"</f>
        <v>4601992059098</v>
      </c>
      <c r="B3099" s="1" t="s">
        <v>3122</v>
      </c>
      <c r="C3099" s="1" t="s">
        <v>24</v>
      </c>
      <c r="D3099" s="1" t="str">
        <f t="shared" si="6244"/>
        <v>2021</v>
      </c>
      <c r="E3099" s="1" t="str">
        <f>"12.25"</f>
        <v>12.25</v>
      </c>
      <c r="F3099" s="1" t="str">
        <f t="shared" ref="F3099:I3099" si="6300">"0"</f>
        <v>0</v>
      </c>
      <c r="G3099" s="1" t="str">
        <f t="shared" si="6300"/>
        <v>0</v>
      </c>
      <c r="H3099" s="1" t="str">
        <f t="shared" si="6300"/>
        <v>0</v>
      </c>
      <c r="I3099" s="1" t="str">
        <f t="shared" si="6300"/>
        <v>0</v>
      </c>
      <c r="J3099" s="1" t="str">
        <f t="shared" ref="J3099:J3102" si="6301">"1"</f>
        <v>1</v>
      </c>
      <c r="K3099" s="1" t="str">
        <f t="shared" ref="K3099:P3099" si="6302">"0"</f>
        <v>0</v>
      </c>
      <c r="L3099" s="1" t="str">
        <f t="shared" si="6302"/>
        <v>0</v>
      </c>
      <c r="M3099" s="1" t="str">
        <f t="shared" si="6302"/>
        <v>0</v>
      </c>
      <c r="N3099" s="1" t="str">
        <f t="shared" si="6302"/>
        <v>0</v>
      </c>
      <c r="O3099" s="1" t="str">
        <f t="shared" si="6302"/>
        <v>0</v>
      </c>
      <c r="P3099" s="1" t="str">
        <f t="shared" si="6302"/>
        <v>0</v>
      </c>
      <c r="Q3099" s="1" t="str">
        <f t="shared" si="6247"/>
        <v>0.0070</v>
      </c>
      <c r="R3099" s="1" t="s">
        <v>29</v>
      </c>
      <c r="S3099" s="1">
        <v>-0.0014</v>
      </c>
      <c r="T3099" s="1" t="str">
        <f t="shared" si="6248"/>
        <v>0</v>
      </c>
      <c r="U3099" s="1" t="str">
        <f t="shared" si="6296"/>
        <v>0.0056</v>
      </c>
    </row>
    <row r="3100" s="1" customFormat="1" spans="1:21">
      <c r="A3100" s="1" t="str">
        <f>"4601992059079"</f>
        <v>4601992059079</v>
      </c>
      <c r="B3100" s="1" t="s">
        <v>3123</v>
      </c>
      <c r="C3100" s="1" t="s">
        <v>24</v>
      </c>
      <c r="D3100" s="1" t="str">
        <f t="shared" si="6244"/>
        <v>2021</v>
      </c>
      <c r="E3100" s="1" t="str">
        <f t="shared" ref="E3100:I3100" si="6303">"0"</f>
        <v>0</v>
      </c>
      <c r="F3100" s="1" t="str">
        <f t="shared" si="6303"/>
        <v>0</v>
      </c>
      <c r="G3100" s="1" t="str">
        <f t="shared" si="6303"/>
        <v>0</v>
      </c>
      <c r="H3100" s="1" t="str">
        <f t="shared" si="6303"/>
        <v>0</v>
      </c>
      <c r="I3100" s="1" t="str">
        <f t="shared" si="6303"/>
        <v>0</v>
      </c>
      <c r="J3100" s="1" t="str">
        <f t="shared" si="6301"/>
        <v>1</v>
      </c>
      <c r="K3100" s="1" t="str">
        <f t="shared" ref="K3100:P3100" si="6304">"0"</f>
        <v>0</v>
      </c>
      <c r="L3100" s="1" t="str">
        <f t="shared" si="6304"/>
        <v>0</v>
      </c>
      <c r="M3100" s="1" t="str">
        <f t="shared" si="6304"/>
        <v>0</v>
      </c>
      <c r="N3100" s="1" t="str">
        <f t="shared" si="6304"/>
        <v>0</v>
      </c>
      <c r="O3100" s="1" t="str">
        <f t="shared" si="6304"/>
        <v>0</v>
      </c>
      <c r="P3100" s="1" t="str">
        <f t="shared" si="6304"/>
        <v>0</v>
      </c>
      <c r="Q3100" s="1" t="str">
        <f t="shared" si="6247"/>
        <v>0.0070</v>
      </c>
      <c r="R3100" s="1" t="s">
        <v>25</v>
      </c>
      <c r="T3100" s="1" t="str">
        <f t="shared" si="6248"/>
        <v>0</v>
      </c>
      <c r="U3100" s="1" t="str">
        <f t="shared" ref="U3100:U3105" si="6305">"0.0070"</f>
        <v>0.0070</v>
      </c>
    </row>
    <row r="3101" s="1" customFormat="1" spans="1:21">
      <c r="A3101" s="1" t="str">
        <f>"4601992059097"</f>
        <v>4601992059097</v>
      </c>
      <c r="B3101" s="1" t="s">
        <v>3124</v>
      </c>
      <c r="C3101" s="1" t="s">
        <v>24</v>
      </c>
      <c r="D3101" s="1" t="str">
        <f t="shared" si="6244"/>
        <v>2021</v>
      </c>
      <c r="E3101" s="1" t="str">
        <f>"60.45"</f>
        <v>60.45</v>
      </c>
      <c r="F3101" s="1" t="str">
        <f t="shared" ref="F3101:I3101" si="6306">"0"</f>
        <v>0</v>
      </c>
      <c r="G3101" s="1" t="str">
        <f t="shared" si="6306"/>
        <v>0</v>
      </c>
      <c r="H3101" s="1" t="str">
        <f t="shared" si="6306"/>
        <v>0</v>
      </c>
      <c r="I3101" s="1" t="str">
        <f t="shared" si="6306"/>
        <v>0</v>
      </c>
      <c r="J3101" s="1" t="str">
        <f>"5"</f>
        <v>5</v>
      </c>
      <c r="K3101" s="1" t="str">
        <f t="shared" ref="K3101:P3101" si="6307">"0"</f>
        <v>0</v>
      </c>
      <c r="L3101" s="1" t="str">
        <f t="shared" si="6307"/>
        <v>0</v>
      </c>
      <c r="M3101" s="1" t="str">
        <f t="shared" si="6307"/>
        <v>0</v>
      </c>
      <c r="N3101" s="1" t="str">
        <f t="shared" si="6307"/>
        <v>0</v>
      </c>
      <c r="O3101" s="1" t="str">
        <f t="shared" si="6307"/>
        <v>0</v>
      </c>
      <c r="P3101" s="1" t="str">
        <f t="shared" si="6307"/>
        <v>0</v>
      </c>
      <c r="Q3101" s="1" t="str">
        <f t="shared" si="6247"/>
        <v>0.0070</v>
      </c>
      <c r="R3101" s="1" t="s">
        <v>29</v>
      </c>
      <c r="S3101" s="1">
        <v>-0.0014</v>
      </c>
      <c r="T3101" s="1" t="str">
        <f t="shared" si="6248"/>
        <v>0</v>
      </c>
      <c r="U3101" s="1" t="str">
        <f>"0.0056"</f>
        <v>0.0056</v>
      </c>
    </row>
    <row r="3102" s="1" customFormat="1" spans="1:21">
      <c r="A3102" s="1" t="str">
        <f>"4601992059153"</f>
        <v>4601992059153</v>
      </c>
      <c r="B3102" s="1" t="s">
        <v>3125</v>
      </c>
      <c r="C3102" s="1" t="s">
        <v>24</v>
      </c>
      <c r="D3102" s="1" t="str">
        <f t="shared" si="6244"/>
        <v>2021</v>
      </c>
      <c r="E3102" s="1" t="str">
        <f>"24.07"</f>
        <v>24.07</v>
      </c>
      <c r="F3102" s="1" t="str">
        <f t="shared" ref="F3102:I3102" si="6308">"0"</f>
        <v>0</v>
      </c>
      <c r="G3102" s="1" t="str">
        <f t="shared" si="6308"/>
        <v>0</v>
      </c>
      <c r="H3102" s="1" t="str">
        <f t="shared" si="6308"/>
        <v>0</v>
      </c>
      <c r="I3102" s="1" t="str">
        <f t="shared" si="6308"/>
        <v>0</v>
      </c>
      <c r="J3102" s="1" t="str">
        <f t="shared" si="6301"/>
        <v>1</v>
      </c>
      <c r="K3102" s="1" t="str">
        <f t="shared" ref="K3102:P3102" si="6309">"0"</f>
        <v>0</v>
      </c>
      <c r="L3102" s="1" t="str">
        <f t="shared" si="6309"/>
        <v>0</v>
      </c>
      <c r="M3102" s="1" t="str">
        <f t="shared" si="6309"/>
        <v>0</v>
      </c>
      <c r="N3102" s="1" t="str">
        <f t="shared" si="6309"/>
        <v>0</v>
      </c>
      <c r="O3102" s="1" t="str">
        <f t="shared" si="6309"/>
        <v>0</v>
      </c>
      <c r="P3102" s="1" t="str">
        <f t="shared" si="6309"/>
        <v>0</v>
      </c>
      <c r="Q3102" s="1" t="str">
        <f t="shared" si="6247"/>
        <v>0.0070</v>
      </c>
      <c r="R3102" s="1" t="s">
        <v>25</v>
      </c>
      <c r="T3102" s="1" t="str">
        <f t="shared" si="6248"/>
        <v>0</v>
      </c>
      <c r="U3102" s="1" t="str">
        <f t="shared" si="6305"/>
        <v>0.0070</v>
      </c>
    </row>
    <row r="3103" s="1" customFormat="1" spans="1:21">
      <c r="A3103" s="1" t="str">
        <f>"4601992059180"</f>
        <v>4601992059180</v>
      </c>
      <c r="B3103" s="1" t="s">
        <v>3126</v>
      </c>
      <c r="C3103" s="1" t="s">
        <v>24</v>
      </c>
      <c r="D3103" s="1" t="str">
        <f t="shared" si="6244"/>
        <v>2021</v>
      </c>
      <c r="E3103" s="1" t="str">
        <f t="shared" ref="E3103:P3103" si="6310">"0"</f>
        <v>0</v>
      </c>
      <c r="F3103" s="1" t="str">
        <f t="shared" si="6310"/>
        <v>0</v>
      </c>
      <c r="G3103" s="1" t="str">
        <f t="shared" si="6310"/>
        <v>0</v>
      </c>
      <c r="H3103" s="1" t="str">
        <f t="shared" si="6310"/>
        <v>0</v>
      </c>
      <c r="I3103" s="1" t="str">
        <f t="shared" si="6310"/>
        <v>0</v>
      </c>
      <c r="J3103" s="1" t="str">
        <f t="shared" si="6310"/>
        <v>0</v>
      </c>
      <c r="K3103" s="1" t="str">
        <f t="shared" si="6310"/>
        <v>0</v>
      </c>
      <c r="L3103" s="1" t="str">
        <f t="shared" si="6310"/>
        <v>0</v>
      </c>
      <c r="M3103" s="1" t="str">
        <f t="shared" si="6310"/>
        <v>0</v>
      </c>
      <c r="N3103" s="1" t="str">
        <f t="shared" si="6310"/>
        <v>0</v>
      </c>
      <c r="O3103" s="1" t="str">
        <f t="shared" si="6310"/>
        <v>0</v>
      </c>
      <c r="P3103" s="1" t="str">
        <f t="shared" si="6310"/>
        <v>0</v>
      </c>
      <c r="Q3103" s="1" t="str">
        <f t="shared" si="6247"/>
        <v>0.0070</v>
      </c>
      <c r="R3103" s="1" t="s">
        <v>25</v>
      </c>
      <c r="T3103" s="1" t="str">
        <f t="shared" si="6248"/>
        <v>0</v>
      </c>
      <c r="U3103" s="1" t="str">
        <f t="shared" si="6305"/>
        <v>0.0070</v>
      </c>
    </row>
    <row r="3104" s="1" customFormat="1" spans="1:21">
      <c r="A3104" s="1" t="str">
        <f>"4601992059176"</f>
        <v>4601992059176</v>
      </c>
      <c r="B3104" s="1" t="s">
        <v>3127</v>
      </c>
      <c r="C3104" s="1" t="s">
        <v>24</v>
      </c>
      <c r="D3104" s="1" t="str">
        <f t="shared" si="6244"/>
        <v>2021</v>
      </c>
      <c r="E3104" s="1" t="str">
        <f t="shared" ref="E3104:E3108" si="6311">"12.09"</f>
        <v>12.09</v>
      </c>
      <c r="F3104" s="1" t="str">
        <f t="shared" ref="F3104:I3104" si="6312">"0"</f>
        <v>0</v>
      </c>
      <c r="G3104" s="1" t="str">
        <f t="shared" si="6312"/>
        <v>0</v>
      </c>
      <c r="H3104" s="1" t="str">
        <f t="shared" si="6312"/>
        <v>0</v>
      </c>
      <c r="I3104" s="1" t="str">
        <f t="shared" si="6312"/>
        <v>0</v>
      </c>
      <c r="J3104" s="1" t="str">
        <f t="shared" ref="J3104:J3108" si="6313">"1"</f>
        <v>1</v>
      </c>
      <c r="K3104" s="1" t="str">
        <f t="shared" ref="K3104:P3104" si="6314">"0"</f>
        <v>0</v>
      </c>
      <c r="L3104" s="1" t="str">
        <f t="shared" si="6314"/>
        <v>0</v>
      </c>
      <c r="M3104" s="1" t="str">
        <f t="shared" si="6314"/>
        <v>0</v>
      </c>
      <c r="N3104" s="1" t="str">
        <f t="shared" si="6314"/>
        <v>0</v>
      </c>
      <c r="O3104" s="1" t="str">
        <f t="shared" si="6314"/>
        <v>0</v>
      </c>
      <c r="P3104" s="1" t="str">
        <f t="shared" si="6314"/>
        <v>0</v>
      </c>
      <c r="Q3104" s="1" t="str">
        <f t="shared" si="6247"/>
        <v>0.0070</v>
      </c>
      <c r="R3104" s="1" t="s">
        <v>25</v>
      </c>
      <c r="T3104" s="1" t="str">
        <f t="shared" si="6248"/>
        <v>0</v>
      </c>
      <c r="U3104" s="1" t="str">
        <f t="shared" si="6305"/>
        <v>0.0070</v>
      </c>
    </row>
    <row r="3105" s="1" customFormat="1" spans="1:21">
      <c r="A3105" s="1" t="str">
        <f>"4601992059189"</f>
        <v>4601992059189</v>
      </c>
      <c r="B3105" s="1" t="s">
        <v>3128</v>
      </c>
      <c r="C3105" s="1" t="s">
        <v>24</v>
      </c>
      <c r="D3105" s="1" t="str">
        <f t="shared" si="6244"/>
        <v>2021</v>
      </c>
      <c r="E3105" s="1" t="str">
        <f t="shared" ref="E3105:P3105" si="6315">"0"</f>
        <v>0</v>
      </c>
      <c r="F3105" s="1" t="str">
        <f t="shared" si="6315"/>
        <v>0</v>
      </c>
      <c r="G3105" s="1" t="str">
        <f t="shared" si="6315"/>
        <v>0</v>
      </c>
      <c r="H3105" s="1" t="str">
        <f t="shared" si="6315"/>
        <v>0</v>
      </c>
      <c r="I3105" s="1" t="str">
        <f t="shared" si="6315"/>
        <v>0</v>
      </c>
      <c r="J3105" s="1" t="str">
        <f t="shared" si="6315"/>
        <v>0</v>
      </c>
      <c r="K3105" s="1" t="str">
        <f t="shared" si="6315"/>
        <v>0</v>
      </c>
      <c r="L3105" s="1" t="str">
        <f t="shared" si="6315"/>
        <v>0</v>
      </c>
      <c r="M3105" s="1" t="str">
        <f t="shared" si="6315"/>
        <v>0</v>
      </c>
      <c r="N3105" s="1" t="str">
        <f t="shared" si="6315"/>
        <v>0</v>
      </c>
      <c r="O3105" s="1" t="str">
        <f t="shared" si="6315"/>
        <v>0</v>
      </c>
      <c r="P3105" s="1" t="str">
        <f t="shared" si="6315"/>
        <v>0</v>
      </c>
      <c r="Q3105" s="1" t="str">
        <f t="shared" si="6247"/>
        <v>0.0070</v>
      </c>
      <c r="R3105" s="1" t="s">
        <v>25</v>
      </c>
      <c r="T3105" s="1" t="str">
        <f t="shared" si="6248"/>
        <v>0</v>
      </c>
      <c r="U3105" s="1" t="str">
        <f t="shared" si="6305"/>
        <v>0.0070</v>
      </c>
    </row>
    <row r="3106" s="1" customFormat="1" spans="1:21">
      <c r="A3106" s="1" t="str">
        <f>"4601992059206"</f>
        <v>4601992059206</v>
      </c>
      <c r="B3106" s="1" t="s">
        <v>3129</v>
      </c>
      <c r="C3106" s="1" t="s">
        <v>24</v>
      </c>
      <c r="D3106" s="1" t="str">
        <f t="shared" si="6244"/>
        <v>2021</v>
      </c>
      <c r="E3106" s="1" t="str">
        <f t="shared" si="6311"/>
        <v>12.09</v>
      </c>
      <c r="F3106" s="1" t="str">
        <f t="shared" ref="F3106:I3106" si="6316">"0"</f>
        <v>0</v>
      </c>
      <c r="G3106" s="1" t="str">
        <f t="shared" si="6316"/>
        <v>0</v>
      </c>
      <c r="H3106" s="1" t="str">
        <f t="shared" si="6316"/>
        <v>0</v>
      </c>
      <c r="I3106" s="1" t="str">
        <f t="shared" si="6316"/>
        <v>0</v>
      </c>
      <c r="J3106" s="1" t="str">
        <f t="shared" si="6313"/>
        <v>1</v>
      </c>
      <c r="K3106" s="1" t="str">
        <f t="shared" ref="K3106:P3106" si="6317">"0"</f>
        <v>0</v>
      </c>
      <c r="L3106" s="1" t="str">
        <f t="shared" si="6317"/>
        <v>0</v>
      </c>
      <c r="M3106" s="1" t="str">
        <f t="shared" si="6317"/>
        <v>0</v>
      </c>
      <c r="N3106" s="1" t="str">
        <f t="shared" si="6317"/>
        <v>0</v>
      </c>
      <c r="O3106" s="1" t="str">
        <f t="shared" si="6317"/>
        <v>0</v>
      </c>
      <c r="P3106" s="1" t="str">
        <f t="shared" si="6317"/>
        <v>0</v>
      </c>
      <c r="Q3106" s="1" t="str">
        <f t="shared" si="6247"/>
        <v>0.0070</v>
      </c>
      <c r="R3106" s="1" t="s">
        <v>29</v>
      </c>
      <c r="S3106" s="1">
        <v>-0.0014</v>
      </c>
      <c r="T3106" s="1" t="str">
        <f t="shared" si="6248"/>
        <v>0</v>
      </c>
      <c r="U3106" s="1" t="str">
        <f t="shared" ref="U3106:U3109" si="6318">"0.0056"</f>
        <v>0.0056</v>
      </c>
    </row>
    <row r="3107" s="1" customFormat="1" spans="1:21">
      <c r="A3107" s="1" t="str">
        <f>"4601992059188"</f>
        <v>4601992059188</v>
      </c>
      <c r="B3107" s="1" t="s">
        <v>3130</v>
      </c>
      <c r="C3107" s="1" t="s">
        <v>24</v>
      </c>
      <c r="D3107" s="1" t="str">
        <f t="shared" si="6244"/>
        <v>2021</v>
      </c>
      <c r="E3107" s="1" t="str">
        <f>"24.50"</f>
        <v>24.50</v>
      </c>
      <c r="F3107" s="1" t="str">
        <f t="shared" ref="F3107:I3107" si="6319">"0"</f>
        <v>0</v>
      </c>
      <c r="G3107" s="1" t="str">
        <f t="shared" si="6319"/>
        <v>0</v>
      </c>
      <c r="H3107" s="1" t="str">
        <f t="shared" si="6319"/>
        <v>0</v>
      </c>
      <c r="I3107" s="1" t="str">
        <f t="shared" si="6319"/>
        <v>0</v>
      </c>
      <c r="J3107" s="1" t="str">
        <f>"2"</f>
        <v>2</v>
      </c>
      <c r="K3107" s="1" t="str">
        <f t="shared" ref="K3107:P3107" si="6320">"0"</f>
        <v>0</v>
      </c>
      <c r="L3107" s="1" t="str">
        <f t="shared" si="6320"/>
        <v>0</v>
      </c>
      <c r="M3107" s="1" t="str">
        <f t="shared" si="6320"/>
        <v>0</v>
      </c>
      <c r="N3107" s="1" t="str">
        <f t="shared" si="6320"/>
        <v>0</v>
      </c>
      <c r="O3107" s="1" t="str">
        <f t="shared" si="6320"/>
        <v>0</v>
      </c>
      <c r="P3107" s="1" t="str">
        <f t="shared" si="6320"/>
        <v>0</v>
      </c>
      <c r="Q3107" s="1" t="str">
        <f t="shared" si="6247"/>
        <v>0.0070</v>
      </c>
      <c r="R3107" s="1" t="s">
        <v>29</v>
      </c>
      <c r="S3107" s="1">
        <v>-0.0014</v>
      </c>
      <c r="T3107" s="1" t="str">
        <f t="shared" si="6248"/>
        <v>0</v>
      </c>
      <c r="U3107" s="1" t="str">
        <f t="shared" si="6318"/>
        <v>0.0056</v>
      </c>
    </row>
    <row r="3108" s="1" customFormat="1" spans="1:21">
      <c r="A3108" s="1" t="str">
        <f>"4601992059250"</f>
        <v>4601992059250</v>
      </c>
      <c r="B3108" s="1" t="s">
        <v>3131</v>
      </c>
      <c r="C3108" s="1" t="s">
        <v>24</v>
      </c>
      <c r="D3108" s="1" t="str">
        <f t="shared" si="6244"/>
        <v>2021</v>
      </c>
      <c r="E3108" s="1" t="str">
        <f t="shared" si="6311"/>
        <v>12.09</v>
      </c>
      <c r="F3108" s="1" t="str">
        <f t="shared" ref="F3108:I3108" si="6321">"0"</f>
        <v>0</v>
      </c>
      <c r="G3108" s="1" t="str">
        <f t="shared" si="6321"/>
        <v>0</v>
      </c>
      <c r="H3108" s="1" t="str">
        <f t="shared" si="6321"/>
        <v>0</v>
      </c>
      <c r="I3108" s="1" t="str">
        <f t="shared" si="6321"/>
        <v>0</v>
      </c>
      <c r="J3108" s="1" t="str">
        <f t="shared" si="6313"/>
        <v>1</v>
      </c>
      <c r="K3108" s="1" t="str">
        <f t="shared" ref="K3108:P3108" si="6322">"0"</f>
        <v>0</v>
      </c>
      <c r="L3108" s="1" t="str">
        <f t="shared" si="6322"/>
        <v>0</v>
      </c>
      <c r="M3108" s="1" t="str">
        <f t="shared" si="6322"/>
        <v>0</v>
      </c>
      <c r="N3108" s="1" t="str">
        <f t="shared" si="6322"/>
        <v>0</v>
      </c>
      <c r="O3108" s="1" t="str">
        <f t="shared" si="6322"/>
        <v>0</v>
      </c>
      <c r="P3108" s="1" t="str">
        <f t="shared" si="6322"/>
        <v>0</v>
      </c>
      <c r="Q3108" s="1" t="str">
        <f t="shared" si="6247"/>
        <v>0.0070</v>
      </c>
      <c r="R3108" s="1" t="s">
        <v>29</v>
      </c>
      <c r="S3108" s="1">
        <v>-0.0014</v>
      </c>
      <c r="T3108" s="1" t="str">
        <f t="shared" si="6248"/>
        <v>0</v>
      </c>
      <c r="U3108" s="1" t="str">
        <f t="shared" si="6318"/>
        <v>0.0056</v>
      </c>
    </row>
    <row r="3109" s="1" customFormat="1" spans="1:21">
      <c r="A3109" s="1" t="str">
        <f>"4601992059205"</f>
        <v>4601992059205</v>
      </c>
      <c r="B3109" s="1" t="s">
        <v>3132</v>
      </c>
      <c r="C3109" s="1" t="s">
        <v>24</v>
      </c>
      <c r="D3109" s="1" t="str">
        <f t="shared" si="6244"/>
        <v>2021</v>
      </c>
      <c r="E3109" s="1" t="str">
        <f>"59.90"</f>
        <v>59.90</v>
      </c>
      <c r="F3109" s="1" t="str">
        <f t="shared" ref="F3109:I3109" si="6323">"0"</f>
        <v>0</v>
      </c>
      <c r="G3109" s="1" t="str">
        <f t="shared" si="6323"/>
        <v>0</v>
      </c>
      <c r="H3109" s="1" t="str">
        <f t="shared" si="6323"/>
        <v>0</v>
      </c>
      <c r="I3109" s="1" t="str">
        <f t="shared" si="6323"/>
        <v>0</v>
      </c>
      <c r="J3109" s="1" t="str">
        <f>"6"</f>
        <v>6</v>
      </c>
      <c r="K3109" s="1" t="str">
        <f t="shared" ref="K3109:P3109" si="6324">"0"</f>
        <v>0</v>
      </c>
      <c r="L3109" s="1" t="str">
        <f t="shared" si="6324"/>
        <v>0</v>
      </c>
      <c r="M3109" s="1" t="str">
        <f t="shared" si="6324"/>
        <v>0</v>
      </c>
      <c r="N3109" s="1" t="str">
        <f t="shared" si="6324"/>
        <v>0</v>
      </c>
      <c r="O3109" s="1" t="str">
        <f t="shared" si="6324"/>
        <v>0</v>
      </c>
      <c r="P3109" s="1" t="str">
        <f t="shared" si="6324"/>
        <v>0</v>
      </c>
      <c r="Q3109" s="1" t="str">
        <f t="shared" si="6247"/>
        <v>0.0070</v>
      </c>
      <c r="R3109" s="1" t="s">
        <v>29</v>
      </c>
      <c r="S3109" s="1">
        <v>-0.0014</v>
      </c>
      <c r="T3109" s="1" t="str">
        <f t="shared" si="6248"/>
        <v>0</v>
      </c>
      <c r="U3109" s="1" t="str">
        <f t="shared" si="6318"/>
        <v>0.0056</v>
      </c>
    </row>
    <row r="3110" s="1" customFormat="1" spans="1:21">
      <c r="A3110" s="1" t="str">
        <f>"4601992059271"</f>
        <v>4601992059271</v>
      </c>
      <c r="B3110" s="1" t="s">
        <v>3133</v>
      </c>
      <c r="C3110" s="1" t="s">
        <v>24</v>
      </c>
      <c r="D3110" s="1" t="str">
        <f t="shared" si="6244"/>
        <v>2021</v>
      </c>
      <c r="E3110" s="1" t="str">
        <f t="shared" ref="E3110:P3110" si="6325">"0"</f>
        <v>0</v>
      </c>
      <c r="F3110" s="1" t="str">
        <f t="shared" si="6325"/>
        <v>0</v>
      </c>
      <c r="G3110" s="1" t="str">
        <f t="shared" si="6325"/>
        <v>0</v>
      </c>
      <c r="H3110" s="1" t="str">
        <f t="shared" si="6325"/>
        <v>0</v>
      </c>
      <c r="I3110" s="1" t="str">
        <f t="shared" si="6325"/>
        <v>0</v>
      </c>
      <c r="J3110" s="1" t="str">
        <f t="shared" si="6325"/>
        <v>0</v>
      </c>
      <c r="K3110" s="1" t="str">
        <f t="shared" si="6325"/>
        <v>0</v>
      </c>
      <c r="L3110" s="1" t="str">
        <f t="shared" si="6325"/>
        <v>0</v>
      </c>
      <c r="M3110" s="1" t="str">
        <f t="shared" si="6325"/>
        <v>0</v>
      </c>
      <c r="N3110" s="1" t="str">
        <f t="shared" si="6325"/>
        <v>0</v>
      </c>
      <c r="O3110" s="1" t="str">
        <f t="shared" si="6325"/>
        <v>0</v>
      </c>
      <c r="P3110" s="1" t="str">
        <f t="shared" si="6325"/>
        <v>0</v>
      </c>
      <c r="Q3110" s="1" t="str">
        <f t="shared" si="6247"/>
        <v>0.0070</v>
      </c>
      <c r="R3110" s="1" t="s">
        <v>25</v>
      </c>
      <c r="T3110" s="1" t="str">
        <f t="shared" si="6248"/>
        <v>0</v>
      </c>
      <c r="U3110" s="1" t="str">
        <f t="shared" ref="U3110:U3113" si="6326">"0.0070"</f>
        <v>0.0070</v>
      </c>
    </row>
    <row r="3111" s="1" customFormat="1" spans="1:21">
      <c r="A3111" s="1" t="str">
        <f>"4601992059278"</f>
        <v>4601992059278</v>
      </c>
      <c r="B3111" s="1" t="s">
        <v>3134</v>
      </c>
      <c r="C3111" s="1" t="s">
        <v>24</v>
      </c>
      <c r="D3111" s="1" t="str">
        <f t="shared" si="6244"/>
        <v>2021</v>
      </c>
      <c r="E3111" s="1" t="str">
        <f t="shared" ref="E3111:E3116" si="6327">"12.09"</f>
        <v>12.09</v>
      </c>
      <c r="F3111" s="1" t="str">
        <f t="shared" ref="F3111:I3111" si="6328">"0"</f>
        <v>0</v>
      </c>
      <c r="G3111" s="1" t="str">
        <f t="shared" si="6328"/>
        <v>0</v>
      </c>
      <c r="H3111" s="1" t="str">
        <f t="shared" si="6328"/>
        <v>0</v>
      </c>
      <c r="I3111" s="1" t="str">
        <f t="shared" si="6328"/>
        <v>0</v>
      </c>
      <c r="J3111" s="1" t="str">
        <f t="shared" ref="J3111:J3114" si="6329">"1"</f>
        <v>1</v>
      </c>
      <c r="K3111" s="1" t="str">
        <f t="shared" ref="K3111:P3111" si="6330">"0"</f>
        <v>0</v>
      </c>
      <c r="L3111" s="1" t="str">
        <f t="shared" si="6330"/>
        <v>0</v>
      </c>
      <c r="M3111" s="1" t="str">
        <f t="shared" si="6330"/>
        <v>0</v>
      </c>
      <c r="N3111" s="1" t="str">
        <f t="shared" si="6330"/>
        <v>0</v>
      </c>
      <c r="O3111" s="1" t="str">
        <f t="shared" si="6330"/>
        <v>0</v>
      </c>
      <c r="P3111" s="1" t="str">
        <f t="shared" si="6330"/>
        <v>0</v>
      </c>
      <c r="Q3111" s="1" t="str">
        <f t="shared" si="6247"/>
        <v>0.0070</v>
      </c>
      <c r="R3111" s="1" t="s">
        <v>29</v>
      </c>
      <c r="S3111" s="1">
        <v>-0.0014</v>
      </c>
      <c r="T3111" s="1" t="str">
        <f t="shared" si="6248"/>
        <v>0</v>
      </c>
      <c r="U3111" s="1" t="str">
        <f t="shared" ref="U3111:U3119" si="6331">"0.0056"</f>
        <v>0.0056</v>
      </c>
    </row>
    <row r="3112" s="1" customFormat="1" spans="1:21">
      <c r="A3112" s="1" t="str">
        <f>"4601992059281"</f>
        <v>4601992059281</v>
      </c>
      <c r="B3112" s="1" t="s">
        <v>3135</v>
      </c>
      <c r="C3112" s="1" t="s">
        <v>24</v>
      </c>
      <c r="D3112" s="1" t="str">
        <f t="shared" si="6244"/>
        <v>2021</v>
      </c>
      <c r="E3112" s="1" t="str">
        <f t="shared" ref="E3112:G3112" si="6332">"0"</f>
        <v>0</v>
      </c>
      <c r="F3112" s="1" t="str">
        <f t="shared" si="6332"/>
        <v>0</v>
      </c>
      <c r="G3112" s="1" t="str">
        <f t="shared" si="6332"/>
        <v>0</v>
      </c>
      <c r="H3112" s="1" t="str">
        <f>"24.18"</f>
        <v>24.18</v>
      </c>
      <c r="I3112" s="1" t="str">
        <f t="shared" ref="I3112:P3112" si="6333">"0"</f>
        <v>0</v>
      </c>
      <c r="J3112" s="1" t="str">
        <f t="shared" si="6329"/>
        <v>1</v>
      </c>
      <c r="K3112" s="1" t="str">
        <f t="shared" si="6333"/>
        <v>0</v>
      </c>
      <c r="L3112" s="1" t="str">
        <f t="shared" si="6333"/>
        <v>0</v>
      </c>
      <c r="M3112" s="1" t="str">
        <f t="shared" si="6333"/>
        <v>0</v>
      </c>
      <c r="N3112" s="1" t="str">
        <f t="shared" si="6333"/>
        <v>0</v>
      </c>
      <c r="O3112" s="1" t="str">
        <f t="shared" si="6333"/>
        <v>0</v>
      </c>
      <c r="P3112" s="1" t="str">
        <f t="shared" si="6333"/>
        <v>0</v>
      </c>
      <c r="Q3112" s="1" t="str">
        <f t="shared" si="6247"/>
        <v>0.0070</v>
      </c>
      <c r="R3112" s="1" t="s">
        <v>25</v>
      </c>
      <c r="T3112" s="1" t="str">
        <f t="shared" si="6248"/>
        <v>0</v>
      </c>
      <c r="U3112" s="1" t="str">
        <f t="shared" si="6326"/>
        <v>0.0070</v>
      </c>
    </row>
    <row r="3113" s="1" customFormat="1" spans="1:21">
      <c r="A3113" s="1" t="str">
        <f>"4601992059337"</f>
        <v>4601992059337</v>
      </c>
      <c r="B3113" s="1" t="s">
        <v>3136</v>
      </c>
      <c r="C3113" s="1" t="s">
        <v>24</v>
      </c>
      <c r="D3113" s="1" t="str">
        <f t="shared" si="6244"/>
        <v>2021</v>
      </c>
      <c r="E3113" s="1" t="str">
        <f t="shared" ref="E3113:P3113" si="6334">"0"</f>
        <v>0</v>
      </c>
      <c r="F3113" s="1" t="str">
        <f t="shared" si="6334"/>
        <v>0</v>
      </c>
      <c r="G3113" s="1" t="str">
        <f t="shared" si="6334"/>
        <v>0</v>
      </c>
      <c r="H3113" s="1" t="str">
        <f t="shared" si="6334"/>
        <v>0</v>
      </c>
      <c r="I3113" s="1" t="str">
        <f t="shared" si="6334"/>
        <v>0</v>
      </c>
      <c r="J3113" s="1" t="str">
        <f t="shared" si="6334"/>
        <v>0</v>
      </c>
      <c r="K3113" s="1" t="str">
        <f t="shared" si="6334"/>
        <v>0</v>
      </c>
      <c r="L3113" s="1" t="str">
        <f t="shared" si="6334"/>
        <v>0</v>
      </c>
      <c r="M3113" s="1" t="str">
        <f t="shared" si="6334"/>
        <v>0</v>
      </c>
      <c r="N3113" s="1" t="str">
        <f t="shared" si="6334"/>
        <v>0</v>
      </c>
      <c r="O3113" s="1" t="str">
        <f t="shared" si="6334"/>
        <v>0</v>
      </c>
      <c r="P3113" s="1" t="str">
        <f t="shared" si="6334"/>
        <v>0</v>
      </c>
      <c r="Q3113" s="1" t="str">
        <f t="shared" si="6247"/>
        <v>0.0070</v>
      </c>
      <c r="R3113" s="1" t="s">
        <v>25</v>
      </c>
      <c r="T3113" s="1" t="str">
        <f t="shared" si="6248"/>
        <v>0</v>
      </c>
      <c r="U3113" s="1" t="str">
        <f t="shared" si="6326"/>
        <v>0.0070</v>
      </c>
    </row>
    <row r="3114" s="1" customFormat="1" spans="1:21">
      <c r="A3114" s="1" t="str">
        <f>"4601992059331"</f>
        <v>4601992059331</v>
      </c>
      <c r="B3114" s="1" t="s">
        <v>3137</v>
      </c>
      <c r="C3114" s="1" t="s">
        <v>24</v>
      </c>
      <c r="D3114" s="1" t="str">
        <f t="shared" si="6244"/>
        <v>2021</v>
      </c>
      <c r="E3114" s="1" t="str">
        <f t="shared" si="6327"/>
        <v>12.09</v>
      </c>
      <c r="F3114" s="1" t="str">
        <f t="shared" ref="F3114:I3114" si="6335">"0"</f>
        <v>0</v>
      </c>
      <c r="G3114" s="1" t="str">
        <f t="shared" si="6335"/>
        <v>0</v>
      </c>
      <c r="H3114" s="1" t="str">
        <f t="shared" si="6335"/>
        <v>0</v>
      </c>
      <c r="I3114" s="1" t="str">
        <f t="shared" si="6335"/>
        <v>0</v>
      </c>
      <c r="J3114" s="1" t="str">
        <f t="shared" si="6329"/>
        <v>1</v>
      </c>
      <c r="K3114" s="1" t="str">
        <f t="shared" ref="K3114:P3114" si="6336">"0"</f>
        <v>0</v>
      </c>
      <c r="L3114" s="1" t="str">
        <f t="shared" si="6336"/>
        <v>0</v>
      </c>
      <c r="M3114" s="1" t="str">
        <f t="shared" si="6336"/>
        <v>0</v>
      </c>
      <c r="N3114" s="1" t="str">
        <f t="shared" si="6336"/>
        <v>0</v>
      </c>
      <c r="O3114" s="1" t="str">
        <f t="shared" si="6336"/>
        <v>0</v>
      </c>
      <c r="P3114" s="1" t="str">
        <f t="shared" si="6336"/>
        <v>0</v>
      </c>
      <c r="Q3114" s="1" t="str">
        <f t="shared" si="6247"/>
        <v>0.0070</v>
      </c>
      <c r="R3114" s="1" t="s">
        <v>29</v>
      </c>
      <c r="S3114" s="1">
        <v>-0.0014</v>
      </c>
      <c r="T3114" s="1" t="str">
        <f t="shared" si="6248"/>
        <v>0</v>
      </c>
      <c r="U3114" s="1" t="str">
        <f t="shared" si="6331"/>
        <v>0.0056</v>
      </c>
    </row>
    <row r="3115" s="1" customFormat="1" spans="1:21">
      <c r="A3115" s="1" t="str">
        <f>"4601992059361"</f>
        <v>4601992059361</v>
      </c>
      <c r="B3115" s="1" t="s">
        <v>3138</v>
      </c>
      <c r="C3115" s="1" t="s">
        <v>24</v>
      </c>
      <c r="D3115" s="1" t="str">
        <f t="shared" si="6244"/>
        <v>2021</v>
      </c>
      <c r="E3115" s="1" t="str">
        <f t="shared" ref="E3115:P3115" si="6337">"0"</f>
        <v>0</v>
      </c>
      <c r="F3115" s="1" t="str">
        <f t="shared" si="6337"/>
        <v>0</v>
      </c>
      <c r="G3115" s="1" t="str">
        <f t="shared" si="6337"/>
        <v>0</v>
      </c>
      <c r="H3115" s="1" t="str">
        <f t="shared" si="6337"/>
        <v>0</v>
      </c>
      <c r="I3115" s="1" t="str">
        <f t="shared" si="6337"/>
        <v>0</v>
      </c>
      <c r="J3115" s="1" t="str">
        <f t="shared" si="6337"/>
        <v>0</v>
      </c>
      <c r="K3115" s="1" t="str">
        <f t="shared" si="6337"/>
        <v>0</v>
      </c>
      <c r="L3115" s="1" t="str">
        <f t="shared" si="6337"/>
        <v>0</v>
      </c>
      <c r="M3115" s="1" t="str">
        <f t="shared" si="6337"/>
        <v>0</v>
      </c>
      <c r="N3115" s="1" t="str">
        <f t="shared" si="6337"/>
        <v>0</v>
      </c>
      <c r="O3115" s="1" t="str">
        <f t="shared" si="6337"/>
        <v>0</v>
      </c>
      <c r="P3115" s="1" t="str">
        <f t="shared" si="6337"/>
        <v>0</v>
      </c>
      <c r="Q3115" s="1" t="str">
        <f t="shared" si="6247"/>
        <v>0.0070</v>
      </c>
      <c r="R3115" s="1" t="s">
        <v>25</v>
      </c>
      <c r="T3115" s="1" t="str">
        <f t="shared" si="6248"/>
        <v>0</v>
      </c>
      <c r="U3115" s="1" t="str">
        <f>"0.0070"</f>
        <v>0.0070</v>
      </c>
    </row>
    <row r="3116" s="1" customFormat="1" spans="1:21">
      <c r="A3116" s="1" t="str">
        <f>"4601992059379"</f>
        <v>4601992059379</v>
      </c>
      <c r="B3116" s="1" t="s">
        <v>3139</v>
      </c>
      <c r="C3116" s="1" t="s">
        <v>24</v>
      </c>
      <c r="D3116" s="1" t="str">
        <f t="shared" si="6244"/>
        <v>2021</v>
      </c>
      <c r="E3116" s="1" t="str">
        <f t="shared" si="6327"/>
        <v>12.09</v>
      </c>
      <c r="F3116" s="1" t="str">
        <f t="shared" ref="F3116:I3116" si="6338">"0"</f>
        <v>0</v>
      </c>
      <c r="G3116" s="1" t="str">
        <f t="shared" si="6338"/>
        <v>0</v>
      </c>
      <c r="H3116" s="1" t="str">
        <f t="shared" si="6338"/>
        <v>0</v>
      </c>
      <c r="I3116" s="1" t="str">
        <f t="shared" si="6338"/>
        <v>0</v>
      </c>
      <c r="J3116" s="1" t="str">
        <f>"1"</f>
        <v>1</v>
      </c>
      <c r="K3116" s="1" t="str">
        <f t="shared" ref="K3116:P3116" si="6339">"0"</f>
        <v>0</v>
      </c>
      <c r="L3116" s="1" t="str">
        <f t="shared" si="6339"/>
        <v>0</v>
      </c>
      <c r="M3116" s="1" t="str">
        <f t="shared" si="6339"/>
        <v>0</v>
      </c>
      <c r="N3116" s="1" t="str">
        <f t="shared" si="6339"/>
        <v>0</v>
      </c>
      <c r="O3116" s="1" t="str">
        <f t="shared" si="6339"/>
        <v>0</v>
      </c>
      <c r="P3116" s="1" t="str">
        <f t="shared" si="6339"/>
        <v>0</v>
      </c>
      <c r="Q3116" s="1" t="str">
        <f t="shared" si="6247"/>
        <v>0.0070</v>
      </c>
      <c r="R3116" s="1" t="s">
        <v>29</v>
      </c>
      <c r="S3116" s="1">
        <v>-0.0014</v>
      </c>
      <c r="T3116" s="1" t="str">
        <f t="shared" si="6248"/>
        <v>0</v>
      </c>
      <c r="U3116" s="1" t="str">
        <f t="shared" si="6331"/>
        <v>0.0056</v>
      </c>
    </row>
    <row r="3117" s="1" customFormat="1" spans="1:21">
      <c r="A3117" s="1" t="str">
        <f>"4601992059347"</f>
        <v>4601992059347</v>
      </c>
      <c r="B3117" s="1" t="s">
        <v>3140</v>
      </c>
      <c r="C3117" s="1" t="s">
        <v>24</v>
      </c>
      <c r="D3117" s="1" t="str">
        <f t="shared" si="6244"/>
        <v>2021</v>
      </c>
      <c r="E3117" s="1" t="str">
        <f>"24.50"</f>
        <v>24.50</v>
      </c>
      <c r="F3117" s="1" t="str">
        <f t="shared" ref="F3117:I3117" si="6340">"0"</f>
        <v>0</v>
      </c>
      <c r="G3117" s="1" t="str">
        <f t="shared" si="6340"/>
        <v>0</v>
      </c>
      <c r="H3117" s="1" t="str">
        <f t="shared" si="6340"/>
        <v>0</v>
      </c>
      <c r="I3117" s="1" t="str">
        <f t="shared" si="6340"/>
        <v>0</v>
      </c>
      <c r="J3117" s="1" t="str">
        <f>"3"</f>
        <v>3</v>
      </c>
      <c r="K3117" s="1" t="str">
        <f t="shared" ref="K3117:P3117" si="6341">"0"</f>
        <v>0</v>
      </c>
      <c r="L3117" s="1" t="str">
        <f t="shared" si="6341"/>
        <v>0</v>
      </c>
      <c r="M3117" s="1" t="str">
        <f t="shared" si="6341"/>
        <v>0</v>
      </c>
      <c r="N3117" s="1" t="str">
        <f t="shared" si="6341"/>
        <v>0</v>
      </c>
      <c r="O3117" s="1" t="str">
        <f t="shared" si="6341"/>
        <v>0</v>
      </c>
      <c r="P3117" s="1" t="str">
        <f t="shared" si="6341"/>
        <v>0</v>
      </c>
      <c r="Q3117" s="1" t="str">
        <f t="shared" si="6247"/>
        <v>0.0070</v>
      </c>
      <c r="R3117" s="1" t="s">
        <v>29</v>
      </c>
      <c r="S3117" s="1">
        <v>-0.0014</v>
      </c>
      <c r="T3117" s="1" t="str">
        <f t="shared" si="6248"/>
        <v>0</v>
      </c>
      <c r="U3117" s="1" t="str">
        <f t="shared" si="6331"/>
        <v>0.0056</v>
      </c>
    </row>
    <row r="3118" s="1" customFormat="1" spans="1:21">
      <c r="A3118" s="1" t="str">
        <f>"4601992059387"</f>
        <v>4601992059387</v>
      </c>
      <c r="B3118" s="1" t="s">
        <v>3141</v>
      </c>
      <c r="C3118" s="1" t="s">
        <v>24</v>
      </c>
      <c r="D3118" s="1" t="str">
        <f t="shared" si="6244"/>
        <v>2021</v>
      </c>
      <c r="E3118" s="1" t="str">
        <f>"48.68"</f>
        <v>48.68</v>
      </c>
      <c r="F3118" s="1" t="str">
        <f t="shared" ref="F3118:I3118" si="6342">"0"</f>
        <v>0</v>
      </c>
      <c r="G3118" s="1" t="str">
        <f t="shared" si="6342"/>
        <v>0</v>
      </c>
      <c r="H3118" s="1" t="str">
        <f t="shared" si="6342"/>
        <v>0</v>
      </c>
      <c r="I3118" s="1" t="str">
        <f t="shared" si="6342"/>
        <v>0</v>
      </c>
      <c r="J3118" s="1" t="str">
        <f>"4"</f>
        <v>4</v>
      </c>
      <c r="K3118" s="1" t="str">
        <f t="shared" ref="K3118:P3118" si="6343">"0"</f>
        <v>0</v>
      </c>
      <c r="L3118" s="1" t="str">
        <f t="shared" si="6343"/>
        <v>0</v>
      </c>
      <c r="M3118" s="1" t="str">
        <f t="shared" si="6343"/>
        <v>0</v>
      </c>
      <c r="N3118" s="1" t="str">
        <f t="shared" si="6343"/>
        <v>0</v>
      </c>
      <c r="O3118" s="1" t="str">
        <f t="shared" si="6343"/>
        <v>0</v>
      </c>
      <c r="P3118" s="1" t="str">
        <f t="shared" si="6343"/>
        <v>0</v>
      </c>
      <c r="Q3118" s="1" t="str">
        <f t="shared" si="6247"/>
        <v>0.0070</v>
      </c>
      <c r="R3118" s="1" t="s">
        <v>29</v>
      </c>
      <c r="S3118" s="1">
        <v>-0.0014</v>
      </c>
      <c r="T3118" s="1" t="str">
        <f t="shared" si="6248"/>
        <v>0</v>
      </c>
      <c r="U3118" s="1" t="str">
        <f t="shared" si="6331"/>
        <v>0.0056</v>
      </c>
    </row>
    <row r="3119" s="1" customFormat="1" spans="1:21">
      <c r="A3119" s="1" t="str">
        <f>"4601992059391"</f>
        <v>4601992059391</v>
      </c>
      <c r="B3119" s="1" t="s">
        <v>3142</v>
      </c>
      <c r="C3119" s="1" t="s">
        <v>24</v>
      </c>
      <c r="D3119" s="1" t="str">
        <f t="shared" si="6244"/>
        <v>2021</v>
      </c>
      <c r="E3119" s="1" t="str">
        <f>"12.09"</f>
        <v>12.09</v>
      </c>
      <c r="F3119" s="1" t="str">
        <f t="shared" ref="F3119:I3119" si="6344">"0"</f>
        <v>0</v>
      </c>
      <c r="G3119" s="1" t="str">
        <f t="shared" si="6344"/>
        <v>0</v>
      </c>
      <c r="H3119" s="1" t="str">
        <f t="shared" si="6344"/>
        <v>0</v>
      </c>
      <c r="I3119" s="1" t="str">
        <f t="shared" si="6344"/>
        <v>0</v>
      </c>
      <c r="J3119" s="1" t="str">
        <f>"1"</f>
        <v>1</v>
      </c>
      <c r="K3119" s="1" t="str">
        <f t="shared" ref="K3119:P3119" si="6345">"0"</f>
        <v>0</v>
      </c>
      <c r="L3119" s="1" t="str">
        <f t="shared" si="6345"/>
        <v>0</v>
      </c>
      <c r="M3119" s="1" t="str">
        <f t="shared" si="6345"/>
        <v>0</v>
      </c>
      <c r="N3119" s="1" t="str">
        <f t="shared" si="6345"/>
        <v>0</v>
      </c>
      <c r="O3119" s="1" t="str">
        <f t="shared" si="6345"/>
        <v>0</v>
      </c>
      <c r="P3119" s="1" t="str">
        <f t="shared" si="6345"/>
        <v>0</v>
      </c>
      <c r="Q3119" s="1" t="str">
        <f t="shared" si="6247"/>
        <v>0.0070</v>
      </c>
      <c r="R3119" s="1" t="s">
        <v>29</v>
      </c>
      <c r="S3119" s="1">
        <v>-0.0014</v>
      </c>
      <c r="T3119" s="1" t="str">
        <f t="shared" si="6248"/>
        <v>0</v>
      </c>
      <c r="U3119" s="1" t="str">
        <f t="shared" si="6331"/>
        <v>0.0056</v>
      </c>
    </row>
    <row r="3120" s="1" customFormat="1" spans="1:21">
      <c r="A3120" s="1" t="str">
        <f>"4601992059399"</f>
        <v>4601992059399</v>
      </c>
      <c r="B3120" s="1" t="s">
        <v>3143</v>
      </c>
      <c r="C3120" s="1" t="s">
        <v>24</v>
      </c>
      <c r="D3120" s="1" t="str">
        <f t="shared" si="6244"/>
        <v>2021</v>
      </c>
      <c r="E3120" s="1" t="str">
        <f t="shared" ref="E3120:P3120" si="6346">"0"</f>
        <v>0</v>
      </c>
      <c r="F3120" s="1" t="str">
        <f t="shared" si="6346"/>
        <v>0</v>
      </c>
      <c r="G3120" s="1" t="str">
        <f t="shared" si="6346"/>
        <v>0</v>
      </c>
      <c r="H3120" s="1" t="str">
        <f t="shared" si="6346"/>
        <v>0</v>
      </c>
      <c r="I3120" s="1" t="str">
        <f t="shared" si="6346"/>
        <v>0</v>
      </c>
      <c r="J3120" s="1" t="str">
        <f t="shared" si="6346"/>
        <v>0</v>
      </c>
      <c r="K3120" s="1" t="str">
        <f t="shared" si="6346"/>
        <v>0</v>
      </c>
      <c r="L3120" s="1" t="str">
        <f t="shared" si="6346"/>
        <v>0</v>
      </c>
      <c r="M3120" s="1" t="str">
        <f t="shared" si="6346"/>
        <v>0</v>
      </c>
      <c r="N3120" s="1" t="str">
        <f t="shared" si="6346"/>
        <v>0</v>
      </c>
      <c r="O3120" s="1" t="str">
        <f t="shared" si="6346"/>
        <v>0</v>
      </c>
      <c r="P3120" s="1" t="str">
        <f t="shared" si="6346"/>
        <v>0</v>
      </c>
      <c r="Q3120" s="1" t="str">
        <f t="shared" si="6247"/>
        <v>0.0070</v>
      </c>
      <c r="R3120" s="1" t="s">
        <v>25</v>
      </c>
      <c r="T3120" s="1" t="str">
        <f t="shared" si="6248"/>
        <v>0</v>
      </c>
      <c r="U3120" s="1" t="str">
        <f>"0.0070"</f>
        <v>0.0070</v>
      </c>
    </row>
    <row r="3121" s="1" customFormat="1" spans="1:21">
      <c r="A3121" s="1" t="str">
        <f>"4601992059395"</f>
        <v>4601992059395</v>
      </c>
      <c r="B3121" s="1" t="s">
        <v>3144</v>
      </c>
      <c r="C3121" s="1" t="s">
        <v>24</v>
      </c>
      <c r="D3121" s="1" t="str">
        <f t="shared" si="6244"/>
        <v>2021</v>
      </c>
      <c r="E3121" s="1" t="str">
        <f t="shared" ref="E3121:E3123" si="6347">"24.18"</f>
        <v>24.18</v>
      </c>
      <c r="F3121" s="1" t="str">
        <f t="shared" ref="F3121:I3121" si="6348">"0"</f>
        <v>0</v>
      </c>
      <c r="G3121" s="1" t="str">
        <f t="shared" si="6348"/>
        <v>0</v>
      </c>
      <c r="H3121" s="1" t="str">
        <f t="shared" si="6348"/>
        <v>0</v>
      </c>
      <c r="I3121" s="1" t="str">
        <f t="shared" si="6348"/>
        <v>0</v>
      </c>
      <c r="J3121" s="1" t="str">
        <f t="shared" ref="J3121:J3123" si="6349">"2"</f>
        <v>2</v>
      </c>
      <c r="K3121" s="1" t="str">
        <f t="shared" ref="K3121:P3121" si="6350">"0"</f>
        <v>0</v>
      </c>
      <c r="L3121" s="1" t="str">
        <f t="shared" si="6350"/>
        <v>0</v>
      </c>
      <c r="M3121" s="1" t="str">
        <f t="shared" si="6350"/>
        <v>0</v>
      </c>
      <c r="N3121" s="1" t="str">
        <f t="shared" si="6350"/>
        <v>0</v>
      </c>
      <c r="O3121" s="1" t="str">
        <f t="shared" si="6350"/>
        <v>0</v>
      </c>
      <c r="P3121" s="1" t="str">
        <f t="shared" si="6350"/>
        <v>0</v>
      </c>
      <c r="Q3121" s="1" t="str">
        <f t="shared" si="6247"/>
        <v>0.0070</v>
      </c>
      <c r="R3121" s="1" t="s">
        <v>29</v>
      </c>
      <c r="S3121" s="1">
        <v>-0.0014</v>
      </c>
      <c r="T3121" s="1" t="str">
        <f t="shared" si="6248"/>
        <v>0</v>
      </c>
      <c r="U3121" s="1" t="str">
        <f t="shared" ref="U3121:U3123" si="6351">"0.0056"</f>
        <v>0.0056</v>
      </c>
    </row>
    <row r="3122" s="1" customFormat="1" spans="1:21">
      <c r="A3122" s="1" t="str">
        <f>"4601992059396"</f>
        <v>4601992059396</v>
      </c>
      <c r="B3122" s="1" t="s">
        <v>3145</v>
      </c>
      <c r="C3122" s="1" t="s">
        <v>24</v>
      </c>
      <c r="D3122" s="1" t="str">
        <f t="shared" si="6244"/>
        <v>2021</v>
      </c>
      <c r="E3122" s="1" t="str">
        <f t="shared" si="6347"/>
        <v>24.18</v>
      </c>
      <c r="F3122" s="1" t="str">
        <f t="shared" ref="F3122:I3122" si="6352">"0"</f>
        <v>0</v>
      </c>
      <c r="G3122" s="1" t="str">
        <f t="shared" si="6352"/>
        <v>0</v>
      </c>
      <c r="H3122" s="1" t="str">
        <f t="shared" si="6352"/>
        <v>0</v>
      </c>
      <c r="I3122" s="1" t="str">
        <f t="shared" si="6352"/>
        <v>0</v>
      </c>
      <c r="J3122" s="1" t="str">
        <f t="shared" si="6349"/>
        <v>2</v>
      </c>
      <c r="K3122" s="1" t="str">
        <f t="shared" ref="K3122:P3122" si="6353">"0"</f>
        <v>0</v>
      </c>
      <c r="L3122" s="1" t="str">
        <f t="shared" si="6353"/>
        <v>0</v>
      </c>
      <c r="M3122" s="1" t="str">
        <f t="shared" si="6353"/>
        <v>0</v>
      </c>
      <c r="N3122" s="1" t="str">
        <f t="shared" si="6353"/>
        <v>0</v>
      </c>
      <c r="O3122" s="1" t="str">
        <f t="shared" si="6353"/>
        <v>0</v>
      </c>
      <c r="P3122" s="1" t="str">
        <f t="shared" si="6353"/>
        <v>0</v>
      </c>
      <c r="Q3122" s="1" t="str">
        <f t="shared" si="6247"/>
        <v>0.0070</v>
      </c>
      <c r="R3122" s="1" t="s">
        <v>29</v>
      </c>
      <c r="S3122" s="1">
        <v>-0.0014</v>
      </c>
      <c r="T3122" s="1" t="str">
        <f t="shared" si="6248"/>
        <v>0</v>
      </c>
      <c r="U3122" s="1" t="str">
        <f t="shared" si="6351"/>
        <v>0.0056</v>
      </c>
    </row>
    <row r="3123" s="1" customFormat="1" spans="1:21">
      <c r="A3123" s="1" t="str">
        <f>"4601992059397"</f>
        <v>4601992059397</v>
      </c>
      <c r="B3123" s="1" t="s">
        <v>3146</v>
      </c>
      <c r="C3123" s="1" t="s">
        <v>24</v>
      </c>
      <c r="D3123" s="1" t="str">
        <f t="shared" si="6244"/>
        <v>2021</v>
      </c>
      <c r="E3123" s="1" t="str">
        <f t="shared" si="6347"/>
        <v>24.18</v>
      </c>
      <c r="F3123" s="1" t="str">
        <f t="shared" ref="F3123:I3123" si="6354">"0"</f>
        <v>0</v>
      </c>
      <c r="G3123" s="1" t="str">
        <f t="shared" si="6354"/>
        <v>0</v>
      </c>
      <c r="H3123" s="1" t="str">
        <f t="shared" si="6354"/>
        <v>0</v>
      </c>
      <c r="I3123" s="1" t="str">
        <f t="shared" si="6354"/>
        <v>0</v>
      </c>
      <c r="J3123" s="1" t="str">
        <f t="shared" si="6349"/>
        <v>2</v>
      </c>
      <c r="K3123" s="1" t="str">
        <f t="shared" ref="K3123:P3123" si="6355">"0"</f>
        <v>0</v>
      </c>
      <c r="L3123" s="1" t="str">
        <f t="shared" si="6355"/>
        <v>0</v>
      </c>
      <c r="M3123" s="1" t="str">
        <f t="shared" si="6355"/>
        <v>0</v>
      </c>
      <c r="N3123" s="1" t="str">
        <f t="shared" si="6355"/>
        <v>0</v>
      </c>
      <c r="O3123" s="1" t="str">
        <f t="shared" si="6355"/>
        <v>0</v>
      </c>
      <c r="P3123" s="1" t="str">
        <f t="shared" si="6355"/>
        <v>0</v>
      </c>
      <c r="Q3123" s="1" t="str">
        <f t="shared" si="6247"/>
        <v>0.0070</v>
      </c>
      <c r="R3123" s="1" t="s">
        <v>29</v>
      </c>
      <c r="S3123" s="1">
        <v>-0.0014</v>
      </c>
      <c r="T3123" s="1" t="str">
        <f t="shared" si="6248"/>
        <v>0</v>
      </c>
      <c r="U3123" s="1" t="str">
        <f t="shared" si="6351"/>
        <v>0.0056</v>
      </c>
    </row>
    <row r="3124" s="1" customFormat="1" spans="1:21">
      <c r="A3124" s="1" t="str">
        <f>"4601992059491"</f>
        <v>4601992059491</v>
      </c>
      <c r="B3124" s="1" t="s">
        <v>3147</v>
      </c>
      <c r="C3124" s="1" t="s">
        <v>24</v>
      </c>
      <c r="D3124" s="1" t="str">
        <f t="shared" si="6244"/>
        <v>2021</v>
      </c>
      <c r="E3124" s="1" t="str">
        <f>"48.36"</f>
        <v>48.36</v>
      </c>
      <c r="F3124" s="1" t="str">
        <f t="shared" ref="F3124:I3124" si="6356">"0"</f>
        <v>0</v>
      </c>
      <c r="G3124" s="1" t="str">
        <f t="shared" si="6356"/>
        <v>0</v>
      </c>
      <c r="H3124" s="1" t="str">
        <f t="shared" si="6356"/>
        <v>0</v>
      </c>
      <c r="I3124" s="1" t="str">
        <f t="shared" si="6356"/>
        <v>0</v>
      </c>
      <c r="J3124" s="1" t="str">
        <f>"4"</f>
        <v>4</v>
      </c>
      <c r="K3124" s="1" t="str">
        <f t="shared" ref="K3124:P3124" si="6357">"0"</f>
        <v>0</v>
      </c>
      <c r="L3124" s="1" t="str">
        <f t="shared" si="6357"/>
        <v>0</v>
      </c>
      <c r="M3124" s="1" t="str">
        <f t="shared" si="6357"/>
        <v>0</v>
      </c>
      <c r="N3124" s="1" t="str">
        <f t="shared" si="6357"/>
        <v>0</v>
      </c>
      <c r="O3124" s="1" t="str">
        <f t="shared" si="6357"/>
        <v>0</v>
      </c>
      <c r="P3124" s="1" t="str">
        <f t="shared" si="6357"/>
        <v>0</v>
      </c>
      <c r="Q3124" s="1" t="str">
        <f t="shared" si="6247"/>
        <v>0.0070</v>
      </c>
      <c r="R3124" s="1" t="s">
        <v>25</v>
      </c>
      <c r="T3124" s="1" t="str">
        <f t="shared" si="6248"/>
        <v>0</v>
      </c>
      <c r="U3124" s="1" t="str">
        <f t="shared" ref="U3124:U3130" si="6358">"0.0070"</f>
        <v>0.0070</v>
      </c>
    </row>
    <row r="3125" s="1" customFormat="1" spans="1:21">
      <c r="A3125" s="1" t="str">
        <f>"4601992059513"</f>
        <v>4601992059513</v>
      </c>
      <c r="B3125" s="1" t="s">
        <v>3148</v>
      </c>
      <c r="C3125" s="1" t="s">
        <v>24</v>
      </c>
      <c r="D3125" s="1" t="str">
        <f t="shared" si="6244"/>
        <v>2021</v>
      </c>
      <c r="E3125" s="1" t="str">
        <f>"51.91"</f>
        <v>51.91</v>
      </c>
      <c r="F3125" s="1" t="str">
        <f t="shared" ref="F3125:I3125" si="6359">"0"</f>
        <v>0</v>
      </c>
      <c r="G3125" s="1" t="str">
        <f t="shared" si="6359"/>
        <v>0</v>
      </c>
      <c r="H3125" s="1" t="str">
        <f t="shared" si="6359"/>
        <v>0</v>
      </c>
      <c r="I3125" s="1" t="str">
        <f t="shared" si="6359"/>
        <v>0</v>
      </c>
      <c r="J3125" s="1" t="str">
        <f>"4"</f>
        <v>4</v>
      </c>
      <c r="K3125" s="1" t="str">
        <f t="shared" ref="K3125:P3125" si="6360">"0"</f>
        <v>0</v>
      </c>
      <c r="L3125" s="1" t="str">
        <f t="shared" si="6360"/>
        <v>0</v>
      </c>
      <c r="M3125" s="1" t="str">
        <f t="shared" si="6360"/>
        <v>0</v>
      </c>
      <c r="N3125" s="1" t="str">
        <f t="shared" si="6360"/>
        <v>0</v>
      </c>
      <c r="O3125" s="1" t="str">
        <f t="shared" si="6360"/>
        <v>0</v>
      </c>
      <c r="P3125" s="1" t="str">
        <f t="shared" si="6360"/>
        <v>0</v>
      </c>
      <c r="Q3125" s="1" t="str">
        <f t="shared" si="6247"/>
        <v>0.0070</v>
      </c>
      <c r="R3125" s="1" t="s">
        <v>29</v>
      </c>
      <c r="S3125" s="1">
        <v>-0.0014</v>
      </c>
      <c r="T3125" s="1" t="str">
        <f t="shared" si="6248"/>
        <v>0</v>
      </c>
      <c r="U3125" s="1" t="str">
        <f t="shared" ref="U3125:U3128" si="6361">"0.0056"</f>
        <v>0.0056</v>
      </c>
    </row>
    <row r="3126" s="1" customFormat="1" spans="1:21">
      <c r="A3126" s="1" t="str">
        <f>"4601992059498"</f>
        <v>4601992059498</v>
      </c>
      <c r="B3126" s="1" t="s">
        <v>3149</v>
      </c>
      <c r="C3126" s="1" t="s">
        <v>24</v>
      </c>
      <c r="D3126" s="1" t="str">
        <f t="shared" si="6244"/>
        <v>2021</v>
      </c>
      <c r="E3126" s="1" t="str">
        <f>"12.09"</f>
        <v>12.09</v>
      </c>
      <c r="F3126" s="1" t="str">
        <f t="shared" ref="F3126:I3126" si="6362">"0"</f>
        <v>0</v>
      </c>
      <c r="G3126" s="1" t="str">
        <f t="shared" si="6362"/>
        <v>0</v>
      </c>
      <c r="H3126" s="1" t="str">
        <f t="shared" si="6362"/>
        <v>0</v>
      </c>
      <c r="I3126" s="1" t="str">
        <f t="shared" si="6362"/>
        <v>0</v>
      </c>
      <c r="J3126" s="1" t="str">
        <f t="shared" ref="J3126:J3131" si="6363">"1"</f>
        <v>1</v>
      </c>
      <c r="K3126" s="1" t="str">
        <f t="shared" ref="K3126:P3126" si="6364">"0"</f>
        <v>0</v>
      </c>
      <c r="L3126" s="1" t="str">
        <f t="shared" si="6364"/>
        <v>0</v>
      </c>
      <c r="M3126" s="1" t="str">
        <f t="shared" si="6364"/>
        <v>0</v>
      </c>
      <c r="N3126" s="1" t="str">
        <f t="shared" si="6364"/>
        <v>0</v>
      </c>
      <c r="O3126" s="1" t="str">
        <f t="shared" si="6364"/>
        <v>0</v>
      </c>
      <c r="P3126" s="1" t="str">
        <f t="shared" si="6364"/>
        <v>0</v>
      </c>
      <c r="Q3126" s="1" t="str">
        <f t="shared" si="6247"/>
        <v>0.0070</v>
      </c>
      <c r="R3126" s="1" t="s">
        <v>29</v>
      </c>
      <c r="S3126" s="1">
        <v>-0.0014</v>
      </c>
      <c r="T3126" s="1" t="str">
        <f t="shared" si="6248"/>
        <v>0</v>
      </c>
      <c r="U3126" s="1" t="str">
        <f t="shared" si="6361"/>
        <v>0.0056</v>
      </c>
    </row>
    <row r="3127" s="1" customFormat="1" spans="1:21">
      <c r="A3127" s="1" t="str">
        <f>"4601992059516"</f>
        <v>4601992059516</v>
      </c>
      <c r="B3127" s="1" t="s">
        <v>3150</v>
      </c>
      <c r="C3127" s="1" t="s">
        <v>24</v>
      </c>
      <c r="D3127" s="1" t="str">
        <f t="shared" si="6244"/>
        <v>2021</v>
      </c>
      <c r="E3127" s="1" t="str">
        <f t="shared" ref="E3127:P3127" si="6365">"0"</f>
        <v>0</v>
      </c>
      <c r="F3127" s="1" t="str">
        <f t="shared" si="6365"/>
        <v>0</v>
      </c>
      <c r="G3127" s="1" t="str">
        <f t="shared" si="6365"/>
        <v>0</v>
      </c>
      <c r="H3127" s="1" t="str">
        <f t="shared" si="6365"/>
        <v>0</v>
      </c>
      <c r="I3127" s="1" t="str">
        <f t="shared" si="6365"/>
        <v>0</v>
      </c>
      <c r="J3127" s="1" t="str">
        <f t="shared" si="6365"/>
        <v>0</v>
      </c>
      <c r="K3127" s="1" t="str">
        <f t="shared" si="6365"/>
        <v>0</v>
      </c>
      <c r="L3127" s="1" t="str">
        <f t="shared" si="6365"/>
        <v>0</v>
      </c>
      <c r="M3127" s="1" t="str">
        <f t="shared" si="6365"/>
        <v>0</v>
      </c>
      <c r="N3127" s="1" t="str">
        <f t="shared" si="6365"/>
        <v>0</v>
      </c>
      <c r="O3127" s="1" t="str">
        <f t="shared" si="6365"/>
        <v>0</v>
      </c>
      <c r="P3127" s="1" t="str">
        <f t="shared" si="6365"/>
        <v>0</v>
      </c>
      <c r="Q3127" s="1" t="str">
        <f t="shared" si="6247"/>
        <v>0.0070</v>
      </c>
      <c r="R3127" s="1" t="s">
        <v>25</v>
      </c>
      <c r="T3127" s="1" t="str">
        <f t="shared" si="6248"/>
        <v>0</v>
      </c>
      <c r="U3127" s="1" t="str">
        <f t="shared" si="6358"/>
        <v>0.0070</v>
      </c>
    </row>
    <row r="3128" s="1" customFormat="1" spans="1:21">
      <c r="A3128" s="1" t="str">
        <f>"4601992059524"</f>
        <v>4601992059524</v>
      </c>
      <c r="B3128" s="1" t="s">
        <v>3151</v>
      </c>
      <c r="C3128" s="1" t="s">
        <v>24</v>
      </c>
      <c r="D3128" s="1" t="str">
        <f t="shared" si="6244"/>
        <v>2021</v>
      </c>
      <c r="E3128" s="1" t="str">
        <f>"16.80"</f>
        <v>16.80</v>
      </c>
      <c r="F3128" s="1" t="str">
        <f t="shared" ref="F3128:I3128" si="6366">"0"</f>
        <v>0</v>
      </c>
      <c r="G3128" s="1" t="str">
        <f t="shared" si="6366"/>
        <v>0</v>
      </c>
      <c r="H3128" s="1" t="str">
        <f t="shared" si="6366"/>
        <v>0</v>
      </c>
      <c r="I3128" s="1" t="str">
        <f t="shared" si="6366"/>
        <v>0</v>
      </c>
      <c r="J3128" s="1" t="str">
        <f t="shared" si="6363"/>
        <v>1</v>
      </c>
      <c r="K3128" s="1" t="str">
        <f t="shared" ref="K3128:P3128" si="6367">"0"</f>
        <v>0</v>
      </c>
      <c r="L3128" s="1" t="str">
        <f t="shared" si="6367"/>
        <v>0</v>
      </c>
      <c r="M3128" s="1" t="str">
        <f t="shared" si="6367"/>
        <v>0</v>
      </c>
      <c r="N3128" s="1" t="str">
        <f t="shared" si="6367"/>
        <v>0</v>
      </c>
      <c r="O3128" s="1" t="str">
        <f t="shared" si="6367"/>
        <v>0</v>
      </c>
      <c r="P3128" s="1" t="str">
        <f t="shared" si="6367"/>
        <v>0</v>
      </c>
      <c r="Q3128" s="1" t="str">
        <f t="shared" si="6247"/>
        <v>0.0070</v>
      </c>
      <c r="R3128" s="1" t="s">
        <v>29</v>
      </c>
      <c r="S3128" s="1">
        <v>-0.0014</v>
      </c>
      <c r="T3128" s="1" t="str">
        <f t="shared" si="6248"/>
        <v>0</v>
      </c>
      <c r="U3128" s="1" t="str">
        <f t="shared" si="6361"/>
        <v>0.0056</v>
      </c>
    </row>
    <row r="3129" s="1" customFormat="1" spans="1:21">
      <c r="A3129" s="1" t="str">
        <f>"4601992059612"</f>
        <v>4601992059612</v>
      </c>
      <c r="B3129" s="1" t="s">
        <v>3152</v>
      </c>
      <c r="C3129" s="1" t="s">
        <v>24</v>
      </c>
      <c r="D3129" s="1" t="str">
        <f t="shared" si="6244"/>
        <v>2021</v>
      </c>
      <c r="E3129" s="1" t="str">
        <f t="shared" ref="E3129:P3129" si="6368">"0"</f>
        <v>0</v>
      </c>
      <c r="F3129" s="1" t="str">
        <f t="shared" si="6368"/>
        <v>0</v>
      </c>
      <c r="G3129" s="1" t="str">
        <f t="shared" si="6368"/>
        <v>0</v>
      </c>
      <c r="H3129" s="1" t="str">
        <f t="shared" si="6368"/>
        <v>0</v>
      </c>
      <c r="I3129" s="1" t="str">
        <f t="shared" si="6368"/>
        <v>0</v>
      </c>
      <c r="J3129" s="1" t="str">
        <f t="shared" si="6368"/>
        <v>0</v>
      </c>
      <c r="K3129" s="1" t="str">
        <f t="shared" si="6368"/>
        <v>0</v>
      </c>
      <c r="L3129" s="1" t="str">
        <f t="shared" si="6368"/>
        <v>0</v>
      </c>
      <c r="M3129" s="1" t="str">
        <f t="shared" si="6368"/>
        <v>0</v>
      </c>
      <c r="N3129" s="1" t="str">
        <f t="shared" si="6368"/>
        <v>0</v>
      </c>
      <c r="O3129" s="1" t="str">
        <f t="shared" si="6368"/>
        <v>0</v>
      </c>
      <c r="P3129" s="1" t="str">
        <f t="shared" si="6368"/>
        <v>0</v>
      </c>
      <c r="Q3129" s="1" t="str">
        <f t="shared" si="6247"/>
        <v>0.0070</v>
      </c>
      <c r="R3129" s="1" t="s">
        <v>25</v>
      </c>
      <c r="T3129" s="1" t="str">
        <f t="shared" si="6248"/>
        <v>0</v>
      </c>
      <c r="U3129" s="1" t="str">
        <f t="shared" si="6358"/>
        <v>0.0070</v>
      </c>
    </row>
    <row r="3130" s="1" customFormat="1" spans="1:21">
      <c r="A3130" s="1" t="str">
        <f>"4601992059659"</f>
        <v>4601992059659</v>
      </c>
      <c r="B3130" s="1" t="s">
        <v>3153</v>
      </c>
      <c r="C3130" s="1" t="s">
        <v>24</v>
      </c>
      <c r="D3130" s="1" t="str">
        <f t="shared" si="6244"/>
        <v>2021</v>
      </c>
      <c r="E3130" s="1" t="str">
        <f t="shared" ref="E3130:P3130" si="6369">"0"</f>
        <v>0</v>
      </c>
      <c r="F3130" s="1" t="str">
        <f t="shared" si="6369"/>
        <v>0</v>
      </c>
      <c r="G3130" s="1" t="str">
        <f t="shared" si="6369"/>
        <v>0</v>
      </c>
      <c r="H3130" s="1" t="str">
        <f t="shared" si="6369"/>
        <v>0</v>
      </c>
      <c r="I3130" s="1" t="str">
        <f t="shared" si="6369"/>
        <v>0</v>
      </c>
      <c r="J3130" s="1" t="str">
        <f t="shared" si="6369"/>
        <v>0</v>
      </c>
      <c r="K3130" s="1" t="str">
        <f t="shared" si="6369"/>
        <v>0</v>
      </c>
      <c r="L3130" s="1" t="str">
        <f t="shared" si="6369"/>
        <v>0</v>
      </c>
      <c r="M3130" s="1" t="str">
        <f t="shared" si="6369"/>
        <v>0</v>
      </c>
      <c r="N3130" s="1" t="str">
        <f t="shared" si="6369"/>
        <v>0</v>
      </c>
      <c r="O3130" s="1" t="str">
        <f t="shared" si="6369"/>
        <v>0</v>
      </c>
      <c r="P3130" s="1" t="str">
        <f t="shared" si="6369"/>
        <v>0</v>
      </c>
      <c r="Q3130" s="1" t="str">
        <f t="shared" si="6247"/>
        <v>0.0070</v>
      </c>
      <c r="R3130" s="1" t="s">
        <v>25</v>
      </c>
      <c r="T3130" s="1" t="str">
        <f t="shared" si="6248"/>
        <v>0</v>
      </c>
      <c r="U3130" s="1" t="str">
        <f t="shared" si="6358"/>
        <v>0.0070</v>
      </c>
    </row>
    <row r="3131" s="1" customFormat="1" spans="1:21">
      <c r="A3131" s="1" t="str">
        <f>"4601992059606"</f>
        <v>4601992059606</v>
      </c>
      <c r="B3131" s="1" t="s">
        <v>3154</v>
      </c>
      <c r="C3131" s="1" t="s">
        <v>24</v>
      </c>
      <c r="D3131" s="1" t="str">
        <f t="shared" si="6244"/>
        <v>2021</v>
      </c>
      <c r="E3131" s="1" t="str">
        <f>"12.09"</f>
        <v>12.09</v>
      </c>
      <c r="F3131" s="1" t="str">
        <f t="shared" ref="F3131:I3131" si="6370">"0"</f>
        <v>0</v>
      </c>
      <c r="G3131" s="1" t="str">
        <f t="shared" si="6370"/>
        <v>0</v>
      </c>
      <c r="H3131" s="1" t="str">
        <f t="shared" si="6370"/>
        <v>0</v>
      </c>
      <c r="I3131" s="1" t="str">
        <f t="shared" si="6370"/>
        <v>0</v>
      </c>
      <c r="J3131" s="1" t="str">
        <f t="shared" si="6363"/>
        <v>1</v>
      </c>
      <c r="K3131" s="1" t="str">
        <f t="shared" ref="K3131:P3131" si="6371">"0"</f>
        <v>0</v>
      </c>
      <c r="L3131" s="1" t="str">
        <f t="shared" si="6371"/>
        <v>0</v>
      </c>
      <c r="M3131" s="1" t="str">
        <f t="shared" si="6371"/>
        <v>0</v>
      </c>
      <c r="N3131" s="1" t="str">
        <f t="shared" si="6371"/>
        <v>0</v>
      </c>
      <c r="O3131" s="1" t="str">
        <f t="shared" si="6371"/>
        <v>0</v>
      </c>
      <c r="P3131" s="1" t="str">
        <f t="shared" si="6371"/>
        <v>0</v>
      </c>
      <c r="Q3131" s="1" t="str">
        <f t="shared" si="6247"/>
        <v>0.0070</v>
      </c>
      <c r="R3131" s="1" t="s">
        <v>29</v>
      </c>
      <c r="S3131" s="1">
        <v>-0.0014</v>
      </c>
      <c r="T3131" s="1" t="str">
        <f t="shared" si="6248"/>
        <v>0</v>
      </c>
      <c r="U3131" s="1" t="str">
        <f t="shared" ref="U3131:U3136" si="6372">"0.0056"</f>
        <v>0.0056</v>
      </c>
    </row>
    <row r="3132" s="1" customFormat="1" spans="1:21">
      <c r="A3132" s="1" t="str">
        <f>"4601992059691"</f>
        <v>4601992059691</v>
      </c>
      <c r="B3132" s="1" t="s">
        <v>3155</v>
      </c>
      <c r="C3132" s="1" t="s">
        <v>24</v>
      </c>
      <c r="D3132" s="1" t="str">
        <f t="shared" si="6244"/>
        <v>2021</v>
      </c>
      <c r="E3132" s="1" t="str">
        <f t="shared" ref="E3132:P3132" si="6373">"0"</f>
        <v>0</v>
      </c>
      <c r="F3132" s="1" t="str">
        <f t="shared" si="6373"/>
        <v>0</v>
      </c>
      <c r="G3132" s="1" t="str">
        <f t="shared" si="6373"/>
        <v>0</v>
      </c>
      <c r="H3132" s="1" t="str">
        <f t="shared" si="6373"/>
        <v>0</v>
      </c>
      <c r="I3132" s="1" t="str">
        <f t="shared" si="6373"/>
        <v>0</v>
      </c>
      <c r="J3132" s="1" t="str">
        <f t="shared" si="6373"/>
        <v>0</v>
      </c>
      <c r="K3132" s="1" t="str">
        <f t="shared" si="6373"/>
        <v>0</v>
      </c>
      <c r="L3132" s="1" t="str">
        <f t="shared" si="6373"/>
        <v>0</v>
      </c>
      <c r="M3132" s="1" t="str">
        <f t="shared" si="6373"/>
        <v>0</v>
      </c>
      <c r="N3132" s="1" t="str">
        <f t="shared" si="6373"/>
        <v>0</v>
      </c>
      <c r="O3132" s="1" t="str">
        <f t="shared" si="6373"/>
        <v>0</v>
      </c>
      <c r="P3132" s="1" t="str">
        <f t="shared" si="6373"/>
        <v>0</v>
      </c>
      <c r="Q3132" s="1" t="str">
        <f t="shared" si="6247"/>
        <v>0.0070</v>
      </c>
      <c r="R3132" s="1" t="s">
        <v>25</v>
      </c>
      <c r="T3132" s="1" t="str">
        <f t="shared" si="6248"/>
        <v>0</v>
      </c>
      <c r="U3132" s="1" t="str">
        <f t="shared" ref="U3132:U3137" si="6374">"0.0070"</f>
        <v>0.0070</v>
      </c>
    </row>
    <row r="3133" s="1" customFormat="1" spans="1:21">
      <c r="A3133" s="1" t="str">
        <f>"4601992059625"</f>
        <v>4601992059625</v>
      </c>
      <c r="B3133" s="1" t="s">
        <v>3156</v>
      </c>
      <c r="C3133" s="1" t="s">
        <v>24</v>
      </c>
      <c r="D3133" s="1" t="str">
        <f t="shared" si="6244"/>
        <v>2021</v>
      </c>
      <c r="E3133" s="1" t="str">
        <f>"12.09"</f>
        <v>12.09</v>
      </c>
      <c r="F3133" s="1" t="str">
        <f t="shared" ref="F3133:I3133" si="6375">"0"</f>
        <v>0</v>
      </c>
      <c r="G3133" s="1" t="str">
        <f t="shared" si="6375"/>
        <v>0</v>
      </c>
      <c r="H3133" s="1" t="str">
        <f t="shared" si="6375"/>
        <v>0</v>
      </c>
      <c r="I3133" s="1" t="str">
        <f t="shared" si="6375"/>
        <v>0</v>
      </c>
      <c r="J3133" s="1" t="str">
        <f>"1"</f>
        <v>1</v>
      </c>
      <c r="K3133" s="1" t="str">
        <f t="shared" ref="K3133:P3133" si="6376">"0"</f>
        <v>0</v>
      </c>
      <c r="L3133" s="1" t="str">
        <f t="shared" si="6376"/>
        <v>0</v>
      </c>
      <c r="M3133" s="1" t="str">
        <f t="shared" si="6376"/>
        <v>0</v>
      </c>
      <c r="N3133" s="1" t="str">
        <f t="shared" si="6376"/>
        <v>0</v>
      </c>
      <c r="O3133" s="1" t="str">
        <f t="shared" si="6376"/>
        <v>0</v>
      </c>
      <c r="P3133" s="1" t="str">
        <f t="shared" si="6376"/>
        <v>0</v>
      </c>
      <c r="Q3133" s="1" t="str">
        <f t="shared" si="6247"/>
        <v>0.0070</v>
      </c>
      <c r="R3133" s="1" t="s">
        <v>29</v>
      </c>
      <c r="S3133" s="1">
        <v>-0.0014</v>
      </c>
      <c r="T3133" s="1" t="str">
        <f t="shared" si="6248"/>
        <v>0</v>
      </c>
      <c r="U3133" s="1" t="str">
        <f t="shared" si="6372"/>
        <v>0.0056</v>
      </c>
    </row>
    <row r="3134" s="1" customFormat="1" spans="1:21">
      <c r="A3134" s="1" t="str">
        <f>"4601992059720"</f>
        <v>4601992059720</v>
      </c>
      <c r="B3134" s="1" t="s">
        <v>3157</v>
      </c>
      <c r="C3134" s="1" t="s">
        <v>24</v>
      </c>
      <c r="D3134" s="1" t="str">
        <f t="shared" si="6244"/>
        <v>2021</v>
      </c>
      <c r="E3134" s="1" t="str">
        <f t="shared" ref="E3134:P3134" si="6377">"0"</f>
        <v>0</v>
      </c>
      <c r="F3134" s="1" t="str">
        <f t="shared" si="6377"/>
        <v>0</v>
      </c>
      <c r="G3134" s="1" t="str">
        <f t="shared" si="6377"/>
        <v>0</v>
      </c>
      <c r="H3134" s="1" t="str">
        <f t="shared" si="6377"/>
        <v>0</v>
      </c>
      <c r="I3134" s="1" t="str">
        <f t="shared" si="6377"/>
        <v>0</v>
      </c>
      <c r="J3134" s="1" t="str">
        <f t="shared" si="6377"/>
        <v>0</v>
      </c>
      <c r="K3134" s="1" t="str">
        <f t="shared" si="6377"/>
        <v>0</v>
      </c>
      <c r="L3134" s="1" t="str">
        <f t="shared" si="6377"/>
        <v>0</v>
      </c>
      <c r="M3134" s="1" t="str">
        <f t="shared" si="6377"/>
        <v>0</v>
      </c>
      <c r="N3134" s="1" t="str">
        <f t="shared" si="6377"/>
        <v>0</v>
      </c>
      <c r="O3134" s="1" t="str">
        <f t="shared" si="6377"/>
        <v>0</v>
      </c>
      <c r="P3134" s="1" t="str">
        <f t="shared" si="6377"/>
        <v>0</v>
      </c>
      <c r="Q3134" s="1" t="str">
        <f t="shared" si="6247"/>
        <v>0.0070</v>
      </c>
      <c r="R3134" s="1" t="s">
        <v>25</v>
      </c>
      <c r="T3134" s="1" t="str">
        <f t="shared" si="6248"/>
        <v>0</v>
      </c>
      <c r="U3134" s="1" t="str">
        <f t="shared" si="6374"/>
        <v>0.0070</v>
      </c>
    </row>
    <row r="3135" s="1" customFormat="1" spans="1:21">
      <c r="A3135" s="1" t="str">
        <f>"4601992059731"</f>
        <v>4601992059731</v>
      </c>
      <c r="B3135" s="1" t="s">
        <v>3158</v>
      </c>
      <c r="C3135" s="1" t="s">
        <v>24</v>
      </c>
      <c r="D3135" s="1" t="str">
        <f t="shared" si="6244"/>
        <v>2021</v>
      </c>
      <c r="E3135" s="1" t="str">
        <f>"60.23"</f>
        <v>60.23</v>
      </c>
      <c r="F3135" s="1" t="str">
        <f t="shared" ref="F3135:I3135" si="6378">"0"</f>
        <v>0</v>
      </c>
      <c r="G3135" s="1" t="str">
        <f t="shared" si="6378"/>
        <v>0</v>
      </c>
      <c r="H3135" s="1" t="str">
        <f t="shared" si="6378"/>
        <v>0</v>
      </c>
      <c r="I3135" s="1" t="str">
        <f t="shared" si="6378"/>
        <v>0</v>
      </c>
      <c r="J3135" s="1" t="str">
        <f>"4"</f>
        <v>4</v>
      </c>
      <c r="K3135" s="1" t="str">
        <f t="shared" ref="K3135:P3135" si="6379">"0"</f>
        <v>0</v>
      </c>
      <c r="L3135" s="1" t="str">
        <f t="shared" si="6379"/>
        <v>0</v>
      </c>
      <c r="M3135" s="1" t="str">
        <f t="shared" si="6379"/>
        <v>0</v>
      </c>
      <c r="N3135" s="1" t="str">
        <f t="shared" si="6379"/>
        <v>0</v>
      </c>
      <c r="O3135" s="1" t="str">
        <f t="shared" si="6379"/>
        <v>0</v>
      </c>
      <c r="P3135" s="1" t="str">
        <f t="shared" si="6379"/>
        <v>0</v>
      </c>
      <c r="Q3135" s="1" t="str">
        <f t="shared" si="6247"/>
        <v>0.0070</v>
      </c>
      <c r="R3135" s="1" t="s">
        <v>29</v>
      </c>
      <c r="S3135" s="1">
        <v>-0.0014</v>
      </c>
      <c r="T3135" s="1" t="str">
        <f t="shared" si="6248"/>
        <v>0</v>
      </c>
      <c r="U3135" s="1" t="str">
        <f t="shared" si="6372"/>
        <v>0.0056</v>
      </c>
    </row>
    <row r="3136" s="1" customFormat="1" spans="1:21">
      <c r="A3136" s="1" t="str">
        <f>"4601992059737"</f>
        <v>4601992059737</v>
      </c>
      <c r="B3136" s="1" t="s">
        <v>3159</v>
      </c>
      <c r="C3136" s="1" t="s">
        <v>24</v>
      </c>
      <c r="D3136" s="1" t="str">
        <f t="shared" si="6244"/>
        <v>2021</v>
      </c>
      <c r="E3136" s="1" t="str">
        <f>"36.43"</f>
        <v>36.43</v>
      </c>
      <c r="F3136" s="1" t="str">
        <f t="shared" ref="F3136:I3136" si="6380">"0"</f>
        <v>0</v>
      </c>
      <c r="G3136" s="1" t="str">
        <f t="shared" si="6380"/>
        <v>0</v>
      </c>
      <c r="H3136" s="1" t="str">
        <f t="shared" si="6380"/>
        <v>0</v>
      </c>
      <c r="I3136" s="1" t="str">
        <f t="shared" si="6380"/>
        <v>0</v>
      </c>
      <c r="J3136" s="1" t="str">
        <f>"4"</f>
        <v>4</v>
      </c>
      <c r="K3136" s="1" t="str">
        <f t="shared" ref="K3136:P3136" si="6381">"0"</f>
        <v>0</v>
      </c>
      <c r="L3136" s="1" t="str">
        <f t="shared" si="6381"/>
        <v>0</v>
      </c>
      <c r="M3136" s="1" t="str">
        <f t="shared" si="6381"/>
        <v>0</v>
      </c>
      <c r="N3136" s="1" t="str">
        <f t="shared" si="6381"/>
        <v>0</v>
      </c>
      <c r="O3136" s="1" t="str">
        <f t="shared" si="6381"/>
        <v>0</v>
      </c>
      <c r="P3136" s="1" t="str">
        <f t="shared" si="6381"/>
        <v>0</v>
      </c>
      <c r="Q3136" s="1" t="str">
        <f t="shared" si="6247"/>
        <v>0.0070</v>
      </c>
      <c r="R3136" s="1" t="s">
        <v>29</v>
      </c>
      <c r="S3136" s="1">
        <v>-0.0014</v>
      </c>
      <c r="T3136" s="1" t="str">
        <f t="shared" si="6248"/>
        <v>0</v>
      </c>
      <c r="U3136" s="1" t="str">
        <f t="shared" si="6372"/>
        <v>0.0056</v>
      </c>
    </row>
    <row r="3137" s="1" customFormat="1" spans="1:21">
      <c r="A3137" s="1" t="str">
        <f>"4601992059771"</f>
        <v>4601992059771</v>
      </c>
      <c r="B3137" s="1" t="s">
        <v>3160</v>
      </c>
      <c r="C3137" s="1" t="s">
        <v>24</v>
      </c>
      <c r="D3137" s="1" t="str">
        <f t="shared" si="6244"/>
        <v>2021</v>
      </c>
      <c r="E3137" s="1" t="str">
        <f t="shared" ref="E3137:P3137" si="6382">"0"</f>
        <v>0</v>
      </c>
      <c r="F3137" s="1" t="str">
        <f t="shared" si="6382"/>
        <v>0</v>
      </c>
      <c r="G3137" s="1" t="str">
        <f t="shared" si="6382"/>
        <v>0</v>
      </c>
      <c r="H3137" s="1" t="str">
        <f t="shared" si="6382"/>
        <v>0</v>
      </c>
      <c r="I3137" s="1" t="str">
        <f t="shared" si="6382"/>
        <v>0</v>
      </c>
      <c r="J3137" s="1" t="str">
        <f t="shared" si="6382"/>
        <v>0</v>
      </c>
      <c r="K3137" s="1" t="str">
        <f t="shared" si="6382"/>
        <v>0</v>
      </c>
      <c r="L3137" s="1" t="str">
        <f t="shared" si="6382"/>
        <v>0</v>
      </c>
      <c r="M3137" s="1" t="str">
        <f t="shared" si="6382"/>
        <v>0</v>
      </c>
      <c r="N3137" s="1" t="str">
        <f t="shared" si="6382"/>
        <v>0</v>
      </c>
      <c r="O3137" s="1" t="str">
        <f t="shared" si="6382"/>
        <v>0</v>
      </c>
      <c r="P3137" s="1" t="str">
        <f t="shared" si="6382"/>
        <v>0</v>
      </c>
      <c r="Q3137" s="1" t="str">
        <f t="shared" si="6247"/>
        <v>0.0070</v>
      </c>
      <c r="R3137" s="1" t="s">
        <v>25</v>
      </c>
      <c r="T3137" s="1" t="str">
        <f t="shared" si="6248"/>
        <v>0</v>
      </c>
      <c r="U3137" s="1" t="str">
        <f t="shared" si="6374"/>
        <v>0.0070</v>
      </c>
    </row>
    <row r="3138" s="1" customFormat="1" spans="1:21">
      <c r="A3138" s="1" t="str">
        <f>"4601992059749"</f>
        <v>4601992059749</v>
      </c>
      <c r="B3138" s="1" t="s">
        <v>3161</v>
      </c>
      <c r="C3138" s="1" t="s">
        <v>24</v>
      </c>
      <c r="D3138" s="1" t="str">
        <f t="shared" si="6244"/>
        <v>2021</v>
      </c>
      <c r="E3138" s="1" t="str">
        <f>"36.27"</f>
        <v>36.27</v>
      </c>
      <c r="F3138" s="1" t="str">
        <f t="shared" ref="F3138:I3138" si="6383">"0"</f>
        <v>0</v>
      </c>
      <c r="G3138" s="1" t="str">
        <f t="shared" si="6383"/>
        <v>0</v>
      </c>
      <c r="H3138" s="1" t="str">
        <f t="shared" si="6383"/>
        <v>0</v>
      </c>
      <c r="I3138" s="1" t="str">
        <f t="shared" si="6383"/>
        <v>0</v>
      </c>
      <c r="J3138" s="1" t="str">
        <f t="shared" ref="J3138:J3140" si="6384">"3"</f>
        <v>3</v>
      </c>
      <c r="K3138" s="1" t="str">
        <f t="shared" ref="K3138:P3138" si="6385">"0"</f>
        <v>0</v>
      </c>
      <c r="L3138" s="1" t="str">
        <f t="shared" si="6385"/>
        <v>0</v>
      </c>
      <c r="M3138" s="1" t="str">
        <f t="shared" si="6385"/>
        <v>0</v>
      </c>
      <c r="N3138" s="1" t="str">
        <f t="shared" si="6385"/>
        <v>0</v>
      </c>
      <c r="O3138" s="1" t="str">
        <f t="shared" si="6385"/>
        <v>0</v>
      </c>
      <c r="P3138" s="1" t="str">
        <f t="shared" si="6385"/>
        <v>0</v>
      </c>
      <c r="Q3138" s="1" t="str">
        <f t="shared" si="6247"/>
        <v>0.0070</v>
      </c>
      <c r="R3138" s="1" t="s">
        <v>29</v>
      </c>
      <c r="S3138" s="1">
        <v>-0.0014</v>
      </c>
      <c r="T3138" s="1" t="str">
        <f t="shared" si="6248"/>
        <v>0</v>
      </c>
      <c r="U3138" s="1" t="str">
        <f t="shared" ref="U3138:U3142" si="6386">"0.0056"</f>
        <v>0.0056</v>
      </c>
    </row>
    <row r="3139" s="1" customFormat="1" spans="1:21">
      <c r="A3139" s="1" t="str">
        <f>"4601992059767"</f>
        <v>4601992059767</v>
      </c>
      <c r="B3139" s="1" t="s">
        <v>3162</v>
      </c>
      <c r="C3139" s="1" t="s">
        <v>24</v>
      </c>
      <c r="D3139" s="1" t="str">
        <f t="shared" ref="D3139:D3202" si="6387">"2021"</f>
        <v>2021</v>
      </c>
      <c r="E3139" s="1" t="str">
        <f>"36.95"</f>
        <v>36.95</v>
      </c>
      <c r="F3139" s="1" t="str">
        <f t="shared" ref="F3139:I3139" si="6388">"0"</f>
        <v>0</v>
      </c>
      <c r="G3139" s="1" t="str">
        <f t="shared" si="6388"/>
        <v>0</v>
      </c>
      <c r="H3139" s="1" t="str">
        <f t="shared" si="6388"/>
        <v>0</v>
      </c>
      <c r="I3139" s="1" t="str">
        <f t="shared" si="6388"/>
        <v>0</v>
      </c>
      <c r="J3139" s="1" t="str">
        <f t="shared" si="6384"/>
        <v>3</v>
      </c>
      <c r="K3139" s="1" t="str">
        <f t="shared" ref="K3139:P3139" si="6389">"0"</f>
        <v>0</v>
      </c>
      <c r="L3139" s="1" t="str">
        <f t="shared" si="6389"/>
        <v>0</v>
      </c>
      <c r="M3139" s="1" t="str">
        <f t="shared" si="6389"/>
        <v>0</v>
      </c>
      <c r="N3139" s="1" t="str">
        <f t="shared" si="6389"/>
        <v>0</v>
      </c>
      <c r="O3139" s="1" t="str">
        <f t="shared" si="6389"/>
        <v>0</v>
      </c>
      <c r="P3139" s="1" t="str">
        <f t="shared" si="6389"/>
        <v>0</v>
      </c>
      <c r="Q3139" s="1" t="str">
        <f t="shared" ref="Q3139:Q3202" si="6390">"0.0070"</f>
        <v>0.0070</v>
      </c>
      <c r="R3139" s="1" t="s">
        <v>29</v>
      </c>
      <c r="S3139" s="1">
        <v>-0.0014</v>
      </c>
      <c r="T3139" s="1" t="str">
        <f t="shared" ref="T3139:T3202" si="6391">"0"</f>
        <v>0</v>
      </c>
      <c r="U3139" s="1" t="str">
        <f t="shared" si="6386"/>
        <v>0.0056</v>
      </c>
    </row>
    <row r="3140" s="1" customFormat="1" spans="1:21">
      <c r="A3140" s="1" t="str">
        <f>"4601992059800"</f>
        <v>4601992059800</v>
      </c>
      <c r="B3140" s="1" t="s">
        <v>3163</v>
      </c>
      <c r="C3140" s="1" t="s">
        <v>24</v>
      </c>
      <c r="D3140" s="1" t="str">
        <f t="shared" si="6387"/>
        <v>2021</v>
      </c>
      <c r="E3140" s="1" t="str">
        <f>"36.75"</f>
        <v>36.75</v>
      </c>
      <c r="F3140" s="1" t="str">
        <f t="shared" ref="F3140:I3140" si="6392">"0"</f>
        <v>0</v>
      </c>
      <c r="G3140" s="1" t="str">
        <f t="shared" si="6392"/>
        <v>0</v>
      </c>
      <c r="H3140" s="1" t="str">
        <f t="shared" si="6392"/>
        <v>0</v>
      </c>
      <c r="I3140" s="1" t="str">
        <f t="shared" si="6392"/>
        <v>0</v>
      </c>
      <c r="J3140" s="1" t="str">
        <f t="shared" si="6384"/>
        <v>3</v>
      </c>
      <c r="K3140" s="1" t="str">
        <f t="shared" ref="K3140:P3140" si="6393">"0"</f>
        <v>0</v>
      </c>
      <c r="L3140" s="1" t="str">
        <f t="shared" si="6393"/>
        <v>0</v>
      </c>
      <c r="M3140" s="1" t="str">
        <f t="shared" si="6393"/>
        <v>0</v>
      </c>
      <c r="N3140" s="1" t="str">
        <f t="shared" si="6393"/>
        <v>0</v>
      </c>
      <c r="O3140" s="1" t="str">
        <f t="shared" si="6393"/>
        <v>0</v>
      </c>
      <c r="P3140" s="1" t="str">
        <f t="shared" si="6393"/>
        <v>0</v>
      </c>
      <c r="Q3140" s="1" t="str">
        <f t="shared" si="6390"/>
        <v>0.0070</v>
      </c>
      <c r="R3140" s="1" t="s">
        <v>25</v>
      </c>
      <c r="T3140" s="1" t="str">
        <f t="shared" si="6391"/>
        <v>0</v>
      </c>
      <c r="U3140" s="1" t="str">
        <f t="shared" ref="U3140:U3145" si="6394">"0.0070"</f>
        <v>0.0070</v>
      </c>
    </row>
    <row r="3141" s="1" customFormat="1" spans="1:21">
      <c r="A3141" s="1" t="str">
        <f>"4601992059783"</f>
        <v>4601992059783</v>
      </c>
      <c r="B3141" s="1" t="s">
        <v>3164</v>
      </c>
      <c r="C3141" s="1" t="s">
        <v>24</v>
      </c>
      <c r="D3141" s="1" t="str">
        <f t="shared" si="6387"/>
        <v>2021</v>
      </c>
      <c r="E3141" s="1" t="str">
        <f>"72.54"</f>
        <v>72.54</v>
      </c>
      <c r="F3141" s="1" t="str">
        <f t="shared" ref="F3141:I3141" si="6395">"0"</f>
        <v>0</v>
      </c>
      <c r="G3141" s="1" t="str">
        <f t="shared" si="6395"/>
        <v>0</v>
      </c>
      <c r="H3141" s="1" t="str">
        <f t="shared" si="6395"/>
        <v>0</v>
      </c>
      <c r="I3141" s="1" t="str">
        <f t="shared" si="6395"/>
        <v>0</v>
      </c>
      <c r="J3141" s="1" t="str">
        <f>"6"</f>
        <v>6</v>
      </c>
      <c r="K3141" s="1" t="str">
        <f t="shared" ref="K3141:P3141" si="6396">"0"</f>
        <v>0</v>
      </c>
      <c r="L3141" s="1" t="str">
        <f t="shared" si="6396"/>
        <v>0</v>
      </c>
      <c r="M3141" s="1" t="str">
        <f t="shared" si="6396"/>
        <v>0</v>
      </c>
      <c r="N3141" s="1" t="str">
        <f t="shared" si="6396"/>
        <v>0</v>
      </c>
      <c r="O3141" s="1" t="str">
        <f t="shared" si="6396"/>
        <v>0</v>
      </c>
      <c r="P3141" s="1" t="str">
        <f t="shared" si="6396"/>
        <v>0</v>
      </c>
      <c r="Q3141" s="1" t="str">
        <f t="shared" si="6390"/>
        <v>0.0070</v>
      </c>
      <c r="R3141" s="1" t="s">
        <v>29</v>
      </c>
      <c r="S3141" s="1">
        <v>-0.0014</v>
      </c>
      <c r="T3141" s="1" t="str">
        <f t="shared" si="6391"/>
        <v>0</v>
      </c>
      <c r="U3141" s="1" t="str">
        <f t="shared" si="6386"/>
        <v>0.0056</v>
      </c>
    </row>
    <row r="3142" s="1" customFormat="1" spans="1:21">
      <c r="A3142" s="1" t="str">
        <f>"4601992059805"</f>
        <v>4601992059805</v>
      </c>
      <c r="B3142" s="1" t="s">
        <v>3165</v>
      </c>
      <c r="C3142" s="1" t="s">
        <v>24</v>
      </c>
      <c r="D3142" s="1" t="str">
        <f t="shared" si="6387"/>
        <v>2021</v>
      </c>
      <c r="E3142" s="1" t="str">
        <f>"12.60"</f>
        <v>12.60</v>
      </c>
      <c r="F3142" s="1" t="str">
        <f t="shared" ref="F3142:I3142" si="6397">"0"</f>
        <v>0</v>
      </c>
      <c r="G3142" s="1" t="str">
        <f t="shared" si="6397"/>
        <v>0</v>
      </c>
      <c r="H3142" s="1" t="str">
        <f t="shared" si="6397"/>
        <v>0</v>
      </c>
      <c r="I3142" s="1" t="str">
        <f t="shared" si="6397"/>
        <v>0</v>
      </c>
      <c r="J3142" s="1" t="str">
        <f>"1"</f>
        <v>1</v>
      </c>
      <c r="K3142" s="1" t="str">
        <f t="shared" ref="K3142:P3142" si="6398">"0"</f>
        <v>0</v>
      </c>
      <c r="L3142" s="1" t="str">
        <f t="shared" si="6398"/>
        <v>0</v>
      </c>
      <c r="M3142" s="1" t="str">
        <f t="shared" si="6398"/>
        <v>0</v>
      </c>
      <c r="N3142" s="1" t="str">
        <f t="shared" si="6398"/>
        <v>0</v>
      </c>
      <c r="O3142" s="1" t="str">
        <f t="shared" si="6398"/>
        <v>0</v>
      </c>
      <c r="P3142" s="1" t="str">
        <f t="shared" si="6398"/>
        <v>0</v>
      </c>
      <c r="Q3142" s="1" t="str">
        <f t="shared" si="6390"/>
        <v>0.0070</v>
      </c>
      <c r="R3142" s="1" t="s">
        <v>29</v>
      </c>
      <c r="S3142" s="1">
        <v>-0.0014</v>
      </c>
      <c r="T3142" s="1" t="str">
        <f t="shared" si="6391"/>
        <v>0</v>
      </c>
      <c r="U3142" s="1" t="str">
        <f t="shared" si="6386"/>
        <v>0.0056</v>
      </c>
    </row>
    <row r="3143" s="1" customFormat="1" spans="1:21">
      <c r="A3143" s="1" t="str">
        <f>"4601992059809"</f>
        <v>4601992059809</v>
      </c>
      <c r="B3143" s="1" t="s">
        <v>3166</v>
      </c>
      <c r="C3143" s="1" t="s">
        <v>24</v>
      </c>
      <c r="D3143" s="1" t="str">
        <f t="shared" si="6387"/>
        <v>2021</v>
      </c>
      <c r="E3143" s="1" t="str">
        <f>"48.36"</f>
        <v>48.36</v>
      </c>
      <c r="F3143" s="1" t="str">
        <f>"120712.42"</f>
        <v>120712.42</v>
      </c>
      <c r="G3143" s="1" t="str">
        <f t="shared" ref="G3143:P3143" si="6399">"0"</f>
        <v>0</v>
      </c>
      <c r="H3143" s="1" t="str">
        <f t="shared" si="6399"/>
        <v>0</v>
      </c>
      <c r="I3143" s="1" t="str">
        <f>"2496.1212"</f>
        <v>2496.1212</v>
      </c>
      <c r="J3143" s="1" t="str">
        <f>"4"</f>
        <v>4</v>
      </c>
      <c r="K3143" s="1" t="str">
        <f t="shared" si="6399"/>
        <v>0</v>
      </c>
      <c r="L3143" s="1" t="str">
        <f t="shared" si="6399"/>
        <v>0</v>
      </c>
      <c r="M3143" s="1" t="str">
        <f t="shared" si="6399"/>
        <v>0</v>
      </c>
      <c r="N3143" s="1" t="str">
        <f t="shared" si="6399"/>
        <v>0</v>
      </c>
      <c r="O3143" s="1" t="str">
        <f t="shared" si="6399"/>
        <v>0</v>
      </c>
      <c r="P3143" s="1" t="str">
        <f t="shared" si="6399"/>
        <v>0</v>
      </c>
      <c r="Q3143" s="1" t="str">
        <f t="shared" si="6390"/>
        <v>0.0070</v>
      </c>
      <c r="R3143" s="1" t="s">
        <v>69</v>
      </c>
      <c r="S3143" s="1" t="str">
        <f>"0.0014"</f>
        <v>0.0014</v>
      </c>
      <c r="T3143" s="1" t="str">
        <f t="shared" si="6391"/>
        <v>0</v>
      </c>
      <c r="U3143" s="1" t="str">
        <f>"0.0084"</f>
        <v>0.0084</v>
      </c>
    </row>
    <row r="3144" s="1" customFormat="1" spans="1:21">
      <c r="A3144" s="1" t="str">
        <f>"4601992059811"</f>
        <v>4601992059811</v>
      </c>
      <c r="B3144" s="1" t="s">
        <v>3167</v>
      </c>
      <c r="C3144" s="1" t="s">
        <v>24</v>
      </c>
      <c r="D3144" s="1" t="str">
        <f t="shared" si="6387"/>
        <v>2021</v>
      </c>
      <c r="E3144" s="1" t="str">
        <f t="shared" ref="E3144:P3144" si="6400">"0"</f>
        <v>0</v>
      </c>
      <c r="F3144" s="1" t="str">
        <f t="shared" si="6400"/>
        <v>0</v>
      </c>
      <c r="G3144" s="1" t="str">
        <f t="shared" si="6400"/>
        <v>0</v>
      </c>
      <c r="H3144" s="1" t="str">
        <f t="shared" si="6400"/>
        <v>0</v>
      </c>
      <c r="I3144" s="1" t="str">
        <f t="shared" si="6400"/>
        <v>0</v>
      </c>
      <c r="J3144" s="1" t="str">
        <f t="shared" si="6400"/>
        <v>0</v>
      </c>
      <c r="K3144" s="1" t="str">
        <f t="shared" si="6400"/>
        <v>0</v>
      </c>
      <c r="L3144" s="1" t="str">
        <f t="shared" si="6400"/>
        <v>0</v>
      </c>
      <c r="M3144" s="1" t="str">
        <f t="shared" si="6400"/>
        <v>0</v>
      </c>
      <c r="N3144" s="1" t="str">
        <f t="shared" si="6400"/>
        <v>0</v>
      </c>
      <c r="O3144" s="1" t="str">
        <f t="shared" si="6400"/>
        <v>0</v>
      </c>
      <c r="P3144" s="1" t="str">
        <f t="shared" si="6400"/>
        <v>0</v>
      </c>
      <c r="Q3144" s="1" t="str">
        <f t="shared" si="6390"/>
        <v>0.0070</v>
      </c>
      <c r="R3144" s="1" t="s">
        <v>25</v>
      </c>
      <c r="T3144" s="1" t="str">
        <f t="shared" si="6391"/>
        <v>0</v>
      </c>
      <c r="U3144" s="1" t="str">
        <f t="shared" si="6394"/>
        <v>0.0070</v>
      </c>
    </row>
    <row r="3145" s="1" customFormat="1" spans="1:21">
      <c r="A3145" s="1" t="str">
        <f>"4601992059924"</f>
        <v>4601992059924</v>
      </c>
      <c r="B3145" s="1" t="s">
        <v>3168</v>
      </c>
      <c r="C3145" s="1" t="s">
        <v>24</v>
      </c>
      <c r="D3145" s="1" t="str">
        <f t="shared" si="6387"/>
        <v>2021</v>
      </c>
      <c r="E3145" s="1" t="str">
        <f t="shared" ref="E3145:P3145" si="6401">"0"</f>
        <v>0</v>
      </c>
      <c r="F3145" s="1" t="str">
        <f t="shared" si="6401"/>
        <v>0</v>
      </c>
      <c r="G3145" s="1" t="str">
        <f t="shared" si="6401"/>
        <v>0</v>
      </c>
      <c r="H3145" s="1" t="str">
        <f t="shared" si="6401"/>
        <v>0</v>
      </c>
      <c r="I3145" s="1" t="str">
        <f t="shared" si="6401"/>
        <v>0</v>
      </c>
      <c r="J3145" s="1" t="str">
        <f t="shared" si="6401"/>
        <v>0</v>
      </c>
      <c r="K3145" s="1" t="str">
        <f t="shared" si="6401"/>
        <v>0</v>
      </c>
      <c r="L3145" s="1" t="str">
        <f t="shared" si="6401"/>
        <v>0</v>
      </c>
      <c r="M3145" s="1" t="str">
        <f t="shared" si="6401"/>
        <v>0</v>
      </c>
      <c r="N3145" s="1" t="str">
        <f t="shared" si="6401"/>
        <v>0</v>
      </c>
      <c r="O3145" s="1" t="str">
        <f t="shared" si="6401"/>
        <v>0</v>
      </c>
      <c r="P3145" s="1" t="str">
        <f t="shared" si="6401"/>
        <v>0</v>
      </c>
      <c r="Q3145" s="1" t="str">
        <f t="shared" si="6390"/>
        <v>0.0070</v>
      </c>
      <c r="R3145" s="1" t="s">
        <v>25</v>
      </c>
      <c r="T3145" s="1" t="str">
        <f t="shared" si="6391"/>
        <v>0</v>
      </c>
      <c r="U3145" s="1" t="str">
        <f t="shared" si="6394"/>
        <v>0.0070</v>
      </c>
    </row>
    <row r="3146" s="1" customFormat="1" spans="1:21">
      <c r="A3146" s="1" t="str">
        <f>"4601992059824"</f>
        <v>4601992059824</v>
      </c>
      <c r="B3146" s="1" t="s">
        <v>3169</v>
      </c>
      <c r="C3146" s="1" t="s">
        <v>24</v>
      </c>
      <c r="D3146" s="1" t="str">
        <f t="shared" si="6387"/>
        <v>2021</v>
      </c>
      <c r="E3146" s="1" t="str">
        <f>"194.51"</f>
        <v>194.51</v>
      </c>
      <c r="F3146" s="1" t="str">
        <f t="shared" ref="F3146:I3146" si="6402">"0"</f>
        <v>0</v>
      </c>
      <c r="G3146" s="1" t="str">
        <f t="shared" si="6402"/>
        <v>0</v>
      </c>
      <c r="H3146" s="1" t="str">
        <f t="shared" si="6402"/>
        <v>0</v>
      </c>
      <c r="I3146" s="1" t="str">
        <f t="shared" si="6402"/>
        <v>0</v>
      </c>
      <c r="J3146" s="1" t="str">
        <f>"16"</f>
        <v>16</v>
      </c>
      <c r="K3146" s="1" t="str">
        <f t="shared" ref="K3146:P3146" si="6403">"0"</f>
        <v>0</v>
      </c>
      <c r="L3146" s="1" t="str">
        <f t="shared" si="6403"/>
        <v>0</v>
      </c>
      <c r="M3146" s="1" t="str">
        <f t="shared" si="6403"/>
        <v>0</v>
      </c>
      <c r="N3146" s="1" t="str">
        <f t="shared" si="6403"/>
        <v>0</v>
      </c>
      <c r="O3146" s="1" t="str">
        <f t="shared" si="6403"/>
        <v>0</v>
      </c>
      <c r="P3146" s="1" t="str">
        <f t="shared" si="6403"/>
        <v>0</v>
      </c>
      <c r="Q3146" s="1" t="str">
        <f t="shared" si="6390"/>
        <v>0.0070</v>
      </c>
      <c r="R3146" s="1" t="s">
        <v>29</v>
      </c>
      <c r="S3146" s="1">
        <v>-0.0014</v>
      </c>
      <c r="T3146" s="1" t="str">
        <f t="shared" si="6391"/>
        <v>0</v>
      </c>
      <c r="U3146" s="1" t="str">
        <f t="shared" ref="U3146:U3154" si="6404">"0.0056"</f>
        <v>0.0056</v>
      </c>
    </row>
    <row r="3147" s="1" customFormat="1" spans="1:21">
      <c r="A3147" s="1" t="str">
        <f>"4601992059882"</f>
        <v>4601992059882</v>
      </c>
      <c r="B3147" s="1" t="s">
        <v>3170</v>
      </c>
      <c r="C3147" s="1" t="s">
        <v>24</v>
      </c>
      <c r="D3147" s="1" t="str">
        <f t="shared" si="6387"/>
        <v>2021</v>
      </c>
      <c r="E3147" s="1" t="str">
        <f t="shared" ref="E3147:I3147" si="6405">"0"</f>
        <v>0</v>
      </c>
      <c r="F3147" s="1" t="str">
        <f t="shared" si="6405"/>
        <v>0</v>
      </c>
      <c r="G3147" s="1" t="str">
        <f t="shared" si="6405"/>
        <v>0</v>
      </c>
      <c r="H3147" s="1" t="str">
        <f t="shared" si="6405"/>
        <v>0</v>
      </c>
      <c r="I3147" s="1" t="str">
        <f t="shared" si="6405"/>
        <v>0</v>
      </c>
      <c r="J3147" s="1" t="str">
        <f>"1"</f>
        <v>1</v>
      </c>
      <c r="K3147" s="1" t="str">
        <f t="shared" ref="K3147:P3147" si="6406">"0"</f>
        <v>0</v>
      </c>
      <c r="L3147" s="1" t="str">
        <f t="shared" si="6406"/>
        <v>0</v>
      </c>
      <c r="M3147" s="1" t="str">
        <f t="shared" si="6406"/>
        <v>0</v>
      </c>
      <c r="N3147" s="1" t="str">
        <f t="shared" si="6406"/>
        <v>0</v>
      </c>
      <c r="O3147" s="1" t="str">
        <f t="shared" si="6406"/>
        <v>0</v>
      </c>
      <c r="P3147" s="1" t="str">
        <f t="shared" si="6406"/>
        <v>0</v>
      </c>
      <c r="Q3147" s="1" t="str">
        <f t="shared" si="6390"/>
        <v>0.0070</v>
      </c>
      <c r="R3147" s="1" t="s">
        <v>25</v>
      </c>
      <c r="T3147" s="1" t="str">
        <f t="shared" si="6391"/>
        <v>0</v>
      </c>
      <c r="U3147" s="1" t="str">
        <f t="shared" ref="U3147:U3150" si="6407">"0.0070"</f>
        <v>0.0070</v>
      </c>
    </row>
    <row r="3148" s="1" customFormat="1" spans="1:21">
      <c r="A3148" s="1" t="str">
        <f>"4601992059884"</f>
        <v>4601992059884</v>
      </c>
      <c r="B3148" s="1" t="s">
        <v>3171</v>
      </c>
      <c r="C3148" s="1" t="s">
        <v>24</v>
      </c>
      <c r="D3148" s="1" t="str">
        <f t="shared" si="6387"/>
        <v>2021</v>
      </c>
      <c r="E3148" s="1" t="str">
        <f>"36.48"</f>
        <v>36.48</v>
      </c>
      <c r="F3148" s="1" t="str">
        <f t="shared" ref="F3148:I3148" si="6408">"0"</f>
        <v>0</v>
      </c>
      <c r="G3148" s="1" t="str">
        <f t="shared" si="6408"/>
        <v>0</v>
      </c>
      <c r="H3148" s="1" t="str">
        <f t="shared" si="6408"/>
        <v>0</v>
      </c>
      <c r="I3148" s="1" t="str">
        <f t="shared" si="6408"/>
        <v>0</v>
      </c>
      <c r="J3148" s="1" t="str">
        <f>"3"</f>
        <v>3</v>
      </c>
      <c r="K3148" s="1" t="str">
        <f t="shared" ref="K3148:P3148" si="6409">"0"</f>
        <v>0</v>
      </c>
      <c r="L3148" s="1" t="str">
        <f t="shared" si="6409"/>
        <v>0</v>
      </c>
      <c r="M3148" s="1" t="str">
        <f t="shared" si="6409"/>
        <v>0</v>
      </c>
      <c r="N3148" s="1" t="str">
        <f t="shared" si="6409"/>
        <v>0</v>
      </c>
      <c r="O3148" s="1" t="str">
        <f t="shared" si="6409"/>
        <v>0</v>
      </c>
      <c r="P3148" s="1" t="str">
        <f t="shared" si="6409"/>
        <v>0</v>
      </c>
      <c r="Q3148" s="1" t="str">
        <f t="shared" si="6390"/>
        <v>0.0070</v>
      </c>
      <c r="R3148" s="1" t="s">
        <v>29</v>
      </c>
      <c r="S3148" s="1">
        <v>-0.0014</v>
      </c>
      <c r="T3148" s="1" t="str">
        <f t="shared" si="6391"/>
        <v>0</v>
      </c>
      <c r="U3148" s="1" t="str">
        <f t="shared" si="6404"/>
        <v>0.0056</v>
      </c>
    </row>
    <row r="3149" s="1" customFormat="1" spans="1:21">
      <c r="A3149" s="1" t="str">
        <f>"4601992059927"</f>
        <v>4601992059927</v>
      </c>
      <c r="B3149" s="1" t="s">
        <v>3172</v>
      </c>
      <c r="C3149" s="1" t="s">
        <v>24</v>
      </c>
      <c r="D3149" s="1" t="str">
        <f t="shared" si="6387"/>
        <v>2021</v>
      </c>
      <c r="E3149" s="1" t="str">
        <f t="shared" ref="E3149:P3149" si="6410">"0"</f>
        <v>0</v>
      </c>
      <c r="F3149" s="1" t="str">
        <f t="shared" si="6410"/>
        <v>0</v>
      </c>
      <c r="G3149" s="1" t="str">
        <f t="shared" si="6410"/>
        <v>0</v>
      </c>
      <c r="H3149" s="1" t="str">
        <f t="shared" si="6410"/>
        <v>0</v>
      </c>
      <c r="I3149" s="1" t="str">
        <f t="shared" si="6410"/>
        <v>0</v>
      </c>
      <c r="J3149" s="1" t="str">
        <f t="shared" si="6410"/>
        <v>0</v>
      </c>
      <c r="K3149" s="1" t="str">
        <f t="shared" si="6410"/>
        <v>0</v>
      </c>
      <c r="L3149" s="1" t="str">
        <f t="shared" si="6410"/>
        <v>0</v>
      </c>
      <c r="M3149" s="1" t="str">
        <f t="shared" si="6410"/>
        <v>0</v>
      </c>
      <c r="N3149" s="1" t="str">
        <f t="shared" si="6410"/>
        <v>0</v>
      </c>
      <c r="O3149" s="1" t="str">
        <f t="shared" si="6410"/>
        <v>0</v>
      </c>
      <c r="P3149" s="1" t="str">
        <f t="shared" si="6410"/>
        <v>0</v>
      </c>
      <c r="Q3149" s="1" t="str">
        <f t="shared" si="6390"/>
        <v>0.0070</v>
      </c>
      <c r="R3149" s="1" t="s">
        <v>25</v>
      </c>
      <c r="T3149" s="1" t="str">
        <f t="shared" si="6391"/>
        <v>0</v>
      </c>
      <c r="U3149" s="1" t="str">
        <f t="shared" si="6407"/>
        <v>0.0070</v>
      </c>
    </row>
    <row r="3150" s="1" customFormat="1" spans="1:21">
      <c r="A3150" s="1" t="str">
        <f>"4601992059926"</f>
        <v>4601992059926</v>
      </c>
      <c r="B3150" s="1" t="s">
        <v>3173</v>
      </c>
      <c r="C3150" s="1" t="s">
        <v>24</v>
      </c>
      <c r="D3150" s="1" t="str">
        <f t="shared" si="6387"/>
        <v>2021</v>
      </c>
      <c r="E3150" s="1" t="str">
        <f t="shared" ref="E3150:P3150" si="6411">"0"</f>
        <v>0</v>
      </c>
      <c r="F3150" s="1" t="str">
        <f t="shared" si="6411"/>
        <v>0</v>
      </c>
      <c r="G3150" s="1" t="str">
        <f t="shared" si="6411"/>
        <v>0</v>
      </c>
      <c r="H3150" s="1" t="str">
        <f t="shared" si="6411"/>
        <v>0</v>
      </c>
      <c r="I3150" s="1" t="str">
        <f t="shared" si="6411"/>
        <v>0</v>
      </c>
      <c r="J3150" s="1" t="str">
        <f t="shared" si="6411"/>
        <v>0</v>
      </c>
      <c r="K3150" s="1" t="str">
        <f t="shared" si="6411"/>
        <v>0</v>
      </c>
      <c r="L3150" s="1" t="str">
        <f t="shared" si="6411"/>
        <v>0</v>
      </c>
      <c r="M3150" s="1" t="str">
        <f t="shared" si="6411"/>
        <v>0</v>
      </c>
      <c r="N3150" s="1" t="str">
        <f t="shared" si="6411"/>
        <v>0</v>
      </c>
      <c r="O3150" s="1" t="str">
        <f t="shared" si="6411"/>
        <v>0</v>
      </c>
      <c r="P3150" s="1" t="str">
        <f t="shared" si="6411"/>
        <v>0</v>
      </c>
      <c r="Q3150" s="1" t="str">
        <f t="shared" si="6390"/>
        <v>0.0070</v>
      </c>
      <c r="R3150" s="1" t="s">
        <v>25</v>
      </c>
      <c r="T3150" s="1" t="str">
        <f t="shared" si="6391"/>
        <v>0</v>
      </c>
      <c r="U3150" s="1" t="str">
        <f t="shared" si="6407"/>
        <v>0.0070</v>
      </c>
    </row>
    <row r="3151" s="1" customFormat="1" spans="1:21">
      <c r="A3151" s="1" t="str">
        <f>"4601992059947"</f>
        <v>4601992059947</v>
      </c>
      <c r="B3151" s="1" t="s">
        <v>3174</v>
      </c>
      <c r="C3151" s="1" t="s">
        <v>24</v>
      </c>
      <c r="D3151" s="1" t="str">
        <f t="shared" si="6387"/>
        <v>2021</v>
      </c>
      <c r="E3151" s="1" t="str">
        <f>"24.18"</f>
        <v>24.18</v>
      </c>
      <c r="F3151" s="1" t="str">
        <f t="shared" ref="F3151:I3151" si="6412">"0"</f>
        <v>0</v>
      </c>
      <c r="G3151" s="1" t="str">
        <f t="shared" si="6412"/>
        <v>0</v>
      </c>
      <c r="H3151" s="1" t="str">
        <f t="shared" si="6412"/>
        <v>0</v>
      </c>
      <c r="I3151" s="1" t="str">
        <f t="shared" si="6412"/>
        <v>0</v>
      </c>
      <c r="J3151" s="1" t="str">
        <f>"2"</f>
        <v>2</v>
      </c>
      <c r="K3151" s="1" t="str">
        <f t="shared" ref="K3151:P3151" si="6413">"0"</f>
        <v>0</v>
      </c>
      <c r="L3151" s="1" t="str">
        <f t="shared" si="6413"/>
        <v>0</v>
      </c>
      <c r="M3151" s="1" t="str">
        <f t="shared" si="6413"/>
        <v>0</v>
      </c>
      <c r="N3151" s="1" t="str">
        <f t="shared" si="6413"/>
        <v>0</v>
      </c>
      <c r="O3151" s="1" t="str">
        <f t="shared" si="6413"/>
        <v>0</v>
      </c>
      <c r="P3151" s="1" t="str">
        <f t="shared" si="6413"/>
        <v>0</v>
      </c>
      <c r="Q3151" s="1" t="str">
        <f t="shared" si="6390"/>
        <v>0.0070</v>
      </c>
      <c r="R3151" s="1" t="s">
        <v>29</v>
      </c>
      <c r="S3151" s="1">
        <v>-0.0014</v>
      </c>
      <c r="T3151" s="1" t="str">
        <f t="shared" si="6391"/>
        <v>0</v>
      </c>
      <c r="U3151" s="1" t="str">
        <f t="shared" si="6404"/>
        <v>0.0056</v>
      </c>
    </row>
    <row r="3152" s="1" customFormat="1" spans="1:21">
      <c r="A3152" s="1" t="str">
        <f>"4601992059953"</f>
        <v>4601992059953</v>
      </c>
      <c r="B3152" s="1" t="s">
        <v>3175</v>
      </c>
      <c r="C3152" s="1" t="s">
        <v>24</v>
      </c>
      <c r="D3152" s="1" t="str">
        <f t="shared" si="6387"/>
        <v>2021</v>
      </c>
      <c r="E3152" s="1" t="str">
        <f>"96.93"</f>
        <v>96.93</v>
      </c>
      <c r="F3152" s="1" t="str">
        <f t="shared" ref="F3152:I3152" si="6414">"0"</f>
        <v>0</v>
      </c>
      <c r="G3152" s="1" t="str">
        <f t="shared" si="6414"/>
        <v>0</v>
      </c>
      <c r="H3152" s="1" t="str">
        <f t="shared" si="6414"/>
        <v>0</v>
      </c>
      <c r="I3152" s="1" t="str">
        <f t="shared" si="6414"/>
        <v>0</v>
      </c>
      <c r="J3152" s="1" t="str">
        <f>"8"</f>
        <v>8</v>
      </c>
      <c r="K3152" s="1" t="str">
        <f t="shared" ref="K3152:P3152" si="6415">"0"</f>
        <v>0</v>
      </c>
      <c r="L3152" s="1" t="str">
        <f t="shared" si="6415"/>
        <v>0</v>
      </c>
      <c r="M3152" s="1" t="str">
        <f t="shared" si="6415"/>
        <v>0</v>
      </c>
      <c r="N3152" s="1" t="str">
        <f t="shared" si="6415"/>
        <v>0</v>
      </c>
      <c r="O3152" s="1" t="str">
        <f t="shared" si="6415"/>
        <v>0</v>
      </c>
      <c r="P3152" s="1" t="str">
        <f t="shared" si="6415"/>
        <v>0</v>
      </c>
      <c r="Q3152" s="1" t="str">
        <f t="shared" si="6390"/>
        <v>0.0070</v>
      </c>
      <c r="R3152" s="1" t="s">
        <v>29</v>
      </c>
      <c r="S3152" s="1">
        <v>-0.0014</v>
      </c>
      <c r="T3152" s="1" t="str">
        <f t="shared" si="6391"/>
        <v>0</v>
      </c>
      <c r="U3152" s="1" t="str">
        <f t="shared" si="6404"/>
        <v>0.0056</v>
      </c>
    </row>
    <row r="3153" s="1" customFormat="1" spans="1:21">
      <c r="A3153" s="1" t="str">
        <f>"4601992059956"</f>
        <v>4601992059956</v>
      </c>
      <c r="B3153" s="1" t="s">
        <v>3176</v>
      </c>
      <c r="C3153" s="1" t="s">
        <v>24</v>
      </c>
      <c r="D3153" s="1" t="str">
        <f t="shared" si="6387"/>
        <v>2021</v>
      </c>
      <c r="E3153" s="1" t="str">
        <f>"12.09"</f>
        <v>12.09</v>
      </c>
      <c r="F3153" s="1" t="str">
        <f t="shared" ref="F3153:I3153" si="6416">"0"</f>
        <v>0</v>
      </c>
      <c r="G3153" s="1" t="str">
        <f t="shared" si="6416"/>
        <v>0</v>
      </c>
      <c r="H3153" s="1" t="str">
        <f t="shared" si="6416"/>
        <v>0</v>
      </c>
      <c r="I3153" s="1" t="str">
        <f t="shared" si="6416"/>
        <v>0</v>
      </c>
      <c r="J3153" s="1" t="str">
        <f>"2"</f>
        <v>2</v>
      </c>
      <c r="K3153" s="1" t="str">
        <f t="shared" ref="K3153:P3153" si="6417">"0"</f>
        <v>0</v>
      </c>
      <c r="L3153" s="1" t="str">
        <f t="shared" si="6417"/>
        <v>0</v>
      </c>
      <c r="M3153" s="1" t="str">
        <f t="shared" si="6417"/>
        <v>0</v>
      </c>
      <c r="N3153" s="1" t="str">
        <f t="shared" si="6417"/>
        <v>0</v>
      </c>
      <c r="O3153" s="1" t="str">
        <f t="shared" si="6417"/>
        <v>0</v>
      </c>
      <c r="P3153" s="1" t="str">
        <f t="shared" si="6417"/>
        <v>0</v>
      </c>
      <c r="Q3153" s="1" t="str">
        <f t="shared" si="6390"/>
        <v>0.0070</v>
      </c>
      <c r="R3153" s="1" t="s">
        <v>29</v>
      </c>
      <c r="S3153" s="1">
        <v>-0.0014</v>
      </c>
      <c r="T3153" s="1" t="str">
        <f t="shared" si="6391"/>
        <v>0</v>
      </c>
      <c r="U3153" s="1" t="str">
        <f t="shared" si="6404"/>
        <v>0.0056</v>
      </c>
    </row>
    <row r="3154" s="1" customFormat="1" spans="1:21">
      <c r="A3154" s="1" t="str">
        <f>"4601992059939"</f>
        <v>4601992059939</v>
      </c>
      <c r="B3154" s="1" t="s">
        <v>3177</v>
      </c>
      <c r="C3154" s="1" t="s">
        <v>24</v>
      </c>
      <c r="D3154" s="1" t="str">
        <f t="shared" si="6387"/>
        <v>2021</v>
      </c>
      <c r="E3154" s="1" t="str">
        <f>"2562.31"</f>
        <v>2562.31</v>
      </c>
      <c r="F3154" s="1" t="str">
        <f t="shared" ref="F3154:I3154" si="6418">"0"</f>
        <v>0</v>
      </c>
      <c r="G3154" s="1" t="str">
        <f t="shared" si="6418"/>
        <v>0</v>
      </c>
      <c r="H3154" s="1" t="str">
        <f t="shared" si="6418"/>
        <v>0</v>
      </c>
      <c r="I3154" s="1" t="str">
        <f t="shared" si="6418"/>
        <v>0</v>
      </c>
      <c r="J3154" s="1" t="str">
        <f>"79"</f>
        <v>79</v>
      </c>
      <c r="K3154" s="1" t="str">
        <f t="shared" ref="K3154:P3154" si="6419">"0"</f>
        <v>0</v>
      </c>
      <c r="L3154" s="1" t="str">
        <f t="shared" si="6419"/>
        <v>0</v>
      </c>
      <c r="M3154" s="1" t="str">
        <f t="shared" si="6419"/>
        <v>0</v>
      </c>
      <c r="N3154" s="1" t="str">
        <f t="shared" si="6419"/>
        <v>0</v>
      </c>
      <c r="O3154" s="1" t="str">
        <f t="shared" si="6419"/>
        <v>0</v>
      </c>
      <c r="P3154" s="1" t="str">
        <f t="shared" si="6419"/>
        <v>0</v>
      </c>
      <c r="Q3154" s="1" t="str">
        <f t="shared" si="6390"/>
        <v>0.0070</v>
      </c>
      <c r="R3154" s="1" t="s">
        <v>29</v>
      </c>
      <c r="S3154" s="1">
        <v>-0.0014</v>
      </c>
      <c r="T3154" s="1" t="str">
        <f t="shared" si="6391"/>
        <v>0</v>
      </c>
      <c r="U3154" s="1" t="str">
        <f t="shared" si="6404"/>
        <v>0.0056</v>
      </c>
    </row>
    <row r="3155" s="1" customFormat="1" spans="1:21">
      <c r="A3155" s="1" t="str">
        <f>"4601992059962"</f>
        <v>4601992059962</v>
      </c>
      <c r="B3155" s="1" t="s">
        <v>3178</v>
      </c>
      <c r="C3155" s="1" t="s">
        <v>24</v>
      </c>
      <c r="D3155" s="1" t="str">
        <f t="shared" si="6387"/>
        <v>2021</v>
      </c>
      <c r="E3155" s="1" t="str">
        <f t="shared" ref="E3155:P3155" si="6420">"0"</f>
        <v>0</v>
      </c>
      <c r="F3155" s="1" t="str">
        <f t="shared" si="6420"/>
        <v>0</v>
      </c>
      <c r="G3155" s="1" t="str">
        <f t="shared" si="6420"/>
        <v>0</v>
      </c>
      <c r="H3155" s="1" t="str">
        <f t="shared" si="6420"/>
        <v>0</v>
      </c>
      <c r="I3155" s="1" t="str">
        <f t="shared" si="6420"/>
        <v>0</v>
      </c>
      <c r="J3155" s="1" t="str">
        <f t="shared" si="6420"/>
        <v>0</v>
      </c>
      <c r="K3155" s="1" t="str">
        <f t="shared" si="6420"/>
        <v>0</v>
      </c>
      <c r="L3155" s="1" t="str">
        <f t="shared" si="6420"/>
        <v>0</v>
      </c>
      <c r="M3155" s="1" t="str">
        <f t="shared" si="6420"/>
        <v>0</v>
      </c>
      <c r="N3155" s="1" t="str">
        <f t="shared" si="6420"/>
        <v>0</v>
      </c>
      <c r="O3155" s="1" t="str">
        <f t="shared" si="6420"/>
        <v>0</v>
      </c>
      <c r="P3155" s="1" t="str">
        <f t="shared" si="6420"/>
        <v>0</v>
      </c>
      <c r="Q3155" s="1" t="str">
        <f t="shared" si="6390"/>
        <v>0.0070</v>
      </c>
      <c r="R3155" s="1" t="s">
        <v>25</v>
      </c>
      <c r="T3155" s="1" t="str">
        <f t="shared" si="6391"/>
        <v>0</v>
      </c>
      <c r="U3155" s="1" t="str">
        <f t="shared" ref="U3155:U3158" si="6421">"0.0070"</f>
        <v>0.0070</v>
      </c>
    </row>
    <row r="3156" s="1" customFormat="1" spans="1:21">
      <c r="A3156" s="1" t="str">
        <f>"4601992060002"</f>
        <v>4601992060002</v>
      </c>
      <c r="B3156" s="1" t="s">
        <v>3179</v>
      </c>
      <c r="C3156" s="1" t="s">
        <v>24</v>
      </c>
      <c r="D3156" s="1" t="str">
        <f t="shared" si="6387"/>
        <v>2021</v>
      </c>
      <c r="E3156" s="1" t="str">
        <f t="shared" ref="E3156:P3156" si="6422">"0"</f>
        <v>0</v>
      </c>
      <c r="F3156" s="1" t="str">
        <f t="shared" si="6422"/>
        <v>0</v>
      </c>
      <c r="G3156" s="1" t="str">
        <f t="shared" si="6422"/>
        <v>0</v>
      </c>
      <c r="H3156" s="1" t="str">
        <f t="shared" si="6422"/>
        <v>0</v>
      </c>
      <c r="I3156" s="1" t="str">
        <f t="shared" si="6422"/>
        <v>0</v>
      </c>
      <c r="J3156" s="1" t="str">
        <f t="shared" si="6422"/>
        <v>0</v>
      </c>
      <c r="K3156" s="1" t="str">
        <f t="shared" si="6422"/>
        <v>0</v>
      </c>
      <c r="L3156" s="1" t="str">
        <f t="shared" si="6422"/>
        <v>0</v>
      </c>
      <c r="M3156" s="1" t="str">
        <f t="shared" si="6422"/>
        <v>0</v>
      </c>
      <c r="N3156" s="1" t="str">
        <f t="shared" si="6422"/>
        <v>0</v>
      </c>
      <c r="O3156" s="1" t="str">
        <f t="shared" si="6422"/>
        <v>0</v>
      </c>
      <c r="P3156" s="1" t="str">
        <f t="shared" si="6422"/>
        <v>0</v>
      </c>
      <c r="Q3156" s="1" t="str">
        <f t="shared" si="6390"/>
        <v>0.0070</v>
      </c>
      <c r="R3156" s="1" t="s">
        <v>25</v>
      </c>
      <c r="T3156" s="1" t="str">
        <f t="shared" si="6391"/>
        <v>0</v>
      </c>
      <c r="U3156" s="1" t="str">
        <f t="shared" si="6421"/>
        <v>0.0070</v>
      </c>
    </row>
    <row r="3157" s="1" customFormat="1" spans="1:21">
      <c r="A3157" s="1" t="str">
        <f>"4601992060025"</f>
        <v>4601992060025</v>
      </c>
      <c r="B3157" s="1" t="s">
        <v>3180</v>
      </c>
      <c r="C3157" s="1" t="s">
        <v>24</v>
      </c>
      <c r="D3157" s="1" t="str">
        <f t="shared" si="6387"/>
        <v>2021</v>
      </c>
      <c r="E3157" s="1" t="str">
        <f t="shared" ref="E3157:P3157" si="6423">"0"</f>
        <v>0</v>
      </c>
      <c r="F3157" s="1" t="str">
        <f t="shared" si="6423"/>
        <v>0</v>
      </c>
      <c r="G3157" s="1" t="str">
        <f t="shared" si="6423"/>
        <v>0</v>
      </c>
      <c r="H3157" s="1" t="str">
        <f t="shared" si="6423"/>
        <v>0</v>
      </c>
      <c r="I3157" s="1" t="str">
        <f t="shared" si="6423"/>
        <v>0</v>
      </c>
      <c r="J3157" s="1" t="str">
        <f t="shared" si="6423"/>
        <v>0</v>
      </c>
      <c r="K3157" s="1" t="str">
        <f t="shared" si="6423"/>
        <v>0</v>
      </c>
      <c r="L3157" s="1" t="str">
        <f t="shared" si="6423"/>
        <v>0</v>
      </c>
      <c r="M3157" s="1" t="str">
        <f t="shared" si="6423"/>
        <v>0</v>
      </c>
      <c r="N3157" s="1" t="str">
        <f t="shared" si="6423"/>
        <v>0</v>
      </c>
      <c r="O3157" s="1" t="str">
        <f t="shared" si="6423"/>
        <v>0</v>
      </c>
      <c r="P3157" s="1" t="str">
        <f t="shared" si="6423"/>
        <v>0</v>
      </c>
      <c r="Q3157" s="1" t="str">
        <f t="shared" si="6390"/>
        <v>0.0070</v>
      </c>
      <c r="R3157" s="1" t="s">
        <v>25</v>
      </c>
      <c r="T3157" s="1" t="str">
        <f t="shared" si="6391"/>
        <v>0</v>
      </c>
      <c r="U3157" s="1" t="str">
        <f t="shared" si="6421"/>
        <v>0.0070</v>
      </c>
    </row>
    <row r="3158" s="1" customFormat="1" spans="1:21">
      <c r="A3158" s="1" t="str">
        <f>"4601992060028"</f>
        <v>4601992060028</v>
      </c>
      <c r="B3158" s="1" t="s">
        <v>3181</v>
      </c>
      <c r="C3158" s="1" t="s">
        <v>24</v>
      </c>
      <c r="D3158" s="1" t="str">
        <f t="shared" si="6387"/>
        <v>2021</v>
      </c>
      <c r="E3158" s="1" t="str">
        <f t="shared" ref="E3158:P3158" si="6424">"0"</f>
        <v>0</v>
      </c>
      <c r="F3158" s="1" t="str">
        <f t="shared" si="6424"/>
        <v>0</v>
      </c>
      <c r="G3158" s="1" t="str">
        <f t="shared" si="6424"/>
        <v>0</v>
      </c>
      <c r="H3158" s="1" t="str">
        <f t="shared" si="6424"/>
        <v>0</v>
      </c>
      <c r="I3158" s="1" t="str">
        <f t="shared" si="6424"/>
        <v>0</v>
      </c>
      <c r="J3158" s="1" t="str">
        <f t="shared" si="6424"/>
        <v>0</v>
      </c>
      <c r="K3158" s="1" t="str">
        <f t="shared" si="6424"/>
        <v>0</v>
      </c>
      <c r="L3158" s="1" t="str">
        <f t="shared" si="6424"/>
        <v>0</v>
      </c>
      <c r="M3158" s="1" t="str">
        <f t="shared" si="6424"/>
        <v>0</v>
      </c>
      <c r="N3158" s="1" t="str">
        <f t="shared" si="6424"/>
        <v>0</v>
      </c>
      <c r="O3158" s="1" t="str">
        <f t="shared" si="6424"/>
        <v>0</v>
      </c>
      <c r="P3158" s="1" t="str">
        <f t="shared" si="6424"/>
        <v>0</v>
      </c>
      <c r="Q3158" s="1" t="str">
        <f t="shared" si="6390"/>
        <v>0.0070</v>
      </c>
      <c r="R3158" s="1" t="s">
        <v>25</v>
      </c>
      <c r="T3158" s="1" t="str">
        <f t="shared" si="6391"/>
        <v>0</v>
      </c>
      <c r="U3158" s="1" t="str">
        <f t="shared" si="6421"/>
        <v>0.0070</v>
      </c>
    </row>
    <row r="3159" s="1" customFormat="1" spans="1:21">
      <c r="A3159" s="1" t="str">
        <f>"4601991424001"</f>
        <v>4601991424001</v>
      </c>
      <c r="B3159" s="1" t="s">
        <v>3182</v>
      </c>
      <c r="C3159" s="1" t="s">
        <v>24</v>
      </c>
      <c r="D3159" s="1" t="str">
        <f t="shared" si="6387"/>
        <v>2021</v>
      </c>
      <c r="E3159" s="1" t="str">
        <f>"249.08"</f>
        <v>249.08</v>
      </c>
      <c r="F3159" s="1" t="str">
        <f t="shared" ref="F3159:I3159" si="6425">"0"</f>
        <v>0</v>
      </c>
      <c r="G3159" s="1" t="str">
        <f t="shared" si="6425"/>
        <v>0</v>
      </c>
      <c r="H3159" s="1" t="str">
        <f t="shared" si="6425"/>
        <v>0</v>
      </c>
      <c r="I3159" s="1" t="str">
        <f t="shared" si="6425"/>
        <v>0</v>
      </c>
      <c r="J3159" s="1" t="str">
        <f>"29"</f>
        <v>29</v>
      </c>
      <c r="K3159" s="1" t="str">
        <f t="shared" ref="K3159:P3159" si="6426">"0"</f>
        <v>0</v>
      </c>
      <c r="L3159" s="1" t="str">
        <f t="shared" si="6426"/>
        <v>0</v>
      </c>
      <c r="M3159" s="1" t="str">
        <f t="shared" si="6426"/>
        <v>0</v>
      </c>
      <c r="N3159" s="1" t="str">
        <f t="shared" si="6426"/>
        <v>0</v>
      </c>
      <c r="O3159" s="1" t="str">
        <f t="shared" si="6426"/>
        <v>0</v>
      </c>
      <c r="P3159" s="1" t="str">
        <f t="shared" si="6426"/>
        <v>0</v>
      </c>
      <c r="Q3159" s="1" t="str">
        <f t="shared" si="6390"/>
        <v>0.0070</v>
      </c>
      <c r="R3159" s="1" t="s">
        <v>29</v>
      </c>
      <c r="S3159" s="1">
        <v>-0.0014</v>
      </c>
      <c r="T3159" s="1" t="str">
        <f t="shared" si="6391"/>
        <v>0</v>
      </c>
      <c r="U3159" s="1" t="str">
        <f t="shared" ref="U3159:U3161" si="6427">"0.0056"</f>
        <v>0.0056</v>
      </c>
    </row>
    <row r="3160" s="1" customFormat="1" spans="1:21">
      <c r="A3160" s="1" t="str">
        <f>"4601992060027"</f>
        <v>4601992060027</v>
      </c>
      <c r="B3160" s="1" t="s">
        <v>3183</v>
      </c>
      <c r="C3160" s="1" t="s">
        <v>24</v>
      </c>
      <c r="D3160" s="1" t="str">
        <f t="shared" si="6387"/>
        <v>2021</v>
      </c>
      <c r="E3160" s="1" t="str">
        <f>"24.18"</f>
        <v>24.18</v>
      </c>
      <c r="F3160" s="1" t="str">
        <f t="shared" ref="F3160:I3160" si="6428">"0"</f>
        <v>0</v>
      </c>
      <c r="G3160" s="1" t="str">
        <f t="shared" si="6428"/>
        <v>0</v>
      </c>
      <c r="H3160" s="1" t="str">
        <f t="shared" si="6428"/>
        <v>0</v>
      </c>
      <c r="I3160" s="1" t="str">
        <f t="shared" si="6428"/>
        <v>0</v>
      </c>
      <c r="J3160" s="1" t="str">
        <f>"2"</f>
        <v>2</v>
      </c>
      <c r="K3160" s="1" t="str">
        <f t="shared" ref="K3160:P3160" si="6429">"0"</f>
        <v>0</v>
      </c>
      <c r="L3160" s="1" t="str">
        <f t="shared" si="6429"/>
        <v>0</v>
      </c>
      <c r="M3160" s="1" t="str">
        <f t="shared" si="6429"/>
        <v>0</v>
      </c>
      <c r="N3160" s="1" t="str">
        <f t="shared" si="6429"/>
        <v>0</v>
      </c>
      <c r="O3160" s="1" t="str">
        <f t="shared" si="6429"/>
        <v>0</v>
      </c>
      <c r="P3160" s="1" t="str">
        <f t="shared" si="6429"/>
        <v>0</v>
      </c>
      <c r="Q3160" s="1" t="str">
        <f t="shared" si="6390"/>
        <v>0.0070</v>
      </c>
      <c r="R3160" s="1" t="s">
        <v>29</v>
      </c>
      <c r="S3160" s="1">
        <v>-0.0014</v>
      </c>
      <c r="T3160" s="1" t="str">
        <f t="shared" si="6391"/>
        <v>0</v>
      </c>
      <c r="U3160" s="1" t="str">
        <f t="shared" si="6427"/>
        <v>0.0056</v>
      </c>
    </row>
    <row r="3161" s="1" customFormat="1" spans="1:21">
      <c r="A3161" s="1" t="str">
        <f>"4601992060021"</f>
        <v>4601992060021</v>
      </c>
      <c r="B3161" s="1" t="s">
        <v>3184</v>
      </c>
      <c r="C3161" s="1" t="s">
        <v>24</v>
      </c>
      <c r="D3161" s="1" t="str">
        <f t="shared" si="6387"/>
        <v>2021</v>
      </c>
      <c r="E3161" s="1" t="str">
        <f>"28.00"</f>
        <v>28.00</v>
      </c>
      <c r="F3161" s="1" t="str">
        <f t="shared" ref="F3161:I3161" si="6430">"0"</f>
        <v>0</v>
      </c>
      <c r="G3161" s="1" t="str">
        <f t="shared" si="6430"/>
        <v>0</v>
      </c>
      <c r="H3161" s="1" t="str">
        <f t="shared" si="6430"/>
        <v>0</v>
      </c>
      <c r="I3161" s="1" t="str">
        <f t="shared" si="6430"/>
        <v>0</v>
      </c>
      <c r="J3161" s="1" t="str">
        <f>"3"</f>
        <v>3</v>
      </c>
      <c r="K3161" s="1" t="str">
        <f t="shared" ref="K3161:P3161" si="6431">"0"</f>
        <v>0</v>
      </c>
      <c r="L3161" s="1" t="str">
        <f t="shared" si="6431"/>
        <v>0</v>
      </c>
      <c r="M3161" s="1" t="str">
        <f t="shared" si="6431"/>
        <v>0</v>
      </c>
      <c r="N3161" s="1" t="str">
        <f t="shared" si="6431"/>
        <v>0</v>
      </c>
      <c r="O3161" s="1" t="str">
        <f t="shared" si="6431"/>
        <v>0</v>
      </c>
      <c r="P3161" s="1" t="str">
        <f t="shared" si="6431"/>
        <v>0</v>
      </c>
      <c r="Q3161" s="1" t="str">
        <f t="shared" si="6390"/>
        <v>0.0070</v>
      </c>
      <c r="R3161" s="1" t="s">
        <v>29</v>
      </c>
      <c r="S3161" s="1">
        <v>-0.0014</v>
      </c>
      <c r="T3161" s="1" t="str">
        <f t="shared" si="6391"/>
        <v>0</v>
      </c>
      <c r="U3161" s="1" t="str">
        <f t="shared" si="6427"/>
        <v>0.0056</v>
      </c>
    </row>
    <row r="3162" s="1" customFormat="1" spans="1:21">
      <c r="A3162" s="1" t="str">
        <f>"4601992060029"</f>
        <v>4601992060029</v>
      </c>
      <c r="B3162" s="1" t="s">
        <v>3185</v>
      </c>
      <c r="C3162" s="1" t="s">
        <v>24</v>
      </c>
      <c r="D3162" s="1" t="str">
        <f t="shared" si="6387"/>
        <v>2021</v>
      </c>
      <c r="E3162" s="1" t="str">
        <f t="shared" ref="E3162:P3162" si="6432">"0"</f>
        <v>0</v>
      </c>
      <c r="F3162" s="1" t="str">
        <f t="shared" si="6432"/>
        <v>0</v>
      </c>
      <c r="G3162" s="1" t="str">
        <f t="shared" si="6432"/>
        <v>0</v>
      </c>
      <c r="H3162" s="1" t="str">
        <f t="shared" si="6432"/>
        <v>0</v>
      </c>
      <c r="I3162" s="1" t="str">
        <f t="shared" si="6432"/>
        <v>0</v>
      </c>
      <c r="J3162" s="1" t="str">
        <f t="shared" si="6432"/>
        <v>0</v>
      </c>
      <c r="K3162" s="1" t="str">
        <f t="shared" si="6432"/>
        <v>0</v>
      </c>
      <c r="L3162" s="1" t="str">
        <f t="shared" si="6432"/>
        <v>0</v>
      </c>
      <c r="M3162" s="1" t="str">
        <f t="shared" si="6432"/>
        <v>0</v>
      </c>
      <c r="N3162" s="1" t="str">
        <f t="shared" si="6432"/>
        <v>0</v>
      </c>
      <c r="O3162" s="1" t="str">
        <f t="shared" si="6432"/>
        <v>0</v>
      </c>
      <c r="P3162" s="1" t="str">
        <f t="shared" si="6432"/>
        <v>0</v>
      </c>
      <c r="Q3162" s="1" t="str">
        <f t="shared" si="6390"/>
        <v>0.0070</v>
      </c>
      <c r="R3162" s="1" t="s">
        <v>25</v>
      </c>
      <c r="T3162" s="1" t="str">
        <f t="shared" si="6391"/>
        <v>0</v>
      </c>
      <c r="U3162" s="1" t="str">
        <f t="shared" ref="U3162:U3164" si="6433">"0.0070"</f>
        <v>0.0070</v>
      </c>
    </row>
    <row r="3163" s="1" customFormat="1" spans="1:21">
      <c r="A3163" s="1" t="str">
        <f>"4601992060011"</f>
        <v>4601992060011</v>
      </c>
      <c r="B3163" s="1" t="s">
        <v>3186</v>
      </c>
      <c r="C3163" s="1" t="s">
        <v>24</v>
      </c>
      <c r="D3163" s="1" t="str">
        <f t="shared" si="6387"/>
        <v>2021</v>
      </c>
      <c r="E3163" s="1" t="str">
        <f t="shared" ref="E3163:P3163" si="6434">"0"</f>
        <v>0</v>
      </c>
      <c r="F3163" s="1" t="str">
        <f t="shared" si="6434"/>
        <v>0</v>
      </c>
      <c r="G3163" s="1" t="str">
        <f t="shared" si="6434"/>
        <v>0</v>
      </c>
      <c r="H3163" s="1" t="str">
        <f t="shared" si="6434"/>
        <v>0</v>
      </c>
      <c r="I3163" s="1" t="str">
        <f t="shared" si="6434"/>
        <v>0</v>
      </c>
      <c r="J3163" s="1" t="str">
        <f t="shared" si="6434"/>
        <v>0</v>
      </c>
      <c r="K3163" s="1" t="str">
        <f t="shared" si="6434"/>
        <v>0</v>
      </c>
      <c r="L3163" s="1" t="str">
        <f t="shared" si="6434"/>
        <v>0</v>
      </c>
      <c r="M3163" s="1" t="str">
        <f t="shared" si="6434"/>
        <v>0</v>
      </c>
      <c r="N3163" s="1" t="str">
        <f t="shared" si="6434"/>
        <v>0</v>
      </c>
      <c r="O3163" s="1" t="str">
        <f t="shared" si="6434"/>
        <v>0</v>
      </c>
      <c r="P3163" s="1" t="str">
        <f t="shared" si="6434"/>
        <v>0</v>
      </c>
      <c r="Q3163" s="1" t="str">
        <f t="shared" si="6390"/>
        <v>0.0070</v>
      </c>
      <c r="R3163" s="1" t="s">
        <v>25</v>
      </c>
      <c r="T3163" s="1" t="str">
        <f t="shared" si="6391"/>
        <v>0</v>
      </c>
      <c r="U3163" s="1" t="str">
        <f t="shared" si="6433"/>
        <v>0.0070</v>
      </c>
    </row>
    <row r="3164" s="1" customFormat="1" spans="1:21">
      <c r="A3164" s="1" t="str">
        <f>"4601992060066"</f>
        <v>4601992060066</v>
      </c>
      <c r="B3164" s="1" t="s">
        <v>3187</v>
      </c>
      <c r="C3164" s="1" t="s">
        <v>24</v>
      </c>
      <c r="D3164" s="1" t="str">
        <f t="shared" si="6387"/>
        <v>2021</v>
      </c>
      <c r="E3164" s="1" t="str">
        <f t="shared" ref="E3164:P3164" si="6435">"0"</f>
        <v>0</v>
      </c>
      <c r="F3164" s="1" t="str">
        <f t="shared" si="6435"/>
        <v>0</v>
      </c>
      <c r="G3164" s="1" t="str">
        <f t="shared" si="6435"/>
        <v>0</v>
      </c>
      <c r="H3164" s="1" t="str">
        <f t="shared" si="6435"/>
        <v>0</v>
      </c>
      <c r="I3164" s="1" t="str">
        <f t="shared" si="6435"/>
        <v>0</v>
      </c>
      <c r="J3164" s="1" t="str">
        <f t="shared" si="6435"/>
        <v>0</v>
      </c>
      <c r="K3164" s="1" t="str">
        <f t="shared" si="6435"/>
        <v>0</v>
      </c>
      <c r="L3164" s="1" t="str">
        <f t="shared" si="6435"/>
        <v>0</v>
      </c>
      <c r="M3164" s="1" t="str">
        <f t="shared" si="6435"/>
        <v>0</v>
      </c>
      <c r="N3164" s="1" t="str">
        <f t="shared" si="6435"/>
        <v>0</v>
      </c>
      <c r="O3164" s="1" t="str">
        <f t="shared" si="6435"/>
        <v>0</v>
      </c>
      <c r="P3164" s="1" t="str">
        <f t="shared" si="6435"/>
        <v>0</v>
      </c>
      <c r="Q3164" s="1" t="str">
        <f t="shared" si="6390"/>
        <v>0.0070</v>
      </c>
      <c r="R3164" s="1" t="s">
        <v>25</v>
      </c>
      <c r="T3164" s="1" t="str">
        <f t="shared" si="6391"/>
        <v>0</v>
      </c>
      <c r="U3164" s="1" t="str">
        <f t="shared" si="6433"/>
        <v>0.0070</v>
      </c>
    </row>
    <row r="3165" s="1" customFormat="1" spans="1:21">
      <c r="A3165" s="1" t="str">
        <f>"4601992060033"</f>
        <v>4601992060033</v>
      </c>
      <c r="B3165" s="1" t="s">
        <v>3188</v>
      </c>
      <c r="C3165" s="1" t="s">
        <v>24</v>
      </c>
      <c r="D3165" s="1" t="str">
        <f t="shared" si="6387"/>
        <v>2021</v>
      </c>
      <c r="E3165" s="1" t="str">
        <f>"36.27"</f>
        <v>36.27</v>
      </c>
      <c r="F3165" s="1" t="str">
        <f t="shared" ref="F3165:I3165" si="6436">"0"</f>
        <v>0</v>
      </c>
      <c r="G3165" s="1" t="str">
        <f t="shared" si="6436"/>
        <v>0</v>
      </c>
      <c r="H3165" s="1" t="str">
        <f t="shared" si="6436"/>
        <v>0</v>
      </c>
      <c r="I3165" s="1" t="str">
        <f t="shared" si="6436"/>
        <v>0</v>
      </c>
      <c r="J3165" s="1" t="str">
        <f>"3"</f>
        <v>3</v>
      </c>
      <c r="K3165" s="1" t="str">
        <f t="shared" ref="K3165:P3165" si="6437">"0"</f>
        <v>0</v>
      </c>
      <c r="L3165" s="1" t="str">
        <f t="shared" si="6437"/>
        <v>0</v>
      </c>
      <c r="M3165" s="1" t="str">
        <f t="shared" si="6437"/>
        <v>0</v>
      </c>
      <c r="N3165" s="1" t="str">
        <f t="shared" si="6437"/>
        <v>0</v>
      </c>
      <c r="O3165" s="1" t="str">
        <f t="shared" si="6437"/>
        <v>0</v>
      </c>
      <c r="P3165" s="1" t="str">
        <f t="shared" si="6437"/>
        <v>0</v>
      </c>
      <c r="Q3165" s="1" t="str">
        <f t="shared" si="6390"/>
        <v>0.0070</v>
      </c>
      <c r="R3165" s="1" t="s">
        <v>29</v>
      </c>
      <c r="S3165" s="1">
        <v>-0.0014</v>
      </c>
      <c r="T3165" s="1" t="str">
        <f t="shared" si="6391"/>
        <v>0</v>
      </c>
      <c r="U3165" s="1" t="str">
        <f>"0.0056"</f>
        <v>0.0056</v>
      </c>
    </row>
    <row r="3166" s="1" customFormat="1" spans="1:21">
      <c r="A3166" s="1" t="str">
        <f>"4601992060095"</f>
        <v>4601992060095</v>
      </c>
      <c r="B3166" s="1" t="s">
        <v>3189</v>
      </c>
      <c r="C3166" s="1" t="s">
        <v>24</v>
      </c>
      <c r="D3166" s="1" t="str">
        <f t="shared" si="6387"/>
        <v>2021</v>
      </c>
      <c r="E3166" s="1" t="str">
        <f t="shared" ref="E3166:G3166" si="6438">"0"</f>
        <v>0</v>
      </c>
      <c r="F3166" s="1" t="str">
        <f t="shared" si="6438"/>
        <v>0</v>
      </c>
      <c r="G3166" s="1" t="str">
        <f t="shared" si="6438"/>
        <v>0</v>
      </c>
      <c r="H3166" s="1" t="str">
        <f>"24.18"</f>
        <v>24.18</v>
      </c>
      <c r="I3166" s="1" t="str">
        <f t="shared" ref="I3166:P3166" si="6439">"0"</f>
        <v>0</v>
      </c>
      <c r="J3166" s="1" t="str">
        <f t="shared" si="6439"/>
        <v>0</v>
      </c>
      <c r="K3166" s="1" t="str">
        <f t="shared" si="6439"/>
        <v>0</v>
      </c>
      <c r="L3166" s="1" t="str">
        <f t="shared" si="6439"/>
        <v>0</v>
      </c>
      <c r="M3166" s="1" t="str">
        <f t="shared" si="6439"/>
        <v>0</v>
      </c>
      <c r="N3166" s="1" t="str">
        <f t="shared" si="6439"/>
        <v>0</v>
      </c>
      <c r="O3166" s="1" t="str">
        <f t="shared" si="6439"/>
        <v>0</v>
      </c>
      <c r="P3166" s="1" t="str">
        <f t="shared" si="6439"/>
        <v>0</v>
      </c>
      <c r="Q3166" s="1" t="str">
        <f t="shared" si="6390"/>
        <v>0.0070</v>
      </c>
      <c r="R3166" s="1" t="s">
        <v>25</v>
      </c>
      <c r="T3166" s="1" t="str">
        <f t="shared" si="6391"/>
        <v>0</v>
      </c>
      <c r="U3166" s="1" t="str">
        <f t="shared" ref="U3166:U3171" si="6440">"0.0070"</f>
        <v>0.0070</v>
      </c>
    </row>
    <row r="3167" s="1" customFormat="1" spans="1:21">
      <c r="A3167" s="1" t="str">
        <f>"4601992060062"</f>
        <v>4601992060062</v>
      </c>
      <c r="B3167" s="1" t="s">
        <v>3190</v>
      </c>
      <c r="C3167" s="1" t="s">
        <v>24</v>
      </c>
      <c r="D3167" s="1" t="str">
        <f t="shared" si="6387"/>
        <v>2021</v>
      </c>
      <c r="E3167" s="1" t="str">
        <f>"23.96"</f>
        <v>23.96</v>
      </c>
      <c r="F3167" s="1" t="str">
        <f t="shared" ref="F3167:I3167" si="6441">"0"</f>
        <v>0</v>
      </c>
      <c r="G3167" s="1" t="str">
        <f t="shared" si="6441"/>
        <v>0</v>
      </c>
      <c r="H3167" s="1" t="str">
        <f t="shared" si="6441"/>
        <v>0</v>
      </c>
      <c r="I3167" s="1" t="str">
        <f t="shared" si="6441"/>
        <v>0</v>
      </c>
      <c r="J3167" s="1" t="str">
        <f>"2"</f>
        <v>2</v>
      </c>
      <c r="K3167" s="1" t="str">
        <f t="shared" ref="K3167:P3167" si="6442">"0"</f>
        <v>0</v>
      </c>
      <c r="L3167" s="1" t="str">
        <f t="shared" si="6442"/>
        <v>0</v>
      </c>
      <c r="M3167" s="1" t="str">
        <f t="shared" si="6442"/>
        <v>0</v>
      </c>
      <c r="N3167" s="1" t="str">
        <f t="shared" si="6442"/>
        <v>0</v>
      </c>
      <c r="O3167" s="1" t="str">
        <f t="shared" si="6442"/>
        <v>0</v>
      </c>
      <c r="P3167" s="1" t="str">
        <f t="shared" si="6442"/>
        <v>0</v>
      </c>
      <c r="Q3167" s="1" t="str">
        <f t="shared" si="6390"/>
        <v>0.0070</v>
      </c>
      <c r="R3167" s="1" t="s">
        <v>29</v>
      </c>
      <c r="S3167" s="1">
        <v>-0.0014</v>
      </c>
      <c r="T3167" s="1" t="str">
        <f t="shared" si="6391"/>
        <v>0</v>
      </c>
      <c r="U3167" s="1" t="str">
        <f>"0.0056"</f>
        <v>0.0056</v>
      </c>
    </row>
    <row r="3168" s="1" customFormat="1" spans="1:21">
      <c r="A3168" s="1" t="str">
        <f>"4601992060104"</f>
        <v>4601992060104</v>
      </c>
      <c r="B3168" s="1" t="s">
        <v>3191</v>
      </c>
      <c r="C3168" s="1" t="s">
        <v>24</v>
      </c>
      <c r="D3168" s="1" t="str">
        <f t="shared" si="6387"/>
        <v>2021</v>
      </c>
      <c r="E3168" s="1" t="str">
        <f t="shared" ref="E3168:G3168" si="6443">"0"</f>
        <v>0</v>
      </c>
      <c r="F3168" s="1" t="str">
        <f t="shared" si="6443"/>
        <v>0</v>
      </c>
      <c r="G3168" s="1" t="str">
        <f t="shared" si="6443"/>
        <v>0</v>
      </c>
      <c r="H3168" s="1" t="str">
        <f>"12.09"</f>
        <v>12.09</v>
      </c>
      <c r="I3168" s="1" t="str">
        <f t="shared" ref="I3168:P3168" si="6444">"0"</f>
        <v>0</v>
      </c>
      <c r="J3168" s="1" t="str">
        <f t="shared" si="6444"/>
        <v>0</v>
      </c>
      <c r="K3168" s="1" t="str">
        <f t="shared" si="6444"/>
        <v>0</v>
      </c>
      <c r="L3168" s="1" t="str">
        <f t="shared" si="6444"/>
        <v>0</v>
      </c>
      <c r="M3168" s="1" t="str">
        <f t="shared" si="6444"/>
        <v>0</v>
      </c>
      <c r="N3168" s="1" t="str">
        <f t="shared" si="6444"/>
        <v>0</v>
      </c>
      <c r="O3168" s="1" t="str">
        <f t="shared" si="6444"/>
        <v>0</v>
      </c>
      <c r="P3168" s="1" t="str">
        <f t="shared" si="6444"/>
        <v>0</v>
      </c>
      <c r="Q3168" s="1" t="str">
        <f t="shared" si="6390"/>
        <v>0.0070</v>
      </c>
      <c r="R3168" s="1" t="s">
        <v>25</v>
      </c>
      <c r="T3168" s="1" t="str">
        <f t="shared" si="6391"/>
        <v>0</v>
      </c>
      <c r="U3168" s="1" t="str">
        <f t="shared" si="6440"/>
        <v>0.0070</v>
      </c>
    </row>
    <row r="3169" s="1" customFormat="1" spans="1:21">
      <c r="A3169" s="1" t="str">
        <f>"4601992060157"</f>
        <v>4601992060157</v>
      </c>
      <c r="B3169" s="1" t="s">
        <v>3192</v>
      </c>
      <c r="C3169" s="1" t="s">
        <v>24</v>
      </c>
      <c r="D3169" s="1" t="str">
        <f t="shared" si="6387"/>
        <v>2021</v>
      </c>
      <c r="E3169" s="1" t="str">
        <f t="shared" ref="E3169:P3169" si="6445">"0"</f>
        <v>0</v>
      </c>
      <c r="F3169" s="1" t="str">
        <f t="shared" si="6445"/>
        <v>0</v>
      </c>
      <c r="G3169" s="1" t="str">
        <f t="shared" si="6445"/>
        <v>0</v>
      </c>
      <c r="H3169" s="1" t="str">
        <f t="shared" si="6445"/>
        <v>0</v>
      </c>
      <c r="I3169" s="1" t="str">
        <f t="shared" si="6445"/>
        <v>0</v>
      </c>
      <c r="J3169" s="1" t="str">
        <f t="shared" si="6445"/>
        <v>0</v>
      </c>
      <c r="K3169" s="1" t="str">
        <f t="shared" si="6445"/>
        <v>0</v>
      </c>
      <c r="L3169" s="1" t="str">
        <f t="shared" si="6445"/>
        <v>0</v>
      </c>
      <c r="M3169" s="1" t="str">
        <f t="shared" si="6445"/>
        <v>0</v>
      </c>
      <c r="N3169" s="1" t="str">
        <f t="shared" si="6445"/>
        <v>0</v>
      </c>
      <c r="O3169" s="1" t="str">
        <f t="shared" si="6445"/>
        <v>0</v>
      </c>
      <c r="P3169" s="1" t="str">
        <f t="shared" si="6445"/>
        <v>0</v>
      </c>
      <c r="Q3169" s="1" t="str">
        <f t="shared" si="6390"/>
        <v>0.0070</v>
      </c>
      <c r="R3169" s="1" t="s">
        <v>25</v>
      </c>
      <c r="T3169" s="1" t="str">
        <f t="shared" si="6391"/>
        <v>0</v>
      </c>
      <c r="U3169" s="1" t="str">
        <f t="shared" si="6440"/>
        <v>0.0070</v>
      </c>
    </row>
    <row r="3170" s="1" customFormat="1" spans="1:21">
      <c r="A3170" s="1" t="str">
        <f>"4601992060153"</f>
        <v>4601992060153</v>
      </c>
      <c r="B3170" s="1" t="s">
        <v>3193</v>
      </c>
      <c r="C3170" s="1" t="s">
        <v>24</v>
      </c>
      <c r="D3170" s="1" t="str">
        <f t="shared" si="6387"/>
        <v>2021</v>
      </c>
      <c r="E3170" s="1" t="str">
        <f t="shared" ref="E3170:P3170" si="6446">"0"</f>
        <v>0</v>
      </c>
      <c r="F3170" s="1" t="str">
        <f t="shared" si="6446"/>
        <v>0</v>
      </c>
      <c r="G3170" s="1" t="str">
        <f t="shared" si="6446"/>
        <v>0</v>
      </c>
      <c r="H3170" s="1" t="str">
        <f t="shared" si="6446"/>
        <v>0</v>
      </c>
      <c r="I3170" s="1" t="str">
        <f t="shared" si="6446"/>
        <v>0</v>
      </c>
      <c r="J3170" s="1" t="str">
        <f t="shared" si="6446"/>
        <v>0</v>
      </c>
      <c r="K3170" s="1" t="str">
        <f t="shared" si="6446"/>
        <v>0</v>
      </c>
      <c r="L3170" s="1" t="str">
        <f t="shared" si="6446"/>
        <v>0</v>
      </c>
      <c r="M3170" s="1" t="str">
        <f t="shared" si="6446"/>
        <v>0</v>
      </c>
      <c r="N3170" s="1" t="str">
        <f t="shared" si="6446"/>
        <v>0</v>
      </c>
      <c r="O3170" s="1" t="str">
        <f t="shared" si="6446"/>
        <v>0</v>
      </c>
      <c r="P3170" s="1" t="str">
        <f t="shared" si="6446"/>
        <v>0</v>
      </c>
      <c r="Q3170" s="1" t="str">
        <f t="shared" si="6390"/>
        <v>0.0070</v>
      </c>
      <c r="R3170" s="1" t="s">
        <v>25</v>
      </c>
      <c r="T3170" s="1" t="str">
        <f t="shared" si="6391"/>
        <v>0</v>
      </c>
      <c r="U3170" s="1" t="str">
        <f t="shared" si="6440"/>
        <v>0.0070</v>
      </c>
    </row>
    <row r="3171" s="1" customFormat="1" spans="1:21">
      <c r="A3171" s="1" t="str">
        <f>"4601992060230"</f>
        <v>4601992060230</v>
      </c>
      <c r="B3171" s="1" t="s">
        <v>3194</v>
      </c>
      <c r="C3171" s="1" t="s">
        <v>24</v>
      </c>
      <c r="D3171" s="1" t="str">
        <f t="shared" si="6387"/>
        <v>2021</v>
      </c>
      <c r="E3171" s="1" t="str">
        <f t="shared" ref="E3171:P3171" si="6447">"0"</f>
        <v>0</v>
      </c>
      <c r="F3171" s="1" t="str">
        <f t="shared" si="6447"/>
        <v>0</v>
      </c>
      <c r="G3171" s="1" t="str">
        <f t="shared" si="6447"/>
        <v>0</v>
      </c>
      <c r="H3171" s="1" t="str">
        <f t="shared" si="6447"/>
        <v>0</v>
      </c>
      <c r="I3171" s="1" t="str">
        <f t="shared" si="6447"/>
        <v>0</v>
      </c>
      <c r="J3171" s="1" t="str">
        <f t="shared" si="6447"/>
        <v>0</v>
      </c>
      <c r="K3171" s="1" t="str">
        <f t="shared" si="6447"/>
        <v>0</v>
      </c>
      <c r="L3171" s="1" t="str">
        <f t="shared" si="6447"/>
        <v>0</v>
      </c>
      <c r="M3171" s="1" t="str">
        <f t="shared" si="6447"/>
        <v>0</v>
      </c>
      <c r="N3171" s="1" t="str">
        <f t="shared" si="6447"/>
        <v>0</v>
      </c>
      <c r="O3171" s="1" t="str">
        <f t="shared" si="6447"/>
        <v>0</v>
      </c>
      <c r="P3171" s="1" t="str">
        <f t="shared" si="6447"/>
        <v>0</v>
      </c>
      <c r="Q3171" s="1" t="str">
        <f t="shared" si="6390"/>
        <v>0.0070</v>
      </c>
      <c r="R3171" s="1" t="s">
        <v>25</v>
      </c>
      <c r="T3171" s="1" t="str">
        <f t="shared" si="6391"/>
        <v>0</v>
      </c>
      <c r="U3171" s="1" t="str">
        <f t="shared" si="6440"/>
        <v>0.0070</v>
      </c>
    </row>
    <row r="3172" s="1" customFormat="1" spans="1:21">
      <c r="A3172" s="1" t="str">
        <f>"4601992060174"</f>
        <v>4601992060174</v>
      </c>
      <c r="B3172" s="1" t="s">
        <v>3195</v>
      </c>
      <c r="C3172" s="1" t="s">
        <v>24</v>
      </c>
      <c r="D3172" s="1" t="str">
        <f t="shared" si="6387"/>
        <v>2021</v>
      </c>
      <c r="E3172" s="1" t="str">
        <f>"84.44"</f>
        <v>84.44</v>
      </c>
      <c r="F3172" s="1" t="str">
        <f t="shared" ref="F3172:I3172" si="6448">"0"</f>
        <v>0</v>
      </c>
      <c r="G3172" s="1" t="str">
        <f t="shared" si="6448"/>
        <v>0</v>
      </c>
      <c r="H3172" s="1" t="str">
        <f t="shared" si="6448"/>
        <v>0</v>
      </c>
      <c r="I3172" s="1" t="str">
        <f t="shared" si="6448"/>
        <v>0</v>
      </c>
      <c r="J3172" s="1" t="str">
        <f>"8"</f>
        <v>8</v>
      </c>
      <c r="K3172" s="1" t="str">
        <f t="shared" ref="K3172:P3172" si="6449">"0"</f>
        <v>0</v>
      </c>
      <c r="L3172" s="1" t="str">
        <f t="shared" si="6449"/>
        <v>0</v>
      </c>
      <c r="M3172" s="1" t="str">
        <f t="shared" si="6449"/>
        <v>0</v>
      </c>
      <c r="N3172" s="1" t="str">
        <f t="shared" si="6449"/>
        <v>0</v>
      </c>
      <c r="O3172" s="1" t="str">
        <f t="shared" si="6449"/>
        <v>0</v>
      </c>
      <c r="P3172" s="1" t="str">
        <f t="shared" si="6449"/>
        <v>0</v>
      </c>
      <c r="Q3172" s="1" t="str">
        <f t="shared" si="6390"/>
        <v>0.0070</v>
      </c>
      <c r="R3172" s="1" t="s">
        <v>29</v>
      </c>
      <c r="S3172" s="1">
        <v>-0.0014</v>
      </c>
      <c r="T3172" s="1" t="str">
        <f t="shared" si="6391"/>
        <v>0</v>
      </c>
      <c r="U3172" s="1" t="str">
        <f t="shared" ref="U3172:U3177" si="6450">"0.0056"</f>
        <v>0.0056</v>
      </c>
    </row>
    <row r="3173" s="1" customFormat="1" spans="1:21">
      <c r="A3173" s="1" t="str">
        <f>"4601992060189"</f>
        <v>4601992060189</v>
      </c>
      <c r="B3173" s="1" t="s">
        <v>3196</v>
      </c>
      <c r="C3173" s="1" t="s">
        <v>24</v>
      </c>
      <c r="D3173" s="1" t="str">
        <f t="shared" si="6387"/>
        <v>2021</v>
      </c>
      <c r="E3173" s="1" t="str">
        <f>"24.07"</f>
        <v>24.07</v>
      </c>
      <c r="F3173" s="1" t="str">
        <f t="shared" ref="F3173:I3173" si="6451">"0"</f>
        <v>0</v>
      </c>
      <c r="G3173" s="1" t="str">
        <f t="shared" si="6451"/>
        <v>0</v>
      </c>
      <c r="H3173" s="1" t="str">
        <f t="shared" si="6451"/>
        <v>0</v>
      </c>
      <c r="I3173" s="1" t="str">
        <f t="shared" si="6451"/>
        <v>0</v>
      </c>
      <c r="J3173" s="1" t="str">
        <f>"2"</f>
        <v>2</v>
      </c>
      <c r="K3173" s="1" t="str">
        <f t="shared" ref="K3173:P3173" si="6452">"0"</f>
        <v>0</v>
      </c>
      <c r="L3173" s="1" t="str">
        <f t="shared" si="6452"/>
        <v>0</v>
      </c>
      <c r="M3173" s="1" t="str">
        <f t="shared" si="6452"/>
        <v>0</v>
      </c>
      <c r="N3173" s="1" t="str">
        <f t="shared" si="6452"/>
        <v>0</v>
      </c>
      <c r="O3173" s="1" t="str">
        <f t="shared" si="6452"/>
        <v>0</v>
      </c>
      <c r="P3173" s="1" t="str">
        <f t="shared" si="6452"/>
        <v>0</v>
      </c>
      <c r="Q3173" s="1" t="str">
        <f t="shared" si="6390"/>
        <v>0.0070</v>
      </c>
      <c r="R3173" s="1" t="s">
        <v>29</v>
      </c>
      <c r="S3173" s="1">
        <v>-0.0014</v>
      </c>
      <c r="T3173" s="1" t="str">
        <f t="shared" si="6391"/>
        <v>0</v>
      </c>
      <c r="U3173" s="1" t="str">
        <f t="shared" si="6450"/>
        <v>0.0056</v>
      </c>
    </row>
    <row r="3174" s="1" customFormat="1" spans="1:21">
      <c r="A3174" s="1" t="str">
        <f>"4601992060211"</f>
        <v>4601992060211</v>
      </c>
      <c r="B3174" s="1" t="s">
        <v>3197</v>
      </c>
      <c r="C3174" s="1" t="s">
        <v>24</v>
      </c>
      <c r="D3174" s="1" t="str">
        <f t="shared" si="6387"/>
        <v>2021</v>
      </c>
      <c r="E3174" s="1" t="str">
        <f>"48.36"</f>
        <v>48.36</v>
      </c>
      <c r="F3174" s="1" t="str">
        <f t="shared" ref="F3174:I3174" si="6453">"0"</f>
        <v>0</v>
      </c>
      <c r="G3174" s="1" t="str">
        <f t="shared" si="6453"/>
        <v>0</v>
      </c>
      <c r="H3174" s="1" t="str">
        <f t="shared" si="6453"/>
        <v>0</v>
      </c>
      <c r="I3174" s="1" t="str">
        <f t="shared" si="6453"/>
        <v>0</v>
      </c>
      <c r="J3174" s="1" t="str">
        <f>"4"</f>
        <v>4</v>
      </c>
      <c r="K3174" s="1" t="str">
        <f t="shared" ref="K3174:P3174" si="6454">"0"</f>
        <v>0</v>
      </c>
      <c r="L3174" s="1" t="str">
        <f t="shared" si="6454"/>
        <v>0</v>
      </c>
      <c r="M3174" s="1" t="str">
        <f t="shared" si="6454"/>
        <v>0</v>
      </c>
      <c r="N3174" s="1" t="str">
        <f t="shared" si="6454"/>
        <v>0</v>
      </c>
      <c r="O3174" s="1" t="str">
        <f t="shared" si="6454"/>
        <v>0</v>
      </c>
      <c r="P3174" s="1" t="str">
        <f t="shared" si="6454"/>
        <v>0</v>
      </c>
      <c r="Q3174" s="1" t="str">
        <f t="shared" si="6390"/>
        <v>0.0070</v>
      </c>
      <c r="R3174" s="1" t="s">
        <v>29</v>
      </c>
      <c r="S3174" s="1">
        <v>-0.0014</v>
      </c>
      <c r="T3174" s="1" t="str">
        <f t="shared" si="6391"/>
        <v>0</v>
      </c>
      <c r="U3174" s="1" t="str">
        <f t="shared" si="6450"/>
        <v>0.0056</v>
      </c>
    </row>
    <row r="3175" s="1" customFormat="1" spans="1:21">
      <c r="A3175" s="1" t="str">
        <f>"4601992060233"</f>
        <v>4601992060233</v>
      </c>
      <c r="B3175" s="1" t="s">
        <v>3198</v>
      </c>
      <c r="C3175" s="1" t="s">
        <v>24</v>
      </c>
      <c r="D3175" s="1" t="str">
        <f t="shared" si="6387"/>
        <v>2021</v>
      </c>
      <c r="E3175" s="1" t="str">
        <f>"36.75"</f>
        <v>36.75</v>
      </c>
      <c r="F3175" s="1" t="str">
        <f t="shared" ref="F3175:I3175" si="6455">"0"</f>
        <v>0</v>
      </c>
      <c r="G3175" s="1" t="str">
        <f t="shared" si="6455"/>
        <v>0</v>
      </c>
      <c r="H3175" s="1" t="str">
        <f t="shared" si="6455"/>
        <v>0</v>
      </c>
      <c r="I3175" s="1" t="str">
        <f t="shared" si="6455"/>
        <v>0</v>
      </c>
      <c r="J3175" s="1" t="str">
        <f>"3"</f>
        <v>3</v>
      </c>
      <c r="K3175" s="1" t="str">
        <f t="shared" ref="K3175:P3175" si="6456">"0"</f>
        <v>0</v>
      </c>
      <c r="L3175" s="1" t="str">
        <f t="shared" si="6456"/>
        <v>0</v>
      </c>
      <c r="M3175" s="1" t="str">
        <f t="shared" si="6456"/>
        <v>0</v>
      </c>
      <c r="N3175" s="1" t="str">
        <f t="shared" si="6456"/>
        <v>0</v>
      </c>
      <c r="O3175" s="1" t="str">
        <f t="shared" si="6456"/>
        <v>0</v>
      </c>
      <c r="P3175" s="1" t="str">
        <f t="shared" si="6456"/>
        <v>0</v>
      </c>
      <c r="Q3175" s="1" t="str">
        <f t="shared" si="6390"/>
        <v>0.0070</v>
      </c>
      <c r="R3175" s="1" t="s">
        <v>29</v>
      </c>
      <c r="S3175" s="1">
        <v>-0.0014</v>
      </c>
      <c r="T3175" s="1" t="str">
        <f t="shared" si="6391"/>
        <v>0</v>
      </c>
      <c r="U3175" s="1" t="str">
        <f t="shared" si="6450"/>
        <v>0.0056</v>
      </c>
    </row>
    <row r="3176" s="1" customFormat="1" spans="1:21">
      <c r="A3176" s="1" t="str">
        <f>"4601992060257"</f>
        <v>4601992060257</v>
      </c>
      <c r="B3176" s="1" t="s">
        <v>3199</v>
      </c>
      <c r="C3176" s="1" t="s">
        <v>24</v>
      </c>
      <c r="D3176" s="1" t="str">
        <f t="shared" si="6387"/>
        <v>2021</v>
      </c>
      <c r="E3176" s="1" t="str">
        <f>"11.98"</f>
        <v>11.98</v>
      </c>
      <c r="F3176" s="1" t="str">
        <f t="shared" ref="F3176:I3176" si="6457">"0"</f>
        <v>0</v>
      </c>
      <c r="G3176" s="1" t="str">
        <f t="shared" si="6457"/>
        <v>0</v>
      </c>
      <c r="H3176" s="1" t="str">
        <f t="shared" si="6457"/>
        <v>0</v>
      </c>
      <c r="I3176" s="1" t="str">
        <f t="shared" si="6457"/>
        <v>0</v>
      </c>
      <c r="J3176" s="1" t="str">
        <f>"1"</f>
        <v>1</v>
      </c>
      <c r="K3176" s="1" t="str">
        <f t="shared" ref="K3176:P3176" si="6458">"0"</f>
        <v>0</v>
      </c>
      <c r="L3176" s="1" t="str">
        <f t="shared" si="6458"/>
        <v>0</v>
      </c>
      <c r="M3176" s="1" t="str">
        <f t="shared" si="6458"/>
        <v>0</v>
      </c>
      <c r="N3176" s="1" t="str">
        <f t="shared" si="6458"/>
        <v>0</v>
      </c>
      <c r="O3176" s="1" t="str">
        <f t="shared" si="6458"/>
        <v>0</v>
      </c>
      <c r="P3176" s="1" t="str">
        <f t="shared" si="6458"/>
        <v>0</v>
      </c>
      <c r="Q3176" s="1" t="str">
        <f t="shared" si="6390"/>
        <v>0.0070</v>
      </c>
      <c r="R3176" s="1" t="s">
        <v>29</v>
      </c>
      <c r="S3176" s="1">
        <v>-0.0014</v>
      </c>
      <c r="T3176" s="1" t="str">
        <f t="shared" si="6391"/>
        <v>0</v>
      </c>
      <c r="U3176" s="1" t="str">
        <f t="shared" si="6450"/>
        <v>0.0056</v>
      </c>
    </row>
    <row r="3177" s="1" customFormat="1" spans="1:21">
      <c r="A3177" s="1" t="str">
        <f>"4601992060238"</f>
        <v>4601992060238</v>
      </c>
      <c r="B3177" s="1" t="s">
        <v>3200</v>
      </c>
      <c r="C3177" s="1" t="s">
        <v>24</v>
      </c>
      <c r="D3177" s="1" t="str">
        <f t="shared" si="6387"/>
        <v>2021</v>
      </c>
      <c r="E3177" s="1" t="str">
        <f>"60.45"</f>
        <v>60.45</v>
      </c>
      <c r="F3177" s="1" t="str">
        <f t="shared" ref="F3177:I3177" si="6459">"0"</f>
        <v>0</v>
      </c>
      <c r="G3177" s="1" t="str">
        <f t="shared" si="6459"/>
        <v>0</v>
      </c>
      <c r="H3177" s="1" t="str">
        <f t="shared" si="6459"/>
        <v>0</v>
      </c>
      <c r="I3177" s="1" t="str">
        <f t="shared" si="6459"/>
        <v>0</v>
      </c>
      <c r="J3177" s="1" t="str">
        <f>"5"</f>
        <v>5</v>
      </c>
      <c r="K3177" s="1" t="str">
        <f t="shared" ref="K3177:P3177" si="6460">"0"</f>
        <v>0</v>
      </c>
      <c r="L3177" s="1" t="str">
        <f t="shared" si="6460"/>
        <v>0</v>
      </c>
      <c r="M3177" s="1" t="str">
        <f t="shared" si="6460"/>
        <v>0</v>
      </c>
      <c r="N3177" s="1" t="str">
        <f t="shared" si="6460"/>
        <v>0</v>
      </c>
      <c r="O3177" s="1" t="str">
        <f t="shared" si="6460"/>
        <v>0</v>
      </c>
      <c r="P3177" s="1" t="str">
        <f t="shared" si="6460"/>
        <v>0</v>
      </c>
      <c r="Q3177" s="1" t="str">
        <f t="shared" si="6390"/>
        <v>0.0070</v>
      </c>
      <c r="R3177" s="1" t="s">
        <v>29</v>
      </c>
      <c r="S3177" s="1">
        <v>-0.0014</v>
      </c>
      <c r="T3177" s="1" t="str">
        <f t="shared" si="6391"/>
        <v>0</v>
      </c>
      <c r="U3177" s="1" t="str">
        <f t="shared" si="6450"/>
        <v>0.0056</v>
      </c>
    </row>
    <row r="3178" s="1" customFormat="1" spans="1:21">
      <c r="A3178" s="1" t="str">
        <f>"4601992060284"</f>
        <v>4601992060284</v>
      </c>
      <c r="B3178" s="1" t="s">
        <v>3201</v>
      </c>
      <c r="C3178" s="1" t="s">
        <v>24</v>
      </c>
      <c r="D3178" s="1" t="str">
        <f t="shared" si="6387"/>
        <v>2021</v>
      </c>
      <c r="E3178" s="1" t="str">
        <f>"12.09"</f>
        <v>12.09</v>
      </c>
      <c r="F3178" s="1" t="str">
        <f t="shared" ref="F3178:I3178" si="6461">"0"</f>
        <v>0</v>
      </c>
      <c r="G3178" s="1" t="str">
        <f t="shared" si="6461"/>
        <v>0</v>
      </c>
      <c r="H3178" s="1" t="str">
        <f t="shared" si="6461"/>
        <v>0</v>
      </c>
      <c r="I3178" s="1" t="str">
        <f t="shared" si="6461"/>
        <v>0</v>
      </c>
      <c r="J3178" s="1" t="str">
        <f>"1"</f>
        <v>1</v>
      </c>
      <c r="K3178" s="1" t="str">
        <f t="shared" ref="K3178:P3178" si="6462">"0"</f>
        <v>0</v>
      </c>
      <c r="L3178" s="1" t="str">
        <f t="shared" si="6462"/>
        <v>0</v>
      </c>
      <c r="M3178" s="1" t="str">
        <f t="shared" si="6462"/>
        <v>0</v>
      </c>
      <c r="N3178" s="1" t="str">
        <f t="shared" si="6462"/>
        <v>0</v>
      </c>
      <c r="O3178" s="1" t="str">
        <f t="shared" si="6462"/>
        <v>0</v>
      </c>
      <c r="P3178" s="1" t="str">
        <f t="shared" si="6462"/>
        <v>0</v>
      </c>
      <c r="Q3178" s="1" t="str">
        <f t="shared" si="6390"/>
        <v>0.0070</v>
      </c>
      <c r="R3178" s="1" t="s">
        <v>25</v>
      </c>
      <c r="T3178" s="1" t="str">
        <f t="shared" si="6391"/>
        <v>0</v>
      </c>
      <c r="U3178" s="1" t="str">
        <f t="shared" ref="U3178:U3183" si="6463">"0.0070"</f>
        <v>0.0070</v>
      </c>
    </row>
    <row r="3179" s="1" customFormat="1" spans="1:21">
      <c r="A3179" s="1" t="str">
        <f>"4601992019203"</f>
        <v>4601992019203</v>
      </c>
      <c r="B3179" s="1" t="s">
        <v>3202</v>
      </c>
      <c r="C3179" s="1" t="s">
        <v>24</v>
      </c>
      <c r="D3179" s="1" t="str">
        <f t="shared" si="6387"/>
        <v>2021</v>
      </c>
      <c r="E3179" s="1" t="str">
        <f>"155.72"</f>
        <v>155.72</v>
      </c>
      <c r="F3179" s="1" t="str">
        <f t="shared" ref="F3179:I3179" si="6464">"0"</f>
        <v>0</v>
      </c>
      <c r="G3179" s="1" t="str">
        <f t="shared" si="6464"/>
        <v>0</v>
      </c>
      <c r="H3179" s="1" t="str">
        <f t="shared" si="6464"/>
        <v>0</v>
      </c>
      <c r="I3179" s="1" t="str">
        <f t="shared" si="6464"/>
        <v>0</v>
      </c>
      <c r="J3179" s="1" t="str">
        <f>"9"</f>
        <v>9</v>
      </c>
      <c r="K3179" s="1" t="str">
        <f t="shared" ref="K3179:P3179" si="6465">"0"</f>
        <v>0</v>
      </c>
      <c r="L3179" s="1" t="str">
        <f t="shared" si="6465"/>
        <v>0</v>
      </c>
      <c r="M3179" s="1" t="str">
        <f t="shared" si="6465"/>
        <v>0</v>
      </c>
      <c r="N3179" s="1" t="str">
        <f t="shared" si="6465"/>
        <v>0</v>
      </c>
      <c r="O3179" s="1" t="str">
        <f t="shared" si="6465"/>
        <v>0</v>
      </c>
      <c r="P3179" s="1" t="str">
        <f t="shared" si="6465"/>
        <v>0</v>
      </c>
      <c r="Q3179" s="1" t="str">
        <f t="shared" si="6390"/>
        <v>0.0070</v>
      </c>
      <c r="R3179" s="1" t="s">
        <v>29</v>
      </c>
      <c r="S3179" s="1">
        <v>-0.0014</v>
      </c>
      <c r="T3179" s="1" t="str">
        <f t="shared" si="6391"/>
        <v>0</v>
      </c>
      <c r="U3179" s="1" t="str">
        <f t="shared" ref="U3179:U3181" si="6466">"0.0056"</f>
        <v>0.0056</v>
      </c>
    </row>
    <row r="3180" s="1" customFormat="1" spans="1:21">
      <c r="A3180" s="1" t="str">
        <f>"4601992060582"</f>
        <v>4601992060582</v>
      </c>
      <c r="B3180" s="1" t="s">
        <v>3203</v>
      </c>
      <c r="C3180" s="1" t="s">
        <v>24</v>
      </c>
      <c r="D3180" s="1" t="str">
        <f t="shared" si="6387"/>
        <v>2021</v>
      </c>
      <c r="E3180" s="1" t="str">
        <f>"24.18"</f>
        <v>24.18</v>
      </c>
      <c r="F3180" s="1" t="str">
        <f t="shared" ref="F3180:I3180" si="6467">"0"</f>
        <v>0</v>
      </c>
      <c r="G3180" s="1" t="str">
        <f t="shared" si="6467"/>
        <v>0</v>
      </c>
      <c r="H3180" s="1" t="str">
        <f t="shared" si="6467"/>
        <v>0</v>
      </c>
      <c r="I3180" s="1" t="str">
        <f t="shared" si="6467"/>
        <v>0</v>
      </c>
      <c r="J3180" s="1" t="str">
        <f>"2"</f>
        <v>2</v>
      </c>
      <c r="K3180" s="1" t="str">
        <f t="shared" ref="K3180:P3180" si="6468">"0"</f>
        <v>0</v>
      </c>
      <c r="L3180" s="1" t="str">
        <f t="shared" si="6468"/>
        <v>0</v>
      </c>
      <c r="M3180" s="1" t="str">
        <f t="shared" si="6468"/>
        <v>0</v>
      </c>
      <c r="N3180" s="1" t="str">
        <f t="shared" si="6468"/>
        <v>0</v>
      </c>
      <c r="O3180" s="1" t="str">
        <f t="shared" si="6468"/>
        <v>0</v>
      </c>
      <c r="P3180" s="1" t="str">
        <f t="shared" si="6468"/>
        <v>0</v>
      </c>
      <c r="Q3180" s="1" t="str">
        <f t="shared" si="6390"/>
        <v>0.0070</v>
      </c>
      <c r="R3180" s="1" t="s">
        <v>29</v>
      </c>
      <c r="S3180" s="1">
        <v>-0.0014</v>
      </c>
      <c r="T3180" s="1" t="str">
        <f t="shared" si="6391"/>
        <v>0</v>
      </c>
      <c r="U3180" s="1" t="str">
        <f t="shared" si="6466"/>
        <v>0.0056</v>
      </c>
    </row>
    <row r="3181" s="1" customFormat="1" spans="1:21">
      <c r="A3181" s="1" t="str">
        <f>"4601991422573"</f>
        <v>4601991422573</v>
      </c>
      <c r="B3181" s="1" t="s">
        <v>3204</v>
      </c>
      <c r="C3181" s="1" t="s">
        <v>24</v>
      </c>
      <c r="D3181" s="1" t="str">
        <f t="shared" si="6387"/>
        <v>2021</v>
      </c>
      <c r="E3181" s="1" t="str">
        <f>"36.27"</f>
        <v>36.27</v>
      </c>
      <c r="F3181" s="1" t="str">
        <f t="shared" ref="F3181:I3181" si="6469">"0"</f>
        <v>0</v>
      </c>
      <c r="G3181" s="1" t="str">
        <f t="shared" si="6469"/>
        <v>0</v>
      </c>
      <c r="H3181" s="1" t="str">
        <f t="shared" si="6469"/>
        <v>0</v>
      </c>
      <c r="I3181" s="1" t="str">
        <f t="shared" si="6469"/>
        <v>0</v>
      </c>
      <c r="J3181" s="1" t="str">
        <f>"3"</f>
        <v>3</v>
      </c>
      <c r="K3181" s="1" t="str">
        <f t="shared" ref="K3181:P3181" si="6470">"0"</f>
        <v>0</v>
      </c>
      <c r="L3181" s="1" t="str">
        <f t="shared" si="6470"/>
        <v>0</v>
      </c>
      <c r="M3181" s="1" t="str">
        <f t="shared" si="6470"/>
        <v>0</v>
      </c>
      <c r="N3181" s="1" t="str">
        <f t="shared" si="6470"/>
        <v>0</v>
      </c>
      <c r="O3181" s="1" t="str">
        <f t="shared" si="6470"/>
        <v>0</v>
      </c>
      <c r="P3181" s="1" t="str">
        <f t="shared" si="6470"/>
        <v>0</v>
      </c>
      <c r="Q3181" s="1" t="str">
        <f t="shared" si="6390"/>
        <v>0.0070</v>
      </c>
      <c r="R3181" s="1" t="s">
        <v>29</v>
      </c>
      <c r="S3181" s="1">
        <v>-0.0014</v>
      </c>
      <c r="T3181" s="1" t="str">
        <f t="shared" si="6391"/>
        <v>0</v>
      </c>
      <c r="U3181" s="1" t="str">
        <f t="shared" si="6466"/>
        <v>0.0056</v>
      </c>
    </row>
    <row r="3182" s="1" customFormat="1" spans="1:21">
      <c r="A3182" s="1" t="str">
        <f>"4601992060785"</f>
        <v>4601992060785</v>
      </c>
      <c r="B3182" s="1" t="s">
        <v>3205</v>
      </c>
      <c r="C3182" s="1" t="s">
        <v>24</v>
      </c>
      <c r="D3182" s="1" t="str">
        <f t="shared" si="6387"/>
        <v>2021</v>
      </c>
      <c r="E3182" s="1" t="str">
        <f t="shared" ref="E3182:P3182" si="6471">"0"</f>
        <v>0</v>
      </c>
      <c r="F3182" s="1" t="str">
        <f t="shared" si="6471"/>
        <v>0</v>
      </c>
      <c r="G3182" s="1" t="str">
        <f t="shared" si="6471"/>
        <v>0</v>
      </c>
      <c r="H3182" s="1" t="str">
        <f t="shared" si="6471"/>
        <v>0</v>
      </c>
      <c r="I3182" s="1" t="str">
        <f t="shared" si="6471"/>
        <v>0</v>
      </c>
      <c r="J3182" s="1" t="str">
        <f t="shared" si="6471"/>
        <v>0</v>
      </c>
      <c r="K3182" s="1" t="str">
        <f t="shared" si="6471"/>
        <v>0</v>
      </c>
      <c r="L3182" s="1" t="str">
        <f t="shared" si="6471"/>
        <v>0</v>
      </c>
      <c r="M3182" s="1" t="str">
        <f t="shared" si="6471"/>
        <v>0</v>
      </c>
      <c r="N3182" s="1" t="str">
        <f t="shared" si="6471"/>
        <v>0</v>
      </c>
      <c r="O3182" s="1" t="str">
        <f t="shared" si="6471"/>
        <v>0</v>
      </c>
      <c r="P3182" s="1" t="str">
        <f t="shared" si="6471"/>
        <v>0</v>
      </c>
      <c r="Q3182" s="1" t="str">
        <f t="shared" si="6390"/>
        <v>0.0070</v>
      </c>
      <c r="R3182" s="1" t="s">
        <v>25</v>
      </c>
      <c r="T3182" s="1" t="str">
        <f t="shared" si="6391"/>
        <v>0</v>
      </c>
      <c r="U3182" s="1" t="str">
        <f t="shared" si="6463"/>
        <v>0.0070</v>
      </c>
    </row>
    <row r="3183" s="1" customFormat="1" spans="1:21">
      <c r="A3183" s="1" t="str">
        <f>"4601992060806"</f>
        <v>4601992060806</v>
      </c>
      <c r="B3183" s="1" t="s">
        <v>3206</v>
      </c>
      <c r="C3183" s="1" t="s">
        <v>24</v>
      </c>
      <c r="D3183" s="1" t="str">
        <f t="shared" si="6387"/>
        <v>2021</v>
      </c>
      <c r="E3183" s="1" t="str">
        <f t="shared" ref="E3183:P3183" si="6472">"0"</f>
        <v>0</v>
      </c>
      <c r="F3183" s="1" t="str">
        <f t="shared" si="6472"/>
        <v>0</v>
      </c>
      <c r="G3183" s="1" t="str">
        <f t="shared" si="6472"/>
        <v>0</v>
      </c>
      <c r="H3183" s="1" t="str">
        <f t="shared" si="6472"/>
        <v>0</v>
      </c>
      <c r="I3183" s="1" t="str">
        <f t="shared" si="6472"/>
        <v>0</v>
      </c>
      <c r="J3183" s="1" t="str">
        <f t="shared" si="6472"/>
        <v>0</v>
      </c>
      <c r="K3183" s="1" t="str">
        <f t="shared" si="6472"/>
        <v>0</v>
      </c>
      <c r="L3183" s="1" t="str">
        <f t="shared" si="6472"/>
        <v>0</v>
      </c>
      <c r="M3183" s="1" t="str">
        <f t="shared" si="6472"/>
        <v>0</v>
      </c>
      <c r="N3183" s="1" t="str">
        <f t="shared" si="6472"/>
        <v>0</v>
      </c>
      <c r="O3183" s="1" t="str">
        <f t="shared" si="6472"/>
        <v>0</v>
      </c>
      <c r="P3183" s="1" t="str">
        <f t="shared" si="6472"/>
        <v>0</v>
      </c>
      <c r="Q3183" s="1" t="str">
        <f t="shared" si="6390"/>
        <v>0.0070</v>
      </c>
      <c r="R3183" s="1" t="s">
        <v>25</v>
      </c>
      <c r="T3183" s="1" t="str">
        <f t="shared" si="6391"/>
        <v>0</v>
      </c>
      <c r="U3183" s="1" t="str">
        <f t="shared" si="6463"/>
        <v>0.0070</v>
      </c>
    </row>
    <row r="3184" s="1" customFormat="1" spans="1:21">
      <c r="A3184" s="1" t="str">
        <f>"4601992060778"</f>
        <v>4601992060778</v>
      </c>
      <c r="B3184" s="1" t="s">
        <v>3207</v>
      </c>
      <c r="C3184" s="1" t="s">
        <v>24</v>
      </c>
      <c r="D3184" s="1" t="str">
        <f t="shared" si="6387"/>
        <v>2021</v>
      </c>
      <c r="E3184" s="1" t="str">
        <f>"24.50"</f>
        <v>24.50</v>
      </c>
      <c r="F3184" s="1" t="str">
        <f t="shared" ref="F3184:I3184" si="6473">"0"</f>
        <v>0</v>
      </c>
      <c r="G3184" s="1" t="str">
        <f t="shared" si="6473"/>
        <v>0</v>
      </c>
      <c r="H3184" s="1" t="str">
        <f t="shared" si="6473"/>
        <v>0</v>
      </c>
      <c r="I3184" s="1" t="str">
        <f t="shared" si="6473"/>
        <v>0</v>
      </c>
      <c r="J3184" s="1" t="str">
        <f>"2"</f>
        <v>2</v>
      </c>
      <c r="K3184" s="1" t="str">
        <f t="shared" ref="K3184:P3184" si="6474">"0"</f>
        <v>0</v>
      </c>
      <c r="L3184" s="1" t="str">
        <f t="shared" si="6474"/>
        <v>0</v>
      </c>
      <c r="M3184" s="1" t="str">
        <f t="shared" si="6474"/>
        <v>0</v>
      </c>
      <c r="N3184" s="1" t="str">
        <f t="shared" si="6474"/>
        <v>0</v>
      </c>
      <c r="O3184" s="1" t="str">
        <f t="shared" si="6474"/>
        <v>0</v>
      </c>
      <c r="P3184" s="1" t="str">
        <f t="shared" si="6474"/>
        <v>0</v>
      </c>
      <c r="Q3184" s="1" t="str">
        <f t="shared" si="6390"/>
        <v>0.0070</v>
      </c>
      <c r="R3184" s="1" t="s">
        <v>29</v>
      </c>
      <c r="S3184" s="1">
        <v>-0.0014</v>
      </c>
      <c r="T3184" s="1" t="str">
        <f t="shared" si="6391"/>
        <v>0</v>
      </c>
      <c r="U3184" s="1" t="str">
        <f t="shared" ref="U3184:U3190" si="6475">"0.0056"</f>
        <v>0.0056</v>
      </c>
    </row>
    <row r="3185" s="1" customFormat="1" spans="1:21">
      <c r="A3185" s="1" t="str">
        <f>"4601991408361"</f>
        <v>4601991408361</v>
      </c>
      <c r="B3185" s="1" t="s">
        <v>3208</v>
      </c>
      <c r="C3185" s="1" t="s">
        <v>24</v>
      </c>
      <c r="D3185" s="1" t="str">
        <f t="shared" si="6387"/>
        <v>2021</v>
      </c>
      <c r="E3185" s="1" t="str">
        <f>"195.96"</f>
        <v>195.96</v>
      </c>
      <c r="F3185" s="1" t="str">
        <f t="shared" ref="F3185:I3185" si="6476">"0"</f>
        <v>0</v>
      </c>
      <c r="G3185" s="1" t="str">
        <f t="shared" si="6476"/>
        <v>0</v>
      </c>
      <c r="H3185" s="1" t="str">
        <f t="shared" si="6476"/>
        <v>0</v>
      </c>
      <c r="I3185" s="1" t="str">
        <f t="shared" si="6476"/>
        <v>0</v>
      </c>
      <c r="J3185" s="1" t="str">
        <f>"1"</f>
        <v>1</v>
      </c>
      <c r="K3185" s="1" t="str">
        <f t="shared" ref="K3185:P3185" si="6477">"0"</f>
        <v>0</v>
      </c>
      <c r="L3185" s="1" t="str">
        <f t="shared" si="6477"/>
        <v>0</v>
      </c>
      <c r="M3185" s="1" t="str">
        <f t="shared" si="6477"/>
        <v>0</v>
      </c>
      <c r="N3185" s="1" t="str">
        <f t="shared" si="6477"/>
        <v>0</v>
      </c>
      <c r="O3185" s="1" t="str">
        <f t="shared" si="6477"/>
        <v>0</v>
      </c>
      <c r="P3185" s="1" t="str">
        <f t="shared" si="6477"/>
        <v>0</v>
      </c>
      <c r="Q3185" s="1" t="str">
        <f t="shared" si="6390"/>
        <v>0.0070</v>
      </c>
      <c r="R3185" s="1" t="s">
        <v>29</v>
      </c>
      <c r="S3185" s="1">
        <v>-0.0014</v>
      </c>
      <c r="T3185" s="1" t="str">
        <f t="shared" si="6391"/>
        <v>0</v>
      </c>
      <c r="U3185" s="1" t="str">
        <f t="shared" si="6475"/>
        <v>0.0056</v>
      </c>
    </row>
    <row r="3186" s="1" customFormat="1" spans="1:21">
      <c r="A3186" s="1" t="str">
        <f>"4601992060865"</f>
        <v>4601992060865</v>
      </c>
      <c r="B3186" s="1" t="s">
        <v>3209</v>
      </c>
      <c r="C3186" s="1" t="s">
        <v>24</v>
      </c>
      <c r="D3186" s="1" t="str">
        <f t="shared" si="6387"/>
        <v>2021</v>
      </c>
      <c r="E3186" s="1" t="str">
        <f t="shared" ref="E3186:P3186" si="6478">"0"</f>
        <v>0</v>
      </c>
      <c r="F3186" s="1" t="str">
        <f t="shared" si="6478"/>
        <v>0</v>
      </c>
      <c r="G3186" s="1" t="str">
        <f t="shared" si="6478"/>
        <v>0</v>
      </c>
      <c r="H3186" s="1" t="str">
        <f t="shared" si="6478"/>
        <v>0</v>
      </c>
      <c r="I3186" s="1" t="str">
        <f t="shared" si="6478"/>
        <v>0</v>
      </c>
      <c r="J3186" s="1" t="str">
        <f t="shared" si="6478"/>
        <v>0</v>
      </c>
      <c r="K3186" s="1" t="str">
        <f t="shared" si="6478"/>
        <v>0</v>
      </c>
      <c r="L3186" s="1" t="str">
        <f t="shared" si="6478"/>
        <v>0</v>
      </c>
      <c r="M3186" s="1" t="str">
        <f t="shared" si="6478"/>
        <v>0</v>
      </c>
      <c r="N3186" s="1" t="str">
        <f t="shared" si="6478"/>
        <v>0</v>
      </c>
      <c r="O3186" s="1" t="str">
        <f t="shared" si="6478"/>
        <v>0</v>
      </c>
      <c r="P3186" s="1" t="str">
        <f t="shared" si="6478"/>
        <v>0</v>
      </c>
      <c r="Q3186" s="1" t="str">
        <f t="shared" si="6390"/>
        <v>0.0070</v>
      </c>
      <c r="R3186" s="1" t="s">
        <v>25</v>
      </c>
      <c r="T3186" s="1" t="str">
        <f t="shared" si="6391"/>
        <v>0</v>
      </c>
      <c r="U3186" s="1" t="str">
        <f>"0.0070"</f>
        <v>0.0070</v>
      </c>
    </row>
    <row r="3187" s="1" customFormat="1" spans="1:21">
      <c r="A3187" s="1" t="str">
        <f>"4601992060846"</f>
        <v>4601992060846</v>
      </c>
      <c r="B3187" s="1" t="s">
        <v>3210</v>
      </c>
      <c r="C3187" s="1" t="s">
        <v>24</v>
      </c>
      <c r="D3187" s="1" t="str">
        <f t="shared" si="6387"/>
        <v>2021</v>
      </c>
      <c r="E3187" s="1" t="str">
        <f>"60.34"</f>
        <v>60.34</v>
      </c>
      <c r="F3187" s="1" t="str">
        <f t="shared" ref="F3187:I3187" si="6479">"0"</f>
        <v>0</v>
      </c>
      <c r="G3187" s="1" t="str">
        <f t="shared" si="6479"/>
        <v>0</v>
      </c>
      <c r="H3187" s="1" t="str">
        <f t="shared" si="6479"/>
        <v>0</v>
      </c>
      <c r="I3187" s="1" t="str">
        <f t="shared" si="6479"/>
        <v>0</v>
      </c>
      <c r="J3187" s="1" t="str">
        <f>"4"</f>
        <v>4</v>
      </c>
      <c r="K3187" s="1" t="str">
        <f t="shared" ref="K3187:P3187" si="6480">"0"</f>
        <v>0</v>
      </c>
      <c r="L3187" s="1" t="str">
        <f t="shared" si="6480"/>
        <v>0</v>
      </c>
      <c r="M3187" s="1" t="str">
        <f t="shared" si="6480"/>
        <v>0</v>
      </c>
      <c r="N3187" s="1" t="str">
        <f t="shared" si="6480"/>
        <v>0</v>
      </c>
      <c r="O3187" s="1" t="str">
        <f t="shared" si="6480"/>
        <v>0</v>
      </c>
      <c r="P3187" s="1" t="str">
        <f t="shared" si="6480"/>
        <v>0</v>
      </c>
      <c r="Q3187" s="1" t="str">
        <f t="shared" si="6390"/>
        <v>0.0070</v>
      </c>
      <c r="R3187" s="1" t="s">
        <v>29</v>
      </c>
      <c r="S3187" s="1">
        <v>-0.0014</v>
      </c>
      <c r="T3187" s="1" t="str">
        <f t="shared" si="6391"/>
        <v>0</v>
      </c>
      <c r="U3187" s="1" t="str">
        <f t="shared" si="6475"/>
        <v>0.0056</v>
      </c>
    </row>
    <row r="3188" s="1" customFormat="1" spans="1:21">
      <c r="A3188" s="1" t="str">
        <f>"4601992060903"</f>
        <v>4601992060903</v>
      </c>
      <c r="B3188" s="1" t="s">
        <v>3211</v>
      </c>
      <c r="C3188" s="1" t="s">
        <v>24</v>
      </c>
      <c r="D3188" s="1" t="str">
        <f t="shared" si="6387"/>
        <v>2021</v>
      </c>
      <c r="E3188" s="1" t="str">
        <f>"120.90"</f>
        <v>120.90</v>
      </c>
      <c r="F3188" s="1" t="str">
        <f t="shared" ref="F3188:I3188" si="6481">"0"</f>
        <v>0</v>
      </c>
      <c r="G3188" s="1" t="str">
        <f t="shared" si="6481"/>
        <v>0</v>
      </c>
      <c r="H3188" s="1" t="str">
        <f t="shared" si="6481"/>
        <v>0</v>
      </c>
      <c r="I3188" s="1" t="str">
        <f t="shared" si="6481"/>
        <v>0</v>
      </c>
      <c r="J3188" s="1" t="str">
        <f>"10"</f>
        <v>10</v>
      </c>
      <c r="K3188" s="1" t="str">
        <f t="shared" ref="K3188:P3188" si="6482">"0"</f>
        <v>0</v>
      </c>
      <c r="L3188" s="1" t="str">
        <f t="shared" si="6482"/>
        <v>0</v>
      </c>
      <c r="M3188" s="1" t="str">
        <f t="shared" si="6482"/>
        <v>0</v>
      </c>
      <c r="N3188" s="1" t="str">
        <f t="shared" si="6482"/>
        <v>0</v>
      </c>
      <c r="O3188" s="1" t="str">
        <f t="shared" si="6482"/>
        <v>0</v>
      </c>
      <c r="P3188" s="1" t="str">
        <f t="shared" si="6482"/>
        <v>0</v>
      </c>
      <c r="Q3188" s="1" t="str">
        <f t="shared" si="6390"/>
        <v>0.0070</v>
      </c>
      <c r="R3188" s="1" t="s">
        <v>29</v>
      </c>
      <c r="S3188" s="1">
        <v>-0.0014</v>
      </c>
      <c r="T3188" s="1" t="str">
        <f t="shared" si="6391"/>
        <v>0</v>
      </c>
      <c r="U3188" s="1" t="str">
        <f t="shared" si="6475"/>
        <v>0.0056</v>
      </c>
    </row>
    <row r="3189" s="1" customFormat="1" spans="1:21">
      <c r="A3189" s="1" t="str">
        <f>"4601992060895"</f>
        <v>4601992060895</v>
      </c>
      <c r="B3189" s="1" t="s">
        <v>3212</v>
      </c>
      <c r="C3189" s="1" t="s">
        <v>24</v>
      </c>
      <c r="D3189" s="1" t="str">
        <f t="shared" si="6387"/>
        <v>2021</v>
      </c>
      <c r="E3189" s="1" t="str">
        <f>"35.94"</f>
        <v>35.94</v>
      </c>
      <c r="F3189" s="1" t="str">
        <f t="shared" ref="F3189:I3189" si="6483">"0"</f>
        <v>0</v>
      </c>
      <c r="G3189" s="1" t="str">
        <f t="shared" si="6483"/>
        <v>0</v>
      </c>
      <c r="H3189" s="1" t="str">
        <f t="shared" si="6483"/>
        <v>0</v>
      </c>
      <c r="I3189" s="1" t="str">
        <f t="shared" si="6483"/>
        <v>0</v>
      </c>
      <c r="J3189" s="1" t="str">
        <f t="shared" ref="J3189:J3194" si="6484">"3"</f>
        <v>3</v>
      </c>
      <c r="K3189" s="1" t="str">
        <f t="shared" ref="K3189:P3189" si="6485">"0"</f>
        <v>0</v>
      </c>
      <c r="L3189" s="1" t="str">
        <f t="shared" si="6485"/>
        <v>0</v>
      </c>
      <c r="M3189" s="1" t="str">
        <f t="shared" si="6485"/>
        <v>0</v>
      </c>
      <c r="N3189" s="1" t="str">
        <f t="shared" si="6485"/>
        <v>0</v>
      </c>
      <c r="O3189" s="1" t="str">
        <f t="shared" si="6485"/>
        <v>0</v>
      </c>
      <c r="P3189" s="1" t="str">
        <f t="shared" si="6485"/>
        <v>0</v>
      </c>
      <c r="Q3189" s="1" t="str">
        <f t="shared" si="6390"/>
        <v>0.0070</v>
      </c>
      <c r="R3189" s="1" t="s">
        <v>29</v>
      </c>
      <c r="S3189" s="1">
        <v>-0.0014</v>
      </c>
      <c r="T3189" s="1" t="str">
        <f t="shared" si="6391"/>
        <v>0</v>
      </c>
      <c r="U3189" s="1" t="str">
        <f t="shared" si="6475"/>
        <v>0.0056</v>
      </c>
    </row>
    <row r="3190" s="1" customFormat="1" spans="1:21">
      <c r="A3190" s="1" t="str">
        <f>"4601992060882"</f>
        <v>4601992060882</v>
      </c>
      <c r="B3190" s="1" t="s">
        <v>3213</v>
      </c>
      <c r="C3190" s="1" t="s">
        <v>24</v>
      </c>
      <c r="D3190" s="1" t="str">
        <f t="shared" si="6387"/>
        <v>2021</v>
      </c>
      <c r="E3190" s="1" t="str">
        <f>"35.94"</f>
        <v>35.94</v>
      </c>
      <c r="F3190" s="1" t="str">
        <f t="shared" ref="F3190:I3190" si="6486">"0"</f>
        <v>0</v>
      </c>
      <c r="G3190" s="1" t="str">
        <f t="shared" si="6486"/>
        <v>0</v>
      </c>
      <c r="H3190" s="1" t="str">
        <f t="shared" si="6486"/>
        <v>0</v>
      </c>
      <c r="I3190" s="1" t="str">
        <f t="shared" si="6486"/>
        <v>0</v>
      </c>
      <c r="J3190" s="1" t="str">
        <f t="shared" si="6484"/>
        <v>3</v>
      </c>
      <c r="K3190" s="1" t="str">
        <f t="shared" ref="K3190:P3190" si="6487">"0"</f>
        <v>0</v>
      </c>
      <c r="L3190" s="1" t="str">
        <f t="shared" si="6487"/>
        <v>0</v>
      </c>
      <c r="M3190" s="1" t="str">
        <f t="shared" si="6487"/>
        <v>0</v>
      </c>
      <c r="N3190" s="1" t="str">
        <f t="shared" si="6487"/>
        <v>0</v>
      </c>
      <c r="O3190" s="1" t="str">
        <f t="shared" si="6487"/>
        <v>0</v>
      </c>
      <c r="P3190" s="1" t="str">
        <f t="shared" si="6487"/>
        <v>0</v>
      </c>
      <c r="Q3190" s="1" t="str">
        <f t="shared" si="6390"/>
        <v>0.0070</v>
      </c>
      <c r="R3190" s="1" t="s">
        <v>29</v>
      </c>
      <c r="S3190" s="1">
        <v>-0.0014</v>
      </c>
      <c r="T3190" s="1" t="str">
        <f t="shared" si="6391"/>
        <v>0</v>
      </c>
      <c r="U3190" s="1" t="str">
        <f t="shared" si="6475"/>
        <v>0.0056</v>
      </c>
    </row>
    <row r="3191" s="1" customFormat="1" spans="1:21">
      <c r="A3191" s="1" t="str">
        <f>"4601992060935"</f>
        <v>4601992060935</v>
      </c>
      <c r="B3191" s="1" t="s">
        <v>3214</v>
      </c>
      <c r="C3191" s="1" t="s">
        <v>24</v>
      </c>
      <c r="D3191" s="1" t="str">
        <f t="shared" si="6387"/>
        <v>2021</v>
      </c>
      <c r="E3191" s="1" t="str">
        <f>"12.09"</f>
        <v>12.09</v>
      </c>
      <c r="F3191" s="1" t="str">
        <f t="shared" ref="F3191:I3191" si="6488">"0"</f>
        <v>0</v>
      </c>
      <c r="G3191" s="1" t="str">
        <f t="shared" si="6488"/>
        <v>0</v>
      </c>
      <c r="H3191" s="1" t="str">
        <f t="shared" si="6488"/>
        <v>0</v>
      </c>
      <c r="I3191" s="1" t="str">
        <f t="shared" si="6488"/>
        <v>0</v>
      </c>
      <c r="J3191" s="1" t="str">
        <f t="shared" si="6484"/>
        <v>3</v>
      </c>
      <c r="K3191" s="1" t="str">
        <f t="shared" ref="K3191:P3191" si="6489">"0"</f>
        <v>0</v>
      </c>
      <c r="L3191" s="1" t="str">
        <f t="shared" si="6489"/>
        <v>0</v>
      </c>
      <c r="M3191" s="1" t="str">
        <f t="shared" si="6489"/>
        <v>0</v>
      </c>
      <c r="N3191" s="1" t="str">
        <f t="shared" si="6489"/>
        <v>0</v>
      </c>
      <c r="O3191" s="1" t="str">
        <f t="shared" si="6489"/>
        <v>0</v>
      </c>
      <c r="P3191" s="1" t="str">
        <f t="shared" si="6489"/>
        <v>0</v>
      </c>
      <c r="Q3191" s="1" t="str">
        <f t="shared" si="6390"/>
        <v>0.0070</v>
      </c>
      <c r="R3191" s="1" t="s">
        <v>25</v>
      </c>
      <c r="T3191" s="1" t="str">
        <f t="shared" si="6391"/>
        <v>0</v>
      </c>
      <c r="U3191" s="1" t="str">
        <f>"0.0070"</f>
        <v>0.0070</v>
      </c>
    </row>
    <row r="3192" s="1" customFormat="1" spans="1:21">
      <c r="A3192" s="1" t="str">
        <f>"4601992060947"</f>
        <v>4601992060947</v>
      </c>
      <c r="B3192" s="1" t="s">
        <v>3215</v>
      </c>
      <c r="C3192" s="1" t="s">
        <v>24</v>
      </c>
      <c r="D3192" s="1" t="str">
        <f t="shared" si="6387"/>
        <v>2021</v>
      </c>
      <c r="E3192" s="1" t="str">
        <f>"24.07"</f>
        <v>24.07</v>
      </c>
      <c r="F3192" s="1" t="str">
        <f t="shared" ref="F3192:I3192" si="6490">"0"</f>
        <v>0</v>
      </c>
      <c r="G3192" s="1" t="str">
        <f t="shared" si="6490"/>
        <v>0</v>
      </c>
      <c r="H3192" s="1" t="str">
        <f t="shared" si="6490"/>
        <v>0</v>
      </c>
      <c r="I3192" s="1" t="str">
        <f t="shared" si="6490"/>
        <v>0</v>
      </c>
      <c r="J3192" s="1" t="str">
        <f t="shared" si="6484"/>
        <v>3</v>
      </c>
      <c r="K3192" s="1" t="str">
        <f t="shared" ref="K3192:P3192" si="6491">"0"</f>
        <v>0</v>
      </c>
      <c r="L3192" s="1" t="str">
        <f t="shared" si="6491"/>
        <v>0</v>
      </c>
      <c r="M3192" s="1" t="str">
        <f t="shared" si="6491"/>
        <v>0</v>
      </c>
      <c r="N3192" s="1" t="str">
        <f t="shared" si="6491"/>
        <v>0</v>
      </c>
      <c r="O3192" s="1" t="str">
        <f t="shared" si="6491"/>
        <v>0</v>
      </c>
      <c r="P3192" s="1" t="str">
        <f t="shared" si="6491"/>
        <v>0</v>
      </c>
      <c r="Q3192" s="1" t="str">
        <f t="shared" si="6390"/>
        <v>0.0070</v>
      </c>
      <c r="R3192" s="1" t="s">
        <v>29</v>
      </c>
      <c r="S3192" s="1">
        <v>-0.0014</v>
      </c>
      <c r="T3192" s="1" t="str">
        <f t="shared" si="6391"/>
        <v>0</v>
      </c>
      <c r="U3192" s="1" t="str">
        <f t="shared" ref="U3192:U3196" si="6492">"0.0056"</f>
        <v>0.0056</v>
      </c>
    </row>
    <row r="3193" s="1" customFormat="1" spans="1:21">
      <c r="A3193" s="1" t="str">
        <f>"4601992060974"</f>
        <v>4601992060974</v>
      </c>
      <c r="B3193" s="1" t="s">
        <v>3216</v>
      </c>
      <c r="C3193" s="1" t="s">
        <v>24</v>
      </c>
      <c r="D3193" s="1" t="str">
        <f t="shared" si="6387"/>
        <v>2021</v>
      </c>
      <c r="E3193" s="1" t="str">
        <f>"36.27"</f>
        <v>36.27</v>
      </c>
      <c r="F3193" s="1" t="str">
        <f t="shared" ref="F3193:I3193" si="6493">"0"</f>
        <v>0</v>
      </c>
      <c r="G3193" s="1" t="str">
        <f t="shared" si="6493"/>
        <v>0</v>
      </c>
      <c r="H3193" s="1" t="str">
        <f t="shared" si="6493"/>
        <v>0</v>
      </c>
      <c r="I3193" s="1" t="str">
        <f t="shared" si="6493"/>
        <v>0</v>
      </c>
      <c r="J3193" s="1" t="str">
        <f t="shared" si="6484"/>
        <v>3</v>
      </c>
      <c r="K3193" s="1" t="str">
        <f t="shared" ref="K3193:P3193" si="6494">"0"</f>
        <v>0</v>
      </c>
      <c r="L3193" s="1" t="str">
        <f t="shared" si="6494"/>
        <v>0</v>
      </c>
      <c r="M3193" s="1" t="str">
        <f t="shared" si="6494"/>
        <v>0</v>
      </c>
      <c r="N3193" s="1" t="str">
        <f t="shared" si="6494"/>
        <v>0</v>
      </c>
      <c r="O3193" s="1" t="str">
        <f t="shared" si="6494"/>
        <v>0</v>
      </c>
      <c r="P3193" s="1" t="str">
        <f t="shared" si="6494"/>
        <v>0</v>
      </c>
      <c r="Q3193" s="1" t="str">
        <f t="shared" si="6390"/>
        <v>0.0070</v>
      </c>
      <c r="R3193" s="1" t="s">
        <v>29</v>
      </c>
      <c r="S3193" s="1">
        <v>-0.0014</v>
      </c>
      <c r="T3193" s="1" t="str">
        <f t="shared" si="6391"/>
        <v>0</v>
      </c>
      <c r="U3193" s="1" t="str">
        <f t="shared" si="6492"/>
        <v>0.0056</v>
      </c>
    </row>
    <row r="3194" s="1" customFormat="1" spans="1:21">
      <c r="A3194" s="1" t="str">
        <f>"4601992060980"</f>
        <v>4601992060980</v>
      </c>
      <c r="B3194" s="1" t="s">
        <v>3217</v>
      </c>
      <c r="C3194" s="1" t="s">
        <v>24</v>
      </c>
      <c r="D3194" s="1" t="str">
        <f t="shared" si="6387"/>
        <v>2021</v>
      </c>
      <c r="E3194" s="1" t="str">
        <f>"27.65"</f>
        <v>27.65</v>
      </c>
      <c r="F3194" s="1" t="str">
        <f t="shared" ref="F3194:I3194" si="6495">"0"</f>
        <v>0</v>
      </c>
      <c r="G3194" s="1" t="str">
        <f t="shared" si="6495"/>
        <v>0</v>
      </c>
      <c r="H3194" s="1" t="str">
        <f t="shared" si="6495"/>
        <v>0</v>
      </c>
      <c r="I3194" s="1" t="str">
        <f t="shared" si="6495"/>
        <v>0</v>
      </c>
      <c r="J3194" s="1" t="str">
        <f t="shared" si="6484"/>
        <v>3</v>
      </c>
      <c r="K3194" s="1" t="str">
        <f t="shared" ref="K3194:P3194" si="6496">"0"</f>
        <v>0</v>
      </c>
      <c r="L3194" s="1" t="str">
        <f t="shared" si="6496"/>
        <v>0</v>
      </c>
      <c r="M3194" s="1" t="str">
        <f t="shared" si="6496"/>
        <v>0</v>
      </c>
      <c r="N3194" s="1" t="str">
        <f t="shared" si="6496"/>
        <v>0</v>
      </c>
      <c r="O3194" s="1" t="str">
        <f t="shared" si="6496"/>
        <v>0</v>
      </c>
      <c r="P3194" s="1" t="str">
        <f t="shared" si="6496"/>
        <v>0</v>
      </c>
      <c r="Q3194" s="1" t="str">
        <f t="shared" si="6390"/>
        <v>0.0070</v>
      </c>
      <c r="R3194" s="1" t="s">
        <v>29</v>
      </c>
      <c r="S3194" s="1">
        <v>-0.0014</v>
      </c>
      <c r="T3194" s="1" t="str">
        <f t="shared" si="6391"/>
        <v>0</v>
      </c>
      <c r="U3194" s="1" t="str">
        <f t="shared" si="6492"/>
        <v>0.0056</v>
      </c>
    </row>
    <row r="3195" s="1" customFormat="1" spans="1:21">
      <c r="A3195" s="1" t="str">
        <f>"4601992060973"</f>
        <v>4601992060973</v>
      </c>
      <c r="B3195" s="1" t="s">
        <v>3218</v>
      </c>
      <c r="C3195" s="1" t="s">
        <v>24</v>
      </c>
      <c r="D3195" s="1" t="str">
        <f t="shared" si="6387"/>
        <v>2021</v>
      </c>
      <c r="E3195" s="1" t="str">
        <f>"11.98"</f>
        <v>11.98</v>
      </c>
      <c r="F3195" s="1" t="str">
        <f t="shared" ref="F3195:I3195" si="6497">"0"</f>
        <v>0</v>
      </c>
      <c r="G3195" s="1" t="str">
        <f t="shared" si="6497"/>
        <v>0</v>
      </c>
      <c r="H3195" s="1" t="str">
        <f t="shared" si="6497"/>
        <v>0</v>
      </c>
      <c r="I3195" s="1" t="str">
        <f t="shared" si="6497"/>
        <v>0</v>
      </c>
      <c r="J3195" s="1" t="str">
        <f>"4"</f>
        <v>4</v>
      </c>
      <c r="K3195" s="1" t="str">
        <f t="shared" ref="K3195:P3195" si="6498">"0"</f>
        <v>0</v>
      </c>
      <c r="L3195" s="1" t="str">
        <f t="shared" si="6498"/>
        <v>0</v>
      </c>
      <c r="M3195" s="1" t="str">
        <f t="shared" si="6498"/>
        <v>0</v>
      </c>
      <c r="N3195" s="1" t="str">
        <f t="shared" si="6498"/>
        <v>0</v>
      </c>
      <c r="O3195" s="1" t="str">
        <f t="shared" si="6498"/>
        <v>0</v>
      </c>
      <c r="P3195" s="1" t="str">
        <f t="shared" si="6498"/>
        <v>0</v>
      </c>
      <c r="Q3195" s="1" t="str">
        <f t="shared" si="6390"/>
        <v>0.0070</v>
      </c>
      <c r="R3195" s="1" t="s">
        <v>29</v>
      </c>
      <c r="S3195" s="1">
        <v>-0.0014</v>
      </c>
      <c r="T3195" s="1" t="str">
        <f t="shared" si="6391"/>
        <v>0</v>
      </c>
      <c r="U3195" s="1" t="str">
        <f t="shared" si="6492"/>
        <v>0.0056</v>
      </c>
    </row>
    <row r="3196" s="1" customFormat="1" spans="1:21">
      <c r="A3196" s="1" t="str">
        <f>"4601992060992"</f>
        <v>4601992060992</v>
      </c>
      <c r="B3196" s="1" t="s">
        <v>3219</v>
      </c>
      <c r="C3196" s="1" t="s">
        <v>24</v>
      </c>
      <c r="D3196" s="1" t="str">
        <f t="shared" si="6387"/>
        <v>2021</v>
      </c>
      <c r="E3196" s="1" t="str">
        <f>"72.54"</f>
        <v>72.54</v>
      </c>
      <c r="F3196" s="1" t="str">
        <f t="shared" ref="F3196:I3196" si="6499">"0"</f>
        <v>0</v>
      </c>
      <c r="G3196" s="1" t="str">
        <f t="shared" si="6499"/>
        <v>0</v>
      </c>
      <c r="H3196" s="1" t="str">
        <f t="shared" si="6499"/>
        <v>0</v>
      </c>
      <c r="I3196" s="1" t="str">
        <f t="shared" si="6499"/>
        <v>0</v>
      </c>
      <c r="J3196" s="1" t="str">
        <f>"5"</f>
        <v>5</v>
      </c>
      <c r="K3196" s="1" t="str">
        <f t="shared" ref="K3196:P3196" si="6500">"0"</f>
        <v>0</v>
      </c>
      <c r="L3196" s="1" t="str">
        <f t="shared" si="6500"/>
        <v>0</v>
      </c>
      <c r="M3196" s="1" t="str">
        <f t="shared" si="6500"/>
        <v>0</v>
      </c>
      <c r="N3196" s="1" t="str">
        <f t="shared" si="6500"/>
        <v>0</v>
      </c>
      <c r="O3196" s="1" t="str">
        <f t="shared" si="6500"/>
        <v>0</v>
      </c>
      <c r="P3196" s="1" t="str">
        <f t="shared" si="6500"/>
        <v>0</v>
      </c>
      <c r="Q3196" s="1" t="str">
        <f t="shared" si="6390"/>
        <v>0.0070</v>
      </c>
      <c r="R3196" s="1" t="s">
        <v>29</v>
      </c>
      <c r="S3196" s="1">
        <v>-0.0014</v>
      </c>
      <c r="T3196" s="1" t="str">
        <f t="shared" si="6391"/>
        <v>0</v>
      </c>
      <c r="U3196" s="1" t="str">
        <f t="shared" si="6492"/>
        <v>0.0056</v>
      </c>
    </row>
    <row r="3197" s="1" customFormat="1" spans="1:21">
      <c r="A3197" s="1" t="str">
        <f>"4601992061053"</f>
        <v>4601992061053</v>
      </c>
      <c r="B3197" s="1" t="s">
        <v>3220</v>
      </c>
      <c r="C3197" s="1" t="s">
        <v>24</v>
      </c>
      <c r="D3197" s="1" t="str">
        <f t="shared" si="6387"/>
        <v>2021</v>
      </c>
      <c r="E3197" s="1" t="str">
        <f t="shared" ref="E3197:G3197" si="6501">"0"</f>
        <v>0</v>
      </c>
      <c r="F3197" s="1" t="str">
        <f t="shared" si="6501"/>
        <v>0</v>
      </c>
      <c r="G3197" s="1" t="str">
        <f t="shared" si="6501"/>
        <v>0</v>
      </c>
      <c r="H3197" s="1" t="str">
        <f>"12.25"</f>
        <v>12.25</v>
      </c>
      <c r="I3197" s="1" t="str">
        <f t="shared" ref="I3197:P3197" si="6502">"0"</f>
        <v>0</v>
      </c>
      <c r="J3197" s="1" t="str">
        <f t="shared" si="6502"/>
        <v>0</v>
      </c>
      <c r="K3197" s="1" t="str">
        <f t="shared" si="6502"/>
        <v>0</v>
      </c>
      <c r="L3197" s="1" t="str">
        <f t="shared" si="6502"/>
        <v>0</v>
      </c>
      <c r="M3197" s="1" t="str">
        <f t="shared" si="6502"/>
        <v>0</v>
      </c>
      <c r="N3197" s="1" t="str">
        <f t="shared" si="6502"/>
        <v>0</v>
      </c>
      <c r="O3197" s="1" t="str">
        <f t="shared" si="6502"/>
        <v>0</v>
      </c>
      <c r="P3197" s="1" t="str">
        <f t="shared" si="6502"/>
        <v>0</v>
      </c>
      <c r="Q3197" s="1" t="str">
        <f t="shared" si="6390"/>
        <v>0.0070</v>
      </c>
      <c r="R3197" s="1" t="s">
        <v>25</v>
      </c>
      <c r="T3197" s="1" t="str">
        <f t="shared" si="6391"/>
        <v>0</v>
      </c>
      <c r="U3197" s="1" t="str">
        <f t="shared" ref="U3197:U3200" si="6503">"0.0070"</f>
        <v>0.0070</v>
      </c>
    </row>
    <row r="3198" s="1" customFormat="1" spans="1:21">
      <c r="A3198" s="1" t="str">
        <f>"4601992061083"</f>
        <v>4601992061083</v>
      </c>
      <c r="B3198" s="1" t="s">
        <v>3221</v>
      </c>
      <c r="C3198" s="1" t="s">
        <v>24</v>
      </c>
      <c r="D3198" s="1" t="str">
        <f t="shared" si="6387"/>
        <v>2021</v>
      </c>
      <c r="E3198" s="1" t="str">
        <f t="shared" ref="E3198:P3198" si="6504">"0"</f>
        <v>0</v>
      </c>
      <c r="F3198" s="1" t="str">
        <f t="shared" si="6504"/>
        <v>0</v>
      </c>
      <c r="G3198" s="1" t="str">
        <f t="shared" si="6504"/>
        <v>0</v>
      </c>
      <c r="H3198" s="1" t="str">
        <f t="shared" si="6504"/>
        <v>0</v>
      </c>
      <c r="I3198" s="1" t="str">
        <f t="shared" si="6504"/>
        <v>0</v>
      </c>
      <c r="J3198" s="1" t="str">
        <f t="shared" si="6504"/>
        <v>0</v>
      </c>
      <c r="K3198" s="1" t="str">
        <f t="shared" si="6504"/>
        <v>0</v>
      </c>
      <c r="L3198" s="1" t="str">
        <f t="shared" si="6504"/>
        <v>0</v>
      </c>
      <c r="M3198" s="1" t="str">
        <f t="shared" si="6504"/>
        <v>0</v>
      </c>
      <c r="N3198" s="1" t="str">
        <f t="shared" si="6504"/>
        <v>0</v>
      </c>
      <c r="O3198" s="1" t="str">
        <f t="shared" si="6504"/>
        <v>0</v>
      </c>
      <c r="P3198" s="1" t="str">
        <f t="shared" si="6504"/>
        <v>0</v>
      </c>
      <c r="Q3198" s="1" t="str">
        <f t="shared" si="6390"/>
        <v>0.0070</v>
      </c>
      <c r="R3198" s="1" t="s">
        <v>25</v>
      </c>
      <c r="T3198" s="1" t="str">
        <f t="shared" si="6391"/>
        <v>0</v>
      </c>
      <c r="U3198" s="1" t="str">
        <f t="shared" si="6503"/>
        <v>0.0070</v>
      </c>
    </row>
    <row r="3199" s="1" customFormat="1" spans="1:21">
      <c r="A3199" s="1" t="str">
        <f>"4601992061031"</f>
        <v>4601992061031</v>
      </c>
      <c r="B3199" s="1" t="s">
        <v>3222</v>
      </c>
      <c r="C3199" s="1" t="s">
        <v>24</v>
      </c>
      <c r="D3199" s="1" t="str">
        <f t="shared" si="6387"/>
        <v>2021</v>
      </c>
      <c r="E3199" s="1" t="str">
        <f>"36.33"</f>
        <v>36.33</v>
      </c>
      <c r="F3199" s="1" t="str">
        <f t="shared" ref="F3199:I3199" si="6505">"0"</f>
        <v>0</v>
      </c>
      <c r="G3199" s="1" t="str">
        <f t="shared" si="6505"/>
        <v>0</v>
      </c>
      <c r="H3199" s="1" t="str">
        <f t="shared" si="6505"/>
        <v>0</v>
      </c>
      <c r="I3199" s="1" t="str">
        <f t="shared" si="6505"/>
        <v>0</v>
      </c>
      <c r="J3199" s="1" t="str">
        <f>"4"</f>
        <v>4</v>
      </c>
      <c r="K3199" s="1" t="str">
        <f t="shared" ref="K3199:P3199" si="6506">"0"</f>
        <v>0</v>
      </c>
      <c r="L3199" s="1" t="str">
        <f t="shared" si="6506"/>
        <v>0</v>
      </c>
      <c r="M3199" s="1" t="str">
        <f t="shared" si="6506"/>
        <v>0</v>
      </c>
      <c r="N3199" s="1" t="str">
        <f t="shared" si="6506"/>
        <v>0</v>
      </c>
      <c r="O3199" s="1" t="str">
        <f t="shared" si="6506"/>
        <v>0</v>
      </c>
      <c r="P3199" s="1" t="str">
        <f t="shared" si="6506"/>
        <v>0</v>
      </c>
      <c r="Q3199" s="1" t="str">
        <f t="shared" si="6390"/>
        <v>0.0070</v>
      </c>
      <c r="R3199" s="1" t="s">
        <v>29</v>
      </c>
      <c r="S3199" s="1">
        <v>-0.0014</v>
      </c>
      <c r="T3199" s="1" t="str">
        <f t="shared" si="6391"/>
        <v>0</v>
      </c>
      <c r="U3199" s="1" t="str">
        <f t="shared" ref="U3199:U3202" si="6507">"0.0056"</f>
        <v>0.0056</v>
      </c>
    </row>
    <row r="3200" s="1" customFormat="1" spans="1:21">
      <c r="A3200" s="1" t="str">
        <f>"4601992061143"</f>
        <v>4601992061143</v>
      </c>
      <c r="B3200" s="1" t="s">
        <v>3223</v>
      </c>
      <c r="C3200" s="1" t="s">
        <v>24</v>
      </c>
      <c r="D3200" s="1" t="str">
        <f t="shared" si="6387"/>
        <v>2021</v>
      </c>
      <c r="E3200" s="1" t="str">
        <f t="shared" ref="E3200:P3200" si="6508">"0"</f>
        <v>0</v>
      </c>
      <c r="F3200" s="1" t="str">
        <f t="shared" si="6508"/>
        <v>0</v>
      </c>
      <c r="G3200" s="1" t="str">
        <f t="shared" si="6508"/>
        <v>0</v>
      </c>
      <c r="H3200" s="1" t="str">
        <f t="shared" si="6508"/>
        <v>0</v>
      </c>
      <c r="I3200" s="1" t="str">
        <f t="shared" si="6508"/>
        <v>0</v>
      </c>
      <c r="J3200" s="1" t="str">
        <f t="shared" si="6508"/>
        <v>0</v>
      </c>
      <c r="K3200" s="1" t="str">
        <f t="shared" si="6508"/>
        <v>0</v>
      </c>
      <c r="L3200" s="1" t="str">
        <f t="shared" si="6508"/>
        <v>0</v>
      </c>
      <c r="M3200" s="1" t="str">
        <f t="shared" si="6508"/>
        <v>0</v>
      </c>
      <c r="N3200" s="1" t="str">
        <f t="shared" si="6508"/>
        <v>0</v>
      </c>
      <c r="O3200" s="1" t="str">
        <f t="shared" si="6508"/>
        <v>0</v>
      </c>
      <c r="P3200" s="1" t="str">
        <f t="shared" si="6508"/>
        <v>0</v>
      </c>
      <c r="Q3200" s="1" t="str">
        <f t="shared" si="6390"/>
        <v>0.0070</v>
      </c>
      <c r="R3200" s="1" t="s">
        <v>25</v>
      </c>
      <c r="T3200" s="1" t="str">
        <f t="shared" si="6391"/>
        <v>0</v>
      </c>
      <c r="U3200" s="1" t="str">
        <f t="shared" si="6503"/>
        <v>0.0070</v>
      </c>
    </row>
    <row r="3201" s="1" customFormat="1" spans="1:21">
      <c r="A3201" s="1" t="str">
        <f>"4601992061123"</f>
        <v>4601992061123</v>
      </c>
      <c r="B3201" s="1" t="s">
        <v>3224</v>
      </c>
      <c r="C3201" s="1" t="s">
        <v>24</v>
      </c>
      <c r="D3201" s="1" t="str">
        <f t="shared" si="6387"/>
        <v>2021</v>
      </c>
      <c r="E3201" s="1" t="str">
        <f>"72.54"</f>
        <v>72.54</v>
      </c>
      <c r="F3201" s="1" t="str">
        <f t="shared" ref="F3201:I3201" si="6509">"0"</f>
        <v>0</v>
      </c>
      <c r="G3201" s="1" t="str">
        <f t="shared" si="6509"/>
        <v>0</v>
      </c>
      <c r="H3201" s="1" t="str">
        <f t="shared" si="6509"/>
        <v>0</v>
      </c>
      <c r="I3201" s="1" t="str">
        <f t="shared" si="6509"/>
        <v>0</v>
      </c>
      <c r="J3201" s="1" t="str">
        <f>"7"</f>
        <v>7</v>
      </c>
      <c r="K3201" s="1" t="str">
        <f t="shared" ref="K3201:P3201" si="6510">"0"</f>
        <v>0</v>
      </c>
      <c r="L3201" s="1" t="str">
        <f t="shared" si="6510"/>
        <v>0</v>
      </c>
      <c r="M3201" s="1" t="str">
        <f t="shared" si="6510"/>
        <v>0</v>
      </c>
      <c r="N3201" s="1" t="str">
        <f t="shared" si="6510"/>
        <v>0</v>
      </c>
      <c r="O3201" s="1" t="str">
        <f t="shared" si="6510"/>
        <v>0</v>
      </c>
      <c r="P3201" s="1" t="str">
        <f t="shared" si="6510"/>
        <v>0</v>
      </c>
      <c r="Q3201" s="1" t="str">
        <f t="shared" si="6390"/>
        <v>0.0070</v>
      </c>
      <c r="R3201" s="1" t="s">
        <v>29</v>
      </c>
      <c r="S3201" s="1">
        <v>-0.0014</v>
      </c>
      <c r="T3201" s="1" t="str">
        <f t="shared" si="6391"/>
        <v>0</v>
      </c>
      <c r="U3201" s="1" t="str">
        <f t="shared" si="6507"/>
        <v>0.0056</v>
      </c>
    </row>
    <row r="3202" s="1" customFormat="1" spans="1:21">
      <c r="A3202" s="1" t="str">
        <f>"4601992061149"</f>
        <v>4601992061149</v>
      </c>
      <c r="B3202" s="1" t="s">
        <v>3225</v>
      </c>
      <c r="C3202" s="1" t="s">
        <v>24</v>
      </c>
      <c r="D3202" s="1" t="str">
        <f t="shared" si="6387"/>
        <v>2021</v>
      </c>
      <c r="E3202" s="1" t="str">
        <f>"12.09"</f>
        <v>12.09</v>
      </c>
      <c r="F3202" s="1" t="str">
        <f t="shared" ref="F3202:I3202" si="6511">"0"</f>
        <v>0</v>
      </c>
      <c r="G3202" s="1" t="str">
        <f t="shared" si="6511"/>
        <v>0</v>
      </c>
      <c r="H3202" s="1" t="str">
        <f t="shared" si="6511"/>
        <v>0</v>
      </c>
      <c r="I3202" s="1" t="str">
        <f t="shared" si="6511"/>
        <v>0</v>
      </c>
      <c r="J3202" s="1" t="str">
        <f t="shared" ref="J3202:J3206" si="6512">"1"</f>
        <v>1</v>
      </c>
      <c r="K3202" s="1" t="str">
        <f t="shared" ref="K3202:P3202" si="6513">"0"</f>
        <v>0</v>
      </c>
      <c r="L3202" s="1" t="str">
        <f t="shared" si="6513"/>
        <v>0</v>
      </c>
      <c r="M3202" s="1" t="str">
        <f t="shared" si="6513"/>
        <v>0</v>
      </c>
      <c r="N3202" s="1" t="str">
        <f t="shared" si="6513"/>
        <v>0</v>
      </c>
      <c r="O3202" s="1" t="str">
        <f t="shared" si="6513"/>
        <v>0</v>
      </c>
      <c r="P3202" s="1" t="str">
        <f t="shared" si="6513"/>
        <v>0</v>
      </c>
      <c r="Q3202" s="1" t="str">
        <f t="shared" si="6390"/>
        <v>0.0070</v>
      </c>
      <c r="R3202" s="1" t="s">
        <v>29</v>
      </c>
      <c r="S3202" s="1">
        <v>-0.0014</v>
      </c>
      <c r="T3202" s="1" t="str">
        <f t="shared" si="6391"/>
        <v>0</v>
      </c>
      <c r="U3202" s="1" t="str">
        <f t="shared" si="6507"/>
        <v>0.0056</v>
      </c>
    </row>
    <row r="3203" s="1" customFormat="1" spans="1:21">
      <c r="A3203" s="1" t="str">
        <f>"4601992061154"</f>
        <v>4601992061154</v>
      </c>
      <c r="B3203" s="1" t="s">
        <v>3226</v>
      </c>
      <c r="C3203" s="1" t="s">
        <v>24</v>
      </c>
      <c r="D3203" s="1" t="str">
        <f t="shared" ref="D3203:D3266" si="6514">"2021"</f>
        <v>2021</v>
      </c>
      <c r="E3203" s="1" t="str">
        <f t="shared" ref="E3203:P3203" si="6515">"0"</f>
        <v>0</v>
      </c>
      <c r="F3203" s="1" t="str">
        <f t="shared" si="6515"/>
        <v>0</v>
      </c>
      <c r="G3203" s="1" t="str">
        <f t="shared" si="6515"/>
        <v>0</v>
      </c>
      <c r="H3203" s="1" t="str">
        <f t="shared" si="6515"/>
        <v>0</v>
      </c>
      <c r="I3203" s="1" t="str">
        <f t="shared" si="6515"/>
        <v>0</v>
      </c>
      <c r="J3203" s="1" t="str">
        <f t="shared" si="6515"/>
        <v>0</v>
      </c>
      <c r="K3203" s="1" t="str">
        <f t="shared" si="6515"/>
        <v>0</v>
      </c>
      <c r="L3203" s="1" t="str">
        <f t="shared" si="6515"/>
        <v>0</v>
      </c>
      <c r="M3203" s="1" t="str">
        <f t="shared" si="6515"/>
        <v>0</v>
      </c>
      <c r="N3203" s="1" t="str">
        <f t="shared" si="6515"/>
        <v>0</v>
      </c>
      <c r="O3203" s="1" t="str">
        <f t="shared" si="6515"/>
        <v>0</v>
      </c>
      <c r="P3203" s="1" t="str">
        <f t="shared" si="6515"/>
        <v>0</v>
      </c>
      <c r="Q3203" s="1" t="str">
        <f t="shared" ref="Q3203:Q3266" si="6516">"0.0070"</f>
        <v>0.0070</v>
      </c>
      <c r="R3203" s="1" t="s">
        <v>25</v>
      </c>
      <c r="T3203" s="1" t="str">
        <f t="shared" ref="T3203:T3266" si="6517">"0"</f>
        <v>0</v>
      </c>
      <c r="U3203" s="1" t="str">
        <f t="shared" ref="U3203:U3207" si="6518">"0.0070"</f>
        <v>0.0070</v>
      </c>
    </row>
    <row r="3204" s="1" customFormat="1" spans="1:21">
      <c r="A3204" s="1" t="str">
        <f>"4601992061151"</f>
        <v>4601992061151</v>
      </c>
      <c r="B3204" s="1" t="s">
        <v>3227</v>
      </c>
      <c r="C3204" s="1" t="s">
        <v>24</v>
      </c>
      <c r="D3204" s="1" t="str">
        <f t="shared" si="6514"/>
        <v>2021</v>
      </c>
      <c r="E3204" s="1" t="str">
        <f>"17.50"</f>
        <v>17.50</v>
      </c>
      <c r="F3204" s="1" t="str">
        <f t="shared" ref="F3204:I3204" si="6519">"0"</f>
        <v>0</v>
      </c>
      <c r="G3204" s="1" t="str">
        <f t="shared" si="6519"/>
        <v>0</v>
      </c>
      <c r="H3204" s="1" t="str">
        <f t="shared" si="6519"/>
        <v>0</v>
      </c>
      <c r="I3204" s="1" t="str">
        <f t="shared" si="6519"/>
        <v>0</v>
      </c>
      <c r="J3204" s="1" t="str">
        <f t="shared" si="6512"/>
        <v>1</v>
      </c>
      <c r="K3204" s="1" t="str">
        <f t="shared" ref="K3204:P3204" si="6520">"0"</f>
        <v>0</v>
      </c>
      <c r="L3204" s="1" t="str">
        <f t="shared" si="6520"/>
        <v>0</v>
      </c>
      <c r="M3204" s="1" t="str">
        <f t="shared" si="6520"/>
        <v>0</v>
      </c>
      <c r="N3204" s="1" t="str">
        <f t="shared" si="6520"/>
        <v>0</v>
      </c>
      <c r="O3204" s="1" t="str">
        <f t="shared" si="6520"/>
        <v>0</v>
      </c>
      <c r="P3204" s="1" t="str">
        <f t="shared" si="6520"/>
        <v>0</v>
      </c>
      <c r="Q3204" s="1" t="str">
        <f t="shared" si="6516"/>
        <v>0.0070</v>
      </c>
      <c r="R3204" s="1" t="s">
        <v>29</v>
      </c>
      <c r="S3204" s="1">
        <v>-0.0014</v>
      </c>
      <c r="T3204" s="1" t="str">
        <f t="shared" si="6517"/>
        <v>0</v>
      </c>
      <c r="U3204" s="1" t="str">
        <f t="shared" ref="U3204:U3210" si="6521">"0.0056"</f>
        <v>0.0056</v>
      </c>
    </row>
    <row r="3205" s="1" customFormat="1" spans="1:21">
      <c r="A3205" s="1" t="str">
        <f>"4601992061167"</f>
        <v>4601992061167</v>
      </c>
      <c r="B3205" s="1" t="s">
        <v>3228</v>
      </c>
      <c r="C3205" s="1" t="s">
        <v>24</v>
      </c>
      <c r="D3205" s="1" t="str">
        <f t="shared" si="6514"/>
        <v>2021</v>
      </c>
      <c r="E3205" s="1" t="str">
        <f t="shared" ref="E3205:P3205" si="6522">"0"</f>
        <v>0</v>
      </c>
      <c r="F3205" s="1" t="str">
        <f t="shared" si="6522"/>
        <v>0</v>
      </c>
      <c r="G3205" s="1" t="str">
        <f t="shared" si="6522"/>
        <v>0</v>
      </c>
      <c r="H3205" s="1" t="str">
        <f t="shared" si="6522"/>
        <v>0</v>
      </c>
      <c r="I3205" s="1" t="str">
        <f t="shared" si="6522"/>
        <v>0</v>
      </c>
      <c r="J3205" s="1" t="str">
        <f t="shared" si="6522"/>
        <v>0</v>
      </c>
      <c r="K3205" s="1" t="str">
        <f t="shared" si="6522"/>
        <v>0</v>
      </c>
      <c r="L3205" s="1" t="str">
        <f t="shared" si="6522"/>
        <v>0</v>
      </c>
      <c r="M3205" s="1" t="str">
        <f t="shared" si="6522"/>
        <v>0</v>
      </c>
      <c r="N3205" s="1" t="str">
        <f t="shared" si="6522"/>
        <v>0</v>
      </c>
      <c r="O3205" s="1" t="str">
        <f t="shared" si="6522"/>
        <v>0</v>
      </c>
      <c r="P3205" s="1" t="str">
        <f t="shared" si="6522"/>
        <v>0</v>
      </c>
      <c r="Q3205" s="1" t="str">
        <f t="shared" si="6516"/>
        <v>0.0070</v>
      </c>
      <c r="R3205" s="1" t="s">
        <v>25</v>
      </c>
      <c r="T3205" s="1" t="str">
        <f t="shared" si="6517"/>
        <v>0</v>
      </c>
      <c r="U3205" s="1" t="str">
        <f t="shared" si="6518"/>
        <v>0.0070</v>
      </c>
    </row>
    <row r="3206" s="1" customFormat="1" spans="1:21">
      <c r="A3206" s="1" t="str">
        <f>"4601992061153"</f>
        <v>4601992061153</v>
      </c>
      <c r="B3206" s="1" t="s">
        <v>3229</v>
      </c>
      <c r="C3206" s="1" t="s">
        <v>24</v>
      </c>
      <c r="D3206" s="1" t="str">
        <f t="shared" si="6514"/>
        <v>2021</v>
      </c>
      <c r="E3206" s="1" t="str">
        <f>"12.25"</f>
        <v>12.25</v>
      </c>
      <c r="F3206" s="1" t="str">
        <f t="shared" ref="F3206:I3206" si="6523">"0"</f>
        <v>0</v>
      </c>
      <c r="G3206" s="1" t="str">
        <f t="shared" si="6523"/>
        <v>0</v>
      </c>
      <c r="H3206" s="1" t="str">
        <f t="shared" si="6523"/>
        <v>0</v>
      </c>
      <c r="I3206" s="1" t="str">
        <f t="shared" si="6523"/>
        <v>0</v>
      </c>
      <c r="J3206" s="1" t="str">
        <f t="shared" si="6512"/>
        <v>1</v>
      </c>
      <c r="K3206" s="1" t="str">
        <f t="shared" ref="K3206:P3206" si="6524">"0"</f>
        <v>0</v>
      </c>
      <c r="L3206" s="1" t="str">
        <f t="shared" si="6524"/>
        <v>0</v>
      </c>
      <c r="M3206" s="1" t="str">
        <f t="shared" si="6524"/>
        <v>0</v>
      </c>
      <c r="N3206" s="1" t="str">
        <f t="shared" si="6524"/>
        <v>0</v>
      </c>
      <c r="O3206" s="1" t="str">
        <f t="shared" si="6524"/>
        <v>0</v>
      </c>
      <c r="P3206" s="1" t="str">
        <f t="shared" si="6524"/>
        <v>0</v>
      </c>
      <c r="Q3206" s="1" t="str">
        <f t="shared" si="6516"/>
        <v>0.0070</v>
      </c>
      <c r="R3206" s="1" t="s">
        <v>29</v>
      </c>
      <c r="S3206" s="1">
        <v>-0.0014</v>
      </c>
      <c r="T3206" s="1" t="str">
        <f t="shared" si="6517"/>
        <v>0</v>
      </c>
      <c r="U3206" s="1" t="str">
        <f t="shared" si="6521"/>
        <v>0.0056</v>
      </c>
    </row>
    <row r="3207" s="1" customFormat="1" spans="1:21">
      <c r="A3207" s="1" t="str">
        <f>"4601992061173"</f>
        <v>4601992061173</v>
      </c>
      <c r="B3207" s="1" t="s">
        <v>3230</v>
      </c>
      <c r="C3207" s="1" t="s">
        <v>24</v>
      </c>
      <c r="D3207" s="1" t="str">
        <f t="shared" si="6514"/>
        <v>2021</v>
      </c>
      <c r="E3207" s="1" t="str">
        <f t="shared" ref="E3207:P3207" si="6525">"0"</f>
        <v>0</v>
      </c>
      <c r="F3207" s="1" t="str">
        <f t="shared" si="6525"/>
        <v>0</v>
      </c>
      <c r="G3207" s="1" t="str">
        <f t="shared" si="6525"/>
        <v>0</v>
      </c>
      <c r="H3207" s="1" t="str">
        <f t="shared" si="6525"/>
        <v>0</v>
      </c>
      <c r="I3207" s="1" t="str">
        <f t="shared" si="6525"/>
        <v>0</v>
      </c>
      <c r="J3207" s="1" t="str">
        <f t="shared" si="6525"/>
        <v>0</v>
      </c>
      <c r="K3207" s="1" t="str">
        <f t="shared" si="6525"/>
        <v>0</v>
      </c>
      <c r="L3207" s="1" t="str">
        <f t="shared" si="6525"/>
        <v>0</v>
      </c>
      <c r="M3207" s="1" t="str">
        <f t="shared" si="6525"/>
        <v>0</v>
      </c>
      <c r="N3207" s="1" t="str">
        <f t="shared" si="6525"/>
        <v>0</v>
      </c>
      <c r="O3207" s="1" t="str">
        <f t="shared" si="6525"/>
        <v>0</v>
      </c>
      <c r="P3207" s="1" t="str">
        <f t="shared" si="6525"/>
        <v>0</v>
      </c>
      <c r="Q3207" s="1" t="str">
        <f t="shared" si="6516"/>
        <v>0.0070</v>
      </c>
      <c r="R3207" s="1" t="s">
        <v>25</v>
      </c>
      <c r="T3207" s="1" t="str">
        <f t="shared" si="6517"/>
        <v>0</v>
      </c>
      <c r="U3207" s="1" t="str">
        <f t="shared" si="6518"/>
        <v>0.0070</v>
      </c>
    </row>
    <row r="3208" s="1" customFormat="1" spans="1:21">
      <c r="A3208" s="1" t="str">
        <f>"4601992061172"</f>
        <v>4601992061172</v>
      </c>
      <c r="B3208" s="1" t="s">
        <v>3231</v>
      </c>
      <c r="C3208" s="1" t="s">
        <v>24</v>
      </c>
      <c r="D3208" s="1" t="str">
        <f t="shared" si="6514"/>
        <v>2021</v>
      </c>
      <c r="E3208" s="1" t="str">
        <f>"265.98"</f>
        <v>265.98</v>
      </c>
      <c r="F3208" s="1" t="str">
        <f t="shared" ref="F3208:I3208" si="6526">"0"</f>
        <v>0</v>
      </c>
      <c r="G3208" s="1" t="str">
        <f t="shared" si="6526"/>
        <v>0</v>
      </c>
      <c r="H3208" s="1" t="str">
        <f t="shared" si="6526"/>
        <v>0</v>
      </c>
      <c r="I3208" s="1" t="str">
        <f t="shared" si="6526"/>
        <v>0</v>
      </c>
      <c r="J3208" s="1" t="str">
        <f>"25"</f>
        <v>25</v>
      </c>
      <c r="K3208" s="1" t="str">
        <f t="shared" ref="K3208:P3208" si="6527">"0"</f>
        <v>0</v>
      </c>
      <c r="L3208" s="1" t="str">
        <f t="shared" si="6527"/>
        <v>0</v>
      </c>
      <c r="M3208" s="1" t="str">
        <f t="shared" si="6527"/>
        <v>0</v>
      </c>
      <c r="N3208" s="1" t="str">
        <f t="shared" si="6527"/>
        <v>0</v>
      </c>
      <c r="O3208" s="1" t="str">
        <f t="shared" si="6527"/>
        <v>0</v>
      </c>
      <c r="P3208" s="1" t="str">
        <f t="shared" si="6527"/>
        <v>0</v>
      </c>
      <c r="Q3208" s="1" t="str">
        <f t="shared" si="6516"/>
        <v>0.0070</v>
      </c>
      <c r="R3208" s="1" t="s">
        <v>29</v>
      </c>
      <c r="S3208" s="1">
        <v>-0.0014</v>
      </c>
      <c r="T3208" s="1" t="str">
        <f t="shared" si="6517"/>
        <v>0</v>
      </c>
      <c r="U3208" s="1" t="str">
        <f t="shared" si="6521"/>
        <v>0.0056</v>
      </c>
    </row>
    <row r="3209" s="1" customFormat="1" spans="1:21">
      <c r="A3209" s="1" t="str">
        <f>"4601992061245"</f>
        <v>4601992061245</v>
      </c>
      <c r="B3209" s="1" t="s">
        <v>3232</v>
      </c>
      <c r="C3209" s="1" t="s">
        <v>24</v>
      </c>
      <c r="D3209" s="1" t="str">
        <f t="shared" si="6514"/>
        <v>2021</v>
      </c>
      <c r="E3209" s="1" t="str">
        <f>"59.90"</f>
        <v>59.90</v>
      </c>
      <c r="F3209" s="1" t="str">
        <f t="shared" ref="F3209:I3209" si="6528">"0"</f>
        <v>0</v>
      </c>
      <c r="G3209" s="1" t="str">
        <f t="shared" si="6528"/>
        <v>0</v>
      </c>
      <c r="H3209" s="1" t="str">
        <f t="shared" si="6528"/>
        <v>0</v>
      </c>
      <c r="I3209" s="1" t="str">
        <f t="shared" si="6528"/>
        <v>0</v>
      </c>
      <c r="J3209" s="1" t="str">
        <f>"4"</f>
        <v>4</v>
      </c>
      <c r="K3209" s="1" t="str">
        <f t="shared" ref="K3209:P3209" si="6529">"0"</f>
        <v>0</v>
      </c>
      <c r="L3209" s="1" t="str">
        <f t="shared" si="6529"/>
        <v>0</v>
      </c>
      <c r="M3209" s="1" t="str">
        <f t="shared" si="6529"/>
        <v>0</v>
      </c>
      <c r="N3209" s="1" t="str">
        <f t="shared" si="6529"/>
        <v>0</v>
      </c>
      <c r="O3209" s="1" t="str">
        <f t="shared" si="6529"/>
        <v>0</v>
      </c>
      <c r="P3209" s="1" t="str">
        <f t="shared" si="6529"/>
        <v>0</v>
      </c>
      <c r="Q3209" s="1" t="str">
        <f t="shared" si="6516"/>
        <v>0.0070</v>
      </c>
      <c r="R3209" s="1" t="s">
        <v>29</v>
      </c>
      <c r="S3209" s="1">
        <v>-0.0014</v>
      </c>
      <c r="T3209" s="1" t="str">
        <f t="shared" si="6517"/>
        <v>0</v>
      </c>
      <c r="U3209" s="1" t="str">
        <f t="shared" si="6521"/>
        <v>0.0056</v>
      </c>
    </row>
    <row r="3210" s="1" customFormat="1" spans="1:21">
      <c r="A3210" s="1" t="str">
        <f>"4601992061273"</f>
        <v>4601992061273</v>
      </c>
      <c r="B3210" s="1" t="s">
        <v>3233</v>
      </c>
      <c r="C3210" s="1" t="s">
        <v>24</v>
      </c>
      <c r="D3210" s="1" t="str">
        <f t="shared" si="6514"/>
        <v>2021</v>
      </c>
      <c r="E3210" s="1" t="str">
        <f>"83.97"</f>
        <v>83.97</v>
      </c>
      <c r="F3210" s="1" t="str">
        <f t="shared" ref="F3210:I3210" si="6530">"0"</f>
        <v>0</v>
      </c>
      <c r="G3210" s="1" t="str">
        <f t="shared" si="6530"/>
        <v>0</v>
      </c>
      <c r="H3210" s="1" t="str">
        <f t="shared" si="6530"/>
        <v>0</v>
      </c>
      <c r="I3210" s="1" t="str">
        <f t="shared" si="6530"/>
        <v>0</v>
      </c>
      <c r="J3210" s="1" t="str">
        <f>"4"</f>
        <v>4</v>
      </c>
      <c r="K3210" s="1" t="str">
        <f t="shared" ref="K3210:P3210" si="6531">"0"</f>
        <v>0</v>
      </c>
      <c r="L3210" s="1" t="str">
        <f t="shared" si="6531"/>
        <v>0</v>
      </c>
      <c r="M3210" s="1" t="str">
        <f t="shared" si="6531"/>
        <v>0</v>
      </c>
      <c r="N3210" s="1" t="str">
        <f t="shared" si="6531"/>
        <v>0</v>
      </c>
      <c r="O3210" s="1" t="str">
        <f t="shared" si="6531"/>
        <v>0</v>
      </c>
      <c r="P3210" s="1" t="str">
        <f t="shared" si="6531"/>
        <v>0</v>
      </c>
      <c r="Q3210" s="1" t="str">
        <f t="shared" si="6516"/>
        <v>0.0070</v>
      </c>
      <c r="R3210" s="1" t="s">
        <v>29</v>
      </c>
      <c r="S3210" s="1">
        <v>-0.0014</v>
      </c>
      <c r="T3210" s="1" t="str">
        <f t="shared" si="6517"/>
        <v>0</v>
      </c>
      <c r="U3210" s="1" t="str">
        <f t="shared" si="6521"/>
        <v>0.0056</v>
      </c>
    </row>
    <row r="3211" s="1" customFormat="1" spans="1:21">
      <c r="A3211" s="1" t="str">
        <f>"4601992061254"</f>
        <v>4601992061254</v>
      </c>
      <c r="B3211" s="1" t="s">
        <v>3234</v>
      </c>
      <c r="C3211" s="1" t="s">
        <v>24</v>
      </c>
      <c r="D3211" s="1" t="str">
        <f t="shared" si="6514"/>
        <v>2021</v>
      </c>
      <c r="E3211" s="1" t="str">
        <f>"11.98"</f>
        <v>11.98</v>
      </c>
      <c r="F3211" s="1" t="str">
        <f t="shared" ref="F3211:I3211" si="6532">"0"</f>
        <v>0</v>
      </c>
      <c r="G3211" s="1" t="str">
        <f t="shared" si="6532"/>
        <v>0</v>
      </c>
      <c r="H3211" s="1" t="str">
        <f t="shared" si="6532"/>
        <v>0</v>
      </c>
      <c r="I3211" s="1" t="str">
        <f t="shared" si="6532"/>
        <v>0</v>
      </c>
      <c r="J3211" s="1" t="str">
        <f>"1"</f>
        <v>1</v>
      </c>
      <c r="K3211" s="1" t="str">
        <f t="shared" ref="K3211:P3211" si="6533">"0"</f>
        <v>0</v>
      </c>
      <c r="L3211" s="1" t="str">
        <f t="shared" si="6533"/>
        <v>0</v>
      </c>
      <c r="M3211" s="1" t="str">
        <f t="shared" si="6533"/>
        <v>0</v>
      </c>
      <c r="N3211" s="1" t="str">
        <f t="shared" si="6533"/>
        <v>0</v>
      </c>
      <c r="O3211" s="1" t="str">
        <f t="shared" si="6533"/>
        <v>0</v>
      </c>
      <c r="P3211" s="1" t="str">
        <f t="shared" si="6533"/>
        <v>0</v>
      </c>
      <c r="Q3211" s="1" t="str">
        <f t="shared" si="6516"/>
        <v>0.0070</v>
      </c>
      <c r="R3211" s="1" t="s">
        <v>25</v>
      </c>
      <c r="T3211" s="1" t="str">
        <f t="shared" si="6517"/>
        <v>0</v>
      </c>
      <c r="U3211" s="1" t="str">
        <f t="shared" ref="U3211:U3214" si="6534">"0.0070"</f>
        <v>0.0070</v>
      </c>
    </row>
    <row r="3212" s="1" customFormat="1" spans="1:21">
      <c r="A3212" s="1" t="str">
        <f>"4601992061295"</f>
        <v>4601992061295</v>
      </c>
      <c r="B3212" s="1" t="s">
        <v>3235</v>
      </c>
      <c r="C3212" s="1" t="s">
        <v>24</v>
      </c>
      <c r="D3212" s="1" t="str">
        <f t="shared" si="6514"/>
        <v>2021</v>
      </c>
      <c r="E3212" s="1" t="str">
        <f t="shared" ref="E3212:P3212" si="6535">"0"</f>
        <v>0</v>
      </c>
      <c r="F3212" s="1" t="str">
        <f t="shared" si="6535"/>
        <v>0</v>
      </c>
      <c r="G3212" s="1" t="str">
        <f t="shared" si="6535"/>
        <v>0</v>
      </c>
      <c r="H3212" s="1" t="str">
        <f t="shared" si="6535"/>
        <v>0</v>
      </c>
      <c r="I3212" s="1" t="str">
        <f t="shared" si="6535"/>
        <v>0</v>
      </c>
      <c r="J3212" s="1" t="str">
        <f t="shared" si="6535"/>
        <v>0</v>
      </c>
      <c r="K3212" s="1" t="str">
        <f t="shared" si="6535"/>
        <v>0</v>
      </c>
      <c r="L3212" s="1" t="str">
        <f t="shared" si="6535"/>
        <v>0</v>
      </c>
      <c r="M3212" s="1" t="str">
        <f t="shared" si="6535"/>
        <v>0</v>
      </c>
      <c r="N3212" s="1" t="str">
        <f t="shared" si="6535"/>
        <v>0</v>
      </c>
      <c r="O3212" s="1" t="str">
        <f t="shared" si="6535"/>
        <v>0</v>
      </c>
      <c r="P3212" s="1" t="str">
        <f t="shared" si="6535"/>
        <v>0</v>
      </c>
      <c r="Q3212" s="1" t="str">
        <f t="shared" si="6516"/>
        <v>0.0070</v>
      </c>
      <c r="R3212" s="1" t="s">
        <v>25</v>
      </c>
      <c r="T3212" s="1" t="str">
        <f t="shared" si="6517"/>
        <v>0</v>
      </c>
      <c r="U3212" s="1" t="str">
        <f t="shared" si="6534"/>
        <v>0.0070</v>
      </c>
    </row>
    <row r="3213" s="1" customFormat="1" spans="1:21">
      <c r="A3213" s="1" t="str">
        <f>"4601992061283"</f>
        <v>4601992061283</v>
      </c>
      <c r="B3213" s="1" t="s">
        <v>3236</v>
      </c>
      <c r="C3213" s="1" t="s">
        <v>24</v>
      </c>
      <c r="D3213" s="1" t="str">
        <f t="shared" si="6514"/>
        <v>2021</v>
      </c>
      <c r="E3213" s="1" t="str">
        <f>"12.09"</f>
        <v>12.09</v>
      </c>
      <c r="F3213" s="1" t="str">
        <f t="shared" ref="F3213:I3213" si="6536">"0"</f>
        <v>0</v>
      </c>
      <c r="G3213" s="1" t="str">
        <f t="shared" si="6536"/>
        <v>0</v>
      </c>
      <c r="H3213" s="1" t="str">
        <f t="shared" si="6536"/>
        <v>0</v>
      </c>
      <c r="I3213" s="1" t="str">
        <f t="shared" si="6536"/>
        <v>0</v>
      </c>
      <c r="J3213" s="1" t="str">
        <f>"1"</f>
        <v>1</v>
      </c>
      <c r="K3213" s="1" t="str">
        <f t="shared" ref="K3213:P3213" si="6537">"0"</f>
        <v>0</v>
      </c>
      <c r="L3213" s="1" t="str">
        <f t="shared" si="6537"/>
        <v>0</v>
      </c>
      <c r="M3213" s="1" t="str">
        <f t="shared" si="6537"/>
        <v>0</v>
      </c>
      <c r="N3213" s="1" t="str">
        <f t="shared" si="6537"/>
        <v>0</v>
      </c>
      <c r="O3213" s="1" t="str">
        <f t="shared" si="6537"/>
        <v>0</v>
      </c>
      <c r="P3213" s="1" t="str">
        <f t="shared" si="6537"/>
        <v>0</v>
      </c>
      <c r="Q3213" s="1" t="str">
        <f t="shared" si="6516"/>
        <v>0.0070</v>
      </c>
      <c r="R3213" s="1" t="s">
        <v>29</v>
      </c>
      <c r="S3213" s="1">
        <v>-0.0014</v>
      </c>
      <c r="T3213" s="1" t="str">
        <f t="shared" si="6517"/>
        <v>0</v>
      </c>
      <c r="U3213" s="1" t="str">
        <f t="shared" ref="U3213:U3223" si="6538">"0.0056"</f>
        <v>0.0056</v>
      </c>
    </row>
    <row r="3214" s="1" customFormat="1" spans="1:21">
      <c r="A3214" s="1" t="str">
        <f>"4601992061342"</f>
        <v>4601992061342</v>
      </c>
      <c r="B3214" s="1" t="s">
        <v>3237</v>
      </c>
      <c r="C3214" s="1" t="s">
        <v>24</v>
      </c>
      <c r="D3214" s="1" t="str">
        <f t="shared" si="6514"/>
        <v>2021</v>
      </c>
      <c r="E3214" s="1" t="str">
        <f t="shared" ref="E3214:P3214" si="6539">"0"</f>
        <v>0</v>
      </c>
      <c r="F3214" s="1" t="str">
        <f t="shared" si="6539"/>
        <v>0</v>
      </c>
      <c r="G3214" s="1" t="str">
        <f t="shared" si="6539"/>
        <v>0</v>
      </c>
      <c r="H3214" s="1" t="str">
        <f t="shared" si="6539"/>
        <v>0</v>
      </c>
      <c r="I3214" s="1" t="str">
        <f t="shared" si="6539"/>
        <v>0</v>
      </c>
      <c r="J3214" s="1" t="str">
        <f t="shared" si="6539"/>
        <v>0</v>
      </c>
      <c r="K3214" s="1" t="str">
        <f t="shared" si="6539"/>
        <v>0</v>
      </c>
      <c r="L3214" s="1" t="str">
        <f t="shared" si="6539"/>
        <v>0</v>
      </c>
      <c r="M3214" s="1" t="str">
        <f t="shared" si="6539"/>
        <v>0</v>
      </c>
      <c r="N3214" s="1" t="str">
        <f t="shared" si="6539"/>
        <v>0</v>
      </c>
      <c r="O3214" s="1" t="str">
        <f t="shared" si="6539"/>
        <v>0</v>
      </c>
      <c r="P3214" s="1" t="str">
        <f t="shared" si="6539"/>
        <v>0</v>
      </c>
      <c r="Q3214" s="1" t="str">
        <f t="shared" si="6516"/>
        <v>0.0070</v>
      </c>
      <c r="R3214" s="1" t="s">
        <v>25</v>
      </c>
      <c r="T3214" s="1" t="str">
        <f t="shared" si="6517"/>
        <v>0</v>
      </c>
      <c r="U3214" s="1" t="str">
        <f t="shared" si="6534"/>
        <v>0.0070</v>
      </c>
    </row>
    <row r="3215" s="1" customFormat="1" spans="1:21">
      <c r="A3215" s="1" t="str">
        <f>"4601992061351"</f>
        <v>4601992061351</v>
      </c>
      <c r="B3215" s="1" t="s">
        <v>3238</v>
      </c>
      <c r="C3215" s="1" t="s">
        <v>24</v>
      </c>
      <c r="D3215" s="1" t="str">
        <f t="shared" si="6514"/>
        <v>2021</v>
      </c>
      <c r="E3215" s="1" t="str">
        <f t="shared" ref="E3215:E3220" si="6540">"24.18"</f>
        <v>24.18</v>
      </c>
      <c r="F3215" s="1" t="str">
        <f t="shared" ref="F3215:I3215" si="6541">"0"</f>
        <v>0</v>
      </c>
      <c r="G3215" s="1" t="str">
        <f t="shared" si="6541"/>
        <v>0</v>
      </c>
      <c r="H3215" s="1" t="str">
        <f t="shared" si="6541"/>
        <v>0</v>
      </c>
      <c r="I3215" s="1" t="str">
        <f t="shared" si="6541"/>
        <v>0</v>
      </c>
      <c r="J3215" s="1" t="str">
        <f t="shared" ref="J3215:J3220" si="6542">"2"</f>
        <v>2</v>
      </c>
      <c r="K3215" s="1" t="str">
        <f t="shared" ref="K3215:P3215" si="6543">"0"</f>
        <v>0</v>
      </c>
      <c r="L3215" s="1" t="str">
        <f t="shared" si="6543"/>
        <v>0</v>
      </c>
      <c r="M3215" s="1" t="str">
        <f t="shared" si="6543"/>
        <v>0</v>
      </c>
      <c r="N3215" s="1" t="str">
        <f t="shared" si="6543"/>
        <v>0</v>
      </c>
      <c r="O3215" s="1" t="str">
        <f t="shared" si="6543"/>
        <v>0</v>
      </c>
      <c r="P3215" s="1" t="str">
        <f t="shared" si="6543"/>
        <v>0</v>
      </c>
      <c r="Q3215" s="1" t="str">
        <f t="shared" si="6516"/>
        <v>0.0070</v>
      </c>
      <c r="R3215" s="1" t="s">
        <v>29</v>
      </c>
      <c r="S3215" s="1">
        <v>-0.0014</v>
      </c>
      <c r="T3215" s="1" t="str">
        <f t="shared" si="6517"/>
        <v>0</v>
      </c>
      <c r="U3215" s="1" t="str">
        <f t="shared" si="6538"/>
        <v>0.0056</v>
      </c>
    </row>
    <row r="3216" s="1" customFormat="1" spans="1:21">
      <c r="A3216" s="1" t="str">
        <f>"4601992061363"</f>
        <v>4601992061363</v>
      </c>
      <c r="B3216" s="1" t="s">
        <v>3239</v>
      </c>
      <c r="C3216" s="1" t="s">
        <v>24</v>
      </c>
      <c r="D3216" s="1" t="str">
        <f t="shared" si="6514"/>
        <v>2021</v>
      </c>
      <c r="E3216" s="1" t="str">
        <f t="shared" ref="E3216:P3216" si="6544">"0"</f>
        <v>0</v>
      </c>
      <c r="F3216" s="1" t="str">
        <f t="shared" si="6544"/>
        <v>0</v>
      </c>
      <c r="G3216" s="1" t="str">
        <f t="shared" si="6544"/>
        <v>0</v>
      </c>
      <c r="H3216" s="1" t="str">
        <f t="shared" si="6544"/>
        <v>0</v>
      </c>
      <c r="I3216" s="1" t="str">
        <f t="shared" si="6544"/>
        <v>0</v>
      </c>
      <c r="J3216" s="1" t="str">
        <f t="shared" si="6544"/>
        <v>0</v>
      </c>
      <c r="K3216" s="1" t="str">
        <f t="shared" si="6544"/>
        <v>0</v>
      </c>
      <c r="L3216" s="1" t="str">
        <f t="shared" si="6544"/>
        <v>0</v>
      </c>
      <c r="M3216" s="1" t="str">
        <f t="shared" si="6544"/>
        <v>0</v>
      </c>
      <c r="N3216" s="1" t="str">
        <f t="shared" si="6544"/>
        <v>0</v>
      </c>
      <c r="O3216" s="1" t="str">
        <f t="shared" si="6544"/>
        <v>0</v>
      </c>
      <c r="P3216" s="1" t="str">
        <f t="shared" si="6544"/>
        <v>0</v>
      </c>
      <c r="Q3216" s="1" t="str">
        <f t="shared" si="6516"/>
        <v>0.0070</v>
      </c>
      <c r="R3216" s="1" t="s">
        <v>25</v>
      </c>
      <c r="T3216" s="1" t="str">
        <f t="shared" si="6517"/>
        <v>0</v>
      </c>
      <c r="U3216" s="1" t="str">
        <f>"0.0070"</f>
        <v>0.0070</v>
      </c>
    </row>
    <row r="3217" s="1" customFormat="1" spans="1:21">
      <c r="A3217" s="1" t="str">
        <f>"4601992061336"</f>
        <v>4601992061336</v>
      </c>
      <c r="B3217" s="1" t="s">
        <v>3240</v>
      </c>
      <c r="C3217" s="1" t="s">
        <v>24</v>
      </c>
      <c r="D3217" s="1" t="str">
        <f t="shared" si="6514"/>
        <v>2021</v>
      </c>
      <c r="E3217" s="1" t="str">
        <f t="shared" si="6540"/>
        <v>24.18</v>
      </c>
      <c r="F3217" s="1" t="str">
        <f t="shared" ref="F3217:I3217" si="6545">"0"</f>
        <v>0</v>
      </c>
      <c r="G3217" s="1" t="str">
        <f t="shared" si="6545"/>
        <v>0</v>
      </c>
      <c r="H3217" s="1" t="str">
        <f t="shared" si="6545"/>
        <v>0</v>
      </c>
      <c r="I3217" s="1" t="str">
        <f t="shared" si="6545"/>
        <v>0</v>
      </c>
      <c r="J3217" s="1" t="str">
        <f t="shared" si="6542"/>
        <v>2</v>
      </c>
      <c r="K3217" s="1" t="str">
        <f t="shared" ref="K3217:P3217" si="6546">"0"</f>
        <v>0</v>
      </c>
      <c r="L3217" s="1" t="str">
        <f t="shared" si="6546"/>
        <v>0</v>
      </c>
      <c r="M3217" s="1" t="str">
        <f t="shared" si="6546"/>
        <v>0</v>
      </c>
      <c r="N3217" s="1" t="str">
        <f t="shared" si="6546"/>
        <v>0</v>
      </c>
      <c r="O3217" s="1" t="str">
        <f t="shared" si="6546"/>
        <v>0</v>
      </c>
      <c r="P3217" s="1" t="str">
        <f t="shared" si="6546"/>
        <v>0</v>
      </c>
      <c r="Q3217" s="1" t="str">
        <f t="shared" si="6516"/>
        <v>0.0070</v>
      </c>
      <c r="R3217" s="1" t="s">
        <v>29</v>
      </c>
      <c r="S3217" s="1">
        <v>-0.0014</v>
      </c>
      <c r="T3217" s="1" t="str">
        <f t="shared" si="6517"/>
        <v>0</v>
      </c>
      <c r="U3217" s="1" t="str">
        <f t="shared" si="6538"/>
        <v>0.0056</v>
      </c>
    </row>
    <row r="3218" s="1" customFormat="1" spans="1:21">
      <c r="A3218" s="1" t="str">
        <f>"4601992061399"</f>
        <v>4601992061399</v>
      </c>
      <c r="B3218" s="1" t="s">
        <v>3241</v>
      </c>
      <c r="C3218" s="1" t="s">
        <v>24</v>
      </c>
      <c r="D3218" s="1" t="str">
        <f t="shared" si="6514"/>
        <v>2021</v>
      </c>
      <c r="E3218" s="1" t="str">
        <f>"116.67"</f>
        <v>116.67</v>
      </c>
      <c r="F3218" s="1" t="str">
        <f t="shared" ref="F3218:I3218" si="6547">"0"</f>
        <v>0</v>
      </c>
      <c r="G3218" s="1" t="str">
        <f t="shared" si="6547"/>
        <v>0</v>
      </c>
      <c r="H3218" s="1" t="str">
        <f t="shared" si="6547"/>
        <v>0</v>
      </c>
      <c r="I3218" s="1" t="str">
        <f t="shared" si="6547"/>
        <v>0</v>
      </c>
      <c r="J3218" s="1" t="str">
        <f>"5"</f>
        <v>5</v>
      </c>
      <c r="K3218" s="1" t="str">
        <f t="shared" ref="K3218:P3218" si="6548">"0"</f>
        <v>0</v>
      </c>
      <c r="L3218" s="1" t="str">
        <f t="shared" si="6548"/>
        <v>0</v>
      </c>
      <c r="M3218" s="1" t="str">
        <f t="shared" si="6548"/>
        <v>0</v>
      </c>
      <c r="N3218" s="1" t="str">
        <f t="shared" si="6548"/>
        <v>0</v>
      </c>
      <c r="O3218" s="1" t="str">
        <f t="shared" si="6548"/>
        <v>0</v>
      </c>
      <c r="P3218" s="1" t="str">
        <f t="shared" si="6548"/>
        <v>0</v>
      </c>
      <c r="Q3218" s="1" t="str">
        <f t="shared" si="6516"/>
        <v>0.0070</v>
      </c>
      <c r="R3218" s="1" t="s">
        <v>29</v>
      </c>
      <c r="S3218" s="1">
        <v>-0.0014</v>
      </c>
      <c r="T3218" s="1" t="str">
        <f t="shared" si="6517"/>
        <v>0</v>
      </c>
      <c r="U3218" s="1" t="str">
        <f t="shared" si="6538"/>
        <v>0.0056</v>
      </c>
    </row>
    <row r="3219" s="1" customFormat="1" spans="1:21">
      <c r="A3219" s="1" t="str">
        <f>"4601992061345"</f>
        <v>4601992061345</v>
      </c>
      <c r="B3219" s="1" t="s">
        <v>3242</v>
      </c>
      <c r="C3219" s="1" t="s">
        <v>24</v>
      </c>
      <c r="D3219" s="1" t="str">
        <f t="shared" si="6514"/>
        <v>2021</v>
      </c>
      <c r="E3219" s="1" t="str">
        <f>"36.16"</f>
        <v>36.16</v>
      </c>
      <c r="F3219" s="1" t="str">
        <f t="shared" ref="F3219:I3219" si="6549">"0"</f>
        <v>0</v>
      </c>
      <c r="G3219" s="1" t="str">
        <f t="shared" si="6549"/>
        <v>0</v>
      </c>
      <c r="H3219" s="1" t="str">
        <f t="shared" si="6549"/>
        <v>0</v>
      </c>
      <c r="I3219" s="1" t="str">
        <f t="shared" si="6549"/>
        <v>0</v>
      </c>
      <c r="J3219" s="1" t="str">
        <f>"4"</f>
        <v>4</v>
      </c>
      <c r="K3219" s="1" t="str">
        <f t="shared" ref="K3219:P3219" si="6550">"0"</f>
        <v>0</v>
      </c>
      <c r="L3219" s="1" t="str">
        <f t="shared" si="6550"/>
        <v>0</v>
      </c>
      <c r="M3219" s="1" t="str">
        <f t="shared" si="6550"/>
        <v>0</v>
      </c>
      <c r="N3219" s="1" t="str">
        <f t="shared" si="6550"/>
        <v>0</v>
      </c>
      <c r="O3219" s="1" t="str">
        <f t="shared" si="6550"/>
        <v>0</v>
      </c>
      <c r="P3219" s="1" t="str">
        <f t="shared" si="6550"/>
        <v>0</v>
      </c>
      <c r="Q3219" s="1" t="str">
        <f t="shared" si="6516"/>
        <v>0.0070</v>
      </c>
      <c r="R3219" s="1" t="s">
        <v>29</v>
      </c>
      <c r="S3219" s="1">
        <v>-0.0014</v>
      </c>
      <c r="T3219" s="1" t="str">
        <f t="shared" si="6517"/>
        <v>0</v>
      </c>
      <c r="U3219" s="1" t="str">
        <f t="shared" si="6538"/>
        <v>0.0056</v>
      </c>
    </row>
    <row r="3220" s="1" customFormat="1" spans="1:21">
      <c r="A3220" s="1" t="str">
        <f>"4601992061409"</f>
        <v>4601992061409</v>
      </c>
      <c r="B3220" s="1" t="s">
        <v>3243</v>
      </c>
      <c r="C3220" s="1" t="s">
        <v>24</v>
      </c>
      <c r="D3220" s="1" t="str">
        <f t="shared" si="6514"/>
        <v>2021</v>
      </c>
      <c r="E3220" s="1" t="str">
        <f t="shared" si="6540"/>
        <v>24.18</v>
      </c>
      <c r="F3220" s="1" t="str">
        <f t="shared" ref="F3220:I3220" si="6551">"0"</f>
        <v>0</v>
      </c>
      <c r="G3220" s="1" t="str">
        <f t="shared" si="6551"/>
        <v>0</v>
      </c>
      <c r="H3220" s="1" t="str">
        <f t="shared" si="6551"/>
        <v>0</v>
      </c>
      <c r="I3220" s="1" t="str">
        <f t="shared" si="6551"/>
        <v>0</v>
      </c>
      <c r="J3220" s="1" t="str">
        <f t="shared" si="6542"/>
        <v>2</v>
      </c>
      <c r="K3220" s="1" t="str">
        <f t="shared" ref="K3220:P3220" si="6552">"0"</f>
        <v>0</v>
      </c>
      <c r="L3220" s="1" t="str">
        <f t="shared" si="6552"/>
        <v>0</v>
      </c>
      <c r="M3220" s="1" t="str">
        <f t="shared" si="6552"/>
        <v>0</v>
      </c>
      <c r="N3220" s="1" t="str">
        <f t="shared" si="6552"/>
        <v>0</v>
      </c>
      <c r="O3220" s="1" t="str">
        <f t="shared" si="6552"/>
        <v>0</v>
      </c>
      <c r="P3220" s="1" t="str">
        <f t="shared" si="6552"/>
        <v>0</v>
      </c>
      <c r="Q3220" s="1" t="str">
        <f t="shared" si="6516"/>
        <v>0.0070</v>
      </c>
      <c r="R3220" s="1" t="s">
        <v>29</v>
      </c>
      <c r="S3220" s="1">
        <v>-0.0014</v>
      </c>
      <c r="T3220" s="1" t="str">
        <f t="shared" si="6517"/>
        <v>0</v>
      </c>
      <c r="U3220" s="1" t="str">
        <f t="shared" si="6538"/>
        <v>0.0056</v>
      </c>
    </row>
    <row r="3221" s="1" customFormat="1" spans="1:21">
      <c r="A3221" s="1" t="str">
        <f>"4601992061435"</f>
        <v>4601992061435</v>
      </c>
      <c r="B3221" s="1" t="s">
        <v>3244</v>
      </c>
      <c r="C3221" s="1" t="s">
        <v>24</v>
      </c>
      <c r="D3221" s="1" t="str">
        <f t="shared" si="6514"/>
        <v>2021</v>
      </c>
      <c r="E3221" s="1" t="str">
        <f>"203.66"</f>
        <v>203.66</v>
      </c>
      <c r="F3221" s="1" t="str">
        <f t="shared" ref="F3221:I3221" si="6553">"0"</f>
        <v>0</v>
      </c>
      <c r="G3221" s="1" t="str">
        <f t="shared" si="6553"/>
        <v>0</v>
      </c>
      <c r="H3221" s="1" t="str">
        <f t="shared" si="6553"/>
        <v>0</v>
      </c>
      <c r="I3221" s="1" t="str">
        <f t="shared" si="6553"/>
        <v>0</v>
      </c>
      <c r="J3221" s="1" t="str">
        <f>"24"</f>
        <v>24</v>
      </c>
      <c r="K3221" s="1" t="str">
        <f t="shared" ref="K3221:P3221" si="6554">"0"</f>
        <v>0</v>
      </c>
      <c r="L3221" s="1" t="str">
        <f t="shared" si="6554"/>
        <v>0</v>
      </c>
      <c r="M3221" s="1" t="str">
        <f t="shared" si="6554"/>
        <v>0</v>
      </c>
      <c r="N3221" s="1" t="str">
        <f t="shared" si="6554"/>
        <v>0</v>
      </c>
      <c r="O3221" s="1" t="str">
        <f t="shared" si="6554"/>
        <v>0</v>
      </c>
      <c r="P3221" s="1" t="str">
        <f t="shared" si="6554"/>
        <v>0</v>
      </c>
      <c r="Q3221" s="1" t="str">
        <f t="shared" si="6516"/>
        <v>0.0070</v>
      </c>
      <c r="R3221" s="1" t="s">
        <v>29</v>
      </c>
      <c r="S3221" s="1">
        <v>-0.0014</v>
      </c>
      <c r="T3221" s="1" t="str">
        <f t="shared" si="6517"/>
        <v>0</v>
      </c>
      <c r="U3221" s="1" t="str">
        <f t="shared" si="6538"/>
        <v>0.0056</v>
      </c>
    </row>
    <row r="3222" s="1" customFormat="1" spans="1:21">
      <c r="A3222" s="1" t="str">
        <f>"4601992061444"</f>
        <v>4601992061444</v>
      </c>
      <c r="B3222" s="1" t="s">
        <v>3245</v>
      </c>
      <c r="C3222" s="1" t="s">
        <v>24</v>
      </c>
      <c r="D3222" s="1" t="str">
        <f t="shared" si="6514"/>
        <v>2021</v>
      </c>
      <c r="E3222" s="1" t="str">
        <f>"95.84"</f>
        <v>95.84</v>
      </c>
      <c r="F3222" s="1" t="str">
        <f t="shared" ref="F3222:I3222" si="6555">"0"</f>
        <v>0</v>
      </c>
      <c r="G3222" s="1" t="str">
        <f t="shared" si="6555"/>
        <v>0</v>
      </c>
      <c r="H3222" s="1" t="str">
        <f t="shared" si="6555"/>
        <v>0</v>
      </c>
      <c r="I3222" s="1" t="str">
        <f t="shared" si="6555"/>
        <v>0</v>
      </c>
      <c r="J3222" s="1" t="str">
        <f>"5"</f>
        <v>5</v>
      </c>
      <c r="K3222" s="1" t="str">
        <f t="shared" ref="K3222:P3222" si="6556">"0"</f>
        <v>0</v>
      </c>
      <c r="L3222" s="1" t="str">
        <f t="shared" si="6556"/>
        <v>0</v>
      </c>
      <c r="M3222" s="1" t="str">
        <f t="shared" si="6556"/>
        <v>0</v>
      </c>
      <c r="N3222" s="1" t="str">
        <f t="shared" si="6556"/>
        <v>0</v>
      </c>
      <c r="O3222" s="1" t="str">
        <f t="shared" si="6556"/>
        <v>0</v>
      </c>
      <c r="P3222" s="1" t="str">
        <f t="shared" si="6556"/>
        <v>0</v>
      </c>
      <c r="Q3222" s="1" t="str">
        <f t="shared" si="6516"/>
        <v>0.0070</v>
      </c>
      <c r="R3222" s="1" t="s">
        <v>29</v>
      </c>
      <c r="S3222" s="1">
        <v>-0.0014</v>
      </c>
      <c r="T3222" s="1" t="str">
        <f t="shared" si="6517"/>
        <v>0</v>
      </c>
      <c r="U3222" s="1" t="str">
        <f t="shared" si="6538"/>
        <v>0.0056</v>
      </c>
    </row>
    <row r="3223" s="1" customFormat="1" spans="1:21">
      <c r="A3223" s="1" t="str">
        <f>"4601992061453"</f>
        <v>4601992061453</v>
      </c>
      <c r="B3223" s="1" t="s">
        <v>3246</v>
      </c>
      <c r="C3223" s="1" t="s">
        <v>24</v>
      </c>
      <c r="D3223" s="1" t="str">
        <f t="shared" si="6514"/>
        <v>2021</v>
      </c>
      <c r="E3223" s="1" t="str">
        <f>"96.72"</f>
        <v>96.72</v>
      </c>
      <c r="F3223" s="1" t="str">
        <f t="shared" ref="F3223:I3223" si="6557">"0"</f>
        <v>0</v>
      </c>
      <c r="G3223" s="1" t="str">
        <f t="shared" si="6557"/>
        <v>0</v>
      </c>
      <c r="H3223" s="1" t="str">
        <f t="shared" si="6557"/>
        <v>0</v>
      </c>
      <c r="I3223" s="1" t="str">
        <f t="shared" si="6557"/>
        <v>0</v>
      </c>
      <c r="J3223" s="1" t="str">
        <f>"8"</f>
        <v>8</v>
      </c>
      <c r="K3223" s="1" t="str">
        <f t="shared" ref="K3223:P3223" si="6558">"0"</f>
        <v>0</v>
      </c>
      <c r="L3223" s="1" t="str">
        <f t="shared" si="6558"/>
        <v>0</v>
      </c>
      <c r="M3223" s="1" t="str">
        <f t="shared" si="6558"/>
        <v>0</v>
      </c>
      <c r="N3223" s="1" t="str">
        <f t="shared" si="6558"/>
        <v>0</v>
      </c>
      <c r="O3223" s="1" t="str">
        <f t="shared" si="6558"/>
        <v>0</v>
      </c>
      <c r="P3223" s="1" t="str">
        <f t="shared" si="6558"/>
        <v>0</v>
      </c>
      <c r="Q3223" s="1" t="str">
        <f t="shared" si="6516"/>
        <v>0.0070</v>
      </c>
      <c r="R3223" s="1" t="s">
        <v>29</v>
      </c>
      <c r="S3223" s="1">
        <v>-0.0014</v>
      </c>
      <c r="T3223" s="1" t="str">
        <f t="shared" si="6517"/>
        <v>0</v>
      </c>
      <c r="U3223" s="1" t="str">
        <f t="shared" si="6538"/>
        <v>0.0056</v>
      </c>
    </row>
    <row r="3224" s="1" customFormat="1" spans="1:21">
      <c r="A3224" s="1" t="str">
        <f>"4601992061458"</f>
        <v>4601992061458</v>
      </c>
      <c r="B3224" s="1" t="s">
        <v>3247</v>
      </c>
      <c r="C3224" s="1" t="s">
        <v>24</v>
      </c>
      <c r="D3224" s="1" t="str">
        <f t="shared" si="6514"/>
        <v>2021</v>
      </c>
      <c r="E3224" s="1" t="str">
        <f>"48.36"</f>
        <v>48.36</v>
      </c>
      <c r="F3224" s="1" t="str">
        <f>"4728.22"</f>
        <v>4728.22</v>
      </c>
      <c r="G3224" s="1" t="str">
        <f t="shared" ref="G3224:P3224" si="6559">"0"</f>
        <v>0</v>
      </c>
      <c r="H3224" s="1" t="str">
        <f t="shared" si="6559"/>
        <v>0</v>
      </c>
      <c r="I3224" s="1" t="str">
        <f>"97.7713"</f>
        <v>97.7713</v>
      </c>
      <c r="J3224" s="1" t="str">
        <f>"4"</f>
        <v>4</v>
      </c>
      <c r="K3224" s="1" t="str">
        <f t="shared" si="6559"/>
        <v>0</v>
      </c>
      <c r="L3224" s="1" t="str">
        <f t="shared" si="6559"/>
        <v>0</v>
      </c>
      <c r="M3224" s="1" t="str">
        <f t="shared" si="6559"/>
        <v>0</v>
      </c>
      <c r="N3224" s="1" t="str">
        <f t="shared" si="6559"/>
        <v>0</v>
      </c>
      <c r="O3224" s="1" t="str">
        <f t="shared" si="6559"/>
        <v>0</v>
      </c>
      <c r="P3224" s="1" t="str">
        <f t="shared" si="6559"/>
        <v>0</v>
      </c>
      <c r="Q3224" s="1" t="str">
        <f t="shared" si="6516"/>
        <v>0.0070</v>
      </c>
      <c r="R3224" s="1" t="s">
        <v>69</v>
      </c>
      <c r="S3224" s="1" t="str">
        <f>"0.0014"</f>
        <v>0.0014</v>
      </c>
      <c r="T3224" s="1" t="str">
        <f t="shared" si="6517"/>
        <v>0</v>
      </c>
      <c r="U3224" s="1" t="str">
        <f>"0.0084"</f>
        <v>0.0084</v>
      </c>
    </row>
    <row r="3225" s="1" customFormat="1" spans="1:21">
      <c r="A3225" s="1" t="str">
        <f>"4601992061468"</f>
        <v>4601992061468</v>
      </c>
      <c r="B3225" s="1" t="s">
        <v>3248</v>
      </c>
      <c r="C3225" s="1" t="s">
        <v>24</v>
      </c>
      <c r="D3225" s="1" t="str">
        <f t="shared" si="6514"/>
        <v>2021</v>
      </c>
      <c r="E3225" s="1" t="str">
        <f>"24.18"</f>
        <v>24.18</v>
      </c>
      <c r="F3225" s="1" t="str">
        <f t="shared" ref="F3225:I3225" si="6560">"0"</f>
        <v>0</v>
      </c>
      <c r="G3225" s="1" t="str">
        <f t="shared" si="6560"/>
        <v>0</v>
      </c>
      <c r="H3225" s="1" t="str">
        <f t="shared" si="6560"/>
        <v>0</v>
      </c>
      <c r="I3225" s="1" t="str">
        <f t="shared" si="6560"/>
        <v>0</v>
      </c>
      <c r="J3225" s="1" t="str">
        <f t="shared" ref="J3225:J3227" si="6561">"2"</f>
        <v>2</v>
      </c>
      <c r="K3225" s="1" t="str">
        <f t="shared" ref="K3225:P3225" si="6562">"0"</f>
        <v>0</v>
      </c>
      <c r="L3225" s="1" t="str">
        <f t="shared" si="6562"/>
        <v>0</v>
      </c>
      <c r="M3225" s="1" t="str">
        <f t="shared" si="6562"/>
        <v>0</v>
      </c>
      <c r="N3225" s="1" t="str">
        <f t="shared" si="6562"/>
        <v>0</v>
      </c>
      <c r="O3225" s="1" t="str">
        <f t="shared" si="6562"/>
        <v>0</v>
      </c>
      <c r="P3225" s="1" t="str">
        <f t="shared" si="6562"/>
        <v>0</v>
      </c>
      <c r="Q3225" s="1" t="str">
        <f t="shared" si="6516"/>
        <v>0.0070</v>
      </c>
      <c r="R3225" s="1" t="s">
        <v>29</v>
      </c>
      <c r="S3225" s="1">
        <v>-0.0014</v>
      </c>
      <c r="T3225" s="1" t="str">
        <f t="shared" si="6517"/>
        <v>0</v>
      </c>
      <c r="U3225" s="1" t="str">
        <f t="shared" ref="U3225:U3227" si="6563">"0.0056"</f>
        <v>0.0056</v>
      </c>
    </row>
    <row r="3226" s="1" customFormat="1" spans="1:21">
      <c r="A3226" s="1" t="str">
        <f>"4601992061457"</f>
        <v>4601992061457</v>
      </c>
      <c r="B3226" s="1" t="s">
        <v>3249</v>
      </c>
      <c r="C3226" s="1" t="s">
        <v>24</v>
      </c>
      <c r="D3226" s="1" t="str">
        <f t="shared" si="6514"/>
        <v>2021</v>
      </c>
      <c r="E3226" s="1" t="str">
        <f>"24.18"</f>
        <v>24.18</v>
      </c>
      <c r="F3226" s="1" t="str">
        <f t="shared" ref="F3226:I3226" si="6564">"0"</f>
        <v>0</v>
      </c>
      <c r="G3226" s="1" t="str">
        <f t="shared" si="6564"/>
        <v>0</v>
      </c>
      <c r="H3226" s="1" t="str">
        <f t="shared" si="6564"/>
        <v>0</v>
      </c>
      <c r="I3226" s="1" t="str">
        <f t="shared" si="6564"/>
        <v>0</v>
      </c>
      <c r="J3226" s="1" t="str">
        <f t="shared" si="6561"/>
        <v>2</v>
      </c>
      <c r="K3226" s="1" t="str">
        <f t="shared" ref="K3226:P3226" si="6565">"0"</f>
        <v>0</v>
      </c>
      <c r="L3226" s="1" t="str">
        <f t="shared" si="6565"/>
        <v>0</v>
      </c>
      <c r="M3226" s="1" t="str">
        <f t="shared" si="6565"/>
        <v>0</v>
      </c>
      <c r="N3226" s="1" t="str">
        <f t="shared" si="6565"/>
        <v>0</v>
      </c>
      <c r="O3226" s="1" t="str">
        <f t="shared" si="6565"/>
        <v>0</v>
      </c>
      <c r="P3226" s="1" t="str">
        <f t="shared" si="6565"/>
        <v>0</v>
      </c>
      <c r="Q3226" s="1" t="str">
        <f t="shared" si="6516"/>
        <v>0.0070</v>
      </c>
      <c r="R3226" s="1" t="s">
        <v>29</v>
      </c>
      <c r="S3226" s="1">
        <v>-0.0014</v>
      </c>
      <c r="T3226" s="1" t="str">
        <f t="shared" si="6517"/>
        <v>0</v>
      </c>
      <c r="U3226" s="1" t="str">
        <f t="shared" si="6563"/>
        <v>0.0056</v>
      </c>
    </row>
    <row r="3227" s="1" customFormat="1" spans="1:21">
      <c r="A3227" s="1" t="str">
        <f>"4601992061520"</f>
        <v>4601992061520</v>
      </c>
      <c r="B3227" s="1" t="s">
        <v>3250</v>
      </c>
      <c r="C3227" s="1" t="s">
        <v>24</v>
      </c>
      <c r="D3227" s="1" t="str">
        <f t="shared" si="6514"/>
        <v>2021</v>
      </c>
      <c r="E3227" s="1" t="str">
        <f>"12.09"</f>
        <v>12.09</v>
      </c>
      <c r="F3227" s="1" t="str">
        <f t="shared" ref="F3227:I3227" si="6566">"0"</f>
        <v>0</v>
      </c>
      <c r="G3227" s="1" t="str">
        <f t="shared" si="6566"/>
        <v>0</v>
      </c>
      <c r="H3227" s="1" t="str">
        <f t="shared" si="6566"/>
        <v>0</v>
      </c>
      <c r="I3227" s="1" t="str">
        <f t="shared" si="6566"/>
        <v>0</v>
      </c>
      <c r="J3227" s="1" t="str">
        <f t="shared" si="6561"/>
        <v>2</v>
      </c>
      <c r="K3227" s="1" t="str">
        <f t="shared" ref="K3227:P3227" si="6567">"0"</f>
        <v>0</v>
      </c>
      <c r="L3227" s="1" t="str">
        <f t="shared" si="6567"/>
        <v>0</v>
      </c>
      <c r="M3227" s="1" t="str">
        <f t="shared" si="6567"/>
        <v>0</v>
      </c>
      <c r="N3227" s="1" t="str">
        <f t="shared" si="6567"/>
        <v>0</v>
      </c>
      <c r="O3227" s="1" t="str">
        <f t="shared" si="6567"/>
        <v>0</v>
      </c>
      <c r="P3227" s="1" t="str">
        <f t="shared" si="6567"/>
        <v>0</v>
      </c>
      <c r="Q3227" s="1" t="str">
        <f t="shared" si="6516"/>
        <v>0.0070</v>
      </c>
      <c r="R3227" s="1" t="s">
        <v>29</v>
      </c>
      <c r="S3227" s="1">
        <v>-0.0014</v>
      </c>
      <c r="T3227" s="1" t="str">
        <f t="shared" si="6517"/>
        <v>0</v>
      </c>
      <c r="U3227" s="1" t="str">
        <f t="shared" si="6563"/>
        <v>0.0056</v>
      </c>
    </row>
    <row r="3228" s="1" customFormat="1" spans="1:21">
      <c r="A3228" s="1" t="str">
        <f>"4601992061523"</f>
        <v>4601992061523</v>
      </c>
      <c r="B3228" s="1" t="s">
        <v>3251</v>
      </c>
      <c r="C3228" s="1" t="s">
        <v>24</v>
      </c>
      <c r="D3228" s="1" t="str">
        <f t="shared" si="6514"/>
        <v>2021</v>
      </c>
      <c r="E3228" s="1" t="str">
        <f t="shared" ref="E3228:I3228" si="6568">"0"</f>
        <v>0</v>
      </c>
      <c r="F3228" s="1" t="str">
        <f t="shared" si="6568"/>
        <v>0</v>
      </c>
      <c r="G3228" s="1" t="str">
        <f t="shared" si="6568"/>
        <v>0</v>
      </c>
      <c r="H3228" s="1" t="str">
        <f t="shared" si="6568"/>
        <v>0</v>
      </c>
      <c r="I3228" s="1" t="str">
        <f t="shared" si="6568"/>
        <v>0</v>
      </c>
      <c r="J3228" s="1" t="str">
        <f>"3"</f>
        <v>3</v>
      </c>
      <c r="K3228" s="1" t="str">
        <f t="shared" ref="K3228:P3228" si="6569">"0"</f>
        <v>0</v>
      </c>
      <c r="L3228" s="1" t="str">
        <f t="shared" si="6569"/>
        <v>0</v>
      </c>
      <c r="M3228" s="1" t="str">
        <f t="shared" si="6569"/>
        <v>0</v>
      </c>
      <c r="N3228" s="1" t="str">
        <f t="shared" si="6569"/>
        <v>0</v>
      </c>
      <c r="O3228" s="1" t="str">
        <f t="shared" si="6569"/>
        <v>0</v>
      </c>
      <c r="P3228" s="1" t="str">
        <f t="shared" si="6569"/>
        <v>0</v>
      </c>
      <c r="Q3228" s="1" t="str">
        <f t="shared" si="6516"/>
        <v>0.0070</v>
      </c>
      <c r="R3228" s="1" t="s">
        <v>25</v>
      </c>
      <c r="T3228" s="1" t="str">
        <f t="shared" si="6517"/>
        <v>0</v>
      </c>
      <c r="U3228" s="1" t="str">
        <f t="shared" ref="U3228:U3232" si="6570">"0.0070"</f>
        <v>0.0070</v>
      </c>
    </row>
    <row r="3229" s="1" customFormat="1" spans="1:21">
      <c r="A3229" s="1" t="str">
        <f>"4601992061533"</f>
        <v>4601992061533</v>
      </c>
      <c r="B3229" s="1" t="s">
        <v>3252</v>
      </c>
      <c r="C3229" s="1" t="s">
        <v>24</v>
      </c>
      <c r="D3229" s="1" t="str">
        <f t="shared" si="6514"/>
        <v>2021</v>
      </c>
      <c r="E3229" s="1" t="str">
        <f>"72.54"</f>
        <v>72.54</v>
      </c>
      <c r="F3229" s="1" t="str">
        <f t="shared" ref="F3229:I3229" si="6571">"0"</f>
        <v>0</v>
      </c>
      <c r="G3229" s="1" t="str">
        <f t="shared" si="6571"/>
        <v>0</v>
      </c>
      <c r="H3229" s="1" t="str">
        <f t="shared" si="6571"/>
        <v>0</v>
      </c>
      <c r="I3229" s="1" t="str">
        <f t="shared" si="6571"/>
        <v>0</v>
      </c>
      <c r="J3229" s="1" t="str">
        <f>"4"</f>
        <v>4</v>
      </c>
      <c r="K3229" s="1" t="str">
        <f t="shared" ref="K3229:P3229" si="6572">"0"</f>
        <v>0</v>
      </c>
      <c r="L3229" s="1" t="str">
        <f t="shared" si="6572"/>
        <v>0</v>
      </c>
      <c r="M3229" s="1" t="str">
        <f t="shared" si="6572"/>
        <v>0</v>
      </c>
      <c r="N3229" s="1" t="str">
        <f t="shared" si="6572"/>
        <v>0</v>
      </c>
      <c r="O3229" s="1" t="str">
        <f t="shared" si="6572"/>
        <v>0</v>
      </c>
      <c r="P3229" s="1" t="str">
        <f t="shared" si="6572"/>
        <v>0</v>
      </c>
      <c r="Q3229" s="1" t="str">
        <f t="shared" si="6516"/>
        <v>0.0070</v>
      </c>
      <c r="R3229" s="1" t="s">
        <v>29</v>
      </c>
      <c r="S3229" s="1">
        <v>-0.0014</v>
      </c>
      <c r="T3229" s="1" t="str">
        <f t="shared" si="6517"/>
        <v>0</v>
      </c>
      <c r="U3229" s="1" t="str">
        <f t="shared" ref="U3229:U3236" si="6573">"0.0056"</f>
        <v>0.0056</v>
      </c>
    </row>
    <row r="3230" s="1" customFormat="1" spans="1:21">
      <c r="A3230" s="1" t="str">
        <f>"4601992061537"</f>
        <v>4601992061537</v>
      </c>
      <c r="B3230" s="1" t="s">
        <v>3253</v>
      </c>
      <c r="C3230" s="1" t="s">
        <v>24</v>
      </c>
      <c r="D3230" s="1" t="str">
        <f t="shared" si="6514"/>
        <v>2021</v>
      </c>
      <c r="E3230" s="1" t="str">
        <f>"183.51"</f>
        <v>183.51</v>
      </c>
      <c r="F3230" s="1" t="str">
        <f t="shared" ref="F3230:I3230" si="6574">"0"</f>
        <v>0</v>
      </c>
      <c r="G3230" s="1" t="str">
        <f t="shared" si="6574"/>
        <v>0</v>
      </c>
      <c r="H3230" s="1" t="str">
        <f t="shared" si="6574"/>
        <v>0</v>
      </c>
      <c r="I3230" s="1" t="str">
        <f t="shared" si="6574"/>
        <v>0</v>
      </c>
      <c r="J3230" s="1" t="str">
        <f>"7"</f>
        <v>7</v>
      </c>
      <c r="K3230" s="1" t="str">
        <f t="shared" ref="K3230:P3230" si="6575">"0"</f>
        <v>0</v>
      </c>
      <c r="L3230" s="1" t="str">
        <f t="shared" si="6575"/>
        <v>0</v>
      </c>
      <c r="M3230" s="1" t="str">
        <f t="shared" si="6575"/>
        <v>0</v>
      </c>
      <c r="N3230" s="1" t="str">
        <f t="shared" si="6575"/>
        <v>0</v>
      </c>
      <c r="O3230" s="1" t="str">
        <f t="shared" si="6575"/>
        <v>0</v>
      </c>
      <c r="P3230" s="1" t="str">
        <f t="shared" si="6575"/>
        <v>0</v>
      </c>
      <c r="Q3230" s="1" t="str">
        <f t="shared" si="6516"/>
        <v>0.0070</v>
      </c>
      <c r="R3230" s="1" t="s">
        <v>29</v>
      </c>
      <c r="S3230" s="1">
        <v>-0.0014</v>
      </c>
      <c r="T3230" s="1" t="str">
        <f t="shared" si="6517"/>
        <v>0</v>
      </c>
      <c r="U3230" s="1" t="str">
        <f t="shared" si="6573"/>
        <v>0.0056</v>
      </c>
    </row>
    <row r="3231" s="1" customFormat="1" spans="1:21">
      <c r="A3231" s="1" t="str">
        <f>"4601992061592"</f>
        <v>4601992061592</v>
      </c>
      <c r="B3231" s="1" t="s">
        <v>3254</v>
      </c>
      <c r="C3231" s="1" t="s">
        <v>24</v>
      </c>
      <c r="D3231" s="1" t="str">
        <f t="shared" si="6514"/>
        <v>2021</v>
      </c>
      <c r="E3231" s="1" t="str">
        <f t="shared" ref="E3231:G3231" si="6576">"0"</f>
        <v>0</v>
      </c>
      <c r="F3231" s="1" t="str">
        <f t="shared" si="6576"/>
        <v>0</v>
      </c>
      <c r="G3231" s="1" t="str">
        <f t="shared" si="6576"/>
        <v>0</v>
      </c>
      <c r="H3231" s="1" t="str">
        <f>"15.75"</f>
        <v>15.75</v>
      </c>
      <c r="I3231" s="1" t="str">
        <f t="shared" ref="I3231:P3231" si="6577">"0"</f>
        <v>0</v>
      </c>
      <c r="J3231" s="1" t="str">
        <f t="shared" si="6577"/>
        <v>0</v>
      </c>
      <c r="K3231" s="1" t="str">
        <f t="shared" si="6577"/>
        <v>0</v>
      </c>
      <c r="L3231" s="1" t="str">
        <f t="shared" si="6577"/>
        <v>0</v>
      </c>
      <c r="M3231" s="1" t="str">
        <f t="shared" si="6577"/>
        <v>0</v>
      </c>
      <c r="N3231" s="1" t="str">
        <f t="shared" si="6577"/>
        <v>0</v>
      </c>
      <c r="O3231" s="1" t="str">
        <f t="shared" si="6577"/>
        <v>0</v>
      </c>
      <c r="P3231" s="1" t="str">
        <f t="shared" si="6577"/>
        <v>0</v>
      </c>
      <c r="Q3231" s="1" t="str">
        <f t="shared" si="6516"/>
        <v>0.0070</v>
      </c>
      <c r="R3231" s="1" t="s">
        <v>25</v>
      </c>
      <c r="T3231" s="1" t="str">
        <f t="shared" si="6517"/>
        <v>0</v>
      </c>
      <c r="U3231" s="1" t="str">
        <f t="shared" si="6570"/>
        <v>0.0070</v>
      </c>
    </row>
    <row r="3232" s="1" customFormat="1" spans="1:21">
      <c r="A3232" s="1" t="str">
        <f>"4601992061614"</f>
        <v>4601992061614</v>
      </c>
      <c r="B3232" s="1" t="s">
        <v>3255</v>
      </c>
      <c r="C3232" s="1" t="s">
        <v>24</v>
      </c>
      <c r="D3232" s="1" t="str">
        <f t="shared" si="6514"/>
        <v>2021</v>
      </c>
      <c r="E3232" s="1" t="str">
        <f t="shared" ref="E3232:P3232" si="6578">"0"</f>
        <v>0</v>
      </c>
      <c r="F3232" s="1" t="str">
        <f t="shared" si="6578"/>
        <v>0</v>
      </c>
      <c r="G3232" s="1" t="str">
        <f t="shared" si="6578"/>
        <v>0</v>
      </c>
      <c r="H3232" s="1" t="str">
        <f t="shared" si="6578"/>
        <v>0</v>
      </c>
      <c r="I3232" s="1" t="str">
        <f t="shared" si="6578"/>
        <v>0</v>
      </c>
      <c r="J3232" s="1" t="str">
        <f t="shared" si="6578"/>
        <v>0</v>
      </c>
      <c r="K3232" s="1" t="str">
        <f t="shared" si="6578"/>
        <v>0</v>
      </c>
      <c r="L3232" s="1" t="str">
        <f t="shared" si="6578"/>
        <v>0</v>
      </c>
      <c r="M3232" s="1" t="str">
        <f t="shared" si="6578"/>
        <v>0</v>
      </c>
      <c r="N3232" s="1" t="str">
        <f t="shared" si="6578"/>
        <v>0</v>
      </c>
      <c r="O3232" s="1" t="str">
        <f t="shared" si="6578"/>
        <v>0</v>
      </c>
      <c r="P3232" s="1" t="str">
        <f t="shared" si="6578"/>
        <v>0</v>
      </c>
      <c r="Q3232" s="1" t="str">
        <f t="shared" si="6516"/>
        <v>0.0070</v>
      </c>
      <c r="R3232" s="1" t="s">
        <v>25</v>
      </c>
      <c r="T3232" s="1" t="str">
        <f t="shared" si="6517"/>
        <v>0</v>
      </c>
      <c r="U3232" s="1" t="str">
        <f t="shared" si="6570"/>
        <v>0.0070</v>
      </c>
    </row>
    <row r="3233" s="1" customFormat="1" spans="1:21">
      <c r="A3233" s="1" t="str">
        <f>"4601992061538"</f>
        <v>4601992061538</v>
      </c>
      <c r="B3233" s="1" t="s">
        <v>3256</v>
      </c>
      <c r="C3233" s="1" t="s">
        <v>24</v>
      </c>
      <c r="D3233" s="1" t="str">
        <f t="shared" si="6514"/>
        <v>2021</v>
      </c>
      <c r="E3233" s="1" t="str">
        <f>"24.02"</f>
        <v>24.02</v>
      </c>
      <c r="F3233" s="1" t="str">
        <f t="shared" ref="F3233:I3233" si="6579">"0"</f>
        <v>0</v>
      </c>
      <c r="G3233" s="1" t="str">
        <f t="shared" si="6579"/>
        <v>0</v>
      </c>
      <c r="H3233" s="1" t="str">
        <f t="shared" si="6579"/>
        <v>0</v>
      </c>
      <c r="I3233" s="1" t="str">
        <f t="shared" si="6579"/>
        <v>0</v>
      </c>
      <c r="J3233" s="1" t="str">
        <f t="shared" ref="J3233:J3236" si="6580">"2"</f>
        <v>2</v>
      </c>
      <c r="K3233" s="1" t="str">
        <f t="shared" ref="K3233:P3233" si="6581">"0"</f>
        <v>0</v>
      </c>
      <c r="L3233" s="1" t="str">
        <f t="shared" si="6581"/>
        <v>0</v>
      </c>
      <c r="M3233" s="1" t="str">
        <f t="shared" si="6581"/>
        <v>0</v>
      </c>
      <c r="N3233" s="1" t="str">
        <f t="shared" si="6581"/>
        <v>0</v>
      </c>
      <c r="O3233" s="1" t="str">
        <f t="shared" si="6581"/>
        <v>0</v>
      </c>
      <c r="P3233" s="1" t="str">
        <f t="shared" si="6581"/>
        <v>0</v>
      </c>
      <c r="Q3233" s="1" t="str">
        <f t="shared" si="6516"/>
        <v>0.0070</v>
      </c>
      <c r="R3233" s="1" t="s">
        <v>29</v>
      </c>
      <c r="S3233" s="1">
        <v>-0.0014</v>
      </c>
      <c r="T3233" s="1" t="str">
        <f t="shared" si="6517"/>
        <v>0</v>
      </c>
      <c r="U3233" s="1" t="str">
        <f t="shared" si="6573"/>
        <v>0.0056</v>
      </c>
    </row>
    <row r="3234" s="1" customFormat="1" spans="1:21">
      <c r="A3234" s="1" t="str">
        <f>"4601992061545"</f>
        <v>4601992061545</v>
      </c>
      <c r="B3234" s="1" t="s">
        <v>3257</v>
      </c>
      <c r="C3234" s="1" t="s">
        <v>24</v>
      </c>
      <c r="D3234" s="1" t="str">
        <f t="shared" si="6514"/>
        <v>2021</v>
      </c>
      <c r="E3234" s="1" t="str">
        <f>"11.98"</f>
        <v>11.98</v>
      </c>
      <c r="F3234" s="1" t="str">
        <f t="shared" ref="F3234:I3234" si="6582">"0"</f>
        <v>0</v>
      </c>
      <c r="G3234" s="1" t="str">
        <f t="shared" si="6582"/>
        <v>0</v>
      </c>
      <c r="H3234" s="1" t="str">
        <f t="shared" si="6582"/>
        <v>0</v>
      </c>
      <c r="I3234" s="1" t="str">
        <f t="shared" si="6582"/>
        <v>0</v>
      </c>
      <c r="J3234" s="1" t="str">
        <f t="shared" ref="J3234:J3239" si="6583">"1"</f>
        <v>1</v>
      </c>
      <c r="K3234" s="1" t="str">
        <f t="shared" ref="K3234:P3234" si="6584">"0"</f>
        <v>0</v>
      </c>
      <c r="L3234" s="1" t="str">
        <f t="shared" si="6584"/>
        <v>0</v>
      </c>
      <c r="M3234" s="1" t="str">
        <f t="shared" si="6584"/>
        <v>0</v>
      </c>
      <c r="N3234" s="1" t="str">
        <f t="shared" si="6584"/>
        <v>0</v>
      </c>
      <c r="O3234" s="1" t="str">
        <f t="shared" si="6584"/>
        <v>0</v>
      </c>
      <c r="P3234" s="1" t="str">
        <f t="shared" si="6584"/>
        <v>0</v>
      </c>
      <c r="Q3234" s="1" t="str">
        <f t="shared" si="6516"/>
        <v>0.0070</v>
      </c>
      <c r="R3234" s="1" t="s">
        <v>29</v>
      </c>
      <c r="S3234" s="1">
        <v>-0.0014</v>
      </c>
      <c r="T3234" s="1" t="str">
        <f t="shared" si="6517"/>
        <v>0</v>
      </c>
      <c r="U3234" s="1" t="str">
        <f t="shared" si="6573"/>
        <v>0.0056</v>
      </c>
    </row>
    <row r="3235" s="1" customFormat="1" spans="1:21">
      <c r="A3235" s="1" t="str">
        <f>"4601992061584"</f>
        <v>4601992061584</v>
      </c>
      <c r="B3235" s="1" t="s">
        <v>3258</v>
      </c>
      <c r="C3235" s="1" t="s">
        <v>24</v>
      </c>
      <c r="D3235" s="1" t="str">
        <f t="shared" si="6514"/>
        <v>2021</v>
      </c>
      <c r="E3235" s="1" t="str">
        <f>"24.18"</f>
        <v>24.18</v>
      </c>
      <c r="F3235" s="1" t="str">
        <f t="shared" ref="F3235:I3235" si="6585">"0"</f>
        <v>0</v>
      </c>
      <c r="G3235" s="1" t="str">
        <f t="shared" si="6585"/>
        <v>0</v>
      </c>
      <c r="H3235" s="1" t="str">
        <f t="shared" si="6585"/>
        <v>0</v>
      </c>
      <c r="I3235" s="1" t="str">
        <f t="shared" si="6585"/>
        <v>0</v>
      </c>
      <c r="J3235" s="1" t="str">
        <f t="shared" si="6580"/>
        <v>2</v>
      </c>
      <c r="K3235" s="1" t="str">
        <f t="shared" ref="K3235:P3235" si="6586">"0"</f>
        <v>0</v>
      </c>
      <c r="L3235" s="1" t="str">
        <f t="shared" si="6586"/>
        <v>0</v>
      </c>
      <c r="M3235" s="1" t="str">
        <f t="shared" si="6586"/>
        <v>0</v>
      </c>
      <c r="N3235" s="1" t="str">
        <f t="shared" si="6586"/>
        <v>0</v>
      </c>
      <c r="O3235" s="1" t="str">
        <f t="shared" si="6586"/>
        <v>0</v>
      </c>
      <c r="P3235" s="1" t="str">
        <f t="shared" si="6586"/>
        <v>0</v>
      </c>
      <c r="Q3235" s="1" t="str">
        <f t="shared" si="6516"/>
        <v>0.0070</v>
      </c>
      <c r="R3235" s="1" t="s">
        <v>29</v>
      </c>
      <c r="S3235" s="1">
        <v>-0.0014</v>
      </c>
      <c r="T3235" s="1" t="str">
        <f t="shared" si="6517"/>
        <v>0</v>
      </c>
      <c r="U3235" s="1" t="str">
        <f t="shared" si="6573"/>
        <v>0.0056</v>
      </c>
    </row>
    <row r="3236" s="1" customFormat="1" spans="1:21">
      <c r="A3236" s="1" t="str">
        <f>"4601992061630"</f>
        <v>4601992061630</v>
      </c>
      <c r="B3236" s="1" t="s">
        <v>3259</v>
      </c>
      <c r="C3236" s="1" t="s">
        <v>24</v>
      </c>
      <c r="D3236" s="1" t="str">
        <f t="shared" si="6514"/>
        <v>2021</v>
      </c>
      <c r="E3236" s="1" t="str">
        <f>"34.43"</f>
        <v>34.43</v>
      </c>
      <c r="F3236" s="1" t="str">
        <f t="shared" ref="F3236:I3236" si="6587">"0"</f>
        <v>0</v>
      </c>
      <c r="G3236" s="1" t="str">
        <f t="shared" si="6587"/>
        <v>0</v>
      </c>
      <c r="H3236" s="1" t="str">
        <f t="shared" si="6587"/>
        <v>0</v>
      </c>
      <c r="I3236" s="1" t="str">
        <f t="shared" si="6587"/>
        <v>0</v>
      </c>
      <c r="J3236" s="1" t="str">
        <f t="shared" si="6580"/>
        <v>2</v>
      </c>
      <c r="K3236" s="1" t="str">
        <f t="shared" ref="K3236:P3236" si="6588">"0"</f>
        <v>0</v>
      </c>
      <c r="L3236" s="1" t="str">
        <f t="shared" si="6588"/>
        <v>0</v>
      </c>
      <c r="M3236" s="1" t="str">
        <f t="shared" si="6588"/>
        <v>0</v>
      </c>
      <c r="N3236" s="1" t="str">
        <f t="shared" si="6588"/>
        <v>0</v>
      </c>
      <c r="O3236" s="1" t="str">
        <f t="shared" si="6588"/>
        <v>0</v>
      </c>
      <c r="P3236" s="1" t="str">
        <f t="shared" si="6588"/>
        <v>0</v>
      </c>
      <c r="Q3236" s="1" t="str">
        <f t="shared" si="6516"/>
        <v>0.0070</v>
      </c>
      <c r="R3236" s="1" t="s">
        <v>29</v>
      </c>
      <c r="S3236" s="1">
        <v>-0.0014</v>
      </c>
      <c r="T3236" s="1" t="str">
        <f t="shared" si="6517"/>
        <v>0</v>
      </c>
      <c r="U3236" s="1" t="str">
        <f t="shared" si="6573"/>
        <v>0.0056</v>
      </c>
    </row>
    <row r="3237" s="1" customFormat="1" spans="1:21">
      <c r="A3237" s="1" t="str">
        <f>"4601992061633"</f>
        <v>4601992061633</v>
      </c>
      <c r="B3237" s="1" t="s">
        <v>3260</v>
      </c>
      <c r="C3237" s="1" t="s">
        <v>24</v>
      </c>
      <c r="D3237" s="1" t="str">
        <f t="shared" si="6514"/>
        <v>2021</v>
      </c>
      <c r="E3237" s="1" t="str">
        <f>"12.09"</f>
        <v>12.09</v>
      </c>
      <c r="F3237" s="1" t="str">
        <f t="shared" ref="F3237:I3237" si="6589">"0"</f>
        <v>0</v>
      </c>
      <c r="G3237" s="1" t="str">
        <f t="shared" si="6589"/>
        <v>0</v>
      </c>
      <c r="H3237" s="1" t="str">
        <f t="shared" si="6589"/>
        <v>0</v>
      </c>
      <c r="I3237" s="1" t="str">
        <f t="shared" si="6589"/>
        <v>0</v>
      </c>
      <c r="J3237" s="1" t="str">
        <f t="shared" si="6583"/>
        <v>1</v>
      </c>
      <c r="K3237" s="1" t="str">
        <f t="shared" ref="K3237:P3237" si="6590">"0"</f>
        <v>0</v>
      </c>
      <c r="L3237" s="1" t="str">
        <f t="shared" si="6590"/>
        <v>0</v>
      </c>
      <c r="M3237" s="1" t="str">
        <f t="shared" si="6590"/>
        <v>0</v>
      </c>
      <c r="N3237" s="1" t="str">
        <f t="shared" si="6590"/>
        <v>0</v>
      </c>
      <c r="O3237" s="1" t="str">
        <f t="shared" si="6590"/>
        <v>0</v>
      </c>
      <c r="P3237" s="1" t="str">
        <f t="shared" si="6590"/>
        <v>0</v>
      </c>
      <c r="Q3237" s="1" t="str">
        <f t="shared" si="6516"/>
        <v>0.0070</v>
      </c>
      <c r="R3237" s="1" t="s">
        <v>25</v>
      </c>
      <c r="T3237" s="1" t="str">
        <f t="shared" si="6517"/>
        <v>0</v>
      </c>
      <c r="U3237" s="1" t="str">
        <f>"0.0070"</f>
        <v>0.0070</v>
      </c>
    </row>
    <row r="3238" s="1" customFormat="1" spans="1:21">
      <c r="A3238" s="1" t="str">
        <f>"4601992061664"</f>
        <v>4601992061664</v>
      </c>
      <c r="B3238" s="1" t="s">
        <v>3261</v>
      </c>
      <c r="C3238" s="1" t="s">
        <v>24</v>
      </c>
      <c r="D3238" s="1" t="str">
        <f t="shared" si="6514"/>
        <v>2021</v>
      </c>
      <c r="E3238" s="1" t="str">
        <f>"24.18"</f>
        <v>24.18</v>
      </c>
      <c r="F3238" s="1" t="str">
        <f t="shared" ref="F3238:I3238" si="6591">"0"</f>
        <v>0</v>
      </c>
      <c r="G3238" s="1" t="str">
        <f t="shared" si="6591"/>
        <v>0</v>
      </c>
      <c r="H3238" s="1" t="str">
        <f t="shared" si="6591"/>
        <v>0</v>
      </c>
      <c r="I3238" s="1" t="str">
        <f t="shared" si="6591"/>
        <v>0</v>
      </c>
      <c r="J3238" s="1" t="str">
        <f t="shared" ref="J3238:J3242" si="6592">"2"</f>
        <v>2</v>
      </c>
      <c r="K3238" s="1" t="str">
        <f t="shared" ref="K3238:P3238" si="6593">"0"</f>
        <v>0</v>
      </c>
      <c r="L3238" s="1" t="str">
        <f t="shared" si="6593"/>
        <v>0</v>
      </c>
      <c r="M3238" s="1" t="str">
        <f t="shared" si="6593"/>
        <v>0</v>
      </c>
      <c r="N3238" s="1" t="str">
        <f t="shared" si="6593"/>
        <v>0</v>
      </c>
      <c r="O3238" s="1" t="str">
        <f t="shared" si="6593"/>
        <v>0</v>
      </c>
      <c r="P3238" s="1" t="str">
        <f t="shared" si="6593"/>
        <v>0</v>
      </c>
      <c r="Q3238" s="1" t="str">
        <f t="shared" si="6516"/>
        <v>0.0070</v>
      </c>
      <c r="R3238" s="1" t="s">
        <v>29</v>
      </c>
      <c r="S3238" s="1">
        <v>-0.0014</v>
      </c>
      <c r="T3238" s="1" t="str">
        <f t="shared" si="6517"/>
        <v>0</v>
      </c>
      <c r="U3238" s="1" t="str">
        <f t="shared" ref="U3238:U3241" si="6594">"0.0056"</f>
        <v>0.0056</v>
      </c>
    </row>
    <row r="3239" s="1" customFormat="1" spans="1:21">
      <c r="A3239" s="1" t="str">
        <f>"4601992061658"</f>
        <v>4601992061658</v>
      </c>
      <c r="B3239" s="1" t="s">
        <v>3262</v>
      </c>
      <c r="C3239" s="1" t="s">
        <v>24</v>
      </c>
      <c r="D3239" s="1" t="str">
        <f t="shared" si="6514"/>
        <v>2021</v>
      </c>
      <c r="E3239" s="1" t="str">
        <f>"23.96"</f>
        <v>23.96</v>
      </c>
      <c r="F3239" s="1" t="str">
        <f t="shared" ref="F3239:I3239" si="6595">"0"</f>
        <v>0</v>
      </c>
      <c r="G3239" s="1" t="str">
        <f t="shared" si="6595"/>
        <v>0</v>
      </c>
      <c r="H3239" s="1" t="str">
        <f t="shared" si="6595"/>
        <v>0</v>
      </c>
      <c r="I3239" s="1" t="str">
        <f t="shared" si="6595"/>
        <v>0</v>
      </c>
      <c r="J3239" s="1" t="str">
        <f t="shared" si="6583"/>
        <v>1</v>
      </c>
      <c r="K3239" s="1" t="str">
        <f t="shared" ref="K3239:P3239" si="6596">"0"</f>
        <v>0</v>
      </c>
      <c r="L3239" s="1" t="str">
        <f t="shared" si="6596"/>
        <v>0</v>
      </c>
      <c r="M3239" s="1" t="str">
        <f t="shared" si="6596"/>
        <v>0</v>
      </c>
      <c r="N3239" s="1" t="str">
        <f t="shared" si="6596"/>
        <v>0</v>
      </c>
      <c r="O3239" s="1" t="str">
        <f t="shared" si="6596"/>
        <v>0</v>
      </c>
      <c r="P3239" s="1" t="str">
        <f t="shared" si="6596"/>
        <v>0</v>
      </c>
      <c r="Q3239" s="1" t="str">
        <f t="shared" si="6516"/>
        <v>0.0070</v>
      </c>
      <c r="R3239" s="1" t="s">
        <v>29</v>
      </c>
      <c r="S3239" s="1">
        <v>-0.0014</v>
      </c>
      <c r="T3239" s="1" t="str">
        <f t="shared" si="6517"/>
        <v>0</v>
      </c>
      <c r="U3239" s="1" t="str">
        <f t="shared" si="6594"/>
        <v>0.0056</v>
      </c>
    </row>
    <row r="3240" s="1" customFormat="1" spans="1:21">
      <c r="A3240" s="1" t="str">
        <f>"4601992061672"</f>
        <v>4601992061672</v>
      </c>
      <c r="B3240" s="1" t="s">
        <v>3263</v>
      </c>
      <c r="C3240" s="1" t="s">
        <v>24</v>
      </c>
      <c r="D3240" s="1" t="str">
        <f t="shared" si="6514"/>
        <v>2021</v>
      </c>
      <c r="E3240" s="1" t="str">
        <f>"29.59"</f>
        <v>29.59</v>
      </c>
      <c r="F3240" s="1" t="str">
        <f t="shared" ref="F3240:I3240" si="6597">"0"</f>
        <v>0</v>
      </c>
      <c r="G3240" s="1" t="str">
        <f t="shared" si="6597"/>
        <v>0</v>
      </c>
      <c r="H3240" s="1" t="str">
        <f t="shared" si="6597"/>
        <v>0</v>
      </c>
      <c r="I3240" s="1" t="str">
        <f t="shared" si="6597"/>
        <v>0</v>
      </c>
      <c r="J3240" s="1" t="str">
        <f t="shared" si="6592"/>
        <v>2</v>
      </c>
      <c r="K3240" s="1" t="str">
        <f t="shared" ref="K3240:P3240" si="6598">"0"</f>
        <v>0</v>
      </c>
      <c r="L3240" s="1" t="str">
        <f t="shared" si="6598"/>
        <v>0</v>
      </c>
      <c r="M3240" s="1" t="str">
        <f t="shared" si="6598"/>
        <v>0</v>
      </c>
      <c r="N3240" s="1" t="str">
        <f t="shared" si="6598"/>
        <v>0</v>
      </c>
      <c r="O3240" s="1" t="str">
        <f t="shared" si="6598"/>
        <v>0</v>
      </c>
      <c r="P3240" s="1" t="str">
        <f t="shared" si="6598"/>
        <v>0</v>
      </c>
      <c r="Q3240" s="1" t="str">
        <f t="shared" si="6516"/>
        <v>0.0070</v>
      </c>
      <c r="R3240" s="1" t="s">
        <v>29</v>
      </c>
      <c r="S3240" s="1">
        <v>-0.0014</v>
      </c>
      <c r="T3240" s="1" t="str">
        <f t="shared" si="6517"/>
        <v>0</v>
      </c>
      <c r="U3240" s="1" t="str">
        <f t="shared" si="6594"/>
        <v>0.0056</v>
      </c>
    </row>
    <row r="3241" s="1" customFormat="1" spans="1:21">
      <c r="A3241" s="1" t="str">
        <f>"4601992061689"</f>
        <v>4601992061689</v>
      </c>
      <c r="B3241" s="1" t="s">
        <v>3264</v>
      </c>
      <c r="C3241" s="1" t="s">
        <v>24</v>
      </c>
      <c r="D3241" s="1" t="str">
        <f t="shared" si="6514"/>
        <v>2021</v>
      </c>
      <c r="E3241" s="1" t="str">
        <f>"11.98"</f>
        <v>11.98</v>
      </c>
      <c r="F3241" s="1" t="str">
        <f t="shared" ref="F3241:I3241" si="6599">"0"</f>
        <v>0</v>
      </c>
      <c r="G3241" s="1" t="str">
        <f t="shared" si="6599"/>
        <v>0</v>
      </c>
      <c r="H3241" s="1" t="str">
        <f t="shared" si="6599"/>
        <v>0</v>
      </c>
      <c r="I3241" s="1" t="str">
        <f t="shared" si="6599"/>
        <v>0</v>
      </c>
      <c r="J3241" s="1" t="str">
        <f>"1"</f>
        <v>1</v>
      </c>
      <c r="K3241" s="1" t="str">
        <f t="shared" ref="K3241:P3241" si="6600">"0"</f>
        <v>0</v>
      </c>
      <c r="L3241" s="1" t="str">
        <f t="shared" si="6600"/>
        <v>0</v>
      </c>
      <c r="M3241" s="1" t="str">
        <f t="shared" si="6600"/>
        <v>0</v>
      </c>
      <c r="N3241" s="1" t="str">
        <f t="shared" si="6600"/>
        <v>0</v>
      </c>
      <c r="O3241" s="1" t="str">
        <f t="shared" si="6600"/>
        <v>0</v>
      </c>
      <c r="P3241" s="1" t="str">
        <f t="shared" si="6600"/>
        <v>0</v>
      </c>
      <c r="Q3241" s="1" t="str">
        <f t="shared" si="6516"/>
        <v>0.0070</v>
      </c>
      <c r="R3241" s="1" t="s">
        <v>29</v>
      </c>
      <c r="S3241" s="1">
        <v>-0.0014</v>
      </c>
      <c r="T3241" s="1" t="str">
        <f t="shared" si="6517"/>
        <v>0</v>
      </c>
      <c r="U3241" s="1" t="str">
        <f t="shared" si="6594"/>
        <v>0.0056</v>
      </c>
    </row>
    <row r="3242" s="1" customFormat="1" spans="1:21">
      <c r="A3242" s="1" t="str">
        <f>"4601992061685"</f>
        <v>4601992061685</v>
      </c>
      <c r="B3242" s="1" t="s">
        <v>3265</v>
      </c>
      <c r="C3242" s="1" t="s">
        <v>24</v>
      </c>
      <c r="D3242" s="1" t="str">
        <f t="shared" si="6514"/>
        <v>2021</v>
      </c>
      <c r="E3242" s="1" t="str">
        <f>"23.96"</f>
        <v>23.96</v>
      </c>
      <c r="F3242" s="1" t="str">
        <f t="shared" ref="F3242:I3242" si="6601">"0"</f>
        <v>0</v>
      </c>
      <c r="G3242" s="1" t="str">
        <f t="shared" si="6601"/>
        <v>0</v>
      </c>
      <c r="H3242" s="1" t="str">
        <f t="shared" si="6601"/>
        <v>0</v>
      </c>
      <c r="I3242" s="1" t="str">
        <f t="shared" si="6601"/>
        <v>0</v>
      </c>
      <c r="J3242" s="1" t="str">
        <f t="shared" si="6592"/>
        <v>2</v>
      </c>
      <c r="K3242" s="1" t="str">
        <f t="shared" ref="K3242:P3242" si="6602">"0"</f>
        <v>0</v>
      </c>
      <c r="L3242" s="1" t="str">
        <f t="shared" si="6602"/>
        <v>0</v>
      </c>
      <c r="M3242" s="1" t="str">
        <f t="shared" si="6602"/>
        <v>0</v>
      </c>
      <c r="N3242" s="1" t="str">
        <f t="shared" si="6602"/>
        <v>0</v>
      </c>
      <c r="O3242" s="1" t="str">
        <f t="shared" si="6602"/>
        <v>0</v>
      </c>
      <c r="P3242" s="1" t="str">
        <f t="shared" si="6602"/>
        <v>0</v>
      </c>
      <c r="Q3242" s="1" t="str">
        <f t="shared" si="6516"/>
        <v>0.0070</v>
      </c>
      <c r="R3242" s="1" t="s">
        <v>25</v>
      </c>
      <c r="T3242" s="1" t="str">
        <f t="shared" si="6517"/>
        <v>0</v>
      </c>
      <c r="U3242" s="1" t="str">
        <f t="shared" ref="U3242:U3246" si="6603">"0.0070"</f>
        <v>0.0070</v>
      </c>
    </row>
    <row r="3243" s="1" customFormat="1" spans="1:21">
      <c r="A3243" s="1" t="str">
        <f>"4601992061705"</f>
        <v>4601992061705</v>
      </c>
      <c r="B3243" s="1" t="s">
        <v>3266</v>
      </c>
      <c r="C3243" s="1" t="s">
        <v>24</v>
      </c>
      <c r="D3243" s="1" t="str">
        <f t="shared" si="6514"/>
        <v>2021</v>
      </c>
      <c r="E3243" s="1" t="str">
        <f>"62.86"</f>
        <v>62.86</v>
      </c>
      <c r="F3243" s="1" t="str">
        <f t="shared" ref="F3243:I3243" si="6604">"0"</f>
        <v>0</v>
      </c>
      <c r="G3243" s="1" t="str">
        <f t="shared" si="6604"/>
        <v>0</v>
      </c>
      <c r="H3243" s="1" t="str">
        <f t="shared" si="6604"/>
        <v>0</v>
      </c>
      <c r="I3243" s="1" t="str">
        <f t="shared" si="6604"/>
        <v>0</v>
      </c>
      <c r="J3243" s="1" t="str">
        <f>"4"</f>
        <v>4</v>
      </c>
      <c r="K3243" s="1" t="str">
        <f t="shared" ref="K3243:P3243" si="6605">"0"</f>
        <v>0</v>
      </c>
      <c r="L3243" s="1" t="str">
        <f t="shared" si="6605"/>
        <v>0</v>
      </c>
      <c r="M3243" s="1" t="str">
        <f t="shared" si="6605"/>
        <v>0</v>
      </c>
      <c r="N3243" s="1" t="str">
        <f t="shared" si="6605"/>
        <v>0</v>
      </c>
      <c r="O3243" s="1" t="str">
        <f t="shared" si="6605"/>
        <v>0</v>
      </c>
      <c r="P3243" s="1" t="str">
        <f t="shared" si="6605"/>
        <v>0</v>
      </c>
      <c r="Q3243" s="1" t="str">
        <f t="shared" si="6516"/>
        <v>0.0070</v>
      </c>
      <c r="R3243" s="1" t="s">
        <v>29</v>
      </c>
      <c r="S3243" s="1">
        <v>-0.0014</v>
      </c>
      <c r="T3243" s="1" t="str">
        <f t="shared" si="6517"/>
        <v>0</v>
      </c>
      <c r="U3243" s="1" t="str">
        <f t="shared" ref="U3243:U3249" si="6606">"0.0056"</f>
        <v>0.0056</v>
      </c>
    </row>
    <row r="3244" s="1" customFormat="1" spans="1:21">
      <c r="A3244" s="1" t="str">
        <f>"4601992061743"</f>
        <v>4601992061743</v>
      </c>
      <c r="B3244" s="1" t="s">
        <v>3267</v>
      </c>
      <c r="C3244" s="1" t="s">
        <v>24</v>
      </c>
      <c r="D3244" s="1" t="str">
        <f t="shared" si="6514"/>
        <v>2021</v>
      </c>
      <c r="E3244" s="1" t="str">
        <f t="shared" ref="E3244:G3244" si="6607">"0"</f>
        <v>0</v>
      </c>
      <c r="F3244" s="1" t="str">
        <f t="shared" si="6607"/>
        <v>0</v>
      </c>
      <c r="G3244" s="1" t="str">
        <f t="shared" si="6607"/>
        <v>0</v>
      </c>
      <c r="H3244" s="1" t="str">
        <f>"47.25"</f>
        <v>47.25</v>
      </c>
      <c r="I3244" s="1" t="str">
        <f t="shared" ref="I3244:P3244" si="6608">"0"</f>
        <v>0</v>
      </c>
      <c r="J3244" s="1" t="str">
        <f t="shared" si="6608"/>
        <v>0</v>
      </c>
      <c r="K3244" s="1" t="str">
        <f t="shared" si="6608"/>
        <v>0</v>
      </c>
      <c r="L3244" s="1" t="str">
        <f t="shared" si="6608"/>
        <v>0</v>
      </c>
      <c r="M3244" s="1" t="str">
        <f t="shared" si="6608"/>
        <v>0</v>
      </c>
      <c r="N3244" s="1" t="str">
        <f t="shared" si="6608"/>
        <v>0</v>
      </c>
      <c r="O3244" s="1" t="str">
        <f t="shared" si="6608"/>
        <v>0</v>
      </c>
      <c r="P3244" s="1" t="str">
        <f t="shared" si="6608"/>
        <v>0</v>
      </c>
      <c r="Q3244" s="1" t="str">
        <f t="shared" si="6516"/>
        <v>0.0070</v>
      </c>
      <c r="R3244" s="1" t="s">
        <v>25</v>
      </c>
      <c r="T3244" s="1" t="str">
        <f t="shared" si="6517"/>
        <v>0</v>
      </c>
      <c r="U3244" s="1" t="str">
        <f t="shared" si="6603"/>
        <v>0.0070</v>
      </c>
    </row>
    <row r="3245" s="1" customFormat="1" spans="1:21">
      <c r="A3245" s="1" t="str">
        <f>"4601992061800"</f>
        <v>4601992061800</v>
      </c>
      <c r="B3245" s="1" t="s">
        <v>3268</v>
      </c>
      <c r="C3245" s="1" t="s">
        <v>24</v>
      </c>
      <c r="D3245" s="1" t="str">
        <f t="shared" si="6514"/>
        <v>2021</v>
      </c>
      <c r="E3245" s="1" t="str">
        <f>"12.09"</f>
        <v>12.09</v>
      </c>
      <c r="F3245" s="1" t="str">
        <f t="shared" ref="F3245:I3245" si="6609">"0"</f>
        <v>0</v>
      </c>
      <c r="G3245" s="1" t="str">
        <f t="shared" si="6609"/>
        <v>0</v>
      </c>
      <c r="H3245" s="1" t="str">
        <f t="shared" si="6609"/>
        <v>0</v>
      </c>
      <c r="I3245" s="1" t="str">
        <f t="shared" si="6609"/>
        <v>0</v>
      </c>
      <c r="J3245" s="1" t="str">
        <f>"1"</f>
        <v>1</v>
      </c>
      <c r="K3245" s="1" t="str">
        <f t="shared" ref="K3245:P3245" si="6610">"0"</f>
        <v>0</v>
      </c>
      <c r="L3245" s="1" t="str">
        <f t="shared" si="6610"/>
        <v>0</v>
      </c>
      <c r="M3245" s="1" t="str">
        <f t="shared" si="6610"/>
        <v>0</v>
      </c>
      <c r="N3245" s="1" t="str">
        <f t="shared" si="6610"/>
        <v>0</v>
      </c>
      <c r="O3245" s="1" t="str">
        <f t="shared" si="6610"/>
        <v>0</v>
      </c>
      <c r="P3245" s="1" t="str">
        <f t="shared" si="6610"/>
        <v>0</v>
      </c>
      <c r="Q3245" s="1" t="str">
        <f t="shared" si="6516"/>
        <v>0.0070</v>
      </c>
      <c r="R3245" s="1" t="s">
        <v>29</v>
      </c>
      <c r="S3245" s="1">
        <v>-0.0014</v>
      </c>
      <c r="T3245" s="1" t="str">
        <f t="shared" si="6517"/>
        <v>0</v>
      </c>
      <c r="U3245" s="1" t="str">
        <f t="shared" si="6606"/>
        <v>0.0056</v>
      </c>
    </row>
    <row r="3246" s="1" customFormat="1" spans="1:21">
      <c r="A3246" s="1" t="str">
        <f>"4601992061794"</f>
        <v>4601992061794</v>
      </c>
      <c r="B3246" s="1" t="s">
        <v>3269</v>
      </c>
      <c r="C3246" s="1" t="s">
        <v>24</v>
      </c>
      <c r="D3246" s="1" t="str">
        <f t="shared" si="6514"/>
        <v>2021</v>
      </c>
      <c r="E3246" s="1" t="str">
        <f t="shared" ref="E3246:E3249" si="6611">"24.18"</f>
        <v>24.18</v>
      </c>
      <c r="F3246" s="1" t="str">
        <f t="shared" ref="F3246:I3246" si="6612">"0"</f>
        <v>0</v>
      </c>
      <c r="G3246" s="1" t="str">
        <f t="shared" si="6612"/>
        <v>0</v>
      </c>
      <c r="H3246" s="1" t="str">
        <f t="shared" si="6612"/>
        <v>0</v>
      </c>
      <c r="I3246" s="1" t="str">
        <f t="shared" si="6612"/>
        <v>0</v>
      </c>
      <c r="J3246" s="1" t="str">
        <f t="shared" ref="J3246:J3249" si="6613">"2"</f>
        <v>2</v>
      </c>
      <c r="K3246" s="1" t="str">
        <f t="shared" ref="K3246:P3246" si="6614">"0"</f>
        <v>0</v>
      </c>
      <c r="L3246" s="1" t="str">
        <f t="shared" si="6614"/>
        <v>0</v>
      </c>
      <c r="M3246" s="1" t="str">
        <f t="shared" si="6614"/>
        <v>0</v>
      </c>
      <c r="N3246" s="1" t="str">
        <f t="shared" si="6614"/>
        <v>0</v>
      </c>
      <c r="O3246" s="1" t="str">
        <f t="shared" si="6614"/>
        <v>0</v>
      </c>
      <c r="P3246" s="1" t="str">
        <f t="shared" si="6614"/>
        <v>0</v>
      </c>
      <c r="Q3246" s="1" t="str">
        <f t="shared" si="6516"/>
        <v>0.0070</v>
      </c>
      <c r="R3246" s="1" t="s">
        <v>25</v>
      </c>
      <c r="T3246" s="1" t="str">
        <f t="shared" si="6517"/>
        <v>0</v>
      </c>
      <c r="U3246" s="1" t="str">
        <f t="shared" si="6603"/>
        <v>0.0070</v>
      </c>
    </row>
    <row r="3247" s="1" customFormat="1" spans="1:21">
      <c r="A3247" s="1" t="str">
        <f>"4601992061814"</f>
        <v>4601992061814</v>
      </c>
      <c r="B3247" s="1" t="s">
        <v>3270</v>
      </c>
      <c r="C3247" s="1" t="s">
        <v>24</v>
      </c>
      <c r="D3247" s="1" t="str">
        <f t="shared" si="6514"/>
        <v>2021</v>
      </c>
      <c r="E3247" s="1" t="str">
        <f>"36.05"</f>
        <v>36.05</v>
      </c>
      <c r="F3247" s="1" t="str">
        <f t="shared" ref="F3247:I3247" si="6615">"0"</f>
        <v>0</v>
      </c>
      <c r="G3247" s="1" t="str">
        <f t="shared" si="6615"/>
        <v>0</v>
      </c>
      <c r="H3247" s="1" t="str">
        <f t="shared" si="6615"/>
        <v>0</v>
      </c>
      <c r="I3247" s="1" t="str">
        <f t="shared" si="6615"/>
        <v>0</v>
      </c>
      <c r="J3247" s="1" t="str">
        <f>"4"</f>
        <v>4</v>
      </c>
      <c r="K3247" s="1" t="str">
        <f t="shared" ref="K3247:P3247" si="6616">"0"</f>
        <v>0</v>
      </c>
      <c r="L3247" s="1" t="str">
        <f t="shared" si="6616"/>
        <v>0</v>
      </c>
      <c r="M3247" s="1" t="str">
        <f t="shared" si="6616"/>
        <v>0</v>
      </c>
      <c r="N3247" s="1" t="str">
        <f t="shared" si="6616"/>
        <v>0</v>
      </c>
      <c r="O3247" s="1" t="str">
        <f t="shared" si="6616"/>
        <v>0</v>
      </c>
      <c r="P3247" s="1" t="str">
        <f t="shared" si="6616"/>
        <v>0</v>
      </c>
      <c r="Q3247" s="1" t="str">
        <f t="shared" si="6516"/>
        <v>0.0070</v>
      </c>
      <c r="R3247" s="1" t="s">
        <v>29</v>
      </c>
      <c r="S3247" s="1">
        <v>-0.0014</v>
      </c>
      <c r="T3247" s="1" t="str">
        <f t="shared" si="6517"/>
        <v>0</v>
      </c>
      <c r="U3247" s="1" t="str">
        <f t="shared" si="6606"/>
        <v>0.0056</v>
      </c>
    </row>
    <row r="3248" s="1" customFormat="1" spans="1:21">
      <c r="A3248" s="1" t="str">
        <f>"4601992061903"</f>
        <v>4601992061903</v>
      </c>
      <c r="B3248" s="1" t="s">
        <v>3271</v>
      </c>
      <c r="C3248" s="1" t="s">
        <v>24</v>
      </c>
      <c r="D3248" s="1" t="str">
        <f t="shared" si="6514"/>
        <v>2021</v>
      </c>
      <c r="E3248" s="1" t="str">
        <f t="shared" si="6611"/>
        <v>24.18</v>
      </c>
      <c r="F3248" s="1" t="str">
        <f t="shared" ref="F3248:I3248" si="6617">"0"</f>
        <v>0</v>
      </c>
      <c r="G3248" s="1" t="str">
        <f t="shared" si="6617"/>
        <v>0</v>
      </c>
      <c r="H3248" s="1" t="str">
        <f t="shared" si="6617"/>
        <v>0</v>
      </c>
      <c r="I3248" s="1" t="str">
        <f t="shared" si="6617"/>
        <v>0</v>
      </c>
      <c r="J3248" s="1" t="str">
        <f t="shared" si="6613"/>
        <v>2</v>
      </c>
      <c r="K3248" s="1" t="str">
        <f t="shared" ref="K3248:P3248" si="6618">"0"</f>
        <v>0</v>
      </c>
      <c r="L3248" s="1" t="str">
        <f t="shared" si="6618"/>
        <v>0</v>
      </c>
      <c r="M3248" s="1" t="str">
        <f t="shared" si="6618"/>
        <v>0</v>
      </c>
      <c r="N3248" s="1" t="str">
        <f t="shared" si="6618"/>
        <v>0</v>
      </c>
      <c r="O3248" s="1" t="str">
        <f t="shared" si="6618"/>
        <v>0</v>
      </c>
      <c r="P3248" s="1" t="str">
        <f t="shared" si="6618"/>
        <v>0</v>
      </c>
      <c r="Q3248" s="1" t="str">
        <f t="shared" si="6516"/>
        <v>0.0070</v>
      </c>
      <c r="R3248" s="1" t="s">
        <v>29</v>
      </c>
      <c r="S3248" s="1">
        <v>-0.0014</v>
      </c>
      <c r="T3248" s="1" t="str">
        <f t="shared" si="6517"/>
        <v>0</v>
      </c>
      <c r="U3248" s="1" t="str">
        <f t="shared" si="6606"/>
        <v>0.0056</v>
      </c>
    </row>
    <row r="3249" s="1" customFormat="1" spans="1:21">
      <c r="A3249" s="1" t="str">
        <f>"4601992061840"</f>
        <v>4601992061840</v>
      </c>
      <c r="B3249" s="1" t="s">
        <v>3272</v>
      </c>
      <c r="C3249" s="1" t="s">
        <v>24</v>
      </c>
      <c r="D3249" s="1" t="str">
        <f t="shared" si="6514"/>
        <v>2021</v>
      </c>
      <c r="E3249" s="1" t="str">
        <f t="shared" si="6611"/>
        <v>24.18</v>
      </c>
      <c r="F3249" s="1" t="str">
        <f t="shared" ref="F3249:I3249" si="6619">"0"</f>
        <v>0</v>
      </c>
      <c r="G3249" s="1" t="str">
        <f t="shared" si="6619"/>
        <v>0</v>
      </c>
      <c r="H3249" s="1" t="str">
        <f t="shared" si="6619"/>
        <v>0</v>
      </c>
      <c r="I3249" s="1" t="str">
        <f t="shared" si="6619"/>
        <v>0</v>
      </c>
      <c r="J3249" s="1" t="str">
        <f t="shared" si="6613"/>
        <v>2</v>
      </c>
      <c r="K3249" s="1" t="str">
        <f t="shared" ref="K3249:P3249" si="6620">"0"</f>
        <v>0</v>
      </c>
      <c r="L3249" s="1" t="str">
        <f t="shared" si="6620"/>
        <v>0</v>
      </c>
      <c r="M3249" s="1" t="str">
        <f t="shared" si="6620"/>
        <v>0</v>
      </c>
      <c r="N3249" s="1" t="str">
        <f t="shared" si="6620"/>
        <v>0</v>
      </c>
      <c r="O3249" s="1" t="str">
        <f t="shared" si="6620"/>
        <v>0</v>
      </c>
      <c r="P3249" s="1" t="str">
        <f t="shared" si="6620"/>
        <v>0</v>
      </c>
      <c r="Q3249" s="1" t="str">
        <f t="shared" si="6516"/>
        <v>0.0070</v>
      </c>
      <c r="R3249" s="1" t="s">
        <v>29</v>
      </c>
      <c r="S3249" s="1">
        <v>-0.0014</v>
      </c>
      <c r="T3249" s="1" t="str">
        <f t="shared" si="6517"/>
        <v>0</v>
      </c>
      <c r="U3249" s="1" t="str">
        <f t="shared" si="6606"/>
        <v>0.0056</v>
      </c>
    </row>
    <row r="3250" s="1" customFormat="1" spans="1:21">
      <c r="A3250" s="1" t="str">
        <f>"4601992061909"</f>
        <v>4601992061909</v>
      </c>
      <c r="B3250" s="1" t="s">
        <v>3273</v>
      </c>
      <c r="C3250" s="1" t="s">
        <v>24</v>
      </c>
      <c r="D3250" s="1" t="str">
        <f t="shared" si="6514"/>
        <v>2021</v>
      </c>
      <c r="E3250" s="1" t="str">
        <f t="shared" ref="E3250:P3250" si="6621">"0"</f>
        <v>0</v>
      </c>
      <c r="F3250" s="1" t="str">
        <f t="shared" si="6621"/>
        <v>0</v>
      </c>
      <c r="G3250" s="1" t="str">
        <f t="shared" si="6621"/>
        <v>0</v>
      </c>
      <c r="H3250" s="1" t="str">
        <f t="shared" si="6621"/>
        <v>0</v>
      </c>
      <c r="I3250" s="1" t="str">
        <f t="shared" si="6621"/>
        <v>0</v>
      </c>
      <c r="J3250" s="1" t="str">
        <f t="shared" si="6621"/>
        <v>0</v>
      </c>
      <c r="K3250" s="1" t="str">
        <f t="shared" si="6621"/>
        <v>0</v>
      </c>
      <c r="L3250" s="1" t="str">
        <f t="shared" si="6621"/>
        <v>0</v>
      </c>
      <c r="M3250" s="1" t="str">
        <f t="shared" si="6621"/>
        <v>0</v>
      </c>
      <c r="N3250" s="1" t="str">
        <f t="shared" si="6621"/>
        <v>0</v>
      </c>
      <c r="O3250" s="1" t="str">
        <f t="shared" si="6621"/>
        <v>0</v>
      </c>
      <c r="P3250" s="1" t="str">
        <f t="shared" si="6621"/>
        <v>0</v>
      </c>
      <c r="Q3250" s="1" t="str">
        <f t="shared" si="6516"/>
        <v>0.0070</v>
      </c>
      <c r="R3250" s="1" t="s">
        <v>25</v>
      </c>
      <c r="T3250" s="1" t="str">
        <f t="shared" si="6517"/>
        <v>0</v>
      </c>
      <c r="U3250" s="1" t="str">
        <f>"0.0070"</f>
        <v>0.0070</v>
      </c>
    </row>
    <row r="3251" s="1" customFormat="1" spans="1:21">
      <c r="A3251" s="1" t="str">
        <f>"4601992061971"</f>
        <v>4601992061971</v>
      </c>
      <c r="B3251" s="1" t="s">
        <v>3274</v>
      </c>
      <c r="C3251" s="1" t="s">
        <v>24</v>
      </c>
      <c r="D3251" s="1" t="str">
        <f t="shared" si="6514"/>
        <v>2021</v>
      </c>
      <c r="E3251" s="1" t="str">
        <f t="shared" ref="E3251:P3251" si="6622">"0"</f>
        <v>0</v>
      </c>
      <c r="F3251" s="1" t="str">
        <f t="shared" si="6622"/>
        <v>0</v>
      </c>
      <c r="G3251" s="1" t="str">
        <f t="shared" si="6622"/>
        <v>0</v>
      </c>
      <c r="H3251" s="1" t="str">
        <f t="shared" si="6622"/>
        <v>0</v>
      </c>
      <c r="I3251" s="1" t="str">
        <f t="shared" si="6622"/>
        <v>0</v>
      </c>
      <c r="J3251" s="1" t="str">
        <f t="shared" si="6622"/>
        <v>0</v>
      </c>
      <c r="K3251" s="1" t="str">
        <f t="shared" si="6622"/>
        <v>0</v>
      </c>
      <c r="L3251" s="1" t="str">
        <f t="shared" si="6622"/>
        <v>0</v>
      </c>
      <c r="M3251" s="1" t="str">
        <f t="shared" si="6622"/>
        <v>0</v>
      </c>
      <c r="N3251" s="1" t="str">
        <f t="shared" si="6622"/>
        <v>0</v>
      </c>
      <c r="O3251" s="1" t="str">
        <f t="shared" si="6622"/>
        <v>0</v>
      </c>
      <c r="P3251" s="1" t="str">
        <f t="shared" si="6622"/>
        <v>0</v>
      </c>
      <c r="Q3251" s="1" t="str">
        <f t="shared" si="6516"/>
        <v>0.0070</v>
      </c>
      <c r="R3251" s="1" t="s">
        <v>25</v>
      </c>
      <c r="T3251" s="1" t="str">
        <f t="shared" si="6517"/>
        <v>0</v>
      </c>
      <c r="U3251" s="1" t="str">
        <f>"0.0070"</f>
        <v>0.0070</v>
      </c>
    </row>
    <row r="3252" s="1" customFormat="1" spans="1:21">
      <c r="A3252" s="1" t="str">
        <f>"4601992061907"</f>
        <v>4601992061907</v>
      </c>
      <c r="B3252" s="1" t="s">
        <v>3275</v>
      </c>
      <c r="C3252" s="1" t="s">
        <v>24</v>
      </c>
      <c r="D3252" s="1" t="str">
        <f t="shared" si="6514"/>
        <v>2021</v>
      </c>
      <c r="E3252" s="1" t="str">
        <f>"24.07"</f>
        <v>24.07</v>
      </c>
      <c r="F3252" s="1" t="str">
        <f t="shared" ref="F3252:I3252" si="6623">"0"</f>
        <v>0</v>
      </c>
      <c r="G3252" s="1" t="str">
        <f t="shared" si="6623"/>
        <v>0</v>
      </c>
      <c r="H3252" s="1" t="str">
        <f t="shared" si="6623"/>
        <v>0</v>
      </c>
      <c r="I3252" s="1" t="str">
        <f t="shared" si="6623"/>
        <v>0</v>
      </c>
      <c r="J3252" s="1" t="str">
        <f>"2"</f>
        <v>2</v>
      </c>
      <c r="K3252" s="1" t="str">
        <f t="shared" ref="K3252:P3252" si="6624">"0"</f>
        <v>0</v>
      </c>
      <c r="L3252" s="1" t="str">
        <f t="shared" si="6624"/>
        <v>0</v>
      </c>
      <c r="M3252" s="1" t="str">
        <f t="shared" si="6624"/>
        <v>0</v>
      </c>
      <c r="N3252" s="1" t="str">
        <f t="shared" si="6624"/>
        <v>0</v>
      </c>
      <c r="O3252" s="1" t="str">
        <f t="shared" si="6624"/>
        <v>0</v>
      </c>
      <c r="P3252" s="1" t="str">
        <f t="shared" si="6624"/>
        <v>0</v>
      </c>
      <c r="Q3252" s="1" t="str">
        <f t="shared" si="6516"/>
        <v>0.0070</v>
      </c>
      <c r="R3252" s="1" t="s">
        <v>29</v>
      </c>
      <c r="S3252" s="1">
        <v>-0.0014</v>
      </c>
      <c r="T3252" s="1" t="str">
        <f t="shared" si="6517"/>
        <v>0</v>
      </c>
      <c r="U3252" s="1" t="str">
        <f t="shared" ref="U3252:U3256" si="6625">"0.0056"</f>
        <v>0.0056</v>
      </c>
    </row>
    <row r="3253" s="1" customFormat="1" spans="1:21">
      <c r="A3253" s="1" t="str">
        <f>"4601992062006"</f>
        <v>4601992062006</v>
      </c>
      <c r="B3253" s="1" t="s">
        <v>3276</v>
      </c>
      <c r="C3253" s="1" t="s">
        <v>24</v>
      </c>
      <c r="D3253" s="1" t="str">
        <f t="shared" si="6514"/>
        <v>2021</v>
      </c>
      <c r="E3253" s="1" t="str">
        <f>"71.75"</f>
        <v>71.75</v>
      </c>
      <c r="F3253" s="1" t="str">
        <f t="shared" ref="F3253:I3253" si="6626">"0"</f>
        <v>0</v>
      </c>
      <c r="G3253" s="1" t="str">
        <f t="shared" si="6626"/>
        <v>0</v>
      </c>
      <c r="H3253" s="1" t="str">
        <f t="shared" si="6626"/>
        <v>0</v>
      </c>
      <c r="I3253" s="1" t="str">
        <f t="shared" si="6626"/>
        <v>0</v>
      </c>
      <c r="J3253" s="1" t="str">
        <f>"5"</f>
        <v>5</v>
      </c>
      <c r="K3253" s="1" t="str">
        <f t="shared" ref="K3253:P3253" si="6627">"0"</f>
        <v>0</v>
      </c>
      <c r="L3253" s="1" t="str">
        <f t="shared" si="6627"/>
        <v>0</v>
      </c>
      <c r="M3253" s="1" t="str">
        <f t="shared" si="6627"/>
        <v>0</v>
      </c>
      <c r="N3253" s="1" t="str">
        <f t="shared" si="6627"/>
        <v>0</v>
      </c>
      <c r="O3253" s="1" t="str">
        <f t="shared" si="6627"/>
        <v>0</v>
      </c>
      <c r="P3253" s="1" t="str">
        <f t="shared" si="6627"/>
        <v>0</v>
      </c>
      <c r="Q3253" s="1" t="str">
        <f t="shared" si="6516"/>
        <v>0.0070</v>
      </c>
      <c r="R3253" s="1" t="s">
        <v>29</v>
      </c>
      <c r="S3253" s="1">
        <v>-0.0014</v>
      </c>
      <c r="T3253" s="1" t="str">
        <f t="shared" si="6517"/>
        <v>0</v>
      </c>
      <c r="U3253" s="1" t="str">
        <f t="shared" si="6625"/>
        <v>0.0056</v>
      </c>
    </row>
    <row r="3254" s="1" customFormat="1" spans="1:21">
      <c r="A3254" s="1" t="str">
        <f>"4601992062001"</f>
        <v>4601992062001</v>
      </c>
      <c r="B3254" s="1" t="s">
        <v>3277</v>
      </c>
      <c r="C3254" s="1" t="s">
        <v>24</v>
      </c>
      <c r="D3254" s="1" t="str">
        <f t="shared" si="6514"/>
        <v>2021</v>
      </c>
      <c r="E3254" s="1" t="str">
        <f>"24.50"</f>
        <v>24.50</v>
      </c>
      <c r="F3254" s="1" t="str">
        <f t="shared" ref="F3254:I3254" si="6628">"0"</f>
        <v>0</v>
      </c>
      <c r="G3254" s="1" t="str">
        <f t="shared" si="6628"/>
        <v>0</v>
      </c>
      <c r="H3254" s="1" t="str">
        <f t="shared" si="6628"/>
        <v>0</v>
      </c>
      <c r="I3254" s="1" t="str">
        <f t="shared" si="6628"/>
        <v>0</v>
      </c>
      <c r="J3254" s="1" t="str">
        <f>"3"</f>
        <v>3</v>
      </c>
      <c r="K3254" s="1" t="str">
        <f t="shared" ref="K3254:P3254" si="6629">"0"</f>
        <v>0</v>
      </c>
      <c r="L3254" s="1" t="str">
        <f t="shared" si="6629"/>
        <v>0</v>
      </c>
      <c r="M3254" s="1" t="str">
        <f t="shared" si="6629"/>
        <v>0</v>
      </c>
      <c r="N3254" s="1" t="str">
        <f t="shared" si="6629"/>
        <v>0</v>
      </c>
      <c r="O3254" s="1" t="str">
        <f t="shared" si="6629"/>
        <v>0</v>
      </c>
      <c r="P3254" s="1" t="str">
        <f t="shared" si="6629"/>
        <v>0</v>
      </c>
      <c r="Q3254" s="1" t="str">
        <f t="shared" si="6516"/>
        <v>0.0070</v>
      </c>
      <c r="R3254" s="1" t="s">
        <v>29</v>
      </c>
      <c r="S3254" s="1">
        <v>-0.0014</v>
      </c>
      <c r="T3254" s="1" t="str">
        <f t="shared" si="6517"/>
        <v>0</v>
      </c>
      <c r="U3254" s="1" t="str">
        <f t="shared" si="6625"/>
        <v>0.0056</v>
      </c>
    </row>
    <row r="3255" s="1" customFormat="1" spans="1:21">
      <c r="A3255" s="1" t="str">
        <f>"4601992062011"</f>
        <v>4601992062011</v>
      </c>
      <c r="B3255" s="1" t="s">
        <v>3278</v>
      </c>
      <c r="C3255" s="1" t="s">
        <v>24</v>
      </c>
      <c r="D3255" s="1" t="str">
        <f t="shared" si="6514"/>
        <v>2021</v>
      </c>
      <c r="E3255" s="1" t="str">
        <f>"36.27"</f>
        <v>36.27</v>
      </c>
      <c r="F3255" s="1" t="str">
        <f t="shared" ref="F3255:I3255" si="6630">"0"</f>
        <v>0</v>
      </c>
      <c r="G3255" s="1" t="str">
        <f t="shared" si="6630"/>
        <v>0</v>
      </c>
      <c r="H3255" s="1" t="str">
        <f t="shared" si="6630"/>
        <v>0</v>
      </c>
      <c r="I3255" s="1" t="str">
        <f t="shared" si="6630"/>
        <v>0</v>
      </c>
      <c r="J3255" s="1" t="str">
        <f>"4"</f>
        <v>4</v>
      </c>
      <c r="K3255" s="1" t="str">
        <f t="shared" ref="K3255:P3255" si="6631">"0"</f>
        <v>0</v>
      </c>
      <c r="L3255" s="1" t="str">
        <f t="shared" si="6631"/>
        <v>0</v>
      </c>
      <c r="M3255" s="1" t="str">
        <f t="shared" si="6631"/>
        <v>0</v>
      </c>
      <c r="N3255" s="1" t="str">
        <f t="shared" si="6631"/>
        <v>0</v>
      </c>
      <c r="O3255" s="1" t="str">
        <f t="shared" si="6631"/>
        <v>0</v>
      </c>
      <c r="P3255" s="1" t="str">
        <f t="shared" si="6631"/>
        <v>0</v>
      </c>
      <c r="Q3255" s="1" t="str">
        <f t="shared" si="6516"/>
        <v>0.0070</v>
      </c>
      <c r="R3255" s="1" t="s">
        <v>29</v>
      </c>
      <c r="S3255" s="1">
        <v>-0.0014</v>
      </c>
      <c r="T3255" s="1" t="str">
        <f t="shared" si="6517"/>
        <v>0</v>
      </c>
      <c r="U3255" s="1" t="str">
        <f t="shared" si="6625"/>
        <v>0.0056</v>
      </c>
    </row>
    <row r="3256" s="1" customFormat="1" spans="1:21">
      <c r="A3256" s="1" t="str">
        <f>"4601992062016"</f>
        <v>4601992062016</v>
      </c>
      <c r="B3256" s="1" t="s">
        <v>3279</v>
      </c>
      <c r="C3256" s="1" t="s">
        <v>24</v>
      </c>
      <c r="D3256" s="1" t="str">
        <f t="shared" si="6514"/>
        <v>2021</v>
      </c>
      <c r="E3256" s="1" t="str">
        <f>"12.09"</f>
        <v>12.09</v>
      </c>
      <c r="F3256" s="1" t="str">
        <f t="shared" ref="F3256:I3256" si="6632">"0"</f>
        <v>0</v>
      </c>
      <c r="G3256" s="1" t="str">
        <f t="shared" si="6632"/>
        <v>0</v>
      </c>
      <c r="H3256" s="1" t="str">
        <f t="shared" si="6632"/>
        <v>0</v>
      </c>
      <c r="I3256" s="1" t="str">
        <f t="shared" si="6632"/>
        <v>0</v>
      </c>
      <c r="J3256" s="1" t="str">
        <f t="shared" ref="J3256:J3259" si="6633">"1"</f>
        <v>1</v>
      </c>
      <c r="K3256" s="1" t="str">
        <f t="shared" ref="K3256:P3256" si="6634">"0"</f>
        <v>0</v>
      </c>
      <c r="L3256" s="1" t="str">
        <f t="shared" si="6634"/>
        <v>0</v>
      </c>
      <c r="M3256" s="1" t="str">
        <f t="shared" si="6634"/>
        <v>0</v>
      </c>
      <c r="N3256" s="1" t="str">
        <f t="shared" si="6634"/>
        <v>0</v>
      </c>
      <c r="O3256" s="1" t="str">
        <f t="shared" si="6634"/>
        <v>0</v>
      </c>
      <c r="P3256" s="1" t="str">
        <f t="shared" si="6634"/>
        <v>0</v>
      </c>
      <c r="Q3256" s="1" t="str">
        <f t="shared" si="6516"/>
        <v>0.0070</v>
      </c>
      <c r="R3256" s="1" t="s">
        <v>29</v>
      </c>
      <c r="S3256" s="1">
        <v>-0.0014</v>
      </c>
      <c r="T3256" s="1" t="str">
        <f t="shared" si="6517"/>
        <v>0</v>
      </c>
      <c r="U3256" s="1" t="str">
        <f t="shared" si="6625"/>
        <v>0.0056</v>
      </c>
    </row>
    <row r="3257" s="1" customFormat="1" spans="1:21">
      <c r="A3257" s="1" t="str">
        <f>"4601992062035"</f>
        <v>4601992062035</v>
      </c>
      <c r="B3257" s="1" t="s">
        <v>3280</v>
      </c>
      <c r="C3257" s="1" t="s">
        <v>24</v>
      </c>
      <c r="D3257" s="1" t="str">
        <f t="shared" si="6514"/>
        <v>2021</v>
      </c>
      <c r="E3257" s="1" t="str">
        <f t="shared" ref="E3257:G3257" si="6635">"0"</f>
        <v>0</v>
      </c>
      <c r="F3257" s="1" t="str">
        <f t="shared" si="6635"/>
        <v>0</v>
      </c>
      <c r="G3257" s="1" t="str">
        <f t="shared" si="6635"/>
        <v>0</v>
      </c>
      <c r="H3257" s="1" t="str">
        <f>"49.00"</f>
        <v>49.00</v>
      </c>
      <c r="I3257" s="1" t="str">
        <f t="shared" ref="I3257:P3257" si="6636">"0"</f>
        <v>0</v>
      </c>
      <c r="J3257" s="1" t="str">
        <f t="shared" si="6636"/>
        <v>0</v>
      </c>
      <c r="K3257" s="1" t="str">
        <f t="shared" si="6636"/>
        <v>0</v>
      </c>
      <c r="L3257" s="1" t="str">
        <f t="shared" si="6636"/>
        <v>0</v>
      </c>
      <c r="M3257" s="1" t="str">
        <f t="shared" si="6636"/>
        <v>0</v>
      </c>
      <c r="N3257" s="1" t="str">
        <f t="shared" si="6636"/>
        <v>0</v>
      </c>
      <c r="O3257" s="1" t="str">
        <f t="shared" si="6636"/>
        <v>0</v>
      </c>
      <c r="P3257" s="1" t="str">
        <f t="shared" si="6636"/>
        <v>0</v>
      </c>
      <c r="Q3257" s="1" t="str">
        <f t="shared" si="6516"/>
        <v>0.0070</v>
      </c>
      <c r="R3257" s="1" t="s">
        <v>25</v>
      </c>
      <c r="T3257" s="1" t="str">
        <f t="shared" si="6517"/>
        <v>0</v>
      </c>
      <c r="U3257" s="1" t="str">
        <f t="shared" ref="U3257:U3262" si="6637">"0.0070"</f>
        <v>0.0070</v>
      </c>
    </row>
    <row r="3258" s="1" customFormat="1" spans="1:21">
      <c r="A3258" s="1" t="str">
        <f>"4601992062024"</f>
        <v>4601992062024</v>
      </c>
      <c r="B3258" s="1" t="s">
        <v>3281</v>
      </c>
      <c r="C3258" s="1" t="s">
        <v>24</v>
      </c>
      <c r="D3258" s="1" t="str">
        <f t="shared" si="6514"/>
        <v>2021</v>
      </c>
      <c r="E3258" s="1" t="str">
        <f>"11.98"</f>
        <v>11.98</v>
      </c>
      <c r="F3258" s="1" t="str">
        <f t="shared" ref="F3258:I3258" si="6638">"0"</f>
        <v>0</v>
      </c>
      <c r="G3258" s="1" t="str">
        <f t="shared" si="6638"/>
        <v>0</v>
      </c>
      <c r="H3258" s="1" t="str">
        <f t="shared" si="6638"/>
        <v>0</v>
      </c>
      <c r="I3258" s="1" t="str">
        <f t="shared" si="6638"/>
        <v>0</v>
      </c>
      <c r="J3258" s="1" t="str">
        <f t="shared" si="6633"/>
        <v>1</v>
      </c>
      <c r="K3258" s="1" t="str">
        <f t="shared" ref="K3258:P3258" si="6639">"0"</f>
        <v>0</v>
      </c>
      <c r="L3258" s="1" t="str">
        <f t="shared" si="6639"/>
        <v>0</v>
      </c>
      <c r="M3258" s="1" t="str">
        <f t="shared" si="6639"/>
        <v>0</v>
      </c>
      <c r="N3258" s="1" t="str">
        <f t="shared" si="6639"/>
        <v>0</v>
      </c>
      <c r="O3258" s="1" t="str">
        <f t="shared" si="6639"/>
        <v>0</v>
      </c>
      <c r="P3258" s="1" t="str">
        <f t="shared" si="6639"/>
        <v>0</v>
      </c>
      <c r="Q3258" s="1" t="str">
        <f t="shared" si="6516"/>
        <v>0.0070</v>
      </c>
      <c r="R3258" s="1" t="s">
        <v>29</v>
      </c>
      <c r="S3258" s="1">
        <v>-0.0014</v>
      </c>
      <c r="T3258" s="1" t="str">
        <f t="shared" si="6517"/>
        <v>0</v>
      </c>
      <c r="U3258" s="1" t="str">
        <f>"0.0056"</f>
        <v>0.0056</v>
      </c>
    </row>
    <row r="3259" s="1" customFormat="1" spans="1:21">
      <c r="A3259" s="1" t="str">
        <f>"4601992062029"</f>
        <v>4601992062029</v>
      </c>
      <c r="B3259" s="1" t="s">
        <v>3282</v>
      </c>
      <c r="C3259" s="1" t="s">
        <v>24</v>
      </c>
      <c r="D3259" s="1" t="str">
        <f t="shared" si="6514"/>
        <v>2021</v>
      </c>
      <c r="E3259" s="1" t="str">
        <f>"12.09"</f>
        <v>12.09</v>
      </c>
      <c r="F3259" s="1" t="str">
        <f t="shared" ref="F3259:I3259" si="6640">"0"</f>
        <v>0</v>
      </c>
      <c r="G3259" s="1" t="str">
        <f t="shared" si="6640"/>
        <v>0</v>
      </c>
      <c r="H3259" s="1" t="str">
        <f t="shared" si="6640"/>
        <v>0</v>
      </c>
      <c r="I3259" s="1" t="str">
        <f t="shared" si="6640"/>
        <v>0</v>
      </c>
      <c r="J3259" s="1" t="str">
        <f t="shared" si="6633"/>
        <v>1</v>
      </c>
      <c r="K3259" s="1" t="str">
        <f t="shared" ref="K3259:P3259" si="6641">"0"</f>
        <v>0</v>
      </c>
      <c r="L3259" s="1" t="str">
        <f t="shared" si="6641"/>
        <v>0</v>
      </c>
      <c r="M3259" s="1" t="str">
        <f t="shared" si="6641"/>
        <v>0</v>
      </c>
      <c r="N3259" s="1" t="str">
        <f t="shared" si="6641"/>
        <v>0</v>
      </c>
      <c r="O3259" s="1" t="str">
        <f t="shared" si="6641"/>
        <v>0</v>
      </c>
      <c r="P3259" s="1" t="str">
        <f t="shared" si="6641"/>
        <v>0</v>
      </c>
      <c r="Q3259" s="1" t="str">
        <f t="shared" si="6516"/>
        <v>0.0070</v>
      </c>
      <c r="R3259" s="1" t="s">
        <v>25</v>
      </c>
      <c r="T3259" s="1" t="str">
        <f t="shared" si="6517"/>
        <v>0</v>
      </c>
      <c r="U3259" s="1" t="str">
        <f t="shared" si="6637"/>
        <v>0.0070</v>
      </c>
    </row>
    <row r="3260" s="1" customFormat="1" spans="1:21">
      <c r="A3260" s="1" t="str">
        <f>"4601992062045"</f>
        <v>4601992062045</v>
      </c>
      <c r="B3260" s="1" t="s">
        <v>3283</v>
      </c>
      <c r="C3260" s="1" t="s">
        <v>24</v>
      </c>
      <c r="D3260" s="1" t="str">
        <f t="shared" si="6514"/>
        <v>2021</v>
      </c>
      <c r="E3260" s="1" t="str">
        <f>"23.96"</f>
        <v>23.96</v>
      </c>
      <c r="F3260" s="1" t="str">
        <f t="shared" ref="F3260:I3260" si="6642">"0"</f>
        <v>0</v>
      </c>
      <c r="G3260" s="1" t="str">
        <f t="shared" si="6642"/>
        <v>0</v>
      </c>
      <c r="H3260" s="1" t="str">
        <f t="shared" si="6642"/>
        <v>0</v>
      </c>
      <c r="I3260" s="1" t="str">
        <f t="shared" si="6642"/>
        <v>0</v>
      </c>
      <c r="J3260" s="1" t="str">
        <f>"2"</f>
        <v>2</v>
      </c>
      <c r="K3260" s="1" t="str">
        <f t="shared" ref="K3260:P3260" si="6643">"0"</f>
        <v>0</v>
      </c>
      <c r="L3260" s="1" t="str">
        <f t="shared" si="6643"/>
        <v>0</v>
      </c>
      <c r="M3260" s="1" t="str">
        <f t="shared" si="6643"/>
        <v>0</v>
      </c>
      <c r="N3260" s="1" t="str">
        <f t="shared" si="6643"/>
        <v>0</v>
      </c>
      <c r="O3260" s="1" t="str">
        <f t="shared" si="6643"/>
        <v>0</v>
      </c>
      <c r="P3260" s="1" t="str">
        <f t="shared" si="6643"/>
        <v>0</v>
      </c>
      <c r="Q3260" s="1" t="str">
        <f t="shared" si="6516"/>
        <v>0.0070</v>
      </c>
      <c r="R3260" s="1" t="s">
        <v>25</v>
      </c>
      <c r="T3260" s="1" t="str">
        <f t="shared" si="6517"/>
        <v>0</v>
      </c>
      <c r="U3260" s="1" t="str">
        <f t="shared" si="6637"/>
        <v>0.0070</v>
      </c>
    </row>
    <row r="3261" s="1" customFormat="1" spans="1:21">
      <c r="A3261" s="1" t="str">
        <f>"4601992062080"</f>
        <v>4601992062080</v>
      </c>
      <c r="B3261" s="1" t="s">
        <v>3284</v>
      </c>
      <c r="C3261" s="1" t="s">
        <v>24</v>
      </c>
      <c r="D3261" s="1" t="str">
        <f t="shared" si="6514"/>
        <v>2021</v>
      </c>
      <c r="E3261" s="1" t="str">
        <f t="shared" ref="E3261:G3261" si="6644">"0"</f>
        <v>0</v>
      </c>
      <c r="F3261" s="1" t="str">
        <f t="shared" si="6644"/>
        <v>0</v>
      </c>
      <c r="G3261" s="1" t="str">
        <f t="shared" si="6644"/>
        <v>0</v>
      </c>
      <c r="H3261" s="1" t="str">
        <f>"12.09"</f>
        <v>12.09</v>
      </c>
      <c r="I3261" s="1" t="str">
        <f t="shared" ref="I3261:P3261" si="6645">"0"</f>
        <v>0</v>
      </c>
      <c r="J3261" s="1" t="str">
        <f t="shared" si="6645"/>
        <v>0</v>
      </c>
      <c r="K3261" s="1" t="str">
        <f t="shared" si="6645"/>
        <v>0</v>
      </c>
      <c r="L3261" s="1" t="str">
        <f t="shared" si="6645"/>
        <v>0</v>
      </c>
      <c r="M3261" s="1" t="str">
        <f t="shared" si="6645"/>
        <v>0</v>
      </c>
      <c r="N3261" s="1" t="str">
        <f t="shared" si="6645"/>
        <v>0</v>
      </c>
      <c r="O3261" s="1" t="str">
        <f t="shared" si="6645"/>
        <v>0</v>
      </c>
      <c r="P3261" s="1" t="str">
        <f t="shared" si="6645"/>
        <v>0</v>
      </c>
      <c r="Q3261" s="1" t="str">
        <f t="shared" si="6516"/>
        <v>0.0070</v>
      </c>
      <c r="R3261" s="1" t="s">
        <v>25</v>
      </c>
      <c r="T3261" s="1" t="str">
        <f t="shared" si="6517"/>
        <v>0</v>
      </c>
      <c r="U3261" s="1" t="str">
        <f t="shared" si="6637"/>
        <v>0.0070</v>
      </c>
    </row>
    <row r="3262" s="1" customFormat="1" spans="1:21">
      <c r="A3262" s="1" t="str">
        <f>"4601992062081"</f>
        <v>4601992062081</v>
      </c>
      <c r="B3262" s="1" t="s">
        <v>3285</v>
      </c>
      <c r="C3262" s="1" t="s">
        <v>24</v>
      </c>
      <c r="D3262" s="1" t="str">
        <f t="shared" si="6514"/>
        <v>2021</v>
      </c>
      <c r="E3262" s="1" t="str">
        <f t="shared" ref="E3262:P3262" si="6646">"0"</f>
        <v>0</v>
      </c>
      <c r="F3262" s="1" t="str">
        <f t="shared" si="6646"/>
        <v>0</v>
      </c>
      <c r="G3262" s="1" t="str">
        <f t="shared" si="6646"/>
        <v>0</v>
      </c>
      <c r="H3262" s="1" t="str">
        <f t="shared" si="6646"/>
        <v>0</v>
      </c>
      <c r="I3262" s="1" t="str">
        <f t="shared" si="6646"/>
        <v>0</v>
      </c>
      <c r="J3262" s="1" t="str">
        <f t="shared" si="6646"/>
        <v>0</v>
      </c>
      <c r="K3262" s="1" t="str">
        <f t="shared" si="6646"/>
        <v>0</v>
      </c>
      <c r="L3262" s="1" t="str">
        <f t="shared" si="6646"/>
        <v>0</v>
      </c>
      <c r="M3262" s="1" t="str">
        <f t="shared" si="6646"/>
        <v>0</v>
      </c>
      <c r="N3262" s="1" t="str">
        <f t="shared" si="6646"/>
        <v>0</v>
      </c>
      <c r="O3262" s="1" t="str">
        <f t="shared" si="6646"/>
        <v>0</v>
      </c>
      <c r="P3262" s="1" t="str">
        <f t="shared" si="6646"/>
        <v>0</v>
      </c>
      <c r="Q3262" s="1" t="str">
        <f t="shared" si="6516"/>
        <v>0.0070</v>
      </c>
      <c r="R3262" s="1" t="s">
        <v>25</v>
      </c>
      <c r="T3262" s="1" t="str">
        <f t="shared" si="6517"/>
        <v>0</v>
      </c>
      <c r="U3262" s="1" t="str">
        <f t="shared" si="6637"/>
        <v>0.0070</v>
      </c>
    </row>
    <row r="3263" s="1" customFormat="1" spans="1:21">
      <c r="A3263" s="1" t="str">
        <f>"4601992062053"</f>
        <v>4601992062053</v>
      </c>
      <c r="B3263" s="1" t="s">
        <v>3286</v>
      </c>
      <c r="C3263" s="1" t="s">
        <v>24</v>
      </c>
      <c r="D3263" s="1" t="str">
        <f t="shared" si="6514"/>
        <v>2021</v>
      </c>
      <c r="E3263" s="1" t="str">
        <f>"24.18"</f>
        <v>24.18</v>
      </c>
      <c r="F3263" s="1" t="str">
        <f t="shared" ref="F3263:I3263" si="6647">"0"</f>
        <v>0</v>
      </c>
      <c r="G3263" s="1" t="str">
        <f t="shared" si="6647"/>
        <v>0</v>
      </c>
      <c r="H3263" s="1" t="str">
        <f t="shared" si="6647"/>
        <v>0</v>
      </c>
      <c r="I3263" s="1" t="str">
        <f t="shared" si="6647"/>
        <v>0</v>
      </c>
      <c r="J3263" s="1" t="str">
        <f>"2"</f>
        <v>2</v>
      </c>
      <c r="K3263" s="1" t="str">
        <f t="shared" ref="K3263:P3263" si="6648">"0"</f>
        <v>0</v>
      </c>
      <c r="L3263" s="1" t="str">
        <f t="shared" si="6648"/>
        <v>0</v>
      </c>
      <c r="M3263" s="1" t="str">
        <f t="shared" si="6648"/>
        <v>0</v>
      </c>
      <c r="N3263" s="1" t="str">
        <f t="shared" si="6648"/>
        <v>0</v>
      </c>
      <c r="O3263" s="1" t="str">
        <f t="shared" si="6648"/>
        <v>0</v>
      </c>
      <c r="P3263" s="1" t="str">
        <f t="shared" si="6648"/>
        <v>0</v>
      </c>
      <c r="Q3263" s="1" t="str">
        <f t="shared" si="6516"/>
        <v>0.0070</v>
      </c>
      <c r="R3263" s="1" t="s">
        <v>29</v>
      </c>
      <c r="S3263" s="1">
        <v>-0.0014</v>
      </c>
      <c r="T3263" s="1" t="str">
        <f t="shared" si="6517"/>
        <v>0</v>
      </c>
      <c r="U3263" s="1" t="str">
        <f t="shared" ref="U3263:U3267" si="6649">"0.0056"</f>
        <v>0.0056</v>
      </c>
    </row>
    <row r="3264" s="1" customFormat="1" spans="1:21">
      <c r="A3264" s="1" t="str">
        <f>"4601992062114"</f>
        <v>4601992062114</v>
      </c>
      <c r="B3264" s="1" t="s">
        <v>3287</v>
      </c>
      <c r="C3264" s="1" t="s">
        <v>24</v>
      </c>
      <c r="D3264" s="1" t="str">
        <f t="shared" si="6514"/>
        <v>2021</v>
      </c>
      <c r="E3264" s="1" t="str">
        <f>"155.74"</f>
        <v>155.74</v>
      </c>
      <c r="F3264" s="1" t="str">
        <f t="shared" ref="F3264:I3264" si="6650">"0"</f>
        <v>0</v>
      </c>
      <c r="G3264" s="1" t="str">
        <f t="shared" si="6650"/>
        <v>0</v>
      </c>
      <c r="H3264" s="1" t="str">
        <f t="shared" si="6650"/>
        <v>0</v>
      </c>
      <c r="I3264" s="1" t="str">
        <f t="shared" si="6650"/>
        <v>0</v>
      </c>
      <c r="J3264" s="1" t="str">
        <f>"17"</f>
        <v>17</v>
      </c>
      <c r="K3264" s="1" t="str">
        <f t="shared" ref="K3264:P3264" si="6651">"0"</f>
        <v>0</v>
      </c>
      <c r="L3264" s="1" t="str">
        <f t="shared" si="6651"/>
        <v>0</v>
      </c>
      <c r="M3264" s="1" t="str">
        <f t="shared" si="6651"/>
        <v>0</v>
      </c>
      <c r="N3264" s="1" t="str">
        <f t="shared" si="6651"/>
        <v>0</v>
      </c>
      <c r="O3264" s="1" t="str">
        <f t="shared" si="6651"/>
        <v>0</v>
      </c>
      <c r="P3264" s="1" t="str">
        <f t="shared" si="6651"/>
        <v>0</v>
      </c>
      <c r="Q3264" s="1" t="str">
        <f t="shared" si="6516"/>
        <v>0.0070</v>
      </c>
      <c r="R3264" s="1" t="s">
        <v>29</v>
      </c>
      <c r="S3264" s="1">
        <v>-0.0014</v>
      </c>
      <c r="T3264" s="1" t="str">
        <f t="shared" si="6517"/>
        <v>0</v>
      </c>
      <c r="U3264" s="1" t="str">
        <f t="shared" si="6649"/>
        <v>0.0056</v>
      </c>
    </row>
    <row r="3265" s="1" customFormat="1" spans="1:21">
      <c r="A3265" s="1" t="str">
        <f>"4601992062155"</f>
        <v>4601992062155</v>
      </c>
      <c r="B3265" s="1" t="s">
        <v>3288</v>
      </c>
      <c r="C3265" s="1" t="s">
        <v>24</v>
      </c>
      <c r="D3265" s="1" t="str">
        <f t="shared" si="6514"/>
        <v>2021</v>
      </c>
      <c r="E3265" s="1" t="str">
        <f>"11.98"</f>
        <v>11.98</v>
      </c>
      <c r="F3265" s="1" t="str">
        <f t="shared" ref="F3265:I3265" si="6652">"0"</f>
        <v>0</v>
      </c>
      <c r="G3265" s="1" t="str">
        <f t="shared" si="6652"/>
        <v>0</v>
      </c>
      <c r="H3265" s="1" t="str">
        <f t="shared" si="6652"/>
        <v>0</v>
      </c>
      <c r="I3265" s="1" t="str">
        <f t="shared" si="6652"/>
        <v>0</v>
      </c>
      <c r="J3265" s="1" t="str">
        <f>"1"</f>
        <v>1</v>
      </c>
      <c r="K3265" s="1" t="str">
        <f t="shared" ref="K3265:P3265" si="6653">"0"</f>
        <v>0</v>
      </c>
      <c r="L3265" s="1" t="str">
        <f t="shared" si="6653"/>
        <v>0</v>
      </c>
      <c r="M3265" s="1" t="str">
        <f t="shared" si="6653"/>
        <v>0</v>
      </c>
      <c r="N3265" s="1" t="str">
        <f t="shared" si="6653"/>
        <v>0</v>
      </c>
      <c r="O3265" s="1" t="str">
        <f t="shared" si="6653"/>
        <v>0</v>
      </c>
      <c r="P3265" s="1" t="str">
        <f t="shared" si="6653"/>
        <v>0</v>
      </c>
      <c r="Q3265" s="1" t="str">
        <f t="shared" si="6516"/>
        <v>0.0070</v>
      </c>
      <c r="R3265" s="1" t="s">
        <v>29</v>
      </c>
      <c r="S3265" s="1">
        <v>-0.0014</v>
      </c>
      <c r="T3265" s="1" t="str">
        <f t="shared" si="6517"/>
        <v>0</v>
      </c>
      <c r="U3265" s="1" t="str">
        <f t="shared" si="6649"/>
        <v>0.0056</v>
      </c>
    </row>
    <row r="3266" s="1" customFormat="1" spans="1:21">
      <c r="A3266" s="1" t="str">
        <f>"4601992062137"</f>
        <v>4601992062137</v>
      </c>
      <c r="B3266" s="1" t="s">
        <v>3289</v>
      </c>
      <c r="C3266" s="1" t="s">
        <v>24</v>
      </c>
      <c r="D3266" s="1" t="str">
        <f t="shared" si="6514"/>
        <v>2021</v>
      </c>
      <c r="E3266" s="1" t="str">
        <f>"96.72"</f>
        <v>96.72</v>
      </c>
      <c r="F3266" s="1" t="str">
        <f t="shared" ref="F3266:I3266" si="6654">"0"</f>
        <v>0</v>
      </c>
      <c r="G3266" s="1" t="str">
        <f t="shared" si="6654"/>
        <v>0</v>
      </c>
      <c r="H3266" s="1" t="str">
        <f t="shared" si="6654"/>
        <v>0</v>
      </c>
      <c r="I3266" s="1" t="str">
        <f t="shared" si="6654"/>
        <v>0</v>
      </c>
      <c r="J3266" s="1" t="str">
        <f>"8"</f>
        <v>8</v>
      </c>
      <c r="K3266" s="1" t="str">
        <f t="shared" ref="K3266:P3266" si="6655">"0"</f>
        <v>0</v>
      </c>
      <c r="L3266" s="1" t="str">
        <f t="shared" si="6655"/>
        <v>0</v>
      </c>
      <c r="M3266" s="1" t="str">
        <f t="shared" si="6655"/>
        <v>0</v>
      </c>
      <c r="N3266" s="1" t="str">
        <f t="shared" si="6655"/>
        <v>0</v>
      </c>
      <c r="O3266" s="1" t="str">
        <f t="shared" si="6655"/>
        <v>0</v>
      </c>
      <c r="P3266" s="1" t="str">
        <f t="shared" si="6655"/>
        <v>0</v>
      </c>
      <c r="Q3266" s="1" t="str">
        <f t="shared" si="6516"/>
        <v>0.0070</v>
      </c>
      <c r="R3266" s="1" t="s">
        <v>29</v>
      </c>
      <c r="S3266" s="1">
        <v>-0.0014</v>
      </c>
      <c r="T3266" s="1" t="str">
        <f t="shared" si="6517"/>
        <v>0</v>
      </c>
      <c r="U3266" s="1" t="str">
        <f t="shared" si="6649"/>
        <v>0.0056</v>
      </c>
    </row>
    <row r="3267" s="1" customFormat="1" spans="1:21">
      <c r="A3267" s="1" t="str">
        <f>"4601992062159"</f>
        <v>4601992062159</v>
      </c>
      <c r="B3267" s="1" t="s">
        <v>3290</v>
      </c>
      <c r="C3267" s="1" t="s">
        <v>24</v>
      </c>
      <c r="D3267" s="1" t="str">
        <f t="shared" ref="D3267:D3330" si="6656">"2021"</f>
        <v>2021</v>
      </c>
      <c r="E3267" s="1" t="str">
        <f>"108.81"</f>
        <v>108.81</v>
      </c>
      <c r="F3267" s="1" t="str">
        <f t="shared" ref="F3267:I3267" si="6657">"0"</f>
        <v>0</v>
      </c>
      <c r="G3267" s="1" t="str">
        <f t="shared" si="6657"/>
        <v>0</v>
      </c>
      <c r="H3267" s="1" t="str">
        <f t="shared" si="6657"/>
        <v>0</v>
      </c>
      <c r="I3267" s="1" t="str">
        <f t="shared" si="6657"/>
        <v>0</v>
      </c>
      <c r="J3267" s="1" t="str">
        <f>"8"</f>
        <v>8</v>
      </c>
      <c r="K3267" s="1" t="str">
        <f t="shared" ref="K3267:P3267" si="6658">"0"</f>
        <v>0</v>
      </c>
      <c r="L3267" s="1" t="str">
        <f t="shared" si="6658"/>
        <v>0</v>
      </c>
      <c r="M3267" s="1" t="str">
        <f t="shared" si="6658"/>
        <v>0</v>
      </c>
      <c r="N3267" s="1" t="str">
        <f t="shared" si="6658"/>
        <v>0</v>
      </c>
      <c r="O3267" s="1" t="str">
        <f t="shared" si="6658"/>
        <v>0</v>
      </c>
      <c r="P3267" s="1" t="str">
        <f t="shared" si="6658"/>
        <v>0</v>
      </c>
      <c r="Q3267" s="1" t="str">
        <f t="shared" ref="Q3267:Q3330" si="6659">"0.0070"</f>
        <v>0.0070</v>
      </c>
      <c r="R3267" s="1" t="s">
        <v>29</v>
      </c>
      <c r="S3267" s="1">
        <v>-0.0014</v>
      </c>
      <c r="T3267" s="1" t="str">
        <f t="shared" ref="T3267:T3330" si="6660">"0"</f>
        <v>0</v>
      </c>
      <c r="U3267" s="1" t="str">
        <f t="shared" si="6649"/>
        <v>0.0056</v>
      </c>
    </row>
    <row r="3268" s="1" customFormat="1" spans="1:21">
      <c r="A3268" s="1" t="str">
        <f>"4601992062205"</f>
        <v>4601992062205</v>
      </c>
      <c r="B3268" s="1" t="s">
        <v>3291</v>
      </c>
      <c r="C3268" s="1" t="s">
        <v>24</v>
      </c>
      <c r="D3268" s="1" t="str">
        <f t="shared" si="6656"/>
        <v>2021</v>
      </c>
      <c r="E3268" s="1" t="str">
        <f t="shared" ref="E3268:P3268" si="6661">"0"</f>
        <v>0</v>
      </c>
      <c r="F3268" s="1" t="str">
        <f t="shared" si="6661"/>
        <v>0</v>
      </c>
      <c r="G3268" s="1" t="str">
        <f t="shared" si="6661"/>
        <v>0</v>
      </c>
      <c r="H3268" s="1" t="str">
        <f t="shared" si="6661"/>
        <v>0</v>
      </c>
      <c r="I3268" s="1" t="str">
        <f t="shared" si="6661"/>
        <v>0</v>
      </c>
      <c r="J3268" s="1" t="str">
        <f t="shared" si="6661"/>
        <v>0</v>
      </c>
      <c r="K3268" s="1" t="str">
        <f t="shared" si="6661"/>
        <v>0</v>
      </c>
      <c r="L3268" s="1" t="str">
        <f t="shared" si="6661"/>
        <v>0</v>
      </c>
      <c r="M3268" s="1" t="str">
        <f t="shared" si="6661"/>
        <v>0</v>
      </c>
      <c r="N3268" s="1" t="str">
        <f t="shared" si="6661"/>
        <v>0</v>
      </c>
      <c r="O3268" s="1" t="str">
        <f t="shared" si="6661"/>
        <v>0</v>
      </c>
      <c r="P3268" s="1" t="str">
        <f t="shared" si="6661"/>
        <v>0</v>
      </c>
      <c r="Q3268" s="1" t="str">
        <f t="shared" si="6659"/>
        <v>0.0070</v>
      </c>
      <c r="R3268" s="1" t="s">
        <v>25</v>
      </c>
      <c r="T3268" s="1" t="str">
        <f t="shared" si="6660"/>
        <v>0</v>
      </c>
      <c r="U3268" s="1" t="str">
        <f t="shared" ref="U3268:U3272" si="6662">"0.0070"</f>
        <v>0.0070</v>
      </c>
    </row>
    <row r="3269" s="1" customFormat="1" spans="1:21">
      <c r="A3269" s="1" t="str">
        <f>"4601992039938"</f>
        <v>4601992039938</v>
      </c>
      <c r="B3269" s="1" t="s">
        <v>3292</v>
      </c>
      <c r="C3269" s="1" t="s">
        <v>24</v>
      </c>
      <c r="D3269" s="1" t="str">
        <f t="shared" si="6656"/>
        <v>2021</v>
      </c>
      <c r="E3269" s="1" t="str">
        <f>"21.00"</f>
        <v>21.00</v>
      </c>
      <c r="F3269" s="1" t="str">
        <f t="shared" ref="F3269:I3269" si="6663">"0"</f>
        <v>0</v>
      </c>
      <c r="G3269" s="1" t="str">
        <f t="shared" si="6663"/>
        <v>0</v>
      </c>
      <c r="H3269" s="1" t="str">
        <f t="shared" si="6663"/>
        <v>0</v>
      </c>
      <c r="I3269" s="1" t="str">
        <f t="shared" si="6663"/>
        <v>0</v>
      </c>
      <c r="J3269" s="1" t="str">
        <f>"1"</f>
        <v>1</v>
      </c>
      <c r="K3269" s="1" t="str">
        <f t="shared" ref="K3269:P3269" si="6664">"0"</f>
        <v>0</v>
      </c>
      <c r="L3269" s="1" t="str">
        <f t="shared" si="6664"/>
        <v>0</v>
      </c>
      <c r="M3269" s="1" t="str">
        <f t="shared" si="6664"/>
        <v>0</v>
      </c>
      <c r="N3269" s="1" t="str">
        <f t="shared" si="6664"/>
        <v>0</v>
      </c>
      <c r="O3269" s="1" t="str">
        <f t="shared" si="6664"/>
        <v>0</v>
      </c>
      <c r="P3269" s="1" t="str">
        <f t="shared" si="6664"/>
        <v>0</v>
      </c>
      <c r="Q3269" s="1" t="str">
        <f t="shared" si="6659"/>
        <v>0.0070</v>
      </c>
      <c r="R3269" s="1" t="s">
        <v>29</v>
      </c>
      <c r="S3269" s="1">
        <v>-0.0014</v>
      </c>
      <c r="T3269" s="1" t="str">
        <f t="shared" si="6660"/>
        <v>0</v>
      </c>
      <c r="U3269" s="1" t="str">
        <f t="shared" ref="U3269:U3275" si="6665">"0.0056"</f>
        <v>0.0056</v>
      </c>
    </row>
    <row r="3270" s="1" customFormat="1" spans="1:21">
      <c r="A3270" s="1" t="str">
        <f>"4601992062200"</f>
        <v>4601992062200</v>
      </c>
      <c r="B3270" s="1" t="s">
        <v>3293</v>
      </c>
      <c r="C3270" s="1" t="s">
        <v>24</v>
      </c>
      <c r="D3270" s="1" t="str">
        <f t="shared" si="6656"/>
        <v>2021</v>
      </c>
      <c r="E3270" s="1" t="str">
        <f>"119.80"</f>
        <v>119.80</v>
      </c>
      <c r="F3270" s="1" t="str">
        <f t="shared" ref="F3270:I3270" si="6666">"0"</f>
        <v>0</v>
      </c>
      <c r="G3270" s="1" t="str">
        <f t="shared" si="6666"/>
        <v>0</v>
      </c>
      <c r="H3270" s="1" t="str">
        <f t="shared" si="6666"/>
        <v>0</v>
      </c>
      <c r="I3270" s="1" t="str">
        <f t="shared" si="6666"/>
        <v>0</v>
      </c>
      <c r="J3270" s="1" t="str">
        <f>"11"</f>
        <v>11</v>
      </c>
      <c r="K3270" s="1" t="str">
        <f t="shared" ref="K3270:P3270" si="6667">"0"</f>
        <v>0</v>
      </c>
      <c r="L3270" s="1" t="str">
        <f t="shared" si="6667"/>
        <v>0</v>
      </c>
      <c r="M3270" s="1" t="str">
        <f t="shared" si="6667"/>
        <v>0</v>
      </c>
      <c r="N3270" s="1" t="str">
        <f t="shared" si="6667"/>
        <v>0</v>
      </c>
      <c r="O3270" s="1" t="str">
        <f t="shared" si="6667"/>
        <v>0</v>
      </c>
      <c r="P3270" s="1" t="str">
        <f t="shared" si="6667"/>
        <v>0</v>
      </c>
      <c r="Q3270" s="1" t="str">
        <f t="shared" si="6659"/>
        <v>0.0070</v>
      </c>
      <c r="R3270" s="1" t="s">
        <v>29</v>
      </c>
      <c r="S3270" s="1">
        <v>-0.0014</v>
      </c>
      <c r="T3270" s="1" t="str">
        <f t="shared" si="6660"/>
        <v>0</v>
      </c>
      <c r="U3270" s="1" t="str">
        <f t="shared" si="6665"/>
        <v>0.0056</v>
      </c>
    </row>
    <row r="3271" s="1" customFormat="1" spans="1:21">
      <c r="A3271" s="1" t="str">
        <f>"4601992062229"</f>
        <v>4601992062229</v>
      </c>
      <c r="B3271" s="1" t="s">
        <v>3294</v>
      </c>
      <c r="C3271" s="1" t="s">
        <v>24</v>
      </c>
      <c r="D3271" s="1" t="str">
        <f t="shared" si="6656"/>
        <v>2021</v>
      </c>
      <c r="E3271" s="1" t="str">
        <f t="shared" ref="E3271:P3271" si="6668">"0"</f>
        <v>0</v>
      </c>
      <c r="F3271" s="1" t="str">
        <f t="shared" si="6668"/>
        <v>0</v>
      </c>
      <c r="G3271" s="1" t="str">
        <f t="shared" si="6668"/>
        <v>0</v>
      </c>
      <c r="H3271" s="1" t="str">
        <f t="shared" si="6668"/>
        <v>0</v>
      </c>
      <c r="I3271" s="1" t="str">
        <f t="shared" si="6668"/>
        <v>0</v>
      </c>
      <c r="J3271" s="1" t="str">
        <f t="shared" si="6668"/>
        <v>0</v>
      </c>
      <c r="K3271" s="1" t="str">
        <f t="shared" si="6668"/>
        <v>0</v>
      </c>
      <c r="L3271" s="1" t="str">
        <f t="shared" si="6668"/>
        <v>0</v>
      </c>
      <c r="M3271" s="1" t="str">
        <f t="shared" si="6668"/>
        <v>0</v>
      </c>
      <c r="N3271" s="1" t="str">
        <f t="shared" si="6668"/>
        <v>0</v>
      </c>
      <c r="O3271" s="1" t="str">
        <f t="shared" si="6668"/>
        <v>0</v>
      </c>
      <c r="P3271" s="1" t="str">
        <f t="shared" si="6668"/>
        <v>0</v>
      </c>
      <c r="Q3271" s="1" t="str">
        <f t="shared" si="6659"/>
        <v>0.0070</v>
      </c>
      <c r="R3271" s="1" t="s">
        <v>25</v>
      </c>
      <c r="T3271" s="1" t="str">
        <f t="shared" si="6660"/>
        <v>0</v>
      </c>
      <c r="U3271" s="1" t="str">
        <f t="shared" si="6662"/>
        <v>0.0070</v>
      </c>
    </row>
    <row r="3272" s="1" customFormat="1" spans="1:21">
      <c r="A3272" s="1" t="str">
        <f>"4601992062209"</f>
        <v>4601992062209</v>
      </c>
      <c r="B3272" s="1" t="s">
        <v>3295</v>
      </c>
      <c r="C3272" s="1" t="s">
        <v>24</v>
      </c>
      <c r="D3272" s="1" t="str">
        <f t="shared" si="6656"/>
        <v>2021</v>
      </c>
      <c r="E3272" s="1" t="str">
        <f t="shared" ref="E3272:G3272" si="6669">"0"</f>
        <v>0</v>
      </c>
      <c r="F3272" s="1" t="str">
        <f t="shared" si="6669"/>
        <v>0</v>
      </c>
      <c r="G3272" s="1" t="str">
        <f t="shared" si="6669"/>
        <v>0</v>
      </c>
      <c r="H3272" s="1" t="str">
        <f>"24.18"</f>
        <v>24.18</v>
      </c>
      <c r="I3272" s="1" t="str">
        <f t="shared" ref="I3272:P3272" si="6670">"0"</f>
        <v>0</v>
      </c>
      <c r="J3272" s="1" t="str">
        <f>"2"</f>
        <v>2</v>
      </c>
      <c r="K3272" s="1" t="str">
        <f t="shared" si="6670"/>
        <v>0</v>
      </c>
      <c r="L3272" s="1" t="str">
        <f t="shared" si="6670"/>
        <v>0</v>
      </c>
      <c r="M3272" s="1" t="str">
        <f t="shared" si="6670"/>
        <v>0</v>
      </c>
      <c r="N3272" s="1" t="str">
        <f t="shared" si="6670"/>
        <v>0</v>
      </c>
      <c r="O3272" s="1" t="str">
        <f t="shared" si="6670"/>
        <v>0</v>
      </c>
      <c r="P3272" s="1" t="str">
        <f t="shared" si="6670"/>
        <v>0</v>
      </c>
      <c r="Q3272" s="1" t="str">
        <f t="shared" si="6659"/>
        <v>0.0070</v>
      </c>
      <c r="R3272" s="1" t="s">
        <v>25</v>
      </c>
      <c r="T3272" s="1" t="str">
        <f t="shared" si="6660"/>
        <v>0</v>
      </c>
      <c r="U3272" s="1" t="str">
        <f t="shared" si="6662"/>
        <v>0.0070</v>
      </c>
    </row>
    <row r="3273" s="1" customFormat="1" spans="1:21">
      <c r="A3273" s="1" t="str">
        <f>"4601992028375"</f>
        <v>4601992028375</v>
      </c>
      <c r="B3273" s="1" t="s">
        <v>3296</v>
      </c>
      <c r="C3273" s="1" t="s">
        <v>24</v>
      </c>
      <c r="D3273" s="1" t="str">
        <f t="shared" si="6656"/>
        <v>2021</v>
      </c>
      <c r="E3273" s="1" t="str">
        <f>"392.92"</f>
        <v>392.92</v>
      </c>
      <c r="F3273" s="1" t="str">
        <f t="shared" ref="F3273:I3273" si="6671">"0"</f>
        <v>0</v>
      </c>
      <c r="G3273" s="1" t="str">
        <f t="shared" si="6671"/>
        <v>0</v>
      </c>
      <c r="H3273" s="1" t="str">
        <f t="shared" si="6671"/>
        <v>0</v>
      </c>
      <c r="I3273" s="1" t="str">
        <f t="shared" si="6671"/>
        <v>0</v>
      </c>
      <c r="J3273" s="1" t="str">
        <f>"33"</f>
        <v>33</v>
      </c>
      <c r="K3273" s="1" t="str">
        <f t="shared" ref="K3273:P3273" si="6672">"0"</f>
        <v>0</v>
      </c>
      <c r="L3273" s="1" t="str">
        <f t="shared" si="6672"/>
        <v>0</v>
      </c>
      <c r="M3273" s="1" t="str">
        <f t="shared" si="6672"/>
        <v>0</v>
      </c>
      <c r="N3273" s="1" t="str">
        <f t="shared" si="6672"/>
        <v>0</v>
      </c>
      <c r="O3273" s="1" t="str">
        <f t="shared" si="6672"/>
        <v>0</v>
      </c>
      <c r="P3273" s="1" t="str">
        <f t="shared" si="6672"/>
        <v>0</v>
      </c>
      <c r="Q3273" s="1" t="str">
        <f t="shared" si="6659"/>
        <v>0.0070</v>
      </c>
      <c r="R3273" s="1" t="s">
        <v>29</v>
      </c>
      <c r="S3273" s="1">
        <v>-0.0014</v>
      </c>
      <c r="T3273" s="1" t="str">
        <f t="shared" si="6660"/>
        <v>0</v>
      </c>
      <c r="U3273" s="1" t="str">
        <f t="shared" si="6665"/>
        <v>0.0056</v>
      </c>
    </row>
    <row r="3274" s="1" customFormat="1" spans="1:21">
      <c r="A3274" s="1" t="str">
        <f>"4601992062220"</f>
        <v>4601992062220</v>
      </c>
      <c r="B3274" s="1" t="s">
        <v>3297</v>
      </c>
      <c r="C3274" s="1" t="s">
        <v>24</v>
      </c>
      <c r="D3274" s="1" t="str">
        <f t="shared" si="6656"/>
        <v>2021</v>
      </c>
      <c r="E3274" s="1" t="str">
        <f>"35.94"</f>
        <v>35.94</v>
      </c>
      <c r="F3274" s="1" t="str">
        <f t="shared" ref="F3274:I3274" si="6673">"0"</f>
        <v>0</v>
      </c>
      <c r="G3274" s="1" t="str">
        <f t="shared" si="6673"/>
        <v>0</v>
      </c>
      <c r="H3274" s="1" t="str">
        <f t="shared" si="6673"/>
        <v>0</v>
      </c>
      <c r="I3274" s="1" t="str">
        <f t="shared" si="6673"/>
        <v>0</v>
      </c>
      <c r="J3274" s="1" t="str">
        <f>"3"</f>
        <v>3</v>
      </c>
      <c r="K3274" s="1" t="str">
        <f t="shared" ref="K3274:P3274" si="6674">"0"</f>
        <v>0</v>
      </c>
      <c r="L3274" s="1" t="str">
        <f t="shared" si="6674"/>
        <v>0</v>
      </c>
      <c r="M3274" s="1" t="str">
        <f t="shared" si="6674"/>
        <v>0</v>
      </c>
      <c r="N3274" s="1" t="str">
        <f t="shared" si="6674"/>
        <v>0</v>
      </c>
      <c r="O3274" s="1" t="str">
        <f t="shared" si="6674"/>
        <v>0</v>
      </c>
      <c r="P3274" s="1" t="str">
        <f t="shared" si="6674"/>
        <v>0</v>
      </c>
      <c r="Q3274" s="1" t="str">
        <f t="shared" si="6659"/>
        <v>0.0070</v>
      </c>
      <c r="R3274" s="1" t="s">
        <v>29</v>
      </c>
      <c r="S3274" s="1">
        <v>-0.0014</v>
      </c>
      <c r="T3274" s="1" t="str">
        <f t="shared" si="6660"/>
        <v>0</v>
      </c>
      <c r="U3274" s="1" t="str">
        <f t="shared" si="6665"/>
        <v>0.0056</v>
      </c>
    </row>
    <row r="3275" s="1" customFormat="1" spans="1:21">
      <c r="A3275" s="1" t="str">
        <f>"4601992062291"</f>
        <v>4601992062291</v>
      </c>
      <c r="B3275" s="1" t="s">
        <v>3298</v>
      </c>
      <c r="C3275" s="1" t="s">
        <v>24</v>
      </c>
      <c r="D3275" s="1" t="str">
        <f t="shared" si="6656"/>
        <v>2021</v>
      </c>
      <c r="E3275" s="1" t="str">
        <f>"12.09"</f>
        <v>12.09</v>
      </c>
      <c r="F3275" s="1" t="str">
        <f t="shared" ref="F3275:I3275" si="6675">"0"</f>
        <v>0</v>
      </c>
      <c r="G3275" s="1" t="str">
        <f t="shared" si="6675"/>
        <v>0</v>
      </c>
      <c r="H3275" s="1" t="str">
        <f t="shared" si="6675"/>
        <v>0</v>
      </c>
      <c r="I3275" s="1" t="str">
        <f t="shared" si="6675"/>
        <v>0</v>
      </c>
      <c r="J3275" s="1" t="str">
        <f>"1"</f>
        <v>1</v>
      </c>
      <c r="K3275" s="1" t="str">
        <f t="shared" ref="K3275:P3275" si="6676">"0"</f>
        <v>0</v>
      </c>
      <c r="L3275" s="1" t="str">
        <f t="shared" si="6676"/>
        <v>0</v>
      </c>
      <c r="M3275" s="1" t="str">
        <f t="shared" si="6676"/>
        <v>0</v>
      </c>
      <c r="N3275" s="1" t="str">
        <f t="shared" si="6676"/>
        <v>0</v>
      </c>
      <c r="O3275" s="1" t="str">
        <f t="shared" si="6676"/>
        <v>0</v>
      </c>
      <c r="P3275" s="1" t="str">
        <f t="shared" si="6676"/>
        <v>0</v>
      </c>
      <c r="Q3275" s="1" t="str">
        <f t="shared" si="6659"/>
        <v>0.0070</v>
      </c>
      <c r="R3275" s="1" t="s">
        <v>29</v>
      </c>
      <c r="S3275" s="1">
        <v>-0.0014</v>
      </c>
      <c r="T3275" s="1" t="str">
        <f t="shared" si="6660"/>
        <v>0</v>
      </c>
      <c r="U3275" s="1" t="str">
        <f t="shared" si="6665"/>
        <v>0.0056</v>
      </c>
    </row>
    <row r="3276" s="1" customFormat="1" spans="1:21">
      <c r="A3276" s="1" t="str">
        <f>"4601992062333"</f>
        <v>4601992062333</v>
      </c>
      <c r="B3276" s="1" t="s">
        <v>3299</v>
      </c>
      <c r="C3276" s="1" t="s">
        <v>24</v>
      </c>
      <c r="D3276" s="1" t="str">
        <f t="shared" si="6656"/>
        <v>2021</v>
      </c>
      <c r="E3276" s="1" t="str">
        <f t="shared" ref="E3276:I3276" si="6677">"0"</f>
        <v>0</v>
      </c>
      <c r="F3276" s="1" t="str">
        <f t="shared" si="6677"/>
        <v>0</v>
      </c>
      <c r="G3276" s="1" t="str">
        <f t="shared" si="6677"/>
        <v>0</v>
      </c>
      <c r="H3276" s="1" t="str">
        <f t="shared" si="6677"/>
        <v>0</v>
      </c>
      <c r="I3276" s="1" t="str">
        <f t="shared" si="6677"/>
        <v>0</v>
      </c>
      <c r="J3276" s="1" t="str">
        <f>"2"</f>
        <v>2</v>
      </c>
      <c r="K3276" s="1" t="str">
        <f t="shared" ref="K3276:P3276" si="6678">"0"</f>
        <v>0</v>
      </c>
      <c r="L3276" s="1" t="str">
        <f t="shared" si="6678"/>
        <v>0</v>
      </c>
      <c r="M3276" s="1" t="str">
        <f t="shared" si="6678"/>
        <v>0</v>
      </c>
      <c r="N3276" s="1" t="str">
        <f t="shared" si="6678"/>
        <v>0</v>
      </c>
      <c r="O3276" s="1" t="str">
        <f t="shared" si="6678"/>
        <v>0</v>
      </c>
      <c r="P3276" s="1" t="str">
        <f t="shared" si="6678"/>
        <v>0</v>
      </c>
      <c r="Q3276" s="1" t="str">
        <f t="shared" si="6659"/>
        <v>0.0070</v>
      </c>
      <c r="R3276" s="1" t="s">
        <v>25</v>
      </c>
      <c r="T3276" s="1" t="str">
        <f t="shared" si="6660"/>
        <v>0</v>
      </c>
      <c r="U3276" s="1" t="str">
        <f t="shared" ref="U3276:U3280" si="6679">"0.0070"</f>
        <v>0.0070</v>
      </c>
    </row>
    <row r="3277" s="1" customFormat="1" spans="1:21">
      <c r="A3277" s="1" t="str">
        <f>"4601992062292"</f>
        <v>4601992062292</v>
      </c>
      <c r="B3277" s="1" t="s">
        <v>3300</v>
      </c>
      <c r="C3277" s="1" t="s">
        <v>24</v>
      </c>
      <c r="D3277" s="1" t="str">
        <f t="shared" si="6656"/>
        <v>2021</v>
      </c>
      <c r="E3277" s="1" t="str">
        <f t="shared" ref="E3277:I3277" si="6680">"0"</f>
        <v>0</v>
      </c>
      <c r="F3277" s="1" t="str">
        <f t="shared" si="6680"/>
        <v>0</v>
      </c>
      <c r="G3277" s="1" t="str">
        <f t="shared" si="6680"/>
        <v>0</v>
      </c>
      <c r="H3277" s="1" t="str">
        <f t="shared" si="6680"/>
        <v>0</v>
      </c>
      <c r="I3277" s="1" t="str">
        <f t="shared" si="6680"/>
        <v>0</v>
      </c>
      <c r="J3277" s="1" t="str">
        <f>"6"</f>
        <v>6</v>
      </c>
      <c r="K3277" s="1" t="str">
        <f t="shared" ref="K3277:P3277" si="6681">"0"</f>
        <v>0</v>
      </c>
      <c r="L3277" s="1" t="str">
        <f t="shared" si="6681"/>
        <v>0</v>
      </c>
      <c r="M3277" s="1" t="str">
        <f t="shared" si="6681"/>
        <v>0</v>
      </c>
      <c r="N3277" s="1" t="str">
        <f t="shared" si="6681"/>
        <v>0</v>
      </c>
      <c r="O3277" s="1" t="str">
        <f t="shared" si="6681"/>
        <v>0</v>
      </c>
      <c r="P3277" s="1" t="str">
        <f t="shared" si="6681"/>
        <v>0</v>
      </c>
      <c r="Q3277" s="1" t="str">
        <f t="shared" si="6659"/>
        <v>0.0070</v>
      </c>
      <c r="R3277" s="1" t="s">
        <v>25</v>
      </c>
      <c r="T3277" s="1" t="str">
        <f t="shared" si="6660"/>
        <v>0</v>
      </c>
      <c r="U3277" s="1" t="str">
        <f t="shared" si="6679"/>
        <v>0.0070</v>
      </c>
    </row>
    <row r="3278" s="1" customFormat="1" spans="1:21">
      <c r="A3278" s="1" t="str">
        <f>"4601992062382"</f>
        <v>4601992062382</v>
      </c>
      <c r="B3278" s="1" t="s">
        <v>3301</v>
      </c>
      <c r="C3278" s="1" t="s">
        <v>24</v>
      </c>
      <c r="D3278" s="1" t="str">
        <f t="shared" si="6656"/>
        <v>2021</v>
      </c>
      <c r="E3278" s="1" t="str">
        <f>"48.36"</f>
        <v>48.36</v>
      </c>
      <c r="F3278" s="1" t="str">
        <f t="shared" ref="F3278:I3278" si="6682">"0"</f>
        <v>0</v>
      </c>
      <c r="G3278" s="1" t="str">
        <f t="shared" si="6682"/>
        <v>0</v>
      </c>
      <c r="H3278" s="1" t="str">
        <f t="shared" si="6682"/>
        <v>0</v>
      </c>
      <c r="I3278" s="1" t="str">
        <f t="shared" si="6682"/>
        <v>0</v>
      </c>
      <c r="J3278" s="1" t="str">
        <f>"4"</f>
        <v>4</v>
      </c>
      <c r="K3278" s="1" t="str">
        <f t="shared" ref="K3278:P3278" si="6683">"0"</f>
        <v>0</v>
      </c>
      <c r="L3278" s="1" t="str">
        <f t="shared" si="6683"/>
        <v>0</v>
      </c>
      <c r="M3278" s="1" t="str">
        <f t="shared" si="6683"/>
        <v>0</v>
      </c>
      <c r="N3278" s="1" t="str">
        <f t="shared" si="6683"/>
        <v>0</v>
      </c>
      <c r="O3278" s="1" t="str">
        <f t="shared" si="6683"/>
        <v>0</v>
      </c>
      <c r="P3278" s="1" t="str">
        <f t="shared" si="6683"/>
        <v>0</v>
      </c>
      <c r="Q3278" s="1" t="str">
        <f t="shared" si="6659"/>
        <v>0.0070</v>
      </c>
      <c r="R3278" s="1" t="s">
        <v>29</v>
      </c>
      <c r="S3278" s="1">
        <v>-0.0014</v>
      </c>
      <c r="T3278" s="1" t="str">
        <f t="shared" si="6660"/>
        <v>0</v>
      </c>
      <c r="U3278" s="1" t="str">
        <f t="shared" ref="U3278:U3281" si="6684">"0.0056"</f>
        <v>0.0056</v>
      </c>
    </row>
    <row r="3279" s="1" customFormat="1" spans="1:21">
      <c r="A3279" s="1" t="str">
        <f>"4601992062368"</f>
        <v>4601992062368</v>
      </c>
      <c r="B3279" s="1" t="s">
        <v>3302</v>
      </c>
      <c r="C3279" s="1" t="s">
        <v>24</v>
      </c>
      <c r="D3279" s="1" t="str">
        <f t="shared" si="6656"/>
        <v>2021</v>
      </c>
      <c r="E3279" s="1" t="str">
        <f>"12.09"</f>
        <v>12.09</v>
      </c>
      <c r="F3279" s="1" t="str">
        <f t="shared" ref="F3279:I3279" si="6685">"0"</f>
        <v>0</v>
      </c>
      <c r="G3279" s="1" t="str">
        <f t="shared" si="6685"/>
        <v>0</v>
      </c>
      <c r="H3279" s="1" t="str">
        <f t="shared" si="6685"/>
        <v>0</v>
      </c>
      <c r="I3279" s="1" t="str">
        <f t="shared" si="6685"/>
        <v>0</v>
      </c>
      <c r="J3279" s="1" t="str">
        <f>"2"</f>
        <v>2</v>
      </c>
      <c r="K3279" s="1" t="str">
        <f t="shared" ref="K3279:P3279" si="6686">"0"</f>
        <v>0</v>
      </c>
      <c r="L3279" s="1" t="str">
        <f t="shared" si="6686"/>
        <v>0</v>
      </c>
      <c r="M3279" s="1" t="str">
        <f t="shared" si="6686"/>
        <v>0</v>
      </c>
      <c r="N3279" s="1" t="str">
        <f t="shared" si="6686"/>
        <v>0</v>
      </c>
      <c r="O3279" s="1" t="str">
        <f t="shared" si="6686"/>
        <v>0</v>
      </c>
      <c r="P3279" s="1" t="str">
        <f t="shared" si="6686"/>
        <v>0</v>
      </c>
      <c r="Q3279" s="1" t="str">
        <f t="shared" si="6659"/>
        <v>0.0070</v>
      </c>
      <c r="R3279" s="1" t="s">
        <v>29</v>
      </c>
      <c r="S3279" s="1">
        <v>-0.0014</v>
      </c>
      <c r="T3279" s="1" t="str">
        <f t="shared" si="6660"/>
        <v>0</v>
      </c>
      <c r="U3279" s="1" t="str">
        <f t="shared" si="6684"/>
        <v>0.0056</v>
      </c>
    </row>
    <row r="3280" s="1" customFormat="1" spans="1:21">
      <c r="A3280" s="1" t="str">
        <f>"4601992062418"</f>
        <v>4601992062418</v>
      </c>
      <c r="B3280" s="1" t="s">
        <v>3303</v>
      </c>
      <c r="C3280" s="1" t="s">
        <v>24</v>
      </c>
      <c r="D3280" s="1" t="str">
        <f t="shared" si="6656"/>
        <v>2021</v>
      </c>
      <c r="E3280" s="1" t="str">
        <f t="shared" ref="E3280:P3280" si="6687">"0"</f>
        <v>0</v>
      </c>
      <c r="F3280" s="1" t="str">
        <f t="shared" si="6687"/>
        <v>0</v>
      </c>
      <c r="G3280" s="1" t="str">
        <f t="shared" si="6687"/>
        <v>0</v>
      </c>
      <c r="H3280" s="1" t="str">
        <f t="shared" si="6687"/>
        <v>0</v>
      </c>
      <c r="I3280" s="1" t="str">
        <f t="shared" si="6687"/>
        <v>0</v>
      </c>
      <c r="J3280" s="1" t="str">
        <f t="shared" si="6687"/>
        <v>0</v>
      </c>
      <c r="K3280" s="1" t="str">
        <f t="shared" si="6687"/>
        <v>0</v>
      </c>
      <c r="L3280" s="1" t="str">
        <f t="shared" si="6687"/>
        <v>0</v>
      </c>
      <c r="M3280" s="1" t="str">
        <f t="shared" si="6687"/>
        <v>0</v>
      </c>
      <c r="N3280" s="1" t="str">
        <f t="shared" si="6687"/>
        <v>0</v>
      </c>
      <c r="O3280" s="1" t="str">
        <f t="shared" si="6687"/>
        <v>0</v>
      </c>
      <c r="P3280" s="1" t="str">
        <f t="shared" si="6687"/>
        <v>0</v>
      </c>
      <c r="Q3280" s="1" t="str">
        <f t="shared" si="6659"/>
        <v>0.0070</v>
      </c>
      <c r="R3280" s="1" t="s">
        <v>25</v>
      </c>
      <c r="T3280" s="1" t="str">
        <f t="shared" si="6660"/>
        <v>0</v>
      </c>
      <c r="U3280" s="1" t="str">
        <f t="shared" si="6679"/>
        <v>0.0070</v>
      </c>
    </row>
    <row r="3281" s="1" customFormat="1" spans="1:21">
      <c r="A3281" s="1" t="str">
        <f>"4601992062407"</f>
        <v>4601992062407</v>
      </c>
      <c r="B3281" s="1" t="s">
        <v>3304</v>
      </c>
      <c r="C3281" s="1" t="s">
        <v>24</v>
      </c>
      <c r="D3281" s="1" t="str">
        <f t="shared" si="6656"/>
        <v>2021</v>
      </c>
      <c r="E3281" s="1" t="str">
        <f>"11.98"</f>
        <v>11.98</v>
      </c>
      <c r="F3281" s="1" t="str">
        <f t="shared" ref="F3281:I3281" si="6688">"0"</f>
        <v>0</v>
      </c>
      <c r="G3281" s="1" t="str">
        <f t="shared" si="6688"/>
        <v>0</v>
      </c>
      <c r="H3281" s="1" t="str">
        <f t="shared" si="6688"/>
        <v>0</v>
      </c>
      <c r="I3281" s="1" t="str">
        <f t="shared" si="6688"/>
        <v>0</v>
      </c>
      <c r="J3281" s="1" t="str">
        <f t="shared" ref="J3281:J3286" si="6689">"1"</f>
        <v>1</v>
      </c>
      <c r="K3281" s="1" t="str">
        <f t="shared" ref="K3281:P3281" si="6690">"0"</f>
        <v>0</v>
      </c>
      <c r="L3281" s="1" t="str">
        <f t="shared" si="6690"/>
        <v>0</v>
      </c>
      <c r="M3281" s="1" t="str">
        <f t="shared" si="6690"/>
        <v>0</v>
      </c>
      <c r="N3281" s="1" t="str">
        <f t="shared" si="6690"/>
        <v>0</v>
      </c>
      <c r="O3281" s="1" t="str">
        <f t="shared" si="6690"/>
        <v>0</v>
      </c>
      <c r="P3281" s="1" t="str">
        <f t="shared" si="6690"/>
        <v>0</v>
      </c>
      <c r="Q3281" s="1" t="str">
        <f t="shared" si="6659"/>
        <v>0.0070</v>
      </c>
      <c r="R3281" s="1" t="s">
        <v>29</v>
      </c>
      <c r="S3281" s="1">
        <v>-0.0014</v>
      </c>
      <c r="T3281" s="1" t="str">
        <f t="shared" si="6660"/>
        <v>0</v>
      </c>
      <c r="U3281" s="1" t="str">
        <f t="shared" si="6684"/>
        <v>0.0056</v>
      </c>
    </row>
    <row r="3282" s="1" customFormat="1" spans="1:21">
      <c r="A3282" s="1" t="str">
        <f>"4601992062441"</f>
        <v>4601992062441</v>
      </c>
      <c r="B3282" s="1" t="s">
        <v>3305</v>
      </c>
      <c r="C3282" s="1" t="s">
        <v>24</v>
      </c>
      <c r="D3282" s="1" t="str">
        <f t="shared" si="6656"/>
        <v>2021</v>
      </c>
      <c r="E3282" s="1" t="str">
        <f t="shared" ref="E3282:G3282" si="6691">"0"</f>
        <v>0</v>
      </c>
      <c r="F3282" s="1" t="str">
        <f t="shared" si="6691"/>
        <v>0</v>
      </c>
      <c r="G3282" s="1" t="str">
        <f t="shared" si="6691"/>
        <v>0</v>
      </c>
      <c r="H3282" s="1" t="str">
        <f>"12.09"</f>
        <v>12.09</v>
      </c>
      <c r="I3282" s="1" t="str">
        <f t="shared" ref="I3282:P3282" si="6692">"0"</f>
        <v>0</v>
      </c>
      <c r="J3282" s="1" t="str">
        <f t="shared" si="6692"/>
        <v>0</v>
      </c>
      <c r="K3282" s="1" t="str">
        <f t="shared" si="6692"/>
        <v>0</v>
      </c>
      <c r="L3282" s="1" t="str">
        <f t="shared" si="6692"/>
        <v>0</v>
      </c>
      <c r="M3282" s="1" t="str">
        <f t="shared" si="6692"/>
        <v>0</v>
      </c>
      <c r="N3282" s="1" t="str">
        <f t="shared" si="6692"/>
        <v>0</v>
      </c>
      <c r="O3282" s="1" t="str">
        <f t="shared" si="6692"/>
        <v>0</v>
      </c>
      <c r="P3282" s="1" t="str">
        <f t="shared" si="6692"/>
        <v>0</v>
      </c>
      <c r="Q3282" s="1" t="str">
        <f t="shared" si="6659"/>
        <v>0.0070</v>
      </c>
      <c r="R3282" s="1" t="s">
        <v>25</v>
      </c>
      <c r="T3282" s="1" t="str">
        <f t="shared" si="6660"/>
        <v>0</v>
      </c>
      <c r="U3282" s="1" t="str">
        <f t="shared" ref="U3282:U3287" si="6693">"0.0070"</f>
        <v>0.0070</v>
      </c>
    </row>
    <row r="3283" s="1" customFormat="1" spans="1:21">
      <c r="A3283" s="1" t="str">
        <f>"4601992062500"</f>
        <v>4601992062500</v>
      </c>
      <c r="B3283" s="1" t="s">
        <v>3306</v>
      </c>
      <c r="C3283" s="1" t="s">
        <v>24</v>
      </c>
      <c r="D3283" s="1" t="str">
        <f t="shared" si="6656"/>
        <v>2021</v>
      </c>
      <c r="E3283" s="1" t="str">
        <f t="shared" ref="E3283:P3283" si="6694">"0"</f>
        <v>0</v>
      </c>
      <c r="F3283" s="1" t="str">
        <f t="shared" si="6694"/>
        <v>0</v>
      </c>
      <c r="G3283" s="1" t="str">
        <f t="shared" si="6694"/>
        <v>0</v>
      </c>
      <c r="H3283" s="1" t="str">
        <f t="shared" si="6694"/>
        <v>0</v>
      </c>
      <c r="I3283" s="1" t="str">
        <f t="shared" si="6694"/>
        <v>0</v>
      </c>
      <c r="J3283" s="1" t="str">
        <f t="shared" si="6694"/>
        <v>0</v>
      </c>
      <c r="K3283" s="1" t="str">
        <f t="shared" si="6694"/>
        <v>0</v>
      </c>
      <c r="L3283" s="1" t="str">
        <f t="shared" si="6694"/>
        <v>0</v>
      </c>
      <c r="M3283" s="1" t="str">
        <f t="shared" si="6694"/>
        <v>0</v>
      </c>
      <c r="N3283" s="1" t="str">
        <f t="shared" si="6694"/>
        <v>0</v>
      </c>
      <c r="O3283" s="1" t="str">
        <f t="shared" si="6694"/>
        <v>0</v>
      </c>
      <c r="P3283" s="1" t="str">
        <f t="shared" si="6694"/>
        <v>0</v>
      </c>
      <c r="Q3283" s="1" t="str">
        <f t="shared" si="6659"/>
        <v>0.0070</v>
      </c>
      <c r="R3283" s="1" t="s">
        <v>25</v>
      </c>
      <c r="T3283" s="1" t="str">
        <f t="shared" si="6660"/>
        <v>0</v>
      </c>
      <c r="U3283" s="1" t="str">
        <f t="shared" si="6693"/>
        <v>0.0070</v>
      </c>
    </row>
    <row r="3284" s="1" customFormat="1" spans="1:21">
      <c r="A3284" s="1" t="str">
        <f>"4601992062426"</f>
        <v>4601992062426</v>
      </c>
      <c r="B3284" s="1" t="s">
        <v>3307</v>
      </c>
      <c r="C3284" s="1" t="s">
        <v>24</v>
      </c>
      <c r="D3284" s="1" t="str">
        <f t="shared" si="6656"/>
        <v>2021</v>
      </c>
      <c r="E3284" s="1" t="str">
        <f t="shared" ref="E3284:E3286" si="6695">"12.09"</f>
        <v>12.09</v>
      </c>
      <c r="F3284" s="1" t="str">
        <f t="shared" ref="F3284:I3284" si="6696">"0"</f>
        <v>0</v>
      </c>
      <c r="G3284" s="1" t="str">
        <f t="shared" si="6696"/>
        <v>0</v>
      </c>
      <c r="H3284" s="1" t="str">
        <f t="shared" si="6696"/>
        <v>0</v>
      </c>
      <c r="I3284" s="1" t="str">
        <f t="shared" si="6696"/>
        <v>0</v>
      </c>
      <c r="J3284" s="1" t="str">
        <f t="shared" si="6689"/>
        <v>1</v>
      </c>
      <c r="K3284" s="1" t="str">
        <f t="shared" ref="K3284:P3284" si="6697">"0"</f>
        <v>0</v>
      </c>
      <c r="L3284" s="1" t="str">
        <f t="shared" si="6697"/>
        <v>0</v>
      </c>
      <c r="M3284" s="1" t="str">
        <f t="shared" si="6697"/>
        <v>0</v>
      </c>
      <c r="N3284" s="1" t="str">
        <f t="shared" si="6697"/>
        <v>0</v>
      </c>
      <c r="O3284" s="1" t="str">
        <f t="shared" si="6697"/>
        <v>0</v>
      </c>
      <c r="P3284" s="1" t="str">
        <f t="shared" si="6697"/>
        <v>0</v>
      </c>
      <c r="Q3284" s="1" t="str">
        <f t="shared" si="6659"/>
        <v>0.0070</v>
      </c>
      <c r="R3284" s="1" t="s">
        <v>29</v>
      </c>
      <c r="S3284" s="1">
        <v>-0.0014</v>
      </c>
      <c r="T3284" s="1" t="str">
        <f t="shared" si="6660"/>
        <v>0</v>
      </c>
      <c r="U3284" s="1" t="str">
        <f t="shared" ref="U3284:U3286" si="6698">"0.0056"</f>
        <v>0.0056</v>
      </c>
    </row>
    <row r="3285" s="1" customFormat="1" spans="1:21">
      <c r="A3285" s="1" t="str">
        <f>"4601992062497"</f>
        <v>4601992062497</v>
      </c>
      <c r="B3285" s="1" t="s">
        <v>3308</v>
      </c>
      <c r="C3285" s="1" t="s">
        <v>24</v>
      </c>
      <c r="D3285" s="1" t="str">
        <f t="shared" si="6656"/>
        <v>2021</v>
      </c>
      <c r="E3285" s="1" t="str">
        <f t="shared" si="6695"/>
        <v>12.09</v>
      </c>
      <c r="F3285" s="1" t="str">
        <f t="shared" ref="F3285:I3285" si="6699">"0"</f>
        <v>0</v>
      </c>
      <c r="G3285" s="1" t="str">
        <f t="shared" si="6699"/>
        <v>0</v>
      </c>
      <c r="H3285" s="1" t="str">
        <f t="shared" si="6699"/>
        <v>0</v>
      </c>
      <c r="I3285" s="1" t="str">
        <f t="shared" si="6699"/>
        <v>0</v>
      </c>
      <c r="J3285" s="1" t="str">
        <f t="shared" si="6689"/>
        <v>1</v>
      </c>
      <c r="K3285" s="1" t="str">
        <f t="shared" ref="K3285:P3285" si="6700">"0"</f>
        <v>0</v>
      </c>
      <c r="L3285" s="1" t="str">
        <f t="shared" si="6700"/>
        <v>0</v>
      </c>
      <c r="M3285" s="1" t="str">
        <f t="shared" si="6700"/>
        <v>0</v>
      </c>
      <c r="N3285" s="1" t="str">
        <f t="shared" si="6700"/>
        <v>0</v>
      </c>
      <c r="O3285" s="1" t="str">
        <f t="shared" si="6700"/>
        <v>0</v>
      </c>
      <c r="P3285" s="1" t="str">
        <f t="shared" si="6700"/>
        <v>0</v>
      </c>
      <c r="Q3285" s="1" t="str">
        <f t="shared" si="6659"/>
        <v>0.0070</v>
      </c>
      <c r="R3285" s="1" t="s">
        <v>29</v>
      </c>
      <c r="S3285" s="1">
        <v>-0.0014</v>
      </c>
      <c r="T3285" s="1" t="str">
        <f t="shared" si="6660"/>
        <v>0</v>
      </c>
      <c r="U3285" s="1" t="str">
        <f t="shared" si="6698"/>
        <v>0.0056</v>
      </c>
    </row>
    <row r="3286" s="1" customFormat="1" spans="1:21">
      <c r="A3286" s="1" t="str">
        <f>"4601992062481"</f>
        <v>4601992062481</v>
      </c>
      <c r="B3286" s="1" t="s">
        <v>3309</v>
      </c>
      <c r="C3286" s="1" t="s">
        <v>24</v>
      </c>
      <c r="D3286" s="1" t="str">
        <f t="shared" si="6656"/>
        <v>2021</v>
      </c>
      <c r="E3286" s="1" t="str">
        <f t="shared" si="6695"/>
        <v>12.09</v>
      </c>
      <c r="F3286" s="1" t="str">
        <f t="shared" ref="F3286:I3286" si="6701">"0"</f>
        <v>0</v>
      </c>
      <c r="G3286" s="1" t="str">
        <f t="shared" si="6701"/>
        <v>0</v>
      </c>
      <c r="H3286" s="1" t="str">
        <f t="shared" si="6701"/>
        <v>0</v>
      </c>
      <c r="I3286" s="1" t="str">
        <f t="shared" si="6701"/>
        <v>0</v>
      </c>
      <c r="J3286" s="1" t="str">
        <f t="shared" si="6689"/>
        <v>1</v>
      </c>
      <c r="K3286" s="1" t="str">
        <f t="shared" ref="K3286:P3286" si="6702">"0"</f>
        <v>0</v>
      </c>
      <c r="L3286" s="1" t="str">
        <f t="shared" si="6702"/>
        <v>0</v>
      </c>
      <c r="M3286" s="1" t="str">
        <f t="shared" si="6702"/>
        <v>0</v>
      </c>
      <c r="N3286" s="1" t="str">
        <f t="shared" si="6702"/>
        <v>0</v>
      </c>
      <c r="O3286" s="1" t="str">
        <f t="shared" si="6702"/>
        <v>0</v>
      </c>
      <c r="P3286" s="1" t="str">
        <f t="shared" si="6702"/>
        <v>0</v>
      </c>
      <c r="Q3286" s="1" t="str">
        <f t="shared" si="6659"/>
        <v>0.0070</v>
      </c>
      <c r="R3286" s="1" t="s">
        <v>29</v>
      </c>
      <c r="S3286" s="1">
        <v>-0.0014</v>
      </c>
      <c r="T3286" s="1" t="str">
        <f t="shared" si="6660"/>
        <v>0</v>
      </c>
      <c r="U3286" s="1" t="str">
        <f t="shared" si="6698"/>
        <v>0.0056</v>
      </c>
    </row>
    <row r="3287" s="1" customFormat="1" spans="1:21">
      <c r="A3287" s="1" t="str">
        <f>"4601992062553"</f>
        <v>4601992062553</v>
      </c>
      <c r="B3287" s="1" t="s">
        <v>3310</v>
      </c>
      <c r="C3287" s="1" t="s">
        <v>24</v>
      </c>
      <c r="D3287" s="1" t="str">
        <f t="shared" si="6656"/>
        <v>2021</v>
      </c>
      <c r="E3287" s="1" t="str">
        <f t="shared" ref="E3287:P3287" si="6703">"0"</f>
        <v>0</v>
      </c>
      <c r="F3287" s="1" t="str">
        <f t="shared" si="6703"/>
        <v>0</v>
      </c>
      <c r="G3287" s="1" t="str">
        <f t="shared" si="6703"/>
        <v>0</v>
      </c>
      <c r="H3287" s="1" t="str">
        <f t="shared" si="6703"/>
        <v>0</v>
      </c>
      <c r="I3287" s="1" t="str">
        <f t="shared" si="6703"/>
        <v>0</v>
      </c>
      <c r="J3287" s="1" t="str">
        <f t="shared" si="6703"/>
        <v>0</v>
      </c>
      <c r="K3287" s="1" t="str">
        <f t="shared" si="6703"/>
        <v>0</v>
      </c>
      <c r="L3287" s="1" t="str">
        <f t="shared" si="6703"/>
        <v>0</v>
      </c>
      <c r="M3287" s="1" t="str">
        <f t="shared" si="6703"/>
        <v>0</v>
      </c>
      <c r="N3287" s="1" t="str">
        <f t="shared" si="6703"/>
        <v>0</v>
      </c>
      <c r="O3287" s="1" t="str">
        <f t="shared" si="6703"/>
        <v>0</v>
      </c>
      <c r="P3287" s="1" t="str">
        <f t="shared" si="6703"/>
        <v>0</v>
      </c>
      <c r="Q3287" s="1" t="str">
        <f t="shared" si="6659"/>
        <v>0.0070</v>
      </c>
      <c r="R3287" s="1" t="s">
        <v>25</v>
      </c>
      <c r="T3287" s="1" t="str">
        <f t="shared" si="6660"/>
        <v>0</v>
      </c>
      <c r="U3287" s="1" t="str">
        <f t="shared" si="6693"/>
        <v>0.0070</v>
      </c>
    </row>
    <row r="3288" s="1" customFormat="1" spans="1:21">
      <c r="A3288" s="1" t="str">
        <f>"4601992062533"</f>
        <v>4601992062533</v>
      </c>
      <c r="B3288" s="1" t="s">
        <v>3311</v>
      </c>
      <c r="C3288" s="1" t="s">
        <v>24</v>
      </c>
      <c r="D3288" s="1" t="str">
        <f t="shared" si="6656"/>
        <v>2021</v>
      </c>
      <c r="E3288" s="1" t="str">
        <f>"12.09"</f>
        <v>12.09</v>
      </c>
      <c r="F3288" s="1" t="str">
        <f t="shared" ref="F3288:I3288" si="6704">"0"</f>
        <v>0</v>
      </c>
      <c r="G3288" s="1" t="str">
        <f t="shared" si="6704"/>
        <v>0</v>
      </c>
      <c r="H3288" s="1" t="str">
        <f t="shared" si="6704"/>
        <v>0</v>
      </c>
      <c r="I3288" s="1" t="str">
        <f t="shared" si="6704"/>
        <v>0</v>
      </c>
      <c r="J3288" s="1" t="str">
        <f>"1"</f>
        <v>1</v>
      </c>
      <c r="K3288" s="1" t="str">
        <f t="shared" ref="K3288:P3288" si="6705">"0"</f>
        <v>0</v>
      </c>
      <c r="L3288" s="1" t="str">
        <f t="shared" si="6705"/>
        <v>0</v>
      </c>
      <c r="M3288" s="1" t="str">
        <f t="shared" si="6705"/>
        <v>0</v>
      </c>
      <c r="N3288" s="1" t="str">
        <f t="shared" si="6705"/>
        <v>0</v>
      </c>
      <c r="O3288" s="1" t="str">
        <f t="shared" si="6705"/>
        <v>0</v>
      </c>
      <c r="P3288" s="1" t="str">
        <f t="shared" si="6705"/>
        <v>0</v>
      </c>
      <c r="Q3288" s="1" t="str">
        <f t="shared" si="6659"/>
        <v>0.0070</v>
      </c>
      <c r="R3288" s="1" t="s">
        <v>29</v>
      </c>
      <c r="S3288" s="1">
        <v>-0.0014</v>
      </c>
      <c r="T3288" s="1" t="str">
        <f t="shared" si="6660"/>
        <v>0</v>
      </c>
      <c r="U3288" s="1" t="str">
        <f t="shared" ref="U3288:U3294" si="6706">"0.0056"</f>
        <v>0.0056</v>
      </c>
    </row>
    <row r="3289" s="1" customFormat="1" spans="1:21">
      <c r="A3289" s="1" t="str">
        <f>"4601992062513"</f>
        <v>4601992062513</v>
      </c>
      <c r="B3289" s="1" t="s">
        <v>3312</v>
      </c>
      <c r="C3289" s="1" t="s">
        <v>24</v>
      </c>
      <c r="D3289" s="1" t="str">
        <f t="shared" si="6656"/>
        <v>2021</v>
      </c>
      <c r="E3289" s="1" t="str">
        <f>"24.07"</f>
        <v>24.07</v>
      </c>
      <c r="F3289" s="1" t="str">
        <f t="shared" ref="F3289:I3289" si="6707">"0"</f>
        <v>0</v>
      </c>
      <c r="G3289" s="1" t="str">
        <f t="shared" si="6707"/>
        <v>0</v>
      </c>
      <c r="H3289" s="1" t="str">
        <f t="shared" si="6707"/>
        <v>0</v>
      </c>
      <c r="I3289" s="1" t="str">
        <f t="shared" si="6707"/>
        <v>0</v>
      </c>
      <c r="J3289" s="1" t="str">
        <f>"2"</f>
        <v>2</v>
      </c>
      <c r="K3289" s="1" t="str">
        <f t="shared" ref="K3289:P3289" si="6708">"0"</f>
        <v>0</v>
      </c>
      <c r="L3289" s="1" t="str">
        <f t="shared" si="6708"/>
        <v>0</v>
      </c>
      <c r="M3289" s="1" t="str">
        <f t="shared" si="6708"/>
        <v>0</v>
      </c>
      <c r="N3289" s="1" t="str">
        <f t="shared" si="6708"/>
        <v>0</v>
      </c>
      <c r="O3289" s="1" t="str">
        <f t="shared" si="6708"/>
        <v>0</v>
      </c>
      <c r="P3289" s="1" t="str">
        <f t="shared" si="6708"/>
        <v>0</v>
      </c>
      <c r="Q3289" s="1" t="str">
        <f t="shared" si="6659"/>
        <v>0.0070</v>
      </c>
      <c r="R3289" s="1" t="s">
        <v>29</v>
      </c>
      <c r="S3289" s="1">
        <v>-0.0014</v>
      </c>
      <c r="T3289" s="1" t="str">
        <f t="shared" si="6660"/>
        <v>0</v>
      </c>
      <c r="U3289" s="1" t="str">
        <f t="shared" si="6706"/>
        <v>0.0056</v>
      </c>
    </row>
    <row r="3290" s="1" customFormat="1" spans="1:21">
      <c r="A3290" s="1" t="str">
        <f>"4601992062639"</f>
        <v>4601992062639</v>
      </c>
      <c r="B3290" s="1" t="s">
        <v>3313</v>
      </c>
      <c r="C3290" s="1" t="s">
        <v>24</v>
      </c>
      <c r="D3290" s="1" t="str">
        <f t="shared" si="6656"/>
        <v>2021</v>
      </c>
      <c r="E3290" s="1" t="str">
        <f t="shared" ref="E3290:P3290" si="6709">"0"</f>
        <v>0</v>
      </c>
      <c r="F3290" s="1" t="str">
        <f t="shared" si="6709"/>
        <v>0</v>
      </c>
      <c r="G3290" s="1" t="str">
        <f t="shared" si="6709"/>
        <v>0</v>
      </c>
      <c r="H3290" s="1" t="str">
        <f t="shared" si="6709"/>
        <v>0</v>
      </c>
      <c r="I3290" s="1" t="str">
        <f t="shared" si="6709"/>
        <v>0</v>
      </c>
      <c r="J3290" s="1" t="str">
        <f t="shared" si="6709"/>
        <v>0</v>
      </c>
      <c r="K3290" s="1" t="str">
        <f t="shared" si="6709"/>
        <v>0</v>
      </c>
      <c r="L3290" s="1" t="str">
        <f t="shared" si="6709"/>
        <v>0</v>
      </c>
      <c r="M3290" s="1" t="str">
        <f t="shared" si="6709"/>
        <v>0</v>
      </c>
      <c r="N3290" s="1" t="str">
        <f t="shared" si="6709"/>
        <v>0</v>
      </c>
      <c r="O3290" s="1" t="str">
        <f t="shared" si="6709"/>
        <v>0</v>
      </c>
      <c r="P3290" s="1" t="str">
        <f t="shared" si="6709"/>
        <v>0</v>
      </c>
      <c r="Q3290" s="1" t="str">
        <f t="shared" si="6659"/>
        <v>0.0070</v>
      </c>
      <c r="R3290" s="1" t="s">
        <v>25</v>
      </c>
      <c r="T3290" s="1" t="str">
        <f t="shared" si="6660"/>
        <v>0</v>
      </c>
      <c r="U3290" s="1" t="str">
        <f t="shared" ref="U3290:U3292" si="6710">"0.0070"</f>
        <v>0.0070</v>
      </c>
    </row>
    <row r="3291" s="1" customFormat="1" spans="1:21">
      <c r="A3291" s="1" t="str">
        <f>"4601992062758"</f>
        <v>4601992062758</v>
      </c>
      <c r="B3291" s="1" t="s">
        <v>3314</v>
      </c>
      <c r="C3291" s="1" t="s">
        <v>24</v>
      </c>
      <c r="D3291" s="1" t="str">
        <f t="shared" si="6656"/>
        <v>2021</v>
      </c>
      <c r="E3291" s="1" t="str">
        <f t="shared" ref="E3291:P3291" si="6711">"0"</f>
        <v>0</v>
      </c>
      <c r="F3291" s="1" t="str">
        <f t="shared" si="6711"/>
        <v>0</v>
      </c>
      <c r="G3291" s="1" t="str">
        <f t="shared" si="6711"/>
        <v>0</v>
      </c>
      <c r="H3291" s="1" t="str">
        <f t="shared" si="6711"/>
        <v>0</v>
      </c>
      <c r="I3291" s="1" t="str">
        <f t="shared" si="6711"/>
        <v>0</v>
      </c>
      <c r="J3291" s="1" t="str">
        <f t="shared" si="6711"/>
        <v>0</v>
      </c>
      <c r="K3291" s="1" t="str">
        <f t="shared" si="6711"/>
        <v>0</v>
      </c>
      <c r="L3291" s="1" t="str">
        <f t="shared" si="6711"/>
        <v>0</v>
      </c>
      <c r="M3291" s="1" t="str">
        <f t="shared" si="6711"/>
        <v>0</v>
      </c>
      <c r="N3291" s="1" t="str">
        <f t="shared" si="6711"/>
        <v>0</v>
      </c>
      <c r="O3291" s="1" t="str">
        <f t="shared" si="6711"/>
        <v>0</v>
      </c>
      <c r="P3291" s="1" t="str">
        <f t="shared" si="6711"/>
        <v>0</v>
      </c>
      <c r="Q3291" s="1" t="str">
        <f t="shared" si="6659"/>
        <v>0.0070</v>
      </c>
      <c r="R3291" s="1" t="s">
        <v>25</v>
      </c>
      <c r="T3291" s="1" t="str">
        <f t="shared" si="6660"/>
        <v>0</v>
      </c>
      <c r="U3291" s="1" t="str">
        <f t="shared" si="6710"/>
        <v>0.0070</v>
      </c>
    </row>
    <row r="3292" s="1" customFormat="1" spans="1:21">
      <c r="A3292" s="1" t="str">
        <f>"4601992062795"</f>
        <v>4601992062795</v>
      </c>
      <c r="B3292" s="1" t="s">
        <v>3315</v>
      </c>
      <c r="C3292" s="1" t="s">
        <v>24</v>
      </c>
      <c r="D3292" s="1" t="str">
        <f t="shared" si="6656"/>
        <v>2021</v>
      </c>
      <c r="E3292" s="1" t="str">
        <f t="shared" ref="E3292:P3292" si="6712">"0"</f>
        <v>0</v>
      </c>
      <c r="F3292" s="1" t="str">
        <f t="shared" si="6712"/>
        <v>0</v>
      </c>
      <c r="G3292" s="1" t="str">
        <f t="shared" si="6712"/>
        <v>0</v>
      </c>
      <c r="H3292" s="1" t="str">
        <f t="shared" si="6712"/>
        <v>0</v>
      </c>
      <c r="I3292" s="1" t="str">
        <f t="shared" si="6712"/>
        <v>0</v>
      </c>
      <c r="J3292" s="1" t="str">
        <f t="shared" si="6712"/>
        <v>0</v>
      </c>
      <c r="K3292" s="1" t="str">
        <f t="shared" si="6712"/>
        <v>0</v>
      </c>
      <c r="L3292" s="1" t="str">
        <f t="shared" si="6712"/>
        <v>0</v>
      </c>
      <c r="M3292" s="1" t="str">
        <f t="shared" si="6712"/>
        <v>0</v>
      </c>
      <c r="N3292" s="1" t="str">
        <f t="shared" si="6712"/>
        <v>0</v>
      </c>
      <c r="O3292" s="1" t="str">
        <f t="shared" si="6712"/>
        <v>0</v>
      </c>
      <c r="P3292" s="1" t="str">
        <f t="shared" si="6712"/>
        <v>0</v>
      </c>
      <c r="Q3292" s="1" t="str">
        <f t="shared" si="6659"/>
        <v>0.0070</v>
      </c>
      <c r="R3292" s="1" t="s">
        <v>25</v>
      </c>
      <c r="T3292" s="1" t="str">
        <f t="shared" si="6660"/>
        <v>0</v>
      </c>
      <c r="U3292" s="1" t="str">
        <f t="shared" si="6710"/>
        <v>0.0070</v>
      </c>
    </row>
    <row r="3293" s="1" customFormat="1" spans="1:21">
      <c r="A3293" s="1" t="str">
        <f>"4601992040372"</f>
        <v>4601992040372</v>
      </c>
      <c r="B3293" s="1" t="s">
        <v>3316</v>
      </c>
      <c r="C3293" s="1" t="s">
        <v>24</v>
      </c>
      <c r="D3293" s="1" t="str">
        <f t="shared" si="6656"/>
        <v>2021</v>
      </c>
      <c r="E3293" s="1" t="str">
        <f>"36.75"</f>
        <v>36.75</v>
      </c>
      <c r="F3293" s="1" t="str">
        <f t="shared" ref="F3293:I3293" si="6713">"0"</f>
        <v>0</v>
      </c>
      <c r="G3293" s="1" t="str">
        <f t="shared" si="6713"/>
        <v>0</v>
      </c>
      <c r="H3293" s="1" t="str">
        <f t="shared" si="6713"/>
        <v>0</v>
      </c>
      <c r="I3293" s="1" t="str">
        <f t="shared" si="6713"/>
        <v>0</v>
      </c>
      <c r="J3293" s="1" t="str">
        <f>"3"</f>
        <v>3</v>
      </c>
      <c r="K3293" s="1" t="str">
        <f t="shared" ref="K3293:P3293" si="6714">"0"</f>
        <v>0</v>
      </c>
      <c r="L3293" s="1" t="str">
        <f t="shared" si="6714"/>
        <v>0</v>
      </c>
      <c r="M3293" s="1" t="str">
        <f t="shared" si="6714"/>
        <v>0</v>
      </c>
      <c r="N3293" s="1" t="str">
        <f t="shared" si="6714"/>
        <v>0</v>
      </c>
      <c r="O3293" s="1" t="str">
        <f t="shared" si="6714"/>
        <v>0</v>
      </c>
      <c r="P3293" s="1" t="str">
        <f t="shared" si="6714"/>
        <v>0</v>
      </c>
      <c r="Q3293" s="1" t="str">
        <f t="shared" si="6659"/>
        <v>0.0070</v>
      </c>
      <c r="R3293" s="1" t="s">
        <v>29</v>
      </c>
      <c r="S3293" s="1">
        <v>-0.0014</v>
      </c>
      <c r="T3293" s="1" t="str">
        <f t="shared" si="6660"/>
        <v>0</v>
      </c>
      <c r="U3293" s="1" t="str">
        <f t="shared" si="6706"/>
        <v>0.0056</v>
      </c>
    </row>
    <row r="3294" s="1" customFormat="1" spans="1:21">
      <c r="A3294" s="1" t="str">
        <f>"4601992062727"</f>
        <v>4601992062727</v>
      </c>
      <c r="B3294" s="1" t="s">
        <v>3317</v>
      </c>
      <c r="C3294" s="1" t="s">
        <v>24</v>
      </c>
      <c r="D3294" s="1" t="str">
        <f t="shared" si="6656"/>
        <v>2021</v>
      </c>
      <c r="E3294" s="1" t="str">
        <f>"48.36"</f>
        <v>48.36</v>
      </c>
      <c r="F3294" s="1" t="str">
        <f t="shared" ref="F3294:I3294" si="6715">"0"</f>
        <v>0</v>
      </c>
      <c r="G3294" s="1" t="str">
        <f t="shared" si="6715"/>
        <v>0</v>
      </c>
      <c r="H3294" s="1" t="str">
        <f t="shared" si="6715"/>
        <v>0</v>
      </c>
      <c r="I3294" s="1" t="str">
        <f t="shared" si="6715"/>
        <v>0</v>
      </c>
      <c r="J3294" s="1" t="str">
        <f>"4"</f>
        <v>4</v>
      </c>
      <c r="K3294" s="1" t="str">
        <f t="shared" ref="K3294:P3294" si="6716">"0"</f>
        <v>0</v>
      </c>
      <c r="L3294" s="1" t="str">
        <f t="shared" si="6716"/>
        <v>0</v>
      </c>
      <c r="M3294" s="1" t="str">
        <f t="shared" si="6716"/>
        <v>0</v>
      </c>
      <c r="N3294" s="1" t="str">
        <f t="shared" si="6716"/>
        <v>0</v>
      </c>
      <c r="O3294" s="1" t="str">
        <f t="shared" si="6716"/>
        <v>0</v>
      </c>
      <c r="P3294" s="1" t="str">
        <f t="shared" si="6716"/>
        <v>0</v>
      </c>
      <c r="Q3294" s="1" t="str">
        <f t="shared" si="6659"/>
        <v>0.0070</v>
      </c>
      <c r="R3294" s="1" t="s">
        <v>29</v>
      </c>
      <c r="S3294" s="1">
        <v>-0.0014</v>
      </c>
      <c r="T3294" s="1" t="str">
        <f t="shared" si="6660"/>
        <v>0</v>
      </c>
      <c r="U3294" s="1" t="str">
        <f t="shared" si="6706"/>
        <v>0.0056</v>
      </c>
    </row>
    <row r="3295" s="1" customFormat="1" spans="1:21">
      <c r="A3295" s="1" t="str">
        <f>"4601992062902"</f>
        <v>4601992062902</v>
      </c>
      <c r="B3295" s="1" t="s">
        <v>3318</v>
      </c>
      <c r="C3295" s="1" t="s">
        <v>24</v>
      </c>
      <c r="D3295" s="1" t="str">
        <f t="shared" si="6656"/>
        <v>2021</v>
      </c>
      <c r="E3295" s="1" t="str">
        <f t="shared" ref="E3295:P3295" si="6717">"0"</f>
        <v>0</v>
      </c>
      <c r="F3295" s="1" t="str">
        <f t="shared" si="6717"/>
        <v>0</v>
      </c>
      <c r="G3295" s="1" t="str">
        <f t="shared" si="6717"/>
        <v>0</v>
      </c>
      <c r="H3295" s="1" t="str">
        <f t="shared" si="6717"/>
        <v>0</v>
      </c>
      <c r="I3295" s="1" t="str">
        <f t="shared" si="6717"/>
        <v>0</v>
      </c>
      <c r="J3295" s="1" t="str">
        <f t="shared" si="6717"/>
        <v>0</v>
      </c>
      <c r="K3295" s="1" t="str">
        <f t="shared" si="6717"/>
        <v>0</v>
      </c>
      <c r="L3295" s="1" t="str">
        <f t="shared" si="6717"/>
        <v>0</v>
      </c>
      <c r="M3295" s="1" t="str">
        <f t="shared" si="6717"/>
        <v>0</v>
      </c>
      <c r="N3295" s="1" t="str">
        <f t="shared" si="6717"/>
        <v>0</v>
      </c>
      <c r="O3295" s="1" t="str">
        <f t="shared" si="6717"/>
        <v>0</v>
      </c>
      <c r="P3295" s="1" t="str">
        <f t="shared" si="6717"/>
        <v>0</v>
      </c>
      <c r="Q3295" s="1" t="str">
        <f t="shared" si="6659"/>
        <v>0.0070</v>
      </c>
      <c r="R3295" s="1" t="s">
        <v>25</v>
      </c>
      <c r="T3295" s="1" t="str">
        <f t="shared" si="6660"/>
        <v>0</v>
      </c>
      <c r="U3295" s="1" t="str">
        <f t="shared" ref="U3295:U3309" si="6718">"0.0070"</f>
        <v>0.0070</v>
      </c>
    </row>
    <row r="3296" s="1" customFormat="1" spans="1:21">
      <c r="A3296" s="1" t="str">
        <f>"4601992062972"</f>
        <v>4601992062972</v>
      </c>
      <c r="B3296" s="1" t="s">
        <v>3319</v>
      </c>
      <c r="C3296" s="1" t="s">
        <v>24</v>
      </c>
      <c r="D3296" s="1" t="str">
        <f t="shared" si="6656"/>
        <v>2021</v>
      </c>
      <c r="E3296" s="1" t="str">
        <f t="shared" ref="E3296:P3296" si="6719">"0"</f>
        <v>0</v>
      </c>
      <c r="F3296" s="1" t="str">
        <f t="shared" si="6719"/>
        <v>0</v>
      </c>
      <c r="G3296" s="1" t="str">
        <f t="shared" si="6719"/>
        <v>0</v>
      </c>
      <c r="H3296" s="1" t="str">
        <f t="shared" si="6719"/>
        <v>0</v>
      </c>
      <c r="I3296" s="1" t="str">
        <f t="shared" si="6719"/>
        <v>0</v>
      </c>
      <c r="J3296" s="1" t="str">
        <f t="shared" si="6719"/>
        <v>0</v>
      </c>
      <c r="K3296" s="1" t="str">
        <f t="shared" si="6719"/>
        <v>0</v>
      </c>
      <c r="L3296" s="1" t="str">
        <f t="shared" si="6719"/>
        <v>0</v>
      </c>
      <c r="M3296" s="1" t="str">
        <f t="shared" si="6719"/>
        <v>0</v>
      </c>
      <c r="N3296" s="1" t="str">
        <f t="shared" si="6719"/>
        <v>0</v>
      </c>
      <c r="O3296" s="1" t="str">
        <f t="shared" si="6719"/>
        <v>0</v>
      </c>
      <c r="P3296" s="1" t="str">
        <f t="shared" si="6719"/>
        <v>0</v>
      </c>
      <c r="Q3296" s="1" t="str">
        <f t="shared" si="6659"/>
        <v>0.0070</v>
      </c>
      <c r="R3296" s="1" t="s">
        <v>25</v>
      </c>
      <c r="T3296" s="1" t="str">
        <f t="shared" si="6660"/>
        <v>0</v>
      </c>
      <c r="U3296" s="1" t="str">
        <f t="shared" si="6718"/>
        <v>0.0070</v>
      </c>
    </row>
    <row r="3297" s="1" customFormat="1" spans="1:21">
      <c r="A3297" s="1" t="str">
        <f>"4601992062990"</f>
        <v>4601992062990</v>
      </c>
      <c r="B3297" s="1" t="s">
        <v>3320</v>
      </c>
      <c r="C3297" s="1" t="s">
        <v>24</v>
      </c>
      <c r="D3297" s="1" t="str">
        <f t="shared" si="6656"/>
        <v>2021</v>
      </c>
      <c r="E3297" s="1" t="str">
        <f t="shared" ref="E3297:P3297" si="6720">"0"</f>
        <v>0</v>
      </c>
      <c r="F3297" s="1" t="str">
        <f t="shared" si="6720"/>
        <v>0</v>
      </c>
      <c r="G3297" s="1" t="str">
        <f t="shared" si="6720"/>
        <v>0</v>
      </c>
      <c r="H3297" s="1" t="str">
        <f t="shared" si="6720"/>
        <v>0</v>
      </c>
      <c r="I3297" s="1" t="str">
        <f t="shared" si="6720"/>
        <v>0</v>
      </c>
      <c r="J3297" s="1" t="str">
        <f t="shared" si="6720"/>
        <v>0</v>
      </c>
      <c r="K3297" s="1" t="str">
        <f t="shared" si="6720"/>
        <v>0</v>
      </c>
      <c r="L3297" s="1" t="str">
        <f t="shared" si="6720"/>
        <v>0</v>
      </c>
      <c r="M3297" s="1" t="str">
        <f t="shared" si="6720"/>
        <v>0</v>
      </c>
      <c r="N3297" s="1" t="str">
        <f t="shared" si="6720"/>
        <v>0</v>
      </c>
      <c r="O3297" s="1" t="str">
        <f t="shared" si="6720"/>
        <v>0</v>
      </c>
      <c r="P3297" s="1" t="str">
        <f t="shared" si="6720"/>
        <v>0</v>
      </c>
      <c r="Q3297" s="1" t="str">
        <f t="shared" si="6659"/>
        <v>0.0070</v>
      </c>
      <c r="R3297" s="1" t="s">
        <v>25</v>
      </c>
      <c r="T3297" s="1" t="str">
        <f t="shared" si="6660"/>
        <v>0</v>
      </c>
      <c r="U3297" s="1" t="str">
        <f t="shared" si="6718"/>
        <v>0.0070</v>
      </c>
    </row>
    <row r="3298" s="1" customFormat="1" spans="1:21">
      <c r="A3298" s="1" t="str">
        <f>"4601992062875"</f>
        <v>4601992062875</v>
      </c>
      <c r="B3298" s="1" t="s">
        <v>3321</v>
      </c>
      <c r="C3298" s="1" t="s">
        <v>24</v>
      </c>
      <c r="D3298" s="1" t="str">
        <f t="shared" si="6656"/>
        <v>2021</v>
      </c>
      <c r="E3298" s="1" t="str">
        <f t="shared" ref="E3298:I3298" si="6721">"0"</f>
        <v>0</v>
      </c>
      <c r="F3298" s="1" t="str">
        <f t="shared" si="6721"/>
        <v>0</v>
      </c>
      <c r="G3298" s="1" t="str">
        <f t="shared" si="6721"/>
        <v>0</v>
      </c>
      <c r="H3298" s="1" t="str">
        <f t="shared" si="6721"/>
        <v>0</v>
      </c>
      <c r="I3298" s="1" t="str">
        <f t="shared" si="6721"/>
        <v>0</v>
      </c>
      <c r="J3298" s="1" t="str">
        <f>"2"</f>
        <v>2</v>
      </c>
      <c r="K3298" s="1" t="str">
        <f t="shared" ref="K3298:P3298" si="6722">"0"</f>
        <v>0</v>
      </c>
      <c r="L3298" s="1" t="str">
        <f t="shared" si="6722"/>
        <v>0</v>
      </c>
      <c r="M3298" s="1" t="str">
        <f t="shared" si="6722"/>
        <v>0</v>
      </c>
      <c r="N3298" s="1" t="str">
        <f t="shared" si="6722"/>
        <v>0</v>
      </c>
      <c r="O3298" s="1" t="str">
        <f t="shared" si="6722"/>
        <v>0</v>
      </c>
      <c r="P3298" s="1" t="str">
        <f t="shared" si="6722"/>
        <v>0</v>
      </c>
      <c r="Q3298" s="1" t="str">
        <f t="shared" si="6659"/>
        <v>0.0070</v>
      </c>
      <c r="R3298" s="1" t="s">
        <v>25</v>
      </c>
      <c r="T3298" s="1" t="str">
        <f t="shared" si="6660"/>
        <v>0</v>
      </c>
      <c r="U3298" s="1" t="str">
        <f t="shared" si="6718"/>
        <v>0.0070</v>
      </c>
    </row>
    <row r="3299" s="1" customFormat="1" spans="1:21">
      <c r="A3299" s="1" t="str">
        <f>"4601992063052"</f>
        <v>4601992063052</v>
      </c>
      <c r="B3299" s="1" t="s">
        <v>3322</v>
      </c>
      <c r="C3299" s="1" t="s">
        <v>24</v>
      </c>
      <c r="D3299" s="1" t="str">
        <f t="shared" si="6656"/>
        <v>2021</v>
      </c>
      <c r="E3299" s="1" t="str">
        <f t="shared" ref="E3299:P3299" si="6723">"0"</f>
        <v>0</v>
      </c>
      <c r="F3299" s="1" t="str">
        <f t="shared" si="6723"/>
        <v>0</v>
      </c>
      <c r="G3299" s="1" t="str">
        <f t="shared" si="6723"/>
        <v>0</v>
      </c>
      <c r="H3299" s="1" t="str">
        <f t="shared" si="6723"/>
        <v>0</v>
      </c>
      <c r="I3299" s="1" t="str">
        <f t="shared" si="6723"/>
        <v>0</v>
      </c>
      <c r="J3299" s="1" t="str">
        <f t="shared" si="6723"/>
        <v>0</v>
      </c>
      <c r="K3299" s="1" t="str">
        <f t="shared" si="6723"/>
        <v>0</v>
      </c>
      <c r="L3299" s="1" t="str">
        <f t="shared" si="6723"/>
        <v>0</v>
      </c>
      <c r="M3299" s="1" t="str">
        <f t="shared" si="6723"/>
        <v>0</v>
      </c>
      <c r="N3299" s="1" t="str">
        <f t="shared" si="6723"/>
        <v>0</v>
      </c>
      <c r="O3299" s="1" t="str">
        <f t="shared" si="6723"/>
        <v>0</v>
      </c>
      <c r="P3299" s="1" t="str">
        <f t="shared" si="6723"/>
        <v>0</v>
      </c>
      <c r="Q3299" s="1" t="str">
        <f t="shared" si="6659"/>
        <v>0.0070</v>
      </c>
      <c r="R3299" s="1" t="s">
        <v>25</v>
      </c>
      <c r="T3299" s="1" t="str">
        <f t="shared" si="6660"/>
        <v>0</v>
      </c>
      <c r="U3299" s="1" t="str">
        <f t="shared" si="6718"/>
        <v>0.0070</v>
      </c>
    </row>
    <row r="3300" s="1" customFormat="1" spans="1:21">
      <c r="A3300" s="1" t="str">
        <f>"4601992063089"</f>
        <v>4601992063089</v>
      </c>
      <c r="B3300" s="1" t="s">
        <v>3323</v>
      </c>
      <c r="C3300" s="1" t="s">
        <v>24</v>
      </c>
      <c r="D3300" s="1" t="str">
        <f t="shared" si="6656"/>
        <v>2021</v>
      </c>
      <c r="E3300" s="1" t="str">
        <f t="shared" ref="E3300:P3300" si="6724">"0"</f>
        <v>0</v>
      </c>
      <c r="F3300" s="1" t="str">
        <f t="shared" si="6724"/>
        <v>0</v>
      </c>
      <c r="G3300" s="1" t="str">
        <f t="shared" si="6724"/>
        <v>0</v>
      </c>
      <c r="H3300" s="1" t="str">
        <f t="shared" si="6724"/>
        <v>0</v>
      </c>
      <c r="I3300" s="1" t="str">
        <f t="shared" si="6724"/>
        <v>0</v>
      </c>
      <c r="J3300" s="1" t="str">
        <f t="shared" si="6724"/>
        <v>0</v>
      </c>
      <c r="K3300" s="1" t="str">
        <f t="shared" si="6724"/>
        <v>0</v>
      </c>
      <c r="L3300" s="1" t="str">
        <f t="shared" si="6724"/>
        <v>0</v>
      </c>
      <c r="M3300" s="1" t="str">
        <f t="shared" si="6724"/>
        <v>0</v>
      </c>
      <c r="N3300" s="1" t="str">
        <f t="shared" si="6724"/>
        <v>0</v>
      </c>
      <c r="O3300" s="1" t="str">
        <f t="shared" si="6724"/>
        <v>0</v>
      </c>
      <c r="P3300" s="1" t="str">
        <f t="shared" si="6724"/>
        <v>0</v>
      </c>
      <c r="Q3300" s="1" t="str">
        <f t="shared" si="6659"/>
        <v>0.0070</v>
      </c>
      <c r="R3300" s="1" t="s">
        <v>25</v>
      </c>
      <c r="T3300" s="1" t="str">
        <f t="shared" si="6660"/>
        <v>0</v>
      </c>
      <c r="U3300" s="1" t="str">
        <f t="shared" si="6718"/>
        <v>0.0070</v>
      </c>
    </row>
    <row r="3301" s="1" customFormat="1" spans="1:21">
      <c r="A3301" s="1" t="str">
        <f>"4601992063071"</f>
        <v>4601992063071</v>
      </c>
      <c r="B3301" s="1" t="s">
        <v>3324</v>
      </c>
      <c r="C3301" s="1" t="s">
        <v>24</v>
      </c>
      <c r="D3301" s="1" t="str">
        <f t="shared" si="6656"/>
        <v>2021</v>
      </c>
      <c r="E3301" s="1" t="str">
        <f t="shared" ref="E3301:I3301" si="6725">"0"</f>
        <v>0</v>
      </c>
      <c r="F3301" s="1" t="str">
        <f t="shared" si="6725"/>
        <v>0</v>
      </c>
      <c r="G3301" s="1" t="str">
        <f t="shared" si="6725"/>
        <v>0</v>
      </c>
      <c r="H3301" s="1" t="str">
        <f t="shared" si="6725"/>
        <v>0</v>
      </c>
      <c r="I3301" s="1" t="str">
        <f t="shared" si="6725"/>
        <v>0</v>
      </c>
      <c r="J3301" s="1" t="str">
        <f>"3"</f>
        <v>3</v>
      </c>
      <c r="K3301" s="1" t="str">
        <f t="shared" ref="K3301:P3301" si="6726">"0"</f>
        <v>0</v>
      </c>
      <c r="L3301" s="1" t="str">
        <f t="shared" si="6726"/>
        <v>0</v>
      </c>
      <c r="M3301" s="1" t="str">
        <f t="shared" si="6726"/>
        <v>0</v>
      </c>
      <c r="N3301" s="1" t="str">
        <f t="shared" si="6726"/>
        <v>0</v>
      </c>
      <c r="O3301" s="1" t="str">
        <f t="shared" si="6726"/>
        <v>0</v>
      </c>
      <c r="P3301" s="1" t="str">
        <f t="shared" si="6726"/>
        <v>0</v>
      </c>
      <c r="Q3301" s="1" t="str">
        <f t="shared" si="6659"/>
        <v>0.0070</v>
      </c>
      <c r="R3301" s="1" t="s">
        <v>25</v>
      </c>
      <c r="T3301" s="1" t="str">
        <f t="shared" si="6660"/>
        <v>0</v>
      </c>
      <c r="U3301" s="1" t="str">
        <f t="shared" si="6718"/>
        <v>0.0070</v>
      </c>
    </row>
    <row r="3302" s="1" customFormat="1" spans="1:21">
      <c r="A3302" s="1" t="str">
        <f>"4601992063144"</f>
        <v>4601992063144</v>
      </c>
      <c r="B3302" s="1" t="s">
        <v>3325</v>
      </c>
      <c r="C3302" s="1" t="s">
        <v>24</v>
      </c>
      <c r="D3302" s="1" t="str">
        <f t="shared" si="6656"/>
        <v>2021</v>
      </c>
      <c r="E3302" s="1" t="str">
        <f t="shared" ref="E3302:P3302" si="6727">"0"</f>
        <v>0</v>
      </c>
      <c r="F3302" s="1" t="str">
        <f t="shared" si="6727"/>
        <v>0</v>
      </c>
      <c r="G3302" s="1" t="str">
        <f t="shared" si="6727"/>
        <v>0</v>
      </c>
      <c r="H3302" s="1" t="str">
        <f t="shared" si="6727"/>
        <v>0</v>
      </c>
      <c r="I3302" s="1" t="str">
        <f t="shared" si="6727"/>
        <v>0</v>
      </c>
      <c r="J3302" s="1" t="str">
        <f t="shared" si="6727"/>
        <v>0</v>
      </c>
      <c r="K3302" s="1" t="str">
        <f t="shared" si="6727"/>
        <v>0</v>
      </c>
      <c r="L3302" s="1" t="str">
        <f t="shared" si="6727"/>
        <v>0</v>
      </c>
      <c r="M3302" s="1" t="str">
        <f t="shared" si="6727"/>
        <v>0</v>
      </c>
      <c r="N3302" s="1" t="str">
        <f t="shared" si="6727"/>
        <v>0</v>
      </c>
      <c r="O3302" s="1" t="str">
        <f t="shared" si="6727"/>
        <v>0</v>
      </c>
      <c r="P3302" s="1" t="str">
        <f t="shared" si="6727"/>
        <v>0</v>
      </c>
      <c r="Q3302" s="1" t="str">
        <f t="shared" si="6659"/>
        <v>0.0070</v>
      </c>
      <c r="R3302" s="1" t="s">
        <v>25</v>
      </c>
      <c r="T3302" s="1" t="str">
        <f t="shared" si="6660"/>
        <v>0</v>
      </c>
      <c r="U3302" s="1" t="str">
        <f t="shared" si="6718"/>
        <v>0.0070</v>
      </c>
    </row>
    <row r="3303" s="1" customFormat="1" spans="1:21">
      <c r="A3303" s="1" t="str">
        <f>"4601992063120"</f>
        <v>4601992063120</v>
      </c>
      <c r="B3303" s="1" t="s">
        <v>3326</v>
      </c>
      <c r="C3303" s="1" t="s">
        <v>24</v>
      </c>
      <c r="D3303" s="1" t="str">
        <f t="shared" si="6656"/>
        <v>2021</v>
      </c>
      <c r="E3303" s="1" t="str">
        <f t="shared" ref="E3303:I3303" si="6728">"0"</f>
        <v>0</v>
      </c>
      <c r="F3303" s="1" t="str">
        <f t="shared" si="6728"/>
        <v>0</v>
      </c>
      <c r="G3303" s="1" t="str">
        <f t="shared" si="6728"/>
        <v>0</v>
      </c>
      <c r="H3303" s="1" t="str">
        <f t="shared" si="6728"/>
        <v>0</v>
      </c>
      <c r="I3303" s="1" t="str">
        <f t="shared" si="6728"/>
        <v>0</v>
      </c>
      <c r="J3303" s="1" t="str">
        <f>"1"</f>
        <v>1</v>
      </c>
      <c r="K3303" s="1" t="str">
        <f t="shared" ref="K3303:P3303" si="6729">"0"</f>
        <v>0</v>
      </c>
      <c r="L3303" s="1" t="str">
        <f t="shared" si="6729"/>
        <v>0</v>
      </c>
      <c r="M3303" s="1" t="str">
        <f t="shared" si="6729"/>
        <v>0</v>
      </c>
      <c r="N3303" s="1" t="str">
        <f t="shared" si="6729"/>
        <v>0</v>
      </c>
      <c r="O3303" s="1" t="str">
        <f t="shared" si="6729"/>
        <v>0</v>
      </c>
      <c r="P3303" s="1" t="str">
        <f t="shared" si="6729"/>
        <v>0</v>
      </c>
      <c r="Q3303" s="1" t="str">
        <f t="shared" si="6659"/>
        <v>0.0070</v>
      </c>
      <c r="R3303" s="1" t="s">
        <v>25</v>
      </c>
      <c r="T3303" s="1" t="str">
        <f t="shared" si="6660"/>
        <v>0</v>
      </c>
      <c r="U3303" s="1" t="str">
        <f t="shared" si="6718"/>
        <v>0.0070</v>
      </c>
    </row>
    <row r="3304" s="1" customFormat="1" spans="1:21">
      <c r="A3304" s="1" t="str">
        <f>"4601992063346"</f>
        <v>4601992063346</v>
      </c>
      <c r="B3304" s="1" t="s">
        <v>3327</v>
      </c>
      <c r="C3304" s="1" t="s">
        <v>24</v>
      </c>
      <c r="D3304" s="1" t="str">
        <f t="shared" si="6656"/>
        <v>2021</v>
      </c>
      <c r="E3304" s="1" t="str">
        <f t="shared" ref="E3304:P3304" si="6730">"0"</f>
        <v>0</v>
      </c>
      <c r="F3304" s="1" t="str">
        <f t="shared" si="6730"/>
        <v>0</v>
      </c>
      <c r="G3304" s="1" t="str">
        <f t="shared" si="6730"/>
        <v>0</v>
      </c>
      <c r="H3304" s="1" t="str">
        <f t="shared" si="6730"/>
        <v>0</v>
      </c>
      <c r="I3304" s="1" t="str">
        <f t="shared" si="6730"/>
        <v>0</v>
      </c>
      <c r="J3304" s="1" t="str">
        <f t="shared" si="6730"/>
        <v>0</v>
      </c>
      <c r="K3304" s="1" t="str">
        <f t="shared" si="6730"/>
        <v>0</v>
      </c>
      <c r="L3304" s="1" t="str">
        <f t="shared" si="6730"/>
        <v>0</v>
      </c>
      <c r="M3304" s="1" t="str">
        <f t="shared" si="6730"/>
        <v>0</v>
      </c>
      <c r="N3304" s="1" t="str">
        <f t="shared" si="6730"/>
        <v>0</v>
      </c>
      <c r="O3304" s="1" t="str">
        <f t="shared" si="6730"/>
        <v>0</v>
      </c>
      <c r="P3304" s="1" t="str">
        <f t="shared" si="6730"/>
        <v>0</v>
      </c>
      <c r="Q3304" s="1" t="str">
        <f t="shared" si="6659"/>
        <v>0.0070</v>
      </c>
      <c r="R3304" s="1" t="s">
        <v>25</v>
      </c>
      <c r="T3304" s="1" t="str">
        <f t="shared" si="6660"/>
        <v>0</v>
      </c>
      <c r="U3304" s="1" t="str">
        <f t="shared" si="6718"/>
        <v>0.0070</v>
      </c>
    </row>
    <row r="3305" s="1" customFormat="1" spans="1:21">
      <c r="A3305" s="1" t="str">
        <f>"4601992063417"</f>
        <v>4601992063417</v>
      </c>
      <c r="B3305" s="1" t="s">
        <v>3328</v>
      </c>
      <c r="C3305" s="1" t="s">
        <v>24</v>
      </c>
      <c r="D3305" s="1" t="str">
        <f t="shared" si="6656"/>
        <v>2021</v>
      </c>
      <c r="E3305" s="1" t="str">
        <f t="shared" ref="E3305:P3305" si="6731">"0"</f>
        <v>0</v>
      </c>
      <c r="F3305" s="1" t="str">
        <f t="shared" si="6731"/>
        <v>0</v>
      </c>
      <c r="G3305" s="1" t="str">
        <f t="shared" si="6731"/>
        <v>0</v>
      </c>
      <c r="H3305" s="1" t="str">
        <f t="shared" si="6731"/>
        <v>0</v>
      </c>
      <c r="I3305" s="1" t="str">
        <f t="shared" si="6731"/>
        <v>0</v>
      </c>
      <c r="J3305" s="1" t="str">
        <f t="shared" si="6731"/>
        <v>0</v>
      </c>
      <c r="K3305" s="1" t="str">
        <f t="shared" si="6731"/>
        <v>0</v>
      </c>
      <c r="L3305" s="1" t="str">
        <f t="shared" si="6731"/>
        <v>0</v>
      </c>
      <c r="M3305" s="1" t="str">
        <f t="shared" si="6731"/>
        <v>0</v>
      </c>
      <c r="N3305" s="1" t="str">
        <f t="shared" si="6731"/>
        <v>0</v>
      </c>
      <c r="O3305" s="1" t="str">
        <f t="shared" si="6731"/>
        <v>0</v>
      </c>
      <c r="P3305" s="1" t="str">
        <f t="shared" si="6731"/>
        <v>0</v>
      </c>
      <c r="Q3305" s="1" t="str">
        <f t="shared" si="6659"/>
        <v>0.0070</v>
      </c>
      <c r="R3305" s="1" t="s">
        <v>25</v>
      </c>
      <c r="T3305" s="1" t="str">
        <f t="shared" si="6660"/>
        <v>0</v>
      </c>
      <c r="U3305" s="1" t="str">
        <f t="shared" si="6718"/>
        <v>0.0070</v>
      </c>
    </row>
    <row r="3306" s="1" customFormat="1" spans="1:21">
      <c r="A3306" s="1" t="str">
        <f>"4601992063313"</f>
        <v>4601992063313</v>
      </c>
      <c r="B3306" s="1" t="s">
        <v>3329</v>
      </c>
      <c r="C3306" s="1" t="s">
        <v>24</v>
      </c>
      <c r="D3306" s="1" t="str">
        <f t="shared" si="6656"/>
        <v>2021</v>
      </c>
      <c r="E3306" s="1" t="str">
        <f>"11.98"</f>
        <v>11.98</v>
      </c>
      <c r="F3306" s="1" t="str">
        <f t="shared" ref="F3306:I3306" si="6732">"0"</f>
        <v>0</v>
      </c>
      <c r="G3306" s="1" t="str">
        <f t="shared" si="6732"/>
        <v>0</v>
      </c>
      <c r="H3306" s="1" t="str">
        <f t="shared" si="6732"/>
        <v>0</v>
      </c>
      <c r="I3306" s="1" t="str">
        <f t="shared" si="6732"/>
        <v>0</v>
      </c>
      <c r="J3306" s="1" t="str">
        <f>"1"</f>
        <v>1</v>
      </c>
      <c r="K3306" s="1" t="str">
        <f t="shared" ref="K3306:P3306" si="6733">"0"</f>
        <v>0</v>
      </c>
      <c r="L3306" s="1" t="str">
        <f t="shared" si="6733"/>
        <v>0</v>
      </c>
      <c r="M3306" s="1" t="str">
        <f t="shared" si="6733"/>
        <v>0</v>
      </c>
      <c r="N3306" s="1" t="str">
        <f t="shared" si="6733"/>
        <v>0</v>
      </c>
      <c r="O3306" s="1" t="str">
        <f t="shared" si="6733"/>
        <v>0</v>
      </c>
      <c r="P3306" s="1" t="str">
        <f t="shared" si="6733"/>
        <v>0</v>
      </c>
      <c r="Q3306" s="1" t="str">
        <f t="shared" si="6659"/>
        <v>0.0070</v>
      </c>
      <c r="R3306" s="1" t="s">
        <v>25</v>
      </c>
      <c r="T3306" s="1" t="str">
        <f t="shared" si="6660"/>
        <v>0</v>
      </c>
      <c r="U3306" s="1" t="str">
        <f t="shared" si="6718"/>
        <v>0.0070</v>
      </c>
    </row>
    <row r="3307" s="1" customFormat="1" spans="1:21">
      <c r="A3307" s="1" t="str">
        <f>"4601992063354"</f>
        <v>4601992063354</v>
      </c>
      <c r="B3307" s="1" t="s">
        <v>3330</v>
      </c>
      <c r="C3307" s="1" t="s">
        <v>24</v>
      </c>
      <c r="D3307" s="1" t="str">
        <f t="shared" si="6656"/>
        <v>2021</v>
      </c>
      <c r="E3307" s="1" t="str">
        <f t="shared" ref="E3307:P3307" si="6734">"0"</f>
        <v>0</v>
      </c>
      <c r="F3307" s="1" t="str">
        <f t="shared" si="6734"/>
        <v>0</v>
      </c>
      <c r="G3307" s="1" t="str">
        <f t="shared" si="6734"/>
        <v>0</v>
      </c>
      <c r="H3307" s="1" t="str">
        <f t="shared" si="6734"/>
        <v>0</v>
      </c>
      <c r="I3307" s="1" t="str">
        <f t="shared" si="6734"/>
        <v>0</v>
      </c>
      <c r="J3307" s="1" t="str">
        <f t="shared" si="6734"/>
        <v>0</v>
      </c>
      <c r="K3307" s="1" t="str">
        <f t="shared" si="6734"/>
        <v>0</v>
      </c>
      <c r="L3307" s="1" t="str">
        <f t="shared" si="6734"/>
        <v>0</v>
      </c>
      <c r="M3307" s="1" t="str">
        <f t="shared" si="6734"/>
        <v>0</v>
      </c>
      <c r="N3307" s="1" t="str">
        <f t="shared" si="6734"/>
        <v>0</v>
      </c>
      <c r="O3307" s="1" t="str">
        <f t="shared" si="6734"/>
        <v>0</v>
      </c>
      <c r="P3307" s="1" t="str">
        <f t="shared" si="6734"/>
        <v>0</v>
      </c>
      <c r="Q3307" s="1" t="str">
        <f t="shared" si="6659"/>
        <v>0.0070</v>
      </c>
      <c r="R3307" s="1" t="s">
        <v>25</v>
      </c>
      <c r="T3307" s="1" t="str">
        <f t="shared" si="6660"/>
        <v>0</v>
      </c>
      <c r="U3307" s="1" t="str">
        <f t="shared" si="6718"/>
        <v>0.0070</v>
      </c>
    </row>
    <row r="3308" s="1" customFormat="1" spans="1:21">
      <c r="A3308" s="1" t="str">
        <f>"4601992063420"</f>
        <v>4601992063420</v>
      </c>
      <c r="B3308" s="1" t="s">
        <v>3331</v>
      </c>
      <c r="C3308" s="1" t="s">
        <v>24</v>
      </c>
      <c r="D3308" s="1" t="str">
        <f t="shared" si="6656"/>
        <v>2021</v>
      </c>
      <c r="E3308" s="1" t="str">
        <f t="shared" ref="E3308:P3308" si="6735">"0"</f>
        <v>0</v>
      </c>
      <c r="F3308" s="1" t="str">
        <f t="shared" si="6735"/>
        <v>0</v>
      </c>
      <c r="G3308" s="1" t="str">
        <f t="shared" si="6735"/>
        <v>0</v>
      </c>
      <c r="H3308" s="1" t="str">
        <f t="shared" si="6735"/>
        <v>0</v>
      </c>
      <c r="I3308" s="1" t="str">
        <f t="shared" si="6735"/>
        <v>0</v>
      </c>
      <c r="J3308" s="1" t="str">
        <f t="shared" si="6735"/>
        <v>0</v>
      </c>
      <c r="K3308" s="1" t="str">
        <f t="shared" si="6735"/>
        <v>0</v>
      </c>
      <c r="L3308" s="1" t="str">
        <f t="shared" si="6735"/>
        <v>0</v>
      </c>
      <c r="M3308" s="1" t="str">
        <f t="shared" si="6735"/>
        <v>0</v>
      </c>
      <c r="N3308" s="1" t="str">
        <f t="shared" si="6735"/>
        <v>0</v>
      </c>
      <c r="O3308" s="1" t="str">
        <f t="shared" si="6735"/>
        <v>0</v>
      </c>
      <c r="P3308" s="1" t="str">
        <f t="shared" si="6735"/>
        <v>0</v>
      </c>
      <c r="Q3308" s="1" t="str">
        <f t="shared" si="6659"/>
        <v>0.0070</v>
      </c>
      <c r="R3308" s="1" t="s">
        <v>25</v>
      </c>
      <c r="T3308" s="1" t="str">
        <f t="shared" si="6660"/>
        <v>0</v>
      </c>
      <c r="U3308" s="1" t="str">
        <f t="shared" si="6718"/>
        <v>0.0070</v>
      </c>
    </row>
    <row r="3309" s="1" customFormat="1" spans="1:21">
      <c r="A3309" s="1" t="str">
        <f>"4601992063457"</f>
        <v>4601992063457</v>
      </c>
      <c r="B3309" s="1" t="s">
        <v>3332</v>
      </c>
      <c r="C3309" s="1" t="s">
        <v>24</v>
      </c>
      <c r="D3309" s="1" t="str">
        <f t="shared" si="6656"/>
        <v>2021</v>
      </c>
      <c r="E3309" s="1" t="str">
        <f t="shared" ref="E3309:P3309" si="6736">"0"</f>
        <v>0</v>
      </c>
      <c r="F3309" s="1" t="str">
        <f t="shared" si="6736"/>
        <v>0</v>
      </c>
      <c r="G3309" s="1" t="str">
        <f t="shared" si="6736"/>
        <v>0</v>
      </c>
      <c r="H3309" s="1" t="str">
        <f t="shared" si="6736"/>
        <v>0</v>
      </c>
      <c r="I3309" s="1" t="str">
        <f t="shared" si="6736"/>
        <v>0</v>
      </c>
      <c r="J3309" s="1" t="str">
        <f t="shared" si="6736"/>
        <v>0</v>
      </c>
      <c r="K3309" s="1" t="str">
        <f t="shared" si="6736"/>
        <v>0</v>
      </c>
      <c r="L3309" s="1" t="str">
        <f t="shared" si="6736"/>
        <v>0</v>
      </c>
      <c r="M3309" s="1" t="str">
        <f t="shared" si="6736"/>
        <v>0</v>
      </c>
      <c r="N3309" s="1" t="str">
        <f t="shared" si="6736"/>
        <v>0</v>
      </c>
      <c r="O3309" s="1" t="str">
        <f t="shared" si="6736"/>
        <v>0</v>
      </c>
      <c r="P3309" s="1" t="str">
        <f t="shared" si="6736"/>
        <v>0</v>
      </c>
      <c r="Q3309" s="1" t="str">
        <f t="shared" si="6659"/>
        <v>0.0070</v>
      </c>
      <c r="R3309" s="1" t="s">
        <v>25</v>
      </c>
      <c r="T3309" s="1" t="str">
        <f t="shared" si="6660"/>
        <v>0</v>
      </c>
      <c r="U3309" s="1" t="str">
        <f t="shared" si="6718"/>
        <v>0.0070</v>
      </c>
    </row>
    <row r="3310" s="1" customFormat="1" spans="1:21">
      <c r="A3310" s="1" t="str">
        <f>"4601992063623"</f>
        <v>4601992063623</v>
      </c>
      <c r="B3310" s="1" t="s">
        <v>3333</v>
      </c>
      <c r="C3310" s="1" t="s">
        <v>24</v>
      </c>
      <c r="D3310" s="1" t="str">
        <f t="shared" si="6656"/>
        <v>2021</v>
      </c>
      <c r="E3310" s="1" t="str">
        <f>"11.98"</f>
        <v>11.98</v>
      </c>
      <c r="F3310" s="1" t="str">
        <f t="shared" ref="F3310:I3310" si="6737">"0"</f>
        <v>0</v>
      </c>
      <c r="G3310" s="1" t="str">
        <f t="shared" si="6737"/>
        <v>0</v>
      </c>
      <c r="H3310" s="1" t="str">
        <f t="shared" si="6737"/>
        <v>0</v>
      </c>
      <c r="I3310" s="1" t="str">
        <f t="shared" si="6737"/>
        <v>0</v>
      </c>
      <c r="J3310" s="1" t="str">
        <f>"1"</f>
        <v>1</v>
      </c>
      <c r="K3310" s="1" t="str">
        <f t="shared" ref="K3310:P3310" si="6738">"0"</f>
        <v>0</v>
      </c>
      <c r="L3310" s="1" t="str">
        <f t="shared" si="6738"/>
        <v>0</v>
      </c>
      <c r="M3310" s="1" t="str">
        <f t="shared" si="6738"/>
        <v>0</v>
      </c>
      <c r="N3310" s="1" t="str">
        <f t="shared" si="6738"/>
        <v>0</v>
      </c>
      <c r="O3310" s="1" t="str">
        <f t="shared" si="6738"/>
        <v>0</v>
      </c>
      <c r="P3310" s="1" t="str">
        <f t="shared" si="6738"/>
        <v>0</v>
      </c>
      <c r="Q3310" s="1" t="str">
        <f t="shared" si="6659"/>
        <v>0.0070</v>
      </c>
      <c r="R3310" s="1" t="s">
        <v>29</v>
      </c>
      <c r="S3310" s="1">
        <v>-0.0014</v>
      </c>
      <c r="T3310" s="1" t="str">
        <f t="shared" si="6660"/>
        <v>0</v>
      </c>
      <c r="U3310" s="1" t="str">
        <f t="shared" ref="U3310:U3317" si="6739">"0.0056"</f>
        <v>0.0056</v>
      </c>
    </row>
    <row r="3311" s="1" customFormat="1" spans="1:21">
      <c r="A3311" s="1" t="str">
        <f>"4601992021458"</f>
        <v>4601992021458</v>
      </c>
      <c r="B3311" s="1" t="s">
        <v>3334</v>
      </c>
      <c r="C3311" s="1" t="s">
        <v>24</v>
      </c>
      <c r="D3311" s="1" t="str">
        <f t="shared" si="6656"/>
        <v>2021</v>
      </c>
      <c r="E3311" s="1" t="str">
        <f>"2018.88"</f>
        <v>2018.88</v>
      </c>
      <c r="F3311" s="1" t="str">
        <f t="shared" ref="F3311:I3311" si="6740">"0"</f>
        <v>0</v>
      </c>
      <c r="G3311" s="1" t="str">
        <f t="shared" si="6740"/>
        <v>0</v>
      </c>
      <c r="H3311" s="1" t="str">
        <f t="shared" si="6740"/>
        <v>0</v>
      </c>
      <c r="I3311" s="1" t="str">
        <f t="shared" si="6740"/>
        <v>0</v>
      </c>
      <c r="J3311" s="1" t="str">
        <f>"7"</f>
        <v>7</v>
      </c>
      <c r="K3311" s="1" t="str">
        <f t="shared" ref="K3311:P3311" si="6741">"0"</f>
        <v>0</v>
      </c>
      <c r="L3311" s="1" t="str">
        <f t="shared" si="6741"/>
        <v>0</v>
      </c>
      <c r="M3311" s="1" t="str">
        <f t="shared" si="6741"/>
        <v>0</v>
      </c>
      <c r="N3311" s="1" t="str">
        <f t="shared" si="6741"/>
        <v>0</v>
      </c>
      <c r="O3311" s="1" t="str">
        <f t="shared" si="6741"/>
        <v>0</v>
      </c>
      <c r="P3311" s="1" t="str">
        <f t="shared" si="6741"/>
        <v>0</v>
      </c>
      <c r="Q3311" s="1" t="str">
        <f t="shared" si="6659"/>
        <v>0.0070</v>
      </c>
      <c r="R3311" s="1" t="s">
        <v>29</v>
      </c>
      <c r="S3311" s="1">
        <v>-0.0014</v>
      </c>
      <c r="T3311" s="1" t="str">
        <f t="shared" si="6660"/>
        <v>0</v>
      </c>
      <c r="U3311" s="1" t="str">
        <f t="shared" si="6739"/>
        <v>0.0056</v>
      </c>
    </row>
    <row r="3312" s="1" customFormat="1" spans="1:21">
      <c r="A3312" s="1" t="str">
        <f>"4601992063630"</f>
        <v>4601992063630</v>
      </c>
      <c r="B3312" s="1" t="s">
        <v>3335</v>
      </c>
      <c r="C3312" s="1" t="s">
        <v>24</v>
      </c>
      <c r="D3312" s="1" t="str">
        <f t="shared" si="6656"/>
        <v>2021</v>
      </c>
      <c r="E3312" s="1" t="str">
        <f>"36.27"</f>
        <v>36.27</v>
      </c>
      <c r="F3312" s="1" t="str">
        <f t="shared" ref="F3312:I3312" si="6742">"0"</f>
        <v>0</v>
      </c>
      <c r="G3312" s="1" t="str">
        <f t="shared" si="6742"/>
        <v>0</v>
      </c>
      <c r="H3312" s="1" t="str">
        <f t="shared" si="6742"/>
        <v>0</v>
      </c>
      <c r="I3312" s="1" t="str">
        <f t="shared" si="6742"/>
        <v>0</v>
      </c>
      <c r="J3312" s="1" t="str">
        <f>"3"</f>
        <v>3</v>
      </c>
      <c r="K3312" s="1" t="str">
        <f t="shared" ref="K3312:P3312" si="6743">"0"</f>
        <v>0</v>
      </c>
      <c r="L3312" s="1" t="str">
        <f t="shared" si="6743"/>
        <v>0</v>
      </c>
      <c r="M3312" s="1" t="str">
        <f t="shared" si="6743"/>
        <v>0</v>
      </c>
      <c r="N3312" s="1" t="str">
        <f t="shared" si="6743"/>
        <v>0</v>
      </c>
      <c r="O3312" s="1" t="str">
        <f t="shared" si="6743"/>
        <v>0</v>
      </c>
      <c r="P3312" s="1" t="str">
        <f t="shared" si="6743"/>
        <v>0</v>
      </c>
      <c r="Q3312" s="1" t="str">
        <f t="shared" si="6659"/>
        <v>0.0070</v>
      </c>
      <c r="R3312" s="1" t="s">
        <v>29</v>
      </c>
      <c r="S3312" s="1">
        <v>-0.0014</v>
      </c>
      <c r="T3312" s="1" t="str">
        <f t="shared" si="6660"/>
        <v>0</v>
      </c>
      <c r="U3312" s="1" t="str">
        <f t="shared" si="6739"/>
        <v>0.0056</v>
      </c>
    </row>
    <row r="3313" s="1" customFormat="1" spans="1:21">
      <c r="A3313" s="1" t="str">
        <f>"4601991402986"</f>
        <v>4601991402986</v>
      </c>
      <c r="B3313" s="1" t="s">
        <v>3336</v>
      </c>
      <c r="C3313" s="1" t="s">
        <v>24</v>
      </c>
      <c r="D3313" s="1" t="str">
        <f t="shared" si="6656"/>
        <v>2021</v>
      </c>
      <c r="E3313" s="1" t="str">
        <f>"564.24"</f>
        <v>564.24</v>
      </c>
      <c r="F3313" s="1" t="str">
        <f t="shared" ref="F3313:I3313" si="6744">"0"</f>
        <v>0</v>
      </c>
      <c r="G3313" s="1" t="str">
        <f t="shared" si="6744"/>
        <v>0</v>
      </c>
      <c r="H3313" s="1" t="str">
        <f t="shared" si="6744"/>
        <v>0</v>
      </c>
      <c r="I3313" s="1" t="str">
        <f t="shared" si="6744"/>
        <v>0</v>
      </c>
      <c r="J3313" s="1" t="str">
        <f>"8"</f>
        <v>8</v>
      </c>
      <c r="K3313" s="1" t="str">
        <f t="shared" ref="K3313:P3313" si="6745">"0"</f>
        <v>0</v>
      </c>
      <c r="L3313" s="1" t="str">
        <f t="shared" si="6745"/>
        <v>0</v>
      </c>
      <c r="M3313" s="1" t="str">
        <f t="shared" si="6745"/>
        <v>0</v>
      </c>
      <c r="N3313" s="1" t="str">
        <f t="shared" si="6745"/>
        <v>0</v>
      </c>
      <c r="O3313" s="1" t="str">
        <f t="shared" si="6745"/>
        <v>0</v>
      </c>
      <c r="P3313" s="1" t="str">
        <f t="shared" si="6745"/>
        <v>0</v>
      </c>
      <c r="Q3313" s="1" t="str">
        <f t="shared" si="6659"/>
        <v>0.0070</v>
      </c>
      <c r="R3313" s="1" t="s">
        <v>29</v>
      </c>
      <c r="S3313" s="1">
        <v>-0.0014</v>
      </c>
      <c r="T3313" s="1" t="str">
        <f t="shared" si="6660"/>
        <v>0</v>
      </c>
      <c r="U3313" s="1" t="str">
        <f t="shared" si="6739"/>
        <v>0.0056</v>
      </c>
    </row>
    <row r="3314" s="1" customFormat="1" spans="1:21">
      <c r="A3314" s="1" t="str">
        <f>"4601992063635"</f>
        <v>4601992063635</v>
      </c>
      <c r="B3314" s="1" t="s">
        <v>3337</v>
      </c>
      <c r="C3314" s="1" t="s">
        <v>24</v>
      </c>
      <c r="D3314" s="1" t="str">
        <f t="shared" si="6656"/>
        <v>2021</v>
      </c>
      <c r="E3314" s="1" t="str">
        <f>"23.96"</f>
        <v>23.96</v>
      </c>
      <c r="F3314" s="1" t="str">
        <f t="shared" ref="F3314:I3314" si="6746">"0"</f>
        <v>0</v>
      </c>
      <c r="G3314" s="1" t="str">
        <f t="shared" si="6746"/>
        <v>0</v>
      </c>
      <c r="H3314" s="1" t="str">
        <f t="shared" si="6746"/>
        <v>0</v>
      </c>
      <c r="I3314" s="1" t="str">
        <f t="shared" si="6746"/>
        <v>0</v>
      </c>
      <c r="J3314" s="1" t="str">
        <f>"2"</f>
        <v>2</v>
      </c>
      <c r="K3314" s="1" t="str">
        <f t="shared" ref="K3314:P3314" si="6747">"0"</f>
        <v>0</v>
      </c>
      <c r="L3314" s="1" t="str">
        <f t="shared" si="6747"/>
        <v>0</v>
      </c>
      <c r="M3314" s="1" t="str">
        <f t="shared" si="6747"/>
        <v>0</v>
      </c>
      <c r="N3314" s="1" t="str">
        <f t="shared" si="6747"/>
        <v>0</v>
      </c>
      <c r="O3314" s="1" t="str">
        <f t="shared" si="6747"/>
        <v>0</v>
      </c>
      <c r="P3314" s="1" t="str">
        <f t="shared" si="6747"/>
        <v>0</v>
      </c>
      <c r="Q3314" s="1" t="str">
        <f t="shared" si="6659"/>
        <v>0.0070</v>
      </c>
      <c r="R3314" s="1" t="s">
        <v>29</v>
      </c>
      <c r="S3314" s="1">
        <v>-0.0014</v>
      </c>
      <c r="T3314" s="1" t="str">
        <f t="shared" si="6660"/>
        <v>0</v>
      </c>
      <c r="U3314" s="1" t="str">
        <f t="shared" si="6739"/>
        <v>0.0056</v>
      </c>
    </row>
    <row r="3315" s="1" customFormat="1" spans="1:21">
      <c r="A3315" s="1" t="str">
        <f>"4601992063640"</f>
        <v>4601992063640</v>
      </c>
      <c r="B3315" s="1" t="s">
        <v>3338</v>
      </c>
      <c r="C3315" s="1" t="s">
        <v>24</v>
      </c>
      <c r="D3315" s="1" t="str">
        <f t="shared" si="6656"/>
        <v>2021</v>
      </c>
      <c r="E3315" s="1" t="str">
        <f>"36.27"</f>
        <v>36.27</v>
      </c>
      <c r="F3315" s="1" t="str">
        <f t="shared" ref="F3315:I3315" si="6748">"0"</f>
        <v>0</v>
      </c>
      <c r="G3315" s="1" t="str">
        <f t="shared" si="6748"/>
        <v>0</v>
      </c>
      <c r="H3315" s="1" t="str">
        <f t="shared" si="6748"/>
        <v>0</v>
      </c>
      <c r="I3315" s="1" t="str">
        <f t="shared" si="6748"/>
        <v>0</v>
      </c>
      <c r="J3315" s="1" t="str">
        <f>"3"</f>
        <v>3</v>
      </c>
      <c r="K3315" s="1" t="str">
        <f t="shared" ref="K3315:P3315" si="6749">"0"</f>
        <v>0</v>
      </c>
      <c r="L3315" s="1" t="str">
        <f t="shared" si="6749"/>
        <v>0</v>
      </c>
      <c r="M3315" s="1" t="str">
        <f t="shared" si="6749"/>
        <v>0</v>
      </c>
      <c r="N3315" s="1" t="str">
        <f t="shared" si="6749"/>
        <v>0</v>
      </c>
      <c r="O3315" s="1" t="str">
        <f t="shared" si="6749"/>
        <v>0</v>
      </c>
      <c r="P3315" s="1" t="str">
        <f t="shared" si="6749"/>
        <v>0</v>
      </c>
      <c r="Q3315" s="1" t="str">
        <f t="shared" si="6659"/>
        <v>0.0070</v>
      </c>
      <c r="R3315" s="1" t="s">
        <v>29</v>
      </c>
      <c r="S3315" s="1">
        <v>-0.0014</v>
      </c>
      <c r="T3315" s="1" t="str">
        <f t="shared" si="6660"/>
        <v>0</v>
      </c>
      <c r="U3315" s="1" t="str">
        <f t="shared" si="6739"/>
        <v>0.0056</v>
      </c>
    </row>
    <row r="3316" s="1" customFormat="1" spans="1:21">
      <c r="A3316" s="1" t="str">
        <f>"4601992063680"</f>
        <v>4601992063680</v>
      </c>
      <c r="B3316" s="1" t="s">
        <v>3339</v>
      </c>
      <c r="C3316" s="1" t="s">
        <v>24</v>
      </c>
      <c r="D3316" s="1" t="str">
        <f t="shared" si="6656"/>
        <v>2021</v>
      </c>
      <c r="E3316" s="1" t="str">
        <f>"11.98"</f>
        <v>11.98</v>
      </c>
      <c r="F3316" s="1" t="str">
        <f t="shared" ref="F3316:I3316" si="6750">"0"</f>
        <v>0</v>
      </c>
      <c r="G3316" s="1" t="str">
        <f t="shared" si="6750"/>
        <v>0</v>
      </c>
      <c r="H3316" s="1" t="str">
        <f t="shared" si="6750"/>
        <v>0</v>
      </c>
      <c r="I3316" s="1" t="str">
        <f t="shared" si="6750"/>
        <v>0</v>
      </c>
      <c r="J3316" s="1" t="str">
        <f>"1"</f>
        <v>1</v>
      </c>
      <c r="K3316" s="1" t="str">
        <f t="shared" ref="K3316:P3316" si="6751">"0"</f>
        <v>0</v>
      </c>
      <c r="L3316" s="1" t="str">
        <f t="shared" si="6751"/>
        <v>0</v>
      </c>
      <c r="M3316" s="1" t="str">
        <f t="shared" si="6751"/>
        <v>0</v>
      </c>
      <c r="N3316" s="1" t="str">
        <f t="shared" si="6751"/>
        <v>0</v>
      </c>
      <c r="O3316" s="1" t="str">
        <f t="shared" si="6751"/>
        <v>0</v>
      </c>
      <c r="P3316" s="1" t="str">
        <f t="shared" si="6751"/>
        <v>0</v>
      </c>
      <c r="Q3316" s="1" t="str">
        <f t="shared" si="6659"/>
        <v>0.0070</v>
      </c>
      <c r="R3316" s="1" t="s">
        <v>29</v>
      </c>
      <c r="S3316" s="1">
        <v>-0.0014</v>
      </c>
      <c r="T3316" s="1" t="str">
        <f t="shared" si="6660"/>
        <v>0</v>
      </c>
      <c r="U3316" s="1" t="str">
        <f t="shared" si="6739"/>
        <v>0.0056</v>
      </c>
    </row>
    <row r="3317" s="1" customFormat="1" spans="1:21">
      <c r="A3317" s="1" t="str">
        <f>"4601992063725"</f>
        <v>4601992063725</v>
      </c>
      <c r="B3317" s="1" t="s">
        <v>3340</v>
      </c>
      <c r="C3317" s="1" t="s">
        <v>24</v>
      </c>
      <c r="D3317" s="1" t="str">
        <f t="shared" si="6656"/>
        <v>2021</v>
      </c>
      <c r="E3317" s="1" t="str">
        <f>"71.88"</f>
        <v>71.88</v>
      </c>
      <c r="F3317" s="1" t="str">
        <f t="shared" ref="F3317:I3317" si="6752">"0"</f>
        <v>0</v>
      </c>
      <c r="G3317" s="1" t="str">
        <f t="shared" si="6752"/>
        <v>0</v>
      </c>
      <c r="H3317" s="1" t="str">
        <f t="shared" si="6752"/>
        <v>0</v>
      </c>
      <c r="I3317" s="1" t="str">
        <f t="shared" si="6752"/>
        <v>0</v>
      </c>
      <c r="J3317" s="1" t="str">
        <f>"6"</f>
        <v>6</v>
      </c>
      <c r="K3317" s="1" t="str">
        <f t="shared" ref="K3317:P3317" si="6753">"0"</f>
        <v>0</v>
      </c>
      <c r="L3317" s="1" t="str">
        <f t="shared" si="6753"/>
        <v>0</v>
      </c>
      <c r="M3317" s="1" t="str">
        <f t="shared" si="6753"/>
        <v>0</v>
      </c>
      <c r="N3317" s="1" t="str">
        <f t="shared" si="6753"/>
        <v>0</v>
      </c>
      <c r="O3317" s="1" t="str">
        <f t="shared" si="6753"/>
        <v>0</v>
      </c>
      <c r="P3317" s="1" t="str">
        <f t="shared" si="6753"/>
        <v>0</v>
      </c>
      <c r="Q3317" s="1" t="str">
        <f t="shared" si="6659"/>
        <v>0.0070</v>
      </c>
      <c r="R3317" s="1" t="s">
        <v>29</v>
      </c>
      <c r="S3317" s="1">
        <v>-0.0014</v>
      </c>
      <c r="T3317" s="1" t="str">
        <f t="shared" si="6660"/>
        <v>0</v>
      </c>
      <c r="U3317" s="1" t="str">
        <f t="shared" si="6739"/>
        <v>0.0056</v>
      </c>
    </row>
    <row r="3318" s="1" customFormat="1" spans="1:21">
      <c r="A3318" s="1" t="str">
        <f>"4601992063717"</f>
        <v>4601992063717</v>
      </c>
      <c r="B3318" s="1" t="s">
        <v>3341</v>
      </c>
      <c r="C3318" s="1" t="s">
        <v>24</v>
      </c>
      <c r="D3318" s="1" t="str">
        <f t="shared" si="6656"/>
        <v>2021</v>
      </c>
      <c r="E3318" s="1" t="str">
        <f t="shared" ref="E3318:I3318" si="6754">"0"</f>
        <v>0</v>
      </c>
      <c r="F3318" s="1" t="str">
        <f t="shared" si="6754"/>
        <v>0</v>
      </c>
      <c r="G3318" s="1" t="str">
        <f t="shared" si="6754"/>
        <v>0</v>
      </c>
      <c r="H3318" s="1" t="str">
        <f t="shared" si="6754"/>
        <v>0</v>
      </c>
      <c r="I3318" s="1" t="str">
        <f t="shared" si="6754"/>
        <v>0</v>
      </c>
      <c r="J3318" s="1" t="str">
        <f>"5"</f>
        <v>5</v>
      </c>
      <c r="K3318" s="1" t="str">
        <f t="shared" ref="K3318:P3318" si="6755">"0"</f>
        <v>0</v>
      </c>
      <c r="L3318" s="1" t="str">
        <f t="shared" si="6755"/>
        <v>0</v>
      </c>
      <c r="M3318" s="1" t="str">
        <f t="shared" si="6755"/>
        <v>0</v>
      </c>
      <c r="N3318" s="1" t="str">
        <f t="shared" si="6755"/>
        <v>0</v>
      </c>
      <c r="O3318" s="1" t="str">
        <f t="shared" si="6755"/>
        <v>0</v>
      </c>
      <c r="P3318" s="1" t="str">
        <f t="shared" si="6755"/>
        <v>0</v>
      </c>
      <c r="Q3318" s="1" t="str">
        <f t="shared" si="6659"/>
        <v>0.0070</v>
      </c>
      <c r="R3318" s="1" t="s">
        <v>25</v>
      </c>
      <c r="T3318" s="1" t="str">
        <f t="shared" si="6660"/>
        <v>0</v>
      </c>
      <c r="U3318" s="1" t="str">
        <f>"0.0070"</f>
        <v>0.0070</v>
      </c>
    </row>
    <row r="3319" s="1" customFormat="1" spans="1:21">
      <c r="A3319" s="1" t="str">
        <f>"4601992063736"</f>
        <v>4601992063736</v>
      </c>
      <c r="B3319" s="1" t="s">
        <v>3342</v>
      </c>
      <c r="C3319" s="1" t="s">
        <v>24</v>
      </c>
      <c r="D3319" s="1" t="str">
        <f t="shared" si="6656"/>
        <v>2021</v>
      </c>
      <c r="E3319" s="1" t="str">
        <f>"35.94"</f>
        <v>35.94</v>
      </c>
      <c r="F3319" s="1" t="str">
        <f t="shared" ref="F3319:I3319" si="6756">"0"</f>
        <v>0</v>
      </c>
      <c r="G3319" s="1" t="str">
        <f t="shared" si="6756"/>
        <v>0</v>
      </c>
      <c r="H3319" s="1" t="str">
        <f t="shared" si="6756"/>
        <v>0</v>
      </c>
      <c r="I3319" s="1" t="str">
        <f t="shared" si="6756"/>
        <v>0</v>
      </c>
      <c r="J3319" s="1" t="str">
        <f>"3"</f>
        <v>3</v>
      </c>
      <c r="K3319" s="1" t="str">
        <f t="shared" ref="K3319:P3319" si="6757">"0"</f>
        <v>0</v>
      </c>
      <c r="L3319" s="1" t="str">
        <f t="shared" si="6757"/>
        <v>0</v>
      </c>
      <c r="M3319" s="1" t="str">
        <f t="shared" si="6757"/>
        <v>0</v>
      </c>
      <c r="N3319" s="1" t="str">
        <f t="shared" si="6757"/>
        <v>0</v>
      </c>
      <c r="O3319" s="1" t="str">
        <f t="shared" si="6757"/>
        <v>0</v>
      </c>
      <c r="P3319" s="1" t="str">
        <f t="shared" si="6757"/>
        <v>0</v>
      </c>
      <c r="Q3319" s="1" t="str">
        <f t="shared" si="6659"/>
        <v>0.0070</v>
      </c>
      <c r="R3319" s="1" t="s">
        <v>29</v>
      </c>
      <c r="S3319" s="1">
        <v>-0.0014</v>
      </c>
      <c r="T3319" s="1" t="str">
        <f t="shared" si="6660"/>
        <v>0</v>
      </c>
      <c r="U3319" s="1" t="str">
        <f t="shared" ref="U3319:U3330" si="6758">"0.0056"</f>
        <v>0.0056</v>
      </c>
    </row>
    <row r="3320" s="1" customFormat="1" spans="1:21">
      <c r="A3320" s="1" t="str">
        <f>"4601992063756"</f>
        <v>4601992063756</v>
      </c>
      <c r="B3320" s="1" t="s">
        <v>3343</v>
      </c>
      <c r="C3320" s="1" t="s">
        <v>24</v>
      </c>
      <c r="D3320" s="1" t="str">
        <f t="shared" si="6656"/>
        <v>2021</v>
      </c>
      <c r="E3320" s="1" t="str">
        <f>"24.16"</f>
        <v>24.16</v>
      </c>
      <c r="F3320" s="1" t="str">
        <f t="shared" ref="F3320:I3320" si="6759">"0"</f>
        <v>0</v>
      </c>
      <c r="G3320" s="1" t="str">
        <f t="shared" si="6759"/>
        <v>0</v>
      </c>
      <c r="H3320" s="1" t="str">
        <f t="shared" si="6759"/>
        <v>0</v>
      </c>
      <c r="I3320" s="1" t="str">
        <f t="shared" si="6759"/>
        <v>0</v>
      </c>
      <c r="J3320" s="1" t="str">
        <f>"2"</f>
        <v>2</v>
      </c>
      <c r="K3320" s="1" t="str">
        <f t="shared" ref="K3320:P3320" si="6760">"0"</f>
        <v>0</v>
      </c>
      <c r="L3320" s="1" t="str">
        <f t="shared" si="6760"/>
        <v>0</v>
      </c>
      <c r="M3320" s="1" t="str">
        <f t="shared" si="6760"/>
        <v>0</v>
      </c>
      <c r="N3320" s="1" t="str">
        <f t="shared" si="6760"/>
        <v>0</v>
      </c>
      <c r="O3320" s="1" t="str">
        <f t="shared" si="6760"/>
        <v>0</v>
      </c>
      <c r="P3320" s="1" t="str">
        <f t="shared" si="6760"/>
        <v>0</v>
      </c>
      <c r="Q3320" s="1" t="str">
        <f t="shared" si="6659"/>
        <v>0.0070</v>
      </c>
      <c r="R3320" s="1" t="s">
        <v>29</v>
      </c>
      <c r="S3320" s="1">
        <v>-0.0014</v>
      </c>
      <c r="T3320" s="1" t="str">
        <f t="shared" si="6660"/>
        <v>0</v>
      </c>
      <c r="U3320" s="1" t="str">
        <f t="shared" si="6758"/>
        <v>0.0056</v>
      </c>
    </row>
    <row r="3321" s="1" customFormat="1" spans="1:21">
      <c r="A3321" s="1" t="str">
        <f>"4601992063774"</f>
        <v>4601992063774</v>
      </c>
      <c r="B3321" s="1" t="s">
        <v>3344</v>
      </c>
      <c r="C3321" s="1" t="s">
        <v>24</v>
      </c>
      <c r="D3321" s="1" t="str">
        <f t="shared" si="6656"/>
        <v>2021</v>
      </c>
      <c r="E3321" s="1" t="str">
        <f t="shared" ref="E3321:P3321" si="6761">"0"</f>
        <v>0</v>
      </c>
      <c r="F3321" s="1" t="str">
        <f t="shared" si="6761"/>
        <v>0</v>
      </c>
      <c r="G3321" s="1" t="str">
        <f t="shared" si="6761"/>
        <v>0</v>
      </c>
      <c r="H3321" s="1" t="str">
        <f t="shared" si="6761"/>
        <v>0</v>
      </c>
      <c r="I3321" s="1" t="str">
        <f t="shared" si="6761"/>
        <v>0</v>
      </c>
      <c r="J3321" s="1" t="str">
        <f t="shared" si="6761"/>
        <v>0</v>
      </c>
      <c r="K3321" s="1" t="str">
        <f t="shared" si="6761"/>
        <v>0</v>
      </c>
      <c r="L3321" s="1" t="str">
        <f t="shared" si="6761"/>
        <v>0</v>
      </c>
      <c r="M3321" s="1" t="str">
        <f t="shared" si="6761"/>
        <v>0</v>
      </c>
      <c r="N3321" s="1" t="str">
        <f t="shared" si="6761"/>
        <v>0</v>
      </c>
      <c r="O3321" s="1" t="str">
        <f t="shared" si="6761"/>
        <v>0</v>
      </c>
      <c r="P3321" s="1" t="str">
        <f t="shared" si="6761"/>
        <v>0</v>
      </c>
      <c r="Q3321" s="1" t="str">
        <f t="shared" si="6659"/>
        <v>0.0070</v>
      </c>
      <c r="R3321" s="1" t="s">
        <v>25</v>
      </c>
      <c r="T3321" s="1" t="str">
        <f t="shared" si="6660"/>
        <v>0</v>
      </c>
      <c r="U3321" s="1" t="str">
        <f>"0.0070"</f>
        <v>0.0070</v>
      </c>
    </row>
    <row r="3322" s="1" customFormat="1" spans="1:21">
      <c r="A3322" s="1" t="str">
        <f>"4601992063786"</f>
        <v>4601992063786</v>
      </c>
      <c r="B3322" s="1" t="s">
        <v>3345</v>
      </c>
      <c r="C3322" s="1" t="s">
        <v>24</v>
      </c>
      <c r="D3322" s="1" t="str">
        <f t="shared" si="6656"/>
        <v>2021</v>
      </c>
      <c r="E3322" s="1" t="str">
        <f>"167.72"</f>
        <v>167.72</v>
      </c>
      <c r="F3322" s="1" t="str">
        <f t="shared" ref="F3322:I3322" si="6762">"0"</f>
        <v>0</v>
      </c>
      <c r="G3322" s="1" t="str">
        <f t="shared" si="6762"/>
        <v>0</v>
      </c>
      <c r="H3322" s="1" t="str">
        <f t="shared" si="6762"/>
        <v>0</v>
      </c>
      <c r="I3322" s="1" t="str">
        <f t="shared" si="6762"/>
        <v>0</v>
      </c>
      <c r="J3322" s="1" t="str">
        <f>"15"</f>
        <v>15</v>
      </c>
      <c r="K3322" s="1" t="str">
        <f t="shared" ref="K3322:P3322" si="6763">"0"</f>
        <v>0</v>
      </c>
      <c r="L3322" s="1" t="str">
        <f t="shared" si="6763"/>
        <v>0</v>
      </c>
      <c r="M3322" s="1" t="str">
        <f t="shared" si="6763"/>
        <v>0</v>
      </c>
      <c r="N3322" s="1" t="str">
        <f t="shared" si="6763"/>
        <v>0</v>
      </c>
      <c r="O3322" s="1" t="str">
        <f t="shared" si="6763"/>
        <v>0</v>
      </c>
      <c r="P3322" s="1" t="str">
        <f t="shared" si="6763"/>
        <v>0</v>
      </c>
      <c r="Q3322" s="1" t="str">
        <f t="shared" si="6659"/>
        <v>0.0070</v>
      </c>
      <c r="R3322" s="1" t="s">
        <v>29</v>
      </c>
      <c r="S3322" s="1">
        <v>-0.0014</v>
      </c>
      <c r="T3322" s="1" t="str">
        <f t="shared" si="6660"/>
        <v>0</v>
      </c>
      <c r="U3322" s="1" t="str">
        <f t="shared" si="6758"/>
        <v>0.0056</v>
      </c>
    </row>
    <row r="3323" s="1" customFormat="1" spans="1:21">
      <c r="A3323" s="1" t="str">
        <f>"4601992063782"</f>
        <v>4601992063782</v>
      </c>
      <c r="B3323" s="1" t="s">
        <v>3346</v>
      </c>
      <c r="C3323" s="1" t="s">
        <v>24</v>
      </c>
      <c r="D3323" s="1" t="str">
        <f t="shared" si="6656"/>
        <v>2021</v>
      </c>
      <c r="E3323" s="1" t="str">
        <f>"36.27"</f>
        <v>36.27</v>
      </c>
      <c r="F3323" s="1" t="str">
        <f t="shared" ref="F3323:I3323" si="6764">"0"</f>
        <v>0</v>
      </c>
      <c r="G3323" s="1" t="str">
        <f t="shared" si="6764"/>
        <v>0</v>
      </c>
      <c r="H3323" s="1" t="str">
        <f t="shared" si="6764"/>
        <v>0</v>
      </c>
      <c r="I3323" s="1" t="str">
        <f t="shared" si="6764"/>
        <v>0</v>
      </c>
      <c r="J3323" s="1" t="str">
        <f>"3"</f>
        <v>3</v>
      </c>
      <c r="K3323" s="1" t="str">
        <f t="shared" ref="K3323:P3323" si="6765">"0"</f>
        <v>0</v>
      </c>
      <c r="L3323" s="1" t="str">
        <f t="shared" si="6765"/>
        <v>0</v>
      </c>
      <c r="M3323" s="1" t="str">
        <f t="shared" si="6765"/>
        <v>0</v>
      </c>
      <c r="N3323" s="1" t="str">
        <f t="shared" si="6765"/>
        <v>0</v>
      </c>
      <c r="O3323" s="1" t="str">
        <f t="shared" si="6765"/>
        <v>0</v>
      </c>
      <c r="P3323" s="1" t="str">
        <f t="shared" si="6765"/>
        <v>0</v>
      </c>
      <c r="Q3323" s="1" t="str">
        <f t="shared" si="6659"/>
        <v>0.0070</v>
      </c>
      <c r="R3323" s="1" t="s">
        <v>29</v>
      </c>
      <c r="S3323" s="1">
        <v>-0.0014</v>
      </c>
      <c r="T3323" s="1" t="str">
        <f t="shared" si="6660"/>
        <v>0</v>
      </c>
      <c r="U3323" s="1" t="str">
        <f t="shared" si="6758"/>
        <v>0.0056</v>
      </c>
    </row>
    <row r="3324" s="1" customFormat="1" spans="1:21">
      <c r="A3324" s="1" t="str">
        <f>"4601992063792"</f>
        <v>4601992063792</v>
      </c>
      <c r="B3324" s="1" t="s">
        <v>3347</v>
      </c>
      <c r="C3324" s="1" t="s">
        <v>24</v>
      </c>
      <c r="D3324" s="1" t="str">
        <f t="shared" si="6656"/>
        <v>2021</v>
      </c>
      <c r="E3324" s="1" t="str">
        <f>"23.96"</f>
        <v>23.96</v>
      </c>
      <c r="F3324" s="1" t="str">
        <f t="shared" ref="F3324:I3324" si="6766">"0"</f>
        <v>0</v>
      </c>
      <c r="G3324" s="1" t="str">
        <f t="shared" si="6766"/>
        <v>0</v>
      </c>
      <c r="H3324" s="1" t="str">
        <f t="shared" si="6766"/>
        <v>0</v>
      </c>
      <c r="I3324" s="1" t="str">
        <f t="shared" si="6766"/>
        <v>0</v>
      </c>
      <c r="J3324" s="1" t="str">
        <f>"2"</f>
        <v>2</v>
      </c>
      <c r="K3324" s="1" t="str">
        <f t="shared" ref="K3324:P3324" si="6767">"0"</f>
        <v>0</v>
      </c>
      <c r="L3324" s="1" t="str">
        <f t="shared" si="6767"/>
        <v>0</v>
      </c>
      <c r="M3324" s="1" t="str">
        <f t="shared" si="6767"/>
        <v>0</v>
      </c>
      <c r="N3324" s="1" t="str">
        <f t="shared" si="6767"/>
        <v>0</v>
      </c>
      <c r="O3324" s="1" t="str">
        <f t="shared" si="6767"/>
        <v>0</v>
      </c>
      <c r="P3324" s="1" t="str">
        <f t="shared" si="6767"/>
        <v>0</v>
      </c>
      <c r="Q3324" s="1" t="str">
        <f t="shared" si="6659"/>
        <v>0.0070</v>
      </c>
      <c r="R3324" s="1" t="s">
        <v>29</v>
      </c>
      <c r="S3324" s="1">
        <v>-0.0014</v>
      </c>
      <c r="T3324" s="1" t="str">
        <f t="shared" si="6660"/>
        <v>0</v>
      </c>
      <c r="U3324" s="1" t="str">
        <f t="shared" si="6758"/>
        <v>0.0056</v>
      </c>
    </row>
    <row r="3325" s="1" customFormat="1" spans="1:21">
      <c r="A3325" s="1" t="str">
        <f>"4601992063810"</f>
        <v>4601992063810</v>
      </c>
      <c r="B3325" s="1" t="s">
        <v>3348</v>
      </c>
      <c r="C3325" s="1" t="s">
        <v>24</v>
      </c>
      <c r="D3325" s="1" t="str">
        <f t="shared" si="6656"/>
        <v>2021</v>
      </c>
      <c r="E3325" s="1" t="str">
        <f>"12.09"</f>
        <v>12.09</v>
      </c>
      <c r="F3325" s="1" t="str">
        <f t="shared" ref="F3325:I3325" si="6768">"0"</f>
        <v>0</v>
      </c>
      <c r="G3325" s="1" t="str">
        <f t="shared" si="6768"/>
        <v>0</v>
      </c>
      <c r="H3325" s="1" t="str">
        <f t="shared" si="6768"/>
        <v>0</v>
      </c>
      <c r="I3325" s="1" t="str">
        <f t="shared" si="6768"/>
        <v>0</v>
      </c>
      <c r="J3325" s="1" t="str">
        <f>"1"</f>
        <v>1</v>
      </c>
      <c r="K3325" s="1" t="str">
        <f t="shared" ref="K3325:P3325" si="6769">"0"</f>
        <v>0</v>
      </c>
      <c r="L3325" s="1" t="str">
        <f t="shared" si="6769"/>
        <v>0</v>
      </c>
      <c r="M3325" s="1" t="str">
        <f t="shared" si="6769"/>
        <v>0</v>
      </c>
      <c r="N3325" s="1" t="str">
        <f t="shared" si="6769"/>
        <v>0</v>
      </c>
      <c r="O3325" s="1" t="str">
        <f t="shared" si="6769"/>
        <v>0</v>
      </c>
      <c r="P3325" s="1" t="str">
        <f t="shared" si="6769"/>
        <v>0</v>
      </c>
      <c r="Q3325" s="1" t="str">
        <f t="shared" si="6659"/>
        <v>0.0070</v>
      </c>
      <c r="R3325" s="1" t="s">
        <v>29</v>
      </c>
      <c r="S3325" s="1">
        <v>-0.0014</v>
      </c>
      <c r="T3325" s="1" t="str">
        <f t="shared" si="6660"/>
        <v>0</v>
      </c>
      <c r="U3325" s="1" t="str">
        <f t="shared" si="6758"/>
        <v>0.0056</v>
      </c>
    </row>
    <row r="3326" s="1" customFormat="1" spans="1:21">
      <c r="A3326" s="1" t="str">
        <f>"4601992063824"</f>
        <v>4601992063824</v>
      </c>
      <c r="B3326" s="1" t="s">
        <v>3349</v>
      </c>
      <c r="C3326" s="1" t="s">
        <v>24</v>
      </c>
      <c r="D3326" s="1" t="str">
        <f t="shared" si="6656"/>
        <v>2021</v>
      </c>
      <c r="E3326" s="1" t="str">
        <f>"36.75"</f>
        <v>36.75</v>
      </c>
      <c r="F3326" s="1" t="str">
        <f t="shared" ref="F3326:I3326" si="6770">"0"</f>
        <v>0</v>
      </c>
      <c r="G3326" s="1" t="str">
        <f t="shared" si="6770"/>
        <v>0</v>
      </c>
      <c r="H3326" s="1" t="str">
        <f t="shared" si="6770"/>
        <v>0</v>
      </c>
      <c r="I3326" s="1" t="str">
        <f t="shared" si="6770"/>
        <v>0</v>
      </c>
      <c r="J3326" s="1" t="str">
        <f>"3"</f>
        <v>3</v>
      </c>
      <c r="K3326" s="1" t="str">
        <f t="shared" ref="K3326:P3326" si="6771">"0"</f>
        <v>0</v>
      </c>
      <c r="L3326" s="1" t="str">
        <f t="shared" si="6771"/>
        <v>0</v>
      </c>
      <c r="M3326" s="1" t="str">
        <f t="shared" si="6771"/>
        <v>0</v>
      </c>
      <c r="N3326" s="1" t="str">
        <f t="shared" si="6771"/>
        <v>0</v>
      </c>
      <c r="O3326" s="1" t="str">
        <f t="shared" si="6771"/>
        <v>0</v>
      </c>
      <c r="P3326" s="1" t="str">
        <f t="shared" si="6771"/>
        <v>0</v>
      </c>
      <c r="Q3326" s="1" t="str">
        <f t="shared" si="6659"/>
        <v>0.0070</v>
      </c>
      <c r="R3326" s="1" t="s">
        <v>29</v>
      </c>
      <c r="S3326" s="1">
        <v>-0.0014</v>
      </c>
      <c r="T3326" s="1" t="str">
        <f t="shared" si="6660"/>
        <v>0</v>
      </c>
      <c r="U3326" s="1" t="str">
        <f t="shared" si="6758"/>
        <v>0.0056</v>
      </c>
    </row>
    <row r="3327" s="1" customFormat="1" spans="1:21">
      <c r="A3327" s="1" t="str">
        <f>"4601992063823"</f>
        <v>4601992063823</v>
      </c>
      <c r="B3327" s="1" t="s">
        <v>3350</v>
      </c>
      <c r="C3327" s="1" t="s">
        <v>24</v>
      </c>
      <c r="D3327" s="1" t="str">
        <f t="shared" si="6656"/>
        <v>2021</v>
      </c>
      <c r="E3327" s="1" t="str">
        <f>"71.88"</f>
        <v>71.88</v>
      </c>
      <c r="F3327" s="1" t="str">
        <f t="shared" ref="F3327:I3327" si="6772">"0"</f>
        <v>0</v>
      </c>
      <c r="G3327" s="1" t="str">
        <f t="shared" si="6772"/>
        <v>0</v>
      </c>
      <c r="H3327" s="1" t="str">
        <f t="shared" si="6772"/>
        <v>0</v>
      </c>
      <c r="I3327" s="1" t="str">
        <f t="shared" si="6772"/>
        <v>0</v>
      </c>
      <c r="J3327" s="1" t="str">
        <f>"5"</f>
        <v>5</v>
      </c>
      <c r="K3327" s="1" t="str">
        <f t="shared" ref="K3327:P3327" si="6773">"0"</f>
        <v>0</v>
      </c>
      <c r="L3327" s="1" t="str">
        <f t="shared" si="6773"/>
        <v>0</v>
      </c>
      <c r="M3327" s="1" t="str">
        <f t="shared" si="6773"/>
        <v>0</v>
      </c>
      <c r="N3327" s="1" t="str">
        <f t="shared" si="6773"/>
        <v>0</v>
      </c>
      <c r="O3327" s="1" t="str">
        <f t="shared" si="6773"/>
        <v>0</v>
      </c>
      <c r="P3327" s="1" t="str">
        <f t="shared" si="6773"/>
        <v>0</v>
      </c>
      <c r="Q3327" s="1" t="str">
        <f t="shared" si="6659"/>
        <v>0.0070</v>
      </c>
      <c r="R3327" s="1" t="s">
        <v>29</v>
      </c>
      <c r="S3327" s="1">
        <v>-0.0014</v>
      </c>
      <c r="T3327" s="1" t="str">
        <f t="shared" si="6660"/>
        <v>0</v>
      </c>
      <c r="U3327" s="1" t="str">
        <f t="shared" si="6758"/>
        <v>0.0056</v>
      </c>
    </row>
    <row r="3328" s="1" customFormat="1" spans="1:21">
      <c r="A3328" s="1" t="str">
        <f>"4601992063830"</f>
        <v>4601992063830</v>
      </c>
      <c r="B3328" s="1" t="s">
        <v>3351</v>
      </c>
      <c r="C3328" s="1" t="s">
        <v>24</v>
      </c>
      <c r="D3328" s="1" t="str">
        <f t="shared" si="6656"/>
        <v>2021</v>
      </c>
      <c r="E3328" s="1" t="str">
        <f>"29.48"</f>
        <v>29.48</v>
      </c>
      <c r="F3328" s="1" t="str">
        <f t="shared" ref="F3328:I3328" si="6774">"0"</f>
        <v>0</v>
      </c>
      <c r="G3328" s="1" t="str">
        <f t="shared" si="6774"/>
        <v>0</v>
      </c>
      <c r="H3328" s="1" t="str">
        <f t="shared" si="6774"/>
        <v>0</v>
      </c>
      <c r="I3328" s="1" t="str">
        <f t="shared" si="6774"/>
        <v>0</v>
      </c>
      <c r="J3328" s="1" t="str">
        <f>"2"</f>
        <v>2</v>
      </c>
      <c r="K3328" s="1" t="str">
        <f t="shared" ref="K3328:P3328" si="6775">"0"</f>
        <v>0</v>
      </c>
      <c r="L3328" s="1" t="str">
        <f t="shared" si="6775"/>
        <v>0</v>
      </c>
      <c r="M3328" s="1" t="str">
        <f t="shared" si="6775"/>
        <v>0</v>
      </c>
      <c r="N3328" s="1" t="str">
        <f t="shared" si="6775"/>
        <v>0</v>
      </c>
      <c r="O3328" s="1" t="str">
        <f t="shared" si="6775"/>
        <v>0</v>
      </c>
      <c r="P3328" s="1" t="str">
        <f t="shared" si="6775"/>
        <v>0</v>
      </c>
      <c r="Q3328" s="1" t="str">
        <f t="shared" si="6659"/>
        <v>0.0070</v>
      </c>
      <c r="R3328" s="1" t="s">
        <v>29</v>
      </c>
      <c r="S3328" s="1">
        <v>-0.0014</v>
      </c>
      <c r="T3328" s="1" t="str">
        <f t="shared" si="6660"/>
        <v>0</v>
      </c>
      <c r="U3328" s="1" t="str">
        <f t="shared" si="6758"/>
        <v>0.0056</v>
      </c>
    </row>
    <row r="3329" s="1" customFormat="1" spans="1:21">
      <c r="A3329" s="1" t="str">
        <f>"4601992063848"</f>
        <v>4601992063848</v>
      </c>
      <c r="B3329" s="1" t="s">
        <v>3352</v>
      </c>
      <c r="C3329" s="1" t="s">
        <v>24</v>
      </c>
      <c r="D3329" s="1" t="str">
        <f t="shared" si="6656"/>
        <v>2021</v>
      </c>
      <c r="E3329" s="1" t="str">
        <f>"12.09"</f>
        <v>12.09</v>
      </c>
      <c r="F3329" s="1" t="str">
        <f t="shared" ref="F3329:I3329" si="6776">"0"</f>
        <v>0</v>
      </c>
      <c r="G3329" s="1" t="str">
        <f t="shared" si="6776"/>
        <v>0</v>
      </c>
      <c r="H3329" s="1" t="str">
        <f t="shared" si="6776"/>
        <v>0</v>
      </c>
      <c r="I3329" s="1" t="str">
        <f t="shared" si="6776"/>
        <v>0</v>
      </c>
      <c r="J3329" s="1" t="str">
        <f>"1"</f>
        <v>1</v>
      </c>
      <c r="K3329" s="1" t="str">
        <f t="shared" ref="K3329:P3329" si="6777">"0"</f>
        <v>0</v>
      </c>
      <c r="L3329" s="1" t="str">
        <f t="shared" si="6777"/>
        <v>0</v>
      </c>
      <c r="M3329" s="1" t="str">
        <f t="shared" si="6777"/>
        <v>0</v>
      </c>
      <c r="N3329" s="1" t="str">
        <f t="shared" si="6777"/>
        <v>0</v>
      </c>
      <c r="O3329" s="1" t="str">
        <f t="shared" si="6777"/>
        <v>0</v>
      </c>
      <c r="P3329" s="1" t="str">
        <f t="shared" si="6777"/>
        <v>0</v>
      </c>
      <c r="Q3329" s="1" t="str">
        <f t="shared" si="6659"/>
        <v>0.0070</v>
      </c>
      <c r="R3329" s="1" t="s">
        <v>29</v>
      </c>
      <c r="S3329" s="1">
        <v>-0.0014</v>
      </c>
      <c r="T3329" s="1" t="str">
        <f t="shared" si="6660"/>
        <v>0</v>
      </c>
      <c r="U3329" s="1" t="str">
        <f t="shared" si="6758"/>
        <v>0.0056</v>
      </c>
    </row>
    <row r="3330" s="1" customFormat="1" spans="1:21">
      <c r="A3330" s="1" t="str">
        <f>"4601992063851"</f>
        <v>4601992063851</v>
      </c>
      <c r="B3330" s="1" t="s">
        <v>3353</v>
      </c>
      <c r="C3330" s="1" t="s">
        <v>24</v>
      </c>
      <c r="D3330" s="1" t="str">
        <f t="shared" si="6656"/>
        <v>2021</v>
      </c>
      <c r="E3330" s="1" t="str">
        <f>"47.92"</f>
        <v>47.92</v>
      </c>
      <c r="F3330" s="1" t="str">
        <f t="shared" ref="F3330:I3330" si="6778">"0"</f>
        <v>0</v>
      </c>
      <c r="G3330" s="1" t="str">
        <f t="shared" si="6778"/>
        <v>0</v>
      </c>
      <c r="H3330" s="1" t="str">
        <f t="shared" si="6778"/>
        <v>0</v>
      </c>
      <c r="I3330" s="1" t="str">
        <f t="shared" si="6778"/>
        <v>0</v>
      </c>
      <c r="J3330" s="1" t="str">
        <f>"4"</f>
        <v>4</v>
      </c>
      <c r="K3330" s="1" t="str">
        <f t="shared" ref="K3330:P3330" si="6779">"0"</f>
        <v>0</v>
      </c>
      <c r="L3330" s="1" t="str">
        <f t="shared" si="6779"/>
        <v>0</v>
      </c>
      <c r="M3330" s="1" t="str">
        <f t="shared" si="6779"/>
        <v>0</v>
      </c>
      <c r="N3330" s="1" t="str">
        <f t="shared" si="6779"/>
        <v>0</v>
      </c>
      <c r="O3330" s="1" t="str">
        <f t="shared" si="6779"/>
        <v>0</v>
      </c>
      <c r="P3330" s="1" t="str">
        <f t="shared" si="6779"/>
        <v>0</v>
      </c>
      <c r="Q3330" s="1" t="str">
        <f t="shared" si="6659"/>
        <v>0.0070</v>
      </c>
      <c r="R3330" s="1" t="s">
        <v>29</v>
      </c>
      <c r="S3330" s="1">
        <v>-0.0014</v>
      </c>
      <c r="T3330" s="1" t="str">
        <f t="shared" si="6660"/>
        <v>0</v>
      </c>
      <c r="U3330" s="1" t="str">
        <f t="shared" si="6758"/>
        <v>0.0056</v>
      </c>
    </row>
    <row r="3331" s="1" customFormat="1" spans="1:21">
      <c r="A3331" s="1" t="str">
        <f>"4601992063865"</f>
        <v>4601992063865</v>
      </c>
      <c r="B3331" s="1" t="s">
        <v>3354</v>
      </c>
      <c r="C3331" s="1" t="s">
        <v>24</v>
      </c>
      <c r="D3331" s="1" t="str">
        <f t="shared" ref="D3331:D3394" si="6780">"2021"</f>
        <v>2021</v>
      </c>
      <c r="E3331" s="1" t="str">
        <f t="shared" ref="E3331:P3331" si="6781">"0"</f>
        <v>0</v>
      </c>
      <c r="F3331" s="1" t="str">
        <f t="shared" si="6781"/>
        <v>0</v>
      </c>
      <c r="G3331" s="1" t="str">
        <f t="shared" si="6781"/>
        <v>0</v>
      </c>
      <c r="H3331" s="1" t="str">
        <f t="shared" si="6781"/>
        <v>0</v>
      </c>
      <c r="I3331" s="1" t="str">
        <f t="shared" si="6781"/>
        <v>0</v>
      </c>
      <c r="J3331" s="1" t="str">
        <f t="shared" si="6781"/>
        <v>0</v>
      </c>
      <c r="K3331" s="1" t="str">
        <f t="shared" si="6781"/>
        <v>0</v>
      </c>
      <c r="L3331" s="1" t="str">
        <f t="shared" si="6781"/>
        <v>0</v>
      </c>
      <c r="M3331" s="1" t="str">
        <f t="shared" si="6781"/>
        <v>0</v>
      </c>
      <c r="N3331" s="1" t="str">
        <f t="shared" si="6781"/>
        <v>0</v>
      </c>
      <c r="O3331" s="1" t="str">
        <f t="shared" si="6781"/>
        <v>0</v>
      </c>
      <c r="P3331" s="1" t="str">
        <f t="shared" si="6781"/>
        <v>0</v>
      </c>
      <c r="Q3331" s="1" t="str">
        <f t="shared" ref="Q3331:Q3394" si="6782">"0.0070"</f>
        <v>0.0070</v>
      </c>
      <c r="R3331" s="1" t="s">
        <v>25</v>
      </c>
      <c r="T3331" s="1" t="str">
        <f t="shared" ref="T3331:T3394" si="6783">"0"</f>
        <v>0</v>
      </c>
      <c r="U3331" s="1" t="str">
        <f>"0.0070"</f>
        <v>0.0070</v>
      </c>
    </row>
    <row r="3332" s="1" customFormat="1" spans="1:21">
      <c r="A3332" s="1" t="str">
        <f>"4601992063836"</f>
        <v>4601992063836</v>
      </c>
      <c r="B3332" s="1" t="s">
        <v>3355</v>
      </c>
      <c r="C3332" s="1" t="s">
        <v>24</v>
      </c>
      <c r="D3332" s="1" t="str">
        <f t="shared" si="6780"/>
        <v>2021</v>
      </c>
      <c r="E3332" s="1" t="str">
        <f>"49.00"</f>
        <v>49.00</v>
      </c>
      <c r="F3332" s="1" t="str">
        <f t="shared" ref="F3332:I3332" si="6784">"0"</f>
        <v>0</v>
      </c>
      <c r="G3332" s="1" t="str">
        <f t="shared" si="6784"/>
        <v>0</v>
      </c>
      <c r="H3332" s="1" t="str">
        <f t="shared" si="6784"/>
        <v>0</v>
      </c>
      <c r="I3332" s="1" t="str">
        <f t="shared" si="6784"/>
        <v>0</v>
      </c>
      <c r="J3332" s="1" t="str">
        <f>"5"</f>
        <v>5</v>
      </c>
      <c r="K3332" s="1" t="str">
        <f t="shared" ref="K3332:P3332" si="6785">"0"</f>
        <v>0</v>
      </c>
      <c r="L3332" s="1" t="str">
        <f t="shared" si="6785"/>
        <v>0</v>
      </c>
      <c r="M3332" s="1" t="str">
        <f t="shared" si="6785"/>
        <v>0</v>
      </c>
      <c r="N3332" s="1" t="str">
        <f t="shared" si="6785"/>
        <v>0</v>
      </c>
      <c r="O3332" s="1" t="str">
        <f t="shared" si="6785"/>
        <v>0</v>
      </c>
      <c r="P3332" s="1" t="str">
        <f t="shared" si="6785"/>
        <v>0</v>
      </c>
      <c r="Q3332" s="1" t="str">
        <f t="shared" si="6782"/>
        <v>0.0070</v>
      </c>
      <c r="R3332" s="1" t="s">
        <v>29</v>
      </c>
      <c r="S3332" s="1">
        <v>-0.0014</v>
      </c>
      <c r="T3332" s="1" t="str">
        <f t="shared" si="6783"/>
        <v>0</v>
      </c>
      <c r="U3332" s="1" t="str">
        <f t="shared" ref="U3332:U3336" si="6786">"0.0056"</f>
        <v>0.0056</v>
      </c>
    </row>
    <row r="3333" s="1" customFormat="1" spans="1:21">
      <c r="A3333" s="1" t="str">
        <f>"4601992063890"</f>
        <v>4601992063890</v>
      </c>
      <c r="B3333" s="1" t="s">
        <v>3356</v>
      </c>
      <c r="C3333" s="1" t="s">
        <v>24</v>
      </c>
      <c r="D3333" s="1" t="str">
        <f t="shared" si="6780"/>
        <v>2021</v>
      </c>
      <c r="E3333" s="1" t="str">
        <f>"47.92"</f>
        <v>47.92</v>
      </c>
      <c r="F3333" s="1" t="str">
        <f t="shared" ref="F3333:I3333" si="6787">"0"</f>
        <v>0</v>
      </c>
      <c r="G3333" s="1" t="str">
        <f t="shared" si="6787"/>
        <v>0</v>
      </c>
      <c r="H3333" s="1" t="str">
        <f t="shared" si="6787"/>
        <v>0</v>
      </c>
      <c r="I3333" s="1" t="str">
        <f t="shared" si="6787"/>
        <v>0</v>
      </c>
      <c r="J3333" s="1" t="str">
        <f>"5"</f>
        <v>5</v>
      </c>
      <c r="K3333" s="1" t="str">
        <f t="shared" ref="K3333:P3333" si="6788">"0"</f>
        <v>0</v>
      </c>
      <c r="L3333" s="1" t="str">
        <f t="shared" si="6788"/>
        <v>0</v>
      </c>
      <c r="M3333" s="1" t="str">
        <f t="shared" si="6788"/>
        <v>0</v>
      </c>
      <c r="N3333" s="1" t="str">
        <f t="shared" si="6788"/>
        <v>0</v>
      </c>
      <c r="O3333" s="1" t="str">
        <f t="shared" si="6788"/>
        <v>0</v>
      </c>
      <c r="P3333" s="1" t="str">
        <f t="shared" si="6788"/>
        <v>0</v>
      </c>
      <c r="Q3333" s="1" t="str">
        <f t="shared" si="6782"/>
        <v>0.0070</v>
      </c>
      <c r="R3333" s="1" t="s">
        <v>29</v>
      </c>
      <c r="S3333" s="1">
        <v>-0.0014</v>
      </c>
      <c r="T3333" s="1" t="str">
        <f t="shared" si="6783"/>
        <v>0</v>
      </c>
      <c r="U3333" s="1" t="str">
        <f t="shared" si="6786"/>
        <v>0.0056</v>
      </c>
    </row>
    <row r="3334" s="1" customFormat="1" spans="1:21">
      <c r="A3334" s="1" t="str">
        <f>"4601992063871"</f>
        <v>4601992063871</v>
      </c>
      <c r="B3334" s="1" t="s">
        <v>3357</v>
      </c>
      <c r="C3334" s="1" t="s">
        <v>24</v>
      </c>
      <c r="D3334" s="1" t="str">
        <f t="shared" si="6780"/>
        <v>2021</v>
      </c>
      <c r="E3334" s="1" t="str">
        <f>"29.48"</f>
        <v>29.48</v>
      </c>
      <c r="F3334" s="1" t="str">
        <f t="shared" ref="F3334:I3334" si="6789">"0"</f>
        <v>0</v>
      </c>
      <c r="G3334" s="1" t="str">
        <f t="shared" si="6789"/>
        <v>0</v>
      </c>
      <c r="H3334" s="1" t="str">
        <f t="shared" si="6789"/>
        <v>0</v>
      </c>
      <c r="I3334" s="1" t="str">
        <f t="shared" si="6789"/>
        <v>0</v>
      </c>
      <c r="J3334" s="1" t="str">
        <f t="shared" ref="J3334:J3337" si="6790">"1"</f>
        <v>1</v>
      </c>
      <c r="K3334" s="1" t="str">
        <f t="shared" ref="K3334:P3334" si="6791">"0"</f>
        <v>0</v>
      </c>
      <c r="L3334" s="1" t="str">
        <f t="shared" si="6791"/>
        <v>0</v>
      </c>
      <c r="M3334" s="1" t="str">
        <f t="shared" si="6791"/>
        <v>0</v>
      </c>
      <c r="N3334" s="1" t="str">
        <f t="shared" si="6791"/>
        <v>0</v>
      </c>
      <c r="O3334" s="1" t="str">
        <f t="shared" si="6791"/>
        <v>0</v>
      </c>
      <c r="P3334" s="1" t="str">
        <f t="shared" si="6791"/>
        <v>0</v>
      </c>
      <c r="Q3334" s="1" t="str">
        <f t="shared" si="6782"/>
        <v>0.0070</v>
      </c>
      <c r="R3334" s="1" t="s">
        <v>29</v>
      </c>
      <c r="S3334" s="1">
        <v>-0.0014</v>
      </c>
      <c r="T3334" s="1" t="str">
        <f t="shared" si="6783"/>
        <v>0</v>
      </c>
      <c r="U3334" s="1" t="str">
        <f t="shared" si="6786"/>
        <v>0.0056</v>
      </c>
    </row>
    <row r="3335" s="1" customFormat="1" spans="1:21">
      <c r="A3335" s="1" t="str">
        <f>"4601992063907"</f>
        <v>4601992063907</v>
      </c>
      <c r="B3335" s="1" t="s">
        <v>3358</v>
      </c>
      <c r="C3335" s="1" t="s">
        <v>24</v>
      </c>
      <c r="D3335" s="1" t="str">
        <f t="shared" si="6780"/>
        <v>2021</v>
      </c>
      <c r="E3335" s="1" t="str">
        <f>"181.35"</f>
        <v>181.35</v>
      </c>
      <c r="F3335" s="1" t="str">
        <f t="shared" ref="F3335:I3335" si="6792">"0"</f>
        <v>0</v>
      </c>
      <c r="G3335" s="1" t="str">
        <f t="shared" si="6792"/>
        <v>0</v>
      </c>
      <c r="H3335" s="1" t="str">
        <f t="shared" si="6792"/>
        <v>0</v>
      </c>
      <c r="I3335" s="1" t="str">
        <f t="shared" si="6792"/>
        <v>0</v>
      </c>
      <c r="J3335" s="1" t="str">
        <f>"11"</f>
        <v>11</v>
      </c>
      <c r="K3335" s="1" t="str">
        <f t="shared" ref="K3335:P3335" si="6793">"0"</f>
        <v>0</v>
      </c>
      <c r="L3335" s="1" t="str">
        <f t="shared" si="6793"/>
        <v>0</v>
      </c>
      <c r="M3335" s="1" t="str">
        <f t="shared" si="6793"/>
        <v>0</v>
      </c>
      <c r="N3335" s="1" t="str">
        <f t="shared" si="6793"/>
        <v>0</v>
      </c>
      <c r="O3335" s="1" t="str">
        <f t="shared" si="6793"/>
        <v>0</v>
      </c>
      <c r="P3335" s="1" t="str">
        <f t="shared" si="6793"/>
        <v>0</v>
      </c>
      <c r="Q3335" s="1" t="str">
        <f t="shared" si="6782"/>
        <v>0.0070</v>
      </c>
      <c r="R3335" s="1" t="s">
        <v>29</v>
      </c>
      <c r="S3335" s="1">
        <v>-0.0014</v>
      </c>
      <c r="T3335" s="1" t="str">
        <f t="shared" si="6783"/>
        <v>0</v>
      </c>
      <c r="U3335" s="1" t="str">
        <f t="shared" si="6786"/>
        <v>0.0056</v>
      </c>
    </row>
    <row r="3336" s="1" customFormat="1" spans="1:21">
      <c r="A3336" s="1" t="str">
        <f>"4601992063930"</f>
        <v>4601992063930</v>
      </c>
      <c r="B3336" s="1" t="s">
        <v>3359</v>
      </c>
      <c r="C3336" s="1" t="s">
        <v>24</v>
      </c>
      <c r="D3336" s="1" t="str">
        <f t="shared" si="6780"/>
        <v>2021</v>
      </c>
      <c r="E3336" s="1" t="str">
        <f>"12.09"</f>
        <v>12.09</v>
      </c>
      <c r="F3336" s="1" t="str">
        <f t="shared" ref="F3336:I3336" si="6794">"0"</f>
        <v>0</v>
      </c>
      <c r="G3336" s="1" t="str">
        <f t="shared" si="6794"/>
        <v>0</v>
      </c>
      <c r="H3336" s="1" t="str">
        <f t="shared" si="6794"/>
        <v>0</v>
      </c>
      <c r="I3336" s="1" t="str">
        <f t="shared" si="6794"/>
        <v>0</v>
      </c>
      <c r="J3336" s="1" t="str">
        <f t="shared" si="6790"/>
        <v>1</v>
      </c>
      <c r="K3336" s="1" t="str">
        <f t="shared" ref="K3336:P3336" si="6795">"0"</f>
        <v>0</v>
      </c>
      <c r="L3336" s="1" t="str">
        <f t="shared" si="6795"/>
        <v>0</v>
      </c>
      <c r="M3336" s="1" t="str">
        <f t="shared" si="6795"/>
        <v>0</v>
      </c>
      <c r="N3336" s="1" t="str">
        <f t="shared" si="6795"/>
        <v>0</v>
      </c>
      <c r="O3336" s="1" t="str">
        <f t="shared" si="6795"/>
        <v>0</v>
      </c>
      <c r="P3336" s="1" t="str">
        <f t="shared" si="6795"/>
        <v>0</v>
      </c>
      <c r="Q3336" s="1" t="str">
        <f t="shared" si="6782"/>
        <v>0.0070</v>
      </c>
      <c r="R3336" s="1" t="s">
        <v>29</v>
      </c>
      <c r="S3336" s="1">
        <v>-0.0014</v>
      </c>
      <c r="T3336" s="1" t="str">
        <f t="shared" si="6783"/>
        <v>0</v>
      </c>
      <c r="U3336" s="1" t="str">
        <f t="shared" si="6786"/>
        <v>0.0056</v>
      </c>
    </row>
    <row r="3337" s="1" customFormat="1" spans="1:21">
      <c r="A3337" s="1" t="str">
        <f>"4601992063916"</f>
        <v>4601992063916</v>
      </c>
      <c r="B3337" s="1" t="s">
        <v>3360</v>
      </c>
      <c r="C3337" s="1" t="s">
        <v>24</v>
      </c>
      <c r="D3337" s="1" t="str">
        <f t="shared" si="6780"/>
        <v>2021</v>
      </c>
      <c r="E3337" s="1" t="str">
        <f>"11.98"</f>
        <v>11.98</v>
      </c>
      <c r="F3337" s="1" t="str">
        <f t="shared" ref="F3337:I3337" si="6796">"0"</f>
        <v>0</v>
      </c>
      <c r="G3337" s="1" t="str">
        <f t="shared" si="6796"/>
        <v>0</v>
      </c>
      <c r="H3337" s="1" t="str">
        <f t="shared" si="6796"/>
        <v>0</v>
      </c>
      <c r="I3337" s="1" t="str">
        <f t="shared" si="6796"/>
        <v>0</v>
      </c>
      <c r="J3337" s="1" t="str">
        <f t="shared" si="6790"/>
        <v>1</v>
      </c>
      <c r="K3337" s="1" t="str">
        <f t="shared" ref="K3337:P3337" si="6797">"0"</f>
        <v>0</v>
      </c>
      <c r="L3337" s="1" t="str">
        <f t="shared" si="6797"/>
        <v>0</v>
      </c>
      <c r="M3337" s="1" t="str">
        <f t="shared" si="6797"/>
        <v>0</v>
      </c>
      <c r="N3337" s="1" t="str">
        <f t="shared" si="6797"/>
        <v>0</v>
      </c>
      <c r="O3337" s="1" t="str">
        <f t="shared" si="6797"/>
        <v>0</v>
      </c>
      <c r="P3337" s="1" t="str">
        <f t="shared" si="6797"/>
        <v>0</v>
      </c>
      <c r="Q3337" s="1" t="str">
        <f t="shared" si="6782"/>
        <v>0.0070</v>
      </c>
      <c r="R3337" s="1" t="s">
        <v>25</v>
      </c>
      <c r="T3337" s="1" t="str">
        <f t="shared" si="6783"/>
        <v>0</v>
      </c>
      <c r="U3337" s="1" t="str">
        <f t="shared" ref="U3337:U3344" si="6798">"0.0070"</f>
        <v>0.0070</v>
      </c>
    </row>
    <row r="3338" s="1" customFormat="1" spans="1:21">
      <c r="A3338" s="1" t="str">
        <f>"4601992063935"</f>
        <v>4601992063935</v>
      </c>
      <c r="B3338" s="1" t="s">
        <v>3361</v>
      </c>
      <c r="C3338" s="1" t="s">
        <v>24</v>
      </c>
      <c r="D3338" s="1" t="str">
        <f t="shared" si="6780"/>
        <v>2021</v>
      </c>
      <c r="E3338" s="1" t="str">
        <f>"23.96"</f>
        <v>23.96</v>
      </c>
      <c r="F3338" s="1" t="str">
        <f t="shared" ref="F3338:I3338" si="6799">"0"</f>
        <v>0</v>
      </c>
      <c r="G3338" s="1" t="str">
        <f t="shared" si="6799"/>
        <v>0</v>
      </c>
      <c r="H3338" s="1" t="str">
        <f t="shared" si="6799"/>
        <v>0</v>
      </c>
      <c r="I3338" s="1" t="str">
        <f t="shared" si="6799"/>
        <v>0</v>
      </c>
      <c r="J3338" s="1" t="str">
        <f>"3"</f>
        <v>3</v>
      </c>
      <c r="K3338" s="1" t="str">
        <f t="shared" ref="K3338:P3338" si="6800">"0"</f>
        <v>0</v>
      </c>
      <c r="L3338" s="1" t="str">
        <f t="shared" si="6800"/>
        <v>0</v>
      </c>
      <c r="M3338" s="1" t="str">
        <f t="shared" si="6800"/>
        <v>0</v>
      </c>
      <c r="N3338" s="1" t="str">
        <f t="shared" si="6800"/>
        <v>0</v>
      </c>
      <c r="O3338" s="1" t="str">
        <f t="shared" si="6800"/>
        <v>0</v>
      </c>
      <c r="P3338" s="1" t="str">
        <f t="shared" si="6800"/>
        <v>0</v>
      </c>
      <c r="Q3338" s="1" t="str">
        <f t="shared" si="6782"/>
        <v>0.0070</v>
      </c>
      <c r="R3338" s="1" t="s">
        <v>29</v>
      </c>
      <c r="S3338" s="1">
        <v>-0.0014</v>
      </c>
      <c r="T3338" s="1" t="str">
        <f t="shared" si="6783"/>
        <v>0</v>
      </c>
      <c r="U3338" s="1" t="str">
        <f t="shared" ref="U3338:U3341" si="6801">"0.0056"</f>
        <v>0.0056</v>
      </c>
    </row>
    <row r="3339" s="1" customFormat="1" spans="1:21">
      <c r="A3339" s="1" t="str">
        <f>"4601992063942"</f>
        <v>4601992063942</v>
      </c>
      <c r="B3339" s="1" t="s">
        <v>3362</v>
      </c>
      <c r="C3339" s="1" t="s">
        <v>24</v>
      </c>
      <c r="D3339" s="1" t="str">
        <f t="shared" si="6780"/>
        <v>2021</v>
      </c>
      <c r="E3339" s="1" t="str">
        <f>"11.98"</f>
        <v>11.98</v>
      </c>
      <c r="F3339" s="1" t="str">
        <f t="shared" ref="F3339:I3339" si="6802">"0"</f>
        <v>0</v>
      </c>
      <c r="G3339" s="1" t="str">
        <f t="shared" si="6802"/>
        <v>0</v>
      </c>
      <c r="H3339" s="1" t="str">
        <f t="shared" si="6802"/>
        <v>0</v>
      </c>
      <c r="I3339" s="1" t="str">
        <f t="shared" si="6802"/>
        <v>0</v>
      </c>
      <c r="J3339" s="1" t="str">
        <f>"1"</f>
        <v>1</v>
      </c>
      <c r="K3339" s="1" t="str">
        <f t="shared" ref="K3339:P3339" si="6803">"0"</f>
        <v>0</v>
      </c>
      <c r="L3339" s="1" t="str">
        <f t="shared" si="6803"/>
        <v>0</v>
      </c>
      <c r="M3339" s="1" t="str">
        <f t="shared" si="6803"/>
        <v>0</v>
      </c>
      <c r="N3339" s="1" t="str">
        <f t="shared" si="6803"/>
        <v>0</v>
      </c>
      <c r="O3339" s="1" t="str">
        <f t="shared" si="6803"/>
        <v>0</v>
      </c>
      <c r="P3339" s="1" t="str">
        <f t="shared" si="6803"/>
        <v>0</v>
      </c>
      <c r="Q3339" s="1" t="str">
        <f t="shared" si="6782"/>
        <v>0.0070</v>
      </c>
      <c r="R3339" s="1" t="s">
        <v>29</v>
      </c>
      <c r="S3339" s="1">
        <v>-0.0014</v>
      </c>
      <c r="T3339" s="1" t="str">
        <f t="shared" si="6783"/>
        <v>0</v>
      </c>
      <c r="U3339" s="1" t="str">
        <f t="shared" si="6801"/>
        <v>0.0056</v>
      </c>
    </row>
    <row r="3340" s="1" customFormat="1" spans="1:21">
      <c r="A3340" s="1" t="str">
        <f>"4601992063949"</f>
        <v>4601992063949</v>
      </c>
      <c r="B3340" s="1" t="s">
        <v>3363</v>
      </c>
      <c r="C3340" s="1" t="s">
        <v>24</v>
      </c>
      <c r="D3340" s="1" t="str">
        <f t="shared" si="6780"/>
        <v>2021</v>
      </c>
      <c r="E3340" s="1" t="str">
        <f>"24.50"</f>
        <v>24.50</v>
      </c>
      <c r="F3340" s="1" t="str">
        <f t="shared" ref="F3340:I3340" si="6804">"0"</f>
        <v>0</v>
      </c>
      <c r="G3340" s="1" t="str">
        <f t="shared" si="6804"/>
        <v>0</v>
      </c>
      <c r="H3340" s="1" t="str">
        <f t="shared" si="6804"/>
        <v>0</v>
      </c>
      <c r="I3340" s="1" t="str">
        <f t="shared" si="6804"/>
        <v>0</v>
      </c>
      <c r="J3340" s="1" t="str">
        <f>"2"</f>
        <v>2</v>
      </c>
      <c r="K3340" s="1" t="str">
        <f t="shared" ref="K3340:P3340" si="6805">"0"</f>
        <v>0</v>
      </c>
      <c r="L3340" s="1" t="str">
        <f t="shared" si="6805"/>
        <v>0</v>
      </c>
      <c r="M3340" s="1" t="str">
        <f t="shared" si="6805"/>
        <v>0</v>
      </c>
      <c r="N3340" s="1" t="str">
        <f t="shared" si="6805"/>
        <v>0</v>
      </c>
      <c r="O3340" s="1" t="str">
        <f t="shared" si="6805"/>
        <v>0</v>
      </c>
      <c r="P3340" s="1" t="str">
        <f t="shared" si="6805"/>
        <v>0</v>
      </c>
      <c r="Q3340" s="1" t="str">
        <f t="shared" si="6782"/>
        <v>0.0070</v>
      </c>
      <c r="R3340" s="1" t="s">
        <v>25</v>
      </c>
      <c r="T3340" s="1" t="str">
        <f t="shared" si="6783"/>
        <v>0</v>
      </c>
      <c r="U3340" s="1" t="str">
        <f t="shared" si="6798"/>
        <v>0.0070</v>
      </c>
    </row>
    <row r="3341" s="1" customFormat="1" spans="1:21">
      <c r="A3341" s="1" t="str">
        <f>"4601992063946"</f>
        <v>4601992063946</v>
      </c>
      <c r="B3341" s="1" t="s">
        <v>3364</v>
      </c>
      <c r="C3341" s="1" t="s">
        <v>24</v>
      </c>
      <c r="D3341" s="1" t="str">
        <f t="shared" si="6780"/>
        <v>2021</v>
      </c>
      <c r="E3341" s="1" t="str">
        <f>"36.27"</f>
        <v>36.27</v>
      </c>
      <c r="F3341" s="1" t="str">
        <f t="shared" ref="F3341:I3341" si="6806">"0"</f>
        <v>0</v>
      </c>
      <c r="G3341" s="1" t="str">
        <f t="shared" si="6806"/>
        <v>0</v>
      </c>
      <c r="H3341" s="1" t="str">
        <f t="shared" si="6806"/>
        <v>0</v>
      </c>
      <c r="I3341" s="1" t="str">
        <f t="shared" si="6806"/>
        <v>0</v>
      </c>
      <c r="J3341" s="1" t="str">
        <f>"4"</f>
        <v>4</v>
      </c>
      <c r="K3341" s="1" t="str">
        <f t="shared" ref="K3341:P3341" si="6807">"0"</f>
        <v>0</v>
      </c>
      <c r="L3341" s="1" t="str">
        <f t="shared" si="6807"/>
        <v>0</v>
      </c>
      <c r="M3341" s="1" t="str">
        <f t="shared" si="6807"/>
        <v>0</v>
      </c>
      <c r="N3341" s="1" t="str">
        <f t="shared" si="6807"/>
        <v>0</v>
      </c>
      <c r="O3341" s="1" t="str">
        <f t="shared" si="6807"/>
        <v>0</v>
      </c>
      <c r="P3341" s="1" t="str">
        <f t="shared" si="6807"/>
        <v>0</v>
      </c>
      <c r="Q3341" s="1" t="str">
        <f t="shared" si="6782"/>
        <v>0.0070</v>
      </c>
      <c r="R3341" s="1" t="s">
        <v>29</v>
      </c>
      <c r="S3341" s="1">
        <v>-0.0014</v>
      </c>
      <c r="T3341" s="1" t="str">
        <f t="shared" si="6783"/>
        <v>0</v>
      </c>
      <c r="U3341" s="1" t="str">
        <f t="shared" si="6801"/>
        <v>0.0056</v>
      </c>
    </row>
    <row r="3342" s="1" customFormat="1" spans="1:21">
      <c r="A3342" s="1" t="str">
        <f>"4601992063952"</f>
        <v>4601992063952</v>
      </c>
      <c r="B3342" s="1" t="s">
        <v>3365</v>
      </c>
      <c r="C3342" s="1" t="s">
        <v>24</v>
      </c>
      <c r="D3342" s="1" t="str">
        <f t="shared" si="6780"/>
        <v>2021</v>
      </c>
      <c r="E3342" s="1" t="str">
        <f t="shared" ref="E3342:P3342" si="6808">"0"</f>
        <v>0</v>
      </c>
      <c r="F3342" s="1" t="str">
        <f t="shared" si="6808"/>
        <v>0</v>
      </c>
      <c r="G3342" s="1" t="str">
        <f t="shared" si="6808"/>
        <v>0</v>
      </c>
      <c r="H3342" s="1" t="str">
        <f t="shared" si="6808"/>
        <v>0</v>
      </c>
      <c r="I3342" s="1" t="str">
        <f t="shared" si="6808"/>
        <v>0</v>
      </c>
      <c r="J3342" s="1" t="str">
        <f t="shared" si="6808"/>
        <v>0</v>
      </c>
      <c r="K3342" s="1" t="str">
        <f t="shared" si="6808"/>
        <v>0</v>
      </c>
      <c r="L3342" s="1" t="str">
        <f t="shared" si="6808"/>
        <v>0</v>
      </c>
      <c r="M3342" s="1" t="str">
        <f t="shared" si="6808"/>
        <v>0</v>
      </c>
      <c r="N3342" s="1" t="str">
        <f t="shared" si="6808"/>
        <v>0</v>
      </c>
      <c r="O3342" s="1" t="str">
        <f t="shared" si="6808"/>
        <v>0</v>
      </c>
      <c r="P3342" s="1" t="str">
        <f t="shared" si="6808"/>
        <v>0</v>
      </c>
      <c r="Q3342" s="1" t="str">
        <f t="shared" si="6782"/>
        <v>0.0070</v>
      </c>
      <c r="R3342" s="1" t="s">
        <v>25</v>
      </c>
      <c r="T3342" s="1" t="str">
        <f t="shared" si="6783"/>
        <v>0</v>
      </c>
      <c r="U3342" s="1" t="str">
        <f t="shared" si="6798"/>
        <v>0.0070</v>
      </c>
    </row>
    <row r="3343" s="1" customFormat="1" spans="1:21">
      <c r="A3343" s="1" t="str">
        <f>"4601992063959"</f>
        <v>4601992063959</v>
      </c>
      <c r="B3343" s="1" t="s">
        <v>3366</v>
      </c>
      <c r="C3343" s="1" t="s">
        <v>24</v>
      </c>
      <c r="D3343" s="1" t="str">
        <f t="shared" si="6780"/>
        <v>2021</v>
      </c>
      <c r="E3343" s="1" t="str">
        <f t="shared" ref="E3343:P3343" si="6809">"0"</f>
        <v>0</v>
      </c>
      <c r="F3343" s="1" t="str">
        <f t="shared" si="6809"/>
        <v>0</v>
      </c>
      <c r="G3343" s="1" t="str">
        <f t="shared" si="6809"/>
        <v>0</v>
      </c>
      <c r="H3343" s="1" t="str">
        <f t="shared" si="6809"/>
        <v>0</v>
      </c>
      <c r="I3343" s="1" t="str">
        <f t="shared" si="6809"/>
        <v>0</v>
      </c>
      <c r="J3343" s="1" t="str">
        <f t="shared" si="6809"/>
        <v>0</v>
      </c>
      <c r="K3343" s="1" t="str">
        <f t="shared" si="6809"/>
        <v>0</v>
      </c>
      <c r="L3343" s="1" t="str">
        <f t="shared" si="6809"/>
        <v>0</v>
      </c>
      <c r="M3343" s="1" t="str">
        <f t="shared" si="6809"/>
        <v>0</v>
      </c>
      <c r="N3343" s="1" t="str">
        <f t="shared" si="6809"/>
        <v>0</v>
      </c>
      <c r="O3343" s="1" t="str">
        <f t="shared" si="6809"/>
        <v>0</v>
      </c>
      <c r="P3343" s="1" t="str">
        <f t="shared" si="6809"/>
        <v>0</v>
      </c>
      <c r="Q3343" s="1" t="str">
        <f t="shared" si="6782"/>
        <v>0.0070</v>
      </c>
      <c r="R3343" s="1" t="s">
        <v>25</v>
      </c>
      <c r="T3343" s="1" t="str">
        <f t="shared" si="6783"/>
        <v>0</v>
      </c>
      <c r="U3343" s="1" t="str">
        <f t="shared" si="6798"/>
        <v>0.0070</v>
      </c>
    </row>
    <row r="3344" s="1" customFormat="1" spans="1:21">
      <c r="A3344" s="1" t="str">
        <f>"4601992063967"</f>
        <v>4601992063967</v>
      </c>
      <c r="B3344" s="1" t="s">
        <v>3367</v>
      </c>
      <c r="C3344" s="1" t="s">
        <v>24</v>
      </c>
      <c r="D3344" s="1" t="str">
        <f t="shared" si="6780"/>
        <v>2021</v>
      </c>
      <c r="E3344" s="1" t="str">
        <f>"11.98"</f>
        <v>11.98</v>
      </c>
      <c r="F3344" s="1" t="str">
        <f t="shared" ref="F3344:I3344" si="6810">"0"</f>
        <v>0</v>
      </c>
      <c r="G3344" s="1" t="str">
        <f t="shared" si="6810"/>
        <v>0</v>
      </c>
      <c r="H3344" s="1" t="str">
        <f t="shared" si="6810"/>
        <v>0</v>
      </c>
      <c r="I3344" s="1" t="str">
        <f t="shared" si="6810"/>
        <v>0</v>
      </c>
      <c r="J3344" s="1" t="str">
        <f>"1"</f>
        <v>1</v>
      </c>
      <c r="K3344" s="1" t="str">
        <f t="shared" ref="K3344:P3344" si="6811">"0"</f>
        <v>0</v>
      </c>
      <c r="L3344" s="1" t="str">
        <f t="shared" si="6811"/>
        <v>0</v>
      </c>
      <c r="M3344" s="1" t="str">
        <f t="shared" si="6811"/>
        <v>0</v>
      </c>
      <c r="N3344" s="1" t="str">
        <f t="shared" si="6811"/>
        <v>0</v>
      </c>
      <c r="O3344" s="1" t="str">
        <f t="shared" si="6811"/>
        <v>0</v>
      </c>
      <c r="P3344" s="1" t="str">
        <f t="shared" si="6811"/>
        <v>0</v>
      </c>
      <c r="Q3344" s="1" t="str">
        <f t="shared" si="6782"/>
        <v>0.0070</v>
      </c>
      <c r="R3344" s="1" t="s">
        <v>25</v>
      </c>
      <c r="T3344" s="1" t="str">
        <f t="shared" si="6783"/>
        <v>0</v>
      </c>
      <c r="U3344" s="1" t="str">
        <f t="shared" si="6798"/>
        <v>0.0070</v>
      </c>
    </row>
    <row r="3345" s="1" customFormat="1" spans="1:21">
      <c r="A3345" s="1" t="str">
        <f>"4601992063982"</f>
        <v>4601992063982</v>
      </c>
      <c r="B3345" s="1" t="s">
        <v>3368</v>
      </c>
      <c r="C3345" s="1" t="s">
        <v>24</v>
      </c>
      <c r="D3345" s="1" t="str">
        <f t="shared" si="6780"/>
        <v>2021</v>
      </c>
      <c r="E3345" s="1" t="str">
        <f t="shared" ref="E3345:E3349" si="6812">"23.96"</f>
        <v>23.96</v>
      </c>
      <c r="F3345" s="1" t="str">
        <f t="shared" ref="F3345:I3345" si="6813">"0"</f>
        <v>0</v>
      </c>
      <c r="G3345" s="1" t="str">
        <f t="shared" si="6813"/>
        <v>0</v>
      </c>
      <c r="H3345" s="1" t="str">
        <f t="shared" si="6813"/>
        <v>0</v>
      </c>
      <c r="I3345" s="1" t="str">
        <f t="shared" si="6813"/>
        <v>0</v>
      </c>
      <c r="J3345" s="1" t="str">
        <f t="shared" ref="J3345:J3350" si="6814">"2"</f>
        <v>2</v>
      </c>
      <c r="K3345" s="1" t="str">
        <f t="shared" ref="K3345:P3345" si="6815">"0"</f>
        <v>0</v>
      </c>
      <c r="L3345" s="1" t="str">
        <f t="shared" si="6815"/>
        <v>0</v>
      </c>
      <c r="M3345" s="1" t="str">
        <f t="shared" si="6815"/>
        <v>0</v>
      </c>
      <c r="N3345" s="1" t="str">
        <f t="shared" si="6815"/>
        <v>0</v>
      </c>
      <c r="O3345" s="1" t="str">
        <f t="shared" si="6815"/>
        <v>0</v>
      </c>
      <c r="P3345" s="1" t="str">
        <f t="shared" si="6815"/>
        <v>0</v>
      </c>
      <c r="Q3345" s="1" t="str">
        <f t="shared" si="6782"/>
        <v>0.0070</v>
      </c>
      <c r="R3345" s="1" t="s">
        <v>29</v>
      </c>
      <c r="S3345" s="1">
        <v>-0.0014</v>
      </c>
      <c r="T3345" s="1" t="str">
        <f t="shared" si="6783"/>
        <v>0</v>
      </c>
      <c r="U3345" s="1" t="str">
        <f t="shared" ref="U3345:U3350" si="6816">"0.0056"</f>
        <v>0.0056</v>
      </c>
    </row>
    <row r="3346" s="1" customFormat="1" spans="1:21">
      <c r="A3346" s="1" t="str">
        <f>"4601992063968"</f>
        <v>4601992063968</v>
      </c>
      <c r="B3346" s="1" t="s">
        <v>3369</v>
      </c>
      <c r="C3346" s="1" t="s">
        <v>24</v>
      </c>
      <c r="D3346" s="1" t="str">
        <f t="shared" si="6780"/>
        <v>2021</v>
      </c>
      <c r="E3346" s="1" t="str">
        <f>"33.60"</f>
        <v>33.60</v>
      </c>
      <c r="F3346" s="1" t="str">
        <f t="shared" ref="F3346:I3346" si="6817">"0"</f>
        <v>0</v>
      </c>
      <c r="G3346" s="1" t="str">
        <f t="shared" si="6817"/>
        <v>0</v>
      </c>
      <c r="H3346" s="1" t="str">
        <f t="shared" si="6817"/>
        <v>0</v>
      </c>
      <c r="I3346" s="1" t="str">
        <f t="shared" si="6817"/>
        <v>0</v>
      </c>
      <c r="J3346" s="1" t="str">
        <f t="shared" si="6814"/>
        <v>2</v>
      </c>
      <c r="K3346" s="1" t="str">
        <f t="shared" ref="K3346:P3346" si="6818">"0"</f>
        <v>0</v>
      </c>
      <c r="L3346" s="1" t="str">
        <f t="shared" si="6818"/>
        <v>0</v>
      </c>
      <c r="M3346" s="1" t="str">
        <f t="shared" si="6818"/>
        <v>0</v>
      </c>
      <c r="N3346" s="1" t="str">
        <f t="shared" si="6818"/>
        <v>0</v>
      </c>
      <c r="O3346" s="1" t="str">
        <f t="shared" si="6818"/>
        <v>0</v>
      </c>
      <c r="P3346" s="1" t="str">
        <f t="shared" si="6818"/>
        <v>0</v>
      </c>
      <c r="Q3346" s="1" t="str">
        <f t="shared" si="6782"/>
        <v>0.0070</v>
      </c>
      <c r="R3346" s="1" t="s">
        <v>29</v>
      </c>
      <c r="S3346" s="1">
        <v>-0.0014</v>
      </c>
      <c r="T3346" s="1" t="str">
        <f t="shared" si="6783"/>
        <v>0</v>
      </c>
      <c r="U3346" s="1" t="str">
        <f t="shared" si="6816"/>
        <v>0.0056</v>
      </c>
    </row>
    <row r="3347" s="1" customFormat="1" spans="1:21">
      <c r="A3347" s="1" t="str">
        <f>"4601992063991"</f>
        <v>4601992063991</v>
      </c>
      <c r="B3347" s="1" t="s">
        <v>3370</v>
      </c>
      <c r="C3347" s="1" t="s">
        <v>24</v>
      </c>
      <c r="D3347" s="1" t="str">
        <f t="shared" si="6780"/>
        <v>2021</v>
      </c>
      <c r="E3347" s="1" t="str">
        <f t="shared" si="6812"/>
        <v>23.96</v>
      </c>
      <c r="F3347" s="1" t="str">
        <f t="shared" ref="F3347:I3347" si="6819">"0"</f>
        <v>0</v>
      </c>
      <c r="G3347" s="1" t="str">
        <f t="shared" si="6819"/>
        <v>0</v>
      </c>
      <c r="H3347" s="1" t="str">
        <f t="shared" si="6819"/>
        <v>0</v>
      </c>
      <c r="I3347" s="1" t="str">
        <f t="shared" si="6819"/>
        <v>0</v>
      </c>
      <c r="J3347" s="1" t="str">
        <f>"4"</f>
        <v>4</v>
      </c>
      <c r="K3347" s="1" t="str">
        <f t="shared" ref="K3347:P3347" si="6820">"0"</f>
        <v>0</v>
      </c>
      <c r="L3347" s="1" t="str">
        <f t="shared" si="6820"/>
        <v>0</v>
      </c>
      <c r="M3347" s="1" t="str">
        <f t="shared" si="6820"/>
        <v>0</v>
      </c>
      <c r="N3347" s="1" t="str">
        <f t="shared" si="6820"/>
        <v>0</v>
      </c>
      <c r="O3347" s="1" t="str">
        <f t="shared" si="6820"/>
        <v>0</v>
      </c>
      <c r="P3347" s="1" t="str">
        <f t="shared" si="6820"/>
        <v>0</v>
      </c>
      <c r="Q3347" s="1" t="str">
        <f t="shared" si="6782"/>
        <v>0.0070</v>
      </c>
      <c r="R3347" s="1" t="s">
        <v>29</v>
      </c>
      <c r="S3347" s="1">
        <v>-0.0014</v>
      </c>
      <c r="T3347" s="1" t="str">
        <f t="shared" si="6783"/>
        <v>0</v>
      </c>
      <c r="U3347" s="1" t="str">
        <f t="shared" si="6816"/>
        <v>0.0056</v>
      </c>
    </row>
    <row r="3348" s="1" customFormat="1" spans="1:21">
      <c r="A3348" s="1" t="str">
        <f>"4601992063920"</f>
        <v>4601992063920</v>
      </c>
      <c r="B3348" s="1" t="s">
        <v>3371</v>
      </c>
      <c r="C3348" s="1" t="s">
        <v>24</v>
      </c>
      <c r="D3348" s="1" t="str">
        <f t="shared" si="6780"/>
        <v>2021</v>
      </c>
      <c r="E3348" s="1" t="str">
        <f>"1140.77"</f>
        <v>1140.77</v>
      </c>
      <c r="F3348" s="1" t="str">
        <f t="shared" ref="F3348:I3348" si="6821">"0"</f>
        <v>0</v>
      </c>
      <c r="G3348" s="1" t="str">
        <f t="shared" si="6821"/>
        <v>0</v>
      </c>
      <c r="H3348" s="1" t="str">
        <f t="shared" si="6821"/>
        <v>0</v>
      </c>
      <c r="I3348" s="1" t="str">
        <f t="shared" si="6821"/>
        <v>0</v>
      </c>
      <c r="J3348" s="1" t="str">
        <f>"102"</f>
        <v>102</v>
      </c>
      <c r="K3348" s="1" t="str">
        <f t="shared" ref="K3348:P3348" si="6822">"0"</f>
        <v>0</v>
      </c>
      <c r="L3348" s="1" t="str">
        <f t="shared" si="6822"/>
        <v>0</v>
      </c>
      <c r="M3348" s="1" t="str">
        <f t="shared" si="6822"/>
        <v>0</v>
      </c>
      <c r="N3348" s="1" t="str">
        <f t="shared" si="6822"/>
        <v>0</v>
      </c>
      <c r="O3348" s="1" t="str">
        <f t="shared" si="6822"/>
        <v>0</v>
      </c>
      <c r="P3348" s="1" t="str">
        <f t="shared" si="6822"/>
        <v>0</v>
      </c>
      <c r="Q3348" s="1" t="str">
        <f t="shared" si="6782"/>
        <v>0.0070</v>
      </c>
      <c r="R3348" s="1" t="s">
        <v>29</v>
      </c>
      <c r="S3348" s="1">
        <v>-0.0014</v>
      </c>
      <c r="T3348" s="1" t="str">
        <f t="shared" si="6783"/>
        <v>0</v>
      </c>
      <c r="U3348" s="1" t="str">
        <f t="shared" si="6816"/>
        <v>0.0056</v>
      </c>
    </row>
    <row r="3349" s="1" customFormat="1" spans="1:21">
      <c r="A3349" s="1" t="str">
        <f>"4601992063994"</f>
        <v>4601992063994</v>
      </c>
      <c r="B3349" s="1" t="s">
        <v>3372</v>
      </c>
      <c r="C3349" s="1" t="s">
        <v>24</v>
      </c>
      <c r="D3349" s="1" t="str">
        <f t="shared" si="6780"/>
        <v>2021</v>
      </c>
      <c r="E3349" s="1" t="str">
        <f t="shared" si="6812"/>
        <v>23.96</v>
      </c>
      <c r="F3349" s="1" t="str">
        <f t="shared" ref="F3349:I3349" si="6823">"0"</f>
        <v>0</v>
      </c>
      <c r="G3349" s="1" t="str">
        <f t="shared" si="6823"/>
        <v>0</v>
      </c>
      <c r="H3349" s="1" t="str">
        <f t="shared" si="6823"/>
        <v>0</v>
      </c>
      <c r="I3349" s="1" t="str">
        <f t="shared" si="6823"/>
        <v>0</v>
      </c>
      <c r="J3349" s="1" t="str">
        <f t="shared" si="6814"/>
        <v>2</v>
      </c>
      <c r="K3349" s="1" t="str">
        <f t="shared" ref="K3349:P3349" si="6824">"0"</f>
        <v>0</v>
      </c>
      <c r="L3349" s="1" t="str">
        <f t="shared" si="6824"/>
        <v>0</v>
      </c>
      <c r="M3349" s="1" t="str">
        <f t="shared" si="6824"/>
        <v>0</v>
      </c>
      <c r="N3349" s="1" t="str">
        <f t="shared" si="6824"/>
        <v>0</v>
      </c>
      <c r="O3349" s="1" t="str">
        <f t="shared" si="6824"/>
        <v>0</v>
      </c>
      <c r="P3349" s="1" t="str">
        <f t="shared" si="6824"/>
        <v>0</v>
      </c>
      <c r="Q3349" s="1" t="str">
        <f t="shared" si="6782"/>
        <v>0.0070</v>
      </c>
      <c r="R3349" s="1" t="s">
        <v>29</v>
      </c>
      <c r="S3349" s="1">
        <v>-0.0014</v>
      </c>
      <c r="T3349" s="1" t="str">
        <f t="shared" si="6783"/>
        <v>0</v>
      </c>
      <c r="U3349" s="1" t="str">
        <f t="shared" si="6816"/>
        <v>0.0056</v>
      </c>
    </row>
    <row r="3350" s="1" customFormat="1" spans="1:21">
      <c r="A3350" s="1" t="str">
        <f>"4601992064012"</f>
        <v>4601992064012</v>
      </c>
      <c r="B3350" s="1" t="s">
        <v>3373</v>
      </c>
      <c r="C3350" s="1" t="s">
        <v>24</v>
      </c>
      <c r="D3350" s="1" t="str">
        <f t="shared" si="6780"/>
        <v>2021</v>
      </c>
      <c r="E3350" s="1" t="str">
        <f>"11.98"</f>
        <v>11.98</v>
      </c>
      <c r="F3350" s="1" t="str">
        <f t="shared" ref="F3350:I3350" si="6825">"0"</f>
        <v>0</v>
      </c>
      <c r="G3350" s="1" t="str">
        <f t="shared" si="6825"/>
        <v>0</v>
      </c>
      <c r="H3350" s="1" t="str">
        <f t="shared" si="6825"/>
        <v>0</v>
      </c>
      <c r="I3350" s="1" t="str">
        <f t="shared" si="6825"/>
        <v>0</v>
      </c>
      <c r="J3350" s="1" t="str">
        <f t="shared" si="6814"/>
        <v>2</v>
      </c>
      <c r="K3350" s="1" t="str">
        <f t="shared" ref="K3350:P3350" si="6826">"0"</f>
        <v>0</v>
      </c>
      <c r="L3350" s="1" t="str">
        <f t="shared" si="6826"/>
        <v>0</v>
      </c>
      <c r="M3350" s="1" t="str">
        <f t="shared" si="6826"/>
        <v>0</v>
      </c>
      <c r="N3350" s="1" t="str">
        <f t="shared" si="6826"/>
        <v>0</v>
      </c>
      <c r="O3350" s="1" t="str">
        <f t="shared" si="6826"/>
        <v>0</v>
      </c>
      <c r="P3350" s="1" t="str">
        <f t="shared" si="6826"/>
        <v>0</v>
      </c>
      <c r="Q3350" s="1" t="str">
        <f t="shared" si="6782"/>
        <v>0.0070</v>
      </c>
      <c r="R3350" s="1" t="s">
        <v>29</v>
      </c>
      <c r="S3350" s="1">
        <v>-0.0014</v>
      </c>
      <c r="T3350" s="1" t="str">
        <f t="shared" si="6783"/>
        <v>0</v>
      </c>
      <c r="U3350" s="1" t="str">
        <f t="shared" si="6816"/>
        <v>0.0056</v>
      </c>
    </row>
    <row r="3351" s="1" customFormat="1" spans="1:21">
      <c r="A3351" s="1" t="str">
        <f>"4601992064053"</f>
        <v>4601992064053</v>
      </c>
      <c r="B3351" s="1" t="s">
        <v>3374</v>
      </c>
      <c r="C3351" s="1" t="s">
        <v>24</v>
      </c>
      <c r="D3351" s="1" t="str">
        <f t="shared" si="6780"/>
        <v>2021</v>
      </c>
      <c r="E3351" s="1" t="str">
        <f t="shared" ref="E3351:P3351" si="6827">"0"</f>
        <v>0</v>
      </c>
      <c r="F3351" s="1" t="str">
        <f t="shared" si="6827"/>
        <v>0</v>
      </c>
      <c r="G3351" s="1" t="str">
        <f t="shared" si="6827"/>
        <v>0</v>
      </c>
      <c r="H3351" s="1" t="str">
        <f t="shared" si="6827"/>
        <v>0</v>
      </c>
      <c r="I3351" s="1" t="str">
        <f t="shared" si="6827"/>
        <v>0</v>
      </c>
      <c r="J3351" s="1" t="str">
        <f t="shared" si="6827"/>
        <v>0</v>
      </c>
      <c r="K3351" s="1" t="str">
        <f t="shared" si="6827"/>
        <v>0</v>
      </c>
      <c r="L3351" s="1" t="str">
        <f t="shared" si="6827"/>
        <v>0</v>
      </c>
      <c r="M3351" s="1" t="str">
        <f t="shared" si="6827"/>
        <v>0</v>
      </c>
      <c r="N3351" s="1" t="str">
        <f t="shared" si="6827"/>
        <v>0</v>
      </c>
      <c r="O3351" s="1" t="str">
        <f t="shared" si="6827"/>
        <v>0</v>
      </c>
      <c r="P3351" s="1" t="str">
        <f t="shared" si="6827"/>
        <v>0</v>
      </c>
      <c r="Q3351" s="1" t="str">
        <f t="shared" si="6782"/>
        <v>0.0070</v>
      </c>
      <c r="R3351" s="1" t="s">
        <v>25</v>
      </c>
      <c r="T3351" s="1" t="str">
        <f t="shared" si="6783"/>
        <v>0</v>
      </c>
      <c r="U3351" s="1" t="str">
        <f>"0.0070"</f>
        <v>0.0070</v>
      </c>
    </row>
    <row r="3352" s="1" customFormat="1" spans="1:21">
      <c r="A3352" s="1" t="str">
        <f>"4601992031483"</f>
        <v>4601992031483</v>
      </c>
      <c r="B3352" s="1" t="s">
        <v>3375</v>
      </c>
      <c r="C3352" s="1" t="s">
        <v>24</v>
      </c>
      <c r="D3352" s="1" t="str">
        <f t="shared" si="6780"/>
        <v>2021</v>
      </c>
      <c r="E3352" s="1" t="str">
        <f>"36.27"</f>
        <v>36.27</v>
      </c>
      <c r="F3352" s="1" t="str">
        <f t="shared" ref="F3352:I3352" si="6828">"0"</f>
        <v>0</v>
      </c>
      <c r="G3352" s="1" t="str">
        <f t="shared" si="6828"/>
        <v>0</v>
      </c>
      <c r="H3352" s="1" t="str">
        <f t="shared" si="6828"/>
        <v>0</v>
      </c>
      <c r="I3352" s="1" t="str">
        <f t="shared" si="6828"/>
        <v>0</v>
      </c>
      <c r="J3352" s="1" t="str">
        <f>"4"</f>
        <v>4</v>
      </c>
      <c r="K3352" s="1" t="str">
        <f t="shared" ref="K3352:P3352" si="6829">"0"</f>
        <v>0</v>
      </c>
      <c r="L3352" s="1" t="str">
        <f t="shared" si="6829"/>
        <v>0</v>
      </c>
      <c r="M3352" s="1" t="str">
        <f t="shared" si="6829"/>
        <v>0</v>
      </c>
      <c r="N3352" s="1" t="str">
        <f t="shared" si="6829"/>
        <v>0</v>
      </c>
      <c r="O3352" s="1" t="str">
        <f t="shared" si="6829"/>
        <v>0</v>
      </c>
      <c r="P3352" s="1" t="str">
        <f t="shared" si="6829"/>
        <v>0</v>
      </c>
      <c r="Q3352" s="1" t="str">
        <f t="shared" si="6782"/>
        <v>0.0070</v>
      </c>
      <c r="R3352" s="1" t="s">
        <v>25</v>
      </c>
      <c r="T3352" s="1" t="str">
        <f t="shared" si="6783"/>
        <v>0</v>
      </c>
      <c r="U3352" s="1" t="str">
        <f>"0.0070"</f>
        <v>0.0070</v>
      </c>
    </row>
    <row r="3353" s="1" customFormat="1" spans="1:21">
      <c r="A3353" s="1" t="str">
        <f>"4601992064055"</f>
        <v>4601992064055</v>
      </c>
      <c r="B3353" s="1" t="s">
        <v>3376</v>
      </c>
      <c r="C3353" s="1" t="s">
        <v>24</v>
      </c>
      <c r="D3353" s="1" t="str">
        <f t="shared" si="6780"/>
        <v>2021</v>
      </c>
      <c r="E3353" s="1" t="str">
        <f>"174.01"</f>
        <v>174.01</v>
      </c>
      <c r="F3353" s="1" t="str">
        <f t="shared" ref="F3353:I3353" si="6830">"0"</f>
        <v>0</v>
      </c>
      <c r="G3353" s="1" t="str">
        <f t="shared" si="6830"/>
        <v>0</v>
      </c>
      <c r="H3353" s="1" t="str">
        <f t="shared" si="6830"/>
        <v>0</v>
      </c>
      <c r="I3353" s="1" t="str">
        <f t="shared" si="6830"/>
        <v>0</v>
      </c>
      <c r="J3353" s="1" t="str">
        <f>"13"</f>
        <v>13</v>
      </c>
      <c r="K3353" s="1" t="str">
        <f t="shared" ref="K3353:P3353" si="6831">"0"</f>
        <v>0</v>
      </c>
      <c r="L3353" s="1" t="str">
        <f t="shared" si="6831"/>
        <v>0</v>
      </c>
      <c r="M3353" s="1" t="str">
        <f t="shared" si="6831"/>
        <v>0</v>
      </c>
      <c r="N3353" s="1" t="str">
        <f t="shared" si="6831"/>
        <v>0</v>
      </c>
      <c r="O3353" s="1" t="str">
        <f t="shared" si="6831"/>
        <v>0</v>
      </c>
      <c r="P3353" s="1" t="str">
        <f t="shared" si="6831"/>
        <v>0</v>
      </c>
      <c r="Q3353" s="1" t="str">
        <f t="shared" si="6782"/>
        <v>0.0070</v>
      </c>
      <c r="R3353" s="1" t="s">
        <v>29</v>
      </c>
      <c r="S3353" s="1">
        <v>-0.0014</v>
      </c>
      <c r="T3353" s="1" t="str">
        <f t="shared" si="6783"/>
        <v>0</v>
      </c>
      <c r="U3353" s="1" t="str">
        <f t="shared" ref="U3353:U3356" si="6832">"0.0056"</f>
        <v>0.0056</v>
      </c>
    </row>
    <row r="3354" s="1" customFormat="1" spans="1:21">
      <c r="A3354" s="1" t="str">
        <f>"4601992064044"</f>
        <v>4601992064044</v>
      </c>
      <c r="B3354" s="1" t="s">
        <v>3377</v>
      </c>
      <c r="C3354" s="1" t="s">
        <v>24</v>
      </c>
      <c r="D3354" s="1" t="str">
        <f t="shared" si="6780"/>
        <v>2021</v>
      </c>
      <c r="E3354" s="1" t="str">
        <f>"23.96"</f>
        <v>23.96</v>
      </c>
      <c r="F3354" s="1" t="str">
        <f t="shared" ref="F3354:I3354" si="6833">"0"</f>
        <v>0</v>
      </c>
      <c r="G3354" s="1" t="str">
        <f t="shared" si="6833"/>
        <v>0</v>
      </c>
      <c r="H3354" s="1" t="str">
        <f t="shared" si="6833"/>
        <v>0</v>
      </c>
      <c r="I3354" s="1" t="str">
        <f t="shared" si="6833"/>
        <v>0</v>
      </c>
      <c r="J3354" s="1" t="str">
        <f>"2"</f>
        <v>2</v>
      </c>
      <c r="K3354" s="1" t="str">
        <f t="shared" ref="K3354:P3354" si="6834">"0"</f>
        <v>0</v>
      </c>
      <c r="L3354" s="1" t="str">
        <f t="shared" si="6834"/>
        <v>0</v>
      </c>
      <c r="M3354" s="1" t="str">
        <f t="shared" si="6834"/>
        <v>0</v>
      </c>
      <c r="N3354" s="1" t="str">
        <f t="shared" si="6834"/>
        <v>0</v>
      </c>
      <c r="O3354" s="1" t="str">
        <f t="shared" si="6834"/>
        <v>0</v>
      </c>
      <c r="P3354" s="1" t="str">
        <f t="shared" si="6834"/>
        <v>0</v>
      </c>
      <c r="Q3354" s="1" t="str">
        <f t="shared" si="6782"/>
        <v>0.0070</v>
      </c>
      <c r="R3354" s="1" t="s">
        <v>29</v>
      </c>
      <c r="S3354" s="1">
        <v>-0.0014</v>
      </c>
      <c r="T3354" s="1" t="str">
        <f t="shared" si="6783"/>
        <v>0</v>
      </c>
      <c r="U3354" s="1" t="str">
        <f t="shared" si="6832"/>
        <v>0.0056</v>
      </c>
    </row>
    <row r="3355" s="1" customFormat="1" spans="1:21">
      <c r="A3355" s="1" t="str">
        <f>"4601992064064"</f>
        <v>4601992064064</v>
      </c>
      <c r="B3355" s="1" t="s">
        <v>3378</v>
      </c>
      <c r="C3355" s="1" t="s">
        <v>24</v>
      </c>
      <c r="D3355" s="1" t="str">
        <f t="shared" si="6780"/>
        <v>2021</v>
      </c>
      <c r="E3355" s="1" t="str">
        <f t="shared" ref="E3355:E3358" si="6835">"35.94"</f>
        <v>35.94</v>
      </c>
      <c r="F3355" s="1" t="str">
        <f t="shared" ref="F3355:I3355" si="6836">"0"</f>
        <v>0</v>
      </c>
      <c r="G3355" s="1" t="str">
        <f t="shared" si="6836"/>
        <v>0</v>
      </c>
      <c r="H3355" s="1" t="str">
        <f t="shared" si="6836"/>
        <v>0</v>
      </c>
      <c r="I3355" s="1" t="str">
        <f t="shared" si="6836"/>
        <v>0</v>
      </c>
      <c r="J3355" s="1" t="str">
        <f>"3"</f>
        <v>3</v>
      </c>
      <c r="K3355" s="1" t="str">
        <f t="shared" ref="K3355:P3355" si="6837">"0"</f>
        <v>0</v>
      </c>
      <c r="L3355" s="1" t="str">
        <f t="shared" si="6837"/>
        <v>0</v>
      </c>
      <c r="M3355" s="1" t="str">
        <f t="shared" si="6837"/>
        <v>0</v>
      </c>
      <c r="N3355" s="1" t="str">
        <f t="shared" si="6837"/>
        <v>0</v>
      </c>
      <c r="O3355" s="1" t="str">
        <f t="shared" si="6837"/>
        <v>0</v>
      </c>
      <c r="P3355" s="1" t="str">
        <f t="shared" si="6837"/>
        <v>0</v>
      </c>
      <c r="Q3355" s="1" t="str">
        <f t="shared" si="6782"/>
        <v>0.0070</v>
      </c>
      <c r="R3355" s="1" t="s">
        <v>29</v>
      </c>
      <c r="S3355" s="1">
        <v>-0.0014</v>
      </c>
      <c r="T3355" s="1" t="str">
        <f t="shared" si="6783"/>
        <v>0</v>
      </c>
      <c r="U3355" s="1" t="str">
        <f t="shared" si="6832"/>
        <v>0.0056</v>
      </c>
    </row>
    <row r="3356" s="1" customFormat="1" spans="1:21">
      <c r="A3356" s="1" t="str">
        <f>"4601992064067"</f>
        <v>4601992064067</v>
      </c>
      <c r="B3356" s="1" t="s">
        <v>3379</v>
      </c>
      <c r="C3356" s="1" t="s">
        <v>24</v>
      </c>
      <c r="D3356" s="1" t="str">
        <f t="shared" si="6780"/>
        <v>2021</v>
      </c>
      <c r="E3356" s="1" t="str">
        <f t="shared" si="6835"/>
        <v>35.94</v>
      </c>
      <c r="F3356" s="1" t="str">
        <f t="shared" ref="F3356:I3356" si="6838">"0"</f>
        <v>0</v>
      </c>
      <c r="G3356" s="1" t="str">
        <f t="shared" si="6838"/>
        <v>0</v>
      </c>
      <c r="H3356" s="1" t="str">
        <f t="shared" si="6838"/>
        <v>0</v>
      </c>
      <c r="I3356" s="1" t="str">
        <f t="shared" si="6838"/>
        <v>0</v>
      </c>
      <c r="J3356" s="1" t="str">
        <f>"5"</f>
        <v>5</v>
      </c>
      <c r="K3356" s="1" t="str">
        <f t="shared" ref="K3356:P3356" si="6839">"0"</f>
        <v>0</v>
      </c>
      <c r="L3356" s="1" t="str">
        <f t="shared" si="6839"/>
        <v>0</v>
      </c>
      <c r="M3356" s="1" t="str">
        <f t="shared" si="6839"/>
        <v>0</v>
      </c>
      <c r="N3356" s="1" t="str">
        <f t="shared" si="6839"/>
        <v>0</v>
      </c>
      <c r="O3356" s="1" t="str">
        <f t="shared" si="6839"/>
        <v>0</v>
      </c>
      <c r="P3356" s="1" t="str">
        <f t="shared" si="6839"/>
        <v>0</v>
      </c>
      <c r="Q3356" s="1" t="str">
        <f t="shared" si="6782"/>
        <v>0.0070</v>
      </c>
      <c r="R3356" s="1" t="s">
        <v>29</v>
      </c>
      <c r="S3356" s="1">
        <v>-0.0014</v>
      </c>
      <c r="T3356" s="1" t="str">
        <f t="shared" si="6783"/>
        <v>0</v>
      </c>
      <c r="U3356" s="1" t="str">
        <f t="shared" si="6832"/>
        <v>0.0056</v>
      </c>
    </row>
    <row r="3357" s="1" customFormat="1" spans="1:21">
      <c r="A3357" s="1" t="str">
        <f>"4601992064087"</f>
        <v>4601992064087</v>
      </c>
      <c r="B3357" s="1" t="s">
        <v>3380</v>
      </c>
      <c r="C3357" s="1" t="s">
        <v>24</v>
      </c>
      <c r="D3357" s="1" t="str">
        <f t="shared" si="6780"/>
        <v>2021</v>
      </c>
      <c r="E3357" s="1" t="str">
        <f>"24.18"</f>
        <v>24.18</v>
      </c>
      <c r="F3357" s="1" t="str">
        <f t="shared" ref="F3357:I3357" si="6840">"0"</f>
        <v>0</v>
      </c>
      <c r="G3357" s="1" t="str">
        <f t="shared" si="6840"/>
        <v>0</v>
      </c>
      <c r="H3357" s="1" t="str">
        <f t="shared" si="6840"/>
        <v>0</v>
      </c>
      <c r="I3357" s="1" t="str">
        <f t="shared" si="6840"/>
        <v>0</v>
      </c>
      <c r="J3357" s="1" t="str">
        <f>"1"</f>
        <v>1</v>
      </c>
      <c r="K3357" s="1" t="str">
        <f t="shared" ref="K3357:P3357" si="6841">"0"</f>
        <v>0</v>
      </c>
      <c r="L3357" s="1" t="str">
        <f t="shared" si="6841"/>
        <v>0</v>
      </c>
      <c r="M3357" s="1" t="str">
        <f t="shared" si="6841"/>
        <v>0</v>
      </c>
      <c r="N3357" s="1" t="str">
        <f t="shared" si="6841"/>
        <v>0</v>
      </c>
      <c r="O3357" s="1" t="str">
        <f t="shared" si="6841"/>
        <v>0</v>
      </c>
      <c r="P3357" s="1" t="str">
        <f t="shared" si="6841"/>
        <v>0</v>
      </c>
      <c r="Q3357" s="1" t="str">
        <f t="shared" si="6782"/>
        <v>0.0070</v>
      </c>
      <c r="R3357" s="1" t="s">
        <v>25</v>
      </c>
      <c r="T3357" s="1" t="str">
        <f t="shared" si="6783"/>
        <v>0</v>
      </c>
      <c r="U3357" s="1" t="str">
        <f>"0.0070"</f>
        <v>0.0070</v>
      </c>
    </row>
    <row r="3358" s="1" customFormat="1" spans="1:21">
      <c r="A3358" s="1" t="str">
        <f>"4601992064101"</f>
        <v>4601992064101</v>
      </c>
      <c r="B3358" s="1" t="s">
        <v>3381</v>
      </c>
      <c r="C3358" s="1" t="s">
        <v>24</v>
      </c>
      <c r="D3358" s="1" t="str">
        <f t="shared" si="6780"/>
        <v>2021</v>
      </c>
      <c r="E3358" s="1" t="str">
        <f t="shared" si="6835"/>
        <v>35.94</v>
      </c>
      <c r="F3358" s="1" t="str">
        <f t="shared" ref="F3358:I3358" si="6842">"0"</f>
        <v>0</v>
      </c>
      <c r="G3358" s="1" t="str">
        <f t="shared" si="6842"/>
        <v>0</v>
      </c>
      <c r="H3358" s="1" t="str">
        <f t="shared" si="6842"/>
        <v>0</v>
      </c>
      <c r="I3358" s="1" t="str">
        <f t="shared" si="6842"/>
        <v>0</v>
      </c>
      <c r="J3358" s="1" t="str">
        <f>"4"</f>
        <v>4</v>
      </c>
      <c r="K3358" s="1" t="str">
        <f t="shared" ref="K3358:P3358" si="6843">"0"</f>
        <v>0</v>
      </c>
      <c r="L3358" s="1" t="str">
        <f t="shared" si="6843"/>
        <v>0</v>
      </c>
      <c r="M3358" s="1" t="str">
        <f t="shared" si="6843"/>
        <v>0</v>
      </c>
      <c r="N3358" s="1" t="str">
        <f t="shared" si="6843"/>
        <v>0</v>
      </c>
      <c r="O3358" s="1" t="str">
        <f t="shared" si="6843"/>
        <v>0</v>
      </c>
      <c r="P3358" s="1" t="str">
        <f t="shared" si="6843"/>
        <v>0</v>
      </c>
      <c r="Q3358" s="1" t="str">
        <f t="shared" si="6782"/>
        <v>0.0070</v>
      </c>
      <c r="R3358" s="1" t="s">
        <v>29</v>
      </c>
      <c r="S3358" s="1">
        <v>-0.0014</v>
      </c>
      <c r="T3358" s="1" t="str">
        <f t="shared" si="6783"/>
        <v>0</v>
      </c>
      <c r="U3358" s="1" t="str">
        <f t="shared" ref="U3358:U3361" si="6844">"0.0056"</f>
        <v>0.0056</v>
      </c>
    </row>
    <row r="3359" s="1" customFormat="1" spans="1:21">
      <c r="A3359" s="1" t="str">
        <f>"4601992064093"</f>
        <v>4601992064093</v>
      </c>
      <c r="B3359" s="1" t="s">
        <v>3382</v>
      </c>
      <c r="C3359" s="1" t="s">
        <v>24</v>
      </c>
      <c r="D3359" s="1" t="str">
        <f t="shared" si="6780"/>
        <v>2021</v>
      </c>
      <c r="E3359" s="1" t="str">
        <f>"48.36"</f>
        <v>48.36</v>
      </c>
      <c r="F3359" s="1" t="str">
        <f t="shared" ref="F3359:I3359" si="6845">"0"</f>
        <v>0</v>
      </c>
      <c r="G3359" s="1" t="str">
        <f t="shared" si="6845"/>
        <v>0</v>
      </c>
      <c r="H3359" s="1" t="str">
        <f t="shared" si="6845"/>
        <v>0</v>
      </c>
      <c r="I3359" s="1" t="str">
        <f t="shared" si="6845"/>
        <v>0</v>
      </c>
      <c r="J3359" s="1" t="str">
        <f>"4"</f>
        <v>4</v>
      </c>
      <c r="K3359" s="1" t="str">
        <f t="shared" ref="K3359:P3359" si="6846">"0"</f>
        <v>0</v>
      </c>
      <c r="L3359" s="1" t="str">
        <f t="shared" si="6846"/>
        <v>0</v>
      </c>
      <c r="M3359" s="1" t="str">
        <f t="shared" si="6846"/>
        <v>0</v>
      </c>
      <c r="N3359" s="1" t="str">
        <f t="shared" si="6846"/>
        <v>0</v>
      </c>
      <c r="O3359" s="1" t="str">
        <f t="shared" si="6846"/>
        <v>0</v>
      </c>
      <c r="P3359" s="1" t="str">
        <f t="shared" si="6846"/>
        <v>0</v>
      </c>
      <c r="Q3359" s="1" t="str">
        <f t="shared" si="6782"/>
        <v>0.0070</v>
      </c>
      <c r="R3359" s="1" t="s">
        <v>29</v>
      </c>
      <c r="S3359" s="1">
        <v>-0.0014</v>
      </c>
      <c r="T3359" s="1" t="str">
        <f t="shared" si="6783"/>
        <v>0</v>
      </c>
      <c r="U3359" s="1" t="str">
        <f t="shared" si="6844"/>
        <v>0.0056</v>
      </c>
    </row>
    <row r="3360" s="1" customFormat="1" spans="1:21">
      <c r="A3360" s="1" t="str">
        <f>"4601992064133"</f>
        <v>4601992064133</v>
      </c>
      <c r="B3360" s="1" t="s">
        <v>3383</v>
      </c>
      <c r="C3360" s="1" t="s">
        <v>24</v>
      </c>
      <c r="D3360" s="1" t="str">
        <f t="shared" si="6780"/>
        <v>2021</v>
      </c>
      <c r="E3360" s="1" t="str">
        <f>"24.18"</f>
        <v>24.18</v>
      </c>
      <c r="F3360" s="1" t="str">
        <f t="shared" ref="F3360:I3360" si="6847">"0"</f>
        <v>0</v>
      </c>
      <c r="G3360" s="1" t="str">
        <f t="shared" si="6847"/>
        <v>0</v>
      </c>
      <c r="H3360" s="1" t="str">
        <f t="shared" si="6847"/>
        <v>0</v>
      </c>
      <c r="I3360" s="1" t="str">
        <f t="shared" si="6847"/>
        <v>0</v>
      </c>
      <c r="J3360" s="1" t="str">
        <f>"2"</f>
        <v>2</v>
      </c>
      <c r="K3360" s="1" t="str">
        <f t="shared" ref="K3360:P3360" si="6848">"0"</f>
        <v>0</v>
      </c>
      <c r="L3360" s="1" t="str">
        <f t="shared" si="6848"/>
        <v>0</v>
      </c>
      <c r="M3360" s="1" t="str">
        <f t="shared" si="6848"/>
        <v>0</v>
      </c>
      <c r="N3360" s="1" t="str">
        <f t="shared" si="6848"/>
        <v>0</v>
      </c>
      <c r="O3360" s="1" t="str">
        <f t="shared" si="6848"/>
        <v>0</v>
      </c>
      <c r="P3360" s="1" t="str">
        <f t="shared" si="6848"/>
        <v>0</v>
      </c>
      <c r="Q3360" s="1" t="str">
        <f t="shared" si="6782"/>
        <v>0.0070</v>
      </c>
      <c r="R3360" s="1" t="s">
        <v>29</v>
      </c>
      <c r="S3360" s="1">
        <v>-0.0014</v>
      </c>
      <c r="T3360" s="1" t="str">
        <f t="shared" si="6783"/>
        <v>0</v>
      </c>
      <c r="U3360" s="1" t="str">
        <f t="shared" si="6844"/>
        <v>0.0056</v>
      </c>
    </row>
    <row r="3361" s="1" customFormat="1" spans="1:21">
      <c r="A3361" s="1" t="str">
        <f>"4601992064115"</f>
        <v>4601992064115</v>
      </c>
      <c r="B3361" s="1" t="s">
        <v>3384</v>
      </c>
      <c r="C3361" s="1" t="s">
        <v>24</v>
      </c>
      <c r="D3361" s="1" t="str">
        <f t="shared" si="6780"/>
        <v>2021</v>
      </c>
      <c r="E3361" s="1" t="str">
        <f>"47.92"</f>
        <v>47.92</v>
      </c>
      <c r="F3361" s="1" t="str">
        <f t="shared" ref="F3361:I3361" si="6849">"0"</f>
        <v>0</v>
      </c>
      <c r="G3361" s="1" t="str">
        <f t="shared" si="6849"/>
        <v>0</v>
      </c>
      <c r="H3361" s="1" t="str">
        <f t="shared" si="6849"/>
        <v>0</v>
      </c>
      <c r="I3361" s="1" t="str">
        <f t="shared" si="6849"/>
        <v>0</v>
      </c>
      <c r="J3361" s="1" t="str">
        <f>"5"</f>
        <v>5</v>
      </c>
      <c r="K3361" s="1" t="str">
        <f t="shared" ref="K3361:P3361" si="6850">"0"</f>
        <v>0</v>
      </c>
      <c r="L3361" s="1" t="str">
        <f t="shared" si="6850"/>
        <v>0</v>
      </c>
      <c r="M3361" s="1" t="str">
        <f t="shared" si="6850"/>
        <v>0</v>
      </c>
      <c r="N3361" s="1" t="str">
        <f t="shared" si="6850"/>
        <v>0</v>
      </c>
      <c r="O3361" s="1" t="str">
        <f t="shared" si="6850"/>
        <v>0</v>
      </c>
      <c r="P3361" s="1" t="str">
        <f t="shared" si="6850"/>
        <v>0</v>
      </c>
      <c r="Q3361" s="1" t="str">
        <f t="shared" si="6782"/>
        <v>0.0070</v>
      </c>
      <c r="R3361" s="1" t="s">
        <v>29</v>
      </c>
      <c r="S3361" s="1">
        <v>-0.0014</v>
      </c>
      <c r="T3361" s="1" t="str">
        <f t="shared" si="6783"/>
        <v>0</v>
      </c>
      <c r="U3361" s="1" t="str">
        <f t="shared" si="6844"/>
        <v>0.0056</v>
      </c>
    </row>
    <row r="3362" s="1" customFormat="1" spans="1:21">
      <c r="A3362" s="1" t="str">
        <f>"4601992064196"</f>
        <v>4601992064196</v>
      </c>
      <c r="B3362" s="1" t="s">
        <v>3385</v>
      </c>
      <c r="C3362" s="1" t="s">
        <v>24</v>
      </c>
      <c r="D3362" s="1" t="str">
        <f t="shared" si="6780"/>
        <v>2021</v>
      </c>
      <c r="E3362" s="1" t="str">
        <f t="shared" ref="E3362:P3362" si="6851">"0"</f>
        <v>0</v>
      </c>
      <c r="F3362" s="1" t="str">
        <f t="shared" si="6851"/>
        <v>0</v>
      </c>
      <c r="G3362" s="1" t="str">
        <f t="shared" si="6851"/>
        <v>0</v>
      </c>
      <c r="H3362" s="1" t="str">
        <f t="shared" si="6851"/>
        <v>0</v>
      </c>
      <c r="I3362" s="1" t="str">
        <f t="shared" si="6851"/>
        <v>0</v>
      </c>
      <c r="J3362" s="1" t="str">
        <f t="shared" si="6851"/>
        <v>0</v>
      </c>
      <c r="K3362" s="1" t="str">
        <f t="shared" si="6851"/>
        <v>0</v>
      </c>
      <c r="L3362" s="1" t="str">
        <f t="shared" si="6851"/>
        <v>0</v>
      </c>
      <c r="M3362" s="1" t="str">
        <f t="shared" si="6851"/>
        <v>0</v>
      </c>
      <c r="N3362" s="1" t="str">
        <f t="shared" si="6851"/>
        <v>0</v>
      </c>
      <c r="O3362" s="1" t="str">
        <f t="shared" si="6851"/>
        <v>0</v>
      </c>
      <c r="P3362" s="1" t="str">
        <f t="shared" si="6851"/>
        <v>0</v>
      </c>
      <c r="Q3362" s="1" t="str">
        <f t="shared" si="6782"/>
        <v>0.0070</v>
      </c>
      <c r="R3362" s="1" t="s">
        <v>25</v>
      </c>
      <c r="T3362" s="1" t="str">
        <f t="shared" si="6783"/>
        <v>0</v>
      </c>
      <c r="U3362" s="1" t="str">
        <f>"0.0070"</f>
        <v>0.0070</v>
      </c>
    </row>
    <row r="3363" s="1" customFormat="1" spans="1:21">
      <c r="A3363" s="1" t="str">
        <f>"4601992064182"</f>
        <v>4601992064182</v>
      </c>
      <c r="B3363" s="1" t="s">
        <v>3386</v>
      </c>
      <c r="C3363" s="1" t="s">
        <v>24</v>
      </c>
      <c r="D3363" s="1" t="str">
        <f t="shared" si="6780"/>
        <v>2021</v>
      </c>
      <c r="E3363" s="1" t="str">
        <f>"23.96"</f>
        <v>23.96</v>
      </c>
      <c r="F3363" s="1" t="str">
        <f t="shared" ref="F3363:I3363" si="6852">"0"</f>
        <v>0</v>
      </c>
      <c r="G3363" s="1" t="str">
        <f t="shared" si="6852"/>
        <v>0</v>
      </c>
      <c r="H3363" s="1" t="str">
        <f t="shared" si="6852"/>
        <v>0</v>
      </c>
      <c r="I3363" s="1" t="str">
        <f t="shared" si="6852"/>
        <v>0</v>
      </c>
      <c r="J3363" s="1" t="str">
        <f>"2"</f>
        <v>2</v>
      </c>
      <c r="K3363" s="1" t="str">
        <f t="shared" ref="K3363:P3363" si="6853">"0"</f>
        <v>0</v>
      </c>
      <c r="L3363" s="1" t="str">
        <f t="shared" si="6853"/>
        <v>0</v>
      </c>
      <c r="M3363" s="1" t="str">
        <f t="shared" si="6853"/>
        <v>0</v>
      </c>
      <c r="N3363" s="1" t="str">
        <f t="shared" si="6853"/>
        <v>0</v>
      </c>
      <c r="O3363" s="1" t="str">
        <f t="shared" si="6853"/>
        <v>0</v>
      </c>
      <c r="P3363" s="1" t="str">
        <f t="shared" si="6853"/>
        <v>0</v>
      </c>
      <c r="Q3363" s="1" t="str">
        <f t="shared" si="6782"/>
        <v>0.0070</v>
      </c>
      <c r="R3363" s="1" t="s">
        <v>29</v>
      </c>
      <c r="S3363" s="1">
        <v>-0.0014</v>
      </c>
      <c r="T3363" s="1" t="str">
        <f t="shared" si="6783"/>
        <v>0</v>
      </c>
      <c r="U3363" s="1" t="str">
        <f t="shared" ref="U3363:U3376" si="6854">"0.0056"</f>
        <v>0.0056</v>
      </c>
    </row>
    <row r="3364" s="1" customFormat="1" spans="1:21">
      <c r="A3364" s="1" t="str">
        <f>"4601992064198"</f>
        <v>4601992064198</v>
      </c>
      <c r="B3364" s="1" t="s">
        <v>3387</v>
      </c>
      <c r="C3364" s="1" t="s">
        <v>24</v>
      </c>
      <c r="D3364" s="1" t="str">
        <f t="shared" si="6780"/>
        <v>2021</v>
      </c>
      <c r="E3364" s="1" t="str">
        <f>"24.50"</f>
        <v>24.50</v>
      </c>
      <c r="F3364" s="1" t="str">
        <f t="shared" ref="F3364:I3364" si="6855">"0"</f>
        <v>0</v>
      </c>
      <c r="G3364" s="1" t="str">
        <f t="shared" si="6855"/>
        <v>0</v>
      </c>
      <c r="H3364" s="1" t="str">
        <f t="shared" si="6855"/>
        <v>0</v>
      </c>
      <c r="I3364" s="1" t="str">
        <f t="shared" si="6855"/>
        <v>0</v>
      </c>
      <c r="J3364" s="1" t="str">
        <f>"4"</f>
        <v>4</v>
      </c>
      <c r="K3364" s="1" t="str">
        <f t="shared" ref="K3364:P3364" si="6856">"0"</f>
        <v>0</v>
      </c>
      <c r="L3364" s="1" t="str">
        <f t="shared" si="6856"/>
        <v>0</v>
      </c>
      <c r="M3364" s="1" t="str">
        <f t="shared" si="6856"/>
        <v>0</v>
      </c>
      <c r="N3364" s="1" t="str">
        <f t="shared" si="6856"/>
        <v>0</v>
      </c>
      <c r="O3364" s="1" t="str">
        <f t="shared" si="6856"/>
        <v>0</v>
      </c>
      <c r="P3364" s="1" t="str">
        <f t="shared" si="6856"/>
        <v>0</v>
      </c>
      <c r="Q3364" s="1" t="str">
        <f t="shared" si="6782"/>
        <v>0.0070</v>
      </c>
      <c r="R3364" s="1" t="s">
        <v>29</v>
      </c>
      <c r="S3364" s="1">
        <v>-0.0014</v>
      </c>
      <c r="T3364" s="1" t="str">
        <f t="shared" si="6783"/>
        <v>0</v>
      </c>
      <c r="U3364" s="1" t="str">
        <f t="shared" si="6854"/>
        <v>0.0056</v>
      </c>
    </row>
    <row r="3365" s="1" customFormat="1" spans="1:21">
      <c r="A3365" s="1" t="str">
        <f>"4601992064253"</f>
        <v>4601992064253</v>
      </c>
      <c r="B3365" s="1" t="s">
        <v>3388</v>
      </c>
      <c r="C3365" s="1" t="s">
        <v>24</v>
      </c>
      <c r="D3365" s="1" t="str">
        <f t="shared" si="6780"/>
        <v>2021</v>
      </c>
      <c r="E3365" s="1" t="str">
        <f>"35.94"</f>
        <v>35.94</v>
      </c>
      <c r="F3365" s="1" t="str">
        <f t="shared" ref="F3365:I3365" si="6857">"0"</f>
        <v>0</v>
      </c>
      <c r="G3365" s="1" t="str">
        <f t="shared" si="6857"/>
        <v>0</v>
      </c>
      <c r="H3365" s="1" t="str">
        <f t="shared" si="6857"/>
        <v>0</v>
      </c>
      <c r="I3365" s="1" t="str">
        <f t="shared" si="6857"/>
        <v>0</v>
      </c>
      <c r="J3365" s="1" t="str">
        <f>"3"</f>
        <v>3</v>
      </c>
      <c r="K3365" s="1" t="str">
        <f t="shared" ref="K3365:P3365" si="6858">"0"</f>
        <v>0</v>
      </c>
      <c r="L3365" s="1" t="str">
        <f t="shared" si="6858"/>
        <v>0</v>
      </c>
      <c r="M3365" s="1" t="str">
        <f t="shared" si="6858"/>
        <v>0</v>
      </c>
      <c r="N3365" s="1" t="str">
        <f t="shared" si="6858"/>
        <v>0</v>
      </c>
      <c r="O3365" s="1" t="str">
        <f t="shared" si="6858"/>
        <v>0</v>
      </c>
      <c r="P3365" s="1" t="str">
        <f t="shared" si="6858"/>
        <v>0</v>
      </c>
      <c r="Q3365" s="1" t="str">
        <f t="shared" si="6782"/>
        <v>0.0070</v>
      </c>
      <c r="R3365" s="1" t="s">
        <v>29</v>
      </c>
      <c r="S3365" s="1">
        <v>-0.0014</v>
      </c>
      <c r="T3365" s="1" t="str">
        <f t="shared" si="6783"/>
        <v>0</v>
      </c>
      <c r="U3365" s="1" t="str">
        <f t="shared" si="6854"/>
        <v>0.0056</v>
      </c>
    </row>
    <row r="3366" s="1" customFormat="1" spans="1:21">
      <c r="A3366" s="1" t="str">
        <f>"4601992064234"</f>
        <v>4601992064234</v>
      </c>
      <c r="B3366" s="1" t="s">
        <v>3389</v>
      </c>
      <c r="C3366" s="1" t="s">
        <v>24</v>
      </c>
      <c r="D3366" s="1" t="str">
        <f t="shared" si="6780"/>
        <v>2021</v>
      </c>
      <c r="E3366" s="1" t="str">
        <f>"23.96"</f>
        <v>23.96</v>
      </c>
      <c r="F3366" s="1" t="str">
        <f t="shared" ref="F3366:I3366" si="6859">"0"</f>
        <v>0</v>
      </c>
      <c r="G3366" s="1" t="str">
        <f t="shared" si="6859"/>
        <v>0</v>
      </c>
      <c r="H3366" s="1" t="str">
        <f t="shared" si="6859"/>
        <v>0</v>
      </c>
      <c r="I3366" s="1" t="str">
        <f t="shared" si="6859"/>
        <v>0</v>
      </c>
      <c r="J3366" s="1" t="str">
        <f>"2"</f>
        <v>2</v>
      </c>
      <c r="K3366" s="1" t="str">
        <f t="shared" ref="K3366:P3366" si="6860">"0"</f>
        <v>0</v>
      </c>
      <c r="L3366" s="1" t="str">
        <f t="shared" si="6860"/>
        <v>0</v>
      </c>
      <c r="M3366" s="1" t="str">
        <f t="shared" si="6860"/>
        <v>0</v>
      </c>
      <c r="N3366" s="1" t="str">
        <f t="shared" si="6860"/>
        <v>0</v>
      </c>
      <c r="O3366" s="1" t="str">
        <f t="shared" si="6860"/>
        <v>0</v>
      </c>
      <c r="P3366" s="1" t="str">
        <f t="shared" si="6860"/>
        <v>0</v>
      </c>
      <c r="Q3366" s="1" t="str">
        <f t="shared" si="6782"/>
        <v>0.0070</v>
      </c>
      <c r="R3366" s="1" t="s">
        <v>29</v>
      </c>
      <c r="S3366" s="1">
        <v>-0.0014</v>
      </c>
      <c r="T3366" s="1" t="str">
        <f t="shared" si="6783"/>
        <v>0</v>
      </c>
      <c r="U3366" s="1" t="str">
        <f t="shared" si="6854"/>
        <v>0.0056</v>
      </c>
    </row>
    <row r="3367" s="1" customFormat="1" spans="1:21">
      <c r="A3367" s="1" t="str">
        <f>"4601992064256"</f>
        <v>4601992064256</v>
      </c>
      <c r="B3367" s="1" t="s">
        <v>3390</v>
      </c>
      <c r="C3367" s="1" t="s">
        <v>24</v>
      </c>
      <c r="D3367" s="1" t="str">
        <f t="shared" si="6780"/>
        <v>2021</v>
      </c>
      <c r="E3367" s="1" t="str">
        <f>"49.00"</f>
        <v>49.00</v>
      </c>
      <c r="F3367" s="1" t="str">
        <f t="shared" ref="F3367:I3367" si="6861">"0"</f>
        <v>0</v>
      </c>
      <c r="G3367" s="1" t="str">
        <f t="shared" si="6861"/>
        <v>0</v>
      </c>
      <c r="H3367" s="1" t="str">
        <f t="shared" si="6861"/>
        <v>0</v>
      </c>
      <c r="I3367" s="1" t="str">
        <f t="shared" si="6861"/>
        <v>0</v>
      </c>
      <c r="J3367" s="1" t="str">
        <f>"3"</f>
        <v>3</v>
      </c>
      <c r="K3367" s="1" t="str">
        <f t="shared" ref="K3367:P3367" si="6862">"0"</f>
        <v>0</v>
      </c>
      <c r="L3367" s="1" t="str">
        <f t="shared" si="6862"/>
        <v>0</v>
      </c>
      <c r="M3367" s="1" t="str">
        <f t="shared" si="6862"/>
        <v>0</v>
      </c>
      <c r="N3367" s="1" t="str">
        <f t="shared" si="6862"/>
        <v>0</v>
      </c>
      <c r="O3367" s="1" t="str">
        <f t="shared" si="6862"/>
        <v>0</v>
      </c>
      <c r="P3367" s="1" t="str">
        <f t="shared" si="6862"/>
        <v>0</v>
      </c>
      <c r="Q3367" s="1" t="str">
        <f t="shared" si="6782"/>
        <v>0.0070</v>
      </c>
      <c r="R3367" s="1" t="s">
        <v>29</v>
      </c>
      <c r="S3367" s="1">
        <v>-0.0014</v>
      </c>
      <c r="T3367" s="1" t="str">
        <f t="shared" si="6783"/>
        <v>0</v>
      </c>
      <c r="U3367" s="1" t="str">
        <f t="shared" si="6854"/>
        <v>0.0056</v>
      </c>
    </row>
    <row r="3368" s="1" customFormat="1" spans="1:21">
      <c r="A3368" s="1" t="str">
        <f>"4601992064263"</f>
        <v>4601992064263</v>
      </c>
      <c r="B3368" s="1" t="s">
        <v>3391</v>
      </c>
      <c r="C3368" s="1" t="s">
        <v>24</v>
      </c>
      <c r="D3368" s="1" t="str">
        <f t="shared" si="6780"/>
        <v>2021</v>
      </c>
      <c r="E3368" s="1" t="str">
        <f>"12.34"</f>
        <v>12.34</v>
      </c>
      <c r="F3368" s="1" t="str">
        <f t="shared" ref="F3368:I3368" si="6863">"0"</f>
        <v>0</v>
      </c>
      <c r="G3368" s="1" t="str">
        <f t="shared" si="6863"/>
        <v>0</v>
      </c>
      <c r="H3368" s="1" t="str">
        <f t="shared" si="6863"/>
        <v>0</v>
      </c>
      <c r="I3368" s="1" t="str">
        <f t="shared" si="6863"/>
        <v>0</v>
      </c>
      <c r="J3368" s="1" t="str">
        <f>"1"</f>
        <v>1</v>
      </c>
      <c r="K3368" s="1" t="str">
        <f t="shared" ref="K3368:P3368" si="6864">"0"</f>
        <v>0</v>
      </c>
      <c r="L3368" s="1" t="str">
        <f t="shared" si="6864"/>
        <v>0</v>
      </c>
      <c r="M3368" s="1" t="str">
        <f t="shared" si="6864"/>
        <v>0</v>
      </c>
      <c r="N3368" s="1" t="str">
        <f t="shared" si="6864"/>
        <v>0</v>
      </c>
      <c r="O3368" s="1" t="str">
        <f t="shared" si="6864"/>
        <v>0</v>
      </c>
      <c r="P3368" s="1" t="str">
        <f t="shared" si="6864"/>
        <v>0</v>
      </c>
      <c r="Q3368" s="1" t="str">
        <f t="shared" si="6782"/>
        <v>0.0070</v>
      </c>
      <c r="R3368" s="1" t="s">
        <v>29</v>
      </c>
      <c r="S3368" s="1">
        <v>-0.0014</v>
      </c>
      <c r="T3368" s="1" t="str">
        <f t="shared" si="6783"/>
        <v>0</v>
      </c>
      <c r="U3368" s="1" t="str">
        <f t="shared" si="6854"/>
        <v>0.0056</v>
      </c>
    </row>
    <row r="3369" s="1" customFormat="1" spans="1:21">
      <c r="A3369" s="1" t="str">
        <f>"4601992064283"</f>
        <v>4601992064283</v>
      </c>
      <c r="B3369" s="1" t="s">
        <v>3392</v>
      </c>
      <c r="C3369" s="1" t="s">
        <v>24</v>
      </c>
      <c r="D3369" s="1" t="str">
        <f t="shared" si="6780"/>
        <v>2021</v>
      </c>
      <c r="E3369" s="1" t="str">
        <f>"11.98"</f>
        <v>11.98</v>
      </c>
      <c r="F3369" s="1" t="str">
        <f t="shared" ref="F3369:I3369" si="6865">"0"</f>
        <v>0</v>
      </c>
      <c r="G3369" s="1" t="str">
        <f t="shared" si="6865"/>
        <v>0</v>
      </c>
      <c r="H3369" s="1" t="str">
        <f t="shared" si="6865"/>
        <v>0</v>
      </c>
      <c r="I3369" s="1" t="str">
        <f t="shared" si="6865"/>
        <v>0</v>
      </c>
      <c r="J3369" s="1" t="str">
        <f>"1"</f>
        <v>1</v>
      </c>
      <c r="K3369" s="1" t="str">
        <f t="shared" ref="K3369:P3369" si="6866">"0"</f>
        <v>0</v>
      </c>
      <c r="L3369" s="1" t="str">
        <f t="shared" si="6866"/>
        <v>0</v>
      </c>
      <c r="M3369" s="1" t="str">
        <f t="shared" si="6866"/>
        <v>0</v>
      </c>
      <c r="N3369" s="1" t="str">
        <f t="shared" si="6866"/>
        <v>0</v>
      </c>
      <c r="O3369" s="1" t="str">
        <f t="shared" si="6866"/>
        <v>0</v>
      </c>
      <c r="P3369" s="1" t="str">
        <f t="shared" si="6866"/>
        <v>0</v>
      </c>
      <c r="Q3369" s="1" t="str">
        <f t="shared" si="6782"/>
        <v>0.0070</v>
      </c>
      <c r="R3369" s="1" t="s">
        <v>29</v>
      </c>
      <c r="S3369" s="1">
        <v>-0.0014</v>
      </c>
      <c r="T3369" s="1" t="str">
        <f t="shared" si="6783"/>
        <v>0</v>
      </c>
      <c r="U3369" s="1" t="str">
        <f t="shared" si="6854"/>
        <v>0.0056</v>
      </c>
    </row>
    <row r="3370" s="1" customFormat="1" spans="1:21">
      <c r="A3370" s="1" t="str">
        <f>"4601992064286"</f>
        <v>4601992064286</v>
      </c>
      <c r="B3370" s="1" t="s">
        <v>3393</v>
      </c>
      <c r="C3370" s="1" t="s">
        <v>24</v>
      </c>
      <c r="D3370" s="1" t="str">
        <f t="shared" si="6780"/>
        <v>2021</v>
      </c>
      <c r="E3370" s="1" t="str">
        <f>"47.92"</f>
        <v>47.92</v>
      </c>
      <c r="F3370" s="1" t="str">
        <f t="shared" ref="F3370:I3370" si="6867">"0"</f>
        <v>0</v>
      </c>
      <c r="G3370" s="1" t="str">
        <f t="shared" si="6867"/>
        <v>0</v>
      </c>
      <c r="H3370" s="1" t="str">
        <f t="shared" si="6867"/>
        <v>0</v>
      </c>
      <c r="I3370" s="1" t="str">
        <f t="shared" si="6867"/>
        <v>0</v>
      </c>
      <c r="J3370" s="1" t="str">
        <f>"4"</f>
        <v>4</v>
      </c>
      <c r="K3370" s="1" t="str">
        <f t="shared" ref="K3370:P3370" si="6868">"0"</f>
        <v>0</v>
      </c>
      <c r="L3370" s="1" t="str">
        <f t="shared" si="6868"/>
        <v>0</v>
      </c>
      <c r="M3370" s="1" t="str">
        <f t="shared" si="6868"/>
        <v>0</v>
      </c>
      <c r="N3370" s="1" t="str">
        <f t="shared" si="6868"/>
        <v>0</v>
      </c>
      <c r="O3370" s="1" t="str">
        <f t="shared" si="6868"/>
        <v>0</v>
      </c>
      <c r="P3370" s="1" t="str">
        <f t="shared" si="6868"/>
        <v>0</v>
      </c>
      <c r="Q3370" s="1" t="str">
        <f t="shared" si="6782"/>
        <v>0.0070</v>
      </c>
      <c r="R3370" s="1" t="s">
        <v>29</v>
      </c>
      <c r="S3370" s="1">
        <v>-0.0014</v>
      </c>
      <c r="T3370" s="1" t="str">
        <f t="shared" si="6783"/>
        <v>0</v>
      </c>
      <c r="U3370" s="1" t="str">
        <f t="shared" si="6854"/>
        <v>0.0056</v>
      </c>
    </row>
    <row r="3371" s="1" customFormat="1" spans="1:21">
      <c r="A3371" s="1" t="str">
        <f>"4601992064276"</f>
        <v>4601992064276</v>
      </c>
      <c r="B3371" s="1" t="s">
        <v>3394</v>
      </c>
      <c r="C3371" s="1" t="s">
        <v>24</v>
      </c>
      <c r="D3371" s="1" t="str">
        <f t="shared" si="6780"/>
        <v>2021</v>
      </c>
      <c r="E3371" s="1" t="str">
        <f>"23.96"</f>
        <v>23.96</v>
      </c>
      <c r="F3371" s="1" t="str">
        <f t="shared" ref="F3371:I3371" si="6869">"0"</f>
        <v>0</v>
      </c>
      <c r="G3371" s="1" t="str">
        <f t="shared" si="6869"/>
        <v>0</v>
      </c>
      <c r="H3371" s="1" t="str">
        <f t="shared" si="6869"/>
        <v>0</v>
      </c>
      <c r="I3371" s="1" t="str">
        <f t="shared" si="6869"/>
        <v>0</v>
      </c>
      <c r="J3371" s="1" t="str">
        <f>"2"</f>
        <v>2</v>
      </c>
      <c r="K3371" s="1" t="str">
        <f t="shared" ref="K3371:P3371" si="6870">"0"</f>
        <v>0</v>
      </c>
      <c r="L3371" s="1" t="str">
        <f t="shared" si="6870"/>
        <v>0</v>
      </c>
      <c r="M3371" s="1" t="str">
        <f t="shared" si="6870"/>
        <v>0</v>
      </c>
      <c r="N3371" s="1" t="str">
        <f t="shared" si="6870"/>
        <v>0</v>
      </c>
      <c r="O3371" s="1" t="str">
        <f t="shared" si="6870"/>
        <v>0</v>
      </c>
      <c r="P3371" s="1" t="str">
        <f t="shared" si="6870"/>
        <v>0</v>
      </c>
      <c r="Q3371" s="1" t="str">
        <f t="shared" si="6782"/>
        <v>0.0070</v>
      </c>
      <c r="R3371" s="1" t="s">
        <v>29</v>
      </c>
      <c r="S3371" s="1">
        <v>-0.0014</v>
      </c>
      <c r="T3371" s="1" t="str">
        <f t="shared" si="6783"/>
        <v>0</v>
      </c>
      <c r="U3371" s="1" t="str">
        <f t="shared" si="6854"/>
        <v>0.0056</v>
      </c>
    </row>
    <row r="3372" s="1" customFormat="1" spans="1:21">
      <c r="A3372" s="1" t="str">
        <f>"4601992064307"</f>
        <v>4601992064307</v>
      </c>
      <c r="B3372" s="1" t="s">
        <v>3395</v>
      </c>
      <c r="C3372" s="1" t="s">
        <v>24</v>
      </c>
      <c r="D3372" s="1" t="str">
        <f t="shared" si="6780"/>
        <v>2021</v>
      </c>
      <c r="E3372" s="1" t="str">
        <f>"24.50"</f>
        <v>24.50</v>
      </c>
      <c r="F3372" s="1" t="str">
        <f t="shared" ref="F3372:I3372" si="6871">"0"</f>
        <v>0</v>
      </c>
      <c r="G3372" s="1" t="str">
        <f t="shared" si="6871"/>
        <v>0</v>
      </c>
      <c r="H3372" s="1" t="str">
        <f t="shared" si="6871"/>
        <v>0</v>
      </c>
      <c r="I3372" s="1" t="str">
        <f t="shared" si="6871"/>
        <v>0</v>
      </c>
      <c r="J3372" s="1" t="str">
        <f>"2"</f>
        <v>2</v>
      </c>
      <c r="K3372" s="1" t="str">
        <f t="shared" ref="K3372:P3372" si="6872">"0"</f>
        <v>0</v>
      </c>
      <c r="L3372" s="1" t="str">
        <f t="shared" si="6872"/>
        <v>0</v>
      </c>
      <c r="M3372" s="1" t="str">
        <f t="shared" si="6872"/>
        <v>0</v>
      </c>
      <c r="N3372" s="1" t="str">
        <f t="shared" si="6872"/>
        <v>0</v>
      </c>
      <c r="O3372" s="1" t="str">
        <f t="shared" si="6872"/>
        <v>0</v>
      </c>
      <c r="P3372" s="1" t="str">
        <f t="shared" si="6872"/>
        <v>0</v>
      </c>
      <c r="Q3372" s="1" t="str">
        <f t="shared" si="6782"/>
        <v>0.0070</v>
      </c>
      <c r="R3372" s="1" t="s">
        <v>29</v>
      </c>
      <c r="S3372" s="1">
        <v>-0.0014</v>
      </c>
      <c r="T3372" s="1" t="str">
        <f t="shared" si="6783"/>
        <v>0</v>
      </c>
      <c r="U3372" s="1" t="str">
        <f t="shared" si="6854"/>
        <v>0.0056</v>
      </c>
    </row>
    <row r="3373" s="1" customFormat="1" spans="1:21">
      <c r="A3373" s="1" t="str">
        <f>"4601991408602"</f>
        <v>4601991408602</v>
      </c>
      <c r="B3373" s="1" t="s">
        <v>3396</v>
      </c>
      <c r="C3373" s="1" t="s">
        <v>24</v>
      </c>
      <c r="D3373" s="1" t="str">
        <f t="shared" si="6780"/>
        <v>2021</v>
      </c>
      <c r="E3373" s="1" t="str">
        <f>"5663.58"</f>
        <v>5663.58</v>
      </c>
      <c r="F3373" s="1" t="str">
        <f t="shared" ref="F3373:I3373" si="6873">"0"</f>
        <v>0</v>
      </c>
      <c r="G3373" s="1" t="str">
        <f t="shared" si="6873"/>
        <v>0</v>
      </c>
      <c r="H3373" s="1" t="str">
        <f t="shared" si="6873"/>
        <v>0</v>
      </c>
      <c r="I3373" s="1" t="str">
        <f t="shared" si="6873"/>
        <v>0</v>
      </c>
      <c r="J3373" s="1" t="str">
        <f>"28"</f>
        <v>28</v>
      </c>
      <c r="K3373" s="1" t="str">
        <f t="shared" ref="K3373:P3373" si="6874">"0"</f>
        <v>0</v>
      </c>
      <c r="L3373" s="1" t="str">
        <f t="shared" si="6874"/>
        <v>0</v>
      </c>
      <c r="M3373" s="1" t="str">
        <f t="shared" si="6874"/>
        <v>0</v>
      </c>
      <c r="N3373" s="1" t="str">
        <f t="shared" si="6874"/>
        <v>0</v>
      </c>
      <c r="O3373" s="1" t="str">
        <f t="shared" si="6874"/>
        <v>0</v>
      </c>
      <c r="P3373" s="1" t="str">
        <f t="shared" si="6874"/>
        <v>0</v>
      </c>
      <c r="Q3373" s="1" t="str">
        <f t="shared" si="6782"/>
        <v>0.0070</v>
      </c>
      <c r="R3373" s="1" t="s">
        <v>29</v>
      </c>
      <c r="S3373" s="1">
        <v>-0.0014</v>
      </c>
      <c r="T3373" s="1" t="str">
        <f t="shared" si="6783"/>
        <v>0</v>
      </c>
      <c r="U3373" s="1" t="str">
        <f t="shared" si="6854"/>
        <v>0.0056</v>
      </c>
    </row>
    <row r="3374" s="1" customFormat="1" spans="1:21">
      <c r="A3374" s="1" t="str">
        <f>"4601991407540"</f>
        <v>4601991407540</v>
      </c>
      <c r="B3374" s="1" t="s">
        <v>3397</v>
      </c>
      <c r="C3374" s="1" t="s">
        <v>24</v>
      </c>
      <c r="D3374" s="1" t="str">
        <f t="shared" si="6780"/>
        <v>2021</v>
      </c>
      <c r="E3374" s="1" t="str">
        <f>"716.64"</f>
        <v>716.64</v>
      </c>
      <c r="F3374" s="1" t="str">
        <f t="shared" ref="F3374:I3374" si="6875">"0"</f>
        <v>0</v>
      </c>
      <c r="G3374" s="1" t="str">
        <f t="shared" si="6875"/>
        <v>0</v>
      </c>
      <c r="H3374" s="1" t="str">
        <f t="shared" si="6875"/>
        <v>0</v>
      </c>
      <c r="I3374" s="1" t="str">
        <f t="shared" si="6875"/>
        <v>0</v>
      </c>
      <c r="J3374" s="1" t="str">
        <f>"4"</f>
        <v>4</v>
      </c>
      <c r="K3374" s="1" t="str">
        <f t="shared" ref="K3374:P3374" si="6876">"0"</f>
        <v>0</v>
      </c>
      <c r="L3374" s="1" t="str">
        <f t="shared" si="6876"/>
        <v>0</v>
      </c>
      <c r="M3374" s="1" t="str">
        <f t="shared" si="6876"/>
        <v>0</v>
      </c>
      <c r="N3374" s="1" t="str">
        <f t="shared" si="6876"/>
        <v>0</v>
      </c>
      <c r="O3374" s="1" t="str">
        <f t="shared" si="6876"/>
        <v>0</v>
      </c>
      <c r="P3374" s="1" t="str">
        <f t="shared" si="6876"/>
        <v>0</v>
      </c>
      <c r="Q3374" s="1" t="str">
        <f t="shared" si="6782"/>
        <v>0.0070</v>
      </c>
      <c r="R3374" s="1" t="s">
        <v>29</v>
      </c>
      <c r="S3374" s="1">
        <v>-0.0014</v>
      </c>
      <c r="T3374" s="1" t="str">
        <f t="shared" si="6783"/>
        <v>0</v>
      </c>
      <c r="U3374" s="1" t="str">
        <f t="shared" si="6854"/>
        <v>0.0056</v>
      </c>
    </row>
    <row r="3375" s="1" customFormat="1" spans="1:21">
      <c r="A3375" s="1" t="str">
        <f>"4601991411672"</f>
        <v>4601991411672</v>
      </c>
      <c r="B3375" s="1" t="s">
        <v>3398</v>
      </c>
      <c r="C3375" s="1" t="s">
        <v>24</v>
      </c>
      <c r="D3375" s="1" t="str">
        <f t="shared" si="6780"/>
        <v>2021</v>
      </c>
      <c r="E3375" s="1" t="str">
        <f>"592.04"</f>
        <v>592.04</v>
      </c>
      <c r="F3375" s="1" t="str">
        <f t="shared" ref="F3375:I3375" si="6877">"0"</f>
        <v>0</v>
      </c>
      <c r="G3375" s="1" t="str">
        <f t="shared" si="6877"/>
        <v>0</v>
      </c>
      <c r="H3375" s="1" t="str">
        <f t="shared" si="6877"/>
        <v>0</v>
      </c>
      <c r="I3375" s="1" t="str">
        <f t="shared" si="6877"/>
        <v>0</v>
      </c>
      <c r="J3375" s="1" t="str">
        <f>"56"</f>
        <v>56</v>
      </c>
      <c r="K3375" s="1" t="str">
        <f t="shared" ref="K3375:P3375" si="6878">"0"</f>
        <v>0</v>
      </c>
      <c r="L3375" s="1" t="str">
        <f t="shared" si="6878"/>
        <v>0</v>
      </c>
      <c r="M3375" s="1" t="str">
        <f t="shared" si="6878"/>
        <v>0</v>
      </c>
      <c r="N3375" s="1" t="str">
        <f t="shared" si="6878"/>
        <v>0</v>
      </c>
      <c r="O3375" s="1" t="str">
        <f t="shared" si="6878"/>
        <v>0</v>
      </c>
      <c r="P3375" s="1" t="str">
        <f t="shared" si="6878"/>
        <v>0</v>
      </c>
      <c r="Q3375" s="1" t="str">
        <f t="shared" si="6782"/>
        <v>0.0070</v>
      </c>
      <c r="R3375" s="1" t="s">
        <v>29</v>
      </c>
      <c r="S3375" s="1">
        <v>-0.0014</v>
      </c>
      <c r="T3375" s="1" t="str">
        <f t="shared" si="6783"/>
        <v>0</v>
      </c>
      <c r="U3375" s="1" t="str">
        <f t="shared" si="6854"/>
        <v>0.0056</v>
      </c>
    </row>
    <row r="3376" s="1" customFormat="1" spans="1:21">
      <c r="A3376" s="1" t="str">
        <f>"4601992064318"</f>
        <v>4601992064318</v>
      </c>
      <c r="B3376" s="1" t="s">
        <v>3399</v>
      </c>
      <c r="C3376" s="1" t="s">
        <v>24</v>
      </c>
      <c r="D3376" s="1" t="str">
        <f t="shared" si="6780"/>
        <v>2021</v>
      </c>
      <c r="E3376" s="1" t="str">
        <f>"96.72"</f>
        <v>96.72</v>
      </c>
      <c r="F3376" s="1" t="str">
        <f t="shared" ref="F3376:I3376" si="6879">"0"</f>
        <v>0</v>
      </c>
      <c r="G3376" s="1" t="str">
        <f t="shared" si="6879"/>
        <v>0</v>
      </c>
      <c r="H3376" s="1" t="str">
        <f t="shared" si="6879"/>
        <v>0</v>
      </c>
      <c r="I3376" s="1" t="str">
        <f t="shared" si="6879"/>
        <v>0</v>
      </c>
      <c r="J3376" s="1" t="str">
        <f>"9"</f>
        <v>9</v>
      </c>
      <c r="K3376" s="1" t="str">
        <f t="shared" ref="K3376:P3376" si="6880">"0"</f>
        <v>0</v>
      </c>
      <c r="L3376" s="1" t="str">
        <f t="shared" si="6880"/>
        <v>0</v>
      </c>
      <c r="M3376" s="1" t="str">
        <f t="shared" si="6880"/>
        <v>0</v>
      </c>
      <c r="N3376" s="1" t="str">
        <f t="shared" si="6880"/>
        <v>0</v>
      </c>
      <c r="O3376" s="1" t="str">
        <f t="shared" si="6880"/>
        <v>0</v>
      </c>
      <c r="P3376" s="1" t="str">
        <f t="shared" si="6880"/>
        <v>0</v>
      </c>
      <c r="Q3376" s="1" t="str">
        <f t="shared" si="6782"/>
        <v>0.0070</v>
      </c>
      <c r="R3376" s="1" t="s">
        <v>29</v>
      </c>
      <c r="S3376" s="1">
        <v>-0.0014</v>
      </c>
      <c r="T3376" s="1" t="str">
        <f t="shared" si="6783"/>
        <v>0</v>
      </c>
      <c r="U3376" s="1" t="str">
        <f t="shared" si="6854"/>
        <v>0.0056</v>
      </c>
    </row>
    <row r="3377" s="1" customFormat="1" spans="1:21">
      <c r="A3377" s="1" t="str">
        <f>"4601992064334"</f>
        <v>4601992064334</v>
      </c>
      <c r="B3377" s="1" t="s">
        <v>3400</v>
      </c>
      <c r="C3377" s="1" t="s">
        <v>24</v>
      </c>
      <c r="D3377" s="1" t="str">
        <f t="shared" si="6780"/>
        <v>2021</v>
      </c>
      <c r="E3377" s="1" t="str">
        <f t="shared" ref="E3377:P3377" si="6881">"0"</f>
        <v>0</v>
      </c>
      <c r="F3377" s="1" t="str">
        <f t="shared" si="6881"/>
        <v>0</v>
      </c>
      <c r="G3377" s="1" t="str">
        <f t="shared" si="6881"/>
        <v>0</v>
      </c>
      <c r="H3377" s="1" t="str">
        <f t="shared" si="6881"/>
        <v>0</v>
      </c>
      <c r="I3377" s="1" t="str">
        <f t="shared" si="6881"/>
        <v>0</v>
      </c>
      <c r="J3377" s="1" t="str">
        <f t="shared" si="6881"/>
        <v>0</v>
      </c>
      <c r="K3377" s="1" t="str">
        <f t="shared" si="6881"/>
        <v>0</v>
      </c>
      <c r="L3377" s="1" t="str">
        <f t="shared" si="6881"/>
        <v>0</v>
      </c>
      <c r="M3377" s="1" t="str">
        <f t="shared" si="6881"/>
        <v>0</v>
      </c>
      <c r="N3377" s="1" t="str">
        <f t="shared" si="6881"/>
        <v>0</v>
      </c>
      <c r="O3377" s="1" t="str">
        <f t="shared" si="6881"/>
        <v>0</v>
      </c>
      <c r="P3377" s="1" t="str">
        <f t="shared" si="6881"/>
        <v>0</v>
      </c>
      <c r="Q3377" s="1" t="str">
        <f t="shared" si="6782"/>
        <v>0.0070</v>
      </c>
      <c r="R3377" s="1" t="s">
        <v>25</v>
      </c>
      <c r="T3377" s="1" t="str">
        <f t="shared" si="6783"/>
        <v>0</v>
      </c>
      <c r="U3377" s="1" t="str">
        <f>"0.0070"</f>
        <v>0.0070</v>
      </c>
    </row>
    <row r="3378" s="1" customFormat="1" spans="1:21">
      <c r="A3378" s="1" t="str">
        <f>"4601992064323"</f>
        <v>4601992064323</v>
      </c>
      <c r="B3378" s="1" t="s">
        <v>3401</v>
      </c>
      <c r="C3378" s="1" t="s">
        <v>24</v>
      </c>
      <c r="D3378" s="1" t="str">
        <f t="shared" si="6780"/>
        <v>2021</v>
      </c>
      <c r="E3378" s="1" t="str">
        <f>"61.95"</f>
        <v>61.95</v>
      </c>
      <c r="F3378" s="1" t="str">
        <f t="shared" ref="F3378:I3378" si="6882">"0"</f>
        <v>0</v>
      </c>
      <c r="G3378" s="1" t="str">
        <f t="shared" si="6882"/>
        <v>0</v>
      </c>
      <c r="H3378" s="1" t="str">
        <f t="shared" si="6882"/>
        <v>0</v>
      </c>
      <c r="I3378" s="1" t="str">
        <f t="shared" si="6882"/>
        <v>0</v>
      </c>
      <c r="J3378" s="1" t="str">
        <f>"7"</f>
        <v>7</v>
      </c>
      <c r="K3378" s="1" t="str">
        <f t="shared" ref="K3378:P3378" si="6883">"0"</f>
        <v>0</v>
      </c>
      <c r="L3378" s="1" t="str">
        <f t="shared" si="6883"/>
        <v>0</v>
      </c>
      <c r="M3378" s="1" t="str">
        <f t="shared" si="6883"/>
        <v>0</v>
      </c>
      <c r="N3378" s="1" t="str">
        <f t="shared" si="6883"/>
        <v>0</v>
      </c>
      <c r="O3378" s="1" t="str">
        <f t="shared" si="6883"/>
        <v>0</v>
      </c>
      <c r="P3378" s="1" t="str">
        <f t="shared" si="6883"/>
        <v>0</v>
      </c>
      <c r="Q3378" s="1" t="str">
        <f t="shared" si="6782"/>
        <v>0.0070</v>
      </c>
      <c r="R3378" s="1" t="s">
        <v>29</v>
      </c>
      <c r="S3378" s="1">
        <v>-0.0014</v>
      </c>
      <c r="T3378" s="1" t="str">
        <f t="shared" si="6783"/>
        <v>0</v>
      </c>
      <c r="U3378" s="1" t="str">
        <f t="shared" ref="U3378:U3383" si="6884">"0.0056"</f>
        <v>0.0056</v>
      </c>
    </row>
    <row r="3379" s="1" customFormat="1" spans="1:21">
      <c r="A3379" s="1" t="str">
        <f>"4601991402108"</f>
        <v>4601991402108</v>
      </c>
      <c r="B3379" s="1" t="s">
        <v>3402</v>
      </c>
      <c r="C3379" s="1" t="s">
        <v>24</v>
      </c>
      <c r="D3379" s="1" t="str">
        <f t="shared" si="6780"/>
        <v>2021</v>
      </c>
      <c r="E3379" s="1" t="str">
        <f>"3265.20"</f>
        <v>3265.20</v>
      </c>
      <c r="F3379" s="1" t="str">
        <f t="shared" ref="F3379:I3379" si="6885">"0"</f>
        <v>0</v>
      </c>
      <c r="G3379" s="1" t="str">
        <f t="shared" si="6885"/>
        <v>0</v>
      </c>
      <c r="H3379" s="1" t="str">
        <f t="shared" si="6885"/>
        <v>0</v>
      </c>
      <c r="I3379" s="1" t="str">
        <f t="shared" si="6885"/>
        <v>0</v>
      </c>
      <c r="J3379" s="1" t="str">
        <f>"18"</f>
        <v>18</v>
      </c>
      <c r="K3379" s="1" t="str">
        <f t="shared" ref="K3379:P3379" si="6886">"0"</f>
        <v>0</v>
      </c>
      <c r="L3379" s="1" t="str">
        <f t="shared" si="6886"/>
        <v>0</v>
      </c>
      <c r="M3379" s="1" t="str">
        <f t="shared" si="6886"/>
        <v>0</v>
      </c>
      <c r="N3379" s="1" t="str">
        <f t="shared" si="6886"/>
        <v>0</v>
      </c>
      <c r="O3379" s="1" t="str">
        <f t="shared" si="6886"/>
        <v>0</v>
      </c>
      <c r="P3379" s="1" t="str">
        <f t="shared" si="6886"/>
        <v>0</v>
      </c>
      <c r="Q3379" s="1" t="str">
        <f t="shared" si="6782"/>
        <v>0.0070</v>
      </c>
      <c r="R3379" s="1" t="s">
        <v>29</v>
      </c>
      <c r="S3379" s="1">
        <v>-0.0014</v>
      </c>
      <c r="T3379" s="1" t="str">
        <f t="shared" si="6783"/>
        <v>0</v>
      </c>
      <c r="U3379" s="1" t="str">
        <f t="shared" si="6884"/>
        <v>0.0056</v>
      </c>
    </row>
    <row r="3380" s="1" customFormat="1" spans="1:21">
      <c r="A3380" s="1" t="str">
        <f>"4601992064364"</f>
        <v>4601992064364</v>
      </c>
      <c r="B3380" s="1" t="s">
        <v>3403</v>
      </c>
      <c r="C3380" s="1" t="s">
        <v>24</v>
      </c>
      <c r="D3380" s="1" t="str">
        <f t="shared" si="6780"/>
        <v>2021</v>
      </c>
      <c r="E3380" s="1" t="str">
        <f>"84.63"</f>
        <v>84.63</v>
      </c>
      <c r="F3380" s="1" t="str">
        <f t="shared" ref="F3380:I3380" si="6887">"0"</f>
        <v>0</v>
      </c>
      <c r="G3380" s="1" t="str">
        <f t="shared" si="6887"/>
        <v>0</v>
      </c>
      <c r="H3380" s="1" t="str">
        <f t="shared" si="6887"/>
        <v>0</v>
      </c>
      <c r="I3380" s="1" t="str">
        <f t="shared" si="6887"/>
        <v>0</v>
      </c>
      <c r="J3380" s="1" t="str">
        <f>"9"</f>
        <v>9</v>
      </c>
      <c r="K3380" s="1" t="str">
        <f t="shared" ref="K3380:P3380" si="6888">"0"</f>
        <v>0</v>
      </c>
      <c r="L3380" s="1" t="str">
        <f t="shared" si="6888"/>
        <v>0</v>
      </c>
      <c r="M3380" s="1" t="str">
        <f t="shared" si="6888"/>
        <v>0</v>
      </c>
      <c r="N3380" s="1" t="str">
        <f t="shared" si="6888"/>
        <v>0</v>
      </c>
      <c r="O3380" s="1" t="str">
        <f t="shared" si="6888"/>
        <v>0</v>
      </c>
      <c r="P3380" s="1" t="str">
        <f t="shared" si="6888"/>
        <v>0</v>
      </c>
      <c r="Q3380" s="1" t="str">
        <f t="shared" si="6782"/>
        <v>0.0070</v>
      </c>
      <c r="R3380" s="1" t="s">
        <v>29</v>
      </c>
      <c r="S3380" s="1">
        <v>-0.0014</v>
      </c>
      <c r="T3380" s="1" t="str">
        <f t="shared" si="6783"/>
        <v>0</v>
      </c>
      <c r="U3380" s="1" t="str">
        <f t="shared" si="6884"/>
        <v>0.0056</v>
      </c>
    </row>
    <row r="3381" s="1" customFormat="1" spans="1:21">
      <c r="A3381" s="1" t="str">
        <f>"4601992064350"</f>
        <v>4601992064350</v>
      </c>
      <c r="B3381" s="1" t="s">
        <v>3404</v>
      </c>
      <c r="C3381" s="1" t="s">
        <v>24</v>
      </c>
      <c r="D3381" s="1" t="str">
        <f t="shared" si="6780"/>
        <v>2021</v>
      </c>
      <c r="E3381" s="1" t="str">
        <f>"23.96"</f>
        <v>23.96</v>
      </c>
      <c r="F3381" s="1" t="str">
        <f t="shared" ref="F3381:I3381" si="6889">"0"</f>
        <v>0</v>
      </c>
      <c r="G3381" s="1" t="str">
        <f t="shared" si="6889"/>
        <v>0</v>
      </c>
      <c r="H3381" s="1" t="str">
        <f t="shared" si="6889"/>
        <v>0</v>
      </c>
      <c r="I3381" s="1" t="str">
        <f t="shared" si="6889"/>
        <v>0</v>
      </c>
      <c r="J3381" s="1" t="str">
        <f>"2"</f>
        <v>2</v>
      </c>
      <c r="K3381" s="1" t="str">
        <f t="shared" ref="K3381:P3381" si="6890">"0"</f>
        <v>0</v>
      </c>
      <c r="L3381" s="1" t="str">
        <f t="shared" si="6890"/>
        <v>0</v>
      </c>
      <c r="M3381" s="1" t="str">
        <f t="shared" si="6890"/>
        <v>0</v>
      </c>
      <c r="N3381" s="1" t="str">
        <f t="shared" si="6890"/>
        <v>0</v>
      </c>
      <c r="O3381" s="1" t="str">
        <f t="shared" si="6890"/>
        <v>0</v>
      </c>
      <c r="P3381" s="1" t="str">
        <f t="shared" si="6890"/>
        <v>0</v>
      </c>
      <c r="Q3381" s="1" t="str">
        <f t="shared" si="6782"/>
        <v>0.0070</v>
      </c>
      <c r="R3381" s="1" t="s">
        <v>29</v>
      </c>
      <c r="S3381" s="1">
        <v>-0.0014</v>
      </c>
      <c r="T3381" s="1" t="str">
        <f t="shared" si="6783"/>
        <v>0</v>
      </c>
      <c r="U3381" s="1" t="str">
        <f t="shared" si="6884"/>
        <v>0.0056</v>
      </c>
    </row>
    <row r="3382" s="1" customFormat="1" spans="1:21">
      <c r="A3382" s="1" t="str">
        <f>"4601992064388"</f>
        <v>4601992064388</v>
      </c>
      <c r="B3382" s="1" t="s">
        <v>3405</v>
      </c>
      <c r="C3382" s="1" t="s">
        <v>24</v>
      </c>
      <c r="D3382" s="1" t="str">
        <f t="shared" si="6780"/>
        <v>2021</v>
      </c>
      <c r="E3382" s="1" t="str">
        <f>"11.98"</f>
        <v>11.98</v>
      </c>
      <c r="F3382" s="1" t="str">
        <f t="shared" ref="F3382:I3382" si="6891">"0"</f>
        <v>0</v>
      </c>
      <c r="G3382" s="1" t="str">
        <f t="shared" si="6891"/>
        <v>0</v>
      </c>
      <c r="H3382" s="1" t="str">
        <f t="shared" si="6891"/>
        <v>0</v>
      </c>
      <c r="I3382" s="1" t="str">
        <f t="shared" si="6891"/>
        <v>0</v>
      </c>
      <c r="J3382" s="1" t="str">
        <f t="shared" ref="J3382:J3387" si="6892">"1"</f>
        <v>1</v>
      </c>
      <c r="K3382" s="1" t="str">
        <f t="shared" ref="K3382:P3382" si="6893">"0"</f>
        <v>0</v>
      </c>
      <c r="L3382" s="1" t="str">
        <f t="shared" si="6893"/>
        <v>0</v>
      </c>
      <c r="M3382" s="1" t="str">
        <f t="shared" si="6893"/>
        <v>0</v>
      </c>
      <c r="N3382" s="1" t="str">
        <f t="shared" si="6893"/>
        <v>0</v>
      </c>
      <c r="O3382" s="1" t="str">
        <f t="shared" si="6893"/>
        <v>0</v>
      </c>
      <c r="P3382" s="1" t="str">
        <f t="shared" si="6893"/>
        <v>0</v>
      </c>
      <c r="Q3382" s="1" t="str">
        <f t="shared" si="6782"/>
        <v>0.0070</v>
      </c>
      <c r="R3382" s="1" t="s">
        <v>29</v>
      </c>
      <c r="S3382" s="1">
        <v>-0.0014</v>
      </c>
      <c r="T3382" s="1" t="str">
        <f t="shared" si="6783"/>
        <v>0</v>
      </c>
      <c r="U3382" s="1" t="str">
        <f t="shared" si="6884"/>
        <v>0.0056</v>
      </c>
    </row>
    <row r="3383" s="1" customFormat="1" spans="1:21">
      <c r="A3383" s="1" t="str">
        <f>"4601992064389"</f>
        <v>4601992064389</v>
      </c>
      <c r="B3383" s="1" t="s">
        <v>3406</v>
      </c>
      <c r="C3383" s="1" t="s">
        <v>24</v>
      </c>
      <c r="D3383" s="1" t="str">
        <f t="shared" si="6780"/>
        <v>2021</v>
      </c>
      <c r="E3383" s="1" t="str">
        <f>"11.98"</f>
        <v>11.98</v>
      </c>
      <c r="F3383" s="1" t="str">
        <f t="shared" ref="F3383:I3383" si="6894">"0"</f>
        <v>0</v>
      </c>
      <c r="G3383" s="1" t="str">
        <f t="shared" si="6894"/>
        <v>0</v>
      </c>
      <c r="H3383" s="1" t="str">
        <f t="shared" si="6894"/>
        <v>0</v>
      </c>
      <c r="I3383" s="1" t="str">
        <f t="shared" si="6894"/>
        <v>0</v>
      </c>
      <c r="J3383" s="1" t="str">
        <f t="shared" si="6892"/>
        <v>1</v>
      </c>
      <c r="K3383" s="1" t="str">
        <f t="shared" ref="K3383:P3383" si="6895">"0"</f>
        <v>0</v>
      </c>
      <c r="L3383" s="1" t="str">
        <f t="shared" si="6895"/>
        <v>0</v>
      </c>
      <c r="M3383" s="1" t="str">
        <f t="shared" si="6895"/>
        <v>0</v>
      </c>
      <c r="N3383" s="1" t="str">
        <f t="shared" si="6895"/>
        <v>0</v>
      </c>
      <c r="O3383" s="1" t="str">
        <f t="shared" si="6895"/>
        <v>0</v>
      </c>
      <c r="P3383" s="1" t="str">
        <f t="shared" si="6895"/>
        <v>0</v>
      </c>
      <c r="Q3383" s="1" t="str">
        <f t="shared" si="6782"/>
        <v>0.0070</v>
      </c>
      <c r="R3383" s="1" t="s">
        <v>29</v>
      </c>
      <c r="S3383" s="1">
        <v>-0.0014</v>
      </c>
      <c r="T3383" s="1" t="str">
        <f t="shared" si="6783"/>
        <v>0</v>
      </c>
      <c r="U3383" s="1" t="str">
        <f t="shared" si="6884"/>
        <v>0.0056</v>
      </c>
    </row>
    <row r="3384" s="1" customFormat="1" spans="1:21">
      <c r="A3384" s="1" t="str">
        <f>"4601992064416"</f>
        <v>4601992064416</v>
      </c>
      <c r="B3384" s="1" t="s">
        <v>3407</v>
      </c>
      <c r="C3384" s="1" t="s">
        <v>24</v>
      </c>
      <c r="D3384" s="1" t="str">
        <f t="shared" si="6780"/>
        <v>2021</v>
      </c>
      <c r="E3384" s="1" t="str">
        <f t="shared" ref="E3384:G3384" si="6896">"0"</f>
        <v>0</v>
      </c>
      <c r="F3384" s="1" t="str">
        <f t="shared" si="6896"/>
        <v>0</v>
      </c>
      <c r="G3384" s="1" t="str">
        <f t="shared" si="6896"/>
        <v>0</v>
      </c>
      <c r="H3384" s="1" t="str">
        <f>"23.96"</f>
        <v>23.96</v>
      </c>
      <c r="I3384" s="1" t="str">
        <f t="shared" ref="I3384:P3384" si="6897">"0"</f>
        <v>0</v>
      </c>
      <c r="J3384" s="1" t="str">
        <f t="shared" si="6897"/>
        <v>0</v>
      </c>
      <c r="K3384" s="1" t="str">
        <f t="shared" si="6897"/>
        <v>0</v>
      </c>
      <c r="L3384" s="1" t="str">
        <f t="shared" si="6897"/>
        <v>0</v>
      </c>
      <c r="M3384" s="1" t="str">
        <f t="shared" si="6897"/>
        <v>0</v>
      </c>
      <c r="N3384" s="1" t="str">
        <f t="shared" si="6897"/>
        <v>0</v>
      </c>
      <c r="O3384" s="1" t="str">
        <f t="shared" si="6897"/>
        <v>0</v>
      </c>
      <c r="P3384" s="1" t="str">
        <f t="shared" si="6897"/>
        <v>0</v>
      </c>
      <c r="Q3384" s="1" t="str">
        <f t="shared" si="6782"/>
        <v>0.0070</v>
      </c>
      <c r="R3384" s="1" t="s">
        <v>25</v>
      </c>
      <c r="T3384" s="1" t="str">
        <f t="shared" si="6783"/>
        <v>0</v>
      </c>
      <c r="U3384" s="1" t="str">
        <f>"0.0070"</f>
        <v>0.0070</v>
      </c>
    </row>
    <row r="3385" s="1" customFormat="1" spans="1:21">
      <c r="A3385" s="1" t="str">
        <f>"4601992064403"</f>
        <v>4601992064403</v>
      </c>
      <c r="B3385" s="1" t="s">
        <v>3408</v>
      </c>
      <c r="C3385" s="1" t="s">
        <v>24</v>
      </c>
      <c r="D3385" s="1" t="str">
        <f t="shared" si="6780"/>
        <v>2021</v>
      </c>
      <c r="E3385" s="1" t="str">
        <f>"23.96"</f>
        <v>23.96</v>
      </c>
      <c r="F3385" s="1" t="str">
        <f t="shared" ref="F3385:I3385" si="6898">"0"</f>
        <v>0</v>
      </c>
      <c r="G3385" s="1" t="str">
        <f t="shared" si="6898"/>
        <v>0</v>
      </c>
      <c r="H3385" s="1" t="str">
        <f t="shared" si="6898"/>
        <v>0</v>
      </c>
      <c r="I3385" s="1" t="str">
        <f t="shared" si="6898"/>
        <v>0</v>
      </c>
      <c r="J3385" s="1" t="str">
        <f>"2"</f>
        <v>2</v>
      </c>
      <c r="K3385" s="1" t="str">
        <f t="shared" ref="K3385:P3385" si="6899">"0"</f>
        <v>0</v>
      </c>
      <c r="L3385" s="1" t="str">
        <f t="shared" si="6899"/>
        <v>0</v>
      </c>
      <c r="M3385" s="1" t="str">
        <f t="shared" si="6899"/>
        <v>0</v>
      </c>
      <c r="N3385" s="1" t="str">
        <f t="shared" si="6899"/>
        <v>0</v>
      </c>
      <c r="O3385" s="1" t="str">
        <f t="shared" si="6899"/>
        <v>0</v>
      </c>
      <c r="P3385" s="1" t="str">
        <f t="shared" si="6899"/>
        <v>0</v>
      </c>
      <c r="Q3385" s="1" t="str">
        <f t="shared" si="6782"/>
        <v>0.0070</v>
      </c>
      <c r="R3385" s="1" t="s">
        <v>29</v>
      </c>
      <c r="S3385" s="1">
        <v>-0.0014</v>
      </c>
      <c r="T3385" s="1" t="str">
        <f t="shared" si="6783"/>
        <v>0</v>
      </c>
      <c r="U3385" s="1" t="str">
        <f t="shared" ref="U3385:U3394" si="6900">"0.0056"</f>
        <v>0.0056</v>
      </c>
    </row>
    <row r="3386" s="1" customFormat="1" spans="1:21">
      <c r="A3386" s="1" t="str">
        <f>"4601992064419"</f>
        <v>4601992064419</v>
      </c>
      <c r="B3386" s="1" t="s">
        <v>3409</v>
      </c>
      <c r="C3386" s="1" t="s">
        <v>24</v>
      </c>
      <c r="D3386" s="1" t="str">
        <f t="shared" si="6780"/>
        <v>2021</v>
      </c>
      <c r="E3386" s="1" t="str">
        <f>"107.82"</f>
        <v>107.82</v>
      </c>
      <c r="F3386" s="1" t="str">
        <f t="shared" ref="F3386:I3386" si="6901">"0"</f>
        <v>0</v>
      </c>
      <c r="G3386" s="1" t="str">
        <f t="shared" si="6901"/>
        <v>0</v>
      </c>
      <c r="H3386" s="1" t="str">
        <f t="shared" si="6901"/>
        <v>0</v>
      </c>
      <c r="I3386" s="1" t="str">
        <f t="shared" si="6901"/>
        <v>0</v>
      </c>
      <c r="J3386" s="1" t="str">
        <f>"16"</f>
        <v>16</v>
      </c>
      <c r="K3386" s="1" t="str">
        <f t="shared" ref="K3386:P3386" si="6902">"0"</f>
        <v>0</v>
      </c>
      <c r="L3386" s="1" t="str">
        <f t="shared" si="6902"/>
        <v>0</v>
      </c>
      <c r="M3386" s="1" t="str">
        <f t="shared" si="6902"/>
        <v>0</v>
      </c>
      <c r="N3386" s="1" t="str">
        <f t="shared" si="6902"/>
        <v>0</v>
      </c>
      <c r="O3386" s="1" t="str">
        <f t="shared" si="6902"/>
        <v>0</v>
      </c>
      <c r="P3386" s="1" t="str">
        <f t="shared" si="6902"/>
        <v>0</v>
      </c>
      <c r="Q3386" s="1" t="str">
        <f t="shared" si="6782"/>
        <v>0.0070</v>
      </c>
      <c r="R3386" s="1" t="s">
        <v>29</v>
      </c>
      <c r="S3386" s="1">
        <v>-0.0014</v>
      </c>
      <c r="T3386" s="1" t="str">
        <f t="shared" si="6783"/>
        <v>0</v>
      </c>
      <c r="U3386" s="1" t="str">
        <f t="shared" si="6900"/>
        <v>0.0056</v>
      </c>
    </row>
    <row r="3387" s="1" customFormat="1" spans="1:21">
      <c r="A3387" s="1" t="str">
        <f>"4601992064431"</f>
        <v>4601992064431</v>
      </c>
      <c r="B3387" s="1" t="s">
        <v>3410</v>
      </c>
      <c r="C3387" s="1" t="s">
        <v>24</v>
      </c>
      <c r="D3387" s="1" t="str">
        <f t="shared" si="6780"/>
        <v>2021</v>
      </c>
      <c r="E3387" s="1" t="str">
        <f>"12.09"</f>
        <v>12.09</v>
      </c>
      <c r="F3387" s="1" t="str">
        <f t="shared" ref="F3387:I3387" si="6903">"0"</f>
        <v>0</v>
      </c>
      <c r="G3387" s="1" t="str">
        <f t="shared" si="6903"/>
        <v>0</v>
      </c>
      <c r="H3387" s="1" t="str">
        <f t="shared" si="6903"/>
        <v>0</v>
      </c>
      <c r="I3387" s="1" t="str">
        <f t="shared" si="6903"/>
        <v>0</v>
      </c>
      <c r="J3387" s="1" t="str">
        <f t="shared" si="6892"/>
        <v>1</v>
      </c>
      <c r="K3387" s="1" t="str">
        <f t="shared" ref="K3387:P3387" si="6904">"0"</f>
        <v>0</v>
      </c>
      <c r="L3387" s="1" t="str">
        <f t="shared" si="6904"/>
        <v>0</v>
      </c>
      <c r="M3387" s="1" t="str">
        <f t="shared" si="6904"/>
        <v>0</v>
      </c>
      <c r="N3387" s="1" t="str">
        <f t="shared" si="6904"/>
        <v>0</v>
      </c>
      <c r="O3387" s="1" t="str">
        <f t="shared" si="6904"/>
        <v>0</v>
      </c>
      <c r="P3387" s="1" t="str">
        <f t="shared" si="6904"/>
        <v>0</v>
      </c>
      <c r="Q3387" s="1" t="str">
        <f t="shared" si="6782"/>
        <v>0.0070</v>
      </c>
      <c r="R3387" s="1" t="s">
        <v>25</v>
      </c>
      <c r="T3387" s="1" t="str">
        <f t="shared" si="6783"/>
        <v>0</v>
      </c>
      <c r="U3387" s="1" t="str">
        <f>"0.0070"</f>
        <v>0.0070</v>
      </c>
    </row>
    <row r="3388" s="1" customFormat="1" spans="1:21">
      <c r="A3388" s="1" t="str">
        <f>"4601992064448"</f>
        <v>4601992064448</v>
      </c>
      <c r="B3388" s="1" t="s">
        <v>3411</v>
      </c>
      <c r="C3388" s="1" t="s">
        <v>24</v>
      </c>
      <c r="D3388" s="1" t="str">
        <f t="shared" si="6780"/>
        <v>2021</v>
      </c>
      <c r="E3388" s="1" t="str">
        <f>"53.98"</f>
        <v>53.98</v>
      </c>
      <c r="F3388" s="1" t="str">
        <f t="shared" ref="F3388:I3388" si="6905">"0"</f>
        <v>0</v>
      </c>
      <c r="G3388" s="1" t="str">
        <f t="shared" si="6905"/>
        <v>0</v>
      </c>
      <c r="H3388" s="1" t="str">
        <f t="shared" si="6905"/>
        <v>0</v>
      </c>
      <c r="I3388" s="1" t="str">
        <f t="shared" si="6905"/>
        <v>0</v>
      </c>
      <c r="J3388" s="1" t="str">
        <f t="shared" ref="J3388:J3393" si="6906">"3"</f>
        <v>3</v>
      </c>
      <c r="K3388" s="1" t="str">
        <f t="shared" ref="K3388:P3388" si="6907">"0"</f>
        <v>0</v>
      </c>
      <c r="L3388" s="1" t="str">
        <f t="shared" si="6907"/>
        <v>0</v>
      </c>
      <c r="M3388" s="1" t="str">
        <f t="shared" si="6907"/>
        <v>0</v>
      </c>
      <c r="N3388" s="1" t="str">
        <f t="shared" si="6907"/>
        <v>0</v>
      </c>
      <c r="O3388" s="1" t="str">
        <f t="shared" si="6907"/>
        <v>0</v>
      </c>
      <c r="P3388" s="1" t="str">
        <f t="shared" si="6907"/>
        <v>0</v>
      </c>
      <c r="Q3388" s="1" t="str">
        <f t="shared" si="6782"/>
        <v>0.0070</v>
      </c>
      <c r="R3388" s="1" t="s">
        <v>29</v>
      </c>
      <c r="S3388" s="1">
        <v>-0.0014</v>
      </c>
      <c r="T3388" s="1" t="str">
        <f t="shared" si="6783"/>
        <v>0</v>
      </c>
      <c r="U3388" s="1" t="str">
        <f t="shared" si="6900"/>
        <v>0.0056</v>
      </c>
    </row>
    <row r="3389" s="1" customFormat="1" spans="1:21">
      <c r="A3389" s="1" t="str">
        <f>"4601992064438"</f>
        <v>4601992064438</v>
      </c>
      <c r="B3389" s="1" t="s">
        <v>3412</v>
      </c>
      <c r="C3389" s="1" t="s">
        <v>24</v>
      </c>
      <c r="D3389" s="1" t="str">
        <f t="shared" si="6780"/>
        <v>2021</v>
      </c>
      <c r="E3389" s="1" t="str">
        <f>"23.96"</f>
        <v>23.96</v>
      </c>
      <c r="F3389" s="1" t="str">
        <f t="shared" ref="F3389:I3389" si="6908">"0"</f>
        <v>0</v>
      </c>
      <c r="G3389" s="1" t="str">
        <f t="shared" si="6908"/>
        <v>0</v>
      </c>
      <c r="H3389" s="1" t="str">
        <f t="shared" si="6908"/>
        <v>0</v>
      </c>
      <c r="I3389" s="1" t="str">
        <f t="shared" si="6908"/>
        <v>0</v>
      </c>
      <c r="J3389" s="1" t="str">
        <f t="shared" si="6906"/>
        <v>3</v>
      </c>
      <c r="K3389" s="1" t="str">
        <f t="shared" ref="K3389:P3389" si="6909">"0"</f>
        <v>0</v>
      </c>
      <c r="L3389" s="1" t="str">
        <f t="shared" si="6909"/>
        <v>0</v>
      </c>
      <c r="M3389" s="1" t="str">
        <f t="shared" si="6909"/>
        <v>0</v>
      </c>
      <c r="N3389" s="1" t="str">
        <f t="shared" si="6909"/>
        <v>0</v>
      </c>
      <c r="O3389" s="1" t="str">
        <f t="shared" si="6909"/>
        <v>0</v>
      </c>
      <c r="P3389" s="1" t="str">
        <f t="shared" si="6909"/>
        <v>0</v>
      </c>
      <c r="Q3389" s="1" t="str">
        <f t="shared" si="6782"/>
        <v>0.0070</v>
      </c>
      <c r="R3389" s="1" t="s">
        <v>29</v>
      </c>
      <c r="S3389" s="1">
        <v>-0.0014</v>
      </c>
      <c r="T3389" s="1" t="str">
        <f t="shared" si="6783"/>
        <v>0</v>
      </c>
      <c r="U3389" s="1" t="str">
        <f t="shared" si="6900"/>
        <v>0.0056</v>
      </c>
    </row>
    <row r="3390" s="1" customFormat="1" spans="1:21">
      <c r="A3390" s="1" t="str">
        <f>"4601992064453"</f>
        <v>4601992064453</v>
      </c>
      <c r="B3390" s="1" t="s">
        <v>3413</v>
      </c>
      <c r="C3390" s="1" t="s">
        <v>24</v>
      </c>
      <c r="D3390" s="1" t="str">
        <f t="shared" si="6780"/>
        <v>2021</v>
      </c>
      <c r="E3390" s="1" t="str">
        <f>"1425.62"</f>
        <v>1425.62</v>
      </c>
      <c r="F3390" s="1" t="str">
        <f t="shared" ref="F3390:I3390" si="6910">"0"</f>
        <v>0</v>
      </c>
      <c r="G3390" s="1" t="str">
        <f t="shared" si="6910"/>
        <v>0</v>
      </c>
      <c r="H3390" s="1" t="str">
        <f t="shared" si="6910"/>
        <v>0</v>
      </c>
      <c r="I3390" s="1" t="str">
        <f t="shared" si="6910"/>
        <v>0</v>
      </c>
      <c r="J3390" s="1" t="str">
        <f>"122"</f>
        <v>122</v>
      </c>
      <c r="K3390" s="1" t="str">
        <f t="shared" ref="K3390:P3390" si="6911">"0"</f>
        <v>0</v>
      </c>
      <c r="L3390" s="1" t="str">
        <f t="shared" si="6911"/>
        <v>0</v>
      </c>
      <c r="M3390" s="1" t="str">
        <f t="shared" si="6911"/>
        <v>0</v>
      </c>
      <c r="N3390" s="1" t="str">
        <f t="shared" si="6911"/>
        <v>0</v>
      </c>
      <c r="O3390" s="1" t="str">
        <f t="shared" si="6911"/>
        <v>0</v>
      </c>
      <c r="P3390" s="1" t="str">
        <f t="shared" si="6911"/>
        <v>0</v>
      </c>
      <c r="Q3390" s="1" t="str">
        <f t="shared" si="6782"/>
        <v>0.0070</v>
      </c>
      <c r="R3390" s="1" t="s">
        <v>29</v>
      </c>
      <c r="S3390" s="1">
        <v>-0.0014</v>
      </c>
      <c r="T3390" s="1" t="str">
        <f t="shared" si="6783"/>
        <v>0</v>
      </c>
      <c r="U3390" s="1" t="str">
        <f t="shared" si="6900"/>
        <v>0.0056</v>
      </c>
    </row>
    <row r="3391" s="1" customFormat="1" spans="1:21">
      <c r="A3391" s="1" t="str">
        <f>"4601992064469"</f>
        <v>4601992064469</v>
      </c>
      <c r="B3391" s="1" t="s">
        <v>3414</v>
      </c>
      <c r="C3391" s="1" t="s">
        <v>24</v>
      </c>
      <c r="D3391" s="1" t="str">
        <f t="shared" si="6780"/>
        <v>2021</v>
      </c>
      <c r="E3391" s="1" t="str">
        <f>"131.78"</f>
        <v>131.78</v>
      </c>
      <c r="F3391" s="1" t="str">
        <f t="shared" ref="F3391:I3391" si="6912">"0"</f>
        <v>0</v>
      </c>
      <c r="G3391" s="1" t="str">
        <f t="shared" si="6912"/>
        <v>0</v>
      </c>
      <c r="H3391" s="1" t="str">
        <f t="shared" si="6912"/>
        <v>0</v>
      </c>
      <c r="I3391" s="1" t="str">
        <f t="shared" si="6912"/>
        <v>0</v>
      </c>
      <c r="J3391" s="1" t="str">
        <f>"12"</f>
        <v>12</v>
      </c>
      <c r="K3391" s="1" t="str">
        <f t="shared" ref="K3391:P3391" si="6913">"0"</f>
        <v>0</v>
      </c>
      <c r="L3391" s="1" t="str">
        <f t="shared" si="6913"/>
        <v>0</v>
      </c>
      <c r="M3391" s="1" t="str">
        <f t="shared" si="6913"/>
        <v>0</v>
      </c>
      <c r="N3391" s="1" t="str">
        <f t="shared" si="6913"/>
        <v>0</v>
      </c>
      <c r="O3391" s="1" t="str">
        <f t="shared" si="6913"/>
        <v>0</v>
      </c>
      <c r="P3391" s="1" t="str">
        <f t="shared" si="6913"/>
        <v>0</v>
      </c>
      <c r="Q3391" s="1" t="str">
        <f t="shared" si="6782"/>
        <v>0.0070</v>
      </c>
      <c r="R3391" s="1" t="s">
        <v>29</v>
      </c>
      <c r="S3391" s="1">
        <v>-0.0014</v>
      </c>
      <c r="T3391" s="1" t="str">
        <f t="shared" si="6783"/>
        <v>0</v>
      </c>
      <c r="U3391" s="1" t="str">
        <f t="shared" si="6900"/>
        <v>0.0056</v>
      </c>
    </row>
    <row r="3392" s="1" customFormat="1" spans="1:21">
      <c r="A3392" s="1" t="str">
        <f>"4601992064483"</f>
        <v>4601992064483</v>
      </c>
      <c r="B3392" s="1" t="s">
        <v>3415</v>
      </c>
      <c r="C3392" s="1" t="s">
        <v>24</v>
      </c>
      <c r="D3392" s="1" t="str">
        <f t="shared" si="6780"/>
        <v>2021</v>
      </c>
      <c r="E3392" s="1" t="str">
        <f>"11.98"</f>
        <v>11.98</v>
      </c>
      <c r="F3392" s="1" t="str">
        <f t="shared" ref="F3392:I3392" si="6914">"0"</f>
        <v>0</v>
      </c>
      <c r="G3392" s="1" t="str">
        <f t="shared" si="6914"/>
        <v>0</v>
      </c>
      <c r="H3392" s="1" t="str">
        <f t="shared" si="6914"/>
        <v>0</v>
      </c>
      <c r="I3392" s="1" t="str">
        <f t="shared" si="6914"/>
        <v>0</v>
      </c>
      <c r="J3392" s="1" t="str">
        <f>"2"</f>
        <v>2</v>
      </c>
      <c r="K3392" s="1" t="str">
        <f t="shared" ref="K3392:P3392" si="6915">"0"</f>
        <v>0</v>
      </c>
      <c r="L3392" s="1" t="str">
        <f t="shared" si="6915"/>
        <v>0</v>
      </c>
      <c r="M3392" s="1" t="str">
        <f t="shared" si="6915"/>
        <v>0</v>
      </c>
      <c r="N3392" s="1" t="str">
        <f t="shared" si="6915"/>
        <v>0</v>
      </c>
      <c r="O3392" s="1" t="str">
        <f t="shared" si="6915"/>
        <v>0</v>
      </c>
      <c r="P3392" s="1" t="str">
        <f t="shared" si="6915"/>
        <v>0</v>
      </c>
      <c r="Q3392" s="1" t="str">
        <f t="shared" si="6782"/>
        <v>0.0070</v>
      </c>
      <c r="R3392" s="1" t="s">
        <v>29</v>
      </c>
      <c r="S3392" s="1">
        <v>-0.0014</v>
      </c>
      <c r="T3392" s="1" t="str">
        <f t="shared" si="6783"/>
        <v>0</v>
      </c>
      <c r="U3392" s="1" t="str">
        <f t="shared" si="6900"/>
        <v>0.0056</v>
      </c>
    </row>
    <row r="3393" s="1" customFormat="1" spans="1:21">
      <c r="A3393" s="1" t="str">
        <f>"4601992064480"</f>
        <v>4601992064480</v>
      </c>
      <c r="B3393" s="1" t="s">
        <v>3416</v>
      </c>
      <c r="C3393" s="1" t="s">
        <v>24</v>
      </c>
      <c r="D3393" s="1" t="str">
        <f t="shared" si="6780"/>
        <v>2021</v>
      </c>
      <c r="E3393" s="1" t="str">
        <f>"23.96"</f>
        <v>23.96</v>
      </c>
      <c r="F3393" s="1" t="str">
        <f t="shared" ref="F3393:I3393" si="6916">"0"</f>
        <v>0</v>
      </c>
      <c r="G3393" s="1" t="str">
        <f t="shared" si="6916"/>
        <v>0</v>
      </c>
      <c r="H3393" s="1" t="str">
        <f t="shared" si="6916"/>
        <v>0</v>
      </c>
      <c r="I3393" s="1" t="str">
        <f t="shared" si="6916"/>
        <v>0</v>
      </c>
      <c r="J3393" s="1" t="str">
        <f t="shared" si="6906"/>
        <v>3</v>
      </c>
      <c r="K3393" s="1" t="str">
        <f t="shared" ref="K3393:P3393" si="6917">"0"</f>
        <v>0</v>
      </c>
      <c r="L3393" s="1" t="str">
        <f t="shared" si="6917"/>
        <v>0</v>
      </c>
      <c r="M3393" s="1" t="str">
        <f t="shared" si="6917"/>
        <v>0</v>
      </c>
      <c r="N3393" s="1" t="str">
        <f t="shared" si="6917"/>
        <v>0</v>
      </c>
      <c r="O3393" s="1" t="str">
        <f t="shared" si="6917"/>
        <v>0</v>
      </c>
      <c r="P3393" s="1" t="str">
        <f t="shared" si="6917"/>
        <v>0</v>
      </c>
      <c r="Q3393" s="1" t="str">
        <f t="shared" si="6782"/>
        <v>0.0070</v>
      </c>
      <c r="R3393" s="1" t="s">
        <v>29</v>
      </c>
      <c r="S3393" s="1">
        <v>-0.0014</v>
      </c>
      <c r="T3393" s="1" t="str">
        <f t="shared" si="6783"/>
        <v>0</v>
      </c>
      <c r="U3393" s="1" t="str">
        <f t="shared" si="6900"/>
        <v>0.0056</v>
      </c>
    </row>
    <row r="3394" s="1" customFormat="1" spans="1:21">
      <c r="A3394" s="1" t="str">
        <f>"4601992064493"</f>
        <v>4601992064493</v>
      </c>
      <c r="B3394" s="1" t="s">
        <v>3417</v>
      </c>
      <c r="C3394" s="1" t="s">
        <v>24</v>
      </c>
      <c r="D3394" s="1" t="str">
        <f t="shared" si="6780"/>
        <v>2021</v>
      </c>
      <c r="E3394" s="1" t="str">
        <f>"12.09"</f>
        <v>12.09</v>
      </c>
      <c r="F3394" s="1" t="str">
        <f t="shared" ref="F3394:I3394" si="6918">"0"</f>
        <v>0</v>
      </c>
      <c r="G3394" s="1" t="str">
        <f t="shared" si="6918"/>
        <v>0</v>
      </c>
      <c r="H3394" s="1" t="str">
        <f t="shared" si="6918"/>
        <v>0</v>
      </c>
      <c r="I3394" s="1" t="str">
        <f t="shared" si="6918"/>
        <v>0</v>
      </c>
      <c r="J3394" s="1" t="str">
        <f>"1"</f>
        <v>1</v>
      </c>
      <c r="K3394" s="1" t="str">
        <f t="shared" ref="K3394:P3394" si="6919">"0"</f>
        <v>0</v>
      </c>
      <c r="L3394" s="1" t="str">
        <f t="shared" si="6919"/>
        <v>0</v>
      </c>
      <c r="M3394" s="1" t="str">
        <f t="shared" si="6919"/>
        <v>0</v>
      </c>
      <c r="N3394" s="1" t="str">
        <f t="shared" si="6919"/>
        <v>0</v>
      </c>
      <c r="O3394" s="1" t="str">
        <f t="shared" si="6919"/>
        <v>0</v>
      </c>
      <c r="P3394" s="1" t="str">
        <f t="shared" si="6919"/>
        <v>0</v>
      </c>
      <c r="Q3394" s="1" t="str">
        <f t="shared" si="6782"/>
        <v>0.0070</v>
      </c>
      <c r="R3394" s="1" t="s">
        <v>29</v>
      </c>
      <c r="S3394" s="1">
        <v>-0.0014</v>
      </c>
      <c r="T3394" s="1" t="str">
        <f t="shared" si="6783"/>
        <v>0</v>
      </c>
      <c r="U3394" s="1" t="str">
        <f t="shared" si="6900"/>
        <v>0.0056</v>
      </c>
    </row>
    <row r="3395" s="1" customFormat="1" spans="1:21">
      <c r="A3395" s="1" t="str">
        <f>"4601992064485"</f>
        <v>4601992064485</v>
      </c>
      <c r="B3395" s="1" t="s">
        <v>3418</v>
      </c>
      <c r="C3395" s="1" t="s">
        <v>24</v>
      </c>
      <c r="D3395" s="1" t="str">
        <f t="shared" ref="D3395:D3458" si="6920">"2021"</f>
        <v>2021</v>
      </c>
      <c r="E3395" s="1" t="str">
        <f>"11.98"</f>
        <v>11.98</v>
      </c>
      <c r="F3395" s="1" t="str">
        <f t="shared" ref="F3395:I3395" si="6921">"0"</f>
        <v>0</v>
      </c>
      <c r="G3395" s="1" t="str">
        <f t="shared" si="6921"/>
        <v>0</v>
      </c>
      <c r="H3395" s="1" t="str">
        <f t="shared" si="6921"/>
        <v>0</v>
      </c>
      <c r="I3395" s="1" t="str">
        <f t="shared" si="6921"/>
        <v>0</v>
      </c>
      <c r="J3395" s="1" t="str">
        <f>"1"</f>
        <v>1</v>
      </c>
      <c r="K3395" s="1" t="str">
        <f t="shared" ref="K3395:P3395" si="6922">"0"</f>
        <v>0</v>
      </c>
      <c r="L3395" s="1" t="str">
        <f t="shared" si="6922"/>
        <v>0</v>
      </c>
      <c r="M3395" s="1" t="str">
        <f t="shared" si="6922"/>
        <v>0</v>
      </c>
      <c r="N3395" s="1" t="str">
        <f t="shared" si="6922"/>
        <v>0</v>
      </c>
      <c r="O3395" s="1" t="str">
        <f t="shared" si="6922"/>
        <v>0</v>
      </c>
      <c r="P3395" s="1" t="str">
        <f t="shared" si="6922"/>
        <v>0</v>
      </c>
      <c r="Q3395" s="1" t="str">
        <f t="shared" ref="Q3395:Q3458" si="6923">"0.0070"</f>
        <v>0.0070</v>
      </c>
      <c r="R3395" s="1" t="s">
        <v>25</v>
      </c>
      <c r="T3395" s="1" t="str">
        <f t="shared" ref="T3395:T3458" si="6924">"0"</f>
        <v>0</v>
      </c>
      <c r="U3395" s="1" t="str">
        <f>"0.0070"</f>
        <v>0.0070</v>
      </c>
    </row>
    <row r="3396" s="1" customFormat="1" spans="1:21">
      <c r="A3396" s="1" t="str">
        <f>"4601992064507"</f>
        <v>4601992064507</v>
      </c>
      <c r="B3396" s="1" t="s">
        <v>3419</v>
      </c>
      <c r="C3396" s="1" t="s">
        <v>24</v>
      </c>
      <c r="D3396" s="1" t="str">
        <f t="shared" si="6920"/>
        <v>2021</v>
      </c>
      <c r="E3396" s="1" t="str">
        <f>"24.18"</f>
        <v>24.18</v>
      </c>
      <c r="F3396" s="1" t="str">
        <f t="shared" ref="F3396:I3396" si="6925">"0"</f>
        <v>0</v>
      </c>
      <c r="G3396" s="1" t="str">
        <f t="shared" si="6925"/>
        <v>0</v>
      </c>
      <c r="H3396" s="1" t="str">
        <f t="shared" si="6925"/>
        <v>0</v>
      </c>
      <c r="I3396" s="1" t="str">
        <f t="shared" si="6925"/>
        <v>0</v>
      </c>
      <c r="J3396" s="1" t="str">
        <f>"2"</f>
        <v>2</v>
      </c>
      <c r="K3396" s="1" t="str">
        <f t="shared" ref="K3396:P3396" si="6926">"0"</f>
        <v>0</v>
      </c>
      <c r="L3396" s="1" t="str">
        <f t="shared" si="6926"/>
        <v>0</v>
      </c>
      <c r="M3396" s="1" t="str">
        <f t="shared" si="6926"/>
        <v>0</v>
      </c>
      <c r="N3396" s="1" t="str">
        <f t="shared" si="6926"/>
        <v>0</v>
      </c>
      <c r="O3396" s="1" t="str">
        <f t="shared" si="6926"/>
        <v>0</v>
      </c>
      <c r="P3396" s="1" t="str">
        <f t="shared" si="6926"/>
        <v>0</v>
      </c>
      <c r="Q3396" s="1" t="str">
        <f t="shared" si="6923"/>
        <v>0.0070</v>
      </c>
      <c r="R3396" s="1" t="s">
        <v>29</v>
      </c>
      <c r="S3396" s="1">
        <v>-0.0014</v>
      </c>
      <c r="T3396" s="1" t="str">
        <f t="shared" si="6924"/>
        <v>0</v>
      </c>
      <c r="U3396" s="1" t="str">
        <f t="shared" ref="U3396:U3404" si="6927">"0.0056"</f>
        <v>0.0056</v>
      </c>
    </row>
    <row r="3397" s="1" customFormat="1" spans="1:21">
      <c r="A3397" s="1" t="str">
        <f>"4601992064509"</f>
        <v>4601992064509</v>
      </c>
      <c r="B3397" s="1" t="s">
        <v>3420</v>
      </c>
      <c r="C3397" s="1" t="s">
        <v>24</v>
      </c>
      <c r="D3397" s="1" t="str">
        <f t="shared" si="6920"/>
        <v>2021</v>
      </c>
      <c r="E3397" s="1" t="str">
        <f>"443.26"</f>
        <v>443.26</v>
      </c>
      <c r="F3397" s="1" t="str">
        <f t="shared" ref="F3397:I3397" si="6928">"0"</f>
        <v>0</v>
      </c>
      <c r="G3397" s="1" t="str">
        <f t="shared" si="6928"/>
        <v>0</v>
      </c>
      <c r="H3397" s="1" t="str">
        <f t="shared" si="6928"/>
        <v>0</v>
      </c>
      <c r="I3397" s="1" t="str">
        <f t="shared" si="6928"/>
        <v>0</v>
      </c>
      <c r="J3397" s="1" t="str">
        <f>"36"</f>
        <v>36</v>
      </c>
      <c r="K3397" s="1" t="str">
        <f t="shared" ref="K3397:P3397" si="6929">"0"</f>
        <v>0</v>
      </c>
      <c r="L3397" s="1" t="str">
        <f t="shared" si="6929"/>
        <v>0</v>
      </c>
      <c r="M3397" s="1" t="str">
        <f t="shared" si="6929"/>
        <v>0</v>
      </c>
      <c r="N3397" s="1" t="str">
        <f t="shared" si="6929"/>
        <v>0</v>
      </c>
      <c r="O3397" s="1" t="str">
        <f t="shared" si="6929"/>
        <v>0</v>
      </c>
      <c r="P3397" s="1" t="str">
        <f t="shared" si="6929"/>
        <v>0</v>
      </c>
      <c r="Q3397" s="1" t="str">
        <f t="shared" si="6923"/>
        <v>0.0070</v>
      </c>
      <c r="R3397" s="1" t="s">
        <v>29</v>
      </c>
      <c r="S3397" s="1">
        <v>-0.0014</v>
      </c>
      <c r="T3397" s="1" t="str">
        <f t="shared" si="6924"/>
        <v>0</v>
      </c>
      <c r="U3397" s="1" t="str">
        <f t="shared" si="6927"/>
        <v>0.0056</v>
      </c>
    </row>
    <row r="3398" s="1" customFormat="1" spans="1:21">
      <c r="A3398" s="1" t="str">
        <f>"4601992064556"</f>
        <v>4601992064556</v>
      </c>
      <c r="B3398" s="1" t="s">
        <v>3421</v>
      </c>
      <c r="C3398" s="1" t="s">
        <v>24</v>
      </c>
      <c r="D3398" s="1" t="str">
        <f t="shared" si="6920"/>
        <v>2021</v>
      </c>
      <c r="E3398" s="1" t="str">
        <f>"72.54"</f>
        <v>72.54</v>
      </c>
      <c r="F3398" s="1" t="str">
        <f t="shared" ref="F3398:I3398" si="6930">"0"</f>
        <v>0</v>
      </c>
      <c r="G3398" s="1" t="str">
        <f t="shared" si="6930"/>
        <v>0</v>
      </c>
      <c r="H3398" s="1" t="str">
        <f t="shared" si="6930"/>
        <v>0</v>
      </c>
      <c r="I3398" s="1" t="str">
        <f t="shared" si="6930"/>
        <v>0</v>
      </c>
      <c r="J3398" s="1" t="str">
        <f>"6"</f>
        <v>6</v>
      </c>
      <c r="K3398" s="1" t="str">
        <f t="shared" ref="K3398:P3398" si="6931">"0"</f>
        <v>0</v>
      </c>
      <c r="L3398" s="1" t="str">
        <f t="shared" si="6931"/>
        <v>0</v>
      </c>
      <c r="M3398" s="1" t="str">
        <f t="shared" si="6931"/>
        <v>0</v>
      </c>
      <c r="N3398" s="1" t="str">
        <f t="shared" si="6931"/>
        <v>0</v>
      </c>
      <c r="O3398" s="1" t="str">
        <f t="shared" si="6931"/>
        <v>0</v>
      </c>
      <c r="P3398" s="1" t="str">
        <f t="shared" si="6931"/>
        <v>0</v>
      </c>
      <c r="Q3398" s="1" t="str">
        <f t="shared" si="6923"/>
        <v>0.0070</v>
      </c>
      <c r="R3398" s="1" t="s">
        <v>29</v>
      </c>
      <c r="S3398" s="1">
        <v>-0.0014</v>
      </c>
      <c r="T3398" s="1" t="str">
        <f t="shared" si="6924"/>
        <v>0</v>
      </c>
      <c r="U3398" s="1" t="str">
        <f t="shared" si="6927"/>
        <v>0.0056</v>
      </c>
    </row>
    <row r="3399" s="1" customFormat="1" spans="1:21">
      <c r="A3399" s="1" t="str">
        <f>"4601992064553"</f>
        <v>4601992064553</v>
      </c>
      <c r="B3399" s="1" t="s">
        <v>3422</v>
      </c>
      <c r="C3399" s="1" t="s">
        <v>24</v>
      </c>
      <c r="D3399" s="1" t="str">
        <f t="shared" si="6920"/>
        <v>2021</v>
      </c>
      <c r="E3399" s="1" t="str">
        <f>"704.11"</f>
        <v>704.11</v>
      </c>
      <c r="F3399" s="1" t="str">
        <f t="shared" ref="F3399:I3399" si="6932">"0"</f>
        <v>0</v>
      </c>
      <c r="G3399" s="1" t="str">
        <f t="shared" si="6932"/>
        <v>0</v>
      </c>
      <c r="H3399" s="1" t="str">
        <f t="shared" si="6932"/>
        <v>0</v>
      </c>
      <c r="I3399" s="1" t="str">
        <f t="shared" si="6932"/>
        <v>0</v>
      </c>
      <c r="J3399" s="1" t="str">
        <f>"42"</f>
        <v>42</v>
      </c>
      <c r="K3399" s="1" t="str">
        <f t="shared" ref="K3399:P3399" si="6933">"0"</f>
        <v>0</v>
      </c>
      <c r="L3399" s="1" t="str">
        <f t="shared" si="6933"/>
        <v>0</v>
      </c>
      <c r="M3399" s="1" t="str">
        <f t="shared" si="6933"/>
        <v>0</v>
      </c>
      <c r="N3399" s="1" t="str">
        <f t="shared" si="6933"/>
        <v>0</v>
      </c>
      <c r="O3399" s="1" t="str">
        <f t="shared" si="6933"/>
        <v>0</v>
      </c>
      <c r="P3399" s="1" t="str">
        <f t="shared" si="6933"/>
        <v>0</v>
      </c>
      <c r="Q3399" s="1" t="str">
        <f t="shared" si="6923"/>
        <v>0.0070</v>
      </c>
      <c r="R3399" s="1" t="s">
        <v>29</v>
      </c>
      <c r="S3399" s="1">
        <v>-0.0014</v>
      </c>
      <c r="T3399" s="1" t="str">
        <f t="shared" si="6924"/>
        <v>0</v>
      </c>
      <c r="U3399" s="1" t="str">
        <f t="shared" si="6927"/>
        <v>0.0056</v>
      </c>
    </row>
    <row r="3400" s="1" customFormat="1" spans="1:21">
      <c r="A3400" s="1" t="str">
        <f>"4601992064584"</f>
        <v>4601992064584</v>
      </c>
      <c r="B3400" s="1" t="s">
        <v>3423</v>
      </c>
      <c r="C3400" s="1" t="s">
        <v>24</v>
      </c>
      <c r="D3400" s="1" t="str">
        <f t="shared" si="6920"/>
        <v>2021</v>
      </c>
      <c r="E3400" s="1" t="str">
        <f>"47.92"</f>
        <v>47.92</v>
      </c>
      <c r="F3400" s="1" t="str">
        <f t="shared" ref="F3400:I3400" si="6934">"0"</f>
        <v>0</v>
      </c>
      <c r="G3400" s="1" t="str">
        <f t="shared" si="6934"/>
        <v>0</v>
      </c>
      <c r="H3400" s="1" t="str">
        <f t="shared" si="6934"/>
        <v>0</v>
      </c>
      <c r="I3400" s="1" t="str">
        <f t="shared" si="6934"/>
        <v>0</v>
      </c>
      <c r="J3400" s="1" t="str">
        <f>"5"</f>
        <v>5</v>
      </c>
      <c r="K3400" s="1" t="str">
        <f t="shared" ref="K3400:P3400" si="6935">"0"</f>
        <v>0</v>
      </c>
      <c r="L3400" s="1" t="str">
        <f t="shared" si="6935"/>
        <v>0</v>
      </c>
      <c r="M3400" s="1" t="str">
        <f t="shared" si="6935"/>
        <v>0</v>
      </c>
      <c r="N3400" s="1" t="str">
        <f t="shared" si="6935"/>
        <v>0</v>
      </c>
      <c r="O3400" s="1" t="str">
        <f t="shared" si="6935"/>
        <v>0</v>
      </c>
      <c r="P3400" s="1" t="str">
        <f t="shared" si="6935"/>
        <v>0</v>
      </c>
      <c r="Q3400" s="1" t="str">
        <f t="shared" si="6923"/>
        <v>0.0070</v>
      </c>
      <c r="R3400" s="1" t="s">
        <v>29</v>
      </c>
      <c r="S3400" s="1">
        <v>-0.0014</v>
      </c>
      <c r="T3400" s="1" t="str">
        <f t="shared" si="6924"/>
        <v>0</v>
      </c>
      <c r="U3400" s="1" t="str">
        <f t="shared" si="6927"/>
        <v>0.0056</v>
      </c>
    </row>
    <row r="3401" s="1" customFormat="1" spans="1:21">
      <c r="A3401" s="1" t="str">
        <f>"4601992064628"</f>
        <v>4601992064628</v>
      </c>
      <c r="B3401" s="1" t="s">
        <v>3424</v>
      </c>
      <c r="C3401" s="1" t="s">
        <v>24</v>
      </c>
      <c r="D3401" s="1" t="str">
        <f t="shared" si="6920"/>
        <v>2021</v>
      </c>
      <c r="E3401" s="1" t="str">
        <f>"49.00"</f>
        <v>49.00</v>
      </c>
      <c r="F3401" s="1" t="str">
        <f t="shared" ref="F3401:I3401" si="6936">"0"</f>
        <v>0</v>
      </c>
      <c r="G3401" s="1" t="str">
        <f t="shared" si="6936"/>
        <v>0</v>
      </c>
      <c r="H3401" s="1" t="str">
        <f t="shared" si="6936"/>
        <v>0</v>
      </c>
      <c r="I3401" s="1" t="str">
        <f t="shared" si="6936"/>
        <v>0</v>
      </c>
      <c r="J3401" s="1" t="str">
        <f>"4"</f>
        <v>4</v>
      </c>
      <c r="K3401" s="1" t="str">
        <f t="shared" ref="K3401:P3401" si="6937">"0"</f>
        <v>0</v>
      </c>
      <c r="L3401" s="1" t="str">
        <f t="shared" si="6937"/>
        <v>0</v>
      </c>
      <c r="M3401" s="1" t="str">
        <f t="shared" si="6937"/>
        <v>0</v>
      </c>
      <c r="N3401" s="1" t="str">
        <f t="shared" si="6937"/>
        <v>0</v>
      </c>
      <c r="O3401" s="1" t="str">
        <f t="shared" si="6937"/>
        <v>0</v>
      </c>
      <c r="P3401" s="1" t="str">
        <f t="shared" si="6937"/>
        <v>0</v>
      </c>
      <c r="Q3401" s="1" t="str">
        <f t="shared" si="6923"/>
        <v>0.0070</v>
      </c>
      <c r="R3401" s="1" t="s">
        <v>29</v>
      </c>
      <c r="S3401" s="1">
        <v>-0.0014</v>
      </c>
      <c r="T3401" s="1" t="str">
        <f t="shared" si="6924"/>
        <v>0</v>
      </c>
      <c r="U3401" s="1" t="str">
        <f t="shared" si="6927"/>
        <v>0.0056</v>
      </c>
    </row>
    <row r="3402" s="1" customFormat="1" spans="1:21">
      <c r="A3402" s="1" t="str">
        <f>"4601992064630"</f>
        <v>4601992064630</v>
      </c>
      <c r="B3402" s="1" t="s">
        <v>3425</v>
      </c>
      <c r="C3402" s="1" t="s">
        <v>24</v>
      </c>
      <c r="D3402" s="1" t="str">
        <f t="shared" si="6920"/>
        <v>2021</v>
      </c>
      <c r="E3402" s="1" t="str">
        <f>"12.09"</f>
        <v>12.09</v>
      </c>
      <c r="F3402" s="1" t="str">
        <f t="shared" ref="F3402:I3402" si="6938">"0"</f>
        <v>0</v>
      </c>
      <c r="G3402" s="1" t="str">
        <f t="shared" si="6938"/>
        <v>0</v>
      </c>
      <c r="H3402" s="1" t="str">
        <f t="shared" si="6938"/>
        <v>0</v>
      </c>
      <c r="I3402" s="1" t="str">
        <f t="shared" si="6938"/>
        <v>0</v>
      </c>
      <c r="J3402" s="1" t="str">
        <f>"2"</f>
        <v>2</v>
      </c>
      <c r="K3402" s="1" t="str">
        <f t="shared" ref="K3402:P3402" si="6939">"0"</f>
        <v>0</v>
      </c>
      <c r="L3402" s="1" t="str">
        <f t="shared" si="6939"/>
        <v>0</v>
      </c>
      <c r="M3402" s="1" t="str">
        <f t="shared" si="6939"/>
        <v>0</v>
      </c>
      <c r="N3402" s="1" t="str">
        <f t="shared" si="6939"/>
        <v>0</v>
      </c>
      <c r="O3402" s="1" t="str">
        <f t="shared" si="6939"/>
        <v>0</v>
      </c>
      <c r="P3402" s="1" t="str">
        <f t="shared" si="6939"/>
        <v>0</v>
      </c>
      <c r="Q3402" s="1" t="str">
        <f t="shared" si="6923"/>
        <v>0.0070</v>
      </c>
      <c r="R3402" s="1" t="s">
        <v>29</v>
      </c>
      <c r="S3402" s="1">
        <v>-0.0014</v>
      </c>
      <c r="T3402" s="1" t="str">
        <f t="shared" si="6924"/>
        <v>0</v>
      </c>
      <c r="U3402" s="1" t="str">
        <f t="shared" si="6927"/>
        <v>0.0056</v>
      </c>
    </row>
    <row r="3403" s="1" customFormat="1" spans="1:21">
      <c r="A3403" s="1" t="str">
        <f>"4601992064631"</f>
        <v>4601992064631</v>
      </c>
      <c r="B3403" s="1" t="s">
        <v>3426</v>
      </c>
      <c r="C3403" s="1" t="s">
        <v>24</v>
      </c>
      <c r="D3403" s="1" t="str">
        <f t="shared" si="6920"/>
        <v>2021</v>
      </c>
      <c r="E3403" s="1" t="str">
        <f>"24.50"</f>
        <v>24.50</v>
      </c>
      <c r="F3403" s="1" t="str">
        <f t="shared" ref="F3403:I3403" si="6940">"0"</f>
        <v>0</v>
      </c>
      <c r="G3403" s="1" t="str">
        <f t="shared" si="6940"/>
        <v>0</v>
      </c>
      <c r="H3403" s="1" t="str">
        <f t="shared" si="6940"/>
        <v>0</v>
      </c>
      <c r="I3403" s="1" t="str">
        <f t="shared" si="6940"/>
        <v>0</v>
      </c>
      <c r="J3403" s="1" t="str">
        <f>"2"</f>
        <v>2</v>
      </c>
      <c r="K3403" s="1" t="str">
        <f t="shared" ref="K3403:P3403" si="6941">"0"</f>
        <v>0</v>
      </c>
      <c r="L3403" s="1" t="str">
        <f t="shared" si="6941"/>
        <v>0</v>
      </c>
      <c r="M3403" s="1" t="str">
        <f t="shared" si="6941"/>
        <v>0</v>
      </c>
      <c r="N3403" s="1" t="str">
        <f t="shared" si="6941"/>
        <v>0</v>
      </c>
      <c r="O3403" s="1" t="str">
        <f t="shared" si="6941"/>
        <v>0</v>
      </c>
      <c r="P3403" s="1" t="str">
        <f t="shared" si="6941"/>
        <v>0</v>
      </c>
      <c r="Q3403" s="1" t="str">
        <f t="shared" si="6923"/>
        <v>0.0070</v>
      </c>
      <c r="R3403" s="1" t="s">
        <v>29</v>
      </c>
      <c r="S3403" s="1">
        <v>-0.0014</v>
      </c>
      <c r="T3403" s="1" t="str">
        <f t="shared" si="6924"/>
        <v>0</v>
      </c>
      <c r="U3403" s="1" t="str">
        <f t="shared" si="6927"/>
        <v>0.0056</v>
      </c>
    </row>
    <row r="3404" s="1" customFormat="1" spans="1:21">
      <c r="A3404" s="1" t="str">
        <f>"4601992064652"</f>
        <v>4601992064652</v>
      </c>
      <c r="B3404" s="1" t="s">
        <v>3427</v>
      </c>
      <c r="C3404" s="1" t="s">
        <v>24</v>
      </c>
      <c r="D3404" s="1" t="str">
        <f t="shared" si="6920"/>
        <v>2021</v>
      </c>
      <c r="E3404" s="1" t="str">
        <f>"61.25"</f>
        <v>61.25</v>
      </c>
      <c r="F3404" s="1" t="str">
        <f t="shared" ref="F3404:I3404" si="6942">"0"</f>
        <v>0</v>
      </c>
      <c r="G3404" s="1" t="str">
        <f t="shared" si="6942"/>
        <v>0</v>
      </c>
      <c r="H3404" s="1" t="str">
        <f t="shared" si="6942"/>
        <v>0</v>
      </c>
      <c r="I3404" s="1" t="str">
        <f t="shared" si="6942"/>
        <v>0</v>
      </c>
      <c r="J3404" s="1" t="str">
        <f>"5"</f>
        <v>5</v>
      </c>
      <c r="K3404" s="1" t="str">
        <f t="shared" ref="K3404:P3404" si="6943">"0"</f>
        <v>0</v>
      </c>
      <c r="L3404" s="1" t="str">
        <f t="shared" si="6943"/>
        <v>0</v>
      </c>
      <c r="M3404" s="1" t="str">
        <f t="shared" si="6943"/>
        <v>0</v>
      </c>
      <c r="N3404" s="1" t="str">
        <f t="shared" si="6943"/>
        <v>0</v>
      </c>
      <c r="O3404" s="1" t="str">
        <f t="shared" si="6943"/>
        <v>0</v>
      </c>
      <c r="P3404" s="1" t="str">
        <f t="shared" si="6943"/>
        <v>0</v>
      </c>
      <c r="Q3404" s="1" t="str">
        <f t="shared" si="6923"/>
        <v>0.0070</v>
      </c>
      <c r="R3404" s="1" t="s">
        <v>29</v>
      </c>
      <c r="S3404" s="1">
        <v>-0.0014</v>
      </c>
      <c r="T3404" s="1" t="str">
        <f t="shared" si="6924"/>
        <v>0</v>
      </c>
      <c r="U3404" s="1" t="str">
        <f t="shared" si="6927"/>
        <v>0.0056</v>
      </c>
    </row>
    <row r="3405" s="1" customFormat="1" spans="1:21">
      <c r="A3405" s="1" t="str">
        <f>"4601992064659"</f>
        <v>4601992064659</v>
      </c>
      <c r="B3405" s="1" t="s">
        <v>3428</v>
      </c>
      <c r="C3405" s="1" t="s">
        <v>24</v>
      </c>
      <c r="D3405" s="1" t="str">
        <f t="shared" si="6920"/>
        <v>2021</v>
      </c>
      <c r="E3405" s="1" t="str">
        <f>"36.16"</f>
        <v>36.16</v>
      </c>
      <c r="F3405" s="1" t="str">
        <f t="shared" ref="F3405:I3405" si="6944">"0"</f>
        <v>0</v>
      </c>
      <c r="G3405" s="1" t="str">
        <f t="shared" si="6944"/>
        <v>0</v>
      </c>
      <c r="H3405" s="1" t="str">
        <f t="shared" si="6944"/>
        <v>0</v>
      </c>
      <c r="I3405" s="1" t="str">
        <f t="shared" si="6944"/>
        <v>0</v>
      </c>
      <c r="J3405" s="1" t="str">
        <f t="shared" ref="J3405:J3409" si="6945">"3"</f>
        <v>3</v>
      </c>
      <c r="K3405" s="1" t="str">
        <f t="shared" ref="K3405:P3405" si="6946">"0"</f>
        <v>0</v>
      </c>
      <c r="L3405" s="1" t="str">
        <f t="shared" si="6946"/>
        <v>0</v>
      </c>
      <c r="M3405" s="1" t="str">
        <f t="shared" si="6946"/>
        <v>0</v>
      </c>
      <c r="N3405" s="1" t="str">
        <f t="shared" si="6946"/>
        <v>0</v>
      </c>
      <c r="O3405" s="1" t="str">
        <f t="shared" si="6946"/>
        <v>0</v>
      </c>
      <c r="P3405" s="1" t="str">
        <f t="shared" si="6946"/>
        <v>0</v>
      </c>
      <c r="Q3405" s="1" t="str">
        <f t="shared" si="6923"/>
        <v>0.0070</v>
      </c>
      <c r="R3405" s="1" t="s">
        <v>25</v>
      </c>
      <c r="T3405" s="1" t="str">
        <f t="shared" si="6924"/>
        <v>0</v>
      </c>
      <c r="U3405" s="1" t="str">
        <f t="shared" ref="U3405:U3410" si="6947">"0.0070"</f>
        <v>0.0070</v>
      </c>
    </row>
    <row r="3406" s="1" customFormat="1" spans="1:21">
      <c r="A3406" s="1" t="str">
        <f>"4601992064728"</f>
        <v>4601992064728</v>
      </c>
      <c r="B3406" s="1" t="s">
        <v>3429</v>
      </c>
      <c r="C3406" s="1" t="s">
        <v>24</v>
      </c>
      <c r="D3406" s="1" t="str">
        <f t="shared" si="6920"/>
        <v>2021</v>
      </c>
      <c r="E3406" s="1" t="str">
        <f>"35.94"</f>
        <v>35.94</v>
      </c>
      <c r="F3406" s="1" t="str">
        <f t="shared" ref="F3406:I3406" si="6948">"0"</f>
        <v>0</v>
      </c>
      <c r="G3406" s="1" t="str">
        <f t="shared" si="6948"/>
        <v>0</v>
      </c>
      <c r="H3406" s="1" t="str">
        <f t="shared" si="6948"/>
        <v>0</v>
      </c>
      <c r="I3406" s="1" t="str">
        <f t="shared" si="6948"/>
        <v>0</v>
      </c>
      <c r="J3406" s="1" t="str">
        <f t="shared" si="6945"/>
        <v>3</v>
      </c>
      <c r="K3406" s="1" t="str">
        <f t="shared" ref="K3406:P3406" si="6949">"0"</f>
        <v>0</v>
      </c>
      <c r="L3406" s="1" t="str">
        <f t="shared" si="6949"/>
        <v>0</v>
      </c>
      <c r="M3406" s="1" t="str">
        <f t="shared" si="6949"/>
        <v>0</v>
      </c>
      <c r="N3406" s="1" t="str">
        <f t="shared" si="6949"/>
        <v>0</v>
      </c>
      <c r="O3406" s="1" t="str">
        <f t="shared" si="6949"/>
        <v>0</v>
      </c>
      <c r="P3406" s="1" t="str">
        <f t="shared" si="6949"/>
        <v>0</v>
      </c>
      <c r="Q3406" s="1" t="str">
        <f t="shared" si="6923"/>
        <v>0.0070</v>
      </c>
      <c r="R3406" s="1" t="s">
        <v>29</v>
      </c>
      <c r="S3406" s="1">
        <v>-0.0014</v>
      </c>
      <c r="T3406" s="1" t="str">
        <f t="shared" si="6924"/>
        <v>0</v>
      </c>
      <c r="U3406" s="1" t="str">
        <f t="shared" ref="U3406:U3408" si="6950">"0.0056"</f>
        <v>0.0056</v>
      </c>
    </row>
    <row r="3407" s="1" customFormat="1" spans="1:21">
      <c r="A3407" s="1" t="str">
        <f>"4601992064764"</f>
        <v>4601992064764</v>
      </c>
      <c r="B3407" s="1" t="s">
        <v>3430</v>
      </c>
      <c r="C3407" s="1" t="s">
        <v>24</v>
      </c>
      <c r="D3407" s="1" t="str">
        <f t="shared" si="6920"/>
        <v>2021</v>
      </c>
      <c r="E3407" s="1" t="str">
        <f>"11.98"</f>
        <v>11.98</v>
      </c>
      <c r="F3407" s="1" t="str">
        <f t="shared" ref="F3407:I3407" si="6951">"0"</f>
        <v>0</v>
      </c>
      <c r="G3407" s="1" t="str">
        <f t="shared" si="6951"/>
        <v>0</v>
      </c>
      <c r="H3407" s="1" t="str">
        <f t="shared" si="6951"/>
        <v>0</v>
      </c>
      <c r="I3407" s="1" t="str">
        <f t="shared" si="6951"/>
        <v>0</v>
      </c>
      <c r="J3407" s="1" t="str">
        <f>"1"</f>
        <v>1</v>
      </c>
      <c r="K3407" s="1" t="str">
        <f t="shared" ref="K3407:P3407" si="6952">"0"</f>
        <v>0</v>
      </c>
      <c r="L3407" s="1" t="str">
        <f t="shared" si="6952"/>
        <v>0</v>
      </c>
      <c r="M3407" s="1" t="str">
        <f t="shared" si="6952"/>
        <v>0</v>
      </c>
      <c r="N3407" s="1" t="str">
        <f t="shared" si="6952"/>
        <v>0</v>
      </c>
      <c r="O3407" s="1" t="str">
        <f t="shared" si="6952"/>
        <v>0</v>
      </c>
      <c r="P3407" s="1" t="str">
        <f t="shared" si="6952"/>
        <v>0</v>
      </c>
      <c r="Q3407" s="1" t="str">
        <f t="shared" si="6923"/>
        <v>0.0070</v>
      </c>
      <c r="R3407" s="1" t="s">
        <v>29</v>
      </c>
      <c r="S3407" s="1">
        <v>-0.0014</v>
      </c>
      <c r="T3407" s="1" t="str">
        <f t="shared" si="6924"/>
        <v>0</v>
      </c>
      <c r="U3407" s="1" t="str">
        <f t="shared" si="6950"/>
        <v>0.0056</v>
      </c>
    </row>
    <row r="3408" s="1" customFormat="1" spans="1:21">
      <c r="A3408" s="1" t="str">
        <f>"4601992064774"</f>
        <v>4601992064774</v>
      </c>
      <c r="B3408" s="1" t="s">
        <v>3431</v>
      </c>
      <c r="C3408" s="1" t="s">
        <v>24</v>
      </c>
      <c r="D3408" s="1" t="str">
        <f t="shared" si="6920"/>
        <v>2021</v>
      </c>
      <c r="E3408" s="1" t="str">
        <f>"11.98"</f>
        <v>11.98</v>
      </c>
      <c r="F3408" s="1" t="str">
        <f t="shared" ref="F3408:I3408" si="6953">"0"</f>
        <v>0</v>
      </c>
      <c r="G3408" s="1" t="str">
        <f t="shared" si="6953"/>
        <v>0</v>
      </c>
      <c r="H3408" s="1" t="str">
        <f t="shared" si="6953"/>
        <v>0</v>
      </c>
      <c r="I3408" s="1" t="str">
        <f t="shared" si="6953"/>
        <v>0</v>
      </c>
      <c r="J3408" s="1" t="str">
        <f t="shared" ref="J3408:J3414" si="6954">"2"</f>
        <v>2</v>
      </c>
      <c r="K3408" s="1" t="str">
        <f t="shared" ref="K3408:P3408" si="6955">"0"</f>
        <v>0</v>
      </c>
      <c r="L3408" s="1" t="str">
        <f t="shared" si="6955"/>
        <v>0</v>
      </c>
      <c r="M3408" s="1" t="str">
        <f t="shared" si="6955"/>
        <v>0</v>
      </c>
      <c r="N3408" s="1" t="str">
        <f t="shared" si="6955"/>
        <v>0</v>
      </c>
      <c r="O3408" s="1" t="str">
        <f t="shared" si="6955"/>
        <v>0</v>
      </c>
      <c r="P3408" s="1" t="str">
        <f t="shared" si="6955"/>
        <v>0</v>
      </c>
      <c r="Q3408" s="1" t="str">
        <f t="shared" si="6923"/>
        <v>0.0070</v>
      </c>
      <c r="R3408" s="1" t="s">
        <v>29</v>
      </c>
      <c r="S3408" s="1">
        <v>-0.0014</v>
      </c>
      <c r="T3408" s="1" t="str">
        <f t="shared" si="6924"/>
        <v>0</v>
      </c>
      <c r="U3408" s="1" t="str">
        <f t="shared" si="6950"/>
        <v>0.0056</v>
      </c>
    </row>
    <row r="3409" s="1" customFormat="1" spans="1:21">
      <c r="A3409" s="1" t="str">
        <f>"4601992064777"</f>
        <v>4601992064777</v>
      </c>
      <c r="B3409" s="1" t="s">
        <v>3432</v>
      </c>
      <c r="C3409" s="1" t="s">
        <v>24</v>
      </c>
      <c r="D3409" s="1" t="str">
        <f t="shared" si="6920"/>
        <v>2021</v>
      </c>
      <c r="E3409" s="1" t="str">
        <f>"35.94"</f>
        <v>35.94</v>
      </c>
      <c r="F3409" s="1" t="str">
        <f t="shared" ref="F3409:I3409" si="6956">"0"</f>
        <v>0</v>
      </c>
      <c r="G3409" s="1" t="str">
        <f t="shared" si="6956"/>
        <v>0</v>
      </c>
      <c r="H3409" s="1" t="str">
        <f t="shared" si="6956"/>
        <v>0</v>
      </c>
      <c r="I3409" s="1" t="str">
        <f t="shared" si="6956"/>
        <v>0</v>
      </c>
      <c r="J3409" s="1" t="str">
        <f t="shared" si="6945"/>
        <v>3</v>
      </c>
      <c r="K3409" s="1" t="str">
        <f t="shared" ref="K3409:P3409" si="6957">"0"</f>
        <v>0</v>
      </c>
      <c r="L3409" s="1" t="str">
        <f t="shared" si="6957"/>
        <v>0</v>
      </c>
      <c r="M3409" s="1" t="str">
        <f t="shared" si="6957"/>
        <v>0</v>
      </c>
      <c r="N3409" s="1" t="str">
        <f t="shared" si="6957"/>
        <v>0</v>
      </c>
      <c r="O3409" s="1" t="str">
        <f t="shared" si="6957"/>
        <v>0</v>
      </c>
      <c r="P3409" s="1" t="str">
        <f t="shared" si="6957"/>
        <v>0</v>
      </c>
      <c r="Q3409" s="1" t="str">
        <f t="shared" si="6923"/>
        <v>0.0070</v>
      </c>
      <c r="R3409" s="1" t="s">
        <v>25</v>
      </c>
      <c r="T3409" s="1" t="str">
        <f t="shared" si="6924"/>
        <v>0</v>
      </c>
      <c r="U3409" s="1" t="str">
        <f t="shared" si="6947"/>
        <v>0.0070</v>
      </c>
    </row>
    <row r="3410" s="1" customFormat="1" spans="1:21">
      <c r="A3410" s="1" t="str">
        <f>"4601992064797"</f>
        <v>4601992064797</v>
      </c>
      <c r="B3410" s="1" t="s">
        <v>3433</v>
      </c>
      <c r="C3410" s="1" t="s">
        <v>24</v>
      </c>
      <c r="D3410" s="1" t="str">
        <f t="shared" si="6920"/>
        <v>2021</v>
      </c>
      <c r="E3410" s="1" t="str">
        <f t="shared" ref="E3410:G3410" si="6958">"0"</f>
        <v>0</v>
      </c>
      <c r="F3410" s="1" t="str">
        <f t="shared" si="6958"/>
        <v>0</v>
      </c>
      <c r="G3410" s="1" t="str">
        <f t="shared" si="6958"/>
        <v>0</v>
      </c>
      <c r="H3410" s="1" t="str">
        <f>"12.08"</f>
        <v>12.08</v>
      </c>
      <c r="I3410" s="1" t="str">
        <f t="shared" ref="I3410:P3410" si="6959">"0"</f>
        <v>0</v>
      </c>
      <c r="J3410" s="1" t="str">
        <f t="shared" si="6959"/>
        <v>0</v>
      </c>
      <c r="K3410" s="1" t="str">
        <f t="shared" si="6959"/>
        <v>0</v>
      </c>
      <c r="L3410" s="1" t="str">
        <f t="shared" si="6959"/>
        <v>0</v>
      </c>
      <c r="M3410" s="1" t="str">
        <f t="shared" si="6959"/>
        <v>0</v>
      </c>
      <c r="N3410" s="1" t="str">
        <f t="shared" si="6959"/>
        <v>0</v>
      </c>
      <c r="O3410" s="1" t="str">
        <f t="shared" si="6959"/>
        <v>0</v>
      </c>
      <c r="P3410" s="1" t="str">
        <f t="shared" si="6959"/>
        <v>0</v>
      </c>
      <c r="Q3410" s="1" t="str">
        <f t="shared" si="6923"/>
        <v>0.0070</v>
      </c>
      <c r="R3410" s="1" t="s">
        <v>25</v>
      </c>
      <c r="T3410" s="1" t="str">
        <f t="shared" si="6924"/>
        <v>0</v>
      </c>
      <c r="U3410" s="1" t="str">
        <f t="shared" si="6947"/>
        <v>0.0070</v>
      </c>
    </row>
    <row r="3411" s="1" customFormat="1" spans="1:21">
      <c r="A3411" s="1" t="str">
        <f>"4601992064784"</f>
        <v>4601992064784</v>
      </c>
      <c r="B3411" s="1" t="s">
        <v>3434</v>
      </c>
      <c r="C3411" s="1" t="s">
        <v>24</v>
      </c>
      <c r="D3411" s="1" t="str">
        <f t="shared" si="6920"/>
        <v>2021</v>
      </c>
      <c r="E3411" s="1" t="str">
        <f>"96.17"</f>
        <v>96.17</v>
      </c>
      <c r="F3411" s="1" t="str">
        <f t="shared" ref="F3411:I3411" si="6960">"0"</f>
        <v>0</v>
      </c>
      <c r="G3411" s="1" t="str">
        <f t="shared" si="6960"/>
        <v>0</v>
      </c>
      <c r="H3411" s="1" t="str">
        <f t="shared" si="6960"/>
        <v>0</v>
      </c>
      <c r="I3411" s="1" t="str">
        <f t="shared" si="6960"/>
        <v>0</v>
      </c>
      <c r="J3411" s="1" t="str">
        <f>"3"</f>
        <v>3</v>
      </c>
      <c r="K3411" s="1" t="str">
        <f t="shared" ref="K3411:P3411" si="6961">"0"</f>
        <v>0</v>
      </c>
      <c r="L3411" s="1" t="str">
        <f t="shared" si="6961"/>
        <v>0</v>
      </c>
      <c r="M3411" s="1" t="str">
        <f t="shared" si="6961"/>
        <v>0</v>
      </c>
      <c r="N3411" s="1" t="str">
        <f t="shared" si="6961"/>
        <v>0</v>
      </c>
      <c r="O3411" s="1" t="str">
        <f t="shared" si="6961"/>
        <v>0</v>
      </c>
      <c r="P3411" s="1" t="str">
        <f t="shared" si="6961"/>
        <v>0</v>
      </c>
      <c r="Q3411" s="1" t="str">
        <f t="shared" si="6923"/>
        <v>0.0070</v>
      </c>
      <c r="R3411" s="1" t="s">
        <v>29</v>
      </c>
      <c r="S3411" s="1">
        <v>-0.0014</v>
      </c>
      <c r="T3411" s="1" t="str">
        <f t="shared" si="6924"/>
        <v>0</v>
      </c>
      <c r="U3411" s="1" t="str">
        <f t="shared" ref="U3411:U3414" si="6962">"0.0056"</f>
        <v>0.0056</v>
      </c>
    </row>
    <row r="3412" s="1" customFormat="1" spans="1:21">
      <c r="A3412" s="1" t="str">
        <f>"4601992063855"</f>
        <v>4601992063855</v>
      </c>
      <c r="B3412" s="1" t="s">
        <v>3435</v>
      </c>
      <c r="C3412" s="1" t="s">
        <v>24</v>
      </c>
      <c r="D3412" s="1" t="str">
        <f t="shared" si="6920"/>
        <v>2021</v>
      </c>
      <c r="E3412" s="1" t="str">
        <f>"12.04"</f>
        <v>12.04</v>
      </c>
      <c r="F3412" s="1" t="str">
        <f t="shared" ref="F3412:I3412" si="6963">"0"</f>
        <v>0</v>
      </c>
      <c r="G3412" s="1" t="str">
        <f t="shared" si="6963"/>
        <v>0</v>
      </c>
      <c r="H3412" s="1" t="str">
        <f t="shared" si="6963"/>
        <v>0</v>
      </c>
      <c r="I3412" s="1" t="str">
        <f t="shared" si="6963"/>
        <v>0</v>
      </c>
      <c r="J3412" s="1" t="str">
        <f t="shared" si="6954"/>
        <v>2</v>
      </c>
      <c r="K3412" s="1" t="str">
        <f t="shared" ref="K3412:P3412" si="6964">"0"</f>
        <v>0</v>
      </c>
      <c r="L3412" s="1" t="str">
        <f t="shared" si="6964"/>
        <v>0</v>
      </c>
      <c r="M3412" s="1" t="str">
        <f t="shared" si="6964"/>
        <v>0</v>
      </c>
      <c r="N3412" s="1" t="str">
        <f t="shared" si="6964"/>
        <v>0</v>
      </c>
      <c r="O3412" s="1" t="str">
        <f t="shared" si="6964"/>
        <v>0</v>
      </c>
      <c r="P3412" s="1" t="str">
        <f t="shared" si="6964"/>
        <v>0</v>
      </c>
      <c r="Q3412" s="1" t="str">
        <f t="shared" si="6923"/>
        <v>0.0070</v>
      </c>
      <c r="R3412" s="1" t="s">
        <v>29</v>
      </c>
      <c r="S3412" s="1">
        <v>-0.0014</v>
      </c>
      <c r="T3412" s="1" t="str">
        <f t="shared" si="6924"/>
        <v>0</v>
      </c>
      <c r="U3412" s="1" t="str">
        <f t="shared" si="6962"/>
        <v>0.0056</v>
      </c>
    </row>
    <row r="3413" s="1" customFormat="1" spans="1:21">
      <c r="A3413" s="1" t="str">
        <f>"4601992064818"</f>
        <v>4601992064818</v>
      </c>
      <c r="B3413" s="1" t="s">
        <v>3436</v>
      </c>
      <c r="C3413" s="1" t="s">
        <v>24</v>
      </c>
      <c r="D3413" s="1" t="str">
        <f t="shared" si="6920"/>
        <v>2021</v>
      </c>
      <c r="E3413" s="1" t="str">
        <f>"24.50"</f>
        <v>24.50</v>
      </c>
      <c r="F3413" s="1" t="str">
        <f t="shared" ref="F3413:I3413" si="6965">"0"</f>
        <v>0</v>
      </c>
      <c r="G3413" s="1" t="str">
        <f t="shared" si="6965"/>
        <v>0</v>
      </c>
      <c r="H3413" s="1" t="str">
        <f t="shared" si="6965"/>
        <v>0</v>
      </c>
      <c r="I3413" s="1" t="str">
        <f t="shared" si="6965"/>
        <v>0</v>
      </c>
      <c r="J3413" s="1" t="str">
        <f t="shared" si="6954"/>
        <v>2</v>
      </c>
      <c r="K3413" s="1" t="str">
        <f t="shared" ref="K3413:P3413" si="6966">"0"</f>
        <v>0</v>
      </c>
      <c r="L3413" s="1" t="str">
        <f t="shared" si="6966"/>
        <v>0</v>
      </c>
      <c r="M3413" s="1" t="str">
        <f t="shared" si="6966"/>
        <v>0</v>
      </c>
      <c r="N3413" s="1" t="str">
        <f t="shared" si="6966"/>
        <v>0</v>
      </c>
      <c r="O3413" s="1" t="str">
        <f t="shared" si="6966"/>
        <v>0</v>
      </c>
      <c r="P3413" s="1" t="str">
        <f t="shared" si="6966"/>
        <v>0</v>
      </c>
      <c r="Q3413" s="1" t="str">
        <f t="shared" si="6923"/>
        <v>0.0070</v>
      </c>
      <c r="R3413" s="1" t="s">
        <v>29</v>
      </c>
      <c r="S3413" s="1">
        <v>-0.0014</v>
      </c>
      <c r="T3413" s="1" t="str">
        <f t="shared" si="6924"/>
        <v>0</v>
      </c>
      <c r="U3413" s="1" t="str">
        <f t="shared" si="6962"/>
        <v>0.0056</v>
      </c>
    </row>
    <row r="3414" s="1" customFormat="1" spans="1:21">
      <c r="A3414" s="1" t="str">
        <f>"4601992064823"</f>
        <v>4601992064823</v>
      </c>
      <c r="B3414" s="1" t="s">
        <v>3437</v>
      </c>
      <c r="C3414" s="1" t="s">
        <v>24</v>
      </c>
      <c r="D3414" s="1" t="str">
        <f t="shared" si="6920"/>
        <v>2021</v>
      </c>
      <c r="E3414" s="1" t="str">
        <f>"24.07"</f>
        <v>24.07</v>
      </c>
      <c r="F3414" s="1" t="str">
        <f t="shared" ref="F3414:I3414" si="6967">"0"</f>
        <v>0</v>
      </c>
      <c r="G3414" s="1" t="str">
        <f t="shared" si="6967"/>
        <v>0</v>
      </c>
      <c r="H3414" s="1" t="str">
        <f t="shared" si="6967"/>
        <v>0</v>
      </c>
      <c r="I3414" s="1" t="str">
        <f t="shared" si="6967"/>
        <v>0</v>
      </c>
      <c r="J3414" s="1" t="str">
        <f t="shared" si="6954"/>
        <v>2</v>
      </c>
      <c r="K3414" s="1" t="str">
        <f t="shared" ref="K3414:P3414" si="6968">"0"</f>
        <v>0</v>
      </c>
      <c r="L3414" s="1" t="str">
        <f t="shared" si="6968"/>
        <v>0</v>
      </c>
      <c r="M3414" s="1" t="str">
        <f t="shared" si="6968"/>
        <v>0</v>
      </c>
      <c r="N3414" s="1" t="str">
        <f t="shared" si="6968"/>
        <v>0</v>
      </c>
      <c r="O3414" s="1" t="str">
        <f t="shared" si="6968"/>
        <v>0</v>
      </c>
      <c r="P3414" s="1" t="str">
        <f t="shared" si="6968"/>
        <v>0</v>
      </c>
      <c r="Q3414" s="1" t="str">
        <f t="shared" si="6923"/>
        <v>0.0070</v>
      </c>
      <c r="R3414" s="1" t="s">
        <v>29</v>
      </c>
      <c r="S3414" s="1">
        <v>-0.0014</v>
      </c>
      <c r="T3414" s="1" t="str">
        <f t="shared" si="6924"/>
        <v>0</v>
      </c>
      <c r="U3414" s="1" t="str">
        <f t="shared" si="6962"/>
        <v>0.0056</v>
      </c>
    </row>
    <row r="3415" s="1" customFormat="1" spans="1:21">
      <c r="A3415" s="1" t="str">
        <f>"4601992064828"</f>
        <v>4601992064828</v>
      </c>
      <c r="B3415" s="1" t="s">
        <v>3438</v>
      </c>
      <c r="C3415" s="1" t="s">
        <v>24</v>
      </c>
      <c r="D3415" s="1" t="str">
        <f t="shared" si="6920"/>
        <v>2021</v>
      </c>
      <c r="E3415" s="1" t="str">
        <f>"191.68"</f>
        <v>191.68</v>
      </c>
      <c r="F3415" s="1" t="str">
        <f t="shared" ref="F3415:I3415" si="6969">"0"</f>
        <v>0</v>
      </c>
      <c r="G3415" s="1" t="str">
        <f t="shared" si="6969"/>
        <v>0</v>
      </c>
      <c r="H3415" s="1" t="str">
        <f t="shared" si="6969"/>
        <v>0</v>
      </c>
      <c r="I3415" s="1" t="str">
        <f t="shared" si="6969"/>
        <v>0</v>
      </c>
      <c r="J3415" s="1" t="str">
        <f>"8"</f>
        <v>8</v>
      </c>
      <c r="K3415" s="1" t="str">
        <f t="shared" ref="K3415:P3415" si="6970">"0"</f>
        <v>0</v>
      </c>
      <c r="L3415" s="1" t="str">
        <f t="shared" si="6970"/>
        <v>0</v>
      </c>
      <c r="M3415" s="1" t="str">
        <f t="shared" si="6970"/>
        <v>0</v>
      </c>
      <c r="N3415" s="1" t="str">
        <f t="shared" si="6970"/>
        <v>0</v>
      </c>
      <c r="O3415" s="1" t="str">
        <f t="shared" si="6970"/>
        <v>0</v>
      </c>
      <c r="P3415" s="1" t="str">
        <f t="shared" si="6970"/>
        <v>0</v>
      </c>
      <c r="Q3415" s="1" t="str">
        <f t="shared" si="6923"/>
        <v>0.0070</v>
      </c>
      <c r="R3415" s="1" t="s">
        <v>25</v>
      </c>
      <c r="T3415" s="1" t="str">
        <f t="shared" si="6924"/>
        <v>0</v>
      </c>
      <c r="U3415" s="1" t="str">
        <f t="shared" ref="U3415:U3419" si="6971">"0.0070"</f>
        <v>0.0070</v>
      </c>
    </row>
    <row r="3416" s="1" customFormat="1" spans="1:21">
      <c r="A3416" s="1" t="str">
        <f>"4601992064893"</f>
        <v>4601992064893</v>
      </c>
      <c r="B3416" s="1" t="s">
        <v>3439</v>
      </c>
      <c r="C3416" s="1" t="s">
        <v>24</v>
      </c>
      <c r="D3416" s="1" t="str">
        <f t="shared" si="6920"/>
        <v>2021</v>
      </c>
      <c r="E3416" s="1" t="str">
        <f t="shared" ref="E3416:P3416" si="6972">"0"</f>
        <v>0</v>
      </c>
      <c r="F3416" s="1" t="str">
        <f t="shared" si="6972"/>
        <v>0</v>
      </c>
      <c r="G3416" s="1" t="str">
        <f t="shared" si="6972"/>
        <v>0</v>
      </c>
      <c r="H3416" s="1" t="str">
        <f t="shared" si="6972"/>
        <v>0</v>
      </c>
      <c r="I3416" s="1" t="str">
        <f t="shared" si="6972"/>
        <v>0</v>
      </c>
      <c r="J3416" s="1" t="str">
        <f t="shared" si="6972"/>
        <v>0</v>
      </c>
      <c r="K3416" s="1" t="str">
        <f t="shared" si="6972"/>
        <v>0</v>
      </c>
      <c r="L3416" s="1" t="str">
        <f t="shared" si="6972"/>
        <v>0</v>
      </c>
      <c r="M3416" s="1" t="str">
        <f t="shared" si="6972"/>
        <v>0</v>
      </c>
      <c r="N3416" s="1" t="str">
        <f t="shared" si="6972"/>
        <v>0</v>
      </c>
      <c r="O3416" s="1" t="str">
        <f t="shared" si="6972"/>
        <v>0</v>
      </c>
      <c r="P3416" s="1" t="str">
        <f t="shared" si="6972"/>
        <v>0</v>
      </c>
      <c r="Q3416" s="1" t="str">
        <f t="shared" si="6923"/>
        <v>0.0070</v>
      </c>
      <c r="R3416" s="1" t="s">
        <v>25</v>
      </c>
      <c r="T3416" s="1" t="str">
        <f t="shared" si="6924"/>
        <v>0</v>
      </c>
      <c r="U3416" s="1" t="str">
        <f t="shared" si="6971"/>
        <v>0.0070</v>
      </c>
    </row>
    <row r="3417" s="1" customFormat="1" spans="1:21">
      <c r="A3417" s="1" t="str">
        <f>"4601992064874"</f>
        <v>4601992064874</v>
      </c>
      <c r="B3417" s="1" t="s">
        <v>3440</v>
      </c>
      <c r="C3417" s="1" t="s">
        <v>24</v>
      </c>
      <c r="D3417" s="1" t="str">
        <f t="shared" si="6920"/>
        <v>2021</v>
      </c>
      <c r="E3417" s="1" t="str">
        <f>"12.09"</f>
        <v>12.09</v>
      </c>
      <c r="F3417" s="1" t="str">
        <f t="shared" ref="F3417:I3417" si="6973">"0"</f>
        <v>0</v>
      </c>
      <c r="G3417" s="1" t="str">
        <f t="shared" si="6973"/>
        <v>0</v>
      </c>
      <c r="H3417" s="1" t="str">
        <f t="shared" si="6973"/>
        <v>0</v>
      </c>
      <c r="I3417" s="1" t="str">
        <f t="shared" si="6973"/>
        <v>0</v>
      </c>
      <c r="J3417" s="1" t="str">
        <f t="shared" ref="J3417:J3421" si="6974">"1"</f>
        <v>1</v>
      </c>
      <c r="K3417" s="1" t="str">
        <f t="shared" ref="K3417:P3417" si="6975">"0"</f>
        <v>0</v>
      </c>
      <c r="L3417" s="1" t="str">
        <f t="shared" si="6975"/>
        <v>0</v>
      </c>
      <c r="M3417" s="1" t="str">
        <f t="shared" si="6975"/>
        <v>0</v>
      </c>
      <c r="N3417" s="1" t="str">
        <f t="shared" si="6975"/>
        <v>0</v>
      </c>
      <c r="O3417" s="1" t="str">
        <f t="shared" si="6975"/>
        <v>0</v>
      </c>
      <c r="P3417" s="1" t="str">
        <f t="shared" si="6975"/>
        <v>0</v>
      </c>
      <c r="Q3417" s="1" t="str">
        <f t="shared" si="6923"/>
        <v>0.0070</v>
      </c>
      <c r="R3417" s="1" t="s">
        <v>29</v>
      </c>
      <c r="S3417" s="1">
        <v>-0.0014</v>
      </c>
      <c r="T3417" s="1" t="str">
        <f t="shared" si="6924"/>
        <v>0</v>
      </c>
      <c r="U3417" s="1" t="str">
        <f>"0.0056"</f>
        <v>0.0056</v>
      </c>
    </row>
    <row r="3418" s="1" customFormat="1" spans="1:21">
      <c r="A3418" s="1" t="str">
        <f>"4601992064905"</f>
        <v>4601992064905</v>
      </c>
      <c r="B3418" s="1" t="s">
        <v>3441</v>
      </c>
      <c r="C3418" s="1" t="s">
        <v>24</v>
      </c>
      <c r="D3418" s="1" t="str">
        <f t="shared" si="6920"/>
        <v>2021</v>
      </c>
      <c r="E3418" s="1" t="str">
        <f>"24.18"</f>
        <v>24.18</v>
      </c>
      <c r="F3418" s="1" t="str">
        <f t="shared" ref="F3418:I3418" si="6976">"0"</f>
        <v>0</v>
      </c>
      <c r="G3418" s="1" t="str">
        <f t="shared" si="6976"/>
        <v>0</v>
      </c>
      <c r="H3418" s="1" t="str">
        <f t="shared" si="6976"/>
        <v>0</v>
      </c>
      <c r="I3418" s="1" t="str">
        <f t="shared" si="6976"/>
        <v>0</v>
      </c>
      <c r="J3418" s="1" t="str">
        <f>"2"</f>
        <v>2</v>
      </c>
      <c r="K3418" s="1" t="str">
        <f t="shared" ref="K3418:P3418" si="6977">"0"</f>
        <v>0</v>
      </c>
      <c r="L3418" s="1" t="str">
        <f t="shared" si="6977"/>
        <v>0</v>
      </c>
      <c r="M3418" s="1" t="str">
        <f t="shared" si="6977"/>
        <v>0</v>
      </c>
      <c r="N3418" s="1" t="str">
        <f t="shared" si="6977"/>
        <v>0</v>
      </c>
      <c r="O3418" s="1" t="str">
        <f t="shared" si="6977"/>
        <v>0</v>
      </c>
      <c r="P3418" s="1" t="str">
        <f t="shared" si="6977"/>
        <v>0</v>
      </c>
      <c r="Q3418" s="1" t="str">
        <f t="shared" si="6923"/>
        <v>0.0070</v>
      </c>
      <c r="R3418" s="1" t="s">
        <v>25</v>
      </c>
      <c r="T3418" s="1" t="str">
        <f t="shared" si="6924"/>
        <v>0</v>
      </c>
      <c r="U3418" s="1" t="str">
        <f t="shared" si="6971"/>
        <v>0.0070</v>
      </c>
    </row>
    <row r="3419" s="1" customFormat="1" spans="1:21">
      <c r="A3419" s="1" t="str">
        <f>"4601992064986"</f>
        <v>4601992064986</v>
      </c>
      <c r="B3419" s="1" t="s">
        <v>3442</v>
      </c>
      <c r="C3419" s="1" t="s">
        <v>24</v>
      </c>
      <c r="D3419" s="1" t="str">
        <f t="shared" si="6920"/>
        <v>2021</v>
      </c>
      <c r="E3419" s="1" t="str">
        <f t="shared" ref="E3419:I3419" si="6978">"0"</f>
        <v>0</v>
      </c>
      <c r="F3419" s="1" t="str">
        <f t="shared" si="6978"/>
        <v>0</v>
      </c>
      <c r="G3419" s="1" t="str">
        <f t="shared" si="6978"/>
        <v>0</v>
      </c>
      <c r="H3419" s="1" t="str">
        <f t="shared" si="6978"/>
        <v>0</v>
      </c>
      <c r="I3419" s="1" t="str">
        <f t="shared" si="6978"/>
        <v>0</v>
      </c>
      <c r="J3419" s="1" t="str">
        <f>"4"</f>
        <v>4</v>
      </c>
      <c r="K3419" s="1" t="str">
        <f t="shared" ref="K3419:P3419" si="6979">"0"</f>
        <v>0</v>
      </c>
      <c r="L3419" s="1" t="str">
        <f t="shared" si="6979"/>
        <v>0</v>
      </c>
      <c r="M3419" s="1" t="str">
        <f t="shared" si="6979"/>
        <v>0</v>
      </c>
      <c r="N3419" s="1" t="str">
        <f t="shared" si="6979"/>
        <v>0</v>
      </c>
      <c r="O3419" s="1" t="str">
        <f t="shared" si="6979"/>
        <v>0</v>
      </c>
      <c r="P3419" s="1" t="str">
        <f t="shared" si="6979"/>
        <v>0</v>
      </c>
      <c r="Q3419" s="1" t="str">
        <f t="shared" si="6923"/>
        <v>0.0070</v>
      </c>
      <c r="R3419" s="1" t="s">
        <v>25</v>
      </c>
      <c r="T3419" s="1" t="str">
        <f t="shared" si="6924"/>
        <v>0</v>
      </c>
      <c r="U3419" s="1" t="str">
        <f t="shared" si="6971"/>
        <v>0.0070</v>
      </c>
    </row>
    <row r="3420" s="1" customFormat="1" spans="1:21">
      <c r="A3420" s="1" t="str">
        <f>"4601992064997"</f>
        <v>4601992064997</v>
      </c>
      <c r="B3420" s="1" t="s">
        <v>3443</v>
      </c>
      <c r="C3420" s="1" t="s">
        <v>24</v>
      </c>
      <c r="D3420" s="1" t="str">
        <f t="shared" si="6920"/>
        <v>2021</v>
      </c>
      <c r="E3420" s="1" t="str">
        <f>"11.98"</f>
        <v>11.98</v>
      </c>
      <c r="F3420" s="1" t="str">
        <f t="shared" ref="F3420:I3420" si="6980">"0"</f>
        <v>0</v>
      </c>
      <c r="G3420" s="1" t="str">
        <f t="shared" si="6980"/>
        <v>0</v>
      </c>
      <c r="H3420" s="1" t="str">
        <f t="shared" si="6980"/>
        <v>0</v>
      </c>
      <c r="I3420" s="1" t="str">
        <f t="shared" si="6980"/>
        <v>0</v>
      </c>
      <c r="J3420" s="1" t="str">
        <f t="shared" si="6974"/>
        <v>1</v>
      </c>
      <c r="K3420" s="1" t="str">
        <f t="shared" ref="K3420:P3420" si="6981">"0"</f>
        <v>0</v>
      </c>
      <c r="L3420" s="1" t="str">
        <f t="shared" si="6981"/>
        <v>0</v>
      </c>
      <c r="M3420" s="1" t="str">
        <f t="shared" si="6981"/>
        <v>0</v>
      </c>
      <c r="N3420" s="1" t="str">
        <f t="shared" si="6981"/>
        <v>0</v>
      </c>
      <c r="O3420" s="1" t="str">
        <f t="shared" si="6981"/>
        <v>0</v>
      </c>
      <c r="P3420" s="1" t="str">
        <f t="shared" si="6981"/>
        <v>0</v>
      </c>
      <c r="Q3420" s="1" t="str">
        <f t="shared" si="6923"/>
        <v>0.0070</v>
      </c>
      <c r="R3420" s="1" t="s">
        <v>29</v>
      </c>
      <c r="S3420" s="1">
        <v>-0.0014</v>
      </c>
      <c r="T3420" s="1" t="str">
        <f t="shared" si="6924"/>
        <v>0</v>
      </c>
      <c r="U3420" s="1" t="str">
        <f>"0.0056"</f>
        <v>0.0056</v>
      </c>
    </row>
    <row r="3421" s="1" customFormat="1" spans="1:21">
      <c r="A3421" s="1" t="str">
        <f>"4601992065000"</f>
        <v>4601992065000</v>
      </c>
      <c r="B3421" s="1" t="s">
        <v>3444</v>
      </c>
      <c r="C3421" s="1" t="s">
        <v>24</v>
      </c>
      <c r="D3421" s="1" t="str">
        <f t="shared" si="6920"/>
        <v>2021</v>
      </c>
      <c r="E3421" s="1" t="str">
        <f t="shared" ref="E3421:I3421" si="6982">"0"</f>
        <v>0</v>
      </c>
      <c r="F3421" s="1" t="str">
        <f t="shared" si="6982"/>
        <v>0</v>
      </c>
      <c r="G3421" s="1" t="str">
        <f t="shared" si="6982"/>
        <v>0</v>
      </c>
      <c r="H3421" s="1" t="str">
        <f t="shared" si="6982"/>
        <v>0</v>
      </c>
      <c r="I3421" s="1" t="str">
        <f t="shared" si="6982"/>
        <v>0</v>
      </c>
      <c r="J3421" s="1" t="str">
        <f t="shared" si="6974"/>
        <v>1</v>
      </c>
      <c r="K3421" s="1" t="str">
        <f t="shared" ref="K3421:P3421" si="6983">"0"</f>
        <v>0</v>
      </c>
      <c r="L3421" s="1" t="str">
        <f t="shared" si="6983"/>
        <v>0</v>
      </c>
      <c r="M3421" s="1" t="str">
        <f t="shared" si="6983"/>
        <v>0</v>
      </c>
      <c r="N3421" s="1" t="str">
        <f t="shared" si="6983"/>
        <v>0</v>
      </c>
      <c r="O3421" s="1" t="str">
        <f t="shared" si="6983"/>
        <v>0</v>
      </c>
      <c r="P3421" s="1" t="str">
        <f t="shared" si="6983"/>
        <v>0</v>
      </c>
      <c r="Q3421" s="1" t="str">
        <f t="shared" si="6923"/>
        <v>0.0070</v>
      </c>
      <c r="R3421" s="1" t="s">
        <v>25</v>
      </c>
      <c r="T3421" s="1" t="str">
        <f t="shared" si="6924"/>
        <v>0</v>
      </c>
      <c r="U3421" s="1" t="str">
        <f t="shared" ref="U3421:U3427" si="6984">"0.0070"</f>
        <v>0.0070</v>
      </c>
    </row>
    <row r="3422" s="1" customFormat="1" spans="1:21">
      <c r="A3422" s="1" t="str">
        <f>"4601992065014"</f>
        <v>4601992065014</v>
      </c>
      <c r="B3422" s="1" t="s">
        <v>3445</v>
      </c>
      <c r="C3422" s="1" t="s">
        <v>24</v>
      </c>
      <c r="D3422" s="1" t="str">
        <f t="shared" si="6920"/>
        <v>2021</v>
      </c>
      <c r="E3422" s="1" t="str">
        <f t="shared" ref="E3422:P3422" si="6985">"0"</f>
        <v>0</v>
      </c>
      <c r="F3422" s="1" t="str">
        <f t="shared" si="6985"/>
        <v>0</v>
      </c>
      <c r="G3422" s="1" t="str">
        <f t="shared" si="6985"/>
        <v>0</v>
      </c>
      <c r="H3422" s="1" t="str">
        <f t="shared" si="6985"/>
        <v>0</v>
      </c>
      <c r="I3422" s="1" t="str">
        <f t="shared" si="6985"/>
        <v>0</v>
      </c>
      <c r="J3422" s="1" t="str">
        <f t="shared" si="6985"/>
        <v>0</v>
      </c>
      <c r="K3422" s="1" t="str">
        <f t="shared" si="6985"/>
        <v>0</v>
      </c>
      <c r="L3422" s="1" t="str">
        <f t="shared" si="6985"/>
        <v>0</v>
      </c>
      <c r="M3422" s="1" t="str">
        <f t="shared" si="6985"/>
        <v>0</v>
      </c>
      <c r="N3422" s="1" t="str">
        <f t="shared" si="6985"/>
        <v>0</v>
      </c>
      <c r="O3422" s="1" t="str">
        <f t="shared" si="6985"/>
        <v>0</v>
      </c>
      <c r="P3422" s="1" t="str">
        <f t="shared" si="6985"/>
        <v>0</v>
      </c>
      <c r="Q3422" s="1" t="str">
        <f t="shared" si="6923"/>
        <v>0.0070</v>
      </c>
      <c r="R3422" s="1" t="s">
        <v>25</v>
      </c>
      <c r="T3422" s="1" t="str">
        <f t="shared" si="6924"/>
        <v>0</v>
      </c>
      <c r="U3422" s="1" t="str">
        <f t="shared" si="6984"/>
        <v>0.0070</v>
      </c>
    </row>
    <row r="3423" s="1" customFormat="1" spans="1:21">
      <c r="A3423" s="1" t="str">
        <f>"4601992065061"</f>
        <v>4601992065061</v>
      </c>
      <c r="B3423" s="1" t="s">
        <v>3446</v>
      </c>
      <c r="C3423" s="1" t="s">
        <v>24</v>
      </c>
      <c r="D3423" s="1" t="str">
        <f t="shared" si="6920"/>
        <v>2021</v>
      </c>
      <c r="E3423" s="1" t="str">
        <f t="shared" ref="E3423:P3423" si="6986">"0"</f>
        <v>0</v>
      </c>
      <c r="F3423" s="1" t="str">
        <f t="shared" si="6986"/>
        <v>0</v>
      </c>
      <c r="G3423" s="1" t="str">
        <f t="shared" si="6986"/>
        <v>0</v>
      </c>
      <c r="H3423" s="1" t="str">
        <f t="shared" si="6986"/>
        <v>0</v>
      </c>
      <c r="I3423" s="1" t="str">
        <f t="shared" si="6986"/>
        <v>0</v>
      </c>
      <c r="J3423" s="1" t="str">
        <f t="shared" si="6986"/>
        <v>0</v>
      </c>
      <c r="K3423" s="1" t="str">
        <f t="shared" si="6986"/>
        <v>0</v>
      </c>
      <c r="L3423" s="1" t="str">
        <f t="shared" si="6986"/>
        <v>0</v>
      </c>
      <c r="M3423" s="1" t="str">
        <f t="shared" si="6986"/>
        <v>0</v>
      </c>
      <c r="N3423" s="1" t="str">
        <f t="shared" si="6986"/>
        <v>0</v>
      </c>
      <c r="O3423" s="1" t="str">
        <f t="shared" si="6986"/>
        <v>0</v>
      </c>
      <c r="P3423" s="1" t="str">
        <f t="shared" si="6986"/>
        <v>0</v>
      </c>
      <c r="Q3423" s="1" t="str">
        <f t="shared" si="6923"/>
        <v>0.0070</v>
      </c>
      <c r="R3423" s="1" t="s">
        <v>25</v>
      </c>
      <c r="T3423" s="1" t="str">
        <f t="shared" si="6924"/>
        <v>0</v>
      </c>
      <c r="U3423" s="1" t="str">
        <f t="shared" si="6984"/>
        <v>0.0070</v>
      </c>
    </row>
    <row r="3424" s="1" customFormat="1" spans="1:21">
      <c r="A3424" s="1" t="str">
        <f>"4601992065095"</f>
        <v>4601992065095</v>
      </c>
      <c r="B3424" s="1" t="s">
        <v>3447</v>
      </c>
      <c r="C3424" s="1" t="s">
        <v>24</v>
      </c>
      <c r="D3424" s="1" t="str">
        <f t="shared" si="6920"/>
        <v>2021</v>
      </c>
      <c r="E3424" s="1" t="str">
        <f t="shared" ref="E3424:P3424" si="6987">"0"</f>
        <v>0</v>
      </c>
      <c r="F3424" s="1" t="str">
        <f t="shared" si="6987"/>
        <v>0</v>
      </c>
      <c r="G3424" s="1" t="str">
        <f t="shared" si="6987"/>
        <v>0</v>
      </c>
      <c r="H3424" s="1" t="str">
        <f t="shared" si="6987"/>
        <v>0</v>
      </c>
      <c r="I3424" s="1" t="str">
        <f t="shared" si="6987"/>
        <v>0</v>
      </c>
      <c r="J3424" s="1" t="str">
        <f t="shared" si="6987"/>
        <v>0</v>
      </c>
      <c r="K3424" s="1" t="str">
        <f t="shared" si="6987"/>
        <v>0</v>
      </c>
      <c r="L3424" s="1" t="str">
        <f t="shared" si="6987"/>
        <v>0</v>
      </c>
      <c r="M3424" s="1" t="str">
        <f t="shared" si="6987"/>
        <v>0</v>
      </c>
      <c r="N3424" s="1" t="str">
        <f t="shared" si="6987"/>
        <v>0</v>
      </c>
      <c r="O3424" s="1" t="str">
        <f t="shared" si="6987"/>
        <v>0</v>
      </c>
      <c r="P3424" s="1" t="str">
        <f t="shared" si="6987"/>
        <v>0</v>
      </c>
      <c r="Q3424" s="1" t="str">
        <f t="shared" si="6923"/>
        <v>0.0070</v>
      </c>
      <c r="R3424" s="1" t="s">
        <v>25</v>
      </c>
      <c r="T3424" s="1" t="str">
        <f t="shared" si="6924"/>
        <v>0</v>
      </c>
      <c r="U3424" s="1" t="str">
        <f t="shared" si="6984"/>
        <v>0.0070</v>
      </c>
    </row>
    <row r="3425" s="1" customFormat="1" spans="1:21">
      <c r="A3425" s="1" t="str">
        <f>"4601992065080"</f>
        <v>4601992065080</v>
      </c>
      <c r="B3425" s="1" t="s">
        <v>3448</v>
      </c>
      <c r="C3425" s="1" t="s">
        <v>24</v>
      </c>
      <c r="D3425" s="1" t="str">
        <f t="shared" si="6920"/>
        <v>2021</v>
      </c>
      <c r="E3425" s="1" t="str">
        <f t="shared" ref="E3425:P3425" si="6988">"0"</f>
        <v>0</v>
      </c>
      <c r="F3425" s="1" t="str">
        <f t="shared" si="6988"/>
        <v>0</v>
      </c>
      <c r="G3425" s="1" t="str">
        <f t="shared" si="6988"/>
        <v>0</v>
      </c>
      <c r="H3425" s="1" t="str">
        <f t="shared" si="6988"/>
        <v>0</v>
      </c>
      <c r="I3425" s="1" t="str">
        <f t="shared" si="6988"/>
        <v>0</v>
      </c>
      <c r="J3425" s="1" t="str">
        <f t="shared" si="6988"/>
        <v>0</v>
      </c>
      <c r="K3425" s="1" t="str">
        <f t="shared" si="6988"/>
        <v>0</v>
      </c>
      <c r="L3425" s="1" t="str">
        <f t="shared" si="6988"/>
        <v>0</v>
      </c>
      <c r="M3425" s="1" t="str">
        <f t="shared" si="6988"/>
        <v>0</v>
      </c>
      <c r="N3425" s="1" t="str">
        <f t="shared" si="6988"/>
        <v>0</v>
      </c>
      <c r="O3425" s="1" t="str">
        <f t="shared" si="6988"/>
        <v>0</v>
      </c>
      <c r="P3425" s="1" t="str">
        <f t="shared" si="6988"/>
        <v>0</v>
      </c>
      <c r="Q3425" s="1" t="str">
        <f t="shared" si="6923"/>
        <v>0.0070</v>
      </c>
      <c r="R3425" s="1" t="s">
        <v>25</v>
      </c>
      <c r="T3425" s="1" t="str">
        <f t="shared" si="6924"/>
        <v>0</v>
      </c>
      <c r="U3425" s="1" t="str">
        <f t="shared" si="6984"/>
        <v>0.0070</v>
      </c>
    </row>
    <row r="3426" s="1" customFormat="1" spans="1:21">
      <c r="A3426" s="1" t="str">
        <f>"4601992065146"</f>
        <v>4601992065146</v>
      </c>
      <c r="B3426" s="1" t="s">
        <v>3449</v>
      </c>
      <c r="C3426" s="1" t="s">
        <v>24</v>
      </c>
      <c r="D3426" s="1" t="str">
        <f t="shared" si="6920"/>
        <v>2021</v>
      </c>
      <c r="E3426" s="1" t="str">
        <f t="shared" ref="E3426:P3426" si="6989">"0"</f>
        <v>0</v>
      </c>
      <c r="F3426" s="1" t="str">
        <f t="shared" si="6989"/>
        <v>0</v>
      </c>
      <c r="G3426" s="1" t="str">
        <f t="shared" si="6989"/>
        <v>0</v>
      </c>
      <c r="H3426" s="1" t="str">
        <f t="shared" si="6989"/>
        <v>0</v>
      </c>
      <c r="I3426" s="1" t="str">
        <f t="shared" si="6989"/>
        <v>0</v>
      </c>
      <c r="J3426" s="1" t="str">
        <f t="shared" si="6989"/>
        <v>0</v>
      </c>
      <c r="K3426" s="1" t="str">
        <f t="shared" si="6989"/>
        <v>0</v>
      </c>
      <c r="L3426" s="1" t="str">
        <f t="shared" si="6989"/>
        <v>0</v>
      </c>
      <c r="M3426" s="1" t="str">
        <f t="shared" si="6989"/>
        <v>0</v>
      </c>
      <c r="N3426" s="1" t="str">
        <f t="shared" si="6989"/>
        <v>0</v>
      </c>
      <c r="O3426" s="1" t="str">
        <f t="shared" si="6989"/>
        <v>0</v>
      </c>
      <c r="P3426" s="1" t="str">
        <f t="shared" si="6989"/>
        <v>0</v>
      </c>
      <c r="Q3426" s="1" t="str">
        <f t="shared" si="6923"/>
        <v>0.0070</v>
      </c>
      <c r="R3426" s="1" t="s">
        <v>25</v>
      </c>
      <c r="T3426" s="1" t="str">
        <f t="shared" si="6924"/>
        <v>0</v>
      </c>
      <c r="U3426" s="1" t="str">
        <f t="shared" si="6984"/>
        <v>0.0070</v>
      </c>
    </row>
    <row r="3427" s="1" customFormat="1" spans="1:21">
      <c r="A3427" s="1" t="str">
        <f>"4601992065073"</f>
        <v>4601992065073</v>
      </c>
      <c r="B3427" s="1" t="s">
        <v>3450</v>
      </c>
      <c r="C3427" s="1" t="s">
        <v>24</v>
      </c>
      <c r="D3427" s="1" t="str">
        <f t="shared" si="6920"/>
        <v>2021</v>
      </c>
      <c r="E3427" s="1" t="str">
        <f t="shared" ref="E3427:I3427" si="6990">"0"</f>
        <v>0</v>
      </c>
      <c r="F3427" s="1" t="str">
        <f t="shared" si="6990"/>
        <v>0</v>
      </c>
      <c r="G3427" s="1" t="str">
        <f t="shared" si="6990"/>
        <v>0</v>
      </c>
      <c r="H3427" s="1" t="str">
        <f t="shared" si="6990"/>
        <v>0</v>
      </c>
      <c r="I3427" s="1" t="str">
        <f t="shared" si="6990"/>
        <v>0</v>
      </c>
      <c r="J3427" s="1" t="str">
        <f>"7"</f>
        <v>7</v>
      </c>
      <c r="K3427" s="1" t="str">
        <f t="shared" ref="K3427:P3427" si="6991">"0"</f>
        <v>0</v>
      </c>
      <c r="L3427" s="1" t="str">
        <f t="shared" si="6991"/>
        <v>0</v>
      </c>
      <c r="M3427" s="1" t="str">
        <f t="shared" si="6991"/>
        <v>0</v>
      </c>
      <c r="N3427" s="1" t="str">
        <f t="shared" si="6991"/>
        <v>0</v>
      </c>
      <c r="O3427" s="1" t="str">
        <f t="shared" si="6991"/>
        <v>0</v>
      </c>
      <c r="P3427" s="1" t="str">
        <f t="shared" si="6991"/>
        <v>0</v>
      </c>
      <c r="Q3427" s="1" t="str">
        <f t="shared" si="6923"/>
        <v>0.0070</v>
      </c>
      <c r="R3427" s="1" t="s">
        <v>25</v>
      </c>
      <c r="T3427" s="1" t="str">
        <f t="shared" si="6924"/>
        <v>0</v>
      </c>
      <c r="U3427" s="1" t="str">
        <f t="shared" si="6984"/>
        <v>0.0070</v>
      </c>
    </row>
    <row r="3428" s="1" customFormat="1" spans="1:21">
      <c r="A3428" s="1" t="str">
        <f>"4601992065121"</f>
        <v>4601992065121</v>
      </c>
      <c r="B3428" s="1" t="s">
        <v>3451</v>
      </c>
      <c r="C3428" s="1" t="s">
        <v>24</v>
      </c>
      <c r="D3428" s="1" t="str">
        <f t="shared" si="6920"/>
        <v>2021</v>
      </c>
      <c r="E3428" s="1" t="str">
        <f>"241.80"</f>
        <v>241.80</v>
      </c>
      <c r="F3428" s="1" t="str">
        <f t="shared" ref="F3428:I3428" si="6992">"0"</f>
        <v>0</v>
      </c>
      <c r="G3428" s="1" t="str">
        <f t="shared" si="6992"/>
        <v>0</v>
      </c>
      <c r="H3428" s="1" t="str">
        <f t="shared" si="6992"/>
        <v>0</v>
      </c>
      <c r="I3428" s="1" t="str">
        <f t="shared" si="6992"/>
        <v>0</v>
      </c>
      <c r="J3428" s="1" t="str">
        <f>"26"</f>
        <v>26</v>
      </c>
      <c r="K3428" s="1" t="str">
        <f t="shared" ref="K3428:P3428" si="6993">"0"</f>
        <v>0</v>
      </c>
      <c r="L3428" s="1" t="str">
        <f t="shared" si="6993"/>
        <v>0</v>
      </c>
      <c r="M3428" s="1" t="str">
        <f t="shared" si="6993"/>
        <v>0</v>
      </c>
      <c r="N3428" s="1" t="str">
        <f t="shared" si="6993"/>
        <v>0</v>
      </c>
      <c r="O3428" s="1" t="str">
        <f t="shared" si="6993"/>
        <v>0</v>
      </c>
      <c r="P3428" s="1" t="str">
        <f t="shared" si="6993"/>
        <v>0</v>
      </c>
      <c r="Q3428" s="1" t="str">
        <f t="shared" si="6923"/>
        <v>0.0070</v>
      </c>
      <c r="R3428" s="1" t="s">
        <v>29</v>
      </c>
      <c r="S3428" s="1">
        <v>-0.0014</v>
      </c>
      <c r="T3428" s="1" t="str">
        <f t="shared" si="6924"/>
        <v>0</v>
      </c>
      <c r="U3428" s="1" t="str">
        <f t="shared" ref="U3428:U3430" si="6994">"0.0056"</f>
        <v>0.0056</v>
      </c>
    </row>
    <row r="3429" s="1" customFormat="1" spans="1:21">
      <c r="A3429" s="1" t="str">
        <f>"4601992065129"</f>
        <v>4601992065129</v>
      </c>
      <c r="B3429" s="1" t="s">
        <v>3452</v>
      </c>
      <c r="C3429" s="1" t="s">
        <v>24</v>
      </c>
      <c r="D3429" s="1" t="str">
        <f t="shared" si="6920"/>
        <v>2021</v>
      </c>
      <c r="E3429" s="1" t="str">
        <f>"62.36"</f>
        <v>62.36</v>
      </c>
      <c r="F3429" s="1" t="str">
        <f t="shared" ref="F3429:I3429" si="6995">"0"</f>
        <v>0</v>
      </c>
      <c r="G3429" s="1" t="str">
        <f t="shared" si="6995"/>
        <v>0</v>
      </c>
      <c r="H3429" s="1" t="str">
        <f t="shared" si="6995"/>
        <v>0</v>
      </c>
      <c r="I3429" s="1" t="str">
        <f t="shared" si="6995"/>
        <v>0</v>
      </c>
      <c r="J3429" s="1" t="str">
        <f>"7"</f>
        <v>7</v>
      </c>
      <c r="K3429" s="1" t="str">
        <f t="shared" ref="K3429:P3429" si="6996">"0"</f>
        <v>0</v>
      </c>
      <c r="L3429" s="1" t="str">
        <f t="shared" si="6996"/>
        <v>0</v>
      </c>
      <c r="M3429" s="1" t="str">
        <f t="shared" si="6996"/>
        <v>0</v>
      </c>
      <c r="N3429" s="1" t="str">
        <f t="shared" si="6996"/>
        <v>0</v>
      </c>
      <c r="O3429" s="1" t="str">
        <f t="shared" si="6996"/>
        <v>0</v>
      </c>
      <c r="P3429" s="1" t="str">
        <f t="shared" si="6996"/>
        <v>0</v>
      </c>
      <c r="Q3429" s="1" t="str">
        <f t="shared" si="6923"/>
        <v>0.0070</v>
      </c>
      <c r="R3429" s="1" t="s">
        <v>29</v>
      </c>
      <c r="S3429" s="1">
        <v>-0.0014</v>
      </c>
      <c r="T3429" s="1" t="str">
        <f t="shared" si="6924"/>
        <v>0</v>
      </c>
      <c r="U3429" s="1" t="str">
        <f t="shared" si="6994"/>
        <v>0.0056</v>
      </c>
    </row>
    <row r="3430" s="1" customFormat="1" spans="1:21">
      <c r="A3430" s="1" t="str">
        <f>"4601992065155"</f>
        <v>4601992065155</v>
      </c>
      <c r="B3430" s="1" t="s">
        <v>3453</v>
      </c>
      <c r="C3430" s="1" t="s">
        <v>24</v>
      </c>
      <c r="D3430" s="1" t="str">
        <f t="shared" si="6920"/>
        <v>2021</v>
      </c>
      <c r="E3430" s="1" t="str">
        <f>"14.00"</f>
        <v>14.00</v>
      </c>
      <c r="F3430" s="1" t="str">
        <f t="shared" ref="F3430:I3430" si="6997">"0"</f>
        <v>0</v>
      </c>
      <c r="G3430" s="1" t="str">
        <f t="shared" si="6997"/>
        <v>0</v>
      </c>
      <c r="H3430" s="1" t="str">
        <f t="shared" si="6997"/>
        <v>0</v>
      </c>
      <c r="I3430" s="1" t="str">
        <f t="shared" si="6997"/>
        <v>0</v>
      </c>
      <c r="J3430" s="1" t="str">
        <f>"1"</f>
        <v>1</v>
      </c>
      <c r="K3430" s="1" t="str">
        <f t="shared" ref="K3430:P3430" si="6998">"0"</f>
        <v>0</v>
      </c>
      <c r="L3430" s="1" t="str">
        <f t="shared" si="6998"/>
        <v>0</v>
      </c>
      <c r="M3430" s="1" t="str">
        <f t="shared" si="6998"/>
        <v>0</v>
      </c>
      <c r="N3430" s="1" t="str">
        <f t="shared" si="6998"/>
        <v>0</v>
      </c>
      <c r="O3430" s="1" t="str">
        <f t="shared" si="6998"/>
        <v>0</v>
      </c>
      <c r="P3430" s="1" t="str">
        <f t="shared" si="6998"/>
        <v>0</v>
      </c>
      <c r="Q3430" s="1" t="str">
        <f t="shared" si="6923"/>
        <v>0.0070</v>
      </c>
      <c r="R3430" s="1" t="s">
        <v>29</v>
      </c>
      <c r="S3430" s="1">
        <v>-0.0014</v>
      </c>
      <c r="T3430" s="1" t="str">
        <f t="shared" si="6924"/>
        <v>0</v>
      </c>
      <c r="U3430" s="1" t="str">
        <f t="shared" si="6994"/>
        <v>0.0056</v>
      </c>
    </row>
    <row r="3431" s="1" customFormat="1" spans="1:21">
      <c r="A3431" s="1" t="str">
        <f>"4601992065226"</f>
        <v>4601992065226</v>
      </c>
      <c r="B3431" s="1" t="s">
        <v>3454</v>
      </c>
      <c r="C3431" s="1" t="s">
        <v>24</v>
      </c>
      <c r="D3431" s="1" t="str">
        <f t="shared" si="6920"/>
        <v>2021</v>
      </c>
      <c r="E3431" s="1" t="str">
        <f t="shared" ref="E3431:P3431" si="6999">"0"</f>
        <v>0</v>
      </c>
      <c r="F3431" s="1" t="str">
        <f t="shared" si="6999"/>
        <v>0</v>
      </c>
      <c r="G3431" s="1" t="str">
        <f t="shared" si="6999"/>
        <v>0</v>
      </c>
      <c r="H3431" s="1" t="str">
        <f t="shared" si="6999"/>
        <v>0</v>
      </c>
      <c r="I3431" s="1" t="str">
        <f t="shared" si="6999"/>
        <v>0</v>
      </c>
      <c r="J3431" s="1" t="str">
        <f t="shared" si="6999"/>
        <v>0</v>
      </c>
      <c r="K3431" s="1" t="str">
        <f t="shared" si="6999"/>
        <v>0</v>
      </c>
      <c r="L3431" s="1" t="str">
        <f t="shared" si="6999"/>
        <v>0</v>
      </c>
      <c r="M3431" s="1" t="str">
        <f t="shared" si="6999"/>
        <v>0</v>
      </c>
      <c r="N3431" s="1" t="str">
        <f t="shared" si="6999"/>
        <v>0</v>
      </c>
      <c r="O3431" s="1" t="str">
        <f t="shared" si="6999"/>
        <v>0</v>
      </c>
      <c r="P3431" s="1" t="str">
        <f t="shared" si="6999"/>
        <v>0</v>
      </c>
      <c r="Q3431" s="1" t="str">
        <f t="shared" si="6923"/>
        <v>0.0070</v>
      </c>
      <c r="R3431" s="1" t="s">
        <v>25</v>
      </c>
      <c r="T3431" s="1" t="str">
        <f t="shared" si="6924"/>
        <v>0</v>
      </c>
      <c r="U3431" s="1" t="str">
        <f t="shared" ref="U3431:U3434" si="7000">"0.0070"</f>
        <v>0.0070</v>
      </c>
    </row>
    <row r="3432" s="1" customFormat="1" spans="1:21">
      <c r="A3432" s="1" t="str">
        <f>"4601992065182"</f>
        <v>4601992065182</v>
      </c>
      <c r="B3432" s="1" t="s">
        <v>3455</v>
      </c>
      <c r="C3432" s="1" t="s">
        <v>24</v>
      </c>
      <c r="D3432" s="1" t="str">
        <f t="shared" si="6920"/>
        <v>2021</v>
      </c>
      <c r="E3432" s="1" t="str">
        <f>"11.98"</f>
        <v>11.98</v>
      </c>
      <c r="F3432" s="1" t="str">
        <f t="shared" ref="F3432:I3432" si="7001">"0"</f>
        <v>0</v>
      </c>
      <c r="G3432" s="1" t="str">
        <f t="shared" si="7001"/>
        <v>0</v>
      </c>
      <c r="H3432" s="1" t="str">
        <f t="shared" si="7001"/>
        <v>0</v>
      </c>
      <c r="I3432" s="1" t="str">
        <f t="shared" si="7001"/>
        <v>0</v>
      </c>
      <c r="J3432" s="1" t="str">
        <f>"1"</f>
        <v>1</v>
      </c>
      <c r="K3432" s="1" t="str">
        <f t="shared" ref="K3432:P3432" si="7002">"0"</f>
        <v>0</v>
      </c>
      <c r="L3432" s="1" t="str">
        <f t="shared" si="7002"/>
        <v>0</v>
      </c>
      <c r="M3432" s="1" t="str">
        <f t="shared" si="7002"/>
        <v>0</v>
      </c>
      <c r="N3432" s="1" t="str">
        <f t="shared" si="7002"/>
        <v>0</v>
      </c>
      <c r="O3432" s="1" t="str">
        <f t="shared" si="7002"/>
        <v>0</v>
      </c>
      <c r="P3432" s="1" t="str">
        <f t="shared" si="7002"/>
        <v>0</v>
      </c>
      <c r="Q3432" s="1" t="str">
        <f t="shared" si="6923"/>
        <v>0.0070</v>
      </c>
      <c r="R3432" s="1" t="s">
        <v>25</v>
      </c>
      <c r="T3432" s="1" t="str">
        <f t="shared" si="6924"/>
        <v>0</v>
      </c>
      <c r="U3432" s="1" t="str">
        <f t="shared" si="7000"/>
        <v>0.0070</v>
      </c>
    </row>
    <row r="3433" s="1" customFormat="1" spans="1:21">
      <c r="A3433" s="1" t="str">
        <f>"4601992065173"</f>
        <v>4601992065173</v>
      </c>
      <c r="B3433" s="1" t="s">
        <v>3456</v>
      </c>
      <c r="C3433" s="1" t="s">
        <v>24</v>
      </c>
      <c r="D3433" s="1" t="str">
        <f t="shared" si="6920"/>
        <v>2021</v>
      </c>
      <c r="E3433" s="1" t="str">
        <f>"24.18"</f>
        <v>24.18</v>
      </c>
      <c r="F3433" s="1" t="str">
        <f t="shared" ref="F3433:I3433" si="7003">"0"</f>
        <v>0</v>
      </c>
      <c r="G3433" s="1" t="str">
        <f t="shared" si="7003"/>
        <v>0</v>
      </c>
      <c r="H3433" s="1" t="str">
        <f t="shared" si="7003"/>
        <v>0</v>
      </c>
      <c r="I3433" s="1" t="str">
        <f t="shared" si="7003"/>
        <v>0</v>
      </c>
      <c r="J3433" s="1" t="str">
        <f>"2"</f>
        <v>2</v>
      </c>
      <c r="K3433" s="1" t="str">
        <f t="shared" ref="K3433:P3433" si="7004">"0"</f>
        <v>0</v>
      </c>
      <c r="L3433" s="1" t="str">
        <f t="shared" si="7004"/>
        <v>0</v>
      </c>
      <c r="M3433" s="1" t="str">
        <f t="shared" si="7004"/>
        <v>0</v>
      </c>
      <c r="N3433" s="1" t="str">
        <f t="shared" si="7004"/>
        <v>0</v>
      </c>
      <c r="O3433" s="1" t="str">
        <f t="shared" si="7004"/>
        <v>0</v>
      </c>
      <c r="P3433" s="1" t="str">
        <f t="shared" si="7004"/>
        <v>0</v>
      </c>
      <c r="Q3433" s="1" t="str">
        <f t="shared" si="6923"/>
        <v>0.0070</v>
      </c>
      <c r="R3433" s="1" t="s">
        <v>29</v>
      </c>
      <c r="S3433" s="1">
        <v>-0.0014</v>
      </c>
      <c r="T3433" s="1" t="str">
        <f t="shared" si="6924"/>
        <v>0</v>
      </c>
      <c r="U3433" s="1" t="str">
        <f t="shared" ref="U3433:U3439" si="7005">"0.0056"</f>
        <v>0.0056</v>
      </c>
    </row>
    <row r="3434" s="1" customFormat="1" spans="1:21">
      <c r="A3434" s="1" t="str">
        <f>"4601992065228"</f>
        <v>4601992065228</v>
      </c>
      <c r="B3434" s="1" t="s">
        <v>3457</v>
      </c>
      <c r="C3434" s="1" t="s">
        <v>24</v>
      </c>
      <c r="D3434" s="1" t="str">
        <f t="shared" si="6920"/>
        <v>2021</v>
      </c>
      <c r="E3434" s="1" t="str">
        <f t="shared" ref="E3434:P3434" si="7006">"0"</f>
        <v>0</v>
      </c>
      <c r="F3434" s="1" t="str">
        <f t="shared" si="7006"/>
        <v>0</v>
      </c>
      <c r="G3434" s="1" t="str">
        <f t="shared" si="7006"/>
        <v>0</v>
      </c>
      <c r="H3434" s="1" t="str">
        <f t="shared" si="7006"/>
        <v>0</v>
      </c>
      <c r="I3434" s="1" t="str">
        <f t="shared" si="7006"/>
        <v>0</v>
      </c>
      <c r="J3434" s="1" t="str">
        <f t="shared" si="7006"/>
        <v>0</v>
      </c>
      <c r="K3434" s="1" t="str">
        <f t="shared" si="7006"/>
        <v>0</v>
      </c>
      <c r="L3434" s="1" t="str">
        <f t="shared" si="7006"/>
        <v>0</v>
      </c>
      <c r="M3434" s="1" t="str">
        <f t="shared" si="7006"/>
        <v>0</v>
      </c>
      <c r="N3434" s="1" t="str">
        <f t="shared" si="7006"/>
        <v>0</v>
      </c>
      <c r="O3434" s="1" t="str">
        <f t="shared" si="7006"/>
        <v>0</v>
      </c>
      <c r="P3434" s="1" t="str">
        <f t="shared" si="7006"/>
        <v>0</v>
      </c>
      <c r="Q3434" s="1" t="str">
        <f t="shared" si="6923"/>
        <v>0.0070</v>
      </c>
      <c r="R3434" s="1" t="s">
        <v>25</v>
      </c>
      <c r="T3434" s="1" t="str">
        <f t="shared" si="6924"/>
        <v>0</v>
      </c>
      <c r="U3434" s="1" t="str">
        <f t="shared" si="7000"/>
        <v>0.0070</v>
      </c>
    </row>
    <row r="3435" s="1" customFormat="1" spans="1:21">
      <c r="A3435" s="1" t="str">
        <f>"4601992065245"</f>
        <v>4601992065245</v>
      </c>
      <c r="B3435" s="1" t="s">
        <v>3458</v>
      </c>
      <c r="C3435" s="1" t="s">
        <v>24</v>
      </c>
      <c r="D3435" s="1" t="str">
        <f t="shared" si="6920"/>
        <v>2021</v>
      </c>
      <c r="E3435" s="1" t="str">
        <f>"72.10"</f>
        <v>72.10</v>
      </c>
      <c r="F3435" s="1" t="str">
        <f t="shared" ref="F3435:I3435" si="7007">"0"</f>
        <v>0</v>
      </c>
      <c r="G3435" s="1" t="str">
        <f t="shared" si="7007"/>
        <v>0</v>
      </c>
      <c r="H3435" s="1" t="str">
        <f t="shared" si="7007"/>
        <v>0</v>
      </c>
      <c r="I3435" s="1" t="str">
        <f t="shared" si="7007"/>
        <v>0</v>
      </c>
      <c r="J3435" s="1" t="str">
        <f>"3"</f>
        <v>3</v>
      </c>
      <c r="K3435" s="1" t="str">
        <f t="shared" ref="K3435:P3435" si="7008">"0"</f>
        <v>0</v>
      </c>
      <c r="L3435" s="1" t="str">
        <f t="shared" si="7008"/>
        <v>0</v>
      </c>
      <c r="M3435" s="1" t="str">
        <f t="shared" si="7008"/>
        <v>0</v>
      </c>
      <c r="N3435" s="1" t="str">
        <f t="shared" si="7008"/>
        <v>0</v>
      </c>
      <c r="O3435" s="1" t="str">
        <f t="shared" si="7008"/>
        <v>0</v>
      </c>
      <c r="P3435" s="1" t="str">
        <f t="shared" si="7008"/>
        <v>0</v>
      </c>
      <c r="Q3435" s="1" t="str">
        <f t="shared" si="6923"/>
        <v>0.0070</v>
      </c>
      <c r="R3435" s="1" t="s">
        <v>29</v>
      </c>
      <c r="S3435" s="1">
        <v>-0.0014</v>
      </c>
      <c r="T3435" s="1" t="str">
        <f t="shared" si="6924"/>
        <v>0</v>
      </c>
      <c r="U3435" s="1" t="str">
        <f t="shared" si="7005"/>
        <v>0.0056</v>
      </c>
    </row>
    <row r="3436" s="1" customFormat="1" spans="1:21">
      <c r="A3436" s="1" t="str">
        <f>"4601992065259"</f>
        <v>4601992065259</v>
      </c>
      <c r="B3436" s="1" t="s">
        <v>3459</v>
      </c>
      <c r="C3436" s="1" t="s">
        <v>24</v>
      </c>
      <c r="D3436" s="1" t="str">
        <f t="shared" si="6920"/>
        <v>2021</v>
      </c>
      <c r="E3436" s="1" t="str">
        <f>"36.21"</f>
        <v>36.21</v>
      </c>
      <c r="F3436" s="1" t="str">
        <f t="shared" ref="F3436:I3436" si="7009">"0"</f>
        <v>0</v>
      </c>
      <c r="G3436" s="1" t="str">
        <f t="shared" si="7009"/>
        <v>0</v>
      </c>
      <c r="H3436" s="1" t="str">
        <f t="shared" si="7009"/>
        <v>0</v>
      </c>
      <c r="I3436" s="1" t="str">
        <f t="shared" si="7009"/>
        <v>0</v>
      </c>
      <c r="J3436" s="1" t="str">
        <f>"4"</f>
        <v>4</v>
      </c>
      <c r="K3436" s="1" t="str">
        <f t="shared" ref="K3436:P3436" si="7010">"0"</f>
        <v>0</v>
      </c>
      <c r="L3436" s="1" t="str">
        <f t="shared" si="7010"/>
        <v>0</v>
      </c>
      <c r="M3436" s="1" t="str">
        <f t="shared" si="7010"/>
        <v>0</v>
      </c>
      <c r="N3436" s="1" t="str">
        <f t="shared" si="7010"/>
        <v>0</v>
      </c>
      <c r="O3436" s="1" t="str">
        <f t="shared" si="7010"/>
        <v>0</v>
      </c>
      <c r="P3436" s="1" t="str">
        <f t="shared" si="7010"/>
        <v>0</v>
      </c>
      <c r="Q3436" s="1" t="str">
        <f t="shared" si="6923"/>
        <v>0.0070</v>
      </c>
      <c r="R3436" s="1" t="s">
        <v>29</v>
      </c>
      <c r="S3436" s="1">
        <v>-0.0014</v>
      </c>
      <c r="T3436" s="1" t="str">
        <f t="shared" si="6924"/>
        <v>0</v>
      </c>
      <c r="U3436" s="1" t="str">
        <f t="shared" si="7005"/>
        <v>0.0056</v>
      </c>
    </row>
    <row r="3437" s="1" customFormat="1" spans="1:21">
      <c r="A3437" s="1" t="str">
        <f>"4601992065266"</f>
        <v>4601992065266</v>
      </c>
      <c r="B3437" s="1" t="s">
        <v>3460</v>
      </c>
      <c r="C3437" s="1" t="s">
        <v>24</v>
      </c>
      <c r="D3437" s="1" t="str">
        <f t="shared" si="6920"/>
        <v>2021</v>
      </c>
      <c r="E3437" s="1" t="str">
        <f>"24.17"</f>
        <v>24.17</v>
      </c>
      <c r="F3437" s="1" t="str">
        <f t="shared" ref="F3437:I3437" si="7011">"0"</f>
        <v>0</v>
      </c>
      <c r="G3437" s="1" t="str">
        <f t="shared" si="7011"/>
        <v>0</v>
      </c>
      <c r="H3437" s="1" t="str">
        <f t="shared" si="7011"/>
        <v>0</v>
      </c>
      <c r="I3437" s="1" t="str">
        <f t="shared" si="7011"/>
        <v>0</v>
      </c>
      <c r="J3437" s="1" t="str">
        <f>"2"</f>
        <v>2</v>
      </c>
      <c r="K3437" s="1" t="str">
        <f t="shared" ref="K3437:P3437" si="7012">"0"</f>
        <v>0</v>
      </c>
      <c r="L3437" s="1" t="str">
        <f t="shared" si="7012"/>
        <v>0</v>
      </c>
      <c r="M3437" s="1" t="str">
        <f t="shared" si="7012"/>
        <v>0</v>
      </c>
      <c r="N3437" s="1" t="str">
        <f t="shared" si="7012"/>
        <v>0</v>
      </c>
      <c r="O3437" s="1" t="str">
        <f t="shared" si="7012"/>
        <v>0</v>
      </c>
      <c r="P3437" s="1" t="str">
        <f t="shared" si="7012"/>
        <v>0</v>
      </c>
      <c r="Q3437" s="1" t="str">
        <f t="shared" si="6923"/>
        <v>0.0070</v>
      </c>
      <c r="R3437" s="1" t="s">
        <v>29</v>
      </c>
      <c r="S3437" s="1">
        <v>-0.0014</v>
      </c>
      <c r="T3437" s="1" t="str">
        <f t="shared" si="6924"/>
        <v>0</v>
      </c>
      <c r="U3437" s="1" t="str">
        <f t="shared" si="7005"/>
        <v>0.0056</v>
      </c>
    </row>
    <row r="3438" s="1" customFormat="1" spans="1:21">
      <c r="A3438" s="1" t="str">
        <f>"4601992065264"</f>
        <v>4601992065264</v>
      </c>
      <c r="B3438" s="1" t="s">
        <v>3461</v>
      </c>
      <c r="C3438" s="1" t="s">
        <v>24</v>
      </c>
      <c r="D3438" s="1" t="str">
        <f t="shared" si="6920"/>
        <v>2021</v>
      </c>
      <c r="E3438" s="1" t="str">
        <f>"203.66"</f>
        <v>203.66</v>
      </c>
      <c r="F3438" s="1" t="str">
        <f t="shared" ref="F3438:I3438" si="7013">"0"</f>
        <v>0</v>
      </c>
      <c r="G3438" s="1" t="str">
        <f t="shared" si="7013"/>
        <v>0</v>
      </c>
      <c r="H3438" s="1" t="str">
        <f t="shared" si="7013"/>
        <v>0</v>
      </c>
      <c r="I3438" s="1" t="str">
        <f t="shared" si="7013"/>
        <v>0</v>
      </c>
      <c r="J3438" s="1" t="str">
        <f>"16"</f>
        <v>16</v>
      </c>
      <c r="K3438" s="1" t="str">
        <f t="shared" ref="K3438:P3438" si="7014">"0"</f>
        <v>0</v>
      </c>
      <c r="L3438" s="1" t="str">
        <f t="shared" si="7014"/>
        <v>0</v>
      </c>
      <c r="M3438" s="1" t="str">
        <f t="shared" si="7014"/>
        <v>0</v>
      </c>
      <c r="N3438" s="1" t="str">
        <f t="shared" si="7014"/>
        <v>0</v>
      </c>
      <c r="O3438" s="1" t="str">
        <f t="shared" si="7014"/>
        <v>0</v>
      </c>
      <c r="P3438" s="1" t="str">
        <f t="shared" si="7014"/>
        <v>0</v>
      </c>
      <c r="Q3438" s="1" t="str">
        <f t="shared" si="6923"/>
        <v>0.0070</v>
      </c>
      <c r="R3438" s="1" t="s">
        <v>29</v>
      </c>
      <c r="S3438" s="1">
        <v>-0.0014</v>
      </c>
      <c r="T3438" s="1" t="str">
        <f t="shared" si="6924"/>
        <v>0</v>
      </c>
      <c r="U3438" s="1" t="str">
        <f t="shared" si="7005"/>
        <v>0.0056</v>
      </c>
    </row>
    <row r="3439" s="1" customFormat="1" spans="1:21">
      <c r="A3439" s="1" t="str">
        <f>"4601992065265"</f>
        <v>4601992065265</v>
      </c>
      <c r="B3439" s="1" t="s">
        <v>3462</v>
      </c>
      <c r="C3439" s="1" t="s">
        <v>24</v>
      </c>
      <c r="D3439" s="1" t="str">
        <f t="shared" si="6920"/>
        <v>2021</v>
      </c>
      <c r="E3439" s="1" t="str">
        <f>"27.30"</f>
        <v>27.30</v>
      </c>
      <c r="F3439" s="1" t="str">
        <f t="shared" ref="F3439:I3439" si="7015">"0"</f>
        <v>0</v>
      </c>
      <c r="G3439" s="1" t="str">
        <f t="shared" si="7015"/>
        <v>0</v>
      </c>
      <c r="H3439" s="1" t="str">
        <f t="shared" si="7015"/>
        <v>0</v>
      </c>
      <c r="I3439" s="1" t="str">
        <f t="shared" si="7015"/>
        <v>0</v>
      </c>
      <c r="J3439" s="1" t="str">
        <f>"3"</f>
        <v>3</v>
      </c>
      <c r="K3439" s="1" t="str">
        <f t="shared" ref="K3439:P3439" si="7016">"0"</f>
        <v>0</v>
      </c>
      <c r="L3439" s="1" t="str">
        <f t="shared" si="7016"/>
        <v>0</v>
      </c>
      <c r="M3439" s="1" t="str">
        <f t="shared" si="7016"/>
        <v>0</v>
      </c>
      <c r="N3439" s="1" t="str">
        <f t="shared" si="7016"/>
        <v>0</v>
      </c>
      <c r="O3439" s="1" t="str">
        <f t="shared" si="7016"/>
        <v>0</v>
      </c>
      <c r="P3439" s="1" t="str">
        <f t="shared" si="7016"/>
        <v>0</v>
      </c>
      <c r="Q3439" s="1" t="str">
        <f t="shared" si="6923"/>
        <v>0.0070</v>
      </c>
      <c r="R3439" s="1" t="s">
        <v>29</v>
      </c>
      <c r="S3439" s="1">
        <v>-0.0014</v>
      </c>
      <c r="T3439" s="1" t="str">
        <f t="shared" si="6924"/>
        <v>0</v>
      </c>
      <c r="U3439" s="1" t="str">
        <f t="shared" si="7005"/>
        <v>0.0056</v>
      </c>
    </row>
    <row r="3440" s="1" customFormat="1" spans="1:21">
      <c r="A3440" s="1" t="str">
        <f>"4601992065295"</f>
        <v>4601992065295</v>
      </c>
      <c r="B3440" s="1" t="s">
        <v>3463</v>
      </c>
      <c r="C3440" s="1" t="s">
        <v>24</v>
      </c>
      <c r="D3440" s="1" t="str">
        <f t="shared" si="6920"/>
        <v>2021</v>
      </c>
      <c r="E3440" s="1" t="str">
        <f t="shared" ref="E3440:P3440" si="7017">"0"</f>
        <v>0</v>
      </c>
      <c r="F3440" s="1" t="str">
        <f t="shared" si="7017"/>
        <v>0</v>
      </c>
      <c r="G3440" s="1" t="str">
        <f t="shared" si="7017"/>
        <v>0</v>
      </c>
      <c r="H3440" s="1" t="str">
        <f t="shared" si="7017"/>
        <v>0</v>
      </c>
      <c r="I3440" s="1" t="str">
        <f t="shared" si="7017"/>
        <v>0</v>
      </c>
      <c r="J3440" s="1" t="str">
        <f t="shared" si="7017"/>
        <v>0</v>
      </c>
      <c r="K3440" s="1" t="str">
        <f t="shared" si="7017"/>
        <v>0</v>
      </c>
      <c r="L3440" s="1" t="str">
        <f t="shared" si="7017"/>
        <v>0</v>
      </c>
      <c r="M3440" s="1" t="str">
        <f t="shared" si="7017"/>
        <v>0</v>
      </c>
      <c r="N3440" s="1" t="str">
        <f t="shared" si="7017"/>
        <v>0</v>
      </c>
      <c r="O3440" s="1" t="str">
        <f t="shared" si="7017"/>
        <v>0</v>
      </c>
      <c r="P3440" s="1" t="str">
        <f t="shared" si="7017"/>
        <v>0</v>
      </c>
      <c r="Q3440" s="1" t="str">
        <f t="shared" si="6923"/>
        <v>0.0070</v>
      </c>
      <c r="R3440" s="1" t="s">
        <v>25</v>
      </c>
      <c r="T3440" s="1" t="str">
        <f t="shared" si="6924"/>
        <v>0</v>
      </c>
      <c r="U3440" s="1" t="str">
        <f t="shared" ref="U3440:U3445" si="7018">"0.0070"</f>
        <v>0.0070</v>
      </c>
    </row>
    <row r="3441" s="1" customFormat="1" spans="1:21">
      <c r="A3441" s="1" t="str">
        <f>"4601992065284"</f>
        <v>4601992065284</v>
      </c>
      <c r="B3441" s="1" t="s">
        <v>3464</v>
      </c>
      <c r="C3441" s="1" t="s">
        <v>24</v>
      </c>
      <c r="D3441" s="1" t="str">
        <f t="shared" si="6920"/>
        <v>2021</v>
      </c>
      <c r="E3441" s="1" t="str">
        <f t="shared" ref="E3441:I3441" si="7019">"0"</f>
        <v>0</v>
      </c>
      <c r="F3441" s="1" t="str">
        <f t="shared" si="7019"/>
        <v>0</v>
      </c>
      <c r="G3441" s="1" t="str">
        <f t="shared" si="7019"/>
        <v>0</v>
      </c>
      <c r="H3441" s="1" t="str">
        <f t="shared" si="7019"/>
        <v>0</v>
      </c>
      <c r="I3441" s="1" t="str">
        <f t="shared" si="7019"/>
        <v>0</v>
      </c>
      <c r="J3441" s="1" t="str">
        <f>"1"</f>
        <v>1</v>
      </c>
      <c r="K3441" s="1" t="str">
        <f t="shared" ref="K3441:P3441" si="7020">"0"</f>
        <v>0</v>
      </c>
      <c r="L3441" s="1" t="str">
        <f t="shared" si="7020"/>
        <v>0</v>
      </c>
      <c r="M3441" s="1" t="str">
        <f t="shared" si="7020"/>
        <v>0</v>
      </c>
      <c r="N3441" s="1" t="str">
        <f t="shared" si="7020"/>
        <v>0</v>
      </c>
      <c r="O3441" s="1" t="str">
        <f t="shared" si="7020"/>
        <v>0</v>
      </c>
      <c r="P3441" s="1" t="str">
        <f t="shared" si="7020"/>
        <v>0</v>
      </c>
      <c r="Q3441" s="1" t="str">
        <f t="shared" si="6923"/>
        <v>0.0070</v>
      </c>
      <c r="R3441" s="1" t="s">
        <v>25</v>
      </c>
      <c r="T3441" s="1" t="str">
        <f t="shared" si="6924"/>
        <v>0</v>
      </c>
      <c r="U3441" s="1" t="str">
        <f t="shared" si="7018"/>
        <v>0.0070</v>
      </c>
    </row>
    <row r="3442" s="1" customFormat="1" spans="1:21">
      <c r="A3442" s="1" t="str">
        <f>"4601992065270"</f>
        <v>4601992065270</v>
      </c>
      <c r="B3442" s="1" t="s">
        <v>3465</v>
      </c>
      <c r="C3442" s="1" t="s">
        <v>24</v>
      </c>
      <c r="D3442" s="1" t="str">
        <f t="shared" si="6920"/>
        <v>2021</v>
      </c>
      <c r="E3442" s="1" t="str">
        <f>"49.00"</f>
        <v>49.00</v>
      </c>
      <c r="F3442" s="1" t="str">
        <f t="shared" ref="F3442:I3442" si="7021">"0"</f>
        <v>0</v>
      </c>
      <c r="G3442" s="1" t="str">
        <f t="shared" si="7021"/>
        <v>0</v>
      </c>
      <c r="H3442" s="1" t="str">
        <f t="shared" si="7021"/>
        <v>0</v>
      </c>
      <c r="I3442" s="1" t="str">
        <f t="shared" si="7021"/>
        <v>0</v>
      </c>
      <c r="J3442" s="1" t="str">
        <f>"9"</f>
        <v>9</v>
      </c>
      <c r="K3442" s="1" t="str">
        <f t="shared" ref="K3442:P3442" si="7022">"0"</f>
        <v>0</v>
      </c>
      <c r="L3442" s="1" t="str">
        <f t="shared" si="7022"/>
        <v>0</v>
      </c>
      <c r="M3442" s="1" t="str">
        <f t="shared" si="7022"/>
        <v>0</v>
      </c>
      <c r="N3442" s="1" t="str">
        <f t="shared" si="7022"/>
        <v>0</v>
      </c>
      <c r="O3442" s="1" t="str">
        <f t="shared" si="7022"/>
        <v>0</v>
      </c>
      <c r="P3442" s="1" t="str">
        <f t="shared" si="7022"/>
        <v>0</v>
      </c>
      <c r="Q3442" s="1" t="str">
        <f t="shared" si="6923"/>
        <v>0.0070</v>
      </c>
      <c r="R3442" s="1" t="s">
        <v>29</v>
      </c>
      <c r="S3442" s="1">
        <v>-0.0014</v>
      </c>
      <c r="T3442" s="1" t="str">
        <f t="shared" si="6924"/>
        <v>0</v>
      </c>
      <c r="U3442" s="1" t="str">
        <f t="shared" ref="U3442:U3446" si="7023">"0.0056"</f>
        <v>0.0056</v>
      </c>
    </row>
    <row r="3443" s="1" customFormat="1" spans="1:21">
      <c r="A3443" s="1" t="str">
        <f>"4601992065318"</f>
        <v>4601992065318</v>
      </c>
      <c r="B3443" s="1" t="s">
        <v>3466</v>
      </c>
      <c r="C3443" s="1" t="s">
        <v>24</v>
      </c>
      <c r="D3443" s="1" t="str">
        <f t="shared" si="6920"/>
        <v>2021</v>
      </c>
      <c r="E3443" s="1" t="str">
        <f>"42.00"</f>
        <v>42.00</v>
      </c>
      <c r="F3443" s="1" t="str">
        <f t="shared" ref="F3443:I3443" si="7024">"0"</f>
        <v>0</v>
      </c>
      <c r="G3443" s="1" t="str">
        <f t="shared" si="7024"/>
        <v>0</v>
      </c>
      <c r="H3443" s="1" t="str">
        <f t="shared" si="7024"/>
        <v>0</v>
      </c>
      <c r="I3443" s="1" t="str">
        <f t="shared" si="7024"/>
        <v>0</v>
      </c>
      <c r="J3443" s="1" t="str">
        <f>"3"</f>
        <v>3</v>
      </c>
      <c r="K3443" s="1" t="str">
        <f t="shared" ref="K3443:P3443" si="7025">"0"</f>
        <v>0</v>
      </c>
      <c r="L3443" s="1" t="str">
        <f t="shared" si="7025"/>
        <v>0</v>
      </c>
      <c r="M3443" s="1" t="str">
        <f t="shared" si="7025"/>
        <v>0</v>
      </c>
      <c r="N3443" s="1" t="str">
        <f t="shared" si="7025"/>
        <v>0</v>
      </c>
      <c r="O3443" s="1" t="str">
        <f t="shared" si="7025"/>
        <v>0</v>
      </c>
      <c r="P3443" s="1" t="str">
        <f t="shared" si="7025"/>
        <v>0</v>
      </c>
      <c r="Q3443" s="1" t="str">
        <f t="shared" si="6923"/>
        <v>0.0070</v>
      </c>
      <c r="R3443" s="1" t="s">
        <v>29</v>
      </c>
      <c r="S3443" s="1">
        <v>-0.0014</v>
      </c>
      <c r="T3443" s="1" t="str">
        <f t="shared" si="6924"/>
        <v>0</v>
      </c>
      <c r="U3443" s="1" t="str">
        <f t="shared" si="7023"/>
        <v>0.0056</v>
      </c>
    </row>
    <row r="3444" s="1" customFormat="1" spans="1:21">
      <c r="A3444" s="1" t="str">
        <f>"4601992065353"</f>
        <v>4601992065353</v>
      </c>
      <c r="B3444" s="1" t="s">
        <v>3467</v>
      </c>
      <c r="C3444" s="1" t="s">
        <v>24</v>
      </c>
      <c r="D3444" s="1" t="str">
        <f t="shared" si="6920"/>
        <v>2021</v>
      </c>
      <c r="E3444" s="1" t="str">
        <f t="shared" ref="E3444:P3444" si="7026">"0"</f>
        <v>0</v>
      </c>
      <c r="F3444" s="1" t="str">
        <f t="shared" si="7026"/>
        <v>0</v>
      </c>
      <c r="G3444" s="1" t="str">
        <f t="shared" si="7026"/>
        <v>0</v>
      </c>
      <c r="H3444" s="1" t="str">
        <f t="shared" si="7026"/>
        <v>0</v>
      </c>
      <c r="I3444" s="1" t="str">
        <f t="shared" si="7026"/>
        <v>0</v>
      </c>
      <c r="J3444" s="1" t="str">
        <f t="shared" si="7026"/>
        <v>0</v>
      </c>
      <c r="K3444" s="1" t="str">
        <f t="shared" si="7026"/>
        <v>0</v>
      </c>
      <c r="L3444" s="1" t="str">
        <f t="shared" si="7026"/>
        <v>0</v>
      </c>
      <c r="M3444" s="1" t="str">
        <f t="shared" si="7026"/>
        <v>0</v>
      </c>
      <c r="N3444" s="1" t="str">
        <f t="shared" si="7026"/>
        <v>0</v>
      </c>
      <c r="O3444" s="1" t="str">
        <f t="shared" si="7026"/>
        <v>0</v>
      </c>
      <c r="P3444" s="1" t="str">
        <f t="shared" si="7026"/>
        <v>0</v>
      </c>
      <c r="Q3444" s="1" t="str">
        <f t="shared" si="6923"/>
        <v>0.0070</v>
      </c>
      <c r="R3444" s="1" t="s">
        <v>25</v>
      </c>
      <c r="T3444" s="1" t="str">
        <f t="shared" si="6924"/>
        <v>0</v>
      </c>
      <c r="U3444" s="1" t="str">
        <f t="shared" si="7018"/>
        <v>0.0070</v>
      </c>
    </row>
    <row r="3445" s="1" customFormat="1" spans="1:21">
      <c r="A3445" s="1" t="str">
        <f>"4601992065328"</f>
        <v>4601992065328</v>
      </c>
      <c r="B3445" s="1" t="s">
        <v>3468</v>
      </c>
      <c r="C3445" s="1" t="s">
        <v>24</v>
      </c>
      <c r="D3445" s="1" t="str">
        <f t="shared" si="6920"/>
        <v>2021</v>
      </c>
      <c r="E3445" s="1" t="str">
        <f t="shared" ref="E3445:I3445" si="7027">"0"</f>
        <v>0</v>
      </c>
      <c r="F3445" s="1" t="str">
        <f t="shared" si="7027"/>
        <v>0</v>
      </c>
      <c r="G3445" s="1" t="str">
        <f t="shared" si="7027"/>
        <v>0</v>
      </c>
      <c r="H3445" s="1" t="str">
        <f t="shared" si="7027"/>
        <v>0</v>
      </c>
      <c r="I3445" s="1" t="str">
        <f t="shared" si="7027"/>
        <v>0</v>
      </c>
      <c r="J3445" s="1" t="str">
        <f>"3"</f>
        <v>3</v>
      </c>
      <c r="K3445" s="1" t="str">
        <f t="shared" ref="K3445:P3445" si="7028">"0"</f>
        <v>0</v>
      </c>
      <c r="L3445" s="1" t="str">
        <f t="shared" si="7028"/>
        <v>0</v>
      </c>
      <c r="M3445" s="1" t="str">
        <f t="shared" si="7028"/>
        <v>0</v>
      </c>
      <c r="N3445" s="1" t="str">
        <f t="shared" si="7028"/>
        <v>0</v>
      </c>
      <c r="O3445" s="1" t="str">
        <f t="shared" si="7028"/>
        <v>0</v>
      </c>
      <c r="P3445" s="1" t="str">
        <f t="shared" si="7028"/>
        <v>0</v>
      </c>
      <c r="Q3445" s="1" t="str">
        <f t="shared" si="6923"/>
        <v>0.0070</v>
      </c>
      <c r="R3445" s="1" t="s">
        <v>25</v>
      </c>
      <c r="T3445" s="1" t="str">
        <f t="shared" si="6924"/>
        <v>0</v>
      </c>
      <c r="U3445" s="1" t="str">
        <f t="shared" si="7018"/>
        <v>0.0070</v>
      </c>
    </row>
    <row r="3446" s="1" customFormat="1" spans="1:21">
      <c r="A3446" s="1" t="str">
        <f>"4601992065344"</f>
        <v>4601992065344</v>
      </c>
      <c r="B3446" s="1" t="s">
        <v>3469</v>
      </c>
      <c r="C3446" s="1" t="s">
        <v>24</v>
      </c>
      <c r="D3446" s="1" t="str">
        <f t="shared" si="6920"/>
        <v>2021</v>
      </c>
      <c r="E3446" s="1" t="str">
        <f>"13.30"</f>
        <v>13.30</v>
      </c>
      <c r="F3446" s="1" t="str">
        <f t="shared" ref="F3446:I3446" si="7029">"0"</f>
        <v>0</v>
      </c>
      <c r="G3446" s="1" t="str">
        <f t="shared" si="7029"/>
        <v>0</v>
      </c>
      <c r="H3446" s="1" t="str">
        <f t="shared" si="7029"/>
        <v>0</v>
      </c>
      <c r="I3446" s="1" t="str">
        <f t="shared" si="7029"/>
        <v>0</v>
      </c>
      <c r="J3446" s="1" t="str">
        <f>"1"</f>
        <v>1</v>
      </c>
      <c r="K3446" s="1" t="str">
        <f t="shared" ref="K3446:P3446" si="7030">"0"</f>
        <v>0</v>
      </c>
      <c r="L3446" s="1" t="str">
        <f t="shared" si="7030"/>
        <v>0</v>
      </c>
      <c r="M3446" s="1" t="str">
        <f t="shared" si="7030"/>
        <v>0</v>
      </c>
      <c r="N3446" s="1" t="str">
        <f t="shared" si="7030"/>
        <v>0</v>
      </c>
      <c r="O3446" s="1" t="str">
        <f t="shared" si="7030"/>
        <v>0</v>
      </c>
      <c r="P3446" s="1" t="str">
        <f t="shared" si="7030"/>
        <v>0</v>
      </c>
      <c r="Q3446" s="1" t="str">
        <f t="shared" si="6923"/>
        <v>0.0070</v>
      </c>
      <c r="R3446" s="1" t="s">
        <v>29</v>
      </c>
      <c r="S3446" s="1">
        <v>-0.0014</v>
      </c>
      <c r="T3446" s="1" t="str">
        <f t="shared" si="6924"/>
        <v>0</v>
      </c>
      <c r="U3446" s="1" t="str">
        <f t="shared" si="7023"/>
        <v>0.0056</v>
      </c>
    </row>
    <row r="3447" s="1" customFormat="1" spans="1:21">
      <c r="A3447" s="1" t="str">
        <f>"4601992065421"</f>
        <v>4601992065421</v>
      </c>
      <c r="B3447" s="1" t="s">
        <v>3470</v>
      </c>
      <c r="C3447" s="1" t="s">
        <v>24</v>
      </c>
      <c r="D3447" s="1" t="str">
        <f t="shared" si="6920"/>
        <v>2021</v>
      </c>
      <c r="E3447" s="1" t="str">
        <f t="shared" ref="E3447:P3447" si="7031">"0"</f>
        <v>0</v>
      </c>
      <c r="F3447" s="1" t="str">
        <f t="shared" si="7031"/>
        <v>0</v>
      </c>
      <c r="G3447" s="1" t="str">
        <f t="shared" si="7031"/>
        <v>0</v>
      </c>
      <c r="H3447" s="1" t="str">
        <f t="shared" si="7031"/>
        <v>0</v>
      </c>
      <c r="I3447" s="1" t="str">
        <f t="shared" si="7031"/>
        <v>0</v>
      </c>
      <c r="J3447" s="1" t="str">
        <f t="shared" si="7031"/>
        <v>0</v>
      </c>
      <c r="K3447" s="1" t="str">
        <f t="shared" si="7031"/>
        <v>0</v>
      </c>
      <c r="L3447" s="1" t="str">
        <f t="shared" si="7031"/>
        <v>0</v>
      </c>
      <c r="M3447" s="1" t="str">
        <f t="shared" si="7031"/>
        <v>0</v>
      </c>
      <c r="N3447" s="1" t="str">
        <f t="shared" si="7031"/>
        <v>0</v>
      </c>
      <c r="O3447" s="1" t="str">
        <f t="shared" si="7031"/>
        <v>0</v>
      </c>
      <c r="P3447" s="1" t="str">
        <f t="shared" si="7031"/>
        <v>0</v>
      </c>
      <c r="Q3447" s="1" t="str">
        <f t="shared" si="6923"/>
        <v>0.0070</v>
      </c>
      <c r="R3447" s="1" t="s">
        <v>25</v>
      </c>
      <c r="T3447" s="1" t="str">
        <f t="shared" si="6924"/>
        <v>0</v>
      </c>
      <c r="U3447" s="1" t="str">
        <f>"0.0070"</f>
        <v>0.0070</v>
      </c>
    </row>
    <row r="3448" s="1" customFormat="1" spans="1:21">
      <c r="A3448" s="1" t="str">
        <f>"4601992065412"</f>
        <v>4601992065412</v>
      </c>
      <c r="B3448" s="1" t="s">
        <v>3471</v>
      </c>
      <c r="C3448" s="1" t="s">
        <v>24</v>
      </c>
      <c r="D3448" s="1" t="str">
        <f t="shared" si="6920"/>
        <v>2021</v>
      </c>
      <c r="E3448" s="1" t="str">
        <f>"23.96"</f>
        <v>23.96</v>
      </c>
      <c r="F3448" s="1" t="str">
        <f t="shared" ref="F3448:I3448" si="7032">"0"</f>
        <v>0</v>
      </c>
      <c r="G3448" s="1" t="str">
        <f t="shared" si="7032"/>
        <v>0</v>
      </c>
      <c r="H3448" s="1" t="str">
        <f t="shared" si="7032"/>
        <v>0</v>
      </c>
      <c r="I3448" s="1" t="str">
        <f t="shared" si="7032"/>
        <v>0</v>
      </c>
      <c r="J3448" s="1" t="str">
        <f>"2"</f>
        <v>2</v>
      </c>
      <c r="K3448" s="1" t="str">
        <f t="shared" ref="K3448:P3448" si="7033">"0"</f>
        <v>0</v>
      </c>
      <c r="L3448" s="1" t="str">
        <f t="shared" si="7033"/>
        <v>0</v>
      </c>
      <c r="M3448" s="1" t="str">
        <f t="shared" si="7033"/>
        <v>0</v>
      </c>
      <c r="N3448" s="1" t="str">
        <f t="shared" si="7033"/>
        <v>0</v>
      </c>
      <c r="O3448" s="1" t="str">
        <f t="shared" si="7033"/>
        <v>0</v>
      </c>
      <c r="P3448" s="1" t="str">
        <f t="shared" si="7033"/>
        <v>0</v>
      </c>
      <c r="Q3448" s="1" t="str">
        <f t="shared" si="6923"/>
        <v>0.0070</v>
      </c>
      <c r="R3448" s="1" t="s">
        <v>29</v>
      </c>
      <c r="S3448" s="1">
        <v>-0.0014</v>
      </c>
      <c r="T3448" s="1" t="str">
        <f t="shared" si="6924"/>
        <v>0</v>
      </c>
      <c r="U3448" s="1" t="str">
        <f t="shared" ref="U3448:U3453" si="7034">"0.0056"</f>
        <v>0.0056</v>
      </c>
    </row>
    <row r="3449" s="1" customFormat="1" spans="1:21">
      <c r="A3449" s="1" t="str">
        <f>"4601992065500"</f>
        <v>4601992065500</v>
      </c>
      <c r="B3449" s="1" t="s">
        <v>3472</v>
      </c>
      <c r="C3449" s="1" t="s">
        <v>24</v>
      </c>
      <c r="D3449" s="1" t="str">
        <f t="shared" si="6920"/>
        <v>2021</v>
      </c>
      <c r="E3449" s="1" t="str">
        <f>"48.46"</f>
        <v>48.46</v>
      </c>
      <c r="F3449" s="1" t="str">
        <f t="shared" ref="F3449:I3449" si="7035">"0"</f>
        <v>0</v>
      </c>
      <c r="G3449" s="1" t="str">
        <f t="shared" si="7035"/>
        <v>0</v>
      </c>
      <c r="H3449" s="1" t="str">
        <f t="shared" si="7035"/>
        <v>0</v>
      </c>
      <c r="I3449" s="1" t="str">
        <f t="shared" si="7035"/>
        <v>0</v>
      </c>
      <c r="J3449" s="1" t="str">
        <f>"4"</f>
        <v>4</v>
      </c>
      <c r="K3449" s="1" t="str">
        <f t="shared" ref="K3449:P3449" si="7036">"0"</f>
        <v>0</v>
      </c>
      <c r="L3449" s="1" t="str">
        <f t="shared" si="7036"/>
        <v>0</v>
      </c>
      <c r="M3449" s="1" t="str">
        <f t="shared" si="7036"/>
        <v>0</v>
      </c>
      <c r="N3449" s="1" t="str">
        <f t="shared" si="7036"/>
        <v>0</v>
      </c>
      <c r="O3449" s="1" t="str">
        <f t="shared" si="7036"/>
        <v>0</v>
      </c>
      <c r="P3449" s="1" t="str">
        <f t="shared" si="7036"/>
        <v>0</v>
      </c>
      <c r="Q3449" s="1" t="str">
        <f t="shared" si="6923"/>
        <v>0.0070</v>
      </c>
      <c r="R3449" s="1" t="s">
        <v>29</v>
      </c>
      <c r="S3449" s="1">
        <v>-0.0014</v>
      </c>
      <c r="T3449" s="1" t="str">
        <f t="shared" si="6924"/>
        <v>0</v>
      </c>
      <c r="U3449" s="1" t="str">
        <f t="shared" si="7034"/>
        <v>0.0056</v>
      </c>
    </row>
    <row r="3450" s="1" customFormat="1" spans="1:21">
      <c r="A3450" s="1" t="str">
        <f>"4601992065510"</f>
        <v>4601992065510</v>
      </c>
      <c r="B3450" s="1" t="s">
        <v>3473</v>
      </c>
      <c r="C3450" s="1" t="s">
        <v>24</v>
      </c>
      <c r="D3450" s="1" t="str">
        <f t="shared" si="6920"/>
        <v>2021</v>
      </c>
      <c r="E3450" s="1" t="str">
        <f>"11.98"</f>
        <v>11.98</v>
      </c>
      <c r="F3450" s="1" t="str">
        <f t="shared" ref="F3450:I3450" si="7037">"0"</f>
        <v>0</v>
      </c>
      <c r="G3450" s="1" t="str">
        <f t="shared" si="7037"/>
        <v>0</v>
      </c>
      <c r="H3450" s="1" t="str">
        <f t="shared" si="7037"/>
        <v>0</v>
      </c>
      <c r="I3450" s="1" t="str">
        <f t="shared" si="7037"/>
        <v>0</v>
      </c>
      <c r="J3450" s="1" t="str">
        <f t="shared" ref="J3450:J3454" si="7038">"1"</f>
        <v>1</v>
      </c>
      <c r="K3450" s="1" t="str">
        <f t="shared" ref="K3450:P3450" si="7039">"0"</f>
        <v>0</v>
      </c>
      <c r="L3450" s="1" t="str">
        <f t="shared" si="7039"/>
        <v>0</v>
      </c>
      <c r="M3450" s="1" t="str">
        <f t="shared" si="7039"/>
        <v>0</v>
      </c>
      <c r="N3450" s="1" t="str">
        <f t="shared" si="7039"/>
        <v>0</v>
      </c>
      <c r="O3450" s="1" t="str">
        <f t="shared" si="7039"/>
        <v>0</v>
      </c>
      <c r="P3450" s="1" t="str">
        <f t="shared" si="7039"/>
        <v>0</v>
      </c>
      <c r="Q3450" s="1" t="str">
        <f t="shared" si="6923"/>
        <v>0.0070</v>
      </c>
      <c r="R3450" s="1" t="s">
        <v>29</v>
      </c>
      <c r="S3450" s="1">
        <v>-0.0014</v>
      </c>
      <c r="T3450" s="1" t="str">
        <f t="shared" si="6924"/>
        <v>0</v>
      </c>
      <c r="U3450" s="1" t="str">
        <f t="shared" si="7034"/>
        <v>0.0056</v>
      </c>
    </row>
    <row r="3451" s="1" customFormat="1" spans="1:21">
      <c r="A3451" s="1" t="str">
        <f>"4601992065514"</f>
        <v>4601992065514</v>
      </c>
      <c r="B3451" s="1" t="s">
        <v>3474</v>
      </c>
      <c r="C3451" s="1" t="s">
        <v>24</v>
      </c>
      <c r="D3451" s="1" t="str">
        <f t="shared" si="6920"/>
        <v>2021</v>
      </c>
      <c r="E3451" s="1" t="str">
        <f>"35.94"</f>
        <v>35.94</v>
      </c>
      <c r="F3451" s="1" t="str">
        <f t="shared" ref="F3451:I3451" si="7040">"0"</f>
        <v>0</v>
      </c>
      <c r="G3451" s="1" t="str">
        <f t="shared" si="7040"/>
        <v>0</v>
      </c>
      <c r="H3451" s="1" t="str">
        <f t="shared" si="7040"/>
        <v>0</v>
      </c>
      <c r="I3451" s="1" t="str">
        <f t="shared" si="7040"/>
        <v>0</v>
      </c>
      <c r="J3451" s="1" t="str">
        <f>"4"</f>
        <v>4</v>
      </c>
      <c r="K3451" s="1" t="str">
        <f t="shared" ref="K3451:P3451" si="7041">"0"</f>
        <v>0</v>
      </c>
      <c r="L3451" s="1" t="str">
        <f t="shared" si="7041"/>
        <v>0</v>
      </c>
      <c r="M3451" s="1" t="str">
        <f t="shared" si="7041"/>
        <v>0</v>
      </c>
      <c r="N3451" s="1" t="str">
        <f t="shared" si="7041"/>
        <v>0</v>
      </c>
      <c r="O3451" s="1" t="str">
        <f t="shared" si="7041"/>
        <v>0</v>
      </c>
      <c r="P3451" s="1" t="str">
        <f t="shared" si="7041"/>
        <v>0</v>
      </c>
      <c r="Q3451" s="1" t="str">
        <f t="shared" si="6923"/>
        <v>0.0070</v>
      </c>
      <c r="R3451" s="1" t="s">
        <v>29</v>
      </c>
      <c r="S3451" s="1">
        <v>-0.0014</v>
      </c>
      <c r="T3451" s="1" t="str">
        <f t="shared" si="6924"/>
        <v>0</v>
      </c>
      <c r="U3451" s="1" t="str">
        <f t="shared" si="7034"/>
        <v>0.0056</v>
      </c>
    </row>
    <row r="3452" s="1" customFormat="1" spans="1:21">
      <c r="A3452" s="1" t="str">
        <f>"4601992065528"</f>
        <v>4601992065528</v>
      </c>
      <c r="B3452" s="1" t="s">
        <v>3475</v>
      </c>
      <c r="C3452" s="1" t="s">
        <v>24</v>
      </c>
      <c r="D3452" s="1" t="str">
        <f t="shared" si="6920"/>
        <v>2021</v>
      </c>
      <c r="E3452" s="1" t="str">
        <f>"59.96"</f>
        <v>59.96</v>
      </c>
      <c r="F3452" s="1" t="str">
        <f t="shared" ref="F3452:I3452" si="7042">"0"</f>
        <v>0</v>
      </c>
      <c r="G3452" s="1" t="str">
        <f t="shared" si="7042"/>
        <v>0</v>
      </c>
      <c r="H3452" s="1" t="str">
        <f t="shared" si="7042"/>
        <v>0</v>
      </c>
      <c r="I3452" s="1" t="str">
        <f t="shared" si="7042"/>
        <v>0</v>
      </c>
      <c r="J3452" s="1" t="str">
        <f>"8"</f>
        <v>8</v>
      </c>
      <c r="K3452" s="1" t="str">
        <f t="shared" ref="K3452:P3452" si="7043">"0"</f>
        <v>0</v>
      </c>
      <c r="L3452" s="1" t="str">
        <f t="shared" si="7043"/>
        <v>0</v>
      </c>
      <c r="M3452" s="1" t="str">
        <f t="shared" si="7043"/>
        <v>0</v>
      </c>
      <c r="N3452" s="1" t="str">
        <f t="shared" si="7043"/>
        <v>0</v>
      </c>
      <c r="O3452" s="1" t="str">
        <f t="shared" si="7043"/>
        <v>0</v>
      </c>
      <c r="P3452" s="1" t="str">
        <f t="shared" si="7043"/>
        <v>0</v>
      </c>
      <c r="Q3452" s="1" t="str">
        <f t="shared" si="6923"/>
        <v>0.0070</v>
      </c>
      <c r="R3452" s="1" t="s">
        <v>29</v>
      </c>
      <c r="S3452" s="1">
        <v>-0.0014</v>
      </c>
      <c r="T3452" s="1" t="str">
        <f t="shared" si="6924"/>
        <v>0</v>
      </c>
      <c r="U3452" s="1" t="str">
        <f t="shared" si="7034"/>
        <v>0.0056</v>
      </c>
    </row>
    <row r="3453" s="1" customFormat="1" spans="1:21">
      <c r="A3453" s="1" t="str">
        <f>"4601992065537"</f>
        <v>4601992065537</v>
      </c>
      <c r="B3453" s="1" t="s">
        <v>3476</v>
      </c>
      <c r="C3453" s="1" t="s">
        <v>24</v>
      </c>
      <c r="D3453" s="1" t="str">
        <f t="shared" si="6920"/>
        <v>2021</v>
      </c>
      <c r="E3453" s="1" t="str">
        <f>"12.25"</f>
        <v>12.25</v>
      </c>
      <c r="F3453" s="1" t="str">
        <f t="shared" ref="F3453:I3453" si="7044">"0"</f>
        <v>0</v>
      </c>
      <c r="G3453" s="1" t="str">
        <f t="shared" si="7044"/>
        <v>0</v>
      </c>
      <c r="H3453" s="1" t="str">
        <f t="shared" si="7044"/>
        <v>0</v>
      </c>
      <c r="I3453" s="1" t="str">
        <f t="shared" si="7044"/>
        <v>0</v>
      </c>
      <c r="J3453" s="1" t="str">
        <f t="shared" si="7038"/>
        <v>1</v>
      </c>
      <c r="K3453" s="1" t="str">
        <f t="shared" ref="K3453:P3453" si="7045">"0"</f>
        <v>0</v>
      </c>
      <c r="L3453" s="1" t="str">
        <f t="shared" si="7045"/>
        <v>0</v>
      </c>
      <c r="M3453" s="1" t="str">
        <f t="shared" si="7045"/>
        <v>0</v>
      </c>
      <c r="N3453" s="1" t="str">
        <f t="shared" si="7045"/>
        <v>0</v>
      </c>
      <c r="O3453" s="1" t="str">
        <f t="shared" si="7045"/>
        <v>0</v>
      </c>
      <c r="P3453" s="1" t="str">
        <f t="shared" si="7045"/>
        <v>0</v>
      </c>
      <c r="Q3453" s="1" t="str">
        <f t="shared" si="6923"/>
        <v>0.0070</v>
      </c>
      <c r="R3453" s="1" t="s">
        <v>29</v>
      </c>
      <c r="S3453" s="1">
        <v>-0.0014</v>
      </c>
      <c r="T3453" s="1" t="str">
        <f t="shared" si="6924"/>
        <v>0</v>
      </c>
      <c r="U3453" s="1" t="str">
        <f t="shared" si="7034"/>
        <v>0.0056</v>
      </c>
    </row>
    <row r="3454" s="1" customFormat="1" spans="1:21">
      <c r="A3454" s="1" t="str">
        <f>"4601992065538"</f>
        <v>4601992065538</v>
      </c>
      <c r="B3454" s="1" t="s">
        <v>3477</v>
      </c>
      <c r="C3454" s="1" t="s">
        <v>24</v>
      </c>
      <c r="D3454" s="1" t="str">
        <f t="shared" si="6920"/>
        <v>2021</v>
      </c>
      <c r="E3454" s="1" t="str">
        <f>"23.96"</f>
        <v>23.96</v>
      </c>
      <c r="F3454" s="1" t="str">
        <f t="shared" ref="F3454:I3454" si="7046">"0"</f>
        <v>0</v>
      </c>
      <c r="G3454" s="1" t="str">
        <f t="shared" si="7046"/>
        <v>0</v>
      </c>
      <c r="H3454" s="1" t="str">
        <f t="shared" si="7046"/>
        <v>0</v>
      </c>
      <c r="I3454" s="1" t="str">
        <f t="shared" si="7046"/>
        <v>0</v>
      </c>
      <c r="J3454" s="1" t="str">
        <f t="shared" si="7038"/>
        <v>1</v>
      </c>
      <c r="K3454" s="1" t="str">
        <f t="shared" ref="K3454:P3454" si="7047">"0"</f>
        <v>0</v>
      </c>
      <c r="L3454" s="1" t="str">
        <f t="shared" si="7047"/>
        <v>0</v>
      </c>
      <c r="M3454" s="1" t="str">
        <f t="shared" si="7047"/>
        <v>0</v>
      </c>
      <c r="N3454" s="1" t="str">
        <f t="shared" si="7047"/>
        <v>0</v>
      </c>
      <c r="O3454" s="1" t="str">
        <f t="shared" si="7047"/>
        <v>0</v>
      </c>
      <c r="P3454" s="1" t="str">
        <f t="shared" si="7047"/>
        <v>0</v>
      </c>
      <c r="Q3454" s="1" t="str">
        <f t="shared" si="6923"/>
        <v>0.0070</v>
      </c>
      <c r="R3454" s="1" t="s">
        <v>25</v>
      </c>
      <c r="T3454" s="1" t="str">
        <f t="shared" si="6924"/>
        <v>0</v>
      </c>
      <c r="U3454" s="1" t="str">
        <f t="shared" ref="U3454:U3461" si="7048">"0.0070"</f>
        <v>0.0070</v>
      </c>
    </row>
    <row r="3455" s="1" customFormat="1" spans="1:21">
      <c r="A3455" s="1" t="str">
        <f>"4601992065576"</f>
        <v>4601992065576</v>
      </c>
      <c r="B3455" s="1" t="s">
        <v>3478</v>
      </c>
      <c r="C3455" s="1" t="s">
        <v>24</v>
      </c>
      <c r="D3455" s="1" t="str">
        <f t="shared" si="6920"/>
        <v>2021</v>
      </c>
      <c r="E3455" s="1" t="str">
        <f>"23.96"</f>
        <v>23.96</v>
      </c>
      <c r="F3455" s="1" t="str">
        <f t="shared" ref="F3455:I3455" si="7049">"0"</f>
        <v>0</v>
      </c>
      <c r="G3455" s="1" t="str">
        <f t="shared" si="7049"/>
        <v>0</v>
      </c>
      <c r="H3455" s="1" t="str">
        <f t="shared" si="7049"/>
        <v>0</v>
      </c>
      <c r="I3455" s="1" t="str">
        <f t="shared" si="7049"/>
        <v>0</v>
      </c>
      <c r="J3455" s="1" t="str">
        <f>"2"</f>
        <v>2</v>
      </c>
      <c r="K3455" s="1" t="str">
        <f t="shared" ref="K3455:P3455" si="7050">"0"</f>
        <v>0</v>
      </c>
      <c r="L3455" s="1" t="str">
        <f t="shared" si="7050"/>
        <v>0</v>
      </c>
      <c r="M3455" s="1" t="str">
        <f t="shared" si="7050"/>
        <v>0</v>
      </c>
      <c r="N3455" s="1" t="str">
        <f t="shared" si="7050"/>
        <v>0</v>
      </c>
      <c r="O3455" s="1" t="str">
        <f t="shared" si="7050"/>
        <v>0</v>
      </c>
      <c r="P3455" s="1" t="str">
        <f t="shared" si="7050"/>
        <v>0</v>
      </c>
      <c r="Q3455" s="1" t="str">
        <f t="shared" si="6923"/>
        <v>0.0070</v>
      </c>
      <c r="R3455" s="1" t="s">
        <v>25</v>
      </c>
      <c r="T3455" s="1" t="str">
        <f t="shared" si="6924"/>
        <v>0</v>
      </c>
      <c r="U3455" s="1" t="str">
        <f t="shared" si="7048"/>
        <v>0.0070</v>
      </c>
    </row>
    <row r="3456" s="1" customFormat="1" spans="1:21">
      <c r="A3456" s="1" t="str">
        <f>"4601992065586"</f>
        <v>4601992065586</v>
      </c>
      <c r="B3456" s="1" t="s">
        <v>3479</v>
      </c>
      <c r="C3456" s="1" t="s">
        <v>24</v>
      </c>
      <c r="D3456" s="1" t="str">
        <f t="shared" si="6920"/>
        <v>2021</v>
      </c>
      <c r="E3456" s="1" t="str">
        <f>"36.15"</f>
        <v>36.15</v>
      </c>
      <c r="F3456" s="1" t="str">
        <f t="shared" ref="F3456:I3456" si="7051">"0"</f>
        <v>0</v>
      </c>
      <c r="G3456" s="1" t="str">
        <f t="shared" si="7051"/>
        <v>0</v>
      </c>
      <c r="H3456" s="1" t="str">
        <f t="shared" si="7051"/>
        <v>0</v>
      </c>
      <c r="I3456" s="1" t="str">
        <f t="shared" si="7051"/>
        <v>0</v>
      </c>
      <c r="J3456" s="1" t="str">
        <f>"4"</f>
        <v>4</v>
      </c>
      <c r="K3456" s="1" t="str">
        <f t="shared" ref="K3456:P3456" si="7052">"0"</f>
        <v>0</v>
      </c>
      <c r="L3456" s="1" t="str">
        <f t="shared" si="7052"/>
        <v>0</v>
      </c>
      <c r="M3456" s="1" t="str">
        <f t="shared" si="7052"/>
        <v>0</v>
      </c>
      <c r="N3456" s="1" t="str">
        <f t="shared" si="7052"/>
        <v>0</v>
      </c>
      <c r="O3456" s="1" t="str">
        <f t="shared" si="7052"/>
        <v>0</v>
      </c>
      <c r="P3456" s="1" t="str">
        <f t="shared" si="7052"/>
        <v>0</v>
      </c>
      <c r="Q3456" s="1" t="str">
        <f t="shared" si="6923"/>
        <v>0.0070</v>
      </c>
      <c r="R3456" s="1" t="s">
        <v>29</v>
      </c>
      <c r="S3456" s="1">
        <v>-0.0014</v>
      </c>
      <c r="T3456" s="1" t="str">
        <f t="shared" si="6924"/>
        <v>0</v>
      </c>
      <c r="U3456" s="1" t="str">
        <f>"0.0056"</f>
        <v>0.0056</v>
      </c>
    </row>
    <row r="3457" s="1" customFormat="1" spans="1:21">
      <c r="A3457" s="1" t="str">
        <f>"4601992065544"</f>
        <v>4601992065544</v>
      </c>
      <c r="B3457" s="1" t="s">
        <v>3480</v>
      </c>
      <c r="C3457" s="1" t="s">
        <v>24</v>
      </c>
      <c r="D3457" s="1" t="str">
        <f t="shared" si="6920"/>
        <v>2021</v>
      </c>
      <c r="E3457" s="1" t="str">
        <f>"71.88"</f>
        <v>71.88</v>
      </c>
      <c r="F3457" s="1" t="str">
        <f t="shared" ref="F3457:I3457" si="7053">"0"</f>
        <v>0</v>
      </c>
      <c r="G3457" s="1" t="str">
        <f t="shared" si="7053"/>
        <v>0</v>
      </c>
      <c r="H3457" s="1" t="str">
        <f t="shared" si="7053"/>
        <v>0</v>
      </c>
      <c r="I3457" s="1" t="str">
        <f t="shared" si="7053"/>
        <v>0</v>
      </c>
      <c r="J3457" s="1" t="str">
        <f>"6"</f>
        <v>6</v>
      </c>
      <c r="K3457" s="1" t="str">
        <f t="shared" ref="K3457:P3457" si="7054">"0"</f>
        <v>0</v>
      </c>
      <c r="L3457" s="1" t="str">
        <f t="shared" si="7054"/>
        <v>0</v>
      </c>
      <c r="M3457" s="1" t="str">
        <f t="shared" si="7054"/>
        <v>0</v>
      </c>
      <c r="N3457" s="1" t="str">
        <f t="shared" si="7054"/>
        <v>0</v>
      </c>
      <c r="O3457" s="1" t="str">
        <f t="shared" si="7054"/>
        <v>0</v>
      </c>
      <c r="P3457" s="1" t="str">
        <f t="shared" si="7054"/>
        <v>0</v>
      </c>
      <c r="Q3457" s="1" t="str">
        <f t="shared" si="6923"/>
        <v>0.0070</v>
      </c>
      <c r="R3457" s="1" t="s">
        <v>29</v>
      </c>
      <c r="S3457" s="1">
        <v>-0.0014</v>
      </c>
      <c r="T3457" s="1" t="str">
        <f t="shared" si="6924"/>
        <v>0</v>
      </c>
      <c r="U3457" s="1" t="str">
        <f>"0.0056"</f>
        <v>0.0056</v>
      </c>
    </row>
    <row r="3458" s="1" customFormat="1" spans="1:21">
      <c r="A3458" s="1" t="str">
        <f>"4601992065595"</f>
        <v>4601992065595</v>
      </c>
      <c r="B3458" s="1" t="s">
        <v>3481</v>
      </c>
      <c r="C3458" s="1" t="s">
        <v>24</v>
      </c>
      <c r="D3458" s="1" t="str">
        <f t="shared" si="6920"/>
        <v>2021</v>
      </c>
      <c r="E3458" s="1" t="str">
        <f t="shared" ref="E3458:P3458" si="7055">"0"</f>
        <v>0</v>
      </c>
      <c r="F3458" s="1" t="str">
        <f t="shared" si="7055"/>
        <v>0</v>
      </c>
      <c r="G3458" s="1" t="str">
        <f t="shared" si="7055"/>
        <v>0</v>
      </c>
      <c r="H3458" s="1" t="str">
        <f t="shared" si="7055"/>
        <v>0</v>
      </c>
      <c r="I3458" s="1" t="str">
        <f t="shared" si="7055"/>
        <v>0</v>
      </c>
      <c r="J3458" s="1" t="str">
        <f t="shared" si="7055"/>
        <v>0</v>
      </c>
      <c r="K3458" s="1" t="str">
        <f t="shared" si="7055"/>
        <v>0</v>
      </c>
      <c r="L3458" s="1" t="str">
        <f t="shared" si="7055"/>
        <v>0</v>
      </c>
      <c r="M3458" s="1" t="str">
        <f t="shared" si="7055"/>
        <v>0</v>
      </c>
      <c r="N3458" s="1" t="str">
        <f t="shared" si="7055"/>
        <v>0</v>
      </c>
      <c r="O3458" s="1" t="str">
        <f t="shared" si="7055"/>
        <v>0</v>
      </c>
      <c r="P3458" s="1" t="str">
        <f t="shared" si="7055"/>
        <v>0</v>
      </c>
      <c r="Q3458" s="1" t="str">
        <f t="shared" si="6923"/>
        <v>0.0070</v>
      </c>
      <c r="R3458" s="1" t="s">
        <v>25</v>
      </c>
      <c r="T3458" s="1" t="str">
        <f t="shared" si="6924"/>
        <v>0</v>
      </c>
      <c r="U3458" s="1" t="str">
        <f t="shared" si="7048"/>
        <v>0.0070</v>
      </c>
    </row>
    <row r="3459" s="1" customFormat="1" spans="1:21">
      <c r="A3459" s="1" t="str">
        <f>"4601992065593"</f>
        <v>4601992065593</v>
      </c>
      <c r="B3459" s="1" t="s">
        <v>3482</v>
      </c>
      <c r="C3459" s="1" t="s">
        <v>24</v>
      </c>
      <c r="D3459" s="1" t="str">
        <f t="shared" ref="D3459:D3522" si="7056">"2021"</f>
        <v>2021</v>
      </c>
      <c r="E3459" s="1" t="str">
        <f t="shared" ref="E3459:I3459" si="7057">"0"</f>
        <v>0</v>
      </c>
      <c r="F3459" s="1" t="str">
        <f t="shared" si="7057"/>
        <v>0</v>
      </c>
      <c r="G3459" s="1" t="str">
        <f t="shared" si="7057"/>
        <v>0</v>
      </c>
      <c r="H3459" s="1" t="str">
        <f t="shared" si="7057"/>
        <v>0</v>
      </c>
      <c r="I3459" s="1" t="str">
        <f t="shared" si="7057"/>
        <v>0</v>
      </c>
      <c r="J3459" s="1" t="str">
        <f>"1"</f>
        <v>1</v>
      </c>
      <c r="K3459" s="1" t="str">
        <f t="shared" ref="K3459:P3459" si="7058">"0"</f>
        <v>0</v>
      </c>
      <c r="L3459" s="1" t="str">
        <f t="shared" si="7058"/>
        <v>0</v>
      </c>
      <c r="M3459" s="1" t="str">
        <f t="shared" si="7058"/>
        <v>0</v>
      </c>
      <c r="N3459" s="1" t="str">
        <f t="shared" si="7058"/>
        <v>0</v>
      </c>
      <c r="O3459" s="1" t="str">
        <f t="shared" si="7058"/>
        <v>0</v>
      </c>
      <c r="P3459" s="1" t="str">
        <f t="shared" si="7058"/>
        <v>0</v>
      </c>
      <c r="Q3459" s="1" t="str">
        <f t="shared" ref="Q3459:Q3522" si="7059">"0.0070"</f>
        <v>0.0070</v>
      </c>
      <c r="R3459" s="1" t="s">
        <v>25</v>
      </c>
      <c r="T3459" s="1" t="str">
        <f t="shared" ref="T3459:T3522" si="7060">"0"</f>
        <v>0</v>
      </c>
      <c r="U3459" s="1" t="str">
        <f t="shared" si="7048"/>
        <v>0.0070</v>
      </c>
    </row>
    <row r="3460" s="1" customFormat="1" spans="1:21">
      <c r="A3460" s="1" t="str">
        <f>"4601992065718"</f>
        <v>4601992065718</v>
      </c>
      <c r="B3460" s="1" t="s">
        <v>3483</v>
      </c>
      <c r="C3460" s="1" t="s">
        <v>24</v>
      </c>
      <c r="D3460" s="1" t="str">
        <f t="shared" si="7056"/>
        <v>2021</v>
      </c>
      <c r="E3460" s="1" t="str">
        <f t="shared" ref="E3460:P3460" si="7061">"0"</f>
        <v>0</v>
      </c>
      <c r="F3460" s="1" t="str">
        <f t="shared" si="7061"/>
        <v>0</v>
      </c>
      <c r="G3460" s="1" t="str">
        <f t="shared" si="7061"/>
        <v>0</v>
      </c>
      <c r="H3460" s="1" t="str">
        <f t="shared" si="7061"/>
        <v>0</v>
      </c>
      <c r="I3460" s="1" t="str">
        <f t="shared" si="7061"/>
        <v>0</v>
      </c>
      <c r="J3460" s="1" t="str">
        <f t="shared" si="7061"/>
        <v>0</v>
      </c>
      <c r="K3460" s="1" t="str">
        <f t="shared" si="7061"/>
        <v>0</v>
      </c>
      <c r="L3460" s="1" t="str">
        <f t="shared" si="7061"/>
        <v>0</v>
      </c>
      <c r="M3460" s="1" t="str">
        <f t="shared" si="7061"/>
        <v>0</v>
      </c>
      <c r="N3460" s="1" t="str">
        <f t="shared" si="7061"/>
        <v>0</v>
      </c>
      <c r="O3460" s="1" t="str">
        <f t="shared" si="7061"/>
        <v>0</v>
      </c>
      <c r="P3460" s="1" t="str">
        <f t="shared" si="7061"/>
        <v>0</v>
      </c>
      <c r="Q3460" s="1" t="str">
        <f t="shared" si="7059"/>
        <v>0.0070</v>
      </c>
      <c r="R3460" s="1" t="s">
        <v>25</v>
      </c>
      <c r="T3460" s="1" t="str">
        <f t="shared" si="7060"/>
        <v>0</v>
      </c>
      <c r="U3460" s="1" t="str">
        <f t="shared" si="7048"/>
        <v>0.0070</v>
      </c>
    </row>
    <row r="3461" s="1" customFormat="1" spans="1:21">
      <c r="A3461" s="1" t="str">
        <f>"4601992065705"</f>
        <v>4601992065705</v>
      </c>
      <c r="B3461" s="1" t="s">
        <v>3484</v>
      </c>
      <c r="C3461" s="1" t="s">
        <v>24</v>
      </c>
      <c r="D3461" s="1" t="str">
        <f t="shared" si="7056"/>
        <v>2021</v>
      </c>
      <c r="E3461" s="1" t="str">
        <f t="shared" ref="E3461:I3461" si="7062">"0"</f>
        <v>0</v>
      </c>
      <c r="F3461" s="1" t="str">
        <f t="shared" si="7062"/>
        <v>0</v>
      </c>
      <c r="G3461" s="1" t="str">
        <f t="shared" si="7062"/>
        <v>0</v>
      </c>
      <c r="H3461" s="1" t="str">
        <f t="shared" si="7062"/>
        <v>0</v>
      </c>
      <c r="I3461" s="1" t="str">
        <f t="shared" si="7062"/>
        <v>0</v>
      </c>
      <c r="J3461" s="1" t="str">
        <f>"4"</f>
        <v>4</v>
      </c>
      <c r="K3461" s="1" t="str">
        <f t="shared" ref="K3461:P3461" si="7063">"0"</f>
        <v>0</v>
      </c>
      <c r="L3461" s="1" t="str">
        <f t="shared" si="7063"/>
        <v>0</v>
      </c>
      <c r="M3461" s="1" t="str">
        <f t="shared" si="7063"/>
        <v>0</v>
      </c>
      <c r="N3461" s="1" t="str">
        <f t="shared" si="7063"/>
        <v>0</v>
      </c>
      <c r="O3461" s="1" t="str">
        <f t="shared" si="7063"/>
        <v>0</v>
      </c>
      <c r="P3461" s="1" t="str">
        <f t="shared" si="7063"/>
        <v>0</v>
      </c>
      <c r="Q3461" s="1" t="str">
        <f t="shared" si="7059"/>
        <v>0.0070</v>
      </c>
      <c r="R3461" s="1" t="s">
        <v>25</v>
      </c>
      <c r="T3461" s="1" t="str">
        <f t="shared" si="7060"/>
        <v>0</v>
      </c>
      <c r="U3461" s="1" t="str">
        <f t="shared" si="7048"/>
        <v>0.0070</v>
      </c>
    </row>
    <row r="3462" s="1" customFormat="1" spans="1:21">
      <c r="A3462" s="1" t="str">
        <f>"4601992065629"</f>
        <v>4601992065629</v>
      </c>
      <c r="B3462" s="1" t="s">
        <v>3485</v>
      </c>
      <c r="C3462" s="1" t="s">
        <v>24</v>
      </c>
      <c r="D3462" s="1" t="str">
        <f t="shared" si="7056"/>
        <v>2021</v>
      </c>
      <c r="E3462" s="1" t="str">
        <f>"82.92"</f>
        <v>82.92</v>
      </c>
      <c r="F3462" s="1" t="str">
        <f t="shared" ref="F3462:I3462" si="7064">"0"</f>
        <v>0</v>
      </c>
      <c r="G3462" s="1" t="str">
        <f t="shared" si="7064"/>
        <v>0</v>
      </c>
      <c r="H3462" s="1" t="str">
        <f t="shared" si="7064"/>
        <v>0</v>
      </c>
      <c r="I3462" s="1" t="str">
        <f t="shared" si="7064"/>
        <v>0</v>
      </c>
      <c r="J3462" s="1" t="str">
        <f t="shared" ref="J3462:J3466" si="7065">"2"</f>
        <v>2</v>
      </c>
      <c r="K3462" s="1" t="str">
        <f t="shared" ref="K3462:P3462" si="7066">"0"</f>
        <v>0</v>
      </c>
      <c r="L3462" s="1" t="str">
        <f t="shared" si="7066"/>
        <v>0</v>
      </c>
      <c r="M3462" s="1" t="str">
        <f t="shared" si="7066"/>
        <v>0</v>
      </c>
      <c r="N3462" s="1" t="str">
        <f t="shared" si="7066"/>
        <v>0</v>
      </c>
      <c r="O3462" s="1" t="str">
        <f t="shared" si="7066"/>
        <v>0</v>
      </c>
      <c r="P3462" s="1" t="str">
        <f t="shared" si="7066"/>
        <v>0</v>
      </c>
      <c r="Q3462" s="1" t="str">
        <f t="shared" si="7059"/>
        <v>0.0070</v>
      </c>
      <c r="R3462" s="1" t="s">
        <v>29</v>
      </c>
      <c r="S3462" s="1">
        <v>-0.0014</v>
      </c>
      <c r="T3462" s="1" t="str">
        <f t="shared" si="7060"/>
        <v>0</v>
      </c>
      <c r="U3462" s="1" t="str">
        <f>"0.0056"</f>
        <v>0.0056</v>
      </c>
    </row>
    <row r="3463" s="1" customFormat="1" spans="1:21">
      <c r="A3463" s="1" t="str">
        <f>"4601992065764"</f>
        <v>4601992065764</v>
      </c>
      <c r="B3463" s="1" t="s">
        <v>3486</v>
      </c>
      <c r="C3463" s="1" t="s">
        <v>24</v>
      </c>
      <c r="D3463" s="1" t="str">
        <f t="shared" si="7056"/>
        <v>2021</v>
      </c>
      <c r="E3463" s="1" t="str">
        <f t="shared" ref="E3463:G3463" si="7067">"0"</f>
        <v>0</v>
      </c>
      <c r="F3463" s="1" t="str">
        <f t="shared" si="7067"/>
        <v>0</v>
      </c>
      <c r="G3463" s="1" t="str">
        <f t="shared" si="7067"/>
        <v>0</v>
      </c>
      <c r="H3463" s="1" t="str">
        <f>"11.98"</f>
        <v>11.98</v>
      </c>
      <c r="I3463" s="1" t="str">
        <f t="shared" ref="I3463:P3463" si="7068">"0"</f>
        <v>0</v>
      </c>
      <c r="J3463" s="1" t="str">
        <f t="shared" si="7068"/>
        <v>0</v>
      </c>
      <c r="K3463" s="1" t="str">
        <f t="shared" si="7068"/>
        <v>0</v>
      </c>
      <c r="L3463" s="1" t="str">
        <f t="shared" si="7068"/>
        <v>0</v>
      </c>
      <c r="M3463" s="1" t="str">
        <f t="shared" si="7068"/>
        <v>0</v>
      </c>
      <c r="N3463" s="1" t="str">
        <f t="shared" si="7068"/>
        <v>0</v>
      </c>
      <c r="O3463" s="1" t="str">
        <f t="shared" si="7068"/>
        <v>0</v>
      </c>
      <c r="P3463" s="1" t="str">
        <f t="shared" si="7068"/>
        <v>0</v>
      </c>
      <c r="Q3463" s="1" t="str">
        <f t="shared" si="7059"/>
        <v>0.0070</v>
      </c>
      <c r="R3463" s="1" t="s">
        <v>25</v>
      </c>
      <c r="T3463" s="1" t="str">
        <f t="shared" si="7060"/>
        <v>0</v>
      </c>
      <c r="U3463" s="1" t="str">
        <f t="shared" ref="U3463:U3465" si="7069">"0.0070"</f>
        <v>0.0070</v>
      </c>
    </row>
    <row r="3464" s="1" customFormat="1" spans="1:21">
      <c r="A3464" s="1" t="str">
        <f>"4601992065728"</f>
        <v>4601992065728</v>
      </c>
      <c r="B3464" s="1" t="s">
        <v>3487</v>
      </c>
      <c r="C3464" s="1" t="s">
        <v>24</v>
      </c>
      <c r="D3464" s="1" t="str">
        <f t="shared" si="7056"/>
        <v>2021</v>
      </c>
      <c r="E3464" s="1" t="str">
        <f t="shared" ref="E3464:I3464" si="7070">"0"</f>
        <v>0</v>
      </c>
      <c r="F3464" s="1" t="str">
        <f t="shared" si="7070"/>
        <v>0</v>
      </c>
      <c r="G3464" s="1" t="str">
        <f t="shared" si="7070"/>
        <v>0</v>
      </c>
      <c r="H3464" s="1" t="str">
        <f t="shared" si="7070"/>
        <v>0</v>
      </c>
      <c r="I3464" s="1" t="str">
        <f t="shared" si="7070"/>
        <v>0</v>
      </c>
      <c r="J3464" s="1" t="str">
        <f t="shared" si="7065"/>
        <v>2</v>
      </c>
      <c r="K3464" s="1" t="str">
        <f t="shared" ref="K3464:P3464" si="7071">"0"</f>
        <v>0</v>
      </c>
      <c r="L3464" s="1" t="str">
        <f t="shared" si="7071"/>
        <v>0</v>
      </c>
      <c r="M3464" s="1" t="str">
        <f t="shared" si="7071"/>
        <v>0</v>
      </c>
      <c r="N3464" s="1" t="str">
        <f t="shared" si="7071"/>
        <v>0</v>
      </c>
      <c r="O3464" s="1" t="str">
        <f t="shared" si="7071"/>
        <v>0</v>
      </c>
      <c r="P3464" s="1" t="str">
        <f t="shared" si="7071"/>
        <v>0</v>
      </c>
      <c r="Q3464" s="1" t="str">
        <f t="shared" si="7059"/>
        <v>0.0070</v>
      </c>
      <c r="R3464" s="1" t="s">
        <v>25</v>
      </c>
      <c r="T3464" s="1" t="str">
        <f t="shared" si="7060"/>
        <v>0</v>
      </c>
      <c r="U3464" s="1" t="str">
        <f t="shared" si="7069"/>
        <v>0.0070</v>
      </c>
    </row>
    <row r="3465" s="1" customFormat="1" spans="1:21">
      <c r="A3465" s="1" t="str">
        <f>"4601992065813"</f>
        <v>4601992065813</v>
      </c>
      <c r="B3465" s="1" t="s">
        <v>3488</v>
      </c>
      <c r="C3465" s="1" t="s">
        <v>24</v>
      </c>
      <c r="D3465" s="1" t="str">
        <f t="shared" si="7056"/>
        <v>2021</v>
      </c>
      <c r="E3465" s="1" t="str">
        <f t="shared" ref="E3465:P3465" si="7072">"0"</f>
        <v>0</v>
      </c>
      <c r="F3465" s="1" t="str">
        <f t="shared" si="7072"/>
        <v>0</v>
      </c>
      <c r="G3465" s="1" t="str">
        <f t="shared" si="7072"/>
        <v>0</v>
      </c>
      <c r="H3465" s="1" t="str">
        <f t="shared" si="7072"/>
        <v>0</v>
      </c>
      <c r="I3465" s="1" t="str">
        <f t="shared" si="7072"/>
        <v>0</v>
      </c>
      <c r="J3465" s="1" t="str">
        <f t="shared" si="7072"/>
        <v>0</v>
      </c>
      <c r="K3465" s="1" t="str">
        <f t="shared" si="7072"/>
        <v>0</v>
      </c>
      <c r="L3465" s="1" t="str">
        <f t="shared" si="7072"/>
        <v>0</v>
      </c>
      <c r="M3465" s="1" t="str">
        <f t="shared" si="7072"/>
        <v>0</v>
      </c>
      <c r="N3465" s="1" t="str">
        <f t="shared" si="7072"/>
        <v>0</v>
      </c>
      <c r="O3465" s="1" t="str">
        <f t="shared" si="7072"/>
        <v>0</v>
      </c>
      <c r="P3465" s="1" t="str">
        <f t="shared" si="7072"/>
        <v>0</v>
      </c>
      <c r="Q3465" s="1" t="str">
        <f t="shared" si="7059"/>
        <v>0.0070</v>
      </c>
      <c r="R3465" s="1" t="s">
        <v>25</v>
      </c>
      <c r="T3465" s="1" t="str">
        <f t="shared" si="7060"/>
        <v>0</v>
      </c>
      <c r="U3465" s="1" t="str">
        <f t="shared" si="7069"/>
        <v>0.0070</v>
      </c>
    </row>
    <row r="3466" s="1" customFormat="1" spans="1:21">
      <c r="A3466" s="1" t="str">
        <f>"4601992065741"</f>
        <v>4601992065741</v>
      </c>
      <c r="B3466" s="1" t="s">
        <v>3489</v>
      </c>
      <c r="C3466" s="1" t="s">
        <v>24</v>
      </c>
      <c r="D3466" s="1" t="str">
        <f t="shared" si="7056"/>
        <v>2021</v>
      </c>
      <c r="E3466" s="1" t="str">
        <f>"23.96"</f>
        <v>23.96</v>
      </c>
      <c r="F3466" s="1" t="str">
        <f t="shared" ref="F3466:I3466" si="7073">"0"</f>
        <v>0</v>
      </c>
      <c r="G3466" s="1" t="str">
        <f t="shared" si="7073"/>
        <v>0</v>
      </c>
      <c r="H3466" s="1" t="str">
        <f t="shared" si="7073"/>
        <v>0</v>
      </c>
      <c r="I3466" s="1" t="str">
        <f t="shared" si="7073"/>
        <v>0</v>
      </c>
      <c r="J3466" s="1" t="str">
        <f t="shared" si="7065"/>
        <v>2</v>
      </c>
      <c r="K3466" s="1" t="str">
        <f t="shared" ref="K3466:P3466" si="7074">"0"</f>
        <v>0</v>
      </c>
      <c r="L3466" s="1" t="str">
        <f t="shared" si="7074"/>
        <v>0</v>
      </c>
      <c r="M3466" s="1" t="str">
        <f t="shared" si="7074"/>
        <v>0</v>
      </c>
      <c r="N3466" s="1" t="str">
        <f t="shared" si="7074"/>
        <v>0</v>
      </c>
      <c r="O3466" s="1" t="str">
        <f t="shared" si="7074"/>
        <v>0</v>
      </c>
      <c r="P3466" s="1" t="str">
        <f t="shared" si="7074"/>
        <v>0</v>
      </c>
      <c r="Q3466" s="1" t="str">
        <f t="shared" si="7059"/>
        <v>0.0070</v>
      </c>
      <c r="R3466" s="1" t="s">
        <v>29</v>
      </c>
      <c r="S3466" s="1">
        <v>-0.0014</v>
      </c>
      <c r="T3466" s="1" t="str">
        <f t="shared" si="7060"/>
        <v>0</v>
      </c>
      <c r="U3466" s="1" t="str">
        <f t="shared" ref="U3466:U3469" si="7075">"0.0056"</f>
        <v>0.0056</v>
      </c>
    </row>
    <row r="3467" s="1" customFormat="1" spans="1:21">
      <c r="A3467" s="1" t="str">
        <f>"4601992065842"</f>
        <v>4601992065842</v>
      </c>
      <c r="B3467" s="1" t="s">
        <v>3490</v>
      </c>
      <c r="C3467" s="1" t="s">
        <v>24</v>
      </c>
      <c r="D3467" s="1" t="str">
        <f t="shared" si="7056"/>
        <v>2021</v>
      </c>
      <c r="E3467" s="1" t="str">
        <f t="shared" ref="E3467:P3467" si="7076">"0"</f>
        <v>0</v>
      </c>
      <c r="F3467" s="1" t="str">
        <f t="shared" si="7076"/>
        <v>0</v>
      </c>
      <c r="G3467" s="1" t="str">
        <f t="shared" si="7076"/>
        <v>0</v>
      </c>
      <c r="H3467" s="1" t="str">
        <f t="shared" si="7076"/>
        <v>0</v>
      </c>
      <c r="I3467" s="1" t="str">
        <f t="shared" si="7076"/>
        <v>0</v>
      </c>
      <c r="J3467" s="1" t="str">
        <f t="shared" si="7076"/>
        <v>0</v>
      </c>
      <c r="K3467" s="1" t="str">
        <f t="shared" si="7076"/>
        <v>0</v>
      </c>
      <c r="L3467" s="1" t="str">
        <f t="shared" si="7076"/>
        <v>0</v>
      </c>
      <c r="M3467" s="1" t="str">
        <f t="shared" si="7076"/>
        <v>0</v>
      </c>
      <c r="N3467" s="1" t="str">
        <f t="shared" si="7076"/>
        <v>0</v>
      </c>
      <c r="O3467" s="1" t="str">
        <f t="shared" si="7076"/>
        <v>0</v>
      </c>
      <c r="P3467" s="1" t="str">
        <f t="shared" si="7076"/>
        <v>0</v>
      </c>
      <c r="Q3467" s="1" t="str">
        <f t="shared" si="7059"/>
        <v>0.0070</v>
      </c>
      <c r="R3467" s="1" t="s">
        <v>25</v>
      </c>
      <c r="T3467" s="1" t="str">
        <f t="shared" si="7060"/>
        <v>0</v>
      </c>
      <c r="U3467" s="1" t="str">
        <f>"0.0070"</f>
        <v>0.0070</v>
      </c>
    </row>
    <row r="3468" s="1" customFormat="1" spans="1:21">
      <c r="A3468" s="1" t="str">
        <f>"4601992065844"</f>
        <v>4601992065844</v>
      </c>
      <c r="B3468" s="1" t="s">
        <v>3491</v>
      </c>
      <c r="C3468" s="1" t="s">
        <v>24</v>
      </c>
      <c r="D3468" s="1" t="str">
        <f t="shared" si="7056"/>
        <v>2021</v>
      </c>
      <c r="E3468" s="1" t="str">
        <f>"83.89"</f>
        <v>83.89</v>
      </c>
      <c r="F3468" s="1" t="str">
        <f t="shared" ref="F3468:I3468" si="7077">"0"</f>
        <v>0</v>
      </c>
      <c r="G3468" s="1" t="str">
        <f t="shared" si="7077"/>
        <v>0</v>
      </c>
      <c r="H3468" s="1" t="str">
        <f t="shared" si="7077"/>
        <v>0</v>
      </c>
      <c r="I3468" s="1" t="str">
        <f t="shared" si="7077"/>
        <v>0</v>
      </c>
      <c r="J3468" s="1" t="str">
        <f>"12"</f>
        <v>12</v>
      </c>
      <c r="K3468" s="1" t="str">
        <f t="shared" ref="K3468:P3468" si="7078">"0"</f>
        <v>0</v>
      </c>
      <c r="L3468" s="1" t="str">
        <f t="shared" si="7078"/>
        <v>0</v>
      </c>
      <c r="M3468" s="1" t="str">
        <f t="shared" si="7078"/>
        <v>0</v>
      </c>
      <c r="N3468" s="1" t="str">
        <f t="shared" si="7078"/>
        <v>0</v>
      </c>
      <c r="O3468" s="1" t="str">
        <f t="shared" si="7078"/>
        <v>0</v>
      </c>
      <c r="P3468" s="1" t="str">
        <f t="shared" si="7078"/>
        <v>0</v>
      </c>
      <c r="Q3468" s="1" t="str">
        <f t="shared" si="7059"/>
        <v>0.0070</v>
      </c>
      <c r="R3468" s="1" t="s">
        <v>29</v>
      </c>
      <c r="S3468" s="1">
        <v>-0.0014</v>
      </c>
      <c r="T3468" s="1" t="str">
        <f t="shared" si="7060"/>
        <v>0</v>
      </c>
      <c r="U3468" s="1" t="str">
        <f t="shared" si="7075"/>
        <v>0.0056</v>
      </c>
    </row>
    <row r="3469" s="1" customFormat="1" spans="1:21">
      <c r="A3469" s="1" t="str">
        <f>"4601992065914"</f>
        <v>4601992065914</v>
      </c>
      <c r="B3469" s="1" t="s">
        <v>3492</v>
      </c>
      <c r="C3469" s="1" t="s">
        <v>24</v>
      </c>
      <c r="D3469" s="1" t="str">
        <f t="shared" si="7056"/>
        <v>2021</v>
      </c>
      <c r="E3469" s="1" t="str">
        <f>"72.54"</f>
        <v>72.54</v>
      </c>
      <c r="F3469" s="1" t="str">
        <f t="shared" ref="F3469:I3469" si="7079">"0"</f>
        <v>0</v>
      </c>
      <c r="G3469" s="1" t="str">
        <f t="shared" si="7079"/>
        <v>0</v>
      </c>
      <c r="H3469" s="1" t="str">
        <f t="shared" si="7079"/>
        <v>0</v>
      </c>
      <c r="I3469" s="1" t="str">
        <f t="shared" si="7079"/>
        <v>0</v>
      </c>
      <c r="J3469" s="1" t="str">
        <f t="shared" ref="J3469:J3473" si="7080">"6"</f>
        <v>6</v>
      </c>
      <c r="K3469" s="1" t="str">
        <f t="shared" ref="K3469:P3469" si="7081">"0"</f>
        <v>0</v>
      </c>
      <c r="L3469" s="1" t="str">
        <f t="shared" si="7081"/>
        <v>0</v>
      </c>
      <c r="M3469" s="1" t="str">
        <f t="shared" si="7081"/>
        <v>0</v>
      </c>
      <c r="N3469" s="1" t="str">
        <f t="shared" si="7081"/>
        <v>0</v>
      </c>
      <c r="O3469" s="1" t="str">
        <f t="shared" si="7081"/>
        <v>0</v>
      </c>
      <c r="P3469" s="1" t="str">
        <f t="shared" si="7081"/>
        <v>0</v>
      </c>
      <c r="Q3469" s="1" t="str">
        <f t="shared" si="7059"/>
        <v>0.0070</v>
      </c>
      <c r="R3469" s="1" t="s">
        <v>29</v>
      </c>
      <c r="S3469" s="1">
        <v>-0.0014</v>
      </c>
      <c r="T3469" s="1" t="str">
        <f t="shared" si="7060"/>
        <v>0</v>
      </c>
      <c r="U3469" s="1" t="str">
        <f t="shared" si="7075"/>
        <v>0.0056</v>
      </c>
    </row>
    <row r="3470" s="1" customFormat="1" spans="1:21">
      <c r="A3470" s="1" t="str">
        <f>"4601992003743"</f>
        <v>4601992003743</v>
      </c>
      <c r="B3470" s="1" t="s">
        <v>3493</v>
      </c>
      <c r="C3470" s="1" t="s">
        <v>24</v>
      </c>
      <c r="D3470" s="1" t="str">
        <f t="shared" si="7056"/>
        <v>2021</v>
      </c>
      <c r="E3470" s="1" t="str">
        <f t="shared" ref="E3470:G3470" si="7082">"0"</f>
        <v>0</v>
      </c>
      <c r="F3470" s="1" t="str">
        <f t="shared" si="7082"/>
        <v>0</v>
      </c>
      <c r="G3470" s="1" t="str">
        <f t="shared" si="7082"/>
        <v>0</v>
      </c>
      <c r="H3470" s="1" t="str">
        <f>"47.92"</f>
        <v>47.92</v>
      </c>
      <c r="I3470" s="1" t="str">
        <f t="shared" ref="I3470:P3470" si="7083">"0"</f>
        <v>0</v>
      </c>
      <c r="J3470" s="1" t="str">
        <f t="shared" si="7080"/>
        <v>6</v>
      </c>
      <c r="K3470" s="1" t="str">
        <f t="shared" si="7083"/>
        <v>0</v>
      </c>
      <c r="L3470" s="1" t="str">
        <f t="shared" si="7083"/>
        <v>0</v>
      </c>
      <c r="M3470" s="1" t="str">
        <f t="shared" si="7083"/>
        <v>0</v>
      </c>
      <c r="N3470" s="1" t="str">
        <f t="shared" si="7083"/>
        <v>0</v>
      </c>
      <c r="O3470" s="1" t="str">
        <f t="shared" si="7083"/>
        <v>0</v>
      </c>
      <c r="P3470" s="1" t="str">
        <f t="shared" si="7083"/>
        <v>0</v>
      </c>
      <c r="Q3470" s="1" t="str">
        <f t="shared" si="7059"/>
        <v>0.0070</v>
      </c>
      <c r="R3470" s="1" t="s">
        <v>25</v>
      </c>
      <c r="T3470" s="1" t="str">
        <f t="shared" si="7060"/>
        <v>0</v>
      </c>
      <c r="U3470" s="1" t="str">
        <f>"0.0070"</f>
        <v>0.0070</v>
      </c>
    </row>
    <row r="3471" s="1" customFormat="1" spans="1:21">
      <c r="A3471" s="1" t="str">
        <f>"4601992065919"</f>
        <v>4601992065919</v>
      </c>
      <c r="B3471" s="1" t="s">
        <v>3494</v>
      </c>
      <c r="C3471" s="1" t="s">
        <v>24</v>
      </c>
      <c r="D3471" s="1" t="str">
        <f t="shared" si="7056"/>
        <v>2021</v>
      </c>
      <c r="E3471" s="1" t="str">
        <f>"23.96"</f>
        <v>23.96</v>
      </c>
      <c r="F3471" s="1" t="str">
        <f t="shared" ref="F3471:I3471" si="7084">"0"</f>
        <v>0</v>
      </c>
      <c r="G3471" s="1" t="str">
        <f t="shared" si="7084"/>
        <v>0</v>
      </c>
      <c r="H3471" s="1" t="str">
        <f t="shared" si="7084"/>
        <v>0</v>
      </c>
      <c r="I3471" s="1" t="str">
        <f t="shared" si="7084"/>
        <v>0</v>
      </c>
      <c r="J3471" s="1" t="str">
        <f>"2"</f>
        <v>2</v>
      </c>
      <c r="K3471" s="1" t="str">
        <f t="shared" ref="K3471:P3471" si="7085">"0"</f>
        <v>0</v>
      </c>
      <c r="L3471" s="1" t="str">
        <f t="shared" si="7085"/>
        <v>0</v>
      </c>
      <c r="M3471" s="1" t="str">
        <f t="shared" si="7085"/>
        <v>0</v>
      </c>
      <c r="N3471" s="1" t="str">
        <f t="shared" si="7085"/>
        <v>0</v>
      </c>
      <c r="O3471" s="1" t="str">
        <f t="shared" si="7085"/>
        <v>0</v>
      </c>
      <c r="P3471" s="1" t="str">
        <f t="shared" si="7085"/>
        <v>0</v>
      </c>
      <c r="Q3471" s="1" t="str">
        <f t="shared" si="7059"/>
        <v>0.0070</v>
      </c>
      <c r="R3471" s="1" t="s">
        <v>29</v>
      </c>
      <c r="S3471" s="1">
        <v>-0.0014</v>
      </c>
      <c r="T3471" s="1" t="str">
        <f t="shared" si="7060"/>
        <v>0</v>
      </c>
      <c r="U3471" s="1" t="str">
        <f t="shared" ref="U3471:U3475" si="7086">"0.0056"</f>
        <v>0.0056</v>
      </c>
    </row>
    <row r="3472" s="1" customFormat="1" spans="1:21">
      <c r="A3472" s="1" t="str">
        <f>"4601992065982"</f>
        <v>4601992065982</v>
      </c>
      <c r="B3472" s="1" t="s">
        <v>3495</v>
      </c>
      <c r="C3472" s="1" t="s">
        <v>24</v>
      </c>
      <c r="D3472" s="1" t="str">
        <f t="shared" si="7056"/>
        <v>2021</v>
      </c>
      <c r="E3472" s="1" t="str">
        <f>"36.75"</f>
        <v>36.75</v>
      </c>
      <c r="F3472" s="1" t="str">
        <f t="shared" ref="F3472:I3472" si="7087">"0"</f>
        <v>0</v>
      </c>
      <c r="G3472" s="1" t="str">
        <f t="shared" si="7087"/>
        <v>0</v>
      </c>
      <c r="H3472" s="1" t="str">
        <f t="shared" si="7087"/>
        <v>0</v>
      </c>
      <c r="I3472" s="1" t="str">
        <f t="shared" si="7087"/>
        <v>0</v>
      </c>
      <c r="J3472" s="1" t="str">
        <f>"3"</f>
        <v>3</v>
      </c>
      <c r="K3472" s="1" t="str">
        <f t="shared" ref="K3472:P3472" si="7088">"0"</f>
        <v>0</v>
      </c>
      <c r="L3472" s="1" t="str">
        <f t="shared" si="7088"/>
        <v>0</v>
      </c>
      <c r="M3472" s="1" t="str">
        <f t="shared" si="7088"/>
        <v>0</v>
      </c>
      <c r="N3472" s="1" t="str">
        <f t="shared" si="7088"/>
        <v>0</v>
      </c>
      <c r="O3472" s="1" t="str">
        <f t="shared" si="7088"/>
        <v>0</v>
      </c>
      <c r="P3472" s="1" t="str">
        <f t="shared" si="7088"/>
        <v>0</v>
      </c>
      <c r="Q3472" s="1" t="str">
        <f t="shared" si="7059"/>
        <v>0.0070</v>
      </c>
      <c r="R3472" s="1" t="s">
        <v>29</v>
      </c>
      <c r="S3472" s="1">
        <v>-0.0014</v>
      </c>
      <c r="T3472" s="1" t="str">
        <f t="shared" si="7060"/>
        <v>0</v>
      </c>
      <c r="U3472" s="1" t="str">
        <f t="shared" si="7086"/>
        <v>0.0056</v>
      </c>
    </row>
    <row r="3473" s="1" customFormat="1" spans="1:21">
      <c r="A3473" s="1" t="str">
        <f>"4601992015080"</f>
        <v>4601992015080</v>
      </c>
      <c r="B3473" s="1" t="s">
        <v>3496</v>
      </c>
      <c r="C3473" s="1" t="s">
        <v>24</v>
      </c>
      <c r="D3473" s="1" t="str">
        <f t="shared" si="7056"/>
        <v>2021</v>
      </c>
      <c r="E3473" s="1" t="str">
        <f>"84.08"</f>
        <v>84.08</v>
      </c>
      <c r="F3473" s="1" t="str">
        <f t="shared" ref="F3473:I3473" si="7089">"0"</f>
        <v>0</v>
      </c>
      <c r="G3473" s="1" t="str">
        <f t="shared" si="7089"/>
        <v>0</v>
      </c>
      <c r="H3473" s="1" t="str">
        <f t="shared" si="7089"/>
        <v>0</v>
      </c>
      <c r="I3473" s="1" t="str">
        <f t="shared" si="7089"/>
        <v>0</v>
      </c>
      <c r="J3473" s="1" t="str">
        <f t="shared" si="7080"/>
        <v>6</v>
      </c>
      <c r="K3473" s="1" t="str">
        <f t="shared" ref="K3473:P3473" si="7090">"0"</f>
        <v>0</v>
      </c>
      <c r="L3473" s="1" t="str">
        <f t="shared" si="7090"/>
        <v>0</v>
      </c>
      <c r="M3473" s="1" t="str">
        <f t="shared" si="7090"/>
        <v>0</v>
      </c>
      <c r="N3473" s="1" t="str">
        <f t="shared" si="7090"/>
        <v>0</v>
      </c>
      <c r="O3473" s="1" t="str">
        <f t="shared" si="7090"/>
        <v>0</v>
      </c>
      <c r="P3473" s="1" t="str">
        <f t="shared" si="7090"/>
        <v>0</v>
      </c>
      <c r="Q3473" s="1" t="str">
        <f t="shared" si="7059"/>
        <v>0.0070</v>
      </c>
      <c r="R3473" s="1" t="s">
        <v>29</v>
      </c>
      <c r="S3473" s="1">
        <v>-0.0014</v>
      </c>
      <c r="T3473" s="1" t="str">
        <f t="shared" si="7060"/>
        <v>0</v>
      </c>
      <c r="U3473" s="1" t="str">
        <f t="shared" si="7086"/>
        <v>0.0056</v>
      </c>
    </row>
    <row r="3474" s="1" customFormat="1" spans="1:21">
      <c r="A3474" s="1" t="str">
        <f>"4601991424061"</f>
        <v>4601991424061</v>
      </c>
      <c r="B3474" s="1" t="s">
        <v>3497</v>
      </c>
      <c r="C3474" s="1" t="s">
        <v>24</v>
      </c>
      <c r="D3474" s="1" t="str">
        <f t="shared" si="7056"/>
        <v>2021</v>
      </c>
      <c r="E3474" s="1" t="str">
        <f>"19.16"</f>
        <v>19.16</v>
      </c>
      <c r="F3474" s="1" t="str">
        <f t="shared" ref="F3474:I3474" si="7091">"0"</f>
        <v>0</v>
      </c>
      <c r="G3474" s="1" t="str">
        <f t="shared" si="7091"/>
        <v>0</v>
      </c>
      <c r="H3474" s="1" t="str">
        <f t="shared" si="7091"/>
        <v>0</v>
      </c>
      <c r="I3474" s="1" t="str">
        <f t="shared" si="7091"/>
        <v>0</v>
      </c>
      <c r="J3474" s="1" t="str">
        <f>"2"</f>
        <v>2</v>
      </c>
      <c r="K3474" s="1" t="str">
        <f t="shared" ref="K3474:P3474" si="7092">"0"</f>
        <v>0</v>
      </c>
      <c r="L3474" s="1" t="str">
        <f t="shared" si="7092"/>
        <v>0</v>
      </c>
      <c r="M3474" s="1" t="str">
        <f t="shared" si="7092"/>
        <v>0</v>
      </c>
      <c r="N3474" s="1" t="str">
        <f t="shared" si="7092"/>
        <v>0</v>
      </c>
      <c r="O3474" s="1" t="str">
        <f t="shared" si="7092"/>
        <v>0</v>
      </c>
      <c r="P3474" s="1" t="str">
        <f t="shared" si="7092"/>
        <v>0</v>
      </c>
      <c r="Q3474" s="1" t="str">
        <f t="shared" si="7059"/>
        <v>0.0070</v>
      </c>
      <c r="R3474" s="1" t="s">
        <v>29</v>
      </c>
      <c r="S3474" s="1">
        <v>-0.0014</v>
      </c>
      <c r="T3474" s="1" t="str">
        <f t="shared" si="7060"/>
        <v>0</v>
      </c>
      <c r="U3474" s="1" t="str">
        <f t="shared" si="7086"/>
        <v>0.0056</v>
      </c>
    </row>
    <row r="3475" s="1" customFormat="1" spans="1:21">
      <c r="A3475" s="1" t="str">
        <f>"4601992066140"</f>
        <v>4601992066140</v>
      </c>
      <c r="B3475" s="1" t="s">
        <v>3498</v>
      </c>
      <c r="C3475" s="1" t="s">
        <v>24</v>
      </c>
      <c r="D3475" s="1" t="str">
        <f t="shared" si="7056"/>
        <v>2021</v>
      </c>
      <c r="E3475" s="1" t="str">
        <f>"23.96"</f>
        <v>23.96</v>
      </c>
      <c r="F3475" s="1" t="str">
        <f t="shared" ref="F3475:I3475" si="7093">"0"</f>
        <v>0</v>
      </c>
      <c r="G3475" s="1" t="str">
        <f t="shared" si="7093"/>
        <v>0</v>
      </c>
      <c r="H3475" s="1" t="str">
        <f t="shared" si="7093"/>
        <v>0</v>
      </c>
      <c r="I3475" s="1" t="str">
        <f t="shared" si="7093"/>
        <v>0</v>
      </c>
      <c r="J3475" s="1" t="str">
        <f>"1"</f>
        <v>1</v>
      </c>
      <c r="K3475" s="1" t="str">
        <f t="shared" ref="K3475:P3475" si="7094">"0"</f>
        <v>0</v>
      </c>
      <c r="L3475" s="1" t="str">
        <f t="shared" si="7094"/>
        <v>0</v>
      </c>
      <c r="M3475" s="1" t="str">
        <f t="shared" si="7094"/>
        <v>0</v>
      </c>
      <c r="N3475" s="1" t="str">
        <f t="shared" si="7094"/>
        <v>0</v>
      </c>
      <c r="O3475" s="1" t="str">
        <f t="shared" si="7094"/>
        <v>0</v>
      </c>
      <c r="P3475" s="1" t="str">
        <f t="shared" si="7094"/>
        <v>0</v>
      </c>
      <c r="Q3475" s="1" t="str">
        <f t="shared" si="7059"/>
        <v>0.0070</v>
      </c>
      <c r="R3475" s="1" t="s">
        <v>29</v>
      </c>
      <c r="S3475" s="1">
        <v>-0.0014</v>
      </c>
      <c r="T3475" s="1" t="str">
        <f t="shared" si="7060"/>
        <v>0</v>
      </c>
      <c r="U3475" s="1" t="str">
        <f t="shared" si="7086"/>
        <v>0.0056</v>
      </c>
    </row>
    <row r="3476" s="1" customFormat="1" spans="1:21">
      <c r="A3476" s="1" t="str">
        <f>"4601992066174"</f>
        <v>4601992066174</v>
      </c>
      <c r="B3476" s="1" t="s">
        <v>3499</v>
      </c>
      <c r="C3476" s="1" t="s">
        <v>24</v>
      </c>
      <c r="D3476" s="1" t="str">
        <f t="shared" si="7056"/>
        <v>2021</v>
      </c>
      <c r="E3476" s="1" t="str">
        <f t="shared" ref="E3476:I3476" si="7095">"0"</f>
        <v>0</v>
      </c>
      <c r="F3476" s="1" t="str">
        <f t="shared" si="7095"/>
        <v>0</v>
      </c>
      <c r="G3476" s="1" t="str">
        <f t="shared" si="7095"/>
        <v>0</v>
      </c>
      <c r="H3476" s="1" t="str">
        <f t="shared" si="7095"/>
        <v>0</v>
      </c>
      <c r="I3476" s="1" t="str">
        <f t="shared" si="7095"/>
        <v>0</v>
      </c>
      <c r="J3476" s="1" t="str">
        <f>"1"</f>
        <v>1</v>
      </c>
      <c r="K3476" s="1" t="str">
        <f t="shared" ref="K3476:P3476" si="7096">"0"</f>
        <v>0</v>
      </c>
      <c r="L3476" s="1" t="str">
        <f t="shared" si="7096"/>
        <v>0</v>
      </c>
      <c r="M3476" s="1" t="str">
        <f t="shared" si="7096"/>
        <v>0</v>
      </c>
      <c r="N3476" s="1" t="str">
        <f t="shared" si="7096"/>
        <v>0</v>
      </c>
      <c r="O3476" s="1" t="str">
        <f t="shared" si="7096"/>
        <v>0</v>
      </c>
      <c r="P3476" s="1" t="str">
        <f t="shared" si="7096"/>
        <v>0</v>
      </c>
      <c r="Q3476" s="1" t="str">
        <f t="shared" si="7059"/>
        <v>0.0070</v>
      </c>
      <c r="R3476" s="1" t="s">
        <v>25</v>
      </c>
      <c r="T3476" s="1" t="str">
        <f t="shared" si="7060"/>
        <v>0</v>
      </c>
      <c r="U3476" s="1" t="str">
        <f t="shared" ref="U3476:U3483" si="7097">"0.0070"</f>
        <v>0.0070</v>
      </c>
    </row>
    <row r="3477" s="1" customFormat="1" spans="1:21">
      <c r="A3477" s="1" t="str">
        <f>"4601992066263"</f>
        <v>4601992066263</v>
      </c>
      <c r="B3477" s="1" t="s">
        <v>3500</v>
      </c>
      <c r="C3477" s="1" t="s">
        <v>24</v>
      </c>
      <c r="D3477" s="1" t="str">
        <f t="shared" si="7056"/>
        <v>2021</v>
      </c>
      <c r="E3477" s="1" t="str">
        <f t="shared" ref="E3477:P3477" si="7098">"0"</f>
        <v>0</v>
      </c>
      <c r="F3477" s="1" t="str">
        <f t="shared" si="7098"/>
        <v>0</v>
      </c>
      <c r="G3477" s="1" t="str">
        <f t="shared" si="7098"/>
        <v>0</v>
      </c>
      <c r="H3477" s="1" t="str">
        <f t="shared" si="7098"/>
        <v>0</v>
      </c>
      <c r="I3477" s="1" t="str">
        <f t="shared" si="7098"/>
        <v>0</v>
      </c>
      <c r="J3477" s="1" t="str">
        <f t="shared" si="7098"/>
        <v>0</v>
      </c>
      <c r="K3477" s="1" t="str">
        <f t="shared" si="7098"/>
        <v>0</v>
      </c>
      <c r="L3477" s="1" t="str">
        <f t="shared" si="7098"/>
        <v>0</v>
      </c>
      <c r="M3477" s="1" t="str">
        <f t="shared" si="7098"/>
        <v>0</v>
      </c>
      <c r="N3477" s="1" t="str">
        <f t="shared" si="7098"/>
        <v>0</v>
      </c>
      <c r="O3477" s="1" t="str">
        <f t="shared" si="7098"/>
        <v>0</v>
      </c>
      <c r="P3477" s="1" t="str">
        <f t="shared" si="7098"/>
        <v>0</v>
      </c>
      <c r="Q3477" s="1" t="str">
        <f t="shared" si="7059"/>
        <v>0.0070</v>
      </c>
      <c r="R3477" s="1" t="s">
        <v>25</v>
      </c>
      <c r="T3477" s="1" t="str">
        <f t="shared" si="7060"/>
        <v>0</v>
      </c>
      <c r="U3477" s="1" t="str">
        <f t="shared" si="7097"/>
        <v>0.0070</v>
      </c>
    </row>
    <row r="3478" s="1" customFormat="1" spans="1:21">
      <c r="A3478" s="1" t="str">
        <f>"4601992066179"</f>
        <v>4601992066179</v>
      </c>
      <c r="B3478" s="1" t="s">
        <v>3501</v>
      </c>
      <c r="C3478" s="1" t="s">
        <v>24</v>
      </c>
      <c r="D3478" s="1" t="str">
        <f t="shared" si="7056"/>
        <v>2021</v>
      </c>
      <c r="E3478" s="1" t="str">
        <f>"47.92"</f>
        <v>47.92</v>
      </c>
      <c r="F3478" s="1" t="str">
        <f t="shared" ref="F3478:I3478" si="7099">"0"</f>
        <v>0</v>
      </c>
      <c r="G3478" s="1" t="str">
        <f t="shared" si="7099"/>
        <v>0</v>
      </c>
      <c r="H3478" s="1" t="str">
        <f t="shared" si="7099"/>
        <v>0</v>
      </c>
      <c r="I3478" s="1" t="str">
        <f t="shared" si="7099"/>
        <v>0</v>
      </c>
      <c r="J3478" s="1" t="str">
        <f>"5"</f>
        <v>5</v>
      </c>
      <c r="K3478" s="1" t="str">
        <f t="shared" ref="K3478:P3478" si="7100">"0"</f>
        <v>0</v>
      </c>
      <c r="L3478" s="1" t="str">
        <f t="shared" si="7100"/>
        <v>0</v>
      </c>
      <c r="M3478" s="1" t="str">
        <f t="shared" si="7100"/>
        <v>0</v>
      </c>
      <c r="N3478" s="1" t="str">
        <f t="shared" si="7100"/>
        <v>0</v>
      </c>
      <c r="O3478" s="1" t="str">
        <f t="shared" si="7100"/>
        <v>0</v>
      </c>
      <c r="P3478" s="1" t="str">
        <f t="shared" si="7100"/>
        <v>0</v>
      </c>
      <c r="Q3478" s="1" t="str">
        <f t="shared" si="7059"/>
        <v>0.0070</v>
      </c>
      <c r="R3478" s="1" t="s">
        <v>29</v>
      </c>
      <c r="S3478" s="1">
        <v>-0.0014</v>
      </c>
      <c r="T3478" s="1" t="str">
        <f t="shared" si="7060"/>
        <v>0</v>
      </c>
      <c r="U3478" s="1" t="str">
        <f>"0.0056"</f>
        <v>0.0056</v>
      </c>
    </row>
    <row r="3479" s="1" customFormat="1" spans="1:21">
      <c r="A3479" s="1" t="str">
        <f>"4601992066302"</f>
        <v>4601992066302</v>
      </c>
      <c r="B3479" s="1" t="s">
        <v>3502</v>
      </c>
      <c r="C3479" s="1" t="s">
        <v>24</v>
      </c>
      <c r="D3479" s="1" t="str">
        <f t="shared" si="7056"/>
        <v>2021</v>
      </c>
      <c r="E3479" s="1" t="str">
        <f t="shared" ref="E3479:P3479" si="7101">"0"</f>
        <v>0</v>
      </c>
      <c r="F3479" s="1" t="str">
        <f t="shared" si="7101"/>
        <v>0</v>
      </c>
      <c r="G3479" s="1" t="str">
        <f t="shared" si="7101"/>
        <v>0</v>
      </c>
      <c r="H3479" s="1" t="str">
        <f t="shared" si="7101"/>
        <v>0</v>
      </c>
      <c r="I3479" s="1" t="str">
        <f t="shared" si="7101"/>
        <v>0</v>
      </c>
      <c r="J3479" s="1" t="str">
        <f t="shared" si="7101"/>
        <v>0</v>
      </c>
      <c r="K3479" s="1" t="str">
        <f t="shared" si="7101"/>
        <v>0</v>
      </c>
      <c r="L3479" s="1" t="str">
        <f t="shared" si="7101"/>
        <v>0</v>
      </c>
      <c r="M3479" s="1" t="str">
        <f t="shared" si="7101"/>
        <v>0</v>
      </c>
      <c r="N3479" s="1" t="str">
        <f t="shared" si="7101"/>
        <v>0</v>
      </c>
      <c r="O3479" s="1" t="str">
        <f t="shared" si="7101"/>
        <v>0</v>
      </c>
      <c r="P3479" s="1" t="str">
        <f t="shared" si="7101"/>
        <v>0</v>
      </c>
      <c r="Q3479" s="1" t="str">
        <f t="shared" si="7059"/>
        <v>0.0070</v>
      </c>
      <c r="R3479" s="1" t="s">
        <v>25</v>
      </c>
      <c r="T3479" s="1" t="str">
        <f t="shared" si="7060"/>
        <v>0</v>
      </c>
      <c r="U3479" s="1" t="str">
        <f t="shared" si="7097"/>
        <v>0.0070</v>
      </c>
    </row>
    <row r="3480" s="1" customFormat="1" spans="1:21">
      <c r="A3480" s="1" t="str">
        <f>"4601992066275"</f>
        <v>4601992066275</v>
      </c>
      <c r="B3480" s="1" t="s">
        <v>3503</v>
      </c>
      <c r="C3480" s="1" t="s">
        <v>24</v>
      </c>
      <c r="D3480" s="1" t="str">
        <f t="shared" si="7056"/>
        <v>2021</v>
      </c>
      <c r="E3480" s="1" t="str">
        <f t="shared" ref="E3480:P3480" si="7102">"0"</f>
        <v>0</v>
      </c>
      <c r="F3480" s="1" t="str">
        <f t="shared" si="7102"/>
        <v>0</v>
      </c>
      <c r="G3480" s="1" t="str">
        <f t="shared" si="7102"/>
        <v>0</v>
      </c>
      <c r="H3480" s="1" t="str">
        <f t="shared" si="7102"/>
        <v>0</v>
      </c>
      <c r="I3480" s="1" t="str">
        <f t="shared" si="7102"/>
        <v>0</v>
      </c>
      <c r="J3480" s="1" t="str">
        <f t="shared" si="7102"/>
        <v>0</v>
      </c>
      <c r="K3480" s="1" t="str">
        <f t="shared" si="7102"/>
        <v>0</v>
      </c>
      <c r="L3480" s="1" t="str">
        <f t="shared" si="7102"/>
        <v>0</v>
      </c>
      <c r="M3480" s="1" t="str">
        <f t="shared" si="7102"/>
        <v>0</v>
      </c>
      <c r="N3480" s="1" t="str">
        <f t="shared" si="7102"/>
        <v>0</v>
      </c>
      <c r="O3480" s="1" t="str">
        <f t="shared" si="7102"/>
        <v>0</v>
      </c>
      <c r="P3480" s="1" t="str">
        <f t="shared" si="7102"/>
        <v>0</v>
      </c>
      <c r="Q3480" s="1" t="str">
        <f t="shared" si="7059"/>
        <v>0.0070</v>
      </c>
      <c r="R3480" s="1" t="s">
        <v>25</v>
      </c>
      <c r="T3480" s="1" t="str">
        <f t="shared" si="7060"/>
        <v>0</v>
      </c>
      <c r="U3480" s="1" t="str">
        <f t="shared" si="7097"/>
        <v>0.0070</v>
      </c>
    </row>
    <row r="3481" s="1" customFormat="1" spans="1:21">
      <c r="A3481" s="1" t="str">
        <f>"4601992066433"</f>
        <v>4601992066433</v>
      </c>
      <c r="B3481" s="1" t="s">
        <v>3504</v>
      </c>
      <c r="C3481" s="1" t="s">
        <v>24</v>
      </c>
      <c r="D3481" s="1" t="str">
        <f t="shared" si="7056"/>
        <v>2021</v>
      </c>
      <c r="E3481" s="1" t="str">
        <f t="shared" ref="E3481:P3481" si="7103">"0"</f>
        <v>0</v>
      </c>
      <c r="F3481" s="1" t="str">
        <f t="shared" si="7103"/>
        <v>0</v>
      </c>
      <c r="G3481" s="1" t="str">
        <f t="shared" si="7103"/>
        <v>0</v>
      </c>
      <c r="H3481" s="1" t="str">
        <f t="shared" si="7103"/>
        <v>0</v>
      </c>
      <c r="I3481" s="1" t="str">
        <f t="shared" si="7103"/>
        <v>0</v>
      </c>
      <c r="J3481" s="1" t="str">
        <f t="shared" si="7103"/>
        <v>0</v>
      </c>
      <c r="K3481" s="1" t="str">
        <f t="shared" si="7103"/>
        <v>0</v>
      </c>
      <c r="L3481" s="1" t="str">
        <f t="shared" si="7103"/>
        <v>0</v>
      </c>
      <c r="M3481" s="1" t="str">
        <f t="shared" si="7103"/>
        <v>0</v>
      </c>
      <c r="N3481" s="1" t="str">
        <f t="shared" si="7103"/>
        <v>0</v>
      </c>
      <c r="O3481" s="1" t="str">
        <f t="shared" si="7103"/>
        <v>0</v>
      </c>
      <c r="P3481" s="1" t="str">
        <f t="shared" si="7103"/>
        <v>0</v>
      </c>
      <c r="Q3481" s="1" t="str">
        <f t="shared" si="7059"/>
        <v>0.0070</v>
      </c>
      <c r="R3481" s="1" t="s">
        <v>25</v>
      </c>
      <c r="T3481" s="1" t="str">
        <f t="shared" si="7060"/>
        <v>0</v>
      </c>
      <c r="U3481" s="1" t="str">
        <f t="shared" si="7097"/>
        <v>0.0070</v>
      </c>
    </row>
    <row r="3482" s="1" customFormat="1" spans="1:21">
      <c r="A3482" s="1" t="str">
        <f>"4601992066472"</f>
        <v>4601992066472</v>
      </c>
      <c r="B3482" s="1" t="s">
        <v>3505</v>
      </c>
      <c r="C3482" s="1" t="s">
        <v>24</v>
      </c>
      <c r="D3482" s="1" t="str">
        <f t="shared" si="7056"/>
        <v>2021</v>
      </c>
      <c r="E3482" s="1" t="str">
        <f t="shared" ref="E3482:P3482" si="7104">"0"</f>
        <v>0</v>
      </c>
      <c r="F3482" s="1" t="str">
        <f t="shared" si="7104"/>
        <v>0</v>
      </c>
      <c r="G3482" s="1" t="str">
        <f t="shared" si="7104"/>
        <v>0</v>
      </c>
      <c r="H3482" s="1" t="str">
        <f t="shared" si="7104"/>
        <v>0</v>
      </c>
      <c r="I3482" s="1" t="str">
        <f t="shared" si="7104"/>
        <v>0</v>
      </c>
      <c r="J3482" s="1" t="str">
        <f t="shared" si="7104"/>
        <v>0</v>
      </c>
      <c r="K3482" s="1" t="str">
        <f t="shared" si="7104"/>
        <v>0</v>
      </c>
      <c r="L3482" s="1" t="str">
        <f t="shared" si="7104"/>
        <v>0</v>
      </c>
      <c r="M3482" s="1" t="str">
        <f t="shared" si="7104"/>
        <v>0</v>
      </c>
      <c r="N3482" s="1" t="str">
        <f t="shared" si="7104"/>
        <v>0</v>
      </c>
      <c r="O3482" s="1" t="str">
        <f t="shared" si="7104"/>
        <v>0</v>
      </c>
      <c r="P3482" s="1" t="str">
        <f t="shared" si="7104"/>
        <v>0</v>
      </c>
      <c r="Q3482" s="1" t="str">
        <f t="shared" si="7059"/>
        <v>0.0070</v>
      </c>
      <c r="R3482" s="1" t="s">
        <v>25</v>
      </c>
      <c r="T3482" s="1" t="str">
        <f t="shared" si="7060"/>
        <v>0</v>
      </c>
      <c r="U3482" s="1" t="str">
        <f t="shared" si="7097"/>
        <v>0.0070</v>
      </c>
    </row>
    <row r="3483" s="1" customFormat="1" spans="1:21">
      <c r="A3483" s="1" t="str">
        <f>"4601992066586"</f>
        <v>4601992066586</v>
      </c>
      <c r="B3483" s="1" t="s">
        <v>3506</v>
      </c>
      <c r="C3483" s="1" t="s">
        <v>24</v>
      </c>
      <c r="D3483" s="1" t="str">
        <f t="shared" si="7056"/>
        <v>2021</v>
      </c>
      <c r="E3483" s="1" t="str">
        <f t="shared" ref="E3483:P3483" si="7105">"0"</f>
        <v>0</v>
      </c>
      <c r="F3483" s="1" t="str">
        <f t="shared" si="7105"/>
        <v>0</v>
      </c>
      <c r="G3483" s="1" t="str">
        <f t="shared" si="7105"/>
        <v>0</v>
      </c>
      <c r="H3483" s="1" t="str">
        <f t="shared" si="7105"/>
        <v>0</v>
      </c>
      <c r="I3483" s="1" t="str">
        <f t="shared" si="7105"/>
        <v>0</v>
      </c>
      <c r="J3483" s="1" t="str">
        <f t="shared" si="7105"/>
        <v>0</v>
      </c>
      <c r="K3483" s="1" t="str">
        <f t="shared" si="7105"/>
        <v>0</v>
      </c>
      <c r="L3483" s="1" t="str">
        <f t="shared" si="7105"/>
        <v>0</v>
      </c>
      <c r="M3483" s="1" t="str">
        <f t="shared" si="7105"/>
        <v>0</v>
      </c>
      <c r="N3483" s="1" t="str">
        <f t="shared" si="7105"/>
        <v>0</v>
      </c>
      <c r="O3483" s="1" t="str">
        <f t="shared" si="7105"/>
        <v>0</v>
      </c>
      <c r="P3483" s="1" t="str">
        <f t="shared" si="7105"/>
        <v>0</v>
      </c>
      <c r="Q3483" s="1" t="str">
        <f t="shared" si="7059"/>
        <v>0.0070</v>
      </c>
      <c r="R3483" s="1" t="s">
        <v>25</v>
      </c>
      <c r="T3483" s="1" t="str">
        <f t="shared" si="7060"/>
        <v>0</v>
      </c>
      <c r="U3483" s="1" t="str">
        <f t="shared" si="7097"/>
        <v>0.0070</v>
      </c>
    </row>
    <row r="3484" s="1" customFormat="1" spans="1:21">
      <c r="A3484" s="1" t="str">
        <f>"4601992066347"</f>
        <v>4601992066347</v>
      </c>
      <c r="B3484" s="1" t="s">
        <v>3507</v>
      </c>
      <c r="C3484" s="1" t="s">
        <v>24</v>
      </c>
      <c r="D3484" s="1" t="str">
        <f t="shared" si="7056"/>
        <v>2021</v>
      </c>
      <c r="E3484" s="1" t="str">
        <f>"13.30"</f>
        <v>13.30</v>
      </c>
      <c r="F3484" s="1" t="str">
        <f t="shared" ref="F3484:I3484" si="7106">"0"</f>
        <v>0</v>
      </c>
      <c r="G3484" s="1" t="str">
        <f t="shared" si="7106"/>
        <v>0</v>
      </c>
      <c r="H3484" s="1" t="str">
        <f t="shared" si="7106"/>
        <v>0</v>
      </c>
      <c r="I3484" s="1" t="str">
        <f t="shared" si="7106"/>
        <v>0</v>
      </c>
      <c r="J3484" s="1" t="str">
        <f>"3"</f>
        <v>3</v>
      </c>
      <c r="K3484" s="1" t="str">
        <f t="shared" ref="K3484:P3484" si="7107">"0"</f>
        <v>0</v>
      </c>
      <c r="L3484" s="1" t="str">
        <f t="shared" si="7107"/>
        <v>0</v>
      </c>
      <c r="M3484" s="1" t="str">
        <f t="shared" si="7107"/>
        <v>0</v>
      </c>
      <c r="N3484" s="1" t="str">
        <f t="shared" si="7107"/>
        <v>0</v>
      </c>
      <c r="O3484" s="1" t="str">
        <f t="shared" si="7107"/>
        <v>0</v>
      </c>
      <c r="P3484" s="1" t="str">
        <f t="shared" si="7107"/>
        <v>0</v>
      </c>
      <c r="Q3484" s="1" t="str">
        <f t="shared" si="7059"/>
        <v>0.0070</v>
      </c>
      <c r="R3484" s="1" t="s">
        <v>29</v>
      </c>
      <c r="S3484" s="1">
        <v>-0.0014</v>
      </c>
      <c r="T3484" s="1" t="str">
        <f t="shared" si="7060"/>
        <v>0</v>
      </c>
      <c r="U3484" s="1" t="str">
        <f t="shared" ref="U3484:U3489" si="7108">"0.0056"</f>
        <v>0.0056</v>
      </c>
    </row>
    <row r="3485" s="1" customFormat="1" spans="1:21">
      <c r="A3485" s="1" t="str">
        <f>"4601992066702"</f>
        <v>4601992066702</v>
      </c>
      <c r="B3485" s="1" t="s">
        <v>3508</v>
      </c>
      <c r="C3485" s="1" t="s">
        <v>24</v>
      </c>
      <c r="D3485" s="1" t="str">
        <f t="shared" si="7056"/>
        <v>2021</v>
      </c>
      <c r="E3485" s="1" t="str">
        <f t="shared" ref="E3485:G3485" si="7109">"0"</f>
        <v>0</v>
      </c>
      <c r="F3485" s="1" t="str">
        <f t="shared" si="7109"/>
        <v>0</v>
      </c>
      <c r="G3485" s="1" t="str">
        <f t="shared" si="7109"/>
        <v>0</v>
      </c>
      <c r="H3485" s="1" t="str">
        <f>"15.75"</f>
        <v>15.75</v>
      </c>
      <c r="I3485" s="1" t="str">
        <f t="shared" ref="I3485:P3485" si="7110">"0"</f>
        <v>0</v>
      </c>
      <c r="J3485" s="1" t="str">
        <f t="shared" si="7110"/>
        <v>0</v>
      </c>
      <c r="K3485" s="1" t="str">
        <f t="shared" si="7110"/>
        <v>0</v>
      </c>
      <c r="L3485" s="1" t="str">
        <f t="shared" si="7110"/>
        <v>0</v>
      </c>
      <c r="M3485" s="1" t="str">
        <f t="shared" si="7110"/>
        <v>0</v>
      </c>
      <c r="N3485" s="1" t="str">
        <f t="shared" si="7110"/>
        <v>0</v>
      </c>
      <c r="O3485" s="1" t="str">
        <f t="shared" si="7110"/>
        <v>0</v>
      </c>
      <c r="P3485" s="1" t="str">
        <f t="shared" si="7110"/>
        <v>0</v>
      </c>
      <c r="Q3485" s="1" t="str">
        <f t="shared" si="7059"/>
        <v>0.0070</v>
      </c>
      <c r="R3485" s="1" t="s">
        <v>25</v>
      </c>
      <c r="T3485" s="1" t="str">
        <f t="shared" si="7060"/>
        <v>0</v>
      </c>
      <c r="U3485" s="1" t="str">
        <f t="shared" ref="U3485:U3487" si="7111">"0.0070"</f>
        <v>0.0070</v>
      </c>
    </row>
    <row r="3486" s="1" customFormat="1" spans="1:21">
      <c r="A3486" s="1" t="str">
        <f>"4601992066622"</f>
        <v>4601992066622</v>
      </c>
      <c r="B3486" s="1" t="s">
        <v>3509</v>
      </c>
      <c r="C3486" s="1" t="s">
        <v>24</v>
      </c>
      <c r="D3486" s="1" t="str">
        <f t="shared" si="7056"/>
        <v>2021</v>
      </c>
      <c r="E3486" s="1" t="str">
        <f>"36.27"</f>
        <v>36.27</v>
      </c>
      <c r="F3486" s="1" t="str">
        <f t="shared" ref="F3486:I3486" si="7112">"0"</f>
        <v>0</v>
      </c>
      <c r="G3486" s="1" t="str">
        <f t="shared" si="7112"/>
        <v>0</v>
      </c>
      <c r="H3486" s="1" t="str">
        <f t="shared" si="7112"/>
        <v>0</v>
      </c>
      <c r="I3486" s="1" t="str">
        <f t="shared" si="7112"/>
        <v>0</v>
      </c>
      <c r="J3486" s="1" t="str">
        <f>"3"</f>
        <v>3</v>
      </c>
      <c r="K3486" s="1" t="str">
        <f t="shared" ref="K3486:P3486" si="7113">"0"</f>
        <v>0</v>
      </c>
      <c r="L3486" s="1" t="str">
        <f t="shared" si="7113"/>
        <v>0</v>
      </c>
      <c r="M3486" s="1" t="str">
        <f t="shared" si="7113"/>
        <v>0</v>
      </c>
      <c r="N3486" s="1" t="str">
        <f t="shared" si="7113"/>
        <v>0</v>
      </c>
      <c r="O3486" s="1" t="str">
        <f t="shared" si="7113"/>
        <v>0</v>
      </c>
      <c r="P3486" s="1" t="str">
        <f t="shared" si="7113"/>
        <v>0</v>
      </c>
      <c r="Q3486" s="1" t="str">
        <f t="shared" si="7059"/>
        <v>0.0070</v>
      </c>
      <c r="R3486" s="1" t="s">
        <v>25</v>
      </c>
      <c r="T3486" s="1" t="str">
        <f t="shared" si="7060"/>
        <v>0</v>
      </c>
      <c r="U3486" s="1" t="str">
        <f t="shared" si="7111"/>
        <v>0.0070</v>
      </c>
    </row>
    <row r="3487" s="1" customFormat="1" spans="1:21">
      <c r="A3487" s="1" t="str">
        <f>"4601992066675"</f>
        <v>4601992066675</v>
      </c>
      <c r="B3487" s="1" t="s">
        <v>3510</v>
      </c>
      <c r="C3487" s="1" t="s">
        <v>24</v>
      </c>
      <c r="D3487" s="1" t="str">
        <f t="shared" si="7056"/>
        <v>2021</v>
      </c>
      <c r="E3487" s="1" t="str">
        <f>"11.98"</f>
        <v>11.98</v>
      </c>
      <c r="F3487" s="1" t="str">
        <f t="shared" ref="F3487:I3487" si="7114">"0"</f>
        <v>0</v>
      </c>
      <c r="G3487" s="1" t="str">
        <f t="shared" si="7114"/>
        <v>0</v>
      </c>
      <c r="H3487" s="1" t="str">
        <f t="shared" si="7114"/>
        <v>0</v>
      </c>
      <c r="I3487" s="1" t="str">
        <f t="shared" si="7114"/>
        <v>0</v>
      </c>
      <c r="J3487" s="1" t="str">
        <f t="shared" ref="J3487:J3491" si="7115">"1"</f>
        <v>1</v>
      </c>
      <c r="K3487" s="1" t="str">
        <f t="shared" ref="K3487:P3487" si="7116">"0"</f>
        <v>0</v>
      </c>
      <c r="L3487" s="1" t="str">
        <f t="shared" si="7116"/>
        <v>0</v>
      </c>
      <c r="M3487" s="1" t="str">
        <f t="shared" si="7116"/>
        <v>0</v>
      </c>
      <c r="N3487" s="1" t="str">
        <f t="shared" si="7116"/>
        <v>0</v>
      </c>
      <c r="O3487" s="1" t="str">
        <f t="shared" si="7116"/>
        <v>0</v>
      </c>
      <c r="P3487" s="1" t="str">
        <f t="shared" si="7116"/>
        <v>0</v>
      </c>
      <c r="Q3487" s="1" t="str">
        <f t="shared" si="7059"/>
        <v>0.0070</v>
      </c>
      <c r="R3487" s="1" t="s">
        <v>25</v>
      </c>
      <c r="T3487" s="1" t="str">
        <f t="shared" si="7060"/>
        <v>0</v>
      </c>
      <c r="U3487" s="1" t="str">
        <f t="shared" si="7111"/>
        <v>0.0070</v>
      </c>
    </row>
    <row r="3488" s="1" customFormat="1" spans="1:21">
      <c r="A3488" s="1" t="str">
        <f>"4601992066733"</f>
        <v>4601992066733</v>
      </c>
      <c r="B3488" s="1" t="s">
        <v>3511</v>
      </c>
      <c r="C3488" s="1" t="s">
        <v>24</v>
      </c>
      <c r="D3488" s="1" t="str">
        <f t="shared" si="7056"/>
        <v>2021</v>
      </c>
      <c r="E3488" s="1" t="str">
        <f t="shared" ref="E3488:E3492" si="7117">"23.96"</f>
        <v>23.96</v>
      </c>
      <c r="F3488" s="1" t="str">
        <f t="shared" ref="F3488:I3488" si="7118">"0"</f>
        <v>0</v>
      </c>
      <c r="G3488" s="1" t="str">
        <f t="shared" si="7118"/>
        <v>0</v>
      </c>
      <c r="H3488" s="1" t="str">
        <f t="shared" si="7118"/>
        <v>0</v>
      </c>
      <c r="I3488" s="1" t="str">
        <f t="shared" si="7118"/>
        <v>0</v>
      </c>
      <c r="J3488" s="1" t="str">
        <f>"2"</f>
        <v>2</v>
      </c>
      <c r="K3488" s="1" t="str">
        <f t="shared" ref="K3488:P3488" si="7119">"0"</f>
        <v>0</v>
      </c>
      <c r="L3488" s="1" t="str">
        <f t="shared" si="7119"/>
        <v>0</v>
      </c>
      <c r="M3488" s="1" t="str">
        <f t="shared" si="7119"/>
        <v>0</v>
      </c>
      <c r="N3488" s="1" t="str">
        <f t="shared" si="7119"/>
        <v>0</v>
      </c>
      <c r="O3488" s="1" t="str">
        <f t="shared" si="7119"/>
        <v>0</v>
      </c>
      <c r="P3488" s="1" t="str">
        <f t="shared" si="7119"/>
        <v>0</v>
      </c>
      <c r="Q3488" s="1" t="str">
        <f t="shared" si="7059"/>
        <v>0.0070</v>
      </c>
      <c r="R3488" s="1" t="s">
        <v>29</v>
      </c>
      <c r="S3488" s="1">
        <v>-0.0014</v>
      </c>
      <c r="T3488" s="1" t="str">
        <f t="shared" si="7060"/>
        <v>0</v>
      </c>
      <c r="U3488" s="1" t="str">
        <f t="shared" si="7108"/>
        <v>0.0056</v>
      </c>
    </row>
    <row r="3489" s="1" customFormat="1" spans="1:21">
      <c r="A3489" s="1" t="str">
        <f>"4601992066794"</f>
        <v>4601992066794</v>
      </c>
      <c r="B3489" s="1" t="s">
        <v>3512</v>
      </c>
      <c r="C3489" s="1" t="s">
        <v>24</v>
      </c>
      <c r="D3489" s="1" t="str">
        <f t="shared" si="7056"/>
        <v>2021</v>
      </c>
      <c r="E3489" s="1" t="str">
        <f>"11.98"</f>
        <v>11.98</v>
      </c>
      <c r="F3489" s="1" t="str">
        <f t="shared" ref="F3489:I3489" si="7120">"0"</f>
        <v>0</v>
      </c>
      <c r="G3489" s="1" t="str">
        <f t="shared" si="7120"/>
        <v>0</v>
      </c>
      <c r="H3489" s="1" t="str">
        <f t="shared" si="7120"/>
        <v>0</v>
      </c>
      <c r="I3489" s="1" t="str">
        <f t="shared" si="7120"/>
        <v>0</v>
      </c>
      <c r="J3489" s="1" t="str">
        <f t="shared" si="7115"/>
        <v>1</v>
      </c>
      <c r="K3489" s="1" t="str">
        <f t="shared" ref="K3489:P3489" si="7121">"0"</f>
        <v>0</v>
      </c>
      <c r="L3489" s="1" t="str">
        <f t="shared" si="7121"/>
        <v>0</v>
      </c>
      <c r="M3489" s="1" t="str">
        <f t="shared" si="7121"/>
        <v>0</v>
      </c>
      <c r="N3489" s="1" t="str">
        <f t="shared" si="7121"/>
        <v>0</v>
      </c>
      <c r="O3489" s="1" t="str">
        <f t="shared" si="7121"/>
        <v>0</v>
      </c>
      <c r="P3489" s="1" t="str">
        <f t="shared" si="7121"/>
        <v>0</v>
      </c>
      <c r="Q3489" s="1" t="str">
        <f t="shared" si="7059"/>
        <v>0.0070</v>
      </c>
      <c r="R3489" s="1" t="s">
        <v>29</v>
      </c>
      <c r="S3489" s="1">
        <v>-0.0014</v>
      </c>
      <c r="T3489" s="1" t="str">
        <f t="shared" si="7060"/>
        <v>0</v>
      </c>
      <c r="U3489" s="1" t="str">
        <f t="shared" si="7108"/>
        <v>0.0056</v>
      </c>
    </row>
    <row r="3490" s="1" customFormat="1" spans="1:21">
      <c r="A3490" s="1" t="str">
        <f>"4601992066821"</f>
        <v>4601992066821</v>
      </c>
      <c r="B3490" s="1" t="s">
        <v>3513</v>
      </c>
      <c r="C3490" s="1" t="s">
        <v>24</v>
      </c>
      <c r="D3490" s="1" t="str">
        <f t="shared" si="7056"/>
        <v>2021</v>
      </c>
      <c r="E3490" s="1" t="str">
        <f t="shared" ref="E3490:P3490" si="7122">"0"</f>
        <v>0</v>
      </c>
      <c r="F3490" s="1" t="str">
        <f t="shared" si="7122"/>
        <v>0</v>
      </c>
      <c r="G3490" s="1" t="str">
        <f t="shared" si="7122"/>
        <v>0</v>
      </c>
      <c r="H3490" s="1" t="str">
        <f t="shared" si="7122"/>
        <v>0</v>
      </c>
      <c r="I3490" s="1" t="str">
        <f t="shared" si="7122"/>
        <v>0</v>
      </c>
      <c r="J3490" s="1" t="str">
        <f t="shared" si="7122"/>
        <v>0</v>
      </c>
      <c r="K3490" s="1" t="str">
        <f t="shared" si="7122"/>
        <v>0</v>
      </c>
      <c r="L3490" s="1" t="str">
        <f t="shared" si="7122"/>
        <v>0</v>
      </c>
      <c r="M3490" s="1" t="str">
        <f t="shared" si="7122"/>
        <v>0</v>
      </c>
      <c r="N3490" s="1" t="str">
        <f t="shared" si="7122"/>
        <v>0</v>
      </c>
      <c r="O3490" s="1" t="str">
        <f t="shared" si="7122"/>
        <v>0</v>
      </c>
      <c r="P3490" s="1" t="str">
        <f t="shared" si="7122"/>
        <v>0</v>
      </c>
      <c r="Q3490" s="1" t="str">
        <f t="shared" si="7059"/>
        <v>0.0070</v>
      </c>
      <c r="R3490" s="1" t="s">
        <v>25</v>
      </c>
      <c r="T3490" s="1" t="str">
        <f t="shared" si="7060"/>
        <v>0</v>
      </c>
      <c r="U3490" s="1" t="str">
        <f t="shared" ref="U3490:U3493" si="7123">"0.0070"</f>
        <v>0.0070</v>
      </c>
    </row>
    <row r="3491" s="1" customFormat="1" spans="1:21">
      <c r="A3491" s="1" t="str">
        <f>"4601992066791"</f>
        <v>4601992066791</v>
      </c>
      <c r="B3491" s="1" t="s">
        <v>3514</v>
      </c>
      <c r="C3491" s="1" t="s">
        <v>24</v>
      </c>
      <c r="D3491" s="1" t="str">
        <f t="shared" si="7056"/>
        <v>2021</v>
      </c>
      <c r="E3491" s="1" t="str">
        <f t="shared" si="7117"/>
        <v>23.96</v>
      </c>
      <c r="F3491" s="1" t="str">
        <f t="shared" ref="F3491:I3491" si="7124">"0"</f>
        <v>0</v>
      </c>
      <c r="G3491" s="1" t="str">
        <f t="shared" si="7124"/>
        <v>0</v>
      </c>
      <c r="H3491" s="1" t="str">
        <f t="shared" si="7124"/>
        <v>0</v>
      </c>
      <c r="I3491" s="1" t="str">
        <f t="shared" si="7124"/>
        <v>0</v>
      </c>
      <c r="J3491" s="1" t="str">
        <f t="shared" si="7115"/>
        <v>1</v>
      </c>
      <c r="K3491" s="1" t="str">
        <f t="shared" ref="K3491:P3491" si="7125">"0"</f>
        <v>0</v>
      </c>
      <c r="L3491" s="1" t="str">
        <f t="shared" si="7125"/>
        <v>0</v>
      </c>
      <c r="M3491" s="1" t="str">
        <f t="shared" si="7125"/>
        <v>0</v>
      </c>
      <c r="N3491" s="1" t="str">
        <f t="shared" si="7125"/>
        <v>0</v>
      </c>
      <c r="O3491" s="1" t="str">
        <f t="shared" si="7125"/>
        <v>0</v>
      </c>
      <c r="P3491" s="1" t="str">
        <f t="shared" si="7125"/>
        <v>0</v>
      </c>
      <c r="Q3491" s="1" t="str">
        <f t="shared" si="7059"/>
        <v>0.0070</v>
      </c>
      <c r="R3491" s="1" t="s">
        <v>25</v>
      </c>
      <c r="T3491" s="1" t="str">
        <f t="shared" si="7060"/>
        <v>0</v>
      </c>
      <c r="U3491" s="1" t="str">
        <f t="shared" si="7123"/>
        <v>0.0070</v>
      </c>
    </row>
    <row r="3492" s="1" customFormat="1" spans="1:21">
      <c r="A3492" s="1" t="str">
        <f>"4601992066823"</f>
        <v>4601992066823</v>
      </c>
      <c r="B3492" s="1" t="s">
        <v>3515</v>
      </c>
      <c r="C3492" s="1" t="s">
        <v>24</v>
      </c>
      <c r="D3492" s="1" t="str">
        <f t="shared" si="7056"/>
        <v>2021</v>
      </c>
      <c r="E3492" s="1" t="str">
        <f t="shared" si="7117"/>
        <v>23.96</v>
      </c>
      <c r="F3492" s="1" t="str">
        <f t="shared" ref="F3492:I3492" si="7126">"0"</f>
        <v>0</v>
      </c>
      <c r="G3492" s="1" t="str">
        <f t="shared" si="7126"/>
        <v>0</v>
      </c>
      <c r="H3492" s="1" t="str">
        <f t="shared" si="7126"/>
        <v>0</v>
      </c>
      <c r="I3492" s="1" t="str">
        <f t="shared" si="7126"/>
        <v>0</v>
      </c>
      <c r="J3492" s="1" t="str">
        <f>"2"</f>
        <v>2</v>
      </c>
      <c r="K3492" s="1" t="str">
        <f t="shared" ref="K3492:P3492" si="7127">"0"</f>
        <v>0</v>
      </c>
      <c r="L3492" s="1" t="str">
        <f t="shared" si="7127"/>
        <v>0</v>
      </c>
      <c r="M3492" s="1" t="str">
        <f t="shared" si="7127"/>
        <v>0</v>
      </c>
      <c r="N3492" s="1" t="str">
        <f t="shared" si="7127"/>
        <v>0</v>
      </c>
      <c r="O3492" s="1" t="str">
        <f t="shared" si="7127"/>
        <v>0</v>
      </c>
      <c r="P3492" s="1" t="str">
        <f t="shared" si="7127"/>
        <v>0</v>
      </c>
      <c r="Q3492" s="1" t="str">
        <f t="shared" si="7059"/>
        <v>0.0070</v>
      </c>
      <c r="R3492" s="1" t="s">
        <v>29</v>
      </c>
      <c r="S3492" s="1">
        <v>-0.0014</v>
      </c>
      <c r="T3492" s="1" t="str">
        <f t="shared" si="7060"/>
        <v>0</v>
      </c>
      <c r="U3492" s="1" t="str">
        <f t="shared" ref="U3492:U3496" si="7128">"0.0056"</f>
        <v>0.0056</v>
      </c>
    </row>
    <row r="3493" s="1" customFormat="1" spans="1:21">
      <c r="A3493" s="1" t="str">
        <f>"4601992066809"</f>
        <v>4601992066809</v>
      </c>
      <c r="B3493" s="1" t="s">
        <v>3516</v>
      </c>
      <c r="C3493" s="1" t="s">
        <v>24</v>
      </c>
      <c r="D3493" s="1" t="str">
        <f t="shared" si="7056"/>
        <v>2021</v>
      </c>
      <c r="E3493" s="1" t="str">
        <f>"203.66"</f>
        <v>203.66</v>
      </c>
      <c r="F3493" s="1" t="str">
        <f t="shared" ref="F3493:I3493" si="7129">"0"</f>
        <v>0</v>
      </c>
      <c r="G3493" s="1" t="str">
        <f t="shared" si="7129"/>
        <v>0</v>
      </c>
      <c r="H3493" s="1" t="str">
        <f t="shared" si="7129"/>
        <v>0</v>
      </c>
      <c r="I3493" s="1" t="str">
        <f t="shared" si="7129"/>
        <v>0</v>
      </c>
      <c r="J3493" s="1" t="str">
        <f>"14"</f>
        <v>14</v>
      </c>
      <c r="K3493" s="1" t="str">
        <f t="shared" ref="K3493:P3493" si="7130">"0"</f>
        <v>0</v>
      </c>
      <c r="L3493" s="1" t="str">
        <f t="shared" si="7130"/>
        <v>0</v>
      </c>
      <c r="M3493" s="1" t="str">
        <f t="shared" si="7130"/>
        <v>0</v>
      </c>
      <c r="N3493" s="1" t="str">
        <f t="shared" si="7130"/>
        <v>0</v>
      </c>
      <c r="O3493" s="1" t="str">
        <f t="shared" si="7130"/>
        <v>0</v>
      </c>
      <c r="P3493" s="1" t="str">
        <f t="shared" si="7130"/>
        <v>0</v>
      </c>
      <c r="Q3493" s="1" t="str">
        <f t="shared" si="7059"/>
        <v>0.0070</v>
      </c>
      <c r="R3493" s="1" t="s">
        <v>25</v>
      </c>
      <c r="T3493" s="1" t="str">
        <f t="shared" si="7060"/>
        <v>0</v>
      </c>
      <c r="U3493" s="1" t="str">
        <f t="shared" si="7123"/>
        <v>0.0070</v>
      </c>
    </row>
    <row r="3494" s="1" customFormat="1" spans="1:21">
      <c r="A3494" s="1" t="str">
        <f>"4601992066848"</f>
        <v>4601992066848</v>
      </c>
      <c r="B3494" s="1" t="s">
        <v>3517</v>
      </c>
      <c r="C3494" s="1" t="s">
        <v>24</v>
      </c>
      <c r="D3494" s="1" t="str">
        <f t="shared" si="7056"/>
        <v>2021</v>
      </c>
      <c r="E3494" s="1" t="str">
        <f>"12.09"</f>
        <v>12.09</v>
      </c>
      <c r="F3494" s="1" t="str">
        <f t="shared" ref="F3494:I3494" si="7131">"0"</f>
        <v>0</v>
      </c>
      <c r="G3494" s="1" t="str">
        <f t="shared" si="7131"/>
        <v>0</v>
      </c>
      <c r="H3494" s="1" t="str">
        <f t="shared" si="7131"/>
        <v>0</v>
      </c>
      <c r="I3494" s="1" t="str">
        <f t="shared" si="7131"/>
        <v>0</v>
      </c>
      <c r="J3494" s="1" t="str">
        <f>"1"</f>
        <v>1</v>
      </c>
      <c r="K3494" s="1" t="str">
        <f t="shared" ref="K3494:P3494" si="7132">"0"</f>
        <v>0</v>
      </c>
      <c r="L3494" s="1" t="str">
        <f t="shared" si="7132"/>
        <v>0</v>
      </c>
      <c r="M3494" s="1" t="str">
        <f t="shared" si="7132"/>
        <v>0</v>
      </c>
      <c r="N3494" s="1" t="str">
        <f t="shared" si="7132"/>
        <v>0</v>
      </c>
      <c r="O3494" s="1" t="str">
        <f t="shared" si="7132"/>
        <v>0</v>
      </c>
      <c r="P3494" s="1" t="str">
        <f t="shared" si="7132"/>
        <v>0</v>
      </c>
      <c r="Q3494" s="1" t="str">
        <f t="shared" si="7059"/>
        <v>0.0070</v>
      </c>
      <c r="R3494" s="1" t="s">
        <v>29</v>
      </c>
      <c r="S3494" s="1">
        <v>-0.0014</v>
      </c>
      <c r="T3494" s="1" t="str">
        <f t="shared" si="7060"/>
        <v>0</v>
      </c>
      <c r="U3494" s="1" t="str">
        <f t="shared" si="7128"/>
        <v>0.0056</v>
      </c>
    </row>
    <row r="3495" s="1" customFormat="1" spans="1:21">
      <c r="A3495" s="1" t="str">
        <f>"4601992066840"</f>
        <v>4601992066840</v>
      </c>
      <c r="B3495" s="1" t="s">
        <v>3518</v>
      </c>
      <c r="C3495" s="1" t="s">
        <v>24</v>
      </c>
      <c r="D3495" s="1" t="str">
        <f t="shared" si="7056"/>
        <v>2021</v>
      </c>
      <c r="E3495" s="1" t="str">
        <f>"23.96"</f>
        <v>23.96</v>
      </c>
      <c r="F3495" s="1" t="str">
        <f t="shared" ref="F3495:I3495" si="7133">"0"</f>
        <v>0</v>
      </c>
      <c r="G3495" s="1" t="str">
        <f t="shared" si="7133"/>
        <v>0</v>
      </c>
      <c r="H3495" s="1" t="str">
        <f t="shared" si="7133"/>
        <v>0</v>
      </c>
      <c r="I3495" s="1" t="str">
        <f t="shared" si="7133"/>
        <v>0</v>
      </c>
      <c r="J3495" s="1" t="str">
        <f>"2"</f>
        <v>2</v>
      </c>
      <c r="K3495" s="1" t="str">
        <f t="shared" ref="K3495:P3495" si="7134">"0"</f>
        <v>0</v>
      </c>
      <c r="L3495" s="1" t="str">
        <f t="shared" si="7134"/>
        <v>0</v>
      </c>
      <c r="M3495" s="1" t="str">
        <f t="shared" si="7134"/>
        <v>0</v>
      </c>
      <c r="N3495" s="1" t="str">
        <f t="shared" si="7134"/>
        <v>0</v>
      </c>
      <c r="O3495" s="1" t="str">
        <f t="shared" si="7134"/>
        <v>0</v>
      </c>
      <c r="P3495" s="1" t="str">
        <f t="shared" si="7134"/>
        <v>0</v>
      </c>
      <c r="Q3495" s="1" t="str">
        <f t="shared" si="7059"/>
        <v>0.0070</v>
      </c>
      <c r="R3495" s="1" t="s">
        <v>29</v>
      </c>
      <c r="S3495" s="1">
        <v>-0.0014</v>
      </c>
      <c r="T3495" s="1" t="str">
        <f t="shared" si="7060"/>
        <v>0</v>
      </c>
      <c r="U3495" s="1" t="str">
        <f t="shared" si="7128"/>
        <v>0.0056</v>
      </c>
    </row>
    <row r="3496" s="1" customFormat="1" spans="1:21">
      <c r="A3496" s="1" t="str">
        <f>"4601992066867"</f>
        <v>4601992066867</v>
      </c>
      <c r="B3496" s="1" t="s">
        <v>3519</v>
      </c>
      <c r="C3496" s="1" t="s">
        <v>24</v>
      </c>
      <c r="D3496" s="1" t="str">
        <f t="shared" si="7056"/>
        <v>2021</v>
      </c>
      <c r="E3496" s="1" t="str">
        <f>"11.98"</f>
        <v>11.98</v>
      </c>
      <c r="F3496" s="1" t="str">
        <f t="shared" ref="F3496:I3496" si="7135">"0"</f>
        <v>0</v>
      </c>
      <c r="G3496" s="1" t="str">
        <f t="shared" si="7135"/>
        <v>0</v>
      </c>
      <c r="H3496" s="1" t="str">
        <f t="shared" si="7135"/>
        <v>0</v>
      </c>
      <c r="I3496" s="1" t="str">
        <f t="shared" si="7135"/>
        <v>0</v>
      </c>
      <c r="J3496" s="1" t="str">
        <f>"1"</f>
        <v>1</v>
      </c>
      <c r="K3496" s="1" t="str">
        <f t="shared" ref="K3496:P3496" si="7136">"0"</f>
        <v>0</v>
      </c>
      <c r="L3496" s="1" t="str">
        <f t="shared" si="7136"/>
        <v>0</v>
      </c>
      <c r="M3496" s="1" t="str">
        <f t="shared" si="7136"/>
        <v>0</v>
      </c>
      <c r="N3496" s="1" t="str">
        <f t="shared" si="7136"/>
        <v>0</v>
      </c>
      <c r="O3496" s="1" t="str">
        <f t="shared" si="7136"/>
        <v>0</v>
      </c>
      <c r="P3496" s="1" t="str">
        <f t="shared" si="7136"/>
        <v>0</v>
      </c>
      <c r="Q3496" s="1" t="str">
        <f t="shared" si="7059"/>
        <v>0.0070</v>
      </c>
      <c r="R3496" s="1" t="s">
        <v>29</v>
      </c>
      <c r="S3496" s="1">
        <v>-0.0014</v>
      </c>
      <c r="T3496" s="1" t="str">
        <f t="shared" si="7060"/>
        <v>0</v>
      </c>
      <c r="U3496" s="1" t="str">
        <f t="shared" si="7128"/>
        <v>0.0056</v>
      </c>
    </row>
    <row r="3497" s="1" customFormat="1" spans="1:21">
      <c r="A3497" s="1" t="str">
        <f>"4601992066904"</f>
        <v>4601992066904</v>
      </c>
      <c r="B3497" s="1" t="s">
        <v>3520</v>
      </c>
      <c r="C3497" s="1" t="s">
        <v>24</v>
      </c>
      <c r="D3497" s="1" t="str">
        <f t="shared" si="7056"/>
        <v>2021</v>
      </c>
      <c r="E3497" s="1" t="str">
        <f t="shared" ref="E3497:P3497" si="7137">"0"</f>
        <v>0</v>
      </c>
      <c r="F3497" s="1" t="str">
        <f t="shared" si="7137"/>
        <v>0</v>
      </c>
      <c r="G3497" s="1" t="str">
        <f t="shared" si="7137"/>
        <v>0</v>
      </c>
      <c r="H3497" s="1" t="str">
        <f t="shared" si="7137"/>
        <v>0</v>
      </c>
      <c r="I3497" s="1" t="str">
        <f t="shared" si="7137"/>
        <v>0</v>
      </c>
      <c r="J3497" s="1" t="str">
        <f t="shared" si="7137"/>
        <v>0</v>
      </c>
      <c r="K3497" s="1" t="str">
        <f t="shared" si="7137"/>
        <v>0</v>
      </c>
      <c r="L3497" s="1" t="str">
        <f t="shared" si="7137"/>
        <v>0</v>
      </c>
      <c r="M3497" s="1" t="str">
        <f t="shared" si="7137"/>
        <v>0</v>
      </c>
      <c r="N3497" s="1" t="str">
        <f t="shared" si="7137"/>
        <v>0</v>
      </c>
      <c r="O3497" s="1" t="str">
        <f t="shared" si="7137"/>
        <v>0</v>
      </c>
      <c r="P3497" s="1" t="str">
        <f t="shared" si="7137"/>
        <v>0</v>
      </c>
      <c r="Q3497" s="1" t="str">
        <f t="shared" si="7059"/>
        <v>0.0070</v>
      </c>
      <c r="R3497" s="1" t="s">
        <v>25</v>
      </c>
      <c r="T3497" s="1" t="str">
        <f t="shared" si="7060"/>
        <v>0</v>
      </c>
      <c r="U3497" s="1" t="str">
        <f>"0.0070"</f>
        <v>0.0070</v>
      </c>
    </row>
    <row r="3498" s="1" customFormat="1" spans="1:21">
      <c r="A3498" s="1" t="str">
        <f>"4601992066879"</f>
        <v>4601992066879</v>
      </c>
      <c r="B3498" s="1" t="s">
        <v>3521</v>
      </c>
      <c r="C3498" s="1" t="s">
        <v>24</v>
      </c>
      <c r="D3498" s="1" t="str">
        <f t="shared" si="7056"/>
        <v>2021</v>
      </c>
      <c r="E3498" s="1" t="str">
        <f>"147.00"</f>
        <v>147.00</v>
      </c>
      <c r="F3498" s="1" t="str">
        <f t="shared" ref="F3498:I3498" si="7138">"0"</f>
        <v>0</v>
      </c>
      <c r="G3498" s="1" t="str">
        <f t="shared" si="7138"/>
        <v>0</v>
      </c>
      <c r="H3498" s="1" t="str">
        <f t="shared" si="7138"/>
        <v>0</v>
      </c>
      <c r="I3498" s="1" t="str">
        <f t="shared" si="7138"/>
        <v>0</v>
      </c>
      <c r="J3498" s="1" t="str">
        <f>"12"</f>
        <v>12</v>
      </c>
      <c r="K3498" s="1" t="str">
        <f t="shared" ref="K3498:P3498" si="7139">"0"</f>
        <v>0</v>
      </c>
      <c r="L3498" s="1" t="str">
        <f t="shared" si="7139"/>
        <v>0</v>
      </c>
      <c r="M3498" s="1" t="str">
        <f t="shared" si="7139"/>
        <v>0</v>
      </c>
      <c r="N3498" s="1" t="str">
        <f t="shared" si="7139"/>
        <v>0</v>
      </c>
      <c r="O3498" s="1" t="str">
        <f t="shared" si="7139"/>
        <v>0</v>
      </c>
      <c r="P3498" s="1" t="str">
        <f t="shared" si="7139"/>
        <v>0</v>
      </c>
      <c r="Q3498" s="1" t="str">
        <f t="shared" si="7059"/>
        <v>0.0070</v>
      </c>
      <c r="R3498" s="1" t="s">
        <v>25</v>
      </c>
      <c r="T3498" s="1" t="str">
        <f t="shared" si="7060"/>
        <v>0</v>
      </c>
      <c r="U3498" s="1" t="str">
        <f>"0.0070"</f>
        <v>0.0070</v>
      </c>
    </row>
    <row r="3499" s="1" customFormat="1" spans="1:21">
      <c r="A3499" s="1" t="str">
        <f>"4601992066892"</f>
        <v>4601992066892</v>
      </c>
      <c r="B3499" s="1" t="s">
        <v>3522</v>
      </c>
      <c r="C3499" s="1" t="s">
        <v>24</v>
      </c>
      <c r="D3499" s="1" t="str">
        <f t="shared" si="7056"/>
        <v>2021</v>
      </c>
      <c r="E3499" s="1" t="str">
        <f>"23.96"</f>
        <v>23.96</v>
      </c>
      <c r="F3499" s="1" t="str">
        <f t="shared" ref="F3499:I3499" si="7140">"0"</f>
        <v>0</v>
      </c>
      <c r="G3499" s="1" t="str">
        <f t="shared" si="7140"/>
        <v>0</v>
      </c>
      <c r="H3499" s="1" t="str">
        <f t="shared" si="7140"/>
        <v>0</v>
      </c>
      <c r="I3499" s="1" t="str">
        <f t="shared" si="7140"/>
        <v>0</v>
      </c>
      <c r="J3499" s="1" t="str">
        <f>"2"</f>
        <v>2</v>
      </c>
      <c r="K3499" s="1" t="str">
        <f t="shared" ref="K3499:P3499" si="7141">"0"</f>
        <v>0</v>
      </c>
      <c r="L3499" s="1" t="str">
        <f t="shared" si="7141"/>
        <v>0</v>
      </c>
      <c r="M3499" s="1" t="str">
        <f t="shared" si="7141"/>
        <v>0</v>
      </c>
      <c r="N3499" s="1" t="str">
        <f t="shared" si="7141"/>
        <v>0</v>
      </c>
      <c r="O3499" s="1" t="str">
        <f t="shared" si="7141"/>
        <v>0</v>
      </c>
      <c r="P3499" s="1" t="str">
        <f t="shared" si="7141"/>
        <v>0</v>
      </c>
      <c r="Q3499" s="1" t="str">
        <f t="shared" si="7059"/>
        <v>0.0070</v>
      </c>
      <c r="R3499" s="1" t="s">
        <v>29</v>
      </c>
      <c r="S3499" s="1">
        <v>-0.0014</v>
      </c>
      <c r="T3499" s="1" t="str">
        <f t="shared" si="7060"/>
        <v>0</v>
      </c>
      <c r="U3499" s="1" t="str">
        <f t="shared" ref="U3499:U3506" si="7142">"0.0056"</f>
        <v>0.0056</v>
      </c>
    </row>
    <row r="3500" s="1" customFormat="1" spans="1:21">
      <c r="A3500" s="1" t="str">
        <f>"4601992066910"</f>
        <v>4601992066910</v>
      </c>
      <c r="B3500" s="1" t="s">
        <v>3523</v>
      </c>
      <c r="C3500" s="1" t="s">
        <v>24</v>
      </c>
      <c r="D3500" s="1" t="str">
        <f t="shared" si="7056"/>
        <v>2021</v>
      </c>
      <c r="E3500" s="1" t="str">
        <f t="shared" ref="E3500:E3504" si="7143">"11.98"</f>
        <v>11.98</v>
      </c>
      <c r="F3500" s="1" t="str">
        <f t="shared" ref="F3500:I3500" si="7144">"0"</f>
        <v>0</v>
      </c>
      <c r="G3500" s="1" t="str">
        <f t="shared" si="7144"/>
        <v>0</v>
      </c>
      <c r="H3500" s="1" t="str">
        <f t="shared" si="7144"/>
        <v>0</v>
      </c>
      <c r="I3500" s="1" t="str">
        <f t="shared" si="7144"/>
        <v>0</v>
      </c>
      <c r="J3500" s="1" t="str">
        <f t="shared" ref="J3500:J3504" si="7145">"1"</f>
        <v>1</v>
      </c>
      <c r="K3500" s="1" t="str">
        <f t="shared" ref="K3500:P3500" si="7146">"0"</f>
        <v>0</v>
      </c>
      <c r="L3500" s="1" t="str">
        <f t="shared" si="7146"/>
        <v>0</v>
      </c>
      <c r="M3500" s="1" t="str">
        <f t="shared" si="7146"/>
        <v>0</v>
      </c>
      <c r="N3500" s="1" t="str">
        <f t="shared" si="7146"/>
        <v>0</v>
      </c>
      <c r="O3500" s="1" t="str">
        <f t="shared" si="7146"/>
        <v>0</v>
      </c>
      <c r="P3500" s="1" t="str">
        <f t="shared" si="7146"/>
        <v>0</v>
      </c>
      <c r="Q3500" s="1" t="str">
        <f t="shared" si="7059"/>
        <v>0.0070</v>
      </c>
      <c r="R3500" s="1" t="s">
        <v>29</v>
      </c>
      <c r="S3500" s="1">
        <v>-0.0014</v>
      </c>
      <c r="T3500" s="1" t="str">
        <f t="shared" si="7060"/>
        <v>0</v>
      </c>
      <c r="U3500" s="1" t="str">
        <f t="shared" si="7142"/>
        <v>0.0056</v>
      </c>
    </row>
    <row r="3501" s="1" customFormat="1" spans="1:21">
      <c r="A3501" s="1" t="str">
        <f>"4601992066939"</f>
        <v>4601992066939</v>
      </c>
      <c r="B3501" s="1" t="s">
        <v>3524</v>
      </c>
      <c r="C3501" s="1" t="s">
        <v>24</v>
      </c>
      <c r="D3501" s="1" t="str">
        <f t="shared" si="7056"/>
        <v>2021</v>
      </c>
      <c r="E3501" s="1" t="str">
        <f>"24.50"</f>
        <v>24.50</v>
      </c>
      <c r="F3501" s="1" t="str">
        <f t="shared" ref="F3501:I3501" si="7147">"0"</f>
        <v>0</v>
      </c>
      <c r="G3501" s="1" t="str">
        <f t="shared" si="7147"/>
        <v>0</v>
      </c>
      <c r="H3501" s="1" t="str">
        <f t="shared" si="7147"/>
        <v>0</v>
      </c>
      <c r="I3501" s="1" t="str">
        <f t="shared" si="7147"/>
        <v>0</v>
      </c>
      <c r="J3501" s="1" t="str">
        <f t="shared" ref="J3501:J3506" si="7148">"2"</f>
        <v>2</v>
      </c>
      <c r="K3501" s="1" t="str">
        <f t="shared" ref="K3501:P3501" si="7149">"0"</f>
        <v>0</v>
      </c>
      <c r="L3501" s="1" t="str">
        <f t="shared" si="7149"/>
        <v>0</v>
      </c>
      <c r="M3501" s="1" t="str">
        <f t="shared" si="7149"/>
        <v>0</v>
      </c>
      <c r="N3501" s="1" t="str">
        <f t="shared" si="7149"/>
        <v>0</v>
      </c>
      <c r="O3501" s="1" t="str">
        <f t="shared" si="7149"/>
        <v>0</v>
      </c>
      <c r="P3501" s="1" t="str">
        <f t="shared" si="7149"/>
        <v>0</v>
      </c>
      <c r="Q3501" s="1" t="str">
        <f t="shared" si="7059"/>
        <v>0.0070</v>
      </c>
      <c r="R3501" s="1" t="s">
        <v>29</v>
      </c>
      <c r="S3501" s="1">
        <v>-0.0014</v>
      </c>
      <c r="T3501" s="1" t="str">
        <f t="shared" si="7060"/>
        <v>0</v>
      </c>
      <c r="U3501" s="1" t="str">
        <f t="shared" si="7142"/>
        <v>0.0056</v>
      </c>
    </row>
    <row r="3502" s="1" customFormat="1" spans="1:21">
      <c r="A3502" s="1" t="str">
        <f>"4601992066949"</f>
        <v>4601992066949</v>
      </c>
      <c r="B3502" s="1" t="s">
        <v>3525</v>
      </c>
      <c r="C3502" s="1" t="s">
        <v>24</v>
      </c>
      <c r="D3502" s="1" t="str">
        <f t="shared" si="7056"/>
        <v>2021</v>
      </c>
      <c r="E3502" s="1" t="str">
        <f t="shared" si="7143"/>
        <v>11.98</v>
      </c>
      <c r="F3502" s="1" t="str">
        <f t="shared" ref="F3502:I3502" si="7150">"0"</f>
        <v>0</v>
      </c>
      <c r="G3502" s="1" t="str">
        <f t="shared" si="7150"/>
        <v>0</v>
      </c>
      <c r="H3502" s="1" t="str">
        <f t="shared" si="7150"/>
        <v>0</v>
      </c>
      <c r="I3502" s="1" t="str">
        <f t="shared" si="7150"/>
        <v>0</v>
      </c>
      <c r="J3502" s="1" t="str">
        <f t="shared" si="7145"/>
        <v>1</v>
      </c>
      <c r="K3502" s="1" t="str">
        <f t="shared" ref="K3502:P3502" si="7151">"0"</f>
        <v>0</v>
      </c>
      <c r="L3502" s="1" t="str">
        <f t="shared" si="7151"/>
        <v>0</v>
      </c>
      <c r="M3502" s="1" t="str">
        <f t="shared" si="7151"/>
        <v>0</v>
      </c>
      <c r="N3502" s="1" t="str">
        <f t="shared" si="7151"/>
        <v>0</v>
      </c>
      <c r="O3502" s="1" t="str">
        <f t="shared" si="7151"/>
        <v>0</v>
      </c>
      <c r="P3502" s="1" t="str">
        <f t="shared" si="7151"/>
        <v>0</v>
      </c>
      <c r="Q3502" s="1" t="str">
        <f t="shared" si="7059"/>
        <v>0.0070</v>
      </c>
      <c r="R3502" s="1" t="s">
        <v>29</v>
      </c>
      <c r="S3502" s="1">
        <v>-0.0014</v>
      </c>
      <c r="T3502" s="1" t="str">
        <f t="shared" si="7060"/>
        <v>0</v>
      </c>
      <c r="U3502" s="1" t="str">
        <f t="shared" si="7142"/>
        <v>0.0056</v>
      </c>
    </row>
    <row r="3503" s="1" customFormat="1" spans="1:21">
      <c r="A3503" s="1" t="str">
        <f>"4601992066930"</f>
        <v>4601992066930</v>
      </c>
      <c r="B3503" s="1" t="s">
        <v>3526</v>
      </c>
      <c r="C3503" s="1" t="s">
        <v>24</v>
      </c>
      <c r="D3503" s="1" t="str">
        <f t="shared" si="7056"/>
        <v>2021</v>
      </c>
      <c r="E3503" s="1" t="str">
        <f>"97.19"</f>
        <v>97.19</v>
      </c>
      <c r="F3503" s="1" t="str">
        <f t="shared" ref="F3503:I3503" si="7152">"0"</f>
        <v>0</v>
      </c>
      <c r="G3503" s="1" t="str">
        <f t="shared" si="7152"/>
        <v>0</v>
      </c>
      <c r="H3503" s="1" t="str">
        <f t="shared" si="7152"/>
        <v>0</v>
      </c>
      <c r="I3503" s="1" t="str">
        <f t="shared" si="7152"/>
        <v>0</v>
      </c>
      <c r="J3503" s="1" t="str">
        <f>"5"</f>
        <v>5</v>
      </c>
      <c r="K3503" s="1" t="str">
        <f t="shared" ref="K3503:P3503" si="7153">"0"</f>
        <v>0</v>
      </c>
      <c r="L3503" s="1" t="str">
        <f t="shared" si="7153"/>
        <v>0</v>
      </c>
      <c r="M3503" s="1" t="str">
        <f t="shared" si="7153"/>
        <v>0</v>
      </c>
      <c r="N3503" s="1" t="str">
        <f t="shared" si="7153"/>
        <v>0</v>
      </c>
      <c r="O3503" s="1" t="str">
        <f t="shared" si="7153"/>
        <v>0</v>
      </c>
      <c r="P3503" s="1" t="str">
        <f t="shared" si="7153"/>
        <v>0</v>
      </c>
      <c r="Q3503" s="1" t="str">
        <f t="shared" si="7059"/>
        <v>0.0070</v>
      </c>
      <c r="R3503" s="1" t="s">
        <v>29</v>
      </c>
      <c r="S3503" s="1">
        <v>-0.0014</v>
      </c>
      <c r="T3503" s="1" t="str">
        <f t="shared" si="7060"/>
        <v>0</v>
      </c>
      <c r="U3503" s="1" t="str">
        <f t="shared" si="7142"/>
        <v>0.0056</v>
      </c>
    </row>
    <row r="3504" s="1" customFormat="1" spans="1:21">
      <c r="A3504" s="1" t="str">
        <f>"4601992066956"</f>
        <v>4601992066956</v>
      </c>
      <c r="B3504" s="1" t="s">
        <v>3527</v>
      </c>
      <c r="C3504" s="1" t="s">
        <v>24</v>
      </c>
      <c r="D3504" s="1" t="str">
        <f t="shared" si="7056"/>
        <v>2021</v>
      </c>
      <c r="E3504" s="1" t="str">
        <f t="shared" si="7143"/>
        <v>11.98</v>
      </c>
      <c r="F3504" s="1" t="str">
        <f t="shared" ref="F3504:I3504" si="7154">"0"</f>
        <v>0</v>
      </c>
      <c r="G3504" s="1" t="str">
        <f t="shared" si="7154"/>
        <v>0</v>
      </c>
      <c r="H3504" s="1" t="str">
        <f t="shared" si="7154"/>
        <v>0</v>
      </c>
      <c r="I3504" s="1" t="str">
        <f t="shared" si="7154"/>
        <v>0</v>
      </c>
      <c r="J3504" s="1" t="str">
        <f t="shared" si="7145"/>
        <v>1</v>
      </c>
      <c r="K3504" s="1" t="str">
        <f t="shared" ref="K3504:P3504" si="7155">"0"</f>
        <v>0</v>
      </c>
      <c r="L3504" s="1" t="str">
        <f t="shared" si="7155"/>
        <v>0</v>
      </c>
      <c r="M3504" s="1" t="str">
        <f t="shared" si="7155"/>
        <v>0</v>
      </c>
      <c r="N3504" s="1" t="str">
        <f t="shared" si="7155"/>
        <v>0</v>
      </c>
      <c r="O3504" s="1" t="str">
        <f t="shared" si="7155"/>
        <v>0</v>
      </c>
      <c r="P3504" s="1" t="str">
        <f t="shared" si="7155"/>
        <v>0</v>
      </c>
      <c r="Q3504" s="1" t="str">
        <f t="shared" si="7059"/>
        <v>0.0070</v>
      </c>
      <c r="R3504" s="1" t="s">
        <v>29</v>
      </c>
      <c r="S3504" s="1">
        <v>-0.0014</v>
      </c>
      <c r="T3504" s="1" t="str">
        <f t="shared" si="7060"/>
        <v>0</v>
      </c>
      <c r="U3504" s="1" t="str">
        <f t="shared" si="7142"/>
        <v>0.0056</v>
      </c>
    </row>
    <row r="3505" s="1" customFormat="1" spans="1:21">
      <c r="A3505" s="1" t="str">
        <f>"4601992067003"</f>
        <v>4601992067003</v>
      </c>
      <c r="B3505" s="1" t="s">
        <v>3528</v>
      </c>
      <c r="C3505" s="1" t="s">
        <v>24</v>
      </c>
      <c r="D3505" s="1" t="str">
        <f t="shared" si="7056"/>
        <v>2021</v>
      </c>
      <c r="E3505" s="1" t="str">
        <f>"35.94"</f>
        <v>35.94</v>
      </c>
      <c r="F3505" s="1" t="str">
        <f t="shared" ref="F3505:I3505" si="7156">"0"</f>
        <v>0</v>
      </c>
      <c r="G3505" s="1" t="str">
        <f t="shared" si="7156"/>
        <v>0</v>
      </c>
      <c r="H3505" s="1" t="str">
        <f t="shared" si="7156"/>
        <v>0</v>
      </c>
      <c r="I3505" s="1" t="str">
        <f t="shared" si="7156"/>
        <v>0</v>
      </c>
      <c r="J3505" s="1" t="str">
        <f t="shared" si="7148"/>
        <v>2</v>
      </c>
      <c r="K3505" s="1" t="str">
        <f t="shared" ref="K3505:P3505" si="7157">"0"</f>
        <v>0</v>
      </c>
      <c r="L3505" s="1" t="str">
        <f t="shared" si="7157"/>
        <v>0</v>
      </c>
      <c r="M3505" s="1" t="str">
        <f t="shared" si="7157"/>
        <v>0</v>
      </c>
      <c r="N3505" s="1" t="str">
        <f t="shared" si="7157"/>
        <v>0</v>
      </c>
      <c r="O3505" s="1" t="str">
        <f t="shared" si="7157"/>
        <v>0</v>
      </c>
      <c r="P3505" s="1" t="str">
        <f t="shared" si="7157"/>
        <v>0</v>
      </c>
      <c r="Q3505" s="1" t="str">
        <f t="shared" si="7059"/>
        <v>0.0070</v>
      </c>
      <c r="R3505" s="1" t="s">
        <v>29</v>
      </c>
      <c r="S3505" s="1">
        <v>-0.0014</v>
      </c>
      <c r="T3505" s="1" t="str">
        <f t="shared" si="7060"/>
        <v>0</v>
      </c>
      <c r="U3505" s="1" t="str">
        <f t="shared" si="7142"/>
        <v>0.0056</v>
      </c>
    </row>
    <row r="3506" s="1" customFormat="1" spans="1:21">
      <c r="A3506" s="1" t="str">
        <f>"4601992067027"</f>
        <v>4601992067027</v>
      </c>
      <c r="B3506" s="1" t="s">
        <v>3529</v>
      </c>
      <c r="C3506" s="1" t="s">
        <v>24</v>
      </c>
      <c r="D3506" s="1" t="str">
        <f t="shared" si="7056"/>
        <v>2021</v>
      </c>
      <c r="E3506" s="1" t="str">
        <f>"23.96"</f>
        <v>23.96</v>
      </c>
      <c r="F3506" s="1" t="str">
        <f t="shared" ref="F3506:I3506" si="7158">"0"</f>
        <v>0</v>
      </c>
      <c r="G3506" s="1" t="str">
        <f t="shared" si="7158"/>
        <v>0</v>
      </c>
      <c r="H3506" s="1" t="str">
        <f t="shared" si="7158"/>
        <v>0</v>
      </c>
      <c r="I3506" s="1" t="str">
        <f t="shared" si="7158"/>
        <v>0</v>
      </c>
      <c r="J3506" s="1" t="str">
        <f t="shared" si="7148"/>
        <v>2</v>
      </c>
      <c r="K3506" s="1" t="str">
        <f t="shared" ref="K3506:P3506" si="7159">"0"</f>
        <v>0</v>
      </c>
      <c r="L3506" s="1" t="str">
        <f t="shared" si="7159"/>
        <v>0</v>
      </c>
      <c r="M3506" s="1" t="str">
        <f t="shared" si="7159"/>
        <v>0</v>
      </c>
      <c r="N3506" s="1" t="str">
        <f t="shared" si="7159"/>
        <v>0</v>
      </c>
      <c r="O3506" s="1" t="str">
        <f t="shared" si="7159"/>
        <v>0</v>
      </c>
      <c r="P3506" s="1" t="str">
        <f t="shared" si="7159"/>
        <v>0</v>
      </c>
      <c r="Q3506" s="1" t="str">
        <f t="shared" si="7059"/>
        <v>0.0070</v>
      </c>
      <c r="R3506" s="1" t="s">
        <v>29</v>
      </c>
      <c r="S3506" s="1">
        <v>-0.0014</v>
      </c>
      <c r="T3506" s="1" t="str">
        <f t="shared" si="7060"/>
        <v>0</v>
      </c>
      <c r="U3506" s="1" t="str">
        <f t="shared" si="7142"/>
        <v>0.0056</v>
      </c>
    </row>
    <row r="3507" s="1" customFormat="1" spans="1:21">
      <c r="A3507" s="1" t="str">
        <f>"4601992067056"</f>
        <v>4601992067056</v>
      </c>
      <c r="B3507" s="1" t="s">
        <v>3530</v>
      </c>
      <c r="C3507" s="1" t="s">
        <v>24</v>
      </c>
      <c r="D3507" s="1" t="str">
        <f t="shared" si="7056"/>
        <v>2021</v>
      </c>
      <c r="E3507" s="1" t="str">
        <f t="shared" ref="E3507:P3507" si="7160">"0"</f>
        <v>0</v>
      </c>
      <c r="F3507" s="1" t="str">
        <f t="shared" si="7160"/>
        <v>0</v>
      </c>
      <c r="G3507" s="1" t="str">
        <f t="shared" si="7160"/>
        <v>0</v>
      </c>
      <c r="H3507" s="1" t="str">
        <f t="shared" si="7160"/>
        <v>0</v>
      </c>
      <c r="I3507" s="1" t="str">
        <f t="shared" si="7160"/>
        <v>0</v>
      </c>
      <c r="J3507" s="1" t="str">
        <f t="shared" si="7160"/>
        <v>0</v>
      </c>
      <c r="K3507" s="1" t="str">
        <f t="shared" si="7160"/>
        <v>0</v>
      </c>
      <c r="L3507" s="1" t="str">
        <f t="shared" si="7160"/>
        <v>0</v>
      </c>
      <c r="M3507" s="1" t="str">
        <f t="shared" si="7160"/>
        <v>0</v>
      </c>
      <c r="N3507" s="1" t="str">
        <f t="shared" si="7160"/>
        <v>0</v>
      </c>
      <c r="O3507" s="1" t="str">
        <f t="shared" si="7160"/>
        <v>0</v>
      </c>
      <c r="P3507" s="1" t="str">
        <f t="shared" si="7160"/>
        <v>0</v>
      </c>
      <c r="Q3507" s="1" t="str">
        <f t="shared" si="7059"/>
        <v>0.0070</v>
      </c>
      <c r="R3507" s="1" t="s">
        <v>25</v>
      </c>
      <c r="T3507" s="1" t="str">
        <f t="shared" si="7060"/>
        <v>0</v>
      </c>
      <c r="U3507" s="1" t="str">
        <f>"0.0070"</f>
        <v>0.0070</v>
      </c>
    </row>
    <row r="3508" s="1" customFormat="1" spans="1:21">
      <c r="A3508" s="1" t="str">
        <f>"4601992067072"</f>
        <v>4601992067072</v>
      </c>
      <c r="B3508" s="1" t="s">
        <v>3531</v>
      </c>
      <c r="C3508" s="1" t="s">
        <v>24</v>
      </c>
      <c r="D3508" s="1" t="str">
        <f t="shared" si="7056"/>
        <v>2021</v>
      </c>
      <c r="E3508" s="1" t="str">
        <f>"35.94"</f>
        <v>35.94</v>
      </c>
      <c r="F3508" s="1" t="str">
        <f t="shared" ref="F3508:I3508" si="7161">"0"</f>
        <v>0</v>
      </c>
      <c r="G3508" s="1" t="str">
        <f t="shared" si="7161"/>
        <v>0</v>
      </c>
      <c r="H3508" s="1" t="str">
        <f t="shared" si="7161"/>
        <v>0</v>
      </c>
      <c r="I3508" s="1" t="str">
        <f t="shared" si="7161"/>
        <v>0</v>
      </c>
      <c r="J3508" s="1" t="str">
        <f t="shared" ref="J3508:J3513" si="7162">"3"</f>
        <v>3</v>
      </c>
      <c r="K3508" s="1" t="str">
        <f t="shared" ref="K3508:P3508" si="7163">"0"</f>
        <v>0</v>
      </c>
      <c r="L3508" s="1" t="str">
        <f t="shared" si="7163"/>
        <v>0</v>
      </c>
      <c r="M3508" s="1" t="str">
        <f t="shared" si="7163"/>
        <v>0</v>
      </c>
      <c r="N3508" s="1" t="str">
        <f t="shared" si="7163"/>
        <v>0</v>
      </c>
      <c r="O3508" s="1" t="str">
        <f t="shared" si="7163"/>
        <v>0</v>
      </c>
      <c r="P3508" s="1" t="str">
        <f t="shared" si="7163"/>
        <v>0</v>
      </c>
      <c r="Q3508" s="1" t="str">
        <f t="shared" si="7059"/>
        <v>0.0070</v>
      </c>
      <c r="R3508" s="1" t="s">
        <v>29</v>
      </c>
      <c r="S3508" s="1">
        <v>-0.0014</v>
      </c>
      <c r="T3508" s="1" t="str">
        <f t="shared" si="7060"/>
        <v>0</v>
      </c>
      <c r="U3508" s="1" t="str">
        <f t="shared" ref="U3508:U3515" si="7164">"0.0056"</f>
        <v>0.0056</v>
      </c>
    </row>
    <row r="3509" s="1" customFormat="1" spans="1:21">
      <c r="A3509" s="1" t="str">
        <f>"4601992067061"</f>
        <v>4601992067061</v>
      </c>
      <c r="B3509" s="1" t="s">
        <v>3532</v>
      </c>
      <c r="C3509" s="1" t="s">
        <v>24</v>
      </c>
      <c r="D3509" s="1" t="str">
        <f t="shared" si="7056"/>
        <v>2021</v>
      </c>
      <c r="E3509" s="1" t="str">
        <f>"73.53"</f>
        <v>73.53</v>
      </c>
      <c r="F3509" s="1" t="str">
        <f t="shared" ref="F3509:I3509" si="7165">"0"</f>
        <v>0</v>
      </c>
      <c r="G3509" s="1" t="str">
        <f t="shared" si="7165"/>
        <v>0</v>
      </c>
      <c r="H3509" s="1" t="str">
        <f t="shared" si="7165"/>
        <v>0</v>
      </c>
      <c r="I3509" s="1" t="str">
        <f t="shared" si="7165"/>
        <v>0</v>
      </c>
      <c r="J3509" s="1" t="str">
        <f>"5"</f>
        <v>5</v>
      </c>
      <c r="K3509" s="1" t="str">
        <f t="shared" ref="K3509:P3509" si="7166">"0"</f>
        <v>0</v>
      </c>
      <c r="L3509" s="1" t="str">
        <f t="shared" si="7166"/>
        <v>0</v>
      </c>
      <c r="M3509" s="1" t="str">
        <f t="shared" si="7166"/>
        <v>0</v>
      </c>
      <c r="N3509" s="1" t="str">
        <f t="shared" si="7166"/>
        <v>0</v>
      </c>
      <c r="O3509" s="1" t="str">
        <f t="shared" si="7166"/>
        <v>0</v>
      </c>
      <c r="P3509" s="1" t="str">
        <f t="shared" si="7166"/>
        <v>0</v>
      </c>
      <c r="Q3509" s="1" t="str">
        <f t="shared" si="7059"/>
        <v>0.0070</v>
      </c>
      <c r="R3509" s="1" t="s">
        <v>29</v>
      </c>
      <c r="S3509" s="1">
        <v>-0.0014</v>
      </c>
      <c r="T3509" s="1" t="str">
        <f t="shared" si="7060"/>
        <v>0</v>
      </c>
      <c r="U3509" s="1" t="str">
        <f t="shared" si="7164"/>
        <v>0.0056</v>
      </c>
    </row>
    <row r="3510" s="1" customFormat="1" spans="1:21">
      <c r="A3510" s="1" t="str">
        <f>"4601992067046"</f>
        <v>4601992067046</v>
      </c>
      <c r="B3510" s="1" t="s">
        <v>3533</v>
      </c>
      <c r="C3510" s="1" t="s">
        <v>24</v>
      </c>
      <c r="D3510" s="1" t="str">
        <f t="shared" si="7056"/>
        <v>2021</v>
      </c>
      <c r="E3510" s="1" t="str">
        <f>"59.90"</f>
        <v>59.90</v>
      </c>
      <c r="F3510" s="1" t="str">
        <f t="shared" ref="F3510:I3510" si="7167">"0"</f>
        <v>0</v>
      </c>
      <c r="G3510" s="1" t="str">
        <f t="shared" si="7167"/>
        <v>0</v>
      </c>
      <c r="H3510" s="1" t="str">
        <f t="shared" si="7167"/>
        <v>0</v>
      </c>
      <c r="I3510" s="1" t="str">
        <f t="shared" si="7167"/>
        <v>0</v>
      </c>
      <c r="J3510" s="1" t="str">
        <f t="shared" si="7162"/>
        <v>3</v>
      </c>
      <c r="K3510" s="1" t="str">
        <f t="shared" ref="K3510:P3510" si="7168">"0"</f>
        <v>0</v>
      </c>
      <c r="L3510" s="1" t="str">
        <f t="shared" si="7168"/>
        <v>0</v>
      </c>
      <c r="M3510" s="1" t="str">
        <f t="shared" si="7168"/>
        <v>0</v>
      </c>
      <c r="N3510" s="1" t="str">
        <f t="shared" si="7168"/>
        <v>0</v>
      </c>
      <c r="O3510" s="1" t="str">
        <f t="shared" si="7168"/>
        <v>0</v>
      </c>
      <c r="P3510" s="1" t="str">
        <f t="shared" si="7168"/>
        <v>0</v>
      </c>
      <c r="Q3510" s="1" t="str">
        <f t="shared" si="7059"/>
        <v>0.0070</v>
      </c>
      <c r="R3510" s="1" t="s">
        <v>29</v>
      </c>
      <c r="S3510" s="1">
        <v>-0.0014</v>
      </c>
      <c r="T3510" s="1" t="str">
        <f t="shared" si="7060"/>
        <v>0</v>
      </c>
      <c r="U3510" s="1" t="str">
        <f t="shared" si="7164"/>
        <v>0.0056</v>
      </c>
    </row>
    <row r="3511" s="1" customFormat="1" spans="1:21">
      <c r="A3511" s="1" t="str">
        <f>"4601992067091"</f>
        <v>4601992067091</v>
      </c>
      <c r="B3511" s="1" t="s">
        <v>3534</v>
      </c>
      <c r="C3511" s="1" t="s">
        <v>24</v>
      </c>
      <c r="D3511" s="1" t="str">
        <f t="shared" si="7056"/>
        <v>2021</v>
      </c>
      <c r="E3511" s="1" t="str">
        <f>"95.84"</f>
        <v>95.84</v>
      </c>
      <c r="F3511" s="1" t="str">
        <f t="shared" ref="F3511:I3511" si="7169">"0"</f>
        <v>0</v>
      </c>
      <c r="G3511" s="1" t="str">
        <f t="shared" si="7169"/>
        <v>0</v>
      </c>
      <c r="H3511" s="1" t="str">
        <f t="shared" si="7169"/>
        <v>0</v>
      </c>
      <c r="I3511" s="1" t="str">
        <f t="shared" si="7169"/>
        <v>0</v>
      </c>
      <c r="J3511" s="1" t="str">
        <f>"12"</f>
        <v>12</v>
      </c>
      <c r="K3511" s="1" t="str">
        <f t="shared" ref="K3511:P3511" si="7170">"0"</f>
        <v>0</v>
      </c>
      <c r="L3511" s="1" t="str">
        <f t="shared" si="7170"/>
        <v>0</v>
      </c>
      <c r="M3511" s="1" t="str">
        <f t="shared" si="7170"/>
        <v>0</v>
      </c>
      <c r="N3511" s="1" t="str">
        <f t="shared" si="7170"/>
        <v>0</v>
      </c>
      <c r="O3511" s="1" t="str">
        <f t="shared" si="7170"/>
        <v>0</v>
      </c>
      <c r="P3511" s="1" t="str">
        <f t="shared" si="7170"/>
        <v>0</v>
      </c>
      <c r="Q3511" s="1" t="str">
        <f t="shared" si="7059"/>
        <v>0.0070</v>
      </c>
      <c r="R3511" s="1" t="s">
        <v>29</v>
      </c>
      <c r="S3511" s="1">
        <v>-0.0014</v>
      </c>
      <c r="T3511" s="1" t="str">
        <f t="shared" si="7060"/>
        <v>0</v>
      </c>
      <c r="U3511" s="1" t="str">
        <f t="shared" si="7164"/>
        <v>0.0056</v>
      </c>
    </row>
    <row r="3512" s="1" customFormat="1" spans="1:21">
      <c r="A3512" s="1" t="str">
        <f>"4601992067188"</f>
        <v>4601992067188</v>
      </c>
      <c r="B3512" s="1" t="s">
        <v>3535</v>
      </c>
      <c r="C3512" s="1" t="s">
        <v>24</v>
      </c>
      <c r="D3512" s="1" t="str">
        <f t="shared" si="7056"/>
        <v>2021</v>
      </c>
      <c r="E3512" s="1" t="str">
        <f>"24.18"</f>
        <v>24.18</v>
      </c>
      <c r="F3512" s="1" t="str">
        <f t="shared" ref="F3512:I3512" si="7171">"0"</f>
        <v>0</v>
      </c>
      <c r="G3512" s="1" t="str">
        <f t="shared" si="7171"/>
        <v>0</v>
      </c>
      <c r="H3512" s="1" t="str">
        <f t="shared" si="7171"/>
        <v>0</v>
      </c>
      <c r="I3512" s="1" t="str">
        <f t="shared" si="7171"/>
        <v>0</v>
      </c>
      <c r="J3512" s="1" t="str">
        <f>"2"</f>
        <v>2</v>
      </c>
      <c r="K3512" s="1" t="str">
        <f t="shared" ref="K3512:P3512" si="7172">"0"</f>
        <v>0</v>
      </c>
      <c r="L3512" s="1" t="str">
        <f t="shared" si="7172"/>
        <v>0</v>
      </c>
      <c r="M3512" s="1" t="str">
        <f t="shared" si="7172"/>
        <v>0</v>
      </c>
      <c r="N3512" s="1" t="str">
        <f t="shared" si="7172"/>
        <v>0</v>
      </c>
      <c r="O3512" s="1" t="str">
        <f t="shared" si="7172"/>
        <v>0</v>
      </c>
      <c r="P3512" s="1" t="str">
        <f t="shared" si="7172"/>
        <v>0</v>
      </c>
      <c r="Q3512" s="1" t="str">
        <f t="shared" si="7059"/>
        <v>0.0070</v>
      </c>
      <c r="R3512" s="1" t="s">
        <v>29</v>
      </c>
      <c r="S3512" s="1">
        <v>-0.0014</v>
      </c>
      <c r="T3512" s="1" t="str">
        <f t="shared" si="7060"/>
        <v>0</v>
      </c>
      <c r="U3512" s="1" t="str">
        <f t="shared" si="7164"/>
        <v>0.0056</v>
      </c>
    </row>
    <row r="3513" s="1" customFormat="1" spans="1:21">
      <c r="A3513" s="1" t="str">
        <f>"4601992067201"</f>
        <v>4601992067201</v>
      </c>
      <c r="B3513" s="1" t="s">
        <v>3536</v>
      </c>
      <c r="C3513" s="1" t="s">
        <v>24</v>
      </c>
      <c r="D3513" s="1" t="str">
        <f t="shared" si="7056"/>
        <v>2021</v>
      </c>
      <c r="E3513" s="1" t="str">
        <f>"24.23"</f>
        <v>24.23</v>
      </c>
      <c r="F3513" s="1" t="str">
        <f t="shared" ref="F3513:I3513" si="7173">"0"</f>
        <v>0</v>
      </c>
      <c r="G3513" s="1" t="str">
        <f t="shared" si="7173"/>
        <v>0</v>
      </c>
      <c r="H3513" s="1" t="str">
        <f t="shared" si="7173"/>
        <v>0</v>
      </c>
      <c r="I3513" s="1" t="str">
        <f t="shared" si="7173"/>
        <v>0</v>
      </c>
      <c r="J3513" s="1" t="str">
        <f t="shared" si="7162"/>
        <v>3</v>
      </c>
      <c r="K3513" s="1" t="str">
        <f t="shared" ref="K3513:P3513" si="7174">"0"</f>
        <v>0</v>
      </c>
      <c r="L3513" s="1" t="str">
        <f t="shared" si="7174"/>
        <v>0</v>
      </c>
      <c r="M3513" s="1" t="str">
        <f t="shared" si="7174"/>
        <v>0</v>
      </c>
      <c r="N3513" s="1" t="str">
        <f t="shared" si="7174"/>
        <v>0</v>
      </c>
      <c r="O3513" s="1" t="str">
        <f t="shared" si="7174"/>
        <v>0</v>
      </c>
      <c r="P3513" s="1" t="str">
        <f t="shared" si="7174"/>
        <v>0</v>
      </c>
      <c r="Q3513" s="1" t="str">
        <f t="shared" si="7059"/>
        <v>0.0070</v>
      </c>
      <c r="R3513" s="1" t="s">
        <v>29</v>
      </c>
      <c r="S3513" s="1">
        <v>-0.0014</v>
      </c>
      <c r="T3513" s="1" t="str">
        <f t="shared" si="7060"/>
        <v>0</v>
      </c>
      <c r="U3513" s="1" t="str">
        <f t="shared" si="7164"/>
        <v>0.0056</v>
      </c>
    </row>
    <row r="3514" s="1" customFormat="1" spans="1:21">
      <c r="A3514" s="1" t="str">
        <f>"4601992067202"</f>
        <v>4601992067202</v>
      </c>
      <c r="B3514" s="1" t="s">
        <v>3537</v>
      </c>
      <c r="C3514" s="1" t="s">
        <v>24</v>
      </c>
      <c r="D3514" s="1" t="str">
        <f t="shared" si="7056"/>
        <v>2021</v>
      </c>
      <c r="E3514" s="1" t="str">
        <f>"12.25"</f>
        <v>12.25</v>
      </c>
      <c r="F3514" s="1" t="str">
        <f t="shared" ref="F3514:I3514" si="7175">"0"</f>
        <v>0</v>
      </c>
      <c r="G3514" s="1" t="str">
        <f t="shared" si="7175"/>
        <v>0</v>
      </c>
      <c r="H3514" s="1" t="str">
        <f t="shared" si="7175"/>
        <v>0</v>
      </c>
      <c r="I3514" s="1" t="str">
        <f t="shared" si="7175"/>
        <v>0</v>
      </c>
      <c r="J3514" s="1" t="str">
        <f t="shared" ref="J3514:J3518" si="7176">"1"</f>
        <v>1</v>
      </c>
      <c r="K3514" s="1" t="str">
        <f t="shared" ref="K3514:P3514" si="7177">"0"</f>
        <v>0</v>
      </c>
      <c r="L3514" s="1" t="str">
        <f t="shared" si="7177"/>
        <v>0</v>
      </c>
      <c r="M3514" s="1" t="str">
        <f t="shared" si="7177"/>
        <v>0</v>
      </c>
      <c r="N3514" s="1" t="str">
        <f t="shared" si="7177"/>
        <v>0</v>
      </c>
      <c r="O3514" s="1" t="str">
        <f t="shared" si="7177"/>
        <v>0</v>
      </c>
      <c r="P3514" s="1" t="str">
        <f t="shared" si="7177"/>
        <v>0</v>
      </c>
      <c r="Q3514" s="1" t="str">
        <f t="shared" si="7059"/>
        <v>0.0070</v>
      </c>
      <c r="R3514" s="1" t="s">
        <v>29</v>
      </c>
      <c r="S3514" s="1">
        <v>-0.0014</v>
      </c>
      <c r="T3514" s="1" t="str">
        <f t="shared" si="7060"/>
        <v>0</v>
      </c>
      <c r="U3514" s="1" t="str">
        <f t="shared" si="7164"/>
        <v>0.0056</v>
      </c>
    </row>
    <row r="3515" s="1" customFormat="1" spans="1:21">
      <c r="A3515" s="1" t="str">
        <f>"4601992067096"</f>
        <v>4601992067096</v>
      </c>
      <c r="B3515" s="1" t="s">
        <v>3538</v>
      </c>
      <c r="C3515" s="1" t="s">
        <v>24</v>
      </c>
      <c r="D3515" s="1" t="str">
        <f t="shared" si="7056"/>
        <v>2021</v>
      </c>
      <c r="E3515" s="1" t="str">
        <f>"11.98"</f>
        <v>11.98</v>
      </c>
      <c r="F3515" s="1" t="str">
        <f t="shared" ref="F3515:I3515" si="7178">"0"</f>
        <v>0</v>
      </c>
      <c r="G3515" s="1" t="str">
        <f t="shared" si="7178"/>
        <v>0</v>
      </c>
      <c r="H3515" s="1" t="str">
        <f t="shared" si="7178"/>
        <v>0</v>
      </c>
      <c r="I3515" s="1" t="str">
        <f t="shared" si="7178"/>
        <v>0</v>
      </c>
      <c r="J3515" s="1" t="str">
        <f t="shared" si="7176"/>
        <v>1</v>
      </c>
      <c r="K3515" s="1" t="str">
        <f t="shared" ref="K3515:P3515" si="7179">"0"</f>
        <v>0</v>
      </c>
      <c r="L3515" s="1" t="str">
        <f t="shared" si="7179"/>
        <v>0</v>
      </c>
      <c r="M3515" s="1" t="str">
        <f t="shared" si="7179"/>
        <v>0</v>
      </c>
      <c r="N3515" s="1" t="str">
        <f t="shared" si="7179"/>
        <v>0</v>
      </c>
      <c r="O3515" s="1" t="str">
        <f t="shared" si="7179"/>
        <v>0</v>
      </c>
      <c r="P3515" s="1" t="str">
        <f t="shared" si="7179"/>
        <v>0</v>
      </c>
      <c r="Q3515" s="1" t="str">
        <f t="shared" si="7059"/>
        <v>0.0070</v>
      </c>
      <c r="R3515" s="1" t="s">
        <v>29</v>
      </c>
      <c r="S3515" s="1">
        <v>-0.0014</v>
      </c>
      <c r="T3515" s="1" t="str">
        <f t="shared" si="7060"/>
        <v>0</v>
      </c>
      <c r="U3515" s="1" t="str">
        <f t="shared" si="7164"/>
        <v>0.0056</v>
      </c>
    </row>
    <row r="3516" s="1" customFormat="1" spans="1:21">
      <c r="A3516" s="1" t="str">
        <f>"4601992067206"</f>
        <v>4601992067206</v>
      </c>
      <c r="B3516" s="1" t="s">
        <v>3539</v>
      </c>
      <c r="C3516" s="1" t="s">
        <v>24</v>
      </c>
      <c r="D3516" s="1" t="str">
        <f t="shared" si="7056"/>
        <v>2021</v>
      </c>
      <c r="E3516" s="1" t="str">
        <f t="shared" ref="E3516:P3516" si="7180">"0"</f>
        <v>0</v>
      </c>
      <c r="F3516" s="1" t="str">
        <f t="shared" si="7180"/>
        <v>0</v>
      </c>
      <c r="G3516" s="1" t="str">
        <f t="shared" si="7180"/>
        <v>0</v>
      </c>
      <c r="H3516" s="1" t="str">
        <f t="shared" si="7180"/>
        <v>0</v>
      </c>
      <c r="I3516" s="1" t="str">
        <f t="shared" si="7180"/>
        <v>0</v>
      </c>
      <c r="J3516" s="1" t="str">
        <f t="shared" si="7180"/>
        <v>0</v>
      </c>
      <c r="K3516" s="1" t="str">
        <f t="shared" si="7180"/>
        <v>0</v>
      </c>
      <c r="L3516" s="1" t="str">
        <f t="shared" si="7180"/>
        <v>0</v>
      </c>
      <c r="M3516" s="1" t="str">
        <f t="shared" si="7180"/>
        <v>0</v>
      </c>
      <c r="N3516" s="1" t="str">
        <f t="shared" si="7180"/>
        <v>0</v>
      </c>
      <c r="O3516" s="1" t="str">
        <f t="shared" si="7180"/>
        <v>0</v>
      </c>
      <c r="P3516" s="1" t="str">
        <f t="shared" si="7180"/>
        <v>0</v>
      </c>
      <c r="Q3516" s="1" t="str">
        <f t="shared" si="7059"/>
        <v>0.0070</v>
      </c>
      <c r="R3516" s="1" t="s">
        <v>25</v>
      </c>
      <c r="T3516" s="1" t="str">
        <f t="shared" si="7060"/>
        <v>0</v>
      </c>
      <c r="U3516" s="1" t="str">
        <f t="shared" ref="U3516:U3520" si="7181">"0.0070"</f>
        <v>0.0070</v>
      </c>
    </row>
    <row r="3517" s="1" customFormat="1" spans="1:21">
      <c r="A3517" s="1" t="str">
        <f>"4601992067207"</f>
        <v>4601992067207</v>
      </c>
      <c r="B3517" s="1" t="s">
        <v>3540</v>
      </c>
      <c r="C3517" s="1" t="s">
        <v>24</v>
      </c>
      <c r="D3517" s="1" t="str">
        <f t="shared" si="7056"/>
        <v>2021</v>
      </c>
      <c r="E3517" s="1" t="str">
        <f>"60.71"</f>
        <v>60.71</v>
      </c>
      <c r="F3517" s="1" t="str">
        <f t="shared" ref="F3517:I3517" si="7182">"0"</f>
        <v>0</v>
      </c>
      <c r="G3517" s="1" t="str">
        <f t="shared" si="7182"/>
        <v>0</v>
      </c>
      <c r="H3517" s="1" t="str">
        <f t="shared" si="7182"/>
        <v>0</v>
      </c>
      <c r="I3517" s="1" t="str">
        <f t="shared" si="7182"/>
        <v>0</v>
      </c>
      <c r="J3517" s="1" t="str">
        <f>"5"</f>
        <v>5</v>
      </c>
      <c r="K3517" s="1" t="str">
        <f t="shared" ref="K3517:P3517" si="7183">"0"</f>
        <v>0</v>
      </c>
      <c r="L3517" s="1" t="str">
        <f t="shared" si="7183"/>
        <v>0</v>
      </c>
      <c r="M3517" s="1" t="str">
        <f t="shared" si="7183"/>
        <v>0</v>
      </c>
      <c r="N3517" s="1" t="str">
        <f t="shared" si="7183"/>
        <v>0</v>
      </c>
      <c r="O3517" s="1" t="str">
        <f t="shared" si="7183"/>
        <v>0</v>
      </c>
      <c r="P3517" s="1" t="str">
        <f t="shared" si="7183"/>
        <v>0</v>
      </c>
      <c r="Q3517" s="1" t="str">
        <f t="shared" si="7059"/>
        <v>0.0070</v>
      </c>
      <c r="R3517" s="1" t="s">
        <v>29</v>
      </c>
      <c r="S3517" s="1">
        <v>-0.0014</v>
      </c>
      <c r="T3517" s="1" t="str">
        <f t="shared" si="7060"/>
        <v>0</v>
      </c>
      <c r="U3517" s="1" t="str">
        <f t="shared" ref="U3517:U3522" si="7184">"0.0056"</f>
        <v>0.0056</v>
      </c>
    </row>
    <row r="3518" s="1" customFormat="1" spans="1:21">
      <c r="A3518" s="1" t="str">
        <f>"4601992067275"</f>
        <v>4601992067275</v>
      </c>
      <c r="B3518" s="1" t="s">
        <v>3541</v>
      </c>
      <c r="C3518" s="1" t="s">
        <v>24</v>
      </c>
      <c r="D3518" s="1" t="str">
        <f t="shared" si="7056"/>
        <v>2021</v>
      </c>
      <c r="E3518" s="1" t="str">
        <f t="shared" ref="E3518:G3518" si="7185">"0"</f>
        <v>0</v>
      </c>
      <c r="F3518" s="1" t="str">
        <f t="shared" si="7185"/>
        <v>0</v>
      </c>
      <c r="G3518" s="1" t="str">
        <f t="shared" si="7185"/>
        <v>0</v>
      </c>
      <c r="H3518" s="1" t="str">
        <f>"11.98"</f>
        <v>11.98</v>
      </c>
      <c r="I3518" s="1" t="str">
        <f t="shared" ref="I3518:P3518" si="7186">"0"</f>
        <v>0</v>
      </c>
      <c r="J3518" s="1" t="str">
        <f t="shared" si="7176"/>
        <v>1</v>
      </c>
      <c r="K3518" s="1" t="str">
        <f t="shared" si="7186"/>
        <v>0</v>
      </c>
      <c r="L3518" s="1" t="str">
        <f t="shared" si="7186"/>
        <v>0</v>
      </c>
      <c r="M3518" s="1" t="str">
        <f t="shared" si="7186"/>
        <v>0</v>
      </c>
      <c r="N3518" s="1" t="str">
        <f t="shared" si="7186"/>
        <v>0</v>
      </c>
      <c r="O3518" s="1" t="str">
        <f t="shared" si="7186"/>
        <v>0</v>
      </c>
      <c r="P3518" s="1" t="str">
        <f t="shared" si="7186"/>
        <v>0</v>
      </c>
      <c r="Q3518" s="1" t="str">
        <f t="shared" si="7059"/>
        <v>0.0070</v>
      </c>
      <c r="R3518" s="1" t="s">
        <v>25</v>
      </c>
      <c r="T3518" s="1" t="str">
        <f t="shared" si="7060"/>
        <v>0</v>
      </c>
      <c r="U3518" s="1" t="str">
        <f t="shared" si="7181"/>
        <v>0.0070</v>
      </c>
    </row>
    <row r="3519" s="1" customFormat="1" spans="1:21">
      <c r="A3519" s="1" t="str">
        <f>"4601992067269"</f>
        <v>4601992067269</v>
      </c>
      <c r="B3519" s="1" t="s">
        <v>3542</v>
      </c>
      <c r="C3519" s="1" t="s">
        <v>24</v>
      </c>
      <c r="D3519" s="1" t="str">
        <f t="shared" si="7056"/>
        <v>2021</v>
      </c>
      <c r="E3519" s="1" t="str">
        <f>"47.92"</f>
        <v>47.92</v>
      </c>
      <c r="F3519" s="1" t="str">
        <f t="shared" ref="F3519:I3519" si="7187">"0"</f>
        <v>0</v>
      </c>
      <c r="G3519" s="1" t="str">
        <f t="shared" si="7187"/>
        <v>0</v>
      </c>
      <c r="H3519" s="1" t="str">
        <f t="shared" si="7187"/>
        <v>0</v>
      </c>
      <c r="I3519" s="1" t="str">
        <f t="shared" si="7187"/>
        <v>0</v>
      </c>
      <c r="J3519" s="1" t="str">
        <f>"4"</f>
        <v>4</v>
      </c>
      <c r="K3519" s="1" t="str">
        <f t="shared" ref="K3519:P3519" si="7188">"0"</f>
        <v>0</v>
      </c>
      <c r="L3519" s="1" t="str">
        <f t="shared" si="7188"/>
        <v>0</v>
      </c>
      <c r="M3519" s="1" t="str">
        <f t="shared" si="7188"/>
        <v>0</v>
      </c>
      <c r="N3519" s="1" t="str">
        <f t="shared" si="7188"/>
        <v>0</v>
      </c>
      <c r="O3519" s="1" t="str">
        <f t="shared" si="7188"/>
        <v>0</v>
      </c>
      <c r="P3519" s="1" t="str">
        <f t="shared" si="7188"/>
        <v>0</v>
      </c>
      <c r="Q3519" s="1" t="str">
        <f t="shared" si="7059"/>
        <v>0.0070</v>
      </c>
      <c r="R3519" s="1" t="s">
        <v>25</v>
      </c>
      <c r="T3519" s="1" t="str">
        <f t="shared" si="7060"/>
        <v>0</v>
      </c>
      <c r="U3519" s="1" t="str">
        <f t="shared" si="7181"/>
        <v>0.0070</v>
      </c>
    </row>
    <row r="3520" s="1" customFormat="1" spans="1:21">
      <c r="A3520" s="1" t="str">
        <f>"4601992067311"</f>
        <v>4601992067311</v>
      </c>
      <c r="B3520" s="1" t="s">
        <v>3543</v>
      </c>
      <c r="C3520" s="1" t="s">
        <v>24</v>
      </c>
      <c r="D3520" s="1" t="str">
        <f t="shared" si="7056"/>
        <v>2021</v>
      </c>
      <c r="E3520" s="1" t="str">
        <f t="shared" ref="E3520:P3520" si="7189">"0"</f>
        <v>0</v>
      </c>
      <c r="F3520" s="1" t="str">
        <f t="shared" si="7189"/>
        <v>0</v>
      </c>
      <c r="G3520" s="1" t="str">
        <f t="shared" si="7189"/>
        <v>0</v>
      </c>
      <c r="H3520" s="1" t="str">
        <f t="shared" si="7189"/>
        <v>0</v>
      </c>
      <c r="I3520" s="1" t="str">
        <f t="shared" si="7189"/>
        <v>0</v>
      </c>
      <c r="J3520" s="1" t="str">
        <f t="shared" si="7189"/>
        <v>0</v>
      </c>
      <c r="K3520" s="1" t="str">
        <f t="shared" si="7189"/>
        <v>0</v>
      </c>
      <c r="L3520" s="1" t="str">
        <f t="shared" si="7189"/>
        <v>0</v>
      </c>
      <c r="M3520" s="1" t="str">
        <f t="shared" si="7189"/>
        <v>0</v>
      </c>
      <c r="N3520" s="1" t="str">
        <f t="shared" si="7189"/>
        <v>0</v>
      </c>
      <c r="O3520" s="1" t="str">
        <f t="shared" si="7189"/>
        <v>0</v>
      </c>
      <c r="P3520" s="1" t="str">
        <f t="shared" si="7189"/>
        <v>0</v>
      </c>
      <c r="Q3520" s="1" t="str">
        <f t="shared" si="7059"/>
        <v>0.0070</v>
      </c>
      <c r="R3520" s="1" t="s">
        <v>25</v>
      </c>
      <c r="T3520" s="1" t="str">
        <f t="shared" si="7060"/>
        <v>0</v>
      </c>
      <c r="U3520" s="1" t="str">
        <f t="shared" si="7181"/>
        <v>0.0070</v>
      </c>
    </row>
    <row r="3521" s="1" customFormat="1" spans="1:21">
      <c r="A3521" s="1" t="str">
        <f>"4601992067218"</f>
        <v>4601992067218</v>
      </c>
      <c r="B3521" s="1" t="s">
        <v>3544</v>
      </c>
      <c r="C3521" s="1" t="s">
        <v>24</v>
      </c>
      <c r="D3521" s="1" t="str">
        <f t="shared" si="7056"/>
        <v>2021</v>
      </c>
      <c r="E3521" s="1" t="str">
        <f>"11.98"</f>
        <v>11.98</v>
      </c>
      <c r="F3521" s="1" t="str">
        <f t="shared" ref="F3521:I3521" si="7190">"0"</f>
        <v>0</v>
      </c>
      <c r="G3521" s="1" t="str">
        <f t="shared" si="7190"/>
        <v>0</v>
      </c>
      <c r="H3521" s="1" t="str">
        <f t="shared" si="7190"/>
        <v>0</v>
      </c>
      <c r="I3521" s="1" t="str">
        <f t="shared" si="7190"/>
        <v>0</v>
      </c>
      <c r="J3521" s="1" t="str">
        <f t="shared" ref="J3521:J3526" si="7191">"1"</f>
        <v>1</v>
      </c>
      <c r="K3521" s="1" t="str">
        <f t="shared" ref="K3521:P3521" si="7192">"0"</f>
        <v>0</v>
      </c>
      <c r="L3521" s="1" t="str">
        <f t="shared" si="7192"/>
        <v>0</v>
      </c>
      <c r="M3521" s="1" t="str">
        <f t="shared" si="7192"/>
        <v>0</v>
      </c>
      <c r="N3521" s="1" t="str">
        <f t="shared" si="7192"/>
        <v>0</v>
      </c>
      <c r="O3521" s="1" t="str">
        <f t="shared" si="7192"/>
        <v>0</v>
      </c>
      <c r="P3521" s="1" t="str">
        <f t="shared" si="7192"/>
        <v>0</v>
      </c>
      <c r="Q3521" s="1" t="str">
        <f t="shared" si="7059"/>
        <v>0.0070</v>
      </c>
      <c r="R3521" s="1" t="s">
        <v>29</v>
      </c>
      <c r="S3521" s="1">
        <v>-0.0014</v>
      </c>
      <c r="T3521" s="1" t="str">
        <f t="shared" si="7060"/>
        <v>0</v>
      </c>
      <c r="U3521" s="1" t="str">
        <f t="shared" si="7184"/>
        <v>0.0056</v>
      </c>
    </row>
    <row r="3522" s="1" customFormat="1" spans="1:21">
      <c r="A3522" s="1" t="str">
        <f>"4601992067292"</f>
        <v>4601992067292</v>
      </c>
      <c r="B3522" s="1" t="s">
        <v>3545</v>
      </c>
      <c r="C3522" s="1" t="s">
        <v>24</v>
      </c>
      <c r="D3522" s="1" t="str">
        <f t="shared" si="7056"/>
        <v>2021</v>
      </c>
      <c r="E3522" s="1" t="str">
        <f>"60.45"</f>
        <v>60.45</v>
      </c>
      <c r="F3522" s="1" t="str">
        <f t="shared" ref="F3522:I3522" si="7193">"0"</f>
        <v>0</v>
      </c>
      <c r="G3522" s="1" t="str">
        <f t="shared" si="7193"/>
        <v>0</v>
      </c>
      <c r="H3522" s="1" t="str">
        <f t="shared" si="7193"/>
        <v>0</v>
      </c>
      <c r="I3522" s="1" t="str">
        <f t="shared" si="7193"/>
        <v>0</v>
      </c>
      <c r="J3522" s="1" t="str">
        <f>"5"</f>
        <v>5</v>
      </c>
      <c r="K3522" s="1" t="str">
        <f t="shared" ref="K3522:P3522" si="7194">"0"</f>
        <v>0</v>
      </c>
      <c r="L3522" s="1" t="str">
        <f t="shared" si="7194"/>
        <v>0</v>
      </c>
      <c r="M3522" s="1" t="str">
        <f t="shared" si="7194"/>
        <v>0</v>
      </c>
      <c r="N3522" s="1" t="str">
        <f t="shared" si="7194"/>
        <v>0</v>
      </c>
      <c r="O3522" s="1" t="str">
        <f t="shared" si="7194"/>
        <v>0</v>
      </c>
      <c r="P3522" s="1" t="str">
        <f t="shared" si="7194"/>
        <v>0</v>
      </c>
      <c r="Q3522" s="1" t="str">
        <f t="shared" si="7059"/>
        <v>0.0070</v>
      </c>
      <c r="R3522" s="1" t="s">
        <v>29</v>
      </c>
      <c r="S3522" s="1">
        <v>-0.0014</v>
      </c>
      <c r="T3522" s="1" t="str">
        <f t="shared" si="7060"/>
        <v>0</v>
      </c>
      <c r="U3522" s="1" t="str">
        <f t="shared" si="7184"/>
        <v>0.0056</v>
      </c>
    </row>
    <row r="3523" s="1" customFormat="1" spans="1:21">
      <c r="A3523" s="1" t="str">
        <f>"4601992067340"</f>
        <v>4601992067340</v>
      </c>
      <c r="B3523" s="1" t="s">
        <v>3546</v>
      </c>
      <c r="C3523" s="1" t="s">
        <v>24</v>
      </c>
      <c r="D3523" s="1" t="str">
        <f t="shared" ref="D3523:D3586" si="7195">"2021"</f>
        <v>2021</v>
      </c>
      <c r="E3523" s="1" t="str">
        <f t="shared" ref="E3523:I3523" si="7196">"0"</f>
        <v>0</v>
      </c>
      <c r="F3523" s="1" t="str">
        <f t="shared" si="7196"/>
        <v>0</v>
      </c>
      <c r="G3523" s="1" t="str">
        <f t="shared" si="7196"/>
        <v>0</v>
      </c>
      <c r="H3523" s="1" t="str">
        <f t="shared" si="7196"/>
        <v>0</v>
      </c>
      <c r="I3523" s="1" t="str">
        <f t="shared" si="7196"/>
        <v>0</v>
      </c>
      <c r="J3523" s="1" t="str">
        <f t="shared" si="7191"/>
        <v>1</v>
      </c>
      <c r="K3523" s="1" t="str">
        <f t="shared" ref="K3523:P3523" si="7197">"0"</f>
        <v>0</v>
      </c>
      <c r="L3523" s="1" t="str">
        <f t="shared" si="7197"/>
        <v>0</v>
      </c>
      <c r="M3523" s="1" t="str">
        <f t="shared" si="7197"/>
        <v>0</v>
      </c>
      <c r="N3523" s="1" t="str">
        <f t="shared" si="7197"/>
        <v>0</v>
      </c>
      <c r="O3523" s="1" t="str">
        <f t="shared" si="7197"/>
        <v>0</v>
      </c>
      <c r="P3523" s="1" t="str">
        <f t="shared" si="7197"/>
        <v>0</v>
      </c>
      <c r="Q3523" s="1" t="str">
        <f t="shared" ref="Q3523:Q3586" si="7198">"0.0070"</f>
        <v>0.0070</v>
      </c>
      <c r="R3523" s="1" t="s">
        <v>25</v>
      </c>
      <c r="T3523" s="1" t="str">
        <f t="shared" ref="T3523:T3586" si="7199">"0"</f>
        <v>0</v>
      </c>
      <c r="U3523" s="1" t="str">
        <f t="shared" ref="U3523:U3528" si="7200">"0.0070"</f>
        <v>0.0070</v>
      </c>
    </row>
    <row r="3524" s="1" customFormat="1" spans="1:21">
      <c r="A3524" s="1" t="str">
        <f>"4601992067342"</f>
        <v>4601992067342</v>
      </c>
      <c r="B3524" s="1" t="s">
        <v>3547</v>
      </c>
      <c r="C3524" s="1" t="s">
        <v>24</v>
      </c>
      <c r="D3524" s="1" t="str">
        <f t="shared" si="7195"/>
        <v>2021</v>
      </c>
      <c r="E3524" s="1" t="str">
        <f>"24.50"</f>
        <v>24.50</v>
      </c>
      <c r="F3524" s="1" t="str">
        <f t="shared" ref="F3524:I3524" si="7201">"0"</f>
        <v>0</v>
      </c>
      <c r="G3524" s="1" t="str">
        <f t="shared" si="7201"/>
        <v>0</v>
      </c>
      <c r="H3524" s="1" t="str">
        <f t="shared" si="7201"/>
        <v>0</v>
      </c>
      <c r="I3524" s="1" t="str">
        <f t="shared" si="7201"/>
        <v>0</v>
      </c>
      <c r="J3524" s="1" t="str">
        <f t="shared" ref="J3524:J3527" si="7202">"2"</f>
        <v>2</v>
      </c>
      <c r="K3524" s="1" t="str">
        <f t="shared" ref="K3524:P3524" si="7203">"0"</f>
        <v>0</v>
      </c>
      <c r="L3524" s="1" t="str">
        <f t="shared" si="7203"/>
        <v>0</v>
      </c>
      <c r="M3524" s="1" t="str">
        <f t="shared" si="7203"/>
        <v>0</v>
      </c>
      <c r="N3524" s="1" t="str">
        <f t="shared" si="7203"/>
        <v>0</v>
      </c>
      <c r="O3524" s="1" t="str">
        <f t="shared" si="7203"/>
        <v>0</v>
      </c>
      <c r="P3524" s="1" t="str">
        <f t="shared" si="7203"/>
        <v>0</v>
      </c>
      <c r="Q3524" s="1" t="str">
        <f t="shared" si="7198"/>
        <v>0.0070</v>
      </c>
      <c r="R3524" s="1" t="s">
        <v>29</v>
      </c>
      <c r="S3524" s="1">
        <v>-0.0014</v>
      </c>
      <c r="T3524" s="1" t="str">
        <f t="shared" si="7199"/>
        <v>0</v>
      </c>
      <c r="U3524" s="1" t="str">
        <f t="shared" ref="U3524:U3526" si="7204">"0.0056"</f>
        <v>0.0056</v>
      </c>
    </row>
    <row r="3525" s="1" customFormat="1" spans="1:21">
      <c r="A3525" s="1" t="str">
        <f>"4601992067350"</f>
        <v>4601992067350</v>
      </c>
      <c r="B3525" s="1" t="s">
        <v>3548</v>
      </c>
      <c r="C3525" s="1" t="s">
        <v>24</v>
      </c>
      <c r="D3525" s="1" t="str">
        <f t="shared" si="7195"/>
        <v>2021</v>
      </c>
      <c r="E3525" s="1" t="str">
        <f>"23.96"</f>
        <v>23.96</v>
      </c>
      <c r="F3525" s="1" t="str">
        <f t="shared" ref="F3525:I3525" si="7205">"0"</f>
        <v>0</v>
      </c>
      <c r="G3525" s="1" t="str">
        <f t="shared" si="7205"/>
        <v>0</v>
      </c>
      <c r="H3525" s="1" t="str">
        <f t="shared" si="7205"/>
        <v>0</v>
      </c>
      <c r="I3525" s="1" t="str">
        <f t="shared" si="7205"/>
        <v>0</v>
      </c>
      <c r="J3525" s="1" t="str">
        <f t="shared" si="7202"/>
        <v>2</v>
      </c>
      <c r="K3525" s="1" t="str">
        <f t="shared" ref="K3525:P3525" si="7206">"0"</f>
        <v>0</v>
      </c>
      <c r="L3525" s="1" t="str">
        <f t="shared" si="7206"/>
        <v>0</v>
      </c>
      <c r="M3525" s="1" t="str">
        <f t="shared" si="7206"/>
        <v>0</v>
      </c>
      <c r="N3525" s="1" t="str">
        <f t="shared" si="7206"/>
        <v>0</v>
      </c>
      <c r="O3525" s="1" t="str">
        <f t="shared" si="7206"/>
        <v>0</v>
      </c>
      <c r="P3525" s="1" t="str">
        <f t="shared" si="7206"/>
        <v>0</v>
      </c>
      <c r="Q3525" s="1" t="str">
        <f t="shared" si="7198"/>
        <v>0.0070</v>
      </c>
      <c r="R3525" s="1" t="s">
        <v>29</v>
      </c>
      <c r="S3525" s="1">
        <v>-0.0014</v>
      </c>
      <c r="T3525" s="1" t="str">
        <f t="shared" si="7199"/>
        <v>0</v>
      </c>
      <c r="U3525" s="1" t="str">
        <f t="shared" si="7204"/>
        <v>0.0056</v>
      </c>
    </row>
    <row r="3526" s="1" customFormat="1" spans="1:21">
      <c r="A3526" s="1" t="str">
        <f>"4601992067351"</f>
        <v>4601992067351</v>
      </c>
      <c r="B3526" s="1" t="s">
        <v>3549</v>
      </c>
      <c r="C3526" s="1" t="s">
        <v>24</v>
      </c>
      <c r="D3526" s="1" t="str">
        <f t="shared" si="7195"/>
        <v>2021</v>
      </c>
      <c r="E3526" s="1" t="str">
        <f>"11.98"</f>
        <v>11.98</v>
      </c>
      <c r="F3526" s="1" t="str">
        <f t="shared" ref="F3526:I3526" si="7207">"0"</f>
        <v>0</v>
      </c>
      <c r="G3526" s="1" t="str">
        <f t="shared" si="7207"/>
        <v>0</v>
      </c>
      <c r="H3526" s="1" t="str">
        <f t="shared" si="7207"/>
        <v>0</v>
      </c>
      <c r="I3526" s="1" t="str">
        <f t="shared" si="7207"/>
        <v>0</v>
      </c>
      <c r="J3526" s="1" t="str">
        <f t="shared" si="7191"/>
        <v>1</v>
      </c>
      <c r="K3526" s="1" t="str">
        <f t="shared" ref="K3526:P3526" si="7208">"0"</f>
        <v>0</v>
      </c>
      <c r="L3526" s="1" t="str">
        <f t="shared" si="7208"/>
        <v>0</v>
      </c>
      <c r="M3526" s="1" t="str">
        <f t="shared" si="7208"/>
        <v>0</v>
      </c>
      <c r="N3526" s="1" t="str">
        <f t="shared" si="7208"/>
        <v>0</v>
      </c>
      <c r="O3526" s="1" t="str">
        <f t="shared" si="7208"/>
        <v>0</v>
      </c>
      <c r="P3526" s="1" t="str">
        <f t="shared" si="7208"/>
        <v>0</v>
      </c>
      <c r="Q3526" s="1" t="str">
        <f t="shared" si="7198"/>
        <v>0.0070</v>
      </c>
      <c r="R3526" s="1" t="s">
        <v>29</v>
      </c>
      <c r="S3526" s="1">
        <v>-0.0014</v>
      </c>
      <c r="T3526" s="1" t="str">
        <f t="shared" si="7199"/>
        <v>0</v>
      </c>
      <c r="U3526" s="1" t="str">
        <f t="shared" si="7204"/>
        <v>0.0056</v>
      </c>
    </row>
    <row r="3527" s="1" customFormat="1" spans="1:21">
      <c r="A3527" s="1" t="str">
        <f>"4601992067380"</f>
        <v>4601992067380</v>
      </c>
      <c r="B3527" s="1" t="s">
        <v>3550</v>
      </c>
      <c r="C3527" s="1" t="s">
        <v>24</v>
      </c>
      <c r="D3527" s="1" t="str">
        <f t="shared" si="7195"/>
        <v>2021</v>
      </c>
      <c r="E3527" s="1" t="str">
        <f t="shared" ref="E3527:I3527" si="7209">"0"</f>
        <v>0</v>
      </c>
      <c r="F3527" s="1" t="str">
        <f t="shared" si="7209"/>
        <v>0</v>
      </c>
      <c r="G3527" s="1" t="str">
        <f t="shared" si="7209"/>
        <v>0</v>
      </c>
      <c r="H3527" s="1" t="str">
        <f t="shared" si="7209"/>
        <v>0</v>
      </c>
      <c r="I3527" s="1" t="str">
        <f t="shared" si="7209"/>
        <v>0</v>
      </c>
      <c r="J3527" s="1" t="str">
        <f t="shared" si="7202"/>
        <v>2</v>
      </c>
      <c r="K3527" s="1" t="str">
        <f t="shared" ref="K3527:P3527" si="7210">"0"</f>
        <v>0</v>
      </c>
      <c r="L3527" s="1" t="str">
        <f t="shared" si="7210"/>
        <v>0</v>
      </c>
      <c r="M3527" s="1" t="str">
        <f t="shared" si="7210"/>
        <v>0</v>
      </c>
      <c r="N3527" s="1" t="str">
        <f t="shared" si="7210"/>
        <v>0</v>
      </c>
      <c r="O3527" s="1" t="str">
        <f t="shared" si="7210"/>
        <v>0</v>
      </c>
      <c r="P3527" s="1" t="str">
        <f t="shared" si="7210"/>
        <v>0</v>
      </c>
      <c r="Q3527" s="1" t="str">
        <f t="shared" si="7198"/>
        <v>0.0070</v>
      </c>
      <c r="R3527" s="1" t="s">
        <v>25</v>
      </c>
      <c r="T3527" s="1" t="str">
        <f t="shared" si="7199"/>
        <v>0</v>
      </c>
      <c r="U3527" s="1" t="str">
        <f t="shared" si="7200"/>
        <v>0.0070</v>
      </c>
    </row>
    <row r="3528" s="1" customFormat="1" spans="1:21">
      <c r="A3528" s="1" t="str">
        <f>"4601992067384"</f>
        <v>4601992067384</v>
      </c>
      <c r="B3528" s="1" t="s">
        <v>3551</v>
      </c>
      <c r="C3528" s="1" t="s">
        <v>24</v>
      </c>
      <c r="D3528" s="1" t="str">
        <f t="shared" si="7195"/>
        <v>2021</v>
      </c>
      <c r="E3528" s="1" t="str">
        <f t="shared" ref="E3528:I3528" si="7211">"0"</f>
        <v>0</v>
      </c>
      <c r="F3528" s="1" t="str">
        <f t="shared" si="7211"/>
        <v>0</v>
      </c>
      <c r="G3528" s="1" t="str">
        <f t="shared" si="7211"/>
        <v>0</v>
      </c>
      <c r="H3528" s="1" t="str">
        <f t="shared" si="7211"/>
        <v>0</v>
      </c>
      <c r="I3528" s="1" t="str">
        <f t="shared" si="7211"/>
        <v>0</v>
      </c>
      <c r="J3528" s="1" t="str">
        <f>"1"</f>
        <v>1</v>
      </c>
      <c r="K3528" s="1" t="str">
        <f t="shared" ref="K3528:P3528" si="7212">"0"</f>
        <v>0</v>
      </c>
      <c r="L3528" s="1" t="str">
        <f t="shared" si="7212"/>
        <v>0</v>
      </c>
      <c r="M3528" s="1" t="str">
        <f t="shared" si="7212"/>
        <v>0</v>
      </c>
      <c r="N3528" s="1" t="str">
        <f t="shared" si="7212"/>
        <v>0</v>
      </c>
      <c r="O3528" s="1" t="str">
        <f t="shared" si="7212"/>
        <v>0</v>
      </c>
      <c r="P3528" s="1" t="str">
        <f t="shared" si="7212"/>
        <v>0</v>
      </c>
      <c r="Q3528" s="1" t="str">
        <f t="shared" si="7198"/>
        <v>0.0070</v>
      </c>
      <c r="R3528" s="1" t="s">
        <v>25</v>
      </c>
      <c r="T3528" s="1" t="str">
        <f t="shared" si="7199"/>
        <v>0</v>
      </c>
      <c r="U3528" s="1" t="str">
        <f t="shared" si="7200"/>
        <v>0.0070</v>
      </c>
    </row>
    <row r="3529" s="1" customFormat="1" spans="1:21">
      <c r="A3529" s="1" t="str">
        <f>"4601992067356"</f>
        <v>4601992067356</v>
      </c>
      <c r="B3529" s="1" t="s">
        <v>3552</v>
      </c>
      <c r="C3529" s="1" t="s">
        <v>24</v>
      </c>
      <c r="D3529" s="1" t="str">
        <f t="shared" si="7195"/>
        <v>2021</v>
      </c>
      <c r="E3529" s="1" t="str">
        <f>"11.98"</f>
        <v>11.98</v>
      </c>
      <c r="F3529" s="1" t="str">
        <f t="shared" ref="F3529:I3529" si="7213">"0"</f>
        <v>0</v>
      </c>
      <c r="G3529" s="1" t="str">
        <f t="shared" si="7213"/>
        <v>0</v>
      </c>
      <c r="H3529" s="1" t="str">
        <f t="shared" si="7213"/>
        <v>0</v>
      </c>
      <c r="I3529" s="1" t="str">
        <f t="shared" si="7213"/>
        <v>0</v>
      </c>
      <c r="J3529" s="1" t="str">
        <f>"1"</f>
        <v>1</v>
      </c>
      <c r="K3529" s="1" t="str">
        <f t="shared" ref="K3529:P3529" si="7214">"0"</f>
        <v>0</v>
      </c>
      <c r="L3529" s="1" t="str">
        <f t="shared" si="7214"/>
        <v>0</v>
      </c>
      <c r="M3529" s="1" t="str">
        <f t="shared" si="7214"/>
        <v>0</v>
      </c>
      <c r="N3529" s="1" t="str">
        <f t="shared" si="7214"/>
        <v>0</v>
      </c>
      <c r="O3529" s="1" t="str">
        <f t="shared" si="7214"/>
        <v>0</v>
      </c>
      <c r="P3529" s="1" t="str">
        <f t="shared" si="7214"/>
        <v>0</v>
      </c>
      <c r="Q3529" s="1" t="str">
        <f t="shared" si="7198"/>
        <v>0.0070</v>
      </c>
      <c r="R3529" s="1" t="s">
        <v>29</v>
      </c>
      <c r="S3529" s="1">
        <v>-0.0014</v>
      </c>
      <c r="T3529" s="1" t="str">
        <f t="shared" si="7199"/>
        <v>0</v>
      </c>
      <c r="U3529" s="1" t="str">
        <f t="shared" ref="U3529:U3531" si="7215">"0.0056"</f>
        <v>0.0056</v>
      </c>
    </row>
    <row r="3530" s="1" customFormat="1" spans="1:21">
      <c r="A3530" s="1" t="str">
        <f>"4601992067403"</f>
        <v>4601992067403</v>
      </c>
      <c r="B3530" s="1" t="s">
        <v>3553</v>
      </c>
      <c r="C3530" s="1" t="s">
        <v>24</v>
      </c>
      <c r="D3530" s="1" t="str">
        <f t="shared" si="7195"/>
        <v>2021</v>
      </c>
      <c r="E3530" s="1" t="str">
        <f>"24.50"</f>
        <v>24.50</v>
      </c>
      <c r="F3530" s="1" t="str">
        <f t="shared" ref="F3530:I3530" si="7216">"0"</f>
        <v>0</v>
      </c>
      <c r="G3530" s="1" t="str">
        <f t="shared" si="7216"/>
        <v>0</v>
      </c>
      <c r="H3530" s="1" t="str">
        <f t="shared" si="7216"/>
        <v>0</v>
      </c>
      <c r="I3530" s="1" t="str">
        <f t="shared" si="7216"/>
        <v>0</v>
      </c>
      <c r="J3530" s="1" t="str">
        <f>"2"</f>
        <v>2</v>
      </c>
      <c r="K3530" s="1" t="str">
        <f t="shared" ref="K3530:P3530" si="7217">"0"</f>
        <v>0</v>
      </c>
      <c r="L3530" s="1" t="str">
        <f t="shared" si="7217"/>
        <v>0</v>
      </c>
      <c r="M3530" s="1" t="str">
        <f t="shared" si="7217"/>
        <v>0</v>
      </c>
      <c r="N3530" s="1" t="str">
        <f t="shared" si="7217"/>
        <v>0</v>
      </c>
      <c r="O3530" s="1" t="str">
        <f t="shared" si="7217"/>
        <v>0</v>
      </c>
      <c r="P3530" s="1" t="str">
        <f t="shared" si="7217"/>
        <v>0</v>
      </c>
      <c r="Q3530" s="1" t="str">
        <f t="shared" si="7198"/>
        <v>0.0070</v>
      </c>
      <c r="R3530" s="1" t="s">
        <v>29</v>
      </c>
      <c r="S3530" s="1">
        <v>-0.0014</v>
      </c>
      <c r="T3530" s="1" t="str">
        <f t="shared" si="7199"/>
        <v>0</v>
      </c>
      <c r="U3530" s="1" t="str">
        <f t="shared" si="7215"/>
        <v>0.0056</v>
      </c>
    </row>
    <row r="3531" s="1" customFormat="1" spans="1:21">
      <c r="A3531" s="1" t="str">
        <f>"4601992067400"</f>
        <v>4601992067400</v>
      </c>
      <c r="B3531" s="1" t="s">
        <v>3554</v>
      </c>
      <c r="C3531" s="1" t="s">
        <v>24</v>
      </c>
      <c r="D3531" s="1" t="str">
        <f t="shared" si="7195"/>
        <v>2021</v>
      </c>
      <c r="E3531" s="1" t="str">
        <f>"157.17"</f>
        <v>157.17</v>
      </c>
      <c r="F3531" s="1" t="str">
        <f t="shared" ref="F3531:I3531" si="7218">"0"</f>
        <v>0</v>
      </c>
      <c r="G3531" s="1" t="str">
        <f t="shared" si="7218"/>
        <v>0</v>
      </c>
      <c r="H3531" s="1" t="str">
        <f t="shared" si="7218"/>
        <v>0</v>
      </c>
      <c r="I3531" s="1" t="str">
        <f t="shared" si="7218"/>
        <v>0</v>
      </c>
      <c r="J3531" s="1" t="str">
        <f>"15"</f>
        <v>15</v>
      </c>
      <c r="K3531" s="1" t="str">
        <f t="shared" ref="K3531:P3531" si="7219">"0"</f>
        <v>0</v>
      </c>
      <c r="L3531" s="1" t="str">
        <f t="shared" si="7219"/>
        <v>0</v>
      </c>
      <c r="M3531" s="1" t="str">
        <f t="shared" si="7219"/>
        <v>0</v>
      </c>
      <c r="N3531" s="1" t="str">
        <f t="shared" si="7219"/>
        <v>0</v>
      </c>
      <c r="O3531" s="1" t="str">
        <f t="shared" si="7219"/>
        <v>0</v>
      </c>
      <c r="P3531" s="1" t="str">
        <f t="shared" si="7219"/>
        <v>0</v>
      </c>
      <c r="Q3531" s="1" t="str">
        <f t="shared" si="7198"/>
        <v>0.0070</v>
      </c>
      <c r="R3531" s="1" t="s">
        <v>29</v>
      </c>
      <c r="S3531" s="1">
        <v>-0.0014</v>
      </c>
      <c r="T3531" s="1" t="str">
        <f t="shared" si="7199"/>
        <v>0</v>
      </c>
      <c r="U3531" s="1" t="str">
        <f t="shared" si="7215"/>
        <v>0.0056</v>
      </c>
    </row>
    <row r="3532" s="1" customFormat="1" spans="1:21">
      <c r="A3532" s="1" t="str">
        <f>"4601992067434"</f>
        <v>4601992067434</v>
      </c>
      <c r="B3532" s="1" t="s">
        <v>3555</v>
      </c>
      <c r="C3532" s="1" t="s">
        <v>24</v>
      </c>
      <c r="D3532" s="1" t="str">
        <f t="shared" si="7195"/>
        <v>2021</v>
      </c>
      <c r="E3532" s="1" t="str">
        <f t="shared" ref="E3532:P3532" si="7220">"0"</f>
        <v>0</v>
      </c>
      <c r="F3532" s="1" t="str">
        <f t="shared" si="7220"/>
        <v>0</v>
      </c>
      <c r="G3532" s="1" t="str">
        <f t="shared" si="7220"/>
        <v>0</v>
      </c>
      <c r="H3532" s="1" t="str">
        <f t="shared" si="7220"/>
        <v>0</v>
      </c>
      <c r="I3532" s="1" t="str">
        <f t="shared" si="7220"/>
        <v>0</v>
      </c>
      <c r="J3532" s="1" t="str">
        <f t="shared" si="7220"/>
        <v>0</v>
      </c>
      <c r="K3532" s="1" t="str">
        <f t="shared" si="7220"/>
        <v>0</v>
      </c>
      <c r="L3532" s="1" t="str">
        <f t="shared" si="7220"/>
        <v>0</v>
      </c>
      <c r="M3532" s="1" t="str">
        <f t="shared" si="7220"/>
        <v>0</v>
      </c>
      <c r="N3532" s="1" t="str">
        <f t="shared" si="7220"/>
        <v>0</v>
      </c>
      <c r="O3532" s="1" t="str">
        <f t="shared" si="7220"/>
        <v>0</v>
      </c>
      <c r="P3532" s="1" t="str">
        <f t="shared" si="7220"/>
        <v>0</v>
      </c>
      <c r="Q3532" s="1" t="str">
        <f t="shared" si="7198"/>
        <v>0.0070</v>
      </c>
      <c r="R3532" s="1" t="s">
        <v>25</v>
      </c>
      <c r="T3532" s="1" t="str">
        <f t="shared" si="7199"/>
        <v>0</v>
      </c>
      <c r="U3532" s="1" t="str">
        <f>"0.0070"</f>
        <v>0.0070</v>
      </c>
    </row>
    <row r="3533" s="1" customFormat="1" spans="1:21">
      <c r="A3533" s="1" t="str">
        <f>"4601992067420"</f>
        <v>4601992067420</v>
      </c>
      <c r="B3533" s="1" t="s">
        <v>3556</v>
      </c>
      <c r="C3533" s="1" t="s">
        <v>24</v>
      </c>
      <c r="D3533" s="1" t="str">
        <f t="shared" si="7195"/>
        <v>2021</v>
      </c>
      <c r="E3533" s="1" t="str">
        <f>"48.36"</f>
        <v>48.36</v>
      </c>
      <c r="F3533" s="1" t="str">
        <f t="shared" ref="F3533:I3533" si="7221">"0"</f>
        <v>0</v>
      </c>
      <c r="G3533" s="1" t="str">
        <f t="shared" si="7221"/>
        <v>0</v>
      </c>
      <c r="H3533" s="1" t="str">
        <f t="shared" si="7221"/>
        <v>0</v>
      </c>
      <c r="I3533" s="1" t="str">
        <f t="shared" si="7221"/>
        <v>0</v>
      </c>
      <c r="J3533" s="1" t="str">
        <f>"7"</f>
        <v>7</v>
      </c>
      <c r="K3533" s="1" t="str">
        <f t="shared" ref="K3533:P3533" si="7222">"0"</f>
        <v>0</v>
      </c>
      <c r="L3533" s="1" t="str">
        <f t="shared" si="7222"/>
        <v>0</v>
      </c>
      <c r="M3533" s="1" t="str">
        <f t="shared" si="7222"/>
        <v>0</v>
      </c>
      <c r="N3533" s="1" t="str">
        <f t="shared" si="7222"/>
        <v>0</v>
      </c>
      <c r="O3533" s="1" t="str">
        <f t="shared" si="7222"/>
        <v>0</v>
      </c>
      <c r="P3533" s="1" t="str">
        <f t="shared" si="7222"/>
        <v>0</v>
      </c>
      <c r="Q3533" s="1" t="str">
        <f t="shared" si="7198"/>
        <v>0.0070</v>
      </c>
      <c r="R3533" s="1" t="s">
        <v>29</v>
      </c>
      <c r="S3533" s="1">
        <v>-0.0014</v>
      </c>
      <c r="T3533" s="1" t="str">
        <f t="shared" si="7199"/>
        <v>0</v>
      </c>
      <c r="U3533" s="1" t="str">
        <f t="shared" ref="U3533:U3539" si="7223">"0.0056"</f>
        <v>0.0056</v>
      </c>
    </row>
    <row r="3534" s="1" customFormat="1" spans="1:21">
      <c r="A3534" s="1" t="str">
        <f>"4601992067421"</f>
        <v>4601992067421</v>
      </c>
      <c r="B3534" s="1" t="s">
        <v>3557</v>
      </c>
      <c r="C3534" s="1" t="s">
        <v>24</v>
      </c>
      <c r="D3534" s="1" t="str">
        <f t="shared" si="7195"/>
        <v>2021</v>
      </c>
      <c r="E3534" s="1" t="str">
        <f>"35.94"</f>
        <v>35.94</v>
      </c>
      <c r="F3534" s="1" t="str">
        <f t="shared" ref="F3534:I3534" si="7224">"0"</f>
        <v>0</v>
      </c>
      <c r="G3534" s="1" t="str">
        <f t="shared" si="7224"/>
        <v>0</v>
      </c>
      <c r="H3534" s="1" t="str">
        <f t="shared" si="7224"/>
        <v>0</v>
      </c>
      <c r="I3534" s="1" t="str">
        <f t="shared" si="7224"/>
        <v>0</v>
      </c>
      <c r="J3534" s="1" t="str">
        <f>"3"</f>
        <v>3</v>
      </c>
      <c r="K3534" s="1" t="str">
        <f t="shared" ref="K3534:P3534" si="7225">"0"</f>
        <v>0</v>
      </c>
      <c r="L3534" s="1" t="str">
        <f t="shared" si="7225"/>
        <v>0</v>
      </c>
      <c r="M3534" s="1" t="str">
        <f t="shared" si="7225"/>
        <v>0</v>
      </c>
      <c r="N3534" s="1" t="str">
        <f t="shared" si="7225"/>
        <v>0</v>
      </c>
      <c r="O3534" s="1" t="str">
        <f t="shared" si="7225"/>
        <v>0</v>
      </c>
      <c r="P3534" s="1" t="str">
        <f t="shared" si="7225"/>
        <v>0</v>
      </c>
      <c r="Q3534" s="1" t="str">
        <f t="shared" si="7198"/>
        <v>0.0070</v>
      </c>
      <c r="R3534" s="1" t="s">
        <v>29</v>
      </c>
      <c r="S3534" s="1">
        <v>-0.0014</v>
      </c>
      <c r="T3534" s="1" t="str">
        <f t="shared" si="7199"/>
        <v>0</v>
      </c>
      <c r="U3534" s="1" t="str">
        <f t="shared" si="7223"/>
        <v>0.0056</v>
      </c>
    </row>
    <row r="3535" s="1" customFormat="1" spans="1:21">
      <c r="A3535" s="1" t="str">
        <f>"4601992067447"</f>
        <v>4601992067447</v>
      </c>
      <c r="B3535" s="1" t="s">
        <v>3558</v>
      </c>
      <c r="C3535" s="1" t="s">
        <v>24</v>
      </c>
      <c r="D3535" s="1" t="str">
        <f t="shared" si="7195"/>
        <v>2021</v>
      </c>
      <c r="E3535" s="1" t="str">
        <f>"35.94"</f>
        <v>35.94</v>
      </c>
      <c r="F3535" s="1" t="str">
        <f t="shared" ref="F3535:I3535" si="7226">"0"</f>
        <v>0</v>
      </c>
      <c r="G3535" s="1" t="str">
        <f t="shared" si="7226"/>
        <v>0</v>
      </c>
      <c r="H3535" s="1" t="str">
        <f t="shared" si="7226"/>
        <v>0</v>
      </c>
      <c r="I3535" s="1" t="str">
        <f t="shared" si="7226"/>
        <v>0</v>
      </c>
      <c r="J3535" s="1" t="str">
        <f>"3"</f>
        <v>3</v>
      </c>
      <c r="K3535" s="1" t="str">
        <f t="shared" ref="K3535:P3535" si="7227">"0"</f>
        <v>0</v>
      </c>
      <c r="L3535" s="1" t="str">
        <f t="shared" si="7227"/>
        <v>0</v>
      </c>
      <c r="M3535" s="1" t="str">
        <f t="shared" si="7227"/>
        <v>0</v>
      </c>
      <c r="N3535" s="1" t="str">
        <f t="shared" si="7227"/>
        <v>0</v>
      </c>
      <c r="O3535" s="1" t="str">
        <f t="shared" si="7227"/>
        <v>0</v>
      </c>
      <c r="P3535" s="1" t="str">
        <f t="shared" si="7227"/>
        <v>0</v>
      </c>
      <c r="Q3535" s="1" t="str">
        <f t="shared" si="7198"/>
        <v>0.0070</v>
      </c>
      <c r="R3535" s="1" t="s">
        <v>29</v>
      </c>
      <c r="S3535" s="1">
        <v>-0.0014</v>
      </c>
      <c r="T3535" s="1" t="str">
        <f t="shared" si="7199"/>
        <v>0</v>
      </c>
      <c r="U3535" s="1" t="str">
        <f t="shared" si="7223"/>
        <v>0.0056</v>
      </c>
    </row>
    <row r="3536" s="1" customFormat="1" spans="1:21">
      <c r="A3536" s="1" t="str">
        <f>"4601992067435"</f>
        <v>4601992067435</v>
      </c>
      <c r="B3536" s="1" t="s">
        <v>3559</v>
      </c>
      <c r="C3536" s="1" t="s">
        <v>24</v>
      </c>
      <c r="D3536" s="1" t="str">
        <f t="shared" si="7195"/>
        <v>2021</v>
      </c>
      <c r="E3536" s="1" t="str">
        <f>"73.50"</f>
        <v>73.50</v>
      </c>
      <c r="F3536" s="1" t="str">
        <f t="shared" ref="F3536:I3536" si="7228">"0"</f>
        <v>0</v>
      </c>
      <c r="G3536" s="1" t="str">
        <f t="shared" si="7228"/>
        <v>0</v>
      </c>
      <c r="H3536" s="1" t="str">
        <f t="shared" si="7228"/>
        <v>0</v>
      </c>
      <c r="I3536" s="1" t="str">
        <f t="shared" si="7228"/>
        <v>0</v>
      </c>
      <c r="J3536" s="1" t="str">
        <f>"5"</f>
        <v>5</v>
      </c>
      <c r="K3536" s="1" t="str">
        <f t="shared" ref="K3536:P3536" si="7229">"0"</f>
        <v>0</v>
      </c>
      <c r="L3536" s="1" t="str">
        <f t="shared" si="7229"/>
        <v>0</v>
      </c>
      <c r="M3536" s="1" t="str">
        <f t="shared" si="7229"/>
        <v>0</v>
      </c>
      <c r="N3536" s="1" t="str">
        <f t="shared" si="7229"/>
        <v>0</v>
      </c>
      <c r="O3536" s="1" t="str">
        <f t="shared" si="7229"/>
        <v>0</v>
      </c>
      <c r="P3536" s="1" t="str">
        <f t="shared" si="7229"/>
        <v>0</v>
      </c>
      <c r="Q3536" s="1" t="str">
        <f t="shared" si="7198"/>
        <v>0.0070</v>
      </c>
      <c r="R3536" s="1" t="s">
        <v>29</v>
      </c>
      <c r="S3536" s="1">
        <v>-0.0014</v>
      </c>
      <c r="T3536" s="1" t="str">
        <f t="shared" si="7199"/>
        <v>0</v>
      </c>
      <c r="U3536" s="1" t="str">
        <f t="shared" si="7223"/>
        <v>0.0056</v>
      </c>
    </row>
    <row r="3537" s="1" customFormat="1" spans="1:21">
      <c r="A3537" s="1" t="str">
        <f>"4601992067468"</f>
        <v>4601992067468</v>
      </c>
      <c r="B3537" s="1" t="s">
        <v>3560</v>
      </c>
      <c r="C3537" s="1" t="s">
        <v>24</v>
      </c>
      <c r="D3537" s="1" t="str">
        <f t="shared" si="7195"/>
        <v>2021</v>
      </c>
      <c r="E3537" s="1" t="str">
        <f>"59.90"</f>
        <v>59.90</v>
      </c>
      <c r="F3537" s="1" t="str">
        <f t="shared" ref="F3537:I3537" si="7230">"0"</f>
        <v>0</v>
      </c>
      <c r="G3537" s="1" t="str">
        <f t="shared" si="7230"/>
        <v>0</v>
      </c>
      <c r="H3537" s="1" t="str">
        <f t="shared" si="7230"/>
        <v>0</v>
      </c>
      <c r="I3537" s="1" t="str">
        <f t="shared" si="7230"/>
        <v>0</v>
      </c>
      <c r="J3537" s="1" t="str">
        <f>"5"</f>
        <v>5</v>
      </c>
      <c r="K3537" s="1" t="str">
        <f t="shared" ref="K3537:P3537" si="7231">"0"</f>
        <v>0</v>
      </c>
      <c r="L3537" s="1" t="str">
        <f t="shared" si="7231"/>
        <v>0</v>
      </c>
      <c r="M3537" s="1" t="str">
        <f t="shared" si="7231"/>
        <v>0</v>
      </c>
      <c r="N3537" s="1" t="str">
        <f t="shared" si="7231"/>
        <v>0</v>
      </c>
      <c r="O3537" s="1" t="str">
        <f t="shared" si="7231"/>
        <v>0</v>
      </c>
      <c r="P3537" s="1" t="str">
        <f t="shared" si="7231"/>
        <v>0</v>
      </c>
      <c r="Q3537" s="1" t="str">
        <f t="shared" si="7198"/>
        <v>0.0070</v>
      </c>
      <c r="R3537" s="1" t="s">
        <v>29</v>
      </c>
      <c r="S3537" s="1">
        <v>-0.0014</v>
      </c>
      <c r="T3537" s="1" t="str">
        <f t="shared" si="7199"/>
        <v>0</v>
      </c>
      <c r="U3537" s="1" t="str">
        <f t="shared" si="7223"/>
        <v>0.0056</v>
      </c>
    </row>
    <row r="3538" s="1" customFormat="1" spans="1:21">
      <c r="A3538" s="1" t="str">
        <f>"4601992067473"</f>
        <v>4601992067473</v>
      </c>
      <c r="B3538" s="1" t="s">
        <v>3561</v>
      </c>
      <c r="C3538" s="1" t="s">
        <v>24</v>
      </c>
      <c r="D3538" s="1" t="str">
        <f t="shared" si="7195"/>
        <v>2021</v>
      </c>
      <c r="E3538" s="1" t="str">
        <f>"155.74"</f>
        <v>155.74</v>
      </c>
      <c r="F3538" s="1" t="str">
        <f t="shared" ref="F3538:I3538" si="7232">"0"</f>
        <v>0</v>
      </c>
      <c r="G3538" s="1" t="str">
        <f t="shared" si="7232"/>
        <v>0</v>
      </c>
      <c r="H3538" s="1" t="str">
        <f t="shared" si="7232"/>
        <v>0</v>
      </c>
      <c r="I3538" s="1" t="str">
        <f t="shared" si="7232"/>
        <v>0</v>
      </c>
      <c r="J3538" s="1" t="str">
        <f>"11"</f>
        <v>11</v>
      </c>
      <c r="K3538" s="1" t="str">
        <f t="shared" ref="K3538:P3538" si="7233">"0"</f>
        <v>0</v>
      </c>
      <c r="L3538" s="1" t="str">
        <f t="shared" si="7233"/>
        <v>0</v>
      </c>
      <c r="M3538" s="1" t="str">
        <f t="shared" si="7233"/>
        <v>0</v>
      </c>
      <c r="N3538" s="1" t="str">
        <f t="shared" si="7233"/>
        <v>0</v>
      </c>
      <c r="O3538" s="1" t="str">
        <f t="shared" si="7233"/>
        <v>0</v>
      </c>
      <c r="P3538" s="1" t="str">
        <f t="shared" si="7233"/>
        <v>0</v>
      </c>
      <c r="Q3538" s="1" t="str">
        <f t="shared" si="7198"/>
        <v>0.0070</v>
      </c>
      <c r="R3538" s="1" t="s">
        <v>29</v>
      </c>
      <c r="S3538" s="1">
        <v>-0.0014</v>
      </c>
      <c r="T3538" s="1" t="str">
        <f t="shared" si="7199"/>
        <v>0</v>
      </c>
      <c r="U3538" s="1" t="str">
        <f t="shared" si="7223"/>
        <v>0.0056</v>
      </c>
    </row>
    <row r="3539" s="1" customFormat="1" spans="1:21">
      <c r="A3539" s="1" t="str">
        <f>"4601992067537"</f>
        <v>4601992067537</v>
      </c>
      <c r="B3539" s="1" t="s">
        <v>3562</v>
      </c>
      <c r="C3539" s="1" t="s">
        <v>24</v>
      </c>
      <c r="D3539" s="1" t="str">
        <f t="shared" si="7195"/>
        <v>2021</v>
      </c>
      <c r="E3539" s="1" t="str">
        <f>"119.80"</f>
        <v>119.80</v>
      </c>
      <c r="F3539" s="1" t="str">
        <f t="shared" ref="F3539:I3539" si="7234">"0"</f>
        <v>0</v>
      </c>
      <c r="G3539" s="1" t="str">
        <f t="shared" si="7234"/>
        <v>0</v>
      </c>
      <c r="H3539" s="1" t="str">
        <f t="shared" si="7234"/>
        <v>0</v>
      </c>
      <c r="I3539" s="1" t="str">
        <f t="shared" si="7234"/>
        <v>0</v>
      </c>
      <c r="J3539" s="1" t="str">
        <f>"8"</f>
        <v>8</v>
      </c>
      <c r="K3539" s="1" t="str">
        <f t="shared" ref="K3539:P3539" si="7235">"0"</f>
        <v>0</v>
      </c>
      <c r="L3539" s="1" t="str">
        <f t="shared" si="7235"/>
        <v>0</v>
      </c>
      <c r="M3539" s="1" t="str">
        <f t="shared" si="7235"/>
        <v>0</v>
      </c>
      <c r="N3539" s="1" t="str">
        <f t="shared" si="7235"/>
        <v>0</v>
      </c>
      <c r="O3539" s="1" t="str">
        <f t="shared" si="7235"/>
        <v>0</v>
      </c>
      <c r="P3539" s="1" t="str">
        <f t="shared" si="7235"/>
        <v>0</v>
      </c>
      <c r="Q3539" s="1" t="str">
        <f t="shared" si="7198"/>
        <v>0.0070</v>
      </c>
      <c r="R3539" s="1" t="s">
        <v>29</v>
      </c>
      <c r="S3539" s="1">
        <v>-0.0014</v>
      </c>
      <c r="T3539" s="1" t="str">
        <f t="shared" si="7199"/>
        <v>0</v>
      </c>
      <c r="U3539" s="1" t="str">
        <f t="shared" si="7223"/>
        <v>0.0056</v>
      </c>
    </row>
    <row r="3540" s="1" customFormat="1" spans="1:21">
      <c r="A3540" s="1" t="str">
        <f>"4601992067555"</f>
        <v>4601992067555</v>
      </c>
      <c r="B3540" s="1" t="s">
        <v>3563</v>
      </c>
      <c r="C3540" s="1" t="s">
        <v>24</v>
      </c>
      <c r="D3540" s="1" t="str">
        <f t="shared" si="7195"/>
        <v>2021</v>
      </c>
      <c r="E3540" s="1" t="str">
        <f t="shared" ref="E3540:P3540" si="7236">"0"</f>
        <v>0</v>
      </c>
      <c r="F3540" s="1" t="str">
        <f t="shared" si="7236"/>
        <v>0</v>
      </c>
      <c r="G3540" s="1" t="str">
        <f t="shared" si="7236"/>
        <v>0</v>
      </c>
      <c r="H3540" s="1" t="str">
        <f t="shared" si="7236"/>
        <v>0</v>
      </c>
      <c r="I3540" s="1" t="str">
        <f t="shared" si="7236"/>
        <v>0</v>
      </c>
      <c r="J3540" s="1" t="str">
        <f t="shared" si="7236"/>
        <v>0</v>
      </c>
      <c r="K3540" s="1" t="str">
        <f t="shared" si="7236"/>
        <v>0</v>
      </c>
      <c r="L3540" s="1" t="str">
        <f t="shared" si="7236"/>
        <v>0</v>
      </c>
      <c r="M3540" s="1" t="str">
        <f t="shared" si="7236"/>
        <v>0</v>
      </c>
      <c r="N3540" s="1" t="str">
        <f t="shared" si="7236"/>
        <v>0</v>
      </c>
      <c r="O3540" s="1" t="str">
        <f t="shared" si="7236"/>
        <v>0</v>
      </c>
      <c r="P3540" s="1" t="str">
        <f t="shared" si="7236"/>
        <v>0</v>
      </c>
      <c r="Q3540" s="1" t="str">
        <f t="shared" si="7198"/>
        <v>0.0070</v>
      </c>
      <c r="R3540" s="1" t="s">
        <v>25</v>
      </c>
      <c r="T3540" s="1" t="str">
        <f t="shared" si="7199"/>
        <v>0</v>
      </c>
      <c r="U3540" s="1" t="str">
        <f>"0.0070"</f>
        <v>0.0070</v>
      </c>
    </row>
    <row r="3541" s="1" customFormat="1" spans="1:21">
      <c r="A3541" s="1" t="str">
        <f>"4601992062856"</f>
        <v>4601992062856</v>
      </c>
      <c r="B3541" s="1" t="s">
        <v>3564</v>
      </c>
      <c r="C3541" s="1" t="s">
        <v>24</v>
      </c>
      <c r="D3541" s="1" t="str">
        <f t="shared" si="7195"/>
        <v>2021</v>
      </c>
      <c r="E3541" s="1" t="str">
        <f t="shared" ref="E3541:E3546" si="7237">"23.96"</f>
        <v>23.96</v>
      </c>
      <c r="F3541" s="1" t="str">
        <f t="shared" ref="F3541:I3541" si="7238">"0"</f>
        <v>0</v>
      </c>
      <c r="G3541" s="1" t="str">
        <f t="shared" si="7238"/>
        <v>0</v>
      </c>
      <c r="H3541" s="1" t="str">
        <f t="shared" si="7238"/>
        <v>0</v>
      </c>
      <c r="I3541" s="1" t="str">
        <f t="shared" si="7238"/>
        <v>0</v>
      </c>
      <c r="J3541" s="1" t="str">
        <f t="shared" ref="J3541:J3547" si="7239">"2"</f>
        <v>2</v>
      </c>
      <c r="K3541" s="1" t="str">
        <f t="shared" ref="K3541:P3541" si="7240">"0"</f>
        <v>0</v>
      </c>
      <c r="L3541" s="1" t="str">
        <f t="shared" si="7240"/>
        <v>0</v>
      </c>
      <c r="M3541" s="1" t="str">
        <f t="shared" si="7240"/>
        <v>0</v>
      </c>
      <c r="N3541" s="1" t="str">
        <f t="shared" si="7240"/>
        <v>0</v>
      </c>
      <c r="O3541" s="1" t="str">
        <f t="shared" si="7240"/>
        <v>0</v>
      </c>
      <c r="P3541" s="1" t="str">
        <f t="shared" si="7240"/>
        <v>0</v>
      </c>
      <c r="Q3541" s="1" t="str">
        <f t="shared" si="7198"/>
        <v>0.0070</v>
      </c>
      <c r="R3541" s="1" t="s">
        <v>29</v>
      </c>
      <c r="S3541" s="1">
        <v>-0.0014</v>
      </c>
      <c r="T3541" s="1" t="str">
        <f t="shared" si="7199"/>
        <v>0</v>
      </c>
      <c r="U3541" s="1" t="str">
        <f t="shared" ref="U3541:U3547" si="7241">"0.0056"</f>
        <v>0.0056</v>
      </c>
    </row>
    <row r="3542" s="1" customFormat="1" spans="1:21">
      <c r="A3542" s="1" t="str">
        <f>"4601992067567"</f>
        <v>4601992067567</v>
      </c>
      <c r="B3542" s="1" t="s">
        <v>3565</v>
      </c>
      <c r="C3542" s="1" t="s">
        <v>24</v>
      </c>
      <c r="D3542" s="1" t="str">
        <f t="shared" si="7195"/>
        <v>2021</v>
      </c>
      <c r="E3542" s="1" t="str">
        <f>"35.94"</f>
        <v>35.94</v>
      </c>
      <c r="F3542" s="1" t="str">
        <f t="shared" ref="F3542:I3542" si="7242">"0"</f>
        <v>0</v>
      </c>
      <c r="G3542" s="1" t="str">
        <f t="shared" si="7242"/>
        <v>0</v>
      </c>
      <c r="H3542" s="1" t="str">
        <f t="shared" si="7242"/>
        <v>0</v>
      </c>
      <c r="I3542" s="1" t="str">
        <f t="shared" si="7242"/>
        <v>0</v>
      </c>
      <c r="J3542" s="1" t="str">
        <f>"3"</f>
        <v>3</v>
      </c>
      <c r="K3542" s="1" t="str">
        <f t="shared" ref="K3542:P3542" si="7243">"0"</f>
        <v>0</v>
      </c>
      <c r="L3542" s="1" t="str">
        <f t="shared" si="7243"/>
        <v>0</v>
      </c>
      <c r="M3542" s="1" t="str">
        <f t="shared" si="7243"/>
        <v>0</v>
      </c>
      <c r="N3542" s="1" t="str">
        <f t="shared" si="7243"/>
        <v>0</v>
      </c>
      <c r="O3542" s="1" t="str">
        <f t="shared" si="7243"/>
        <v>0</v>
      </c>
      <c r="P3542" s="1" t="str">
        <f t="shared" si="7243"/>
        <v>0</v>
      </c>
      <c r="Q3542" s="1" t="str">
        <f t="shared" si="7198"/>
        <v>0.0070</v>
      </c>
      <c r="R3542" s="1" t="s">
        <v>29</v>
      </c>
      <c r="S3542" s="1">
        <v>-0.0014</v>
      </c>
      <c r="T3542" s="1" t="str">
        <f t="shared" si="7199"/>
        <v>0</v>
      </c>
      <c r="U3542" s="1" t="str">
        <f t="shared" si="7241"/>
        <v>0.0056</v>
      </c>
    </row>
    <row r="3543" s="1" customFormat="1" spans="1:21">
      <c r="A3543" s="1" t="str">
        <f>"4601992067556"</f>
        <v>4601992067556</v>
      </c>
      <c r="B3543" s="1" t="s">
        <v>3566</v>
      </c>
      <c r="C3543" s="1" t="s">
        <v>24</v>
      </c>
      <c r="D3543" s="1" t="str">
        <f t="shared" si="7195"/>
        <v>2021</v>
      </c>
      <c r="E3543" s="1" t="str">
        <f t="shared" si="7237"/>
        <v>23.96</v>
      </c>
      <c r="F3543" s="1" t="str">
        <f t="shared" ref="F3543:I3543" si="7244">"0"</f>
        <v>0</v>
      </c>
      <c r="G3543" s="1" t="str">
        <f t="shared" si="7244"/>
        <v>0</v>
      </c>
      <c r="H3543" s="1" t="str">
        <f t="shared" si="7244"/>
        <v>0</v>
      </c>
      <c r="I3543" s="1" t="str">
        <f t="shared" si="7244"/>
        <v>0</v>
      </c>
      <c r="J3543" s="1" t="str">
        <f>"3"</f>
        <v>3</v>
      </c>
      <c r="K3543" s="1" t="str">
        <f t="shared" ref="K3543:P3543" si="7245">"0"</f>
        <v>0</v>
      </c>
      <c r="L3543" s="1" t="str">
        <f t="shared" si="7245"/>
        <v>0</v>
      </c>
      <c r="M3543" s="1" t="str">
        <f t="shared" si="7245"/>
        <v>0</v>
      </c>
      <c r="N3543" s="1" t="str">
        <f t="shared" si="7245"/>
        <v>0</v>
      </c>
      <c r="O3543" s="1" t="str">
        <f t="shared" si="7245"/>
        <v>0</v>
      </c>
      <c r="P3543" s="1" t="str">
        <f t="shared" si="7245"/>
        <v>0</v>
      </c>
      <c r="Q3543" s="1" t="str">
        <f t="shared" si="7198"/>
        <v>0.0070</v>
      </c>
      <c r="R3543" s="1" t="s">
        <v>29</v>
      </c>
      <c r="S3543" s="1">
        <v>-0.0014</v>
      </c>
      <c r="T3543" s="1" t="str">
        <f t="shared" si="7199"/>
        <v>0</v>
      </c>
      <c r="U3543" s="1" t="str">
        <f t="shared" si="7241"/>
        <v>0.0056</v>
      </c>
    </row>
    <row r="3544" s="1" customFormat="1" spans="1:21">
      <c r="A3544" s="1" t="str">
        <f>"4601992067583"</f>
        <v>4601992067583</v>
      </c>
      <c r="B3544" s="1" t="s">
        <v>3567</v>
      </c>
      <c r="C3544" s="1" t="s">
        <v>24</v>
      </c>
      <c r="D3544" s="1" t="str">
        <f t="shared" si="7195"/>
        <v>2021</v>
      </c>
      <c r="E3544" s="1" t="str">
        <f>"24.18"</f>
        <v>24.18</v>
      </c>
      <c r="F3544" s="1" t="str">
        <f t="shared" ref="F3544:I3544" si="7246">"0"</f>
        <v>0</v>
      </c>
      <c r="G3544" s="1" t="str">
        <f t="shared" si="7246"/>
        <v>0</v>
      </c>
      <c r="H3544" s="1" t="str">
        <f t="shared" si="7246"/>
        <v>0</v>
      </c>
      <c r="I3544" s="1" t="str">
        <f t="shared" si="7246"/>
        <v>0</v>
      </c>
      <c r="J3544" s="1" t="str">
        <f t="shared" si="7239"/>
        <v>2</v>
      </c>
      <c r="K3544" s="1" t="str">
        <f t="shared" ref="K3544:P3544" si="7247">"0"</f>
        <v>0</v>
      </c>
      <c r="L3544" s="1" t="str">
        <f t="shared" si="7247"/>
        <v>0</v>
      </c>
      <c r="M3544" s="1" t="str">
        <f t="shared" si="7247"/>
        <v>0</v>
      </c>
      <c r="N3544" s="1" t="str">
        <f t="shared" si="7247"/>
        <v>0</v>
      </c>
      <c r="O3544" s="1" t="str">
        <f t="shared" si="7247"/>
        <v>0</v>
      </c>
      <c r="P3544" s="1" t="str">
        <f t="shared" si="7247"/>
        <v>0</v>
      </c>
      <c r="Q3544" s="1" t="str">
        <f t="shared" si="7198"/>
        <v>0.0070</v>
      </c>
      <c r="R3544" s="1" t="s">
        <v>29</v>
      </c>
      <c r="S3544" s="1">
        <v>-0.0014</v>
      </c>
      <c r="T3544" s="1" t="str">
        <f t="shared" si="7199"/>
        <v>0</v>
      </c>
      <c r="U3544" s="1" t="str">
        <f t="shared" si="7241"/>
        <v>0.0056</v>
      </c>
    </row>
    <row r="3545" s="1" customFormat="1" spans="1:21">
      <c r="A3545" s="1" t="str">
        <f>"4601991413023"</f>
        <v>4601991413023</v>
      </c>
      <c r="B3545" s="1" t="s">
        <v>3568</v>
      </c>
      <c r="C3545" s="1" t="s">
        <v>24</v>
      </c>
      <c r="D3545" s="1" t="str">
        <f t="shared" si="7195"/>
        <v>2021</v>
      </c>
      <c r="E3545" s="1" t="str">
        <f>"28.00"</f>
        <v>28.00</v>
      </c>
      <c r="F3545" s="1" t="str">
        <f t="shared" ref="F3545:I3545" si="7248">"0"</f>
        <v>0</v>
      </c>
      <c r="G3545" s="1" t="str">
        <f t="shared" si="7248"/>
        <v>0</v>
      </c>
      <c r="H3545" s="1" t="str">
        <f t="shared" si="7248"/>
        <v>0</v>
      </c>
      <c r="I3545" s="1" t="str">
        <f t="shared" si="7248"/>
        <v>0</v>
      </c>
      <c r="J3545" s="1" t="str">
        <f>"1"</f>
        <v>1</v>
      </c>
      <c r="K3545" s="1" t="str">
        <f t="shared" ref="K3545:P3545" si="7249">"0"</f>
        <v>0</v>
      </c>
      <c r="L3545" s="1" t="str">
        <f t="shared" si="7249"/>
        <v>0</v>
      </c>
      <c r="M3545" s="1" t="str">
        <f t="shared" si="7249"/>
        <v>0</v>
      </c>
      <c r="N3545" s="1" t="str">
        <f t="shared" si="7249"/>
        <v>0</v>
      </c>
      <c r="O3545" s="1" t="str">
        <f t="shared" si="7249"/>
        <v>0</v>
      </c>
      <c r="P3545" s="1" t="str">
        <f t="shared" si="7249"/>
        <v>0</v>
      </c>
      <c r="Q3545" s="1" t="str">
        <f t="shared" si="7198"/>
        <v>0.0070</v>
      </c>
      <c r="R3545" s="1" t="s">
        <v>29</v>
      </c>
      <c r="S3545" s="1">
        <v>-0.0014</v>
      </c>
      <c r="T3545" s="1" t="str">
        <f t="shared" si="7199"/>
        <v>0</v>
      </c>
      <c r="U3545" s="1" t="str">
        <f t="shared" si="7241"/>
        <v>0.0056</v>
      </c>
    </row>
    <row r="3546" s="1" customFormat="1" spans="1:21">
      <c r="A3546" s="1" t="str">
        <f>"4601992067619"</f>
        <v>4601992067619</v>
      </c>
      <c r="B3546" s="1" t="s">
        <v>3569</v>
      </c>
      <c r="C3546" s="1" t="s">
        <v>24</v>
      </c>
      <c r="D3546" s="1" t="str">
        <f t="shared" si="7195"/>
        <v>2021</v>
      </c>
      <c r="E3546" s="1" t="str">
        <f t="shared" si="7237"/>
        <v>23.96</v>
      </c>
      <c r="F3546" s="1" t="str">
        <f t="shared" ref="F3546:I3546" si="7250">"0"</f>
        <v>0</v>
      </c>
      <c r="G3546" s="1" t="str">
        <f t="shared" si="7250"/>
        <v>0</v>
      </c>
      <c r="H3546" s="1" t="str">
        <f t="shared" si="7250"/>
        <v>0</v>
      </c>
      <c r="I3546" s="1" t="str">
        <f t="shared" si="7250"/>
        <v>0</v>
      </c>
      <c r="J3546" s="1" t="str">
        <f t="shared" si="7239"/>
        <v>2</v>
      </c>
      <c r="K3546" s="1" t="str">
        <f t="shared" ref="K3546:P3546" si="7251">"0"</f>
        <v>0</v>
      </c>
      <c r="L3546" s="1" t="str">
        <f t="shared" si="7251"/>
        <v>0</v>
      </c>
      <c r="M3546" s="1" t="str">
        <f t="shared" si="7251"/>
        <v>0</v>
      </c>
      <c r="N3546" s="1" t="str">
        <f t="shared" si="7251"/>
        <v>0</v>
      </c>
      <c r="O3546" s="1" t="str">
        <f t="shared" si="7251"/>
        <v>0</v>
      </c>
      <c r="P3546" s="1" t="str">
        <f t="shared" si="7251"/>
        <v>0</v>
      </c>
      <c r="Q3546" s="1" t="str">
        <f t="shared" si="7198"/>
        <v>0.0070</v>
      </c>
      <c r="R3546" s="1" t="s">
        <v>29</v>
      </c>
      <c r="S3546" s="1">
        <v>-0.0014</v>
      </c>
      <c r="T3546" s="1" t="str">
        <f t="shared" si="7199"/>
        <v>0</v>
      </c>
      <c r="U3546" s="1" t="str">
        <f t="shared" si="7241"/>
        <v>0.0056</v>
      </c>
    </row>
    <row r="3547" s="1" customFormat="1" spans="1:21">
      <c r="A3547" s="1" t="str">
        <f>"4601992067630"</f>
        <v>4601992067630</v>
      </c>
      <c r="B3547" s="1" t="s">
        <v>3570</v>
      </c>
      <c r="C3547" s="1" t="s">
        <v>24</v>
      </c>
      <c r="D3547" s="1" t="str">
        <f t="shared" si="7195"/>
        <v>2021</v>
      </c>
      <c r="E3547" s="1" t="str">
        <f>"11.98"</f>
        <v>11.98</v>
      </c>
      <c r="F3547" s="1" t="str">
        <f t="shared" ref="F3547:I3547" si="7252">"0"</f>
        <v>0</v>
      </c>
      <c r="G3547" s="1" t="str">
        <f t="shared" si="7252"/>
        <v>0</v>
      </c>
      <c r="H3547" s="1" t="str">
        <f t="shared" si="7252"/>
        <v>0</v>
      </c>
      <c r="I3547" s="1" t="str">
        <f t="shared" si="7252"/>
        <v>0</v>
      </c>
      <c r="J3547" s="1" t="str">
        <f t="shared" si="7239"/>
        <v>2</v>
      </c>
      <c r="K3547" s="1" t="str">
        <f t="shared" ref="K3547:P3547" si="7253">"0"</f>
        <v>0</v>
      </c>
      <c r="L3547" s="1" t="str">
        <f t="shared" si="7253"/>
        <v>0</v>
      </c>
      <c r="M3547" s="1" t="str">
        <f t="shared" si="7253"/>
        <v>0</v>
      </c>
      <c r="N3547" s="1" t="str">
        <f t="shared" si="7253"/>
        <v>0</v>
      </c>
      <c r="O3547" s="1" t="str">
        <f t="shared" si="7253"/>
        <v>0</v>
      </c>
      <c r="P3547" s="1" t="str">
        <f t="shared" si="7253"/>
        <v>0</v>
      </c>
      <c r="Q3547" s="1" t="str">
        <f t="shared" si="7198"/>
        <v>0.0070</v>
      </c>
      <c r="R3547" s="1" t="s">
        <v>29</v>
      </c>
      <c r="S3547" s="1">
        <v>-0.0014</v>
      </c>
      <c r="T3547" s="1" t="str">
        <f t="shared" si="7199"/>
        <v>0</v>
      </c>
      <c r="U3547" s="1" t="str">
        <f t="shared" si="7241"/>
        <v>0.0056</v>
      </c>
    </row>
    <row r="3548" s="1" customFormat="1" spans="1:21">
      <c r="A3548" s="1" t="str">
        <f>"4601992067678"</f>
        <v>4601992067678</v>
      </c>
      <c r="B3548" s="1" t="s">
        <v>3571</v>
      </c>
      <c r="C3548" s="1" t="s">
        <v>24</v>
      </c>
      <c r="D3548" s="1" t="str">
        <f t="shared" si="7195"/>
        <v>2021</v>
      </c>
      <c r="E3548" s="1" t="str">
        <f t="shared" ref="E3548:G3548" si="7254">"0"</f>
        <v>0</v>
      </c>
      <c r="F3548" s="1" t="str">
        <f t="shared" si="7254"/>
        <v>0</v>
      </c>
      <c r="G3548" s="1" t="str">
        <f t="shared" si="7254"/>
        <v>0</v>
      </c>
      <c r="H3548" s="1" t="str">
        <f>"24.18"</f>
        <v>24.18</v>
      </c>
      <c r="I3548" s="1" t="str">
        <f t="shared" ref="I3548:P3548" si="7255">"0"</f>
        <v>0</v>
      </c>
      <c r="J3548" s="1" t="str">
        <f t="shared" si="7255"/>
        <v>0</v>
      </c>
      <c r="K3548" s="1" t="str">
        <f t="shared" si="7255"/>
        <v>0</v>
      </c>
      <c r="L3548" s="1" t="str">
        <f t="shared" si="7255"/>
        <v>0</v>
      </c>
      <c r="M3548" s="1" t="str">
        <f t="shared" si="7255"/>
        <v>0</v>
      </c>
      <c r="N3548" s="1" t="str">
        <f t="shared" si="7255"/>
        <v>0</v>
      </c>
      <c r="O3548" s="1" t="str">
        <f t="shared" si="7255"/>
        <v>0</v>
      </c>
      <c r="P3548" s="1" t="str">
        <f t="shared" si="7255"/>
        <v>0</v>
      </c>
      <c r="Q3548" s="1" t="str">
        <f t="shared" si="7198"/>
        <v>0.0070</v>
      </c>
      <c r="R3548" s="1" t="s">
        <v>25</v>
      </c>
      <c r="T3548" s="1" t="str">
        <f t="shared" si="7199"/>
        <v>0</v>
      </c>
      <c r="U3548" s="1" t="str">
        <f t="shared" ref="U3548:U3553" si="7256">"0.0070"</f>
        <v>0.0070</v>
      </c>
    </row>
    <row r="3549" s="1" customFormat="1" spans="1:21">
      <c r="A3549" s="1" t="str">
        <f>"4601992067672"</f>
        <v>4601992067672</v>
      </c>
      <c r="B3549" s="1" t="s">
        <v>3572</v>
      </c>
      <c r="C3549" s="1" t="s">
        <v>24</v>
      </c>
      <c r="D3549" s="1" t="str">
        <f t="shared" si="7195"/>
        <v>2021</v>
      </c>
      <c r="E3549" s="1" t="str">
        <f t="shared" ref="E3549:P3549" si="7257">"0"</f>
        <v>0</v>
      </c>
      <c r="F3549" s="1" t="str">
        <f t="shared" si="7257"/>
        <v>0</v>
      </c>
      <c r="G3549" s="1" t="str">
        <f t="shared" si="7257"/>
        <v>0</v>
      </c>
      <c r="H3549" s="1" t="str">
        <f t="shared" si="7257"/>
        <v>0</v>
      </c>
      <c r="I3549" s="1" t="str">
        <f t="shared" si="7257"/>
        <v>0</v>
      </c>
      <c r="J3549" s="1" t="str">
        <f t="shared" si="7257"/>
        <v>0</v>
      </c>
      <c r="K3549" s="1" t="str">
        <f t="shared" si="7257"/>
        <v>0</v>
      </c>
      <c r="L3549" s="1" t="str">
        <f t="shared" si="7257"/>
        <v>0</v>
      </c>
      <c r="M3549" s="1" t="str">
        <f t="shared" si="7257"/>
        <v>0</v>
      </c>
      <c r="N3549" s="1" t="str">
        <f t="shared" si="7257"/>
        <v>0</v>
      </c>
      <c r="O3549" s="1" t="str">
        <f t="shared" si="7257"/>
        <v>0</v>
      </c>
      <c r="P3549" s="1" t="str">
        <f t="shared" si="7257"/>
        <v>0</v>
      </c>
      <c r="Q3549" s="1" t="str">
        <f t="shared" si="7198"/>
        <v>0.0070</v>
      </c>
      <c r="R3549" s="1" t="s">
        <v>25</v>
      </c>
      <c r="T3549" s="1" t="str">
        <f t="shared" si="7199"/>
        <v>0</v>
      </c>
      <c r="U3549" s="1" t="str">
        <f t="shared" si="7256"/>
        <v>0.0070</v>
      </c>
    </row>
    <row r="3550" s="1" customFormat="1" spans="1:21">
      <c r="A3550" s="1" t="str">
        <f>"4601992067643"</f>
        <v>4601992067643</v>
      </c>
      <c r="B3550" s="1" t="s">
        <v>3573</v>
      </c>
      <c r="C3550" s="1" t="s">
        <v>24</v>
      </c>
      <c r="D3550" s="1" t="str">
        <f t="shared" si="7195"/>
        <v>2021</v>
      </c>
      <c r="E3550" s="1" t="str">
        <f>"11.98"</f>
        <v>11.98</v>
      </c>
      <c r="F3550" s="1" t="str">
        <f t="shared" ref="F3550:I3550" si="7258">"0"</f>
        <v>0</v>
      </c>
      <c r="G3550" s="1" t="str">
        <f t="shared" si="7258"/>
        <v>0</v>
      </c>
      <c r="H3550" s="1" t="str">
        <f t="shared" si="7258"/>
        <v>0</v>
      </c>
      <c r="I3550" s="1" t="str">
        <f t="shared" si="7258"/>
        <v>0</v>
      </c>
      <c r="J3550" s="1" t="str">
        <f>"2"</f>
        <v>2</v>
      </c>
      <c r="K3550" s="1" t="str">
        <f t="shared" ref="K3550:P3550" si="7259">"0"</f>
        <v>0</v>
      </c>
      <c r="L3550" s="1" t="str">
        <f t="shared" si="7259"/>
        <v>0</v>
      </c>
      <c r="M3550" s="1" t="str">
        <f t="shared" si="7259"/>
        <v>0</v>
      </c>
      <c r="N3550" s="1" t="str">
        <f t="shared" si="7259"/>
        <v>0</v>
      </c>
      <c r="O3550" s="1" t="str">
        <f t="shared" si="7259"/>
        <v>0</v>
      </c>
      <c r="P3550" s="1" t="str">
        <f t="shared" si="7259"/>
        <v>0</v>
      </c>
      <c r="Q3550" s="1" t="str">
        <f t="shared" si="7198"/>
        <v>0.0070</v>
      </c>
      <c r="R3550" s="1" t="s">
        <v>29</v>
      </c>
      <c r="S3550" s="1">
        <v>-0.0014</v>
      </c>
      <c r="T3550" s="1" t="str">
        <f t="shared" si="7199"/>
        <v>0</v>
      </c>
      <c r="U3550" s="1" t="str">
        <f>"0.0056"</f>
        <v>0.0056</v>
      </c>
    </row>
    <row r="3551" s="1" customFormat="1" spans="1:21">
      <c r="A3551" s="1" t="str">
        <f>"4601992067698"</f>
        <v>4601992067698</v>
      </c>
      <c r="B3551" s="1" t="s">
        <v>3574</v>
      </c>
      <c r="C3551" s="1" t="s">
        <v>24</v>
      </c>
      <c r="D3551" s="1" t="str">
        <f t="shared" si="7195"/>
        <v>2021</v>
      </c>
      <c r="E3551" s="1" t="str">
        <f t="shared" ref="E3551:P3551" si="7260">"0"</f>
        <v>0</v>
      </c>
      <c r="F3551" s="1" t="str">
        <f t="shared" si="7260"/>
        <v>0</v>
      </c>
      <c r="G3551" s="1" t="str">
        <f t="shared" si="7260"/>
        <v>0</v>
      </c>
      <c r="H3551" s="1" t="str">
        <f t="shared" si="7260"/>
        <v>0</v>
      </c>
      <c r="I3551" s="1" t="str">
        <f t="shared" si="7260"/>
        <v>0</v>
      </c>
      <c r="J3551" s="1" t="str">
        <f t="shared" si="7260"/>
        <v>0</v>
      </c>
      <c r="K3551" s="1" t="str">
        <f t="shared" si="7260"/>
        <v>0</v>
      </c>
      <c r="L3551" s="1" t="str">
        <f t="shared" si="7260"/>
        <v>0</v>
      </c>
      <c r="M3551" s="1" t="str">
        <f t="shared" si="7260"/>
        <v>0</v>
      </c>
      <c r="N3551" s="1" t="str">
        <f t="shared" si="7260"/>
        <v>0</v>
      </c>
      <c r="O3551" s="1" t="str">
        <f t="shared" si="7260"/>
        <v>0</v>
      </c>
      <c r="P3551" s="1" t="str">
        <f t="shared" si="7260"/>
        <v>0</v>
      </c>
      <c r="Q3551" s="1" t="str">
        <f t="shared" si="7198"/>
        <v>0.0070</v>
      </c>
      <c r="R3551" s="1" t="s">
        <v>25</v>
      </c>
      <c r="T3551" s="1" t="str">
        <f t="shared" si="7199"/>
        <v>0</v>
      </c>
      <c r="U3551" s="1" t="str">
        <f t="shared" si="7256"/>
        <v>0.0070</v>
      </c>
    </row>
    <row r="3552" s="1" customFormat="1" spans="1:21">
      <c r="A3552" s="1" t="str">
        <f>"4601992067700"</f>
        <v>4601992067700</v>
      </c>
      <c r="B3552" s="1" t="s">
        <v>3575</v>
      </c>
      <c r="C3552" s="1" t="s">
        <v>24</v>
      </c>
      <c r="D3552" s="1" t="str">
        <f t="shared" si="7195"/>
        <v>2021</v>
      </c>
      <c r="E3552" s="1" t="str">
        <f>"35.94"</f>
        <v>35.94</v>
      </c>
      <c r="F3552" s="1" t="str">
        <f t="shared" ref="F3552:I3552" si="7261">"0"</f>
        <v>0</v>
      </c>
      <c r="G3552" s="1" t="str">
        <f t="shared" si="7261"/>
        <v>0</v>
      </c>
      <c r="H3552" s="1" t="str">
        <f t="shared" si="7261"/>
        <v>0</v>
      </c>
      <c r="I3552" s="1" t="str">
        <f t="shared" si="7261"/>
        <v>0</v>
      </c>
      <c r="J3552" s="1" t="str">
        <f>"3"</f>
        <v>3</v>
      </c>
      <c r="K3552" s="1" t="str">
        <f t="shared" ref="K3552:P3552" si="7262">"0"</f>
        <v>0</v>
      </c>
      <c r="L3552" s="1" t="str">
        <f t="shared" si="7262"/>
        <v>0</v>
      </c>
      <c r="M3552" s="1" t="str">
        <f t="shared" si="7262"/>
        <v>0</v>
      </c>
      <c r="N3552" s="1" t="str">
        <f t="shared" si="7262"/>
        <v>0</v>
      </c>
      <c r="O3552" s="1" t="str">
        <f t="shared" si="7262"/>
        <v>0</v>
      </c>
      <c r="P3552" s="1" t="str">
        <f t="shared" si="7262"/>
        <v>0</v>
      </c>
      <c r="Q3552" s="1" t="str">
        <f t="shared" si="7198"/>
        <v>0.0070</v>
      </c>
      <c r="R3552" s="1" t="s">
        <v>25</v>
      </c>
      <c r="T3552" s="1" t="str">
        <f t="shared" si="7199"/>
        <v>0</v>
      </c>
      <c r="U3552" s="1" t="str">
        <f t="shared" si="7256"/>
        <v>0.0070</v>
      </c>
    </row>
    <row r="3553" s="1" customFormat="1" spans="1:21">
      <c r="A3553" s="1" t="str">
        <f>"4601992067729"</f>
        <v>4601992067729</v>
      </c>
      <c r="B3553" s="1" t="s">
        <v>3576</v>
      </c>
      <c r="C3553" s="1" t="s">
        <v>24</v>
      </c>
      <c r="D3553" s="1" t="str">
        <f t="shared" si="7195"/>
        <v>2021</v>
      </c>
      <c r="E3553" s="1" t="str">
        <f t="shared" ref="E3553:P3553" si="7263">"0"</f>
        <v>0</v>
      </c>
      <c r="F3553" s="1" t="str">
        <f t="shared" si="7263"/>
        <v>0</v>
      </c>
      <c r="G3553" s="1" t="str">
        <f t="shared" si="7263"/>
        <v>0</v>
      </c>
      <c r="H3553" s="1" t="str">
        <f t="shared" si="7263"/>
        <v>0</v>
      </c>
      <c r="I3553" s="1" t="str">
        <f t="shared" si="7263"/>
        <v>0</v>
      </c>
      <c r="J3553" s="1" t="str">
        <f t="shared" si="7263"/>
        <v>0</v>
      </c>
      <c r="K3553" s="1" t="str">
        <f t="shared" si="7263"/>
        <v>0</v>
      </c>
      <c r="L3553" s="1" t="str">
        <f t="shared" si="7263"/>
        <v>0</v>
      </c>
      <c r="M3553" s="1" t="str">
        <f t="shared" si="7263"/>
        <v>0</v>
      </c>
      <c r="N3553" s="1" t="str">
        <f t="shared" si="7263"/>
        <v>0</v>
      </c>
      <c r="O3553" s="1" t="str">
        <f t="shared" si="7263"/>
        <v>0</v>
      </c>
      <c r="P3553" s="1" t="str">
        <f t="shared" si="7263"/>
        <v>0</v>
      </c>
      <c r="Q3553" s="1" t="str">
        <f t="shared" si="7198"/>
        <v>0.0070</v>
      </c>
      <c r="R3553" s="1" t="s">
        <v>25</v>
      </c>
      <c r="T3553" s="1" t="str">
        <f t="shared" si="7199"/>
        <v>0</v>
      </c>
      <c r="U3553" s="1" t="str">
        <f t="shared" si="7256"/>
        <v>0.0070</v>
      </c>
    </row>
    <row r="3554" s="1" customFormat="1" spans="1:21">
      <c r="A3554" s="1" t="str">
        <f>"4601992067727"</f>
        <v>4601992067727</v>
      </c>
      <c r="B3554" s="1" t="s">
        <v>3577</v>
      </c>
      <c r="C3554" s="1" t="s">
        <v>24</v>
      </c>
      <c r="D3554" s="1" t="str">
        <f t="shared" si="7195"/>
        <v>2021</v>
      </c>
      <c r="E3554" s="1" t="str">
        <f>"24.50"</f>
        <v>24.50</v>
      </c>
      <c r="F3554" s="1" t="str">
        <f t="shared" ref="F3554:I3554" si="7264">"0"</f>
        <v>0</v>
      </c>
      <c r="G3554" s="1" t="str">
        <f t="shared" si="7264"/>
        <v>0</v>
      </c>
      <c r="H3554" s="1" t="str">
        <f t="shared" si="7264"/>
        <v>0</v>
      </c>
      <c r="I3554" s="1" t="str">
        <f t="shared" si="7264"/>
        <v>0</v>
      </c>
      <c r="J3554" s="1" t="str">
        <f>"2"</f>
        <v>2</v>
      </c>
      <c r="K3554" s="1" t="str">
        <f t="shared" ref="K3554:P3554" si="7265">"0"</f>
        <v>0</v>
      </c>
      <c r="L3554" s="1" t="str">
        <f t="shared" si="7265"/>
        <v>0</v>
      </c>
      <c r="M3554" s="1" t="str">
        <f t="shared" si="7265"/>
        <v>0</v>
      </c>
      <c r="N3554" s="1" t="str">
        <f t="shared" si="7265"/>
        <v>0</v>
      </c>
      <c r="O3554" s="1" t="str">
        <f t="shared" si="7265"/>
        <v>0</v>
      </c>
      <c r="P3554" s="1" t="str">
        <f t="shared" si="7265"/>
        <v>0</v>
      </c>
      <c r="Q3554" s="1" t="str">
        <f t="shared" si="7198"/>
        <v>0.0070</v>
      </c>
      <c r="R3554" s="1" t="s">
        <v>29</v>
      </c>
      <c r="S3554" s="1">
        <v>-0.0014</v>
      </c>
      <c r="T3554" s="1" t="str">
        <f t="shared" si="7199"/>
        <v>0</v>
      </c>
      <c r="U3554" s="1" t="str">
        <f t="shared" ref="U3554:U3558" si="7266">"0.0056"</f>
        <v>0.0056</v>
      </c>
    </row>
    <row r="3555" s="1" customFormat="1" spans="1:21">
      <c r="A3555" s="1" t="str">
        <f>"4601992067728"</f>
        <v>4601992067728</v>
      </c>
      <c r="B3555" s="1" t="s">
        <v>3578</v>
      </c>
      <c r="C3555" s="1" t="s">
        <v>24</v>
      </c>
      <c r="D3555" s="1" t="str">
        <f t="shared" si="7195"/>
        <v>2021</v>
      </c>
      <c r="E3555" s="1" t="str">
        <f t="shared" ref="E3555:G3555" si="7267">"0"</f>
        <v>0</v>
      </c>
      <c r="F3555" s="1" t="str">
        <f t="shared" si="7267"/>
        <v>0</v>
      </c>
      <c r="G3555" s="1" t="str">
        <f t="shared" si="7267"/>
        <v>0</v>
      </c>
      <c r="H3555" s="1" t="str">
        <f>"61.25"</f>
        <v>61.25</v>
      </c>
      <c r="I3555" s="1" t="str">
        <f t="shared" ref="I3555:P3555" si="7268">"0"</f>
        <v>0</v>
      </c>
      <c r="J3555" s="1" t="str">
        <f>"4"</f>
        <v>4</v>
      </c>
      <c r="K3555" s="1" t="str">
        <f t="shared" si="7268"/>
        <v>0</v>
      </c>
      <c r="L3555" s="1" t="str">
        <f t="shared" si="7268"/>
        <v>0</v>
      </c>
      <c r="M3555" s="1" t="str">
        <f t="shared" si="7268"/>
        <v>0</v>
      </c>
      <c r="N3555" s="1" t="str">
        <f t="shared" si="7268"/>
        <v>0</v>
      </c>
      <c r="O3555" s="1" t="str">
        <f t="shared" si="7268"/>
        <v>0</v>
      </c>
      <c r="P3555" s="1" t="str">
        <f t="shared" si="7268"/>
        <v>0</v>
      </c>
      <c r="Q3555" s="1" t="str">
        <f t="shared" si="7198"/>
        <v>0.0070</v>
      </c>
      <c r="R3555" s="1" t="s">
        <v>25</v>
      </c>
      <c r="T3555" s="1" t="str">
        <f t="shared" si="7199"/>
        <v>0</v>
      </c>
      <c r="U3555" s="1" t="str">
        <f t="shared" ref="U3555:U3566" si="7269">"0.0070"</f>
        <v>0.0070</v>
      </c>
    </row>
    <row r="3556" s="1" customFormat="1" spans="1:21">
      <c r="A3556" s="1" t="str">
        <f>"4601992067739"</f>
        <v>4601992067739</v>
      </c>
      <c r="B3556" s="1" t="s">
        <v>3579</v>
      </c>
      <c r="C3556" s="1" t="s">
        <v>24</v>
      </c>
      <c r="D3556" s="1" t="str">
        <f t="shared" si="7195"/>
        <v>2021</v>
      </c>
      <c r="E3556" s="1" t="str">
        <f>"11.98"</f>
        <v>11.98</v>
      </c>
      <c r="F3556" s="1" t="str">
        <f t="shared" ref="F3556:I3556" si="7270">"0"</f>
        <v>0</v>
      </c>
      <c r="G3556" s="1" t="str">
        <f t="shared" si="7270"/>
        <v>0</v>
      </c>
      <c r="H3556" s="1" t="str">
        <f t="shared" si="7270"/>
        <v>0</v>
      </c>
      <c r="I3556" s="1" t="str">
        <f t="shared" si="7270"/>
        <v>0</v>
      </c>
      <c r="J3556" s="1" t="str">
        <f>"1"</f>
        <v>1</v>
      </c>
      <c r="K3556" s="1" t="str">
        <f t="shared" ref="K3556:P3556" si="7271">"0"</f>
        <v>0</v>
      </c>
      <c r="L3556" s="1" t="str">
        <f t="shared" si="7271"/>
        <v>0</v>
      </c>
      <c r="M3556" s="1" t="str">
        <f t="shared" si="7271"/>
        <v>0</v>
      </c>
      <c r="N3556" s="1" t="str">
        <f t="shared" si="7271"/>
        <v>0</v>
      </c>
      <c r="O3556" s="1" t="str">
        <f t="shared" si="7271"/>
        <v>0</v>
      </c>
      <c r="P3556" s="1" t="str">
        <f t="shared" si="7271"/>
        <v>0</v>
      </c>
      <c r="Q3556" s="1" t="str">
        <f t="shared" si="7198"/>
        <v>0.0070</v>
      </c>
      <c r="R3556" s="1" t="s">
        <v>29</v>
      </c>
      <c r="S3556" s="1">
        <v>-0.0014</v>
      </c>
      <c r="T3556" s="1" t="str">
        <f t="shared" si="7199"/>
        <v>0</v>
      </c>
      <c r="U3556" s="1" t="str">
        <f t="shared" si="7266"/>
        <v>0.0056</v>
      </c>
    </row>
    <row r="3557" s="1" customFormat="1" spans="1:21">
      <c r="A3557" s="1" t="str">
        <f>"4601992067789"</f>
        <v>4601992067789</v>
      </c>
      <c r="B3557" s="1" t="s">
        <v>3580</v>
      </c>
      <c r="C3557" s="1" t="s">
        <v>24</v>
      </c>
      <c r="D3557" s="1" t="str">
        <f t="shared" si="7195"/>
        <v>2021</v>
      </c>
      <c r="E3557" s="1" t="str">
        <f>"11.98"</f>
        <v>11.98</v>
      </c>
      <c r="F3557" s="1" t="str">
        <f t="shared" ref="F3557:I3557" si="7272">"0"</f>
        <v>0</v>
      </c>
      <c r="G3557" s="1" t="str">
        <f t="shared" si="7272"/>
        <v>0</v>
      </c>
      <c r="H3557" s="1" t="str">
        <f t="shared" si="7272"/>
        <v>0</v>
      </c>
      <c r="I3557" s="1" t="str">
        <f t="shared" si="7272"/>
        <v>0</v>
      </c>
      <c r="J3557" s="1" t="str">
        <f>"1"</f>
        <v>1</v>
      </c>
      <c r="K3557" s="1" t="str">
        <f t="shared" ref="K3557:P3557" si="7273">"0"</f>
        <v>0</v>
      </c>
      <c r="L3557" s="1" t="str">
        <f t="shared" si="7273"/>
        <v>0</v>
      </c>
      <c r="M3557" s="1" t="str">
        <f t="shared" si="7273"/>
        <v>0</v>
      </c>
      <c r="N3557" s="1" t="str">
        <f t="shared" si="7273"/>
        <v>0</v>
      </c>
      <c r="O3557" s="1" t="str">
        <f t="shared" si="7273"/>
        <v>0</v>
      </c>
      <c r="P3557" s="1" t="str">
        <f t="shared" si="7273"/>
        <v>0</v>
      </c>
      <c r="Q3557" s="1" t="str">
        <f t="shared" si="7198"/>
        <v>0.0070</v>
      </c>
      <c r="R3557" s="1" t="s">
        <v>29</v>
      </c>
      <c r="S3557" s="1">
        <v>-0.0014</v>
      </c>
      <c r="T3557" s="1" t="str">
        <f t="shared" si="7199"/>
        <v>0</v>
      </c>
      <c r="U3557" s="1" t="str">
        <f t="shared" si="7266"/>
        <v>0.0056</v>
      </c>
    </row>
    <row r="3558" s="1" customFormat="1" spans="1:21">
      <c r="A3558" s="1" t="str">
        <f>"4601992067756"</f>
        <v>4601992067756</v>
      </c>
      <c r="B3558" s="1" t="s">
        <v>3581</v>
      </c>
      <c r="C3558" s="1" t="s">
        <v>24</v>
      </c>
      <c r="D3558" s="1" t="str">
        <f t="shared" si="7195"/>
        <v>2021</v>
      </c>
      <c r="E3558" s="1" t="str">
        <f>"12.25"</f>
        <v>12.25</v>
      </c>
      <c r="F3558" s="1" t="str">
        <f t="shared" ref="F3558:I3558" si="7274">"0"</f>
        <v>0</v>
      </c>
      <c r="G3558" s="1" t="str">
        <f t="shared" si="7274"/>
        <v>0</v>
      </c>
      <c r="H3558" s="1" t="str">
        <f t="shared" si="7274"/>
        <v>0</v>
      </c>
      <c r="I3558" s="1" t="str">
        <f t="shared" si="7274"/>
        <v>0</v>
      </c>
      <c r="J3558" s="1" t="str">
        <f>"2"</f>
        <v>2</v>
      </c>
      <c r="K3558" s="1" t="str">
        <f t="shared" ref="K3558:P3558" si="7275">"0"</f>
        <v>0</v>
      </c>
      <c r="L3558" s="1" t="str">
        <f t="shared" si="7275"/>
        <v>0</v>
      </c>
      <c r="M3558" s="1" t="str">
        <f t="shared" si="7275"/>
        <v>0</v>
      </c>
      <c r="N3558" s="1" t="str">
        <f t="shared" si="7275"/>
        <v>0</v>
      </c>
      <c r="O3558" s="1" t="str">
        <f t="shared" si="7275"/>
        <v>0</v>
      </c>
      <c r="P3558" s="1" t="str">
        <f t="shared" si="7275"/>
        <v>0</v>
      </c>
      <c r="Q3558" s="1" t="str">
        <f t="shared" si="7198"/>
        <v>0.0070</v>
      </c>
      <c r="R3558" s="1" t="s">
        <v>29</v>
      </c>
      <c r="S3558" s="1">
        <v>-0.0014</v>
      </c>
      <c r="T3558" s="1" t="str">
        <f t="shared" si="7199"/>
        <v>0</v>
      </c>
      <c r="U3558" s="1" t="str">
        <f t="shared" si="7266"/>
        <v>0.0056</v>
      </c>
    </row>
    <row r="3559" s="1" customFormat="1" spans="1:21">
      <c r="A3559" s="1" t="str">
        <f>"4601992067825"</f>
        <v>4601992067825</v>
      </c>
      <c r="B3559" s="1" t="s">
        <v>3582</v>
      </c>
      <c r="C3559" s="1" t="s">
        <v>24</v>
      </c>
      <c r="D3559" s="1" t="str">
        <f t="shared" si="7195"/>
        <v>2021</v>
      </c>
      <c r="E3559" s="1" t="str">
        <f t="shared" ref="E3559:P3559" si="7276">"0"</f>
        <v>0</v>
      </c>
      <c r="F3559" s="1" t="str">
        <f t="shared" si="7276"/>
        <v>0</v>
      </c>
      <c r="G3559" s="1" t="str">
        <f t="shared" si="7276"/>
        <v>0</v>
      </c>
      <c r="H3559" s="1" t="str">
        <f t="shared" si="7276"/>
        <v>0</v>
      </c>
      <c r="I3559" s="1" t="str">
        <f t="shared" si="7276"/>
        <v>0</v>
      </c>
      <c r="J3559" s="1" t="str">
        <f t="shared" si="7276"/>
        <v>0</v>
      </c>
      <c r="K3559" s="1" t="str">
        <f t="shared" si="7276"/>
        <v>0</v>
      </c>
      <c r="L3559" s="1" t="str">
        <f t="shared" si="7276"/>
        <v>0</v>
      </c>
      <c r="M3559" s="1" t="str">
        <f t="shared" si="7276"/>
        <v>0</v>
      </c>
      <c r="N3559" s="1" t="str">
        <f t="shared" si="7276"/>
        <v>0</v>
      </c>
      <c r="O3559" s="1" t="str">
        <f t="shared" si="7276"/>
        <v>0</v>
      </c>
      <c r="P3559" s="1" t="str">
        <f t="shared" si="7276"/>
        <v>0</v>
      </c>
      <c r="Q3559" s="1" t="str">
        <f t="shared" si="7198"/>
        <v>0.0070</v>
      </c>
      <c r="R3559" s="1" t="s">
        <v>25</v>
      </c>
      <c r="T3559" s="1" t="str">
        <f t="shared" si="7199"/>
        <v>0</v>
      </c>
      <c r="U3559" s="1" t="str">
        <f t="shared" si="7269"/>
        <v>0.0070</v>
      </c>
    </row>
    <row r="3560" s="1" customFormat="1" spans="1:21">
      <c r="A3560" s="1" t="str">
        <f>"4601992067813"</f>
        <v>4601992067813</v>
      </c>
      <c r="B3560" s="1" t="s">
        <v>3583</v>
      </c>
      <c r="C3560" s="1" t="s">
        <v>24</v>
      </c>
      <c r="D3560" s="1" t="str">
        <f t="shared" si="7195"/>
        <v>2021</v>
      </c>
      <c r="E3560" s="1" t="str">
        <f>"143.76"</f>
        <v>143.76</v>
      </c>
      <c r="F3560" s="1" t="str">
        <f t="shared" ref="F3560:I3560" si="7277">"0"</f>
        <v>0</v>
      </c>
      <c r="G3560" s="1" t="str">
        <f t="shared" si="7277"/>
        <v>0</v>
      </c>
      <c r="H3560" s="1" t="str">
        <f t="shared" si="7277"/>
        <v>0</v>
      </c>
      <c r="I3560" s="1" t="str">
        <f t="shared" si="7277"/>
        <v>0</v>
      </c>
      <c r="J3560" s="1" t="str">
        <f>"12"</f>
        <v>12</v>
      </c>
      <c r="K3560" s="1" t="str">
        <f t="shared" ref="K3560:P3560" si="7278">"0"</f>
        <v>0</v>
      </c>
      <c r="L3560" s="1" t="str">
        <f t="shared" si="7278"/>
        <v>0</v>
      </c>
      <c r="M3560" s="1" t="str">
        <f t="shared" si="7278"/>
        <v>0</v>
      </c>
      <c r="N3560" s="1" t="str">
        <f t="shared" si="7278"/>
        <v>0</v>
      </c>
      <c r="O3560" s="1" t="str">
        <f t="shared" si="7278"/>
        <v>0</v>
      </c>
      <c r="P3560" s="1" t="str">
        <f t="shared" si="7278"/>
        <v>0</v>
      </c>
      <c r="Q3560" s="1" t="str">
        <f t="shared" si="7198"/>
        <v>0.0070</v>
      </c>
      <c r="R3560" s="1" t="s">
        <v>25</v>
      </c>
      <c r="T3560" s="1" t="str">
        <f t="shared" si="7199"/>
        <v>0</v>
      </c>
      <c r="U3560" s="1" t="str">
        <f t="shared" si="7269"/>
        <v>0.0070</v>
      </c>
    </row>
    <row r="3561" s="1" customFormat="1" spans="1:21">
      <c r="A3561" s="1" t="str">
        <f>"4601992067927"</f>
        <v>4601992067927</v>
      </c>
      <c r="B3561" s="1" t="s">
        <v>3584</v>
      </c>
      <c r="C3561" s="1" t="s">
        <v>24</v>
      </c>
      <c r="D3561" s="1" t="str">
        <f t="shared" si="7195"/>
        <v>2021</v>
      </c>
      <c r="E3561" s="1" t="str">
        <f t="shared" ref="E3561:P3561" si="7279">"0"</f>
        <v>0</v>
      </c>
      <c r="F3561" s="1" t="str">
        <f t="shared" si="7279"/>
        <v>0</v>
      </c>
      <c r="G3561" s="1" t="str">
        <f t="shared" si="7279"/>
        <v>0</v>
      </c>
      <c r="H3561" s="1" t="str">
        <f t="shared" si="7279"/>
        <v>0</v>
      </c>
      <c r="I3561" s="1" t="str">
        <f t="shared" si="7279"/>
        <v>0</v>
      </c>
      <c r="J3561" s="1" t="str">
        <f t="shared" si="7279"/>
        <v>0</v>
      </c>
      <c r="K3561" s="1" t="str">
        <f t="shared" si="7279"/>
        <v>0</v>
      </c>
      <c r="L3561" s="1" t="str">
        <f t="shared" si="7279"/>
        <v>0</v>
      </c>
      <c r="M3561" s="1" t="str">
        <f t="shared" si="7279"/>
        <v>0</v>
      </c>
      <c r="N3561" s="1" t="str">
        <f t="shared" si="7279"/>
        <v>0</v>
      </c>
      <c r="O3561" s="1" t="str">
        <f t="shared" si="7279"/>
        <v>0</v>
      </c>
      <c r="P3561" s="1" t="str">
        <f t="shared" si="7279"/>
        <v>0</v>
      </c>
      <c r="Q3561" s="1" t="str">
        <f t="shared" si="7198"/>
        <v>0.0070</v>
      </c>
      <c r="R3561" s="1" t="s">
        <v>25</v>
      </c>
      <c r="T3561" s="1" t="str">
        <f t="shared" si="7199"/>
        <v>0</v>
      </c>
      <c r="U3561" s="1" t="str">
        <f t="shared" si="7269"/>
        <v>0.0070</v>
      </c>
    </row>
    <row r="3562" s="1" customFormat="1" spans="1:21">
      <c r="A3562" s="1" t="str">
        <f>"4601992067837"</f>
        <v>4601992067837</v>
      </c>
      <c r="B3562" s="1" t="s">
        <v>3585</v>
      </c>
      <c r="C3562" s="1" t="s">
        <v>24</v>
      </c>
      <c r="D3562" s="1" t="str">
        <f t="shared" si="7195"/>
        <v>2021</v>
      </c>
      <c r="E3562" s="1" t="str">
        <f t="shared" ref="E3562:P3562" si="7280">"0"</f>
        <v>0</v>
      </c>
      <c r="F3562" s="1" t="str">
        <f t="shared" si="7280"/>
        <v>0</v>
      </c>
      <c r="G3562" s="1" t="str">
        <f t="shared" si="7280"/>
        <v>0</v>
      </c>
      <c r="H3562" s="1" t="str">
        <f t="shared" si="7280"/>
        <v>0</v>
      </c>
      <c r="I3562" s="1" t="str">
        <f t="shared" si="7280"/>
        <v>0</v>
      </c>
      <c r="J3562" s="1" t="str">
        <f t="shared" si="7280"/>
        <v>0</v>
      </c>
      <c r="K3562" s="1" t="str">
        <f t="shared" si="7280"/>
        <v>0</v>
      </c>
      <c r="L3562" s="1" t="str">
        <f t="shared" si="7280"/>
        <v>0</v>
      </c>
      <c r="M3562" s="1" t="str">
        <f t="shared" si="7280"/>
        <v>0</v>
      </c>
      <c r="N3562" s="1" t="str">
        <f t="shared" si="7280"/>
        <v>0</v>
      </c>
      <c r="O3562" s="1" t="str">
        <f t="shared" si="7280"/>
        <v>0</v>
      </c>
      <c r="P3562" s="1" t="str">
        <f t="shared" si="7280"/>
        <v>0</v>
      </c>
      <c r="Q3562" s="1" t="str">
        <f t="shared" si="7198"/>
        <v>0.0070</v>
      </c>
      <c r="R3562" s="1" t="s">
        <v>25</v>
      </c>
      <c r="T3562" s="1" t="str">
        <f t="shared" si="7199"/>
        <v>0</v>
      </c>
      <c r="U3562" s="1" t="str">
        <f t="shared" si="7269"/>
        <v>0.0070</v>
      </c>
    </row>
    <row r="3563" s="1" customFormat="1" spans="1:21">
      <c r="A3563" s="1" t="str">
        <f>"4601992067939"</f>
        <v>4601992067939</v>
      </c>
      <c r="B3563" s="1" t="s">
        <v>3586</v>
      </c>
      <c r="C3563" s="1" t="s">
        <v>24</v>
      </c>
      <c r="D3563" s="1" t="str">
        <f t="shared" si="7195"/>
        <v>2021</v>
      </c>
      <c r="E3563" s="1" t="str">
        <f t="shared" ref="E3563:P3563" si="7281">"0"</f>
        <v>0</v>
      </c>
      <c r="F3563" s="1" t="str">
        <f t="shared" si="7281"/>
        <v>0</v>
      </c>
      <c r="G3563" s="1" t="str">
        <f t="shared" si="7281"/>
        <v>0</v>
      </c>
      <c r="H3563" s="1" t="str">
        <f t="shared" si="7281"/>
        <v>0</v>
      </c>
      <c r="I3563" s="1" t="str">
        <f t="shared" si="7281"/>
        <v>0</v>
      </c>
      <c r="J3563" s="1" t="str">
        <f t="shared" si="7281"/>
        <v>0</v>
      </c>
      <c r="K3563" s="1" t="str">
        <f t="shared" si="7281"/>
        <v>0</v>
      </c>
      <c r="L3563" s="1" t="str">
        <f t="shared" si="7281"/>
        <v>0</v>
      </c>
      <c r="M3563" s="1" t="str">
        <f t="shared" si="7281"/>
        <v>0</v>
      </c>
      <c r="N3563" s="1" t="str">
        <f t="shared" si="7281"/>
        <v>0</v>
      </c>
      <c r="O3563" s="1" t="str">
        <f t="shared" si="7281"/>
        <v>0</v>
      </c>
      <c r="P3563" s="1" t="str">
        <f t="shared" si="7281"/>
        <v>0</v>
      </c>
      <c r="Q3563" s="1" t="str">
        <f t="shared" si="7198"/>
        <v>0.0070</v>
      </c>
      <c r="R3563" s="1" t="s">
        <v>25</v>
      </c>
      <c r="T3563" s="1" t="str">
        <f t="shared" si="7199"/>
        <v>0</v>
      </c>
      <c r="U3563" s="1" t="str">
        <f t="shared" si="7269"/>
        <v>0.0070</v>
      </c>
    </row>
    <row r="3564" s="1" customFormat="1" spans="1:21">
      <c r="A3564" s="1" t="str">
        <f>"4601992067959"</f>
        <v>4601992067959</v>
      </c>
      <c r="B3564" s="1" t="s">
        <v>3587</v>
      </c>
      <c r="C3564" s="1" t="s">
        <v>24</v>
      </c>
      <c r="D3564" s="1" t="str">
        <f t="shared" si="7195"/>
        <v>2021</v>
      </c>
      <c r="E3564" s="1" t="str">
        <f t="shared" ref="E3564:P3564" si="7282">"0"</f>
        <v>0</v>
      </c>
      <c r="F3564" s="1" t="str">
        <f t="shared" si="7282"/>
        <v>0</v>
      </c>
      <c r="G3564" s="1" t="str">
        <f t="shared" si="7282"/>
        <v>0</v>
      </c>
      <c r="H3564" s="1" t="str">
        <f t="shared" si="7282"/>
        <v>0</v>
      </c>
      <c r="I3564" s="1" t="str">
        <f t="shared" si="7282"/>
        <v>0</v>
      </c>
      <c r="J3564" s="1" t="str">
        <f t="shared" si="7282"/>
        <v>0</v>
      </c>
      <c r="K3564" s="1" t="str">
        <f t="shared" si="7282"/>
        <v>0</v>
      </c>
      <c r="L3564" s="1" t="str">
        <f t="shared" si="7282"/>
        <v>0</v>
      </c>
      <c r="M3564" s="1" t="str">
        <f t="shared" si="7282"/>
        <v>0</v>
      </c>
      <c r="N3564" s="1" t="str">
        <f t="shared" si="7282"/>
        <v>0</v>
      </c>
      <c r="O3564" s="1" t="str">
        <f t="shared" si="7282"/>
        <v>0</v>
      </c>
      <c r="P3564" s="1" t="str">
        <f t="shared" si="7282"/>
        <v>0</v>
      </c>
      <c r="Q3564" s="1" t="str">
        <f t="shared" si="7198"/>
        <v>0.0070</v>
      </c>
      <c r="R3564" s="1" t="s">
        <v>25</v>
      </c>
      <c r="T3564" s="1" t="str">
        <f t="shared" si="7199"/>
        <v>0</v>
      </c>
      <c r="U3564" s="1" t="str">
        <f t="shared" si="7269"/>
        <v>0.0070</v>
      </c>
    </row>
    <row r="3565" s="1" customFormat="1" spans="1:21">
      <c r="A3565" s="1" t="str">
        <f>"4601992067926"</f>
        <v>4601992067926</v>
      </c>
      <c r="B3565" s="1" t="s">
        <v>3588</v>
      </c>
      <c r="C3565" s="1" t="s">
        <v>24</v>
      </c>
      <c r="D3565" s="1" t="str">
        <f t="shared" si="7195"/>
        <v>2021</v>
      </c>
      <c r="E3565" s="1" t="str">
        <f t="shared" ref="E3565:I3565" si="7283">"0"</f>
        <v>0</v>
      </c>
      <c r="F3565" s="1" t="str">
        <f t="shared" si="7283"/>
        <v>0</v>
      </c>
      <c r="G3565" s="1" t="str">
        <f t="shared" si="7283"/>
        <v>0</v>
      </c>
      <c r="H3565" s="1" t="str">
        <f t="shared" si="7283"/>
        <v>0</v>
      </c>
      <c r="I3565" s="1" t="str">
        <f t="shared" si="7283"/>
        <v>0</v>
      </c>
      <c r="J3565" s="1" t="str">
        <f t="shared" ref="J3565:J3569" si="7284">"1"</f>
        <v>1</v>
      </c>
      <c r="K3565" s="1" t="str">
        <f t="shared" ref="K3565:P3565" si="7285">"0"</f>
        <v>0</v>
      </c>
      <c r="L3565" s="1" t="str">
        <f t="shared" si="7285"/>
        <v>0</v>
      </c>
      <c r="M3565" s="1" t="str">
        <f t="shared" si="7285"/>
        <v>0</v>
      </c>
      <c r="N3565" s="1" t="str">
        <f t="shared" si="7285"/>
        <v>0</v>
      </c>
      <c r="O3565" s="1" t="str">
        <f t="shared" si="7285"/>
        <v>0</v>
      </c>
      <c r="P3565" s="1" t="str">
        <f t="shared" si="7285"/>
        <v>0</v>
      </c>
      <c r="Q3565" s="1" t="str">
        <f t="shared" si="7198"/>
        <v>0.0070</v>
      </c>
      <c r="R3565" s="1" t="s">
        <v>25</v>
      </c>
      <c r="T3565" s="1" t="str">
        <f t="shared" si="7199"/>
        <v>0</v>
      </c>
      <c r="U3565" s="1" t="str">
        <f t="shared" si="7269"/>
        <v>0.0070</v>
      </c>
    </row>
    <row r="3566" s="1" customFormat="1" spans="1:21">
      <c r="A3566" s="1" t="str">
        <f>"4601992067976"</f>
        <v>4601992067976</v>
      </c>
      <c r="B3566" s="1" t="s">
        <v>3589</v>
      </c>
      <c r="C3566" s="1" t="s">
        <v>24</v>
      </c>
      <c r="D3566" s="1" t="str">
        <f t="shared" si="7195"/>
        <v>2021</v>
      </c>
      <c r="E3566" s="1" t="str">
        <f t="shared" ref="E3566:P3566" si="7286">"0"</f>
        <v>0</v>
      </c>
      <c r="F3566" s="1" t="str">
        <f t="shared" si="7286"/>
        <v>0</v>
      </c>
      <c r="G3566" s="1" t="str">
        <f t="shared" si="7286"/>
        <v>0</v>
      </c>
      <c r="H3566" s="1" t="str">
        <f t="shared" si="7286"/>
        <v>0</v>
      </c>
      <c r="I3566" s="1" t="str">
        <f t="shared" si="7286"/>
        <v>0</v>
      </c>
      <c r="J3566" s="1" t="str">
        <f t="shared" si="7286"/>
        <v>0</v>
      </c>
      <c r="K3566" s="1" t="str">
        <f t="shared" si="7286"/>
        <v>0</v>
      </c>
      <c r="L3566" s="1" t="str">
        <f t="shared" si="7286"/>
        <v>0</v>
      </c>
      <c r="M3566" s="1" t="str">
        <f t="shared" si="7286"/>
        <v>0</v>
      </c>
      <c r="N3566" s="1" t="str">
        <f t="shared" si="7286"/>
        <v>0</v>
      </c>
      <c r="O3566" s="1" t="str">
        <f t="shared" si="7286"/>
        <v>0</v>
      </c>
      <c r="P3566" s="1" t="str">
        <f t="shared" si="7286"/>
        <v>0</v>
      </c>
      <c r="Q3566" s="1" t="str">
        <f t="shared" si="7198"/>
        <v>0.0070</v>
      </c>
      <c r="R3566" s="1" t="s">
        <v>25</v>
      </c>
      <c r="T3566" s="1" t="str">
        <f t="shared" si="7199"/>
        <v>0</v>
      </c>
      <c r="U3566" s="1" t="str">
        <f t="shared" si="7269"/>
        <v>0.0070</v>
      </c>
    </row>
    <row r="3567" s="1" customFormat="1" spans="1:21">
      <c r="A3567" s="1" t="str">
        <f>"4601992068008"</f>
        <v>4601992068008</v>
      </c>
      <c r="B3567" s="1" t="s">
        <v>3590</v>
      </c>
      <c r="C3567" s="1" t="s">
        <v>24</v>
      </c>
      <c r="D3567" s="1" t="str">
        <f t="shared" si="7195"/>
        <v>2021</v>
      </c>
      <c r="E3567" s="1" t="str">
        <f t="shared" ref="E3567:E3573" si="7287">"11.98"</f>
        <v>11.98</v>
      </c>
      <c r="F3567" s="1" t="str">
        <f t="shared" ref="F3567:I3567" si="7288">"0"</f>
        <v>0</v>
      </c>
      <c r="G3567" s="1" t="str">
        <f t="shared" si="7288"/>
        <v>0</v>
      </c>
      <c r="H3567" s="1" t="str">
        <f t="shared" si="7288"/>
        <v>0</v>
      </c>
      <c r="I3567" s="1" t="str">
        <f t="shared" si="7288"/>
        <v>0</v>
      </c>
      <c r="J3567" s="1" t="str">
        <f t="shared" si="7284"/>
        <v>1</v>
      </c>
      <c r="K3567" s="1" t="str">
        <f t="shared" ref="K3567:P3567" si="7289">"0"</f>
        <v>0</v>
      </c>
      <c r="L3567" s="1" t="str">
        <f t="shared" si="7289"/>
        <v>0</v>
      </c>
      <c r="M3567" s="1" t="str">
        <f t="shared" si="7289"/>
        <v>0</v>
      </c>
      <c r="N3567" s="1" t="str">
        <f t="shared" si="7289"/>
        <v>0</v>
      </c>
      <c r="O3567" s="1" t="str">
        <f t="shared" si="7289"/>
        <v>0</v>
      </c>
      <c r="P3567" s="1" t="str">
        <f t="shared" si="7289"/>
        <v>0</v>
      </c>
      <c r="Q3567" s="1" t="str">
        <f t="shared" si="7198"/>
        <v>0.0070</v>
      </c>
      <c r="R3567" s="1" t="s">
        <v>29</v>
      </c>
      <c r="S3567" s="1">
        <v>-0.0014</v>
      </c>
      <c r="T3567" s="1" t="str">
        <f t="shared" si="7199"/>
        <v>0</v>
      </c>
      <c r="U3567" s="1" t="str">
        <f t="shared" ref="U3567:U3570" si="7290">"0.0056"</f>
        <v>0.0056</v>
      </c>
    </row>
    <row r="3568" s="1" customFormat="1" spans="1:21">
      <c r="A3568" s="1" t="str">
        <f>"4601992068070"</f>
        <v>4601992068070</v>
      </c>
      <c r="B3568" s="1" t="s">
        <v>3591</v>
      </c>
      <c r="C3568" s="1" t="s">
        <v>24</v>
      </c>
      <c r="D3568" s="1" t="str">
        <f t="shared" si="7195"/>
        <v>2021</v>
      </c>
      <c r="E3568" s="1" t="str">
        <f>"23.96"</f>
        <v>23.96</v>
      </c>
      <c r="F3568" s="1" t="str">
        <f t="shared" ref="F3568:I3568" si="7291">"0"</f>
        <v>0</v>
      </c>
      <c r="G3568" s="1" t="str">
        <f t="shared" si="7291"/>
        <v>0</v>
      </c>
      <c r="H3568" s="1" t="str">
        <f t="shared" si="7291"/>
        <v>0</v>
      </c>
      <c r="I3568" s="1" t="str">
        <f t="shared" si="7291"/>
        <v>0</v>
      </c>
      <c r="J3568" s="1" t="str">
        <f t="shared" ref="J3568:J3572" si="7292">"2"</f>
        <v>2</v>
      </c>
      <c r="K3568" s="1" t="str">
        <f t="shared" ref="K3568:P3568" si="7293">"0"</f>
        <v>0</v>
      </c>
      <c r="L3568" s="1" t="str">
        <f t="shared" si="7293"/>
        <v>0</v>
      </c>
      <c r="M3568" s="1" t="str">
        <f t="shared" si="7293"/>
        <v>0</v>
      </c>
      <c r="N3568" s="1" t="str">
        <f t="shared" si="7293"/>
        <v>0</v>
      </c>
      <c r="O3568" s="1" t="str">
        <f t="shared" si="7293"/>
        <v>0</v>
      </c>
      <c r="P3568" s="1" t="str">
        <f t="shared" si="7293"/>
        <v>0</v>
      </c>
      <c r="Q3568" s="1" t="str">
        <f t="shared" si="7198"/>
        <v>0.0070</v>
      </c>
      <c r="R3568" s="1" t="s">
        <v>29</v>
      </c>
      <c r="S3568" s="1">
        <v>-0.0014</v>
      </c>
      <c r="T3568" s="1" t="str">
        <f t="shared" si="7199"/>
        <v>0</v>
      </c>
      <c r="U3568" s="1" t="str">
        <f t="shared" si="7290"/>
        <v>0.0056</v>
      </c>
    </row>
    <row r="3569" s="1" customFormat="1" spans="1:21">
      <c r="A3569" s="1" t="str">
        <f>"4601992068093"</f>
        <v>4601992068093</v>
      </c>
      <c r="B3569" s="1" t="s">
        <v>3592</v>
      </c>
      <c r="C3569" s="1" t="s">
        <v>24</v>
      </c>
      <c r="D3569" s="1" t="str">
        <f t="shared" si="7195"/>
        <v>2021</v>
      </c>
      <c r="E3569" s="1" t="str">
        <f t="shared" si="7287"/>
        <v>11.98</v>
      </c>
      <c r="F3569" s="1" t="str">
        <f t="shared" ref="F3569:I3569" si="7294">"0"</f>
        <v>0</v>
      </c>
      <c r="G3569" s="1" t="str">
        <f t="shared" si="7294"/>
        <v>0</v>
      </c>
      <c r="H3569" s="1" t="str">
        <f t="shared" si="7294"/>
        <v>0</v>
      </c>
      <c r="I3569" s="1" t="str">
        <f t="shared" si="7294"/>
        <v>0</v>
      </c>
      <c r="J3569" s="1" t="str">
        <f t="shared" si="7284"/>
        <v>1</v>
      </c>
      <c r="K3569" s="1" t="str">
        <f t="shared" ref="K3569:P3569" si="7295">"0"</f>
        <v>0</v>
      </c>
      <c r="L3569" s="1" t="str">
        <f t="shared" si="7295"/>
        <v>0</v>
      </c>
      <c r="M3569" s="1" t="str">
        <f t="shared" si="7295"/>
        <v>0</v>
      </c>
      <c r="N3569" s="1" t="str">
        <f t="shared" si="7295"/>
        <v>0</v>
      </c>
      <c r="O3569" s="1" t="str">
        <f t="shared" si="7295"/>
        <v>0</v>
      </c>
      <c r="P3569" s="1" t="str">
        <f t="shared" si="7295"/>
        <v>0</v>
      </c>
      <c r="Q3569" s="1" t="str">
        <f t="shared" si="7198"/>
        <v>0.0070</v>
      </c>
      <c r="R3569" s="1" t="s">
        <v>29</v>
      </c>
      <c r="S3569" s="1">
        <v>-0.0014</v>
      </c>
      <c r="T3569" s="1" t="str">
        <f t="shared" si="7199"/>
        <v>0</v>
      </c>
      <c r="U3569" s="1" t="str">
        <f t="shared" si="7290"/>
        <v>0.0056</v>
      </c>
    </row>
    <row r="3570" s="1" customFormat="1" spans="1:21">
      <c r="A3570" s="1" t="str">
        <f>"4601992068091"</f>
        <v>4601992068091</v>
      </c>
      <c r="B3570" s="1" t="s">
        <v>3593</v>
      </c>
      <c r="C3570" s="1" t="s">
        <v>24</v>
      </c>
      <c r="D3570" s="1" t="str">
        <f t="shared" si="7195"/>
        <v>2021</v>
      </c>
      <c r="E3570" s="1" t="str">
        <f>"53.44"</f>
        <v>53.44</v>
      </c>
      <c r="F3570" s="1" t="str">
        <f t="shared" ref="F3570:I3570" si="7296">"0"</f>
        <v>0</v>
      </c>
      <c r="G3570" s="1" t="str">
        <f t="shared" si="7296"/>
        <v>0</v>
      </c>
      <c r="H3570" s="1" t="str">
        <f t="shared" si="7296"/>
        <v>0</v>
      </c>
      <c r="I3570" s="1" t="str">
        <f t="shared" si="7296"/>
        <v>0</v>
      </c>
      <c r="J3570" s="1" t="str">
        <f>"5"</f>
        <v>5</v>
      </c>
      <c r="K3570" s="1" t="str">
        <f t="shared" ref="K3570:P3570" si="7297">"0"</f>
        <v>0</v>
      </c>
      <c r="L3570" s="1" t="str">
        <f t="shared" si="7297"/>
        <v>0</v>
      </c>
      <c r="M3570" s="1" t="str">
        <f t="shared" si="7297"/>
        <v>0</v>
      </c>
      <c r="N3570" s="1" t="str">
        <f t="shared" si="7297"/>
        <v>0</v>
      </c>
      <c r="O3570" s="1" t="str">
        <f t="shared" si="7297"/>
        <v>0</v>
      </c>
      <c r="P3570" s="1" t="str">
        <f t="shared" si="7297"/>
        <v>0</v>
      </c>
      <c r="Q3570" s="1" t="str">
        <f t="shared" si="7198"/>
        <v>0.0070</v>
      </c>
      <c r="R3570" s="1" t="s">
        <v>29</v>
      </c>
      <c r="S3570" s="1">
        <v>-0.0014</v>
      </c>
      <c r="T3570" s="1" t="str">
        <f t="shared" si="7199"/>
        <v>0</v>
      </c>
      <c r="U3570" s="1" t="str">
        <f t="shared" si="7290"/>
        <v>0.0056</v>
      </c>
    </row>
    <row r="3571" s="1" customFormat="1" spans="1:21">
      <c r="A3571" s="1" t="str">
        <f>"4601992068103"</f>
        <v>4601992068103</v>
      </c>
      <c r="B3571" s="1" t="s">
        <v>3594</v>
      </c>
      <c r="C3571" s="1" t="s">
        <v>24</v>
      </c>
      <c r="D3571" s="1" t="str">
        <f t="shared" si="7195"/>
        <v>2021</v>
      </c>
      <c r="E3571" s="1" t="str">
        <f>"23.96"</f>
        <v>23.96</v>
      </c>
      <c r="F3571" s="1" t="str">
        <f t="shared" ref="F3571:I3571" si="7298">"0"</f>
        <v>0</v>
      </c>
      <c r="G3571" s="1" t="str">
        <f t="shared" si="7298"/>
        <v>0</v>
      </c>
      <c r="H3571" s="1" t="str">
        <f t="shared" si="7298"/>
        <v>0</v>
      </c>
      <c r="I3571" s="1" t="str">
        <f t="shared" si="7298"/>
        <v>0</v>
      </c>
      <c r="J3571" s="1" t="str">
        <f t="shared" si="7292"/>
        <v>2</v>
      </c>
      <c r="K3571" s="1" t="str">
        <f t="shared" ref="K3571:P3571" si="7299">"0"</f>
        <v>0</v>
      </c>
      <c r="L3571" s="1" t="str">
        <f t="shared" si="7299"/>
        <v>0</v>
      </c>
      <c r="M3571" s="1" t="str">
        <f t="shared" si="7299"/>
        <v>0</v>
      </c>
      <c r="N3571" s="1" t="str">
        <f t="shared" si="7299"/>
        <v>0</v>
      </c>
      <c r="O3571" s="1" t="str">
        <f t="shared" si="7299"/>
        <v>0</v>
      </c>
      <c r="P3571" s="1" t="str">
        <f t="shared" si="7299"/>
        <v>0</v>
      </c>
      <c r="Q3571" s="1" t="str">
        <f t="shared" si="7198"/>
        <v>0.0070</v>
      </c>
      <c r="R3571" s="1" t="s">
        <v>25</v>
      </c>
      <c r="T3571" s="1" t="str">
        <f t="shared" si="7199"/>
        <v>0</v>
      </c>
      <c r="U3571" s="1" t="str">
        <f>"0.0070"</f>
        <v>0.0070</v>
      </c>
    </row>
    <row r="3572" s="1" customFormat="1" spans="1:21">
      <c r="A3572" s="1" t="str">
        <f>"4601992068141"</f>
        <v>4601992068141</v>
      </c>
      <c r="B3572" s="1" t="s">
        <v>3595</v>
      </c>
      <c r="C3572" s="1" t="s">
        <v>24</v>
      </c>
      <c r="D3572" s="1" t="str">
        <f t="shared" si="7195"/>
        <v>2021</v>
      </c>
      <c r="E3572" s="1" t="str">
        <f t="shared" si="7287"/>
        <v>11.98</v>
      </c>
      <c r="F3572" s="1" t="str">
        <f t="shared" ref="F3572:I3572" si="7300">"0"</f>
        <v>0</v>
      </c>
      <c r="G3572" s="1" t="str">
        <f t="shared" si="7300"/>
        <v>0</v>
      </c>
      <c r="H3572" s="1" t="str">
        <f t="shared" si="7300"/>
        <v>0</v>
      </c>
      <c r="I3572" s="1" t="str">
        <f t="shared" si="7300"/>
        <v>0</v>
      </c>
      <c r="J3572" s="1" t="str">
        <f t="shared" si="7292"/>
        <v>2</v>
      </c>
      <c r="K3572" s="1" t="str">
        <f t="shared" ref="K3572:P3572" si="7301">"0"</f>
        <v>0</v>
      </c>
      <c r="L3572" s="1" t="str">
        <f t="shared" si="7301"/>
        <v>0</v>
      </c>
      <c r="M3572" s="1" t="str">
        <f t="shared" si="7301"/>
        <v>0</v>
      </c>
      <c r="N3572" s="1" t="str">
        <f t="shared" si="7301"/>
        <v>0</v>
      </c>
      <c r="O3572" s="1" t="str">
        <f t="shared" si="7301"/>
        <v>0</v>
      </c>
      <c r="P3572" s="1" t="str">
        <f t="shared" si="7301"/>
        <v>0</v>
      </c>
      <c r="Q3572" s="1" t="str">
        <f t="shared" si="7198"/>
        <v>0.0070</v>
      </c>
      <c r="R3572" s="1" t="s">
        <v>29</v>
      </c>
      <c r="S3572" s="1">
        <v>-0.0014</v>
      </c>
      <c r="T3572" s="1" t="str">
        <f t="shared" si="7199"/>
        <v>0</v>
      </c>
      <c r="U3572" s="1" t="str">
        <f t="shared" ref="U3572:U3574" si="7302">"0.0056"</f>
        <v>0.0056</v>
      </c>
    </row>
    <row r="3573" s="1" customFormat="1" spans="1:21">
      <c r="A3573" s="1" t="str">
        <f>"4601992068116"</f>
        <v>4601992068116</v>
      </c>
      <c r="B3573" s="1" t="s">
        <v>3596</v>
      </c>
      <c r="C3573" s="1" t="s">
        <v>24</v>
      </c>
      <c r="D3573" s="1" t="str">
        <f t="shared" si="7195"/>
        <v>2021</v>
      </c>
      <c r="E3573" s="1" t="str">
        <f t="shared" si="7287"/>
        <v>11.98</v>
      </c>
      <c r="F3573" s="1" t="str">
        <f t="shared" ref="F3573:I3573" si="7303">"0"</f>
        <v>0</v>
      </c>
      <c r="G3573" s="1" t="str">
        <f t="shared" si="7303"/>
        <v>0</v>
      </c>
      <c r="H3573" s="1" t="str">
        <f t="shared" si="7303"/>
        <v>0</v>
      </c>
      <c r="I3573" s="1" t="str">
        <f t="shared" si="7303"/>
        <v>0</v>
      </c>
      <c r="J3573" s="1" t="str">
        <f>"1"</f>
        <v>1</v>
      </c>
      <c r="K3573" s="1" t="str">
        <f t="shared" ref="K3573:P3573" si="7304">"0"</f>
        <v>0</v>
      </c>
      <c r="L3573" s="1" t="str">
        <f t="shared" si="7304"/>
        <v>0</v>
      </c>
      <c r="M3573" s="1" t="str">
        <f t="shared" si="7304"/>
        <v>0</v>
      </c>
      <c r="N3573" s="1" t="str">
        <f t="shared" si="7304"/>
        <v>0</v>
      </c>
      <c r="O3573" s="1" t="str">
        <f t="shared" si="7304"/>
        <v>0</v>
      </c>
      <c r="P3573" s="1" t="str">
        <f t="shared" si="7304"/>
        <v>0</v>
      </c>
      <c r="Q3573" s="1" t="str">
        <f t="shared" si="7198"/>
        <v>0.0070</v>
      </c>
      <c r="R3573" s="1" t="s">
        <v>29</v>
      </c>
      <c r="S3573" s="1">
        <v>-0.0014</v>
      </c>
      <c r="T3573" s="1" t="str">
        <f t="shared" si="7199"/>
        <v>0</v>
      </c>
      <c r="U3573" s="1" t="str">
        <f t="shared" si="7302"/>
        <v>0.0056</v>
      </c>
    </row>
    <row r="3574" s="1" customFormat="1" spans="1:21">
      <c r="A3574" s="1" t="str">
        <f>"4601992068144"</f>
        <v>4601992068144</v>
      </c>
      <c r="B3574" s="1" t="s">
        <v>3597</v>
      </c>
      <c r="C3574" s="1" t="s">
        <v>24</v>
      </c>
      <c r="D3574" s="1" t="str">
        <f t="shared" si="7195"/>
        <v>2021</v>
      </c>
      <c r="E3574" s="1" t="str">
        <f>"35.94"</f>
        <v>35.94</v>
      </c>
      <c r="F3574" s="1" t="str">
        <f t="shared" ref="F3574:I3574" si="7305">"0"</f>
        <v>0</v>
      </c>
      <c r="G3574" s="1" t="str">
        <f t="shared" si="7305"/>
        <v>0</v>
      </c>
      <c r="H3574" s="1" t="str">
        <f t="shared" si="7305"/>
        <v>0</v>
      </c>
      <c r="I3574" s="1" t="str">
        <f t="shared" si="7305"/>
        <v>0</v>
      </c>
      <c r="J3574" s="1" t="str">
        <f>"3"</f>
        <v>3</v>
      </c>
      <c r="K3574" s="1" t="str">
        <f t="shared" ref="K3574:P3574" si="7306">"0"</f>
        <v>0</v>
      </c>
      <c r="L3574" s="1" t="str">
        <f t="shared" si="7306"/>
        <v>0</v>
      </c>
      <c r="M3574" s="1" t="str">
        <f t="shared" si="7306"/>
        <v>0</v>
      </c>
      <c r="N3574" s="1" t="str">
        <f t="shared" si="7306"/>
        <v>0</v>
      </c>
      <c r="O3574" s="1" t="str">
        <f t="shared" si="7306"/>
        <v>0</v>
      </c>
      <c r="P3574" s="1" t="str">
        <f t="shared" si="7306"/>
        <v>0</v>
      </c>
      <c r="Q3574" s="1" t="str">
        <f t="shared" si="7198"/>
        <v>0.0070</v>
      </c>
      <c r="R3574" s="1" t="s">
        <v>29</v>
      </c>
      <c r="S3574" s="1">
        <v>-0.0014</v>
      </c>
      <c r="T3574" s="1" t="str">
        <f t="shared" si="7199"/>
        <v>0</v>
      </c>
      <c r="U3574" s="1" t="str">
        <f t="shared" si="7302"/>
        <v>0.0056</v>
      </c>
    </row>
    <row r="3575" s="1" customFormat="1" spans="1:21">
      <c r="A3575" s="1" t="str">
        <f>"4601992062961"</f>
        <v>4601992062961</v>
      </c>
      <c r="B3575" s="1" t="s">
        <v>3598</v>
      </c>
      <c r="C3575" s="1" t="s">
        <v>24</v>
      </c>
      <c r="D3575" s="1" t="str">
        <f t="shared" si="7195"/>
        <v>2021</v>
      </c>
      <c r="E3575" s="1" t="str">
        <f t="shared" ref="E3575:G3575" si="7307">"0"</f>
        <v>0</v>
      </c>
      <c r="F3575" s="1" t="str">
        <f t="shared" si="7307"/>
        <v>0</v>
      </c>
      <c r="G3575" s="1" t="str">
        <f t="shared" si="7307"/>
        <v>0</v>
      </c>
      <c r="H3575" s="1" t="str">
        <f>"12.25"</f>
        <v>12.25</v>
      </c>
      <c r="I3575" s="1" t="str">
        <f t="shared" ref="I3575:P3575" si="7308">"0"</f>
        <v>0</v>
      </c>
      <c r="J3575" s="1" t="str">
        <f t="shared" si="7308"/>
        <v>0</v>
      </c>
      <c r="K3575" s="1" t="str">
        <f t="shared" si="7308"/>
        <v>0</v>
      </c>
      <c r="L3575" s="1" t="str">
        <f t="shared" si="7308"/>
        <v>0</v>
      </c>
      <c r="M3575" s="1" t="str">
        <f t="shared" si="7308"/>
        <v>0</v>
      </c>
      <c r="N3575" s="1" t="str">
        <f t="shared" si="7308"/>
        <v>0</v>
      </c>
      <c r="O3575" s="1" t="str">
        <f t="shared" si="7308"/>
        <v>0</v>
      </c>
      <c r="P3575" s="1" t="str">
        <f t="shared" si="7308"/>
        <v>0</v>
      </c>
      <c r="Q3575" s="1" t="str">
        <f t="shared" si="7198"/>
        <v>0.0070</v>
      </c>
      <c r="R3575" s="1" t="s">
        <v>25</v>
      </c>
      <c r="T3575" s="1" t="str">
        <f t="shared" si="7199"/>
        <v>0</v>
      </c>
      <c r="U3575" s="1" t="str">
        <f t="shared" ref="U3575:U3581" si="7309">"0.0070"</f>
        <v>0.0070</v>
      </c>
    </row>
    <row r="3576" s="1" customFormat="1" spans="1:21">
      <c r="A3576" s="1" t="str">
        <f>"4601992068158"</f>
        <v>4601992068158</v>
      </c>
      <c r="B3576" s="1" t="s">
        <v>3599</v>
      </c>
      <c r="C3576" s="1" t="s">
        <v>24</v>
      </c>
      <c r="D3576" s="1" t="str">
        <f t="shared" si="7195"/>
        <v>2021</v>
      </c>
      <c r="E3576" s="1" t="str">
        <f>"11.98"</f>
        <v>11.98</v>
      </c>
      <c r="F3576" s="1" t="str">
        <f t="shared" ref="F3576:I3576" si="7310">"0"</f>
        <v>0</v>
      </c>
      <c r="G3576" s="1" t="str">
        <f t="shared" si="7310"/>
        <v>0</v>
      </c>
      <c r="H3576" s="1" t="str">
        <f t="shared" si="7310"/>
        <v>0</v>
      </c>
      <c r="I3576" s="1" t="str">
        <f t="shared" si="7310"/>
        <v>0</v>
      </c>
      <c r="J3576" s="1" t="str">
        <f>"1"</f>
        <v>1</v>
      </c>
      <c r="K3576" s="1" t="str">
        <f t="shared" ref="K3576:P3576" si="7311">"0"</f>
        <v>0</v>
      </c>
      <c r="L3576" s="1" t="str">
        <f t="shared" si="7311"/>
        <v>0</v>
      </c>
      <c r="M3576" s="1" t="str">
        <f t="shared" si="7311"/>
        <v>0</v>
      </c>
      <c r="N3576" s="1" t="str">
        <f t="shared" si="7311"/>
        <v>0</v>
      </c>
      <c r="O3576" s="1" t="str">
        <f t="shared" si="7311"/>
        <v>0</v>
      </c>
      <c r="P3576" s="1" t="str">
        <f t="shared" si="7311"/>
        <v>0</v>
      </c>
      <c r="Q3576" s="1" t="str">
        <f t="shared" si="7198"/>
        <v>0.0070</v>
      </c>
      <c r="R3576" s="1" t="s">
        <v>29</v>
      </c>
      <c r="S3576" s="1">
        <v>-0.0014</v>
      </c>
      <c r="T3576" s="1" t="str">
        <f t="shared" si="7199"/>
        <v>0</v>
      </c>
      <c r="U3576" s="1" t="str">
        <f t="shared" ref="U3576:U3578" si="7312">"0.0056"</f>
        <v>0.0056</v>
      </c>
    </row>
    <row r="3577" s="1" customFormat="1" spans="1:21">
      <c r="A3577" s="1" t="str">
        <f>"4601992068182"</f>
        <v>4601992068182</v>
      </c>
      <c r="B3577" s="1" t="s">
        <v>3600</v>
      </c>
      <c r="C3577" s="1" t="s">
        <v>24</v>
      </c>
      <c r="D3577" s="1" t="str">
        <f t="shared" si="7195"/>
        <v>2021</v>
      </c>
      <c r="E3577" s="1" t="str">
        <f>"23.96"</f>
        <v>23.96</v>
      </c>
      <c r="F3577" s="1" t="str">
        <f t="shared" ref="F3577:I3577" si="7313">"0"</f>
        <v>0</v>
      </c>
      <c r="G3577" s="1" t="str">
        <f t="shared" si="7313"/>
        <v>0</v>
      </c>
      <c r="H3577" s="1" t="str">
        <f t="shared" si="7313"/>
        <v>0</v>
      </c>
      <c r="I3577" s="1" t="str">
        <f t="shared" si="7313"/>
        <v>0</v>
      </c>
      <c r="J3577" s="1" t="str">
        <f>"4"</f>
        <v>4</v>
      </c>
      <c r="K3577" s="1" t="str">
        <f t="shared" ref="K3577:P3577" si="7314">"0"</f>
        <v>0</v>
      </c>
      <c r="L3577" s="1" t="str">
        <f t="shared" si="7314"/>
        <v>0</v>
      </c>
      <c r="M3577" s="1" t="str">
        <f t="shared" si="7314"/>
        <v>0</v>
      </c>
      <c r="N3577" s="1" t="str">
        <f t="shared" si="7314"/>
        <v>0</v>
      </c>
      <c r="O3577" s="1" t="str">
        <f t="shared" si="7314"/>
        <v>0</v>
      </c>
      <c r="P3577" s="1" t="str">
        <f t="shared" si="7314"/>
        <v>0</v>
      </c>
      <c r="Q3577" s="1" t="str">
        <f t="shared" si="7198"/>
        <v>0.0070</v>
      </c>
      <c r="R3577" s="1" t="s">
        <v>29</v>
      </c>
      <c r="S3577" s="1">
        <v>-0.0014</v>
      </c>
      <c r="T3577" s="1" t="str">
        <f t="shared" si="7199"/>
        <v>0</v>
      </c>
      <c r="U3577" s="1" t="str">
        <f t="shared" si="7312"/>
        <v>0.0056</v>
      </c>
    </row>
    <row r="3578" s="1" customFormat="1" spans="1:21">
      <c r="A3578" s="1" t="str">
        <f>"4601992068227"</f>
        <v>4601992068227</v>
      </c>
      <c r="B3578" s="1" t="s">
        <v>3601</v>
      </c>
      <c r="C3578" s="1" t="s">
        <v>24</v>
      </c>
      <c r="D3578" s="1" t="str">
        <f t="shared" si="7195"/>
        <v>2021</v>
      </c>
      <c r="E3578" s="1" t="str">
        <f>"35.94"</f>
        <v>35.94</v>
      </c>
      <c r="F3578" s="1" t="str">
        <f t="shared" ref="F3578:I3578" si="7315">"0"</f>
        <v>0</v>
      </c>
      <c r="G3578" s="1" t="str">
        <f t="shared" si="7315"/>
        <v>0</v>
      </c>
      <c r="H3578" s="1" t="str">
        <f t="shared" si="7315"/>
        <v>0</v>
      </c>
      <c r="I3578" s="1" t="str">
        <f t="shared" si="7315"/>
        <v>0</v>
      </c>
      <c r="J3578" s="1" t="str">
        <f>"6"</f>
        <v>6</v>
      </c>
      <c r="K3578" s="1" t="str">
        <f t="shared" ref="K3578:P3578" si="7316">"0"</f>
        <v>0</v>
      </c>
      <c r="L3578" s="1" t="str">
        <f t="shared" si="7316"/>
        <v>0</v>
      </c>
      <c r="M3578" s="1" t="str">
        <f t="shared" si="7316"/>
        <v>0</v>
      </c>
      <c r="N3578" s="1" t="str">
        <f t="shared" si="7316"/>
        <v>0</v>
      </c>
      <c r="O3578" s="1" t="str">
        <f t="shared" si="7316"/>
        <v>0</v>
      </c>
      <c r="P3578" s="1" t="str">
        <f t="shared" si="7316"/>
        <v>0</v>
      </c>
      <c r="Q3578" s="1" t="str">
        <f t="shared" si="7198"/>
        <v>0.0070</v>
      </c>
      <c r="R3578" s="1" t="s">
        <v>29</v>
      </c>
      <c r="S3578" s="1">
        <v>-0.0014</v>
      </c>
      <c r="T3578" s="1" t="str">
        <f t="shared" si="7199"/>
        <v>0</v>
      </c>
      <c r="U3578" s="1" t="str">
        <f t="shared" si="7312"/>
        <v>0.0056</v>
      </c>
    </row>
    <row r="3579" s="1" customFormat="1" spans="1:21">
      <c r="A3579" s="1" t="str">
        <f>"4601992068183"</f>
        <v>4601992068183</v>
      </c>
      <c r="B3579" s="1" t="s">
        <v>3602</v>
      </c>
      <c r="C3579" s="1" t="s">
        <v>24</v>
      </c>
      <c r="D3579" s="1" t="str">
        <f t="shared" si="7195"/>
        <v>2021</v>
      </c>
      <c r="E3579" s="1" t="str">
        <f t="shared" ref="E3579:I3579" si="7317">"0"</f>
        <v>0</v>
      </c>
      <c r="F3579" s="1" t="str">
        <f t="shared" si="7317"/>
        <v>0</v>
      </c>
      <c r="G3579" s="1" t="str">
        <f t="shared" si="7317"/>
        <v>0</v>
      </c>
      <c r="H3579" s="1" t="str">
        <f t="shared" si="7317"/>
        <v>0</v>
      </c>
      <c r="I3579" s="1" t="str">
        <f t="shared" si="7317"/>
        <v>0</v>
      </c>
      <c r="J3579" s="1" t="str">
        <f>"12"</f>
        <v>12</v>
      </c>
      <c r="K3579" s="1" t="str">
        <f t="shared" ref="K3579:P3579" si="7318">"0"</f>
        <v>0</v>
      </c>
      <c r="L3579" s="1" t="str">
        <f t="shared" si="7318"/>
        <v>0</v>
      </c>
      <c r="M3579" s="1" t="str">
        <f t="shared" si="7318"/>
        <v>0</v>
      </c>
      <c r="N3579" s="1" t="str">
        <f t="shared" si="7318"/>
        <v>0</v>
      </c>
      <c r="O3579" s="1" t="str">
        <f t="shared" si="7318"/>
        <v>0</v>
      </c>
      <c r="P3579" s="1" t="str">
        <f t="shared" si="7318"/>
        <v>0</v>
      </c>
      <c r="Q3579" s="1" t="str">
        <f t="shared" si="7198"/>
        <v>0.0070</v>
      </c>
      <c r="R3579" s="1" t="s">
        <v>25</v>
      </c>
      <c r="T3579" s="1" t="str">
        <f t="shared" si="7199"/>
        <v>0</v>
      </c>
      <c r="U3579" s="1" t="str">
        <f t="shared" si="7309"/>
        <v>0.0070</v>
      </c>
    </row>
    <row r="3580" s="1" customFormat="1" spans="1:21">
      <c r="A3580" s="1" t="str">
        <f>"4601991427399"</f>
        <v>4601991427399</v>
      </c>
      <c r="B3580" s="1" t="s">
        <v>3603</v>
      </c>
      <c r="C3580" s="1" t="s">
        <v>24</v>
      </c>
      <c r="D3580" s="1" t="str">
        <f t="shared" si="7195"/>
        <v>2021</v>
      </c>
      <c r="E3580" s="1" t="str">
        <f t="shared" ref="E3580:P3580" si="7319">"0"</f>
        <v>0</v>
      </c>
      <c r="F3580" s="1" t="str">
        <f t="shared" si="7319"/>
        <v>0</v>
      </c>
      <c r="G3580" s="1" t="str">
        <f t="shared" si="7319"/>
        <v>0</v>
      </c>
      <c r="H3580" s="1" t="str">
        <f t="shared" si="7319"/>
        <v>0</v>
      </c>
      <c r="I3580" s="1" t="str">
        <f t="shared" si="7319"/>
        <v>0</v>
      </c>
      <c r="J3580" s="1" t="str">
        <f t="shared" si="7319"/>
        <v>0</v>
      </c>
      <c r="K3580" s="1" t="str">
        <f t="shared" si="7319"/>
        <v>0</v>
      </c>
      <c r="L3580" s="1" t="str">
        <f t="shared" si="7319"/>
        <v>0</v>
      </c>
      <c r="M3580" s="1" t="str">
        <f t="shared" si="7319"/>
        <v>0</v>
      </c>
      <c r="N3580" s="1" t="str">
        <f t="shared" si="7319"/>
        <v>0</v>
      </c>
      <c r="O3580" s="1" t="str">
        <f t="shared" si="7319"/>
        <v>0</v>
      </c>
      <c r="P3580" s="1" t="str">
        <f t="shared" si="7319"/>
        <v>0</v>
      </c>
      <c r="Q3580" s="1" t="str">
        <f t="shared" si="7198"/>
        <v>0.0070</v>
      </c>
      <c r="R3580" s="1" t="s">
        <v>25</v>
      </c>
      <c r="T3580" s="1" t="str">
        <f t="shared" si="7199"/>
        <v>0</v>
      </c>
      <c r="U3580" s="1" t="str">
        <f t="shared" si="7309"/>
        <v>0.0070</v>
      </c>
    </row>
    <row r="3581" s="1" customFormat="1" spans="1:21">
      <c r="A3581" s="1" t="str">
        <f>"4601992068355"</f>
        <v>4601992068355</v>
      </c>
      <c r="B3581" s="1" t="s">
        <v>3604</v>
      </c>
      <c r="C3581" s="1" t="s">
        <v>24</v>
      </c>
      <c r="D3581" s="1" t="str">
        <f t="shared" si="7195"/>
        <v>2021</v>
      </c>
      <c r="E3581" s="1" t="str">
        <f t="shared" ref="E3581:P3581" si="7320">"0"</f>
        <v>0</v>
      </c>
      <c r="F3581" s="1" t="str">
        <f t="shared" si="7320"/>
        <v>0</v>
      </c>
      <c r="G3581" s="1" t="str">
        <f t="shared" si="7320"/>
        <v>0</v>
      </c>
      <c r="H3581" s="1" t="str">
        <f t="shared" si="7320"/>
        <v>0</v>
      </c>
      <c r="I3581" s="1" t="str">
        <f t="shared" si="7320"/>
        <v>0</v>
      </c>
      <c r="J3581" s="1" t="str">
        <f t="shared" si="7320"/>
        <v>0</v>
      </c>
      <c r="K3581" s="1" t="str">
        <f t="shared" si="7320"/>
        <v>0</v>
      </c>
      <c r="L3581" s="1" t="str">
        <f t="shared" si="7320"/>
        <v>0</v>
      </c>
      <c r="M3581" s="1" t="str">
        <f t="shared" si="7320"/>
        <v>0</v>
      </c>
      <c r="N3581" s="1" t="str">
        <f t="shared" si="7320"/>
        <v>0</v>
      </c>
      <c r="O3581" s="1" t="str">
        <f t="shared" si="7320"/>
        <v>0</v>
      </c>
      <c r="P3581" s="1" t="str">
        <f t="shared" si="7320"/>
        <v>0</v>
      </c>
      <c r="Q3581" s="1" t="str">
        <f t="shared" si="7198"/>
        <v>0.0070</v>
      </c>
      <c r="R3581" s="1" t="s">
        <v>25</v>
      </c>
      <c r="T3581" s="1" t="str">
        <f t="shared" si="7199"/>
        <v>0</v>
      </c>
      <c r="U3581" s="1" t="str">
        <f t="shared" si="7309"/>
        <v>0.0070</v>
      </c>
    </row>
    <row r="3582" s="1" customFormat="1" spans="1:21">
      <c r="A3582" s="1" t="str">
        <f>"4601991419598"</f>
        <v>4601991419598</v>
      </c>
      <c r="B3582" s="1" t="s">
        <v>3605</v>
      </c>
      <c r="C3582" s="1" t="s">
        <v>24</v>
      </c>
      <c r="D3582" s="1" t="str">
        <f t="shared" si="7195"/>
        <v>2021</v>
      </c>
      <c r="E3582" s="1" t="str">
        <f>"24.07"</f>
        <v>24.07</v>
      </c>
      <c r="F3582" s="1" t="str">
        <f t="shared" ref="F3582:I3582" si="7321">"0"</f>
        <v>0</v>
      </c>
      <c r="G3582" s="1" t="str">
        <f t="shared" si="7321"/>
        <v>0</v>
      </c>
      <c r="H3582" s="1" t="str">
        <f t="shared" si="7321"/>
        <v>0</v>
      </c>
      <c r="I3582" s="1" t="str">
        <f t="shared" si="7321"/>
        <v>0</v>
      </c>
      <c r="J3582" s="1" t="str">
        <f>"2"</f>
        <v>2</v>
      </c>
      <c r="K3582" s="1" t="str">
        <f t="shared" ref="K3582:P3582" si="7322">"0"</f>
        <v>0</v>
      </c>
      <c r="L3582" s="1" t="str">
        <f t="shared" si="7322"/>
        <v>0</v>
      </c>
      <c r="M3582" s="1" t="str">
        <f t="shared" si="7322"/>
        <v>0</v>
      </c>
      <c r="N3582" s="1" t="str">
        <f t="shared" si="7322"/>
        <v>0</v>
      </c>
      <c r="O3582" s="1" t="str">
        <f t="shared" si="7322"/>
        <v>0</v>
      </c>
      <c r="P3582" s="1" t="str">
        <f t="shared" si="7322"/>
        <v>0</v>
      </c>
      <c r="Q3582" s="1" t="str">
        <f t="shared" si="7198"/>
        <v>0.0070</v>
      </c>
      <c r="R3582" s="1" t="s">
        <v>29</v>
      </c>
      <c r="S3582" s="1">
        <v>-0.0014</v>
      </c>
      <c r="T3582" s="1" t="str">
        <f t="shared" si="7199"/>
        <v>0</v>
      </c>
      <c r="U3582" s="1" t="str">
        <f>"0.0056"</f>
        <v>0.0056</v>
      </c>
    </row>
    <row r="3583" s="1" customFormat="1" spans="1:21">
      <c r="A3583" s="1" t="str">
        <f>"4601992068351"</f>
        <v>4601992068351</v>
      </c>
      <c r="B3583" s="1" t="s">
        <v>3606</v>
      </c>
      <c r="C3583" s="1" t="s">
        <v>24</v>
      </c>
      <c r="D3583" s="1" t="str">
        <f t="shared" si="7195"/>
        <v>2021</v>
      </c>
      <c r="E3583" s="1" t="str">
        <f>"23.96"</f>
        <v>23.96</v>
      </c>
      <c r="F3583" s="1" t="str">
        <f t="shared" ref="F3583:I3583" si="7323">"0"</f>
        <v>0</v>
      </c>
      <c r="G3583" s="1" t="str">
        <f t="shared" si="7323"/>
        <v>0</v>
      </c>
      <c r="H3583" s="1" t="str">
        <f t="shared" si="7323"/>
        <v>0</v>
      </c>
      <c r="I3583" s="1" t="str">
        <f t="shared" si="7323"/>
        <v>0</v>
      </c>
      <c r="J3583" s="1" t="str">
        <f>"2"</f>
        <v>2</v>
      </c>
      <c r="K3583" s="1" t="str">
        <f t="shared" ref="K3583:P3583" si="7324">"0"</f>
        <v>0</v>
      </c>
      <c r="L3583" s="1" t="str">
        <f t="shared" si="7324"/>
        <v>0</v>
      </c>
      <c r="M3583" s="1" t="str">
        <f t="shared" si="7324"/>
        <v>0</v>
      </c>
      <c r="N3583" s="1" t="str">
        <f t="shared" si="7324"/>
        <v>0</v>
      </c>
      <c r="O3583" s="1" t="str">
        <f t="shared" si="7324"/>
        <v>0</v>
      </c>
      <c r="P3583" s="1" t="str">
        <f t="shared" si="7324"/>
        <v>0</v>
      </c>
      <c r="Q3583" s="1" t="str">
        <f t="shared" si="7198"/>
        <v>0.0070</v>
      </c>
      <c r="R3583" s="1" t="s">
        <v>25</v>
      </c>
      <c r="T3583" s="1" t="str">
        <f t="shared" si="7199"/>
        <v>0</v>
      </c>
      <c r="U3583" s="1" t="str">
        <f t="shared" ref="U3583:U3588" si="7325">"0.0070"</f>
        <v>0.0070</v>
      </c>
    </row>
    <row r="3584" s="1" customFormat="1" spans="1:21">
      <c r="A3584" s="1" t="str">
        <f>"4601992068408"</f>
        <v>4601992068408</v>
      </c>
      <c r="B3584" s="1" t="s">
        <v>3607</v>
      </c>
      <c r="C3584" s="1" t="s">
        <v>24</v>
      </c>
      <c r="D3584" s="1" t="str">
        <f t="shared" si="7195"/>
        <v>2021</v>
      </c>
      <c r="E3584" s="1" t="str">
        <f t="shared" ref="E3584:P3584" si="7326">"0"</f>
        <v>0</v>
      </c>
      <c r="F3584" s="1" t="str">
        <f t="shared" si="7326"/>
        <v>0</v>
      </c>
      <c r="G3584" s="1" t="str">
        <f t="shared" si="7326"/>
        <v>0</v>
      </c>
      <c r="H3584" s="1" t="str">
        <f t="shared" si="7326"/>
        <v>0</v>
      </c>
      <c r="I3584" s="1" t="str">
        <f t="shared" si="7326"/>
        <v>0</v>
      </c>
      <c r="J3584" s="1" t="str">
        <f t="shared" si="7326"/>
        <v>0</v>
      </c>
      <c r="K3584" s="1" t="str">
        <f t="shared" si="7326"/>
        <v>0</v>
      </c>
      <c r="L3584" s="1" t="str">
        <f t="shared" si="7326"/>
        <v>0</v>
      </c>
      <c r="M3584" s="1" t="str">
        <f t="shared" si="7326"/>
        <v>0</v>
      </c>
      <c r="N3584" s="1" t="str">
        <f t="shared" si="7326"/>
        <v>0</v>
      </c>
      <c r="O3584" s="1" t="str">
        <f t="shared" si="7326"/>
        <v>0</v>
      </c>
      <c r="P3584" s="1" t="str">
        <f t="shared" si="7326"/>
        <v>0</v>
      </c>
      <c r="Q3584" s="1" t="str">
        <f t="shared" si="7198"/>
        <v>0.0070</v>
      </c>
      <c r="R3584" s="1" t="s">
        <v>25</v>
      </c>
      <c r="T3584" s="1" t="str">
        <f t="shared" si="7199"/>
        <v>0</v>
      </c>
      <c r="U3584" s="1" t="str">
        <f t="shared" si="7325"/>
        <v>0.0070</v>
      </c>
    </row>
    <row r="3585" s="1" customFormat="1" spans="1:21">
      <c r="A3585" s="1" t="str">
        <f>"4601992068361"</f>
        <v>4601992068361</v>
      </c>
      <c r="B3585" s="1" t="s">
        <v>3608</v>
      </c>
      <c r="C3585" s="1" t="s">
        <v>24</v>
      </c>
      <c r="D3585" s="1" t="str">
        <f t="shared" si="7195"/>
        <v>2021</v>
      </c>
      <c r="E3585" s="1" t="str">
        <f>"12.09"</f>
        <v>12.09</v>
      </c>
      <c r="F3585" s="1" t="str">
        <f t="shared" ref="F3585:I3585" si="7327">"0"</f>
        <v>0</v>
      </c>
      <c r="G3585" s="1" t="str">
        <f t="shared" si="7327"/>
        <v>0</v>
      </c>
      <c r="H3585" s="1" t="str">
        <f t="shared" si="7327"/>
        <v>0</v>
      </c>
      <c r="I3585" s="1" t="str">
        <f t="shared" si="7327"/>
        <v>0</v>
      </c>
      <c r="J3585" s="1" t="str">
        <f>"1"</f>
        <v>1</v>
      </c>
      <c r="K3585" s="1" t="str">
        <f t="shared" ref="K3585:P3585" si="7328">"0"</f>
        <v>0</v>
      </c>
      <c r="L3585" s="1" t="str">
        <f t="shared" si="7328"/>
        <v>0</v>
      </c>
      <c r="M3585" s="1" t="str">
        <f t="shared" si="7328"/>
        <v>0</v>
      </c>
      <c r="N3585" s="1" t="str">
        <f t="shared" si="7328"/>
        <v>0</v>
      </c>
      <c r="O3585" s="1" t="str">
        <f t="shared" si="7328"/>
        <v>0</v>
      </c>
      <c r="P3585" s="1" t="str">
        <f t="shared" si="7328"/>
        <v>0</v>
      </c>
      <c r="Q3585" s="1" t="str">
        <f t="shared" si="7198"/>
        <v>0.0070</v>
      </c>
      <c r="R3585" s="1" t="s">
        <v>29</v>
      </c>
      <c r="S3585" s="1">
        <v>-0.0014</v>
      </c>
      <c r="T3585" s="1" t="str">
        <f t="shared" si="7199"/>
        <v>0</v>
      </c>
      <c r="U3585" s="1" t="str">
        <f>"0.0056"</f>
        <v>0.0056</v>
      </c>
    </row>
    <row r="3586" s="1" customFormat="1" spans="1:21">
      <c r="A3586" s="1" t="str">
        <f>"4601992068411"</f>
        <v>4601992068411</v>
      </c>
      <c r="B3586" s="1" t="s">
        <v>3609</v>
      </c>
      <c r="C3586" s="1" t="s">
        <v>24</v>
      </c>
      <c r="D3586" s="1" t="str">
        <f t="shared" si="7195"/>
        <v>2021</v>
      </c>
      <c r="E3586" s="1" t="str">
        <f t="shared" ref="E3586:P3586" si="7329">"0"</f>
        <v>0</v>
      </c>
      <c r="F3586" s="1" t="str">
        <f t="shared" si="7329"/>
        <v>0</v>
      </c>
      <c r="G3586" s="1" t="str">
        <f t="shared" si="7329"/>
        <v>0</v>
      </c>
      <c r="H3586" s="1" t="str">
        <f t="shared" si="7329"/>
        <v>0</v>
      </c>
      <c r="I3586" s="1" t="str">
        <f t="shared" si="7329"/>
        <v>0</v>
      </c>
      <c r="J3586" s="1" t="str">
        <f t="shared" si="7329"/>
        <v>0</v>
      </c>
      <c r="K3586" s="1" t="str">
        <f t="shared" si="7329"/>
        <v>0</v>
      </c>
      <c r="L3586" s="1" t="str">
        <f t="shared" si="7329"/>
        <v>0</v>
      </c>
      <c r="M3586" s="1" t="str">
        <f t="shared" si="7329"/>
        <v>0</v>
      </c>
      <c r="N3586" s="1" t="str">
        <f t="shared" si="7329"/>
        <v>0</v>
      </c>
      <c r="O3586" s="1" t="str">
        <f t="shared" si="7329"/>
        <v>0</v>
      </c>
      <c r="P3586" s="1" t="str">
        <f t="shared" si="7329"/>
        <v>0</v>
      </c>
      <c r="Q3586" s="1" t="str">
        <f t="shared" si="7198"/>
        <v>0.0070</v>
      </c>
      <c r="R3586" s="1" t="s">
        <v>25</v>
      </c>
      <c r="T3586" s="1" t="str">
        <f t="shared" si="7199"/>
        <v>0</v>
      </c>
      <c r="U3586" s="1" t="str">
        <f t="shared" si="7325"/>
        <v>0.0070</v>
      </c>
    </row>
    <row r="3587" s="1" customFormat="1" spans="1:21">
      <c r="A3587" s="1" t="str">
        <f>"4601992068439"</f>
        <v>4601992068439</v>
      </c>
      <c r="B3587" s="1" t="s">
        <v>3610</v>
      </c>
      <c r="C3587" s="1" t="s">
        <v>24</v>
      </c>
      <c r="D3587" s="1" t="str">
        <f t="shared" ref="D3587:D3650" si="7330">"2021"</f>
        <v>2021</v>
      </c>
      <c r="E3587" s="1" t="str">
        <f t="shared" ref="E3587:P3587" si="7331">"0"</f>
        <v>0</v>
      </c>
      <c r="F3587" s="1" t="str">
        <f t="shared" si="7331"/>
        <v>0</v>
      </c>
      <c r="G3587" s="1" t="str">
        <f t="shared" si="7331"/>
        <v>0</v>
      </c>
      <c r="H3587" s="1" t="str">
        <f t="shared" si="7331"/>
        <v>0</v>
      </c>
      <c r="I3587" s="1" t="str">
        <f t="shared" si="7331"/>
        <v>0</v>
      </c>
      <c r="J3587" s="1" t="str">
        <f t="shared" si="7331"/>
        <v>0</v>
      </c>
      <c r="K3587" s="1" t="str">
        <f t="shared" si="7331"/>
        <v>0</v>
      </c>
      <c r="L3587" s="1" t="str">
        <f t="shared" si="7331"/>
        <v>0</v>
      </c>
      <c r="M3587" s="1" t="str">
        <f t="shared" si="7331"/>
        <v>0</v>
      </c>
      <c r="N3587" s="1" t="str">
        <f t="shared" si="7331"/>
        <v>0</v>
      </c>
      <c r="O3587" s="1" t="str">
        <f t="shared" si="7331"/>
        <v>0</v>
      </c>
      <c r="P3587" s="1" t="str">
        <f t="shared" si="7331"/>
        <v>0</v>
      </c>
      <c r="Q3587" s="1" t="str">
        <f t="shared" ref="Q3587:Q3650" si="7332">"0.0070"</f>
        <v>0.0070</v>
      </c>
      <c r="R3587" s="1" t="s">
        <v>25</v>
      </c>
      <c r="T3587" s="1" t="str">
        <f t="shared" ref="T3587:T3650" si="7333">"0"</f>
        <v>0</v>
      </c>
      <c r="U3587" s="1" t="str">
        <f t="shared" si="7325"/>
        <v>0.0070</v>
      </c>
    </row>
    <row r="3588" s="1" customFormat="1" spans="1:21">
      <c r="A3588" s="1" t="str">
        <f>"4601992068498"</f>
        <v>4601992068498</v>
      </c>
      <c r="B3588" s="1" t="s">
        <v>3611</v>
      </c>
      <c r="C3588" s="1" t="s">
        <v>24</v>
      </c>
      <c r="D3588" s="1" t="str">
        <f t="shared" si="7330"/>
        <v>2021</v>
      </c>
      <c r="E3588" s="1" t="str">
        <f t="shared" ref="E3588:P3588" si="7334">"0"</f>
        <v>0</v>
      </c>
      <c r="F3588" s="1" t="str">
        <f t="shared" si="7334"/>
        <v>0</v>
      </c>
      <c r="G3588" s="1" t="str">
        <f t="shared" si="7334"/>
        <v>0</v>
      </c>
      <c r="H3588" s="1" t="str">
        <f t="shared" si="7334"/>
        <v>0</v>
      </c>
      <c r="I3588" s="1" t="str">
        <f t="shared" si="7334"/>
        <v>0</v>
      </c>
      <c r="J3588" s="1" t="str">
        <f t="shared" si="7334"/>
        <v>0</v>
      </c>
      <c r="K3588" s="1" t="str">
        <f t="shared" si="7334"/>
        <v>0</v>
      </c>
      <c r="L3588" s="1" t="str">
        <f t="shared" si="7334"/>
        <v>0</v>
      </c>
      <c r="M3588" s="1" t="str">
        <f t="shared" si="7334"/>
        <v>0</v>
      </c>
      <c r="N3588" s="1" t="str">
        <f t="shared" si="7334"/>
        <v>0</v>
      </c>
      <c r="O3588" s="1" t="str">
        <f t="shared" si="7334"/>
        <v>0</v>
      </c>
      <c r="P3588" s="1" t="str">
        <f t="shared" si="7334"/>
        <v>0</v>
      </c>
      <c r="Q3588" s="1" t="str">
        <f t="shared" si="7332"/>
        <v>0.0070</v>
      </c>
      <c r="R3588" s="1" t="s">
        <v>25</v>
      </c>
      <c r="T3588" s="1" t="str">
        <f t="shared" si="7333"/>
        <v>0</v>
      </c>
      <c r="U3588" s="1" t="str">
        <f t="shared" si="7325"/>
        <v>0.0070</v>
      </c>
    </row>
    <row r="3589" s="1" customFormat="1" spans="1:21">
      <c r="A3589" s="1" t="str">
        <f>"4601992068437"</f>
        <v>4601992068437</v>
      </c>
      <c r="B3589" s="1" t="s">
        <v>3612</v>
      </c>
      <c r="C3589" s="1" t="s">
        <v>24</v>
      </c>
      <c r="D3589" s="1" t="str">
        <f t="shared" si="7330"/>
        <v>2021</v>
      </c>
      <c r="E3589" s="1" t="str">
        <f>"23.96"</f>
        <v>23.96</v>
      </c>
      <c r="F3589" s="1" t="str">
        <f t="shared" ref="F3589:I3589" si="7335">"0"</f>
        <v>0</v>
      </c>
      <c r="G3589" s="1" t="str">
        <f t="shared" si="7335"/>
        <v>0</v>
      </c>
      <c r="H3589" s="1" t="str">
        <f t="shared" si="7335"/>
        <v>0</v>
      </c>
      <c r="I3589" s="1" t="str">
        <f t="shared" si="7335"/>
        <v>0</v>
      </c>
      <c r="J3589" s="1" t="str">
        <f t="shared" ref="J3589:J3594" si="7336">"2"</f>
        <v>2</v>
      </c>
      <c r="K3589" s="1" t="str">
        <f t="shared" ref="K3589:P3589" si="7337">"0"</f>
        <v>0</v>
      </c>
      <c r="L3589" s="1" t="str">
        <f t="shared" si="7337"/>
        <v>0</v>
      </c>
      <c r="M3589" s="1" t="str">
        <f t="shared" si="7337"/>
        <v>0</v>
      </c>
      <c r="N3589" s="1" t="str">
        <f t="shared" si="7337"/>
        <v>0</v>
      </c>
      <c r="O3589" s="1" t="str">
        <f t="shared" si="7337"/>
        <v>0</v>
      </c>
      <c r="P3589" s="1" t="str">
        <f t="shared" si="7337"/>
        <v>0</v>
      </c>
      <c r="Q3589" s="1" t="str">
        <f t="shared" si="7332"/>
        <v>0.0070</v>
      </c>
      <c r="R3589" s="1" t="s">
        <v>29</v>
      </c>
      <c r="S3589" s="1">
        <v>-0.0014</v>
      </c>
      <c r="T3589" s="1" t="str">
        <f t="shared" si="7333"/>
        <v>0</v>
      </c>
      <c r="U3589" s="1" t="str">
        <f>"0.0056"</f>
        <v>0.0056</v>
      </c>
    </row>
    <row r="3590" s="1" customFormat="1" spans="1:21">
      <c r="A3590" s="1" t="str">
        <f>"4601992068539"</f>
        <v>4601992068539</v>
      </c>
      <c r="B3590" s="1" t="s">
        <v>3613</v>
      </c>
      <c r="C3590" s="1" t="s">
        <v>24</v>
      </c>
      <c r="D3590" s="1" t="str">
        <f t="shared" si="7330"/>
        <v>2021</v>
      </c>
      <c r="E3590" s="1" t="str">
        <f>"294.59"</f>
        <v>294.59</v>
      </c>
      <c r="F3590" s="1" t="str">
        <f t="shared" ref="F3590:I3590" si="7338">"0"</f>
        <v>0</v>
      </c>
      <c r="G3590" s="1" t="str">
        <f t="shared" si="7338"/>
        <v>0</v>
      </c>
      <c r="H3590" s="1" t="str">
        <f t="shared" si="7338"/>
        <v>0</v>
      </c>
      <c r="I3590" s="1" t="str">
        <f t="shared" si="7338"/>
        <v>0</v>
      </c>
      <c r="J3590" s="1" t="str">
        <f>"16"</f>
        <v>16</v>
      </c>
      <c r="K3590" s="1" t="str">
        <f t="shared" ref="K3590:P3590" si="7339">"0"</f>
        <v>0</v>
      </c>
      <c r="L3590" s="1" t="str">
        <f t="shared" si="7339"/>
        <v>0</v>
      </c>
      <c r="M3590" s="1" t="str">
        <f t="shared" si="7339"/>
        <v>0</v>
      </c>
      <c r="N3590" s="1" t="str">
        <f t="shared" si="7339"/>
        <v>0</v>
      </c>
      <c r="O3590" s="1" t="str">
        <f t="shared" si="7339"/>
        <v>0</v>
      </c>
      <c r="P3590" s="1" t="str">
        <f t="shared" si="7339"/>
        <v>0</v>
      </c>
      <c r="Q3590" s="1" t="str">
        <f t="shared" si="7332"/>
        <v>0.0070</v>
      </c>
      <c r="R3590" s="1" t="s">
        <v>25</v>
      </c>
      <c r="T3590" s="1" t="str">
        <f t="shared" si="7333"/>
        <v>0</v>
      </c>
      <c r="U3590" s="1" t="str">
        <f t="shared" ref="U3590:U3595" si="7340">"0.0070"</f>
        <v>0.0070</v>
      </c>
    </row>
    <row r="3591" s="1" customFormat="1" spans="1:21">
      <c r="A3591" s="1" t="str">
        <f>"4601992068741"</f>
        <v>4601992068741</v>
      </c>
      <c r="B3591" s="1" t="s">
        <v>3614</v>
      </c>
      <c r="C3591" s="1" t="s">
        <v>24</v>
      </c>
      <c r="D3591" s="1" t="str">
        <f t="shared" si="7330"/>
        <v>2021</v>
      </c>
      <c r="E3591" s="1" t="str">
        <f t="shared" ref="E3591:P3591" si="7341">"0"</f>
        <v>0</v>
      </c>
      <c r="F3591" s="1" t="str">
        <f t="shared" si="7341"/>
        <v>0</v>
      </c>
      <c r="G3591" s="1" t="str">
        <f t="shared" si="7341"/>
        <v>0</v>
      </c>
      <c r="H3591" s="1" t="str">
        <f t="shared" si="7341"/>
        <v>0</v>
      </c>
      <c r="I3591" s="1" t="str">
        <f t="shared" si="7341"/>
        <v>0</v>
      </c>
      <c r="J3591" s="1" t="str">
        <f t="shared" si="7341"/>
        <v>0</v>
      </c>
      <c r="K3591" s="1" t="str">
        <f t="shared" si="7341"/>
        <v>0</v>
      </c>
      <c r="L3591" s="1" t="str">
        <f t="shared" si="7341"/>
        <v>0</v>
      </c>
      <c r="M3591" s="1" t="str">
        <f t="shared" si="7341"/>
        <v>0</v>
      </c>
      <c r="N3591" s="1" t="str">
        <f t="shared" si="7341"/>
        <v>0</v>
      </c>
      <c r="O3591" s="1" t="str">
        <f t="shared" si="7341"/>
        <v>0</v>
      </c>
      <c r="P3591" s="1" t="str">
        <f t="shared" si="7341"/>
        <v>0</v>
      </c>
      <c r="Q3591" s="1" t="str">
        <f t="shared" si="7332"/>
        <v>0.0070</v>
      </c>
      <c r="R3591" s="1" t="s">
        <v>25</v>
      </c>
      <c r="T3591" s="1" t="str">
        <f t="shared" si="7333"/>
        <v>0</v>
      </c>
      <c r="U3591" s="1" t="str">
        <f t="shared" si="7340"/>
        <v>0.0070</v>
      </c>
    </row>
    <row r="3592" s="1" customFormat="1" spans="1:21">
      <c r="A3592" s="1" t="str">
        <f>"4601992068641"</f>
        <v>4601992068641</v>
      </c>
      <c r="B3592" s="1" t="s">
        <v>3615</v>
      </c>
      <c r="C3592" s="1" t="s">
        <v>24</v>
      </c>
      <c r="D3592" s="1" t="str">
        <f t="shared" si="7330"/>
        <v>2021</v>
      </c>
      <c r="E3592" s="1" t="str">
        <f>"24.50"</f>
        <v>24.50</v>
      </c>
      <c r="F3592" s="1" t="str">
        <f t="shared" ref="F3592:I3592" si="7342">"0"</f>
        <v>0</v>
      </c>
      <c r="G3592" s="1" t="str">
        <f t="shared" si="7342"/>
        <v>0</v>
      </c>
      <c r="H3592" s="1" t="str">
        <f t="shared" si="7342"/>
        <v>0</v>
      </c>
      <c r="I3592" s="1" t="str">
        <f t="shared" si="7342"/>
        <v>0</v>
      </c>
      <c r="J3592" s="1" t="str">
        <f t="shared" si="7336"/>
        <v>2</v>
      </c>
      <c r="K3592" s="1" t="str">
        <f t="shared" ref="K3592:P3592" si="7343">"0"</f>
        <v>0</v>
      </c>
      <c r="L3592" s="1" t="str">
        <f t="shared" si="7343"/>
        <v>0</v>
      </c>
      <c r="M3592" s="1" t="str">
        <f t="shared" si="7343"/>
        <v>0</v>
      </c>
      <c r="N3592" s="1" t="str">
        <f t="shared" si="7343"/>
        <v>0</v>
      </c>
      <c r="O3592" s="1" t="str">
        <f t="shared" si="7343"/>
        <v>0</v>
      </c>
      <c r="P3592" s="1" t="str">
        <f t="shared" si="7343"/>
        <v>0</v>
      </c>
      <c r="Q3592" s="1" t="str">
        <f t="shared" si="7332"/>
        <v>0.0070</v>
      </c>
      <c r="R3592" s="1" t="s">
        <v>29</v>
      </c>
      <c r="S3592" s="1">
        <v>-0.0014</v>
      </c>
      <c r="T3592" s="1" t="str">
        <f t="shared" si="7333"/>
        <v>0</v>
      </c>
      <c r="U3592" s="1" t="str">
        <f>"0.0056"</f>
        <v>0.0056</v>
      </c>
    </row>
    <row r="3593" s="1" customFormat="1" spans="1:21">
      <c r="A3593" s="1" t="str">
        <f>"4601992068722"</f>
        <v>4601992068722</v>
      </c>
      <c r="B3593" s="1" t="s">
        <v>3616</v>
      </c>
      <c r="C3593" s="1" t="s">
        <v>24</v>
      </c>
      <c r="D3593" s="1" t="str">
        <f t="shared" si="7330"/>
        <v>2021</v>
      </c>
      <c r="E3593" s="1" t="str">
        <f>"12.09"</f>
        <v>12.09</v>
      </c>
      <c r="F3593" s="1" t="str">
        <f t="shared" ref="F3593:I3593" si="7344">"0"</f>
        <v>0</v>
      </c>
      <c r="G3593" s="1" t="str">
        <f t="shared" si="7344"/>
        <v>0</v>
      </c>
      <c r="H3593" s="1" t="str">
        <f t="shared" si="7344"/>
        <v>0</v>
      </c>
      <c r="I3593" s="1" t="str">
        <f t="shared" si="7344"/>
        <v>0</v>
      </c>
      <c r="J3593" s="1" t="str">
        <f>"5"</f>
        <v>5</v>
      </c>
      <c r="K3593" s="1" t="str">
        <f t="shared" ref="K3593:P3593" si="7345">"0"</f>
        <v>0</v>
      </c>
      <c r="L3593" s="1" t="str">
        <f t="shared" si="7345"/>
        <v>0</v>
      </c>
      <c r="M3593" s="1" t="str">
        <f t="shared" si="7345"/>
        <v>0</v>
      </c>
      <c r="N3593" s="1" t="str">
        <f t="shared" si="7345"/>
        <v>0</v>
      </c>
      <c r="O3593" s="1" t="str">
        <f t="shared" si="7345"/>
        <v>0</v>
      </c>
      <c r="P3593" s="1" t="str">
        <f t="shared" si="7345"/>
        <v>0</v>
      </c>
      <c r="Q3593" s="1" t="str">
        <f t="shared" si="7332"/>
        <v>0.0070</v>
      </c>
      <c r="R3593" s="1" t="s">
        <v>25</v>
      </c>
      <c r="T3593" s="1" t="str">
        <f t="shared" si="7333"/>
        <v>0</v>
      </c>
      <c r="U3593" s="1" t="str">
        <f t="shared" si="7340"/>
        <v>0.0070</v>
      </c>
    </row>
    <row r="3594" s="1" customFormat="1" spans="1:21">
      <c r="A3594" s="1" t="str">
        <f>"4601992068759"</f>
        <v>4601992068759</v>
      </c>
      <c r="B3594" s="1" t="s">
        <v>3617</v>
      </c>
      <c r="C3594" s="1" t="s">
        <v>24</v>
      </c>
      <c r="D3594" s="1" t="str">
        <f t="shared" si="7330"/>
        <v>2021</v>
      </c>
      <c r="E3594" s="1" t="str">
        <f>"4.70"</f>
        <v>4.70</v>
      </c>
      <c r="F3594" s="1" t="str">
        <f t="shared" ref="F3594:I3594" si="7346">"0"</f>
        <v>0</v>
      </c>
      <c r="G3594" s="1" t="str">
        <f t="shared" si="7346"/>
        <v>0</v>
      </c>
      <c r="H3594" s="1" t="str">
        <f t="shared" si="7346"/>
        <v>0</v>
      </c>
      <c r="I3594" s="1" t="str">
        <f t="shared" si="7346"/>
        <v>0</v>
      </c>
      <c r="J3594" s="1" t="str">
        <f t="shared" si="7336"/>
        <v>2</v>
      </c>
      <c r="K3594" s="1" t="str">
        <f t="shared" ref="K3594:P3594" si="7347">"0"</f>
        <v>0</v>
      </c>
      <c r="L3594" s="1" t="str">
        <f t="shared" si="7347"/>
        <v>0</v>
      </c>
      <c r="M3594" s="1" t="str">
        <f t="shared" si="7347"/>
        <v>0</v>
      </c>
      <c r="N3594" s="1" t="str">
        <f t="shared" si="7347"/>
        <v>0</v>
      </c>
      <c r="O3594" s="1" t="str">
        <f t="shared" si="7347"/>
        <v>0</v>
      </c>
      <c r="P3594" s="1" t="str">
        <f t="shared" si="7347"/>
        <v>0</v>
      </c>
      <c r="Q3594" s="1" t="str">
        <f t="shared" si="7332"/>
        <v>0.0070</v>
      </c>
      <c r="R3594" s="1" t="s">
        <v>25</v>
      </c>
      <c r="T3594" s="1" t="str">
        <f t="shared" si="7333"/>
        <v>0</v>
      </c>
      <c r="U3594" s="1" t="str">
        <f t="shared" si="7340"/>
        <v>0.0070</v>
      </c>
    </row>
    <row r="3595" s="1" customFormat="1" spans="1:21">
      <c r="A3595" s="1" t="str">
        <f>"4601992068790"</f>
        <v>4601992068790</v>
      </c>
      <c r="B3595" s="1" t="s">
        <v>3618</v>
      </c>
      <c r="C3595" s="1" t="s">
        <v>24</v>
      </c>
      <c r="D3595" s="1" t="str">
        <f t="shared" si="7330"/>
        <v>2021</v>
      </c>
      <c r="E3595" s="1" t="str">
        <f>"11.98"</f>
        <v>11.98</v>
      </c>
      <c r="F3595" s="1" t="str">
        <f t="shared" ref="F3595:I3595" si="7348">"0"</f>
        <v>0</v>
      </c>
      <c r="G3595" s="1" t="str">
        <f t="shared" si="7348"/>
        <v>0</v>
      </c>
      <c r="H3595" s="1" t="str">
        <f t="shared" si="7348"/>
        <v>0</v>
      </c>
      <c r="I3595" s="1" t="str">
        <f t="shared" si="7348"/>
        <v>0</v>
      </c>
      <c r="J3595" s="1" t="str">
        <f>"1"</f>
        <v>1</v>
      </c>
      <c r="K3595" s="1" t="str">
        <f t="shared" ref="K3595:P3595" si="7349">"0"</f>
        <v>0</v>
      </c>
      <c r="L3595" s="1" t="str">
        <f t="shared" si="7349"/>
        <v>0</v>
      </c>
      <c r="M3595" s="1" t="str">
        <f t="shared" si="7349"/>
        <v>0</v>
      </c>
      <c r="N3595" s="1" t="str">
        <f t="shared" si="7349"/>
        <v>0</v>
      </c>
      <c r="O3595" s="1" t="str">
        <f t="shared" si="7349"/>
        <v>0</v>
      </c>
      <c r="P3595" s="1" t="str">
        <f t="shared" si="7349"/>
        <v>0</v>
      </c>
      <c r="Q3595" s="1" t="str">
        <f t="shared" si="7332"/>
        <v>0.0070</v>
      </c>
      <c r="R3595" s="1" t="s">
        <v>25</v>
      </c>
      <c r="T3595" s="1" t="str">
        <f t="shared" si="7333"/>
        <v>0</v>
      </c>
      <c r="U3595" s="1" t="str">
        <f t="shared" si="7340"/>
        <v>0.0070</v>
      </c>
    </row>
    <row r="3596" s="1" customFormat="1" spans="1:21">
      <c r="A3596" s="1" t="str">
        <f>"4601992068766"</f>
        <v>4601992068766</v>
      </c>
      <c r="B3596" s="1" t="s">
        <v>3619</v>
      </c>
      <c r="C3596" s="1" t="s">
        <v>24</v>
      </c>
      <c r="D3596" s="1" t="str">
        <f t="shared" si="7330"/>
        <v>2021</v>
      </c>
      <c r="E3596" s="1" t="str">
        <f>"14.00"</f>
        <v>14.00</v>
      </c>
      <c r="F3596" s="1" t="str">
        <f t="shared" ref="F3596:I3596" si="7350">"0"</f>
        <v>0</v>
      </c>
      <c r="G3596" s="1" t="str">
        <f t="shared" si="7350"/>
        <v>0</v>
      </c>
      <c r="H3596" s="1" t="str">
        <f t="shared" si="7350"/>
        <v>0</v>
      </c>
      <c r="I3596" s="1" t="str">
        <f t="shared" si="7350"/>
        <v>0</v>
      </c>
      <c r="J3596" s="1" t="str">
        <f>"1"</f>
        <v>1</v>
      </c>
      <c r="K3596" s="1" t="str">
        <f t="shared" ref="K3596:P3596" si="7351">"0"</f>
        <v>0</v>
      </c>
      <c r="L3596" s="1" t="str">
        <f t="shared" si="7351"/>
        <v>0</v>
      </c>
      <c r="M3596" s="1" t="str">
        <f t="shared" si="7351"/>
        <v>0</v>
      </c>
      <c r="N3596" s="1" t="str">
        <f t="shared" si="7351"/>
        <v>0</v>
      </c>
      <c r="O3596" s="1" t="str">
        <f t="shared" si="7351"/>
        <v>0</v>
      </c>
      <c r="P3596" s="1" t="str">
        <f t="shared" si="7351"/>
        <v>0</v>
      </c>
      <c r="Q3596" s="1" t="str">
        <f t="shared" si="7332"/>
        <v>0.0070</v>
      </c>
      <c r="R3596" s="1" t="s">
        <v>29</v>
      </c>
      <c r="S3596" s="1">
        <v>-0.0014</v>
      </c>
      <c r="T3596" s="1" t="str">
        <f t="shared" si="7333"/>
        <v>0</v>
      </c>
      <c r="U3596" s="1" t="str">
        <f t="shared" ref="U3596:U3609" si="7352">"0.0056"</f>
        <v>0.0056</v>
      </c>
    </row>
    <row r="3597" s="1" customFormat="1" spans="1:21">
      <c r="A3597" s="1" t="str">
        <f>"4601992068861"</f>
        <v>4601992068861</v>
      </c>
      <c r="B3597" s="1" t="s">
        <v>3620</v>
      </c>
      <c r="C3597" s="1" t="s">
        <v>24</v>
      </c>
      <c r="D3597" s="1" t="str">
        <f t="shared" si="7330"/>
        <v>2021</v>
      </c>
      <c r="E3597" s="1" t="str">
        <f t="shared" ref="E3597:I3597" si="7353">"0"</f>
        <v>0</v>
      </c>
      <c r="F3597" s="1" t="str">
        <f t="shared" si="7353"/>
        <v>0</v>
      </c>
      <c r="G3597" s="1" t="str">
        <f t="shared" si="7353"/>
        <v>0</v>
      </c>
      <c r="H3597" s="1" t="str">
        <f t="shared" si="7353"/>
        <v>0</v>
      </c>
      <c r="I3597" s="1" t="str">
        <f t="shared" si="7353"/>
        <v>0</v>
      </c>
      <c r="J3597" s="1" t="str">
        <f t="shared" ref="J3597:J3602" si="7354">"2"</f>
        <v>2</v>
      </c>
      <c r="K3597" s="1" t="str">
        <f t="shared" ref="K3597:P3597" si="7355">"0"</f>
        <v>0</v>
      </c>
      <c r="L3597" s="1" t="str">
        <f t="shared" si="7355"/>
        <v>0</v>
      </c>
      <c r="M3597" s="1" t="str">
        <f t="shared" si="7355"/>
        <v>0</v>
      </c>
      <c r="N3597" s="1" t="str">
        <f t="shared" si="7355"/>
        <v>0</v>
      </c>
      <c r="O3597" s="1" t="str">
        <f t="shared" si="7355"/>
        <v>0</v>
      </c>
      <c r="P3597" s="1" t="str">
        <f t="shared" si="7355"/>
        <v>0</v>
      </c>
      <c r="Q3597" s="1" t="str">
        <f t="shared" si="7332"/>
        <v>0.0070</v>
      </c>
      <c r="R3597" s="1" t="s">
        <v>25</v>
      </c>
      <c r="T3597" s="1" t="str">
        <f t="shared" si="7333"/>
        <v>0</v>
      </c>
      <c r="U3597" s="1" t="str">
        <f t="shared" ref="U3597:U3599" si="7356">"0.0070"</f>
        <v>0.0070</v>
      </c>
    </row>
    <row r="3598" s="1" customFormat="1" spans="1:21">
      <c r="A3598" s="1" t="str">
        <f>"4601992068938"</f>
        <v>4601992068938</v>
      </c>
      <c r="B3598" s="1" t="s">
        <v>3621</v>
      </c>
      <c r="C3598" s="1" t="s">
        <v>24</v>
      </c>
      <c r="D3598" s="1" t="str">
        <f t="shared" si="7330"/>
        <v>2021</v>
      </c>
      <c r="E3598" s="1" t="str">
        <f t="shared" ref="E3598:P3598" si="7357">"0"</f>
        <v>0</v>
      </c>
      <c r="F3598" s="1" t="str">
        <f t="shared" si="7357"/>
        <v>0</v>
      </c>
      <c r="G3598" s="1" t="str">
        <f t="shared" si="7357"/>
        <v>0</v>
      </c>
      <c r="H3598" s="1" t="str">
        <f t="shared" si="7357"/>
        <v>0</v>
      </c>
      <c r="I3598" s="1" t="str">
        <f t="shared" si="7357"/>
        <v>0</v>
      </c>
      <c r="J3598" s="1" t="str">
        <f t="shared" si="7357"/>
        <v>0</v>
      </c>
      <c r="K3598" s="1" t="str">
        <f t="shared" si="7357"/>
        <v>0</v>
      </c>
      <c r="L3598" s="1" t="str">
        <f t="shared" si="7357"/>
        <v>0</v>
      </c>
      <c r="M3598" s="1" t="str">
        <f t="shared" si="7357"/>
        <v>0</v>
      </c>
      <c r="N3598" s="1" t="str">
        <f t="shared" si="7357"/>
        <v>0</v>
      </c>
      <c r="O3598" s="1" t="str">
        <f t="shared" si="7357"/>
        <v>0</v>
      </c>
      <c r="P3598" s="1" t="str">
        <f t="shared" si="7357"/>
        <v>0</v>
      </c>
      <c r="Q3598" s="1" t="str">
        <f t="shared" si="7332"/>
        <v>0.0070</v>
      </c>
      <c r="R3598" s="1" t="s">
        <v>25</v>
      </c>
      <c r="T3598" s="1" t="str">
        <f t="shared" si="7333"/>
        <v>0</v>
      </c>
      <c r="U3598" s="1" t="str">
        <f t="shared" si="7356"/>
        <v>0.0070</v>
      </c>
    </row>
    <row r="3599" s="1" customFormat="1" spans="1:21">
      <c r="A3599" s="1" t="str">
        <f>"4601992068880"</f>
        <v>4601992068880</v>
      </c>
      <c r="B3599" s="1" t="s">
        <v>3622</v>
      </c>
      <c r="C3599" s="1" t="s">
        <v>24</v>
      </c>
      <c r="D3599" s="1" t="str">
        <f t="shared" si="7330"/>
        <v>2021</v>
      </c>
      <c r="E3599" s="1" t="str">
        <f t="shared" ref="E3599:I3599" si="7358">"0"</f>
        <v>0</v>
      </c>
      <c r="F3599" s="1" t="str">
        <f t="shared" si="7358"/>
        <v>0</v>
      </c>
      <c r="G3599" s="1" t="str">
        <f t="shared" si="7358"/>
        <v>0</v>
      </c>
      <c r="H3599" s="1" t="str">
        <f t="shared" si="7358"/>
        <v>0</v>
      </c>
      <c r="I3599" s="1" t="str">
        <f t="shared" si="7358"/>
        <v>0</v>
      </c>
      <c r="J3599" s="1" t="str">
        <f>"3"</f>
        <v>3</v>
      </c>
      <c r="K3599" s="1" t="str">
        <f t="shared" ref="K3599:P3599" si="7359">"0"</f>
        <v>0</v>
      </c>
      <c r="L3599" s="1" t="str">
        <f t="shared" si="7359"/>
        <v>0</v>
      </c>
      <c r="M3599" s="1" t="str">
        <f t="shared" si="7359"/>
        <v>0</v>
      </c>
      <c r="N3599" s="1" t="str">
        <f t="shared" si="7359"/>
        <v>0</v>
      </c>
      <c r="O3599" s="1" t="str">
        <f t="shared" si="7359"/>
        <v>0</v>
      </c>
      <c r="P3599" s="1" t="str">
        <f t="shared" si="7359"/>
        <v>0</v>
      </c>
      <c r="Q3599" s="1" t="str">
        <f t="shared" si="7332"/>
        <v>0.0070</v>
      </c>
      <c r="R3599" s="1" t="s">
        <v>25</v>
      </c>
      <c r="T3599" s="1" t="str">
        <f t="shared" si="7333"/>
        <v>0</v>
      </c>
      <c r="U3599" s="1" t="str">
        <f t="shared" si="7356"/>
        <v>0.0070</v>
      </c>
    </row>
    <row r="3600" s="1" customFormat="1" spans="1:21">
      <c r="A3600" s="1" t="str">
        <f>"4601992069043"</f>
        <v>4601992069043</v>
      </c>
      <c r="B3600" s="1" t="s">
        <v>3623</v>
      </c>
      <c r="C3600" s="1" t="s">
        <v>24</v>
      </c>
      <c r="D3600" s="1" t="str">
        <f t="shared" si="7330"/>
        <v>2021</v>
      </c>
      <c r="E3600" s="1" t="str">
        <f>"23.99"</f>
        <v>23.99</v>
      </c>
      <c r="F3600" s="1" t="str">
        <f t="shared" ref="F3600:I3600" si="7360">"0"</f>
        <v>0</v>
      </c>
      <c r="G3600" s="1" t="str">
        <f t="shared" si="7360"/>
        <v>0</v>
      </c>
      <c r="H3600" s="1" t="str">
        <f t="shared" si="7360"/>
        <v>0</v>
      </c>
      <c r="I3600" s="1" t="str">
        <f t="shared" si="7360"/>
        <v>0</v>
      </c>
      <c r="J3600" s="1" t="str">
        <f t="shared" si="7354"/>
        <v>2</v>
      </c>
      <c r="K3600" s="1" t="str">
        <f t="shared" ref="K3600:P3600" si="7361">"0"</f>
        <v>0</v>
      </c>
      <c r="L3600" s="1" t="str">
        <f t="shared" si="7361"/>
        <v>0</v>
      </c>
      <c r="M3600" s="1" t="str">
        <f t="shared" si="7361"/>
        <v>0</v>
      </c>
      <c r="N3600" s="1" t="str">
        <f t="shared" si="7361"/>
        <v>0</v>
      </c>
      <c r="O3600" s="1" t="str">
        <f t="shared" si="7361"/>
        <v>0</v>
      </c>
      <c r="P3600" s="1" t="str">
        <f t="shared" si="7361"/>
        <v>0</v>
      </c>
      <c r="Q3600" s="1" t="str">
        <f t="shared" si="7332"/>
        <v>0.0070</v>
      </c>
      <c r="R3600" s="1" t="s">
        <v>29</v>
      </c>
      <c r="S3600" s="1">
        <v>-0.0014</v>
      </c>
      <c r="T3600" s="1" t="str">
        <f t="shared" si="7333"/>
        <v>0</v>
      </c>
      <c r="U3600" s="1" t="str">
        <f t="shared" si="7352"/>
        <v>0.0056</v>
      </c>
    </row>
    <row r="3601" s="1" customFormat="1" spans="1:21">
      <c r="A3601" s="1" t="str">
        <f>"4601992069113"</f>
        <v>4601992069113</v>
      </c>
      <c r="B3601" s="1" t="s">
        <v>3624</v>
      </c>
      <c r="C3601" s="1" t="s">
        <v>24</v>
      </c>
      <c r="D3601" s="1" t="str">
        <f t="shared" si="7330"/>
        <v>2021</v>
      </c>
      <c r="E3601" s="1" t="str">
        <f>"11.98"</f>
        <v>11.98</v>
      </c>
      <c r="F3601" s="1" t="str">
        <f t="shared" ref="F3601:I3601" si="7362">"0"</f>
        <v>0</v>
      </c>
      <c r="G3601" s="1" t="str">
        <f t="shared" si="7362"/>
        <v>0</v>
      </c>
      <c r="H3601" s="1" t="str">
        <f t="shared" si="7362"/>
        <v>0</v>
      </c>
      <c r="I3601" s="1" t="str">
        <f t="shared" si="7362"/>
        <v>0</v>
      </c>
      <c r="J3601" s="1" t="str">
        <f>"1"</f>
        <v>1</v>
      </c>
      <c r="K3601" s="1" t="str">
        <f t="shared" ref="K3601:P3601" si="7363">"0"</f>
        <v>0</v>
      </c>
      <c r="L3601" s="1" t="str">
        <f t="shared" si="7363"/>
        <v>0</v>
      </c>
      <c r="M3601" s="1" t="str">
        <f t="shared" si="7363"/>
        <v>0</v>
      </c>
      <c r="N3601" s="1" t="str">
        <f t="shared" si="7363"/>
        <v>0</v>
      </c>
      <c r="O3601" s="1" t="str">
        <f t="shared" si="7363"/>
        <v>0</v>
      </c>
      <c r="P3601" s="1" t="str">
        <f t="shared" si="7363"/>
        <v>0</v>
      </c>
      <c r="Q3601" s="1" t="str">
        <f t="shared" si="7332"/>
        <v>0.0070</v>
      </c>
      <c r="R3601" s="1" t="s">
        <v>29</v>
      </c>
      <c r="S3601" s="1">
        <v>-0.0014</v>
      </c>
      <c r="T3601" s="1" t="str">
        <f t="shared" si="7333"/>
        <v>0</v>
      </c>
      <c r="U3601" s="1" t="str">
        <f t="shared" si="7352"/>
        <v>0.0056</v>
      </c>
    </row>
    <row r="3602" s="1" customFormat="1" spans="1:21">
      <c r="A3602" s="1" t="str">
        <f>"4601992069105"</f>
        <v>4601992069105</v>
      </c>
      <c r="B3602" s="1" t="s">
        <v>3625</v>
      </c>
      <c r="C3602" s="1" t="s">
        <v>24</v>
      </c>
      <c r="D3602" s="1" t="str">
        <f t="shared" si="7330"/>
        <v>2021</v>
      </c>
      <c r="E3602" s="1" t="str">
        <f>"23.96"</f>
        <v>23.96</v>
      </c>
      <c r="F3602" s="1" t="str">
        <f t="shared" ref="F3602:I3602" si="7364">"0"</f>
        <v>0</v>
      </c>
      <c r="G3602" s="1" t="str">
        <f t="shared" si="7364"/>
        <v>0</v>
      </c>
      <c r="H3602" s="1" t="str">
        <f t="shared" si="7364"/>
        <v>0</v>
      </c>
      <c r="I3602" s="1" t="str">
        <f t="shared" si="7364"/>
        <v>0</v>
      </c>
      <c r="J3602" s="1" t="str">
        <f t="shared" si="7354"/>
        <v>2</v>
      </c>
      <c r="K3602" s="1" t="str">
        <f t="shared" ref="K3602:P3602" si="7365">"0"</f>
        <v>0</v>
      </c>
      <c r="L3602" s="1" t="str">
        <f t="shared" si="7365"/>
        <v>0</v>
      </c>
      <c r="M3602" s="1" t="str">
        <f t="shared" si="7365"/>
        <v>0</v>
      </c>
      <c r="N3602" s="1" t="str">
        <f t="shared" si="7365"/>
        <v>0</v>
      </c>
      <c r="O3602" s="1" t="str">
        <f t="shared" si="7365"/>
        <v>0</v>
      </c>
      <c r="P3602" s="1" t="str">
        <f t="shared" si="7365"/>
        <v>0</v>
      </c>
      <c r="Q3602" s="1" t="str">
        <f t="shared" si="7332"/>
        <v>0.0070</v>
      </c>
      <c r="R3602" s="1" t="s">
        <v>29</v>
      </c>
      <c r="S3602" s="1">
        <v>-0.0014</v>
      </c>
      <c r="T3602" s="1" t="str">
        <f t="shared" si="7333"/>
        <v>0</v>
      </c>
      <c r="U3602" s="1" t="str">
        <f t="shared" si="7352"/>
        <v>0.0056</v>
      </c>
    </row>
    <row r="3603" s="1" customFormat="1" spans="1:21">
      <c r="A3603" s="1" t="str">
        <f>"4601992069118"</f>
        <v>4601992069118</v>
      </c>
      <c r="B3603" s="1" t="s">
        <v>3626</v>
      </c>
      <c r="C3603" s="1" t="s">
        <v>24</v>
      </c>
      <c r="D3603" s="1" t="str">
        <f t="shared" si="7330"/>
        <v>2021</v>
      </c>
      <c r="E3603" s="1" t="str">
        <f>"11.98"</f>
        <v>11.98</v>
      </c>
      <c r="F3603" s="1" t="str">
        <f t="shared" ref="F3603:I3603" si="7366">"0"</f>
        <v>0</v>
      </c>
      <c r="G3603" s="1" t="str">
        <f t="shared" si="7366"/>
        <v>0</v>
      </c>
      <c r="H3603" s="1" t="str">
        <f t="shared" si="7366"/>
        <v>0</v>
      </c>
      <c r="I3603" s="1" t="str">
        <f t="shared" si="7366"/>
        <v>0</v>
      </c>
      <c r="J3603" s="1" t="str">
        <f>"4"</f>
        <v>4</v>
      </c>
      <c r="K3603" s="1" t="str">
        <f t="shared" ref="K3603:P3603" si="7367">"0"</f>
        <v>0</v>
      </c>
      <c r="L3603" s="1" t="str">
        <f t="shared" si="7367"/>
        <v>0</v>
      </c>
      <c r="M3603" s="1" t="str">
        <f t="shared" si="7367"/>
        <v>0</v>
      </c>
      <c r="N3603" s="1" t="str">
        <f t="shared" si="7367"/>
        <v>0</v>
      </c>
      <c r="O3603" s="1" t="str">
        <f t="shared" si="7367"/>
        <v>0</v>
      </c>
      <c r="P3603" s="1" t="str">
        <f t="shared" si="7367"/>
        <v>0</v>
      </c>
      <c r="Q3603" s="1" t="str">
        <f t="shared" si="7332"/>
        <v>0.0070</v>
      </c>
      <c r="R3603" s="1" t="s">
        <v>29</v>
      </c>
      <c r="S3603" s="1">
        <v>-0.0014</v>
      </c>
      <c r="T3603" s="1" t="str">
        <f t="shared" si="7333"/>
        <v>0</v>
      </c>
      <c r="U3603" s="1" t="str">
        <f t="shared" si="7352"/>
        <v>0.0056</v>
      </c>
    </row>
    <row r="3604" s="1" customFormat="1" spans="1:21">
      <c r="A3604" s="1" t="str">
        <f>"4601992069137"</f>
        <v>4601992069137</v>
      </c>
      <c r="B3604" s="1" t="s">
        <v>3627</v>
      </c>
      <c r="C3604" s="1" t="s">
        <v>24</v>
      </c>
      <c r="D3604" s="1" t="str">
        <f t="shared" si="7330"/>
        <v>2021</v>
      </c>
      <c r="E3604" s="1" t="str">
        <f>"24.02"</f>
        <v>24.02</v>
      </c>
      <c r="F3604" s="1" t="str">
        <f t="shared" ref="F3604:I3604" si="7368">"0"</f>
        <v>0</v>
      </c>
      <c r="G3604" s="1" t="str">
        <f t="shared" si="7368"/>
        <v>0</v>
      </c>
      <c r="H3604" s="1" t="str">
        <f t="shared" si="7368"/>
        <v>0</v>
      </c>
      <c r="I3604" s="1" t="str">
        <f t="shared" si="7368"/>
        <v>0</v>
      </c>
      <c r="J3604" s="1" t="str">
        <f t="shared" ref="J3604:J3606" si="7369">"2"</f>
        <v>2</v>
      </c>
      <c r="K3604" s="1" t="str">
        <f t="shared" ref="K3604:P3604" si="7370">"0"</f>
        <v>0</v>
      </c>
      <c r="L3604" s="1" t="str">
        <f t="shared" si="7370"/>
        <v>0</v>
      </c>
      <c r="M3604" s="1" t="str">
        <f t="shared" si="7370"/>
        <v>0</v>
      </c>
      <c r="N3604" s="1" t="str">
        <f t="shared" si="7370"/>
        <v>0</v>
      </c>
      <c r="O3604" s="1" t="str">
        <f t="shared" si="7370"/>
        <v>0</v>
      </c>
      <c r="P3604" s="1" t="str">
        <f t="shared" si="7370"/>
        <v>0</v>
      </c>
      <c r="Q3604" s="1" t="str">
        <f t="shared" si="7332"/>
        <v>0.0070</v>
      </c>
      <c r="R3604" s="1" t="s">
        <v>29</v>
      </c>
      <c r="S3604" s="1">
        <v>-0.0014</v>
      </c>
      <c r="T3604" s="1" t="str">
        <f t="shared" si="7333"/>
        <v>0</v>
      </c>
      <c r="U3604" s="1" t="str">
        <f t="shared" si="7352"/>
        <v>0.0056</v>
      </c>
    </row>
    <row r="3605" s="1" customFormat="1" spans="1:21">
      <c r="A3605" s="1" t="str">
        <f>"4601992069149"</f>
        <v>4601992069149</v>
      </c>
      <c r="B3605" s="1" t="s">
        <v>3628</v>
      </c>
      <c r="C3605" s="1" t="s">
        <v>24</v>
      </c>
      <c r="D3605" s="1" t="str">
        <f t="shared" si="7330"/>
        <v>2021</v>
      </c>
      <c r="E3605" s="1" t="str">
        <f>"24.50"</f>
        <v>24.50</v>
      </c>
      <c r="F3605" s="1" t="str">
        <f t="shared" ref="F3605:I3605" si="7371">"0"</f>
        <v>0</v>
      </c>
      <c r="G3605" s="1" t="str">
        <f t="shared" si="7371"/>
        <v>0</v>
      </c>
      <c r="H3605" s="1" t="str">
        <f t="shared" si="7371"/>
        <v>0</v>
      </c>
      <c r="I3605" s="1" t="str">
        <f t="shared" si="7371"/>
        <v>0</v>
      </c>
      <c r="J3605" s="1" t="str">
        <f t="shared" si="7369"/>
        <v>2</v>
      </c>
      <c r="K3605" s="1" t="str">
        <f t="shared" ref="K3605:P3605" si="7372">"0"</f>
        <v>0</v>
      </c>
      <c r="L3605" s="1" t="str">
        <f t="shared" si="7372"/>
        <v>0</v>
      </c>
      <c r="M3605" s="1" t="str">
        <f t="shared" si="7372"/>
        <v>0</v>
      </c>
      <c r="N3605" s="1" t="str">
        <f t="shared" si="7372"/>
        <v>0</v>
      </c>
      <c r="O3605" s="1" t="str">
        <f t="shared" si="7372"/>
        <v>0</v>
      </c>
      <c r="P3605" s="1" t="str">
        <f t="shared" si="7372"/>
        <v>0</v>
      </c>
      <c r="Q3605" s="1" t="str">
        <f t="shared" si="7332"/>
        <v>0.0070</v>
      </c>
      <c r="R3605" s="1" t="s">
        <v>29</v>
      </c>
      <c r="S3605" s="1">
        <v>-0.0014</v>
      </c>
      <c r="T3605" s="1" t="str">
        <f t="shared" si="7333"/>
        <v>0</v>
      </c>
      <c r="U3605" s="1" t="str">
        <f t="shared" si="7352"/>
        <v>0.0056</v>
      </c>
    </row>
    <row r="3606" s="1" customFormat="1" spans="1:21">
      <c r="A3606" s="1" t="str">
        <f>"4601992069176"</f>
        <v>4601992069176</v>
      </c>
      <c r="B3606" s="1" t="s">
        <v>3629</v>
      </c>
      <c r="C3606" s="1" t="s">
        <v>24</v>
      </c>
      <c r="D3606" s="1" t="str">
        <f t="shared" si="7330"/>
        <v>2021</v>
      </c>
      <c r="E3606" s="1" t="str">
        <f>"23.96"</f>
        <v>23.96</v>
      </c>
      <c r="F3606" s="1" t="str">
        <f t="shared" ref="F3606:I3606" si="7373">"0"</f>
        <v>0</v>
      </c>
      <c r="G3606" s="1" t="str">
        <f t="shared" si="7373"/>
        <v>0</v>
      </c>
      <c r="H3606" s="1" t="str">
        <f t="shared" si="7373"/>
        <v>0</v>
      </c>
      <c r="I3606" s="1" t="str">
        <f t="shared" si="7373"/>
        <v>0</v>
      </c>
      <c r="J3606" s="1" t="str">
        <f t="shared" si="7369"/>
        <v>2</v>
      </c>
      <c r="K3606" s="1" t="str">
        <f t="shared" ref="K3606:P3606" si="7374">"0"</f>
        <v>0</v>
      </c>
      <c r="L3606" s="1" t="str">
        <f t="shared" si="7374"/>
        <v>0</v>
      </c>
      <c r="M3606" s="1" t="str">
        <f t="shared" si="7374"/>
        <v>0</v>
      </c>
      <c r="N3606" s="1" t="str">
        <f t="shared" si="7374"/>
        <v>0</v>
      </c>
      <c r="O3606" s="1" t="str">
        <f t="shared" si="7374"/>
        <v>0</v>
      </c>
      <c r="P3606" s="1" t="str">
        <f t="shared" si="7374"/>
        <v>0</v>
      </c>
      <c r="Q3606" s="1" t="str">
        <f t="shared" si="7332"/>
        <v>0.0070</v>
      </c>
      <c r="R3606" s="1" t="s">
        <v>29</v>
      </c>
      <c r="S3606" s="1">
        <v>-0.0014</v>
      </c>
      <c r="T3606" s="1" t="str">
        <f t="shared" si="7333"/>
        <v>0</v>
      </c>
      <c r="U3606" s="1" t="str">
        <f t="shared" si="7352"/>
        <v>0.0056</v>
      </c>
    </row>
    <row r="3607" s="1" customFormat="1" spans="1:21">
      <c r="A3607" s="1" t="str">
        <f>"4601992069153"</f>
        <v>4601992069153</v>
      </c>
      <c r="B3607" s="1" t="s">
        <v>3630</v>
      </c>
      <c r="C3607" s="1" t="s">
        <v>24</v>
      </c>
      <c r="D3607" s="1" t="str">
        <f t="shared" si="7330"/>
        <v>2021</v>
      </c>
      <c r="E3607" s="1" t="str">
        <f>"59.90"</f>
        <v>59.90</v>
      </c>
      <c r="F3607" s="1" t="str">
        <f t="shared" ref="F3607:I3607" si="7375">"0"</f>
        <v>0</v>
      </c>
      <c r="G3607" s="1" t="str">
        <f t="shared" si="7375"/>
        <v>0</v>
      </c>
      <c r="H3607" s="1" t="str">
        <f t="shared" si="7375"/>
        <v>0</v>
      </c>
      <c r="I3607" s="1" t="str">
        <f t="shared" si="7375"/>
        <v>0</v>
      </c>
      <c r="J3607" s="1" t="str">
        <f>"6"</f>
        <v>6</v>
      </c>
      <c r="K3607" s="1" t="str">
        <f t="shared" ref="K3607:P3607" si="7376">"0"</f>
        <v>0</v>
      </c>
      <c r="L3607" s="1" t="str">
        <f t="shared" si="7376"/>
        <v>0</v>
      </c>
      <c r="M3607" s="1" t="str">
        <f t="shared" si="7376"/>
        <v>0</v>
      </c>
      <c r="N3607" s="1" t="str">
        <f t="shared" si="7376"/>
        <v>0</v>
      </c>
      <c r="O3607" s="1" t="str">
        <f t="shared" si="7376"/>
        <v>0</v>
      </c>
      <c r="P3607" s="1" t="str">
        <f t="shared" si="7376"/>
        <v>0</v>
      </c>
      <c r="Q3607" s="1" t="str">
        <f t="shared" si="7332"/>
        <v>0.0070</v>
      </c>
      <c r="R3607" s="1" t="s">
        <v>29</v>
      </c>
      <c r="S3607" s="1">
        <v>-0.0014</v>
      </c>
      <c r="T3607" s="1" t="str">
        <f t="shared" si="7333"/>
        <v>0</v>
      </c>
      <c r="U3607" s="1" t="str">
        <f t="shared" si="7352"/>
        <v>0.0056</v>
      </c>
    </row>
    <row r="3608" s="1" customFormat="1" spans="1:21">
      <c r="A3608" s="1" t="str">
        <f>"4601992069214"</f>
        <v>4601992069214</v>
      </c>
      <c r="B3608" s="1" t="s">
        <v>3631</v>
      </c>
      <c r="C3608" s="1" t="s">
        <v>24</v>
      </c>
      <c r="D3608" s="1" t="str">
        <f t="shared" si="7330"/>
        <v>2021</v>
      </c>
      <c r="E3608" s="1" t="str">
        <f>"23.96"</f>
        <v>23.96</v>
      </c>
      <c r="F3608" s="1" t="str">
        <f t="shared" ref="F3608:I3608" si="7377">"0"</f>
        <v>0</v>
      </c>
      <c r="G3608" s="1" t="str">
        <f t="shared" si="7377"/>
        <v>0</v>
      </c>
      <c r="H3608" s="1" t="str">
        <f t="shared" si="7377"/>
        <v>0</v>
      </c>
      <c r="I3608" s="1" t="str">
        <f t="shared" si="7377"/>
        <v>0</v>
      </c>
      <c r="J3608" s="1" t="str">
        <f>"2"</f>
        <v>2</v>
      </c>
      <c r="K3608" s="1" t="str">
        <f t="shared" ref="K3608:P3608" si="7378">"0"</f>
        <v>0</v>
      </c>
      <c r="L3608" s="1" t="str">
        <f t="shared" si="7378"/>
        <v>0</v>
      </c>
      <c r="M3608" s="1" t="str">
        <f t="shared" si="7378"/>
        <v>0</v>
      </c>
      <c r="N3608" s="1" t="str">
        <f t="shared" si="7378"/>
        <v>0</v>
      </c>
      <c r="O3608" s="1" t="str">
        <f t="shared" si="7378"/>
        <v>0</v>
      </c>
      <c r="P3608" s="1" t="str">
        <f t="shared" si="7378"/>
        <v>0</v>
      </c>
      <c r="Q3608" s="1" t="str">
        <f t="shared" si="7332"/>
        <v>0.0070</v>
      </c>
      <c r="R3608" s="1" t="s">
        <v>29</v>
      </c>
      <c r="S3608" s="1">
        <v>-0.0014</v>
      </c>
      <c r="T3608" s="1" t="str">
        <f t="shared" si="7333"/>
        <v>0</v>
      </c>
      <c r="U3608" s="1" t="str">
        <f t="shared" si="7352"/>
        <v>0.0056</v>
      </c>
    </row>
    <row r="3609" s="1" customFormat="1" spans="1:21">
      <c r="A3609" s="1" t="str">
        <f>"4601992069247"</f>
        <v>4601992069247</v>
      </c>
      <c r="B3609" s="1" t="s">
        <v>3632</v>
      </c>
      <c r="C3609" s="1" t="s">
        <v>24</v>
      </c>
      <c r="D3609" s="1" t="str">
        <f t="shared" si="7330"/>
        <v>2021</v>
      </c>
      <c r="E3609" s="1" t="str">
        <f>"143.76"</f>
        <v>143.76</v>
      </c>
      <c r="F3609" s="1" t="str">
        <f t="shared" ref="F3609:I3609" si="7379">"0"</f>
        <v>0</v>
      </c>
      <c r="G3609" s="1" t="str">
        <f t="shared" si="7379"/>
        <v>0</v>
      </c>
      <c r="H3609" s="1" t="str">
        <f t="shared" si="7379"/>
        <v>0</v>
      </c>
      <c r="I3609" s="1" t="str">
        <f t="shared" si="7379"/>
        <v>0</v>
      </c>
      <c r="J3609" s="1" t="str">
        <f>"13"</f>
        <v>13</v>
      </c>
      <c r="K3609" s="1" t="str">
        <f t="shared" ref="K3609:P3609" si="7380">"0"</f>
        <v>0</v>
      </c>
      <c r="L3609" s="1" t="str">
        <f t="shared" si="7380"/>
        <v>0</v>
      </c>
      <c r="M3609" s="1" t="str">
        <f t="shared" si="7380"/>
        <v>0</v>
      </c>
      <c r="N3609" s="1" t="str">
        <f t="shared" si="7380"/>
        <v>0</v>
      </c>
      <c r="O3609" s="1" t="str">
        <f t="shared" si="7380"/>
        <v>0</v>
      </c>
      <c r="P3609" s="1" t="str">
        <f t="shared" si="7380"/>
        <v>0</v>
      </c>
      <c r="Q3609" s="1" t="str">
        <f t="shared" si="7332"/>
        <v>0.0070</v>
      </c>
      <c r="R3609" s="1" t="s">
        <v>29</v>
      </c>
      <c r="S3609" s="1">
        <v>-0.0014</v>
      </c>
      <c r="T3609" s="1" t="str">
        <f t="shared" si="7333"/>
        <v>0</v>
      </c>
      <c r="U3609" s="1" t="str">
        <f t="shared" si="7352"/>
        <v>0.0056</v>
      </c>
    </row>
    <row r="3610" s="1" customFormat="1" spans="1:21">
      <c r="A3610" s="1" t="str">
        <f>"4601992069267"</f>
        <v>4601992069267</v>
      </c>
      <c r="B3610" s="1" t="s">
        <v>3633</v>
      </c>
      <c r="C3610" s="1" t="s">
        <v>24</v>
      </c>
      <c r="D3610" s="1" t="str">
        <f t="shared" si="7330"/>
        <v>2021</v>
      </c>
      <c r="E3610" s="1" t="str">
        <f t="shared" ref="E3610:I3610" si="7381">"0"</f>
        <v>0</v>
      </c>
      <c r="F3610" s="1" t="str">
        <f t="shared" si="7381"/>
        <v>0</v>
      </c>
      <c r="G3610" s="1" t="str">
        <f t="shared" si="7381"/>
        <v>0</v>
      </c>
      <c r="H3610" s="1" t="str">
        <f t="shared" si="7381"/>
        <v>0</v>
      </c>
      <c r="I3610" s="1" t="str">
        <f t="shared" si="7381"/>
        <v>0</v>
      </c>
      <c r="J3610" s="1" t="str">
        <f>"3"</f>
        <v>3</v>
      </c>
      <c r="K3610" s="1" t="str">
        <f t="shared" ref="K3610:P3610" si="7382">"0"</f>
        <v>0</v>
      </c>
      <c r="L3610" s="1" t="str">
        <f t="shared" si="7382"/>
        <v>0</v>
      </c>
      <c r="M3610" s="1" t="str">
        <f t="shared" si="7382"/>
        <v>0</v>
      </c>
      <c r="N3610" s="1" t="str">
        <f t="shared" si="7382"/>
        <v>0</v>
      </c>
      <c r="O3610" s="1" t="str">
        <f t="shared" si="7382"/>
        <v>0</v>
      </c>
      <c r="P3610" s="1" t="str">
        <f t="shared" si="7382"/>
        <v>0</v>
      </c>
      <c r="Q3610" s="1" t="str">
        <f t="shared" si="7332"/>
        <v>0.0070</v>
      </c>
      <c r="R3610" s="1" t="s">
        <v>25</v>
      </c>
      <c r="T3610" s="1" t="str">
        <f t="shared" si="7333"/>
        <v>0</v>
      </c>
      <c r="U3610" s="1" t="str">
        <f>"0.0070"</f>
        <v>0.0070</v>
      </c>
    </row>
    <row r="3611" s="1" customFormat="1" spans="1:21">
      <c r="A3611" s="1" t="str">
        <f>"4601992069275"</f>
        <v>4601992069275</v>
      </c>
      <c r="B3611" s="1" t="s">
        <v>3634</v>
      </c>
      <c r="C3611" s="1" t="s">
        <v>24</v>
      </c>
      <c r="D3611" s="1" t="str">
        <f t="shared" si="7330"/>
        <v>2021</v>
      </c>
      <c r="E3611" s="1" t="str">
        <f>"35.94"</f>
        <v>35.94</v>
      </c>
      <c r="F3611" s="1" t="str">
        <f t="shared" ref="F3611:I3611" si="7383">"0"</f>
        <v>0</v>
      </c>
      <c r="G3611" s="1" t="str">
        <f t="shared" si="7383"/>
        <v>0</v>
      </c>
      <c r="H3611" s="1" t="str">
        <f t="shared" si="7383"/>
        <v>0</v>
      </c>
      <c r="I3611" s="1" t="str">
        <f t="shared" si="7383"/>
        <v>0</v>
      </c>
      <c r="J3611" s="1" t="str">
        <f>"4"</f>
        <v>4</v>
      </c>
      <c r="K3611" s="1" t="str">
        <f t="shared" ref="K3611:P3611" si="7384">"0"</f>
        <v>0</v>
      </c>
      <c r="L3611" s="1" t="str">
        <f t="shared" si="7384"/>
        <v>0</v>
      </c>
      <c r="M3611" s="1" t="str">
        <f t="shared" si="7384"/>
        <v>0</v>
      </c>
      <c r="N3611" s="1" t="str">
        <f t="shared" si="7384"/>
        <v>0</v>
      </c>
      <c r="O3611" s="1" t="str">
        <f t="shared" si="7384"/>
        <v>0</v>
      </c>
      <c r="P3611" s="1" t="str">
        <f t="shared" si="7384"/>
        <v>0</v>
      </c>
      <c r="Q3611" s="1" t="str">
        <f t="shared" si="7332"/>
        <v>0.0070</v>
      </c>
      <c r="R3611" s="1" t="s">
        <v>29</v>
      </c>
      <c r="S3611" s="1">
        <v>-0.0014</v>
      </c>
      <c r="T3611" s="1" t="str">
        <f t="shared" si="7333"/>
        <v>0</v>
      </c>
      <c r="U3611" s="1" t="str">
        <f t="shared" ref="U3611:U3618" si="7385">"0.0056"</f>
        <v>0.0056</v>
      </c>
    </row>
    <row r="3612" s="1" customFormat="1" spans="1:21">
      <c r="A3612" s="1" t="str">
        <f>"4601992069324"</f>
        <v>4601992069324</v>
      </c>
      <c r="B3612" s="1" t="s">
        <v>3635</v>
      </c>
      <c r="C3612" s="1" t="s">
        <v>24</v>
      </c>
      <c r="D3612" s="1" t="str">
        <f t="shared" si="7330"/>
        <v>2021</v>
      </c>
      <c r="E3612" s="1" t="str">
        <f>"24.06"</f>
        <v>24.06</v>
      </c>
      <c r="F3612" s="1" t="str">
        <f t="shared" ref="F3612:I3612" si="7386">"0"</f>
        <v>0</v>
      </c>
      <c r="G3612" s="1" t="str">
        <f t="shared" si="7386"/>
        <v>0</v>
      </c>
      <c r="H3612" s="1" t="str">
        <f t="shared" si="7386"/>
        <v>0</v>
      </c>
      <c r="I3612" s="1" t="str">
        <f t="shared" si="7386"/>
        <v>0</v>
      </c>
      <c r="J3612" s="1" t="str">
        <f t="shared" ref="J3612:J3616" si="7387">"1"</f>
        <v>1</v>
      </c>
      <c r="K3612" s="1" t="str">
        <f t="shared" ref="K3612:P3612" si="7388">"0"</f>
        <v>0</v>
      </c>
      <c r="L3612" s="1" t="str">
        <f t="shared" si="7388"/>
        <v>0</v>
      </c>
      <c r="M3612" s="1" t="str">
        <f t="shared" si="7388"/>
        <v>0</v>
      </c>
      <c r="N3612" s="1" t="str">
        <f t="shared" si="7388"/>
        <v>0</v>
      </c>
      <c r="O3612" s="1" t="str">
        <f t="shared" si="7388"/>
        <v>0</v>
      </c>
      <c r="P3612" s="1" t="str">
        <f t="shared" si="7388"/>
        <v>0</v>
      </c>
      <c r="Q3612" s="1" t="str">
        <f t="shared" si="7332"/>
        <v>0.0070</v>
      </c>
      <c r="R3612" s="1" t="s">
        <v>29</v>
      </c>
      <c r="S3612" s="1">
        <v>-0.0014</v>
      </c>
      <c r="T3612" s="1" t="str">
        <f t="shared" si="7333"/>
        <v>0</v>
      </c>
      <c r="U3612" s="1" t="str">
        <f t="shared" si="7385"/>
        <v>0.0056</v>
      </c>
    </row>
    <row r="3613" s="1" customFormat="1" spans="1:21">
      <c r="A3613" s="1" t="str">
        <f>"4601992069298"</f>
        <v>4601992069298</v>
      </c>
      <c r="B3613" s="1" t="s">
        <v>3636</v>
      </c>
      <c r="C3613" s="1" t="s">
        <v>24</v>
      </c>
      <c r="D3613" s="1" t="str">
        <f t="shared" si="7330"/>
        <v>2021</v>
      </c>
      <c r="E3613" s="1" t="str">
        <f>"11.98"</f>
        <v>11.98</v>
      </c>
      <c r="F3613" s="1" t="str">
        <f t="shared" ref="F3613:I3613" si="7389">"0"</f>
        <v>0</v>
      </c>
      <c r="G3613" s="1" t="str">
        <f t="shared" si="7389"/>
        <v>0</v>
      </c>
      <c r="H3613" s="1" t="str">
        <f t="shared" si="7389"/>
        <v>0</v>
      </c>
      <c r="I3613" s="1" t="str">
        <f t="shared" si="7389"/>
        <v>0</v>
      </c>
      <c r="J3613" s="1" t="str">
        <f>"2"</f>
        <v>2</v>
      </c>
      <c r="K3613" s="1" t="str">
        <f t="shared" ref="K3613:P3613" si="7390">"0"</f>
        <v>0</v>
      </c>
      <c r="L3613" s="1" t="str">
        <f t="shared" si="7390"/>
        <v>0</v>
      </c>
      <c r="M3613" s="1" t="str">
        <f t="shared" si="7390"/>
        <v>0</v>
      </c>
      <c r="N3613" s="1" t="str">
        <f t="shared" si="7390"/>
        <v>0</v>
      </c>
      <c r="O3613" s="1" t="str">
        <f t="shared" si="7390"/>
        <v>0</v>
      </c>
      <c r="P3613" s="1" t="str">
        <f t="shared" si="7390"/>
        <v>0</v>
      </c>
      <c r="Q3613" s="1" t="str">
        <f t="shared" si="7332"/>
        <v>0.0070</v>
      </c>
      <c r="R3613" s="1" t="s">
        <v>29</v>
      </c>
      <c r="S3613" s="1">
        <v>-0.0014</v>
      </c>
      <c r="T3613" s="1" t="str">
        <f t="shared" si="7333"/>
        <v>0</v>
      </c>
      <c r="U3613" s="1" t="str">
        <f t="shared" si="7385"/>
        <v>0.0056</v>
      </c>
    </row>
    <row r="3614" s="1" customFormat="1" spans="1:21">
      <c r="A3614" s="1" t="str">
        <f>"4601992069339"</f>
        <v>4601992069339</v>
      </c>
      <c r="B3614" s="1" t="s">
        <v>3637</v>
      </c>
      <c r="C3614" s="1" t="s">
        <v>24</v>
      </c>
      <c r="D3614" s="1" t="str">
        <f t="shared" si="7330"/>
        <v>2021</v>
      </c>
      <c r="E3614" s="1" t="str">
        <f>"12.09"</f>
        <v>12.09</v>
      </c>
      <c r="F3614" s="1" t="str">
        <f t="shared" ref="F3614:I3614" si="7391">"0"</f>
        <v>0</v>
      </c>
      <c r="G3614" s="1" t="str">
        <f t="shared" si="7391"/>
        <v>0</v>
      </c>
      <c r="H3614" s="1" t="str">
        <f t="shared" si="7391"/>
        <v>0</v>
      </c>
      <c r="I3614" s="1" t="str">
        <f t="shared" si="7391"/>
        <v>0</v>
      </c>
      <c r="J3614" s="1" t="str">
        <f t="shared" si="7387"/>
        <v>1</v>
      </c>
      <c r="K3614" s="1" t="str">
        <f t="shared" ref="K3614:P3614" si="7392">"0"</f>
        <v>0</v>
      </c>
      <c r="L3614" s="1" t="str">
        <f t="shared" si="7392"/>
        <v>0</v>
      </c>
      <c r="M3614" s="1" t="str">
        <f t="shared" si="7392"/>
        <v>0</v>
      </c>
      <c r="N3614" s="1" t="str">
        <f t="shared" si="7392"/>
        <v>0</v>
      </c>
      <c r="O3614" s="1" t="str">
        <f t="shared" si="7392"/>
        <v>0</v>
      </c>
      <c r="P3614" s="1" t="str">
        <f t="shared" si="7392"/>
        <v>0</v>
      </c>
      <c r="Q3614" s="1" t="str">
        <f t="shared" si="7332"/>
        <v>0.0070</v>
      </c>
      <c r="R3614" s="1" t="s">
        <v>29</v>
      </c>
      <c r="S3614" s="1">
        <v>-0.0014</v>
      </c>
      <c r="T3614" s="1" t="str">
        <f t="shared" si="7333"/>
        <v>0</v>
      </c>
      <c r="U3614" s="1" t="str">
        <f t="shared" si="7385"/>
        <v>0.0056</v>
      </c>
    </row>
    <row r="3615" s="1" customFormat="1" spans="1:21">
      <c r="A3615" s="1" t="str">
        <f>"4601992047322"</f>
        <v>4601992047322</v>
      </c>
      <c r="B3615" s="1" t="s">
        <v>3638</v>
      </c>
      <c r="C3615" s="1" t="s">
        <v>24</v>
      </c>
      <c r="D3615" s="1" t="str">
        <f t="shared" si="7330"/>
        <v>2021</v>
      </c>
      <c r="E3615" s="1" t="str">
        <f>"37.96"</f>
        <v>37.96</v>
      </c>
      <c r="F3615" s="1" t="str">
        <f t="shared" ref="F3615:I3615" si="7393">"0"</f>
        <v>0</v>
      </c>
      <c r="G3615" s="1" t="str">
        <f t="shared" si="7393"/>
        <v>0</v>
      </c>
      <c r="H3615" s="1" t="str">
        <f t="shared" si="7393"/>
        <v>0</v>
      </c>
      <c r="I3615" s="1" t="str">
        <f t="shared" si="7393"/>
        <v>0</v>
      </c>
      <c r="J3615" s="1" t="str">
        <f>"3"</f>
        <v>3</v>
      </c>
      <c r="K3615" s="1" t="str">
        <f t="shared" ref="K3615:P3615" si="7394">"0"</f>
        <v>0</v>
      </c>
      <c r="L3615" s="1" t="str">
        <f t="shared" si="7394"/>
        <v>0</v>
      </c>
      <c r="M3615" s="1" t="str">
        <f t="shared" si="7394"/>
        <v>0</v>
      </c>
      <c r="N3615" s="1" t="str">
        <f t="shared" si="7394"/>
        <v>0</v>
      </c>
      <c r="O3615" s="1" t="str">
        <f t="shared" si="7394"/>
        <v>0</v>
      </c>
      <c r="P3615" s="1" t="str">
        <f t="shared" si="7394"/>
        <v>0</v>
      </c>
      <c r="Q3615" s="1" t="str">
        <f t="shared" si="7332"/>
        <v>0.0070</v>
      </c>
      <c r="R3615" s="1" t="s">
        <v>29</v>
      </c>
      <c r="S3615" s="1">
        <v>-0.0014</v>
      </c>
      <c r="T3615" s="1" t="str">
        <f t="shared" si="7333"/>
        <v>0</v>
      </c>
      <c r="U3615" s="1" t="str">
        <f t="shared" si="7385"/>
        <v>0.0056</v>
      </c>
    </row>
    <row r="3616" s="1" customFormat="1" spans="1:21">
      <c r="A3616" s="1" t="str">
        <f>"4601992069349"</f>
        <v>4601992069349</v>
      </c>
      <c r="B3616" s="1" t="s">
        <v>3639</v>
      </c>
      <c r="C3616" s="1" t="s">
        <v>24</v>
      </c>
      <c r="D3616" s="1" t="str">
        <f t="shared" si="7330"/>
        <v>2021</v>
      </c>
      <c r="E3616" s="1" t="str">
        <f>"11.98"</f>
        <v>11.98</v>
      </c>
      <c r="F3616" s="1" t="str">
        <f t="shared" ref="F3616:I3616" si="7395">"0"</f>
        <v>0</v>
      </c>
      <c r="G3616" s="1" t="str">
        <f t="shared" si="7395"/>
        <v>0</v>
      </c>
      <c r="H3616" s="1" t="str">
        <f t="shared" si="7395"/>
        <v>0</v>
      </c>
      <c r="I3616" s="1" t="str">
        <f t="shared" si="7395"/>
        <v>0</v>
      </c>
      <c r="J3616" s="1" t="str">
        <f t="shared" si="7387"/>
        <v>1</v>
      </c>
      <c r="K3616" s="1" t="str">
        <f t="shared" ref="K3616:P3616" si="7396">"0"</f>
        <v>0</v>
      </c>
      <c r="L3616" s="1" t="str">
        <f t="shared" si="7396"/>
        <v>0</v>
      </c>
      <c r="M3616" s="1" t="str">
        <f t="shared" si="7396"/>
        <v>0</v>
      </c>
      <c r="N3616" s="1" t="str">
        <f t="shared" si="7396"/>
        <v>0</v>
      </c>
      <c r="O3616" s="1" t="str">
        <f t="shared" si="7396"/>
        <v>0</v>
      </c>
      <c r="P3616" s="1" t="str">
        <f t="shared" si="7396"/>
        <v>0</v>
      </c>
      <c r="Q3616" s="1" t="str">
        <f t="shared" si="7332"/>
        <v>0.0070</v>
      </c>
      <c r="R3616" s="1" t="s">
        <v>29</v>
      </c>
      <c r="S3616" s="1">
        <v>-0.0014</v>
      </c>
      <c r="T3616" s="1" t="str">
        <f t="shared" si="7333"/>
        <v>0</v>
      </c>
      <c r="U3616" s="1" t="str">
        <f t="shared" si="7385"/>
        <v>0.0056</v>
      </c>
    </row>
    <row r="3617" s="1" customFormat="1" spans="1:21">
      <c r="A3617" s="1" t="str">
        <f>"4601992069372"</f>
        <v>4601992069372</v>
      </c>
      <c r="B3617" s="1" t="s">
        <v>3640</v>
      </c>
      <c r="C3617" s="1" t="s">
        <v>24</v>
      </c>
      <c r="D3617" s="1" t="str">
        <f t="shared" si="7330"/>
        <v>2021</v>
      </c>
      <c r="E3617" s="1" t="str">
        <f>"12.25"</f>
        <v>12.25</v>
      </c>
      <c r="F3617" s="1" t="str">
        <f t="shared" ref="F3617:I3617" si="7397">"0"</f>
        <v>0</v>
      </c>
      <c r="G3617" s="1" t="str">
        <f t="shared" si="7397"/>
        <v>0</v>
      </c>
      <c r="H3617" s="1" t="str">
        <f t="shared" si="7397"/>
        <v>0</v>
      </c>
      <c r="I3617" s="1" t="str">
        <f t="shared" si="7397"/>
        <v>0</v>
      </c>
      <c r="J3617" s="1" t="str">
        <f>"2"</f>
        <v>2</v>
      </c>
      <c r="K3617" s="1" t="str">
        <f t="shared" ref="K3617:P3617" si="7398">"0"</f>
        <v>0</v>
      </c>
      <c r="L3617" s="1" t="str">
        <f t="shared" si="7398"/>
        <v>0</v>
      </c>
      <c r="M3617" s="1" t="str">
        <f t="shared" si="7398"/>
        <v>0</v>
      </c>
      <c r="N3617" s="1" t="str">
        <f t="shared" si="7398"/>
        <v>0</v>
      </c>
      <c r="O3617" s="1" t="str">
        <f t="shared" si="7398"/>
        <v>0</v>
      </c>
      <c r="P3617" s="1" t="str">
        <f t="shared" si="7398"/>
        <v>0</v>
      </c>
      <c r="Q3617" s="1" t="str">
        <f t="shared" si="7332"/>
        <v>0.0070</v>
      </c>
      <c r="R3617" s="1" t="s">
        <v>29</v>
      </c>
      <c r="S3617" s="1">
        <v>-0.0014</v>
      </c>
      <c r="T3617" s="1" t="str">
        <f t="shared" si="7333"/>
        <v>0</v>
      </c>
      <c r="U3617" s="1" t="str">
        <f t="shared" si="7385"/>
        <v>0.0056</v>
      </c>
    </row>
    <row r="3618" s="1" customFormat="1" spans="1:21">
      <c r="A3618" s="1" t="str">
        <f>"4601992069345"</f>
        <v>4601992069345</v>
      </c>
      <c r="B3618" s="1" t="s">
        <v>3641</v>
      </c>
      <c r="C3618" s="1" t="s">
        <v>24</v>
      </c>
      <c r="D3618" s="1" t="str">
        <f t="shared" si="7330"/>
        <v>2021</v>
      </c>
      <c r="E3618" s="1" t="str">
        <f>"24.18"</f>
        <v>24.18</v>
      </c>
      <c r="F3618" s="1" t="str">
        <f t="shared" ref="F3618:I3618" si="7399">"0"</f>
        <v>0</v>
      </c>
      <c r="G3618" s="1" t="str">
        <f t="shared" si="7399"/>
        <v>0</v>
      </c>
      <c r="H3618" s="1" t="str">
        <f t="shared" si="7399"/>
        <v>0</v>
      </c>
      <c r="I3618" s="1" t="str">
        <f t="shared" si="7399"/>
        <v>0</v>
      </c>
      <c r="J3618" s="1" t="str">
        <f>"3"</f>
        <v>3</v>
      </c>
      <c r="K3618" s="1" t="str">
        <f t="shared" ref="K3618:P3618" si="7400">"0"</f>
        <v>0</v>
      </c>
      <c r="L3618" s="1" t="str">
        <f t="shared" si="7400"/>
        <v>0</v>
      </c>
      <c r="M3618" s="1" t="str">
        <f t="shared" si="7400"/>
        <v>0</v>
      </c>
      <c r="N3618" s="1" t="str">
        <f t="shared" si="7400"/>
        <v>0</v>
      </c>
      <c r="O3618" s="1" t="str">
        <f t="shared" si="7400"/>
        <v>0</v>
      </c>
      <c r="P3618" s="1" t="str">
        <f t="shared" si="7400"/>
        <v>0</v>
      </c>
      <c r="Q3618" s="1" t="str">
        <f t="shared" si="7332"/>
        <v>0.0070</v>
      </c>
      <c r="R3618" s="1" t="s">
        <v>29</v>
      </c>
      <c r="S3618" s="1">
        <v>-0.0014</v>
      </c>
      <c r="T3618" s="1" t="str">
        <f t="shared" si="7333"/>
        <v>0</v>
      </c>
      <c r="U3618" s="1" t="str">
        <f t="shared" si="7385"/>
        <v>0.0056</v>
      </c>
    </row>
    <row r="3619" s="1" customFormat="1" spans="1:21">
      <c r="A3619" s="1" t="str">
        <f>"4601992069423"</f>
        <v>4601992069423</v>
      </c>
      <c r="B3619" s="1" t="s">
        <v>3642</v>
      </c>
      <c r="C3619" s="1" t="s">
        <v>24</v>
      </c>
      <c r="D3619" s="1" t="str">
        <f t="shared" si="7330"/>
        <v>2021</v>
      </c>
      <c r="E3619" s="1" t="str">
        <f>"11.98"</f>
        <v>11.98</v>
      </c>
      <c r="F3619" s="1" t="str">
        <f t="shared" ref="F3619:I3619" si="7401">"0"</f>
        <v>0</v>
      </c>
      <c r="G3619" s="1" t="str">
        <f t="shared" si="7401"/>
        <v>0</v>
      </c>
      <c r="H3619" s="1" t="str">
        <f t="shared" si="7401"/>
        <v>0</v>
      </c>
      <c r="I3619" s="1" t="str">
        <f t="shared" si="7401"/>
        <v>0</v>
      </c>
      <c r="J3619" s="1" t="str">
        <f>"1"</f>
        <v>1</v>
      </c>
      <c r="K3619" s="1" t="str">
        <f t="shared" ref="K3619:P3619" si="7402">"0"</f>
        <v>0</v>
      </c>
      <c r="L3619" s="1" t="str">
        <f t="shared" si="7402"/>
        <v>0</v>
      </c>
      <c r="M3619" s="1" t="str">
        <f t="shared" si="7402"/>
        <v>0</v>
      </c>
      <c r="N3619" s="1" t="str">
        <f t="shared" si="7402"/>
        <v>0</v>
      </c>
      <c r="O3619" s="1" t="str">
        <f t="shared" si="7402"/>
        <v>0</v>
      </c>
      <c r="P3619" s="1" t="str">
        <f t="shared" si="7402"/>
        <v>0</v>
      </c>
      <c r="Q3619" s="1" t="str">
        <f t="shared" si="7332"/>
        <v>0.0070</v>
      </c>
      <c r="R3619" s="1" t="s">
        <v>25</v>
      </c>
      <c r="T3619" s="1" t="str">
        <f t="shared" si="7333"/>
        <v>0</v>
      </c>
      <c r="U3619" s="1" t="str">
        <f t="shared" ref="U3619:U3622" si="7403">"0.0070"</f>
        <v>0.0070</v>
      </c>
    </row>
    <row r="3620" s="1" customFormat="1" spans="1:21">
      <c r="A3620" s="1" t="str">
        <f>"4601992069433"</f>
        <v>4601992069433</v>
      </c>
      <c r="B3620" s="1" t="s">
        <v>3643</v>
      </c>
      <c r="C3620" s="1" t="s">
        <v>24</v>
      </c>
      <c r="D3620" s="1" t="str">
        <f t="shared" si="7330"/>
        <v>2021</v>
      </c>
      <c r="E3620" s="1" t="str">
        <f t="shared" ref="E3620:P3620" si="7404">"0"</f>
        <v>0</v>
      </c>
      <c r="F3620" s="1" t="str">
        <f t="shared" si="7404"/>
        <v>0</v>
      </c>
      <c r="G3620" s="1" t="str">
        <f t="shared" si="7404"/>
        <v>0</v>
      </c>
      <c r="H3620" s="1" t="str">
        <f t="shared" si="7404"/>
        <v>0</v>
      </c>
      <c r="I3620" s="1" t="str">
        <f t="shared" si="7404"/>
        <v>0</v>
      </c>
      <c r="J3620" s="1" t="str">
        <f t="shared" si="7404"/>
        <v>0</v>
      </c>
      <c r="K3620" s="1" t="str">
        <f t="shared" si="7404"/>
        <v>0</v>
      </c>
      <c r="L3620" s="1" t="str">
        <f t="shared" si="7404"/>
        <v>0</v>
      </c>
      <c r="M3620" s="1" t="str">
        <f t="shared" si="7404"/>
        <v>0</v>
      </c>
      <c r="N3620" s="1" t="str">
        <f t="shared" si="7404"/>
        <v>0</v>
      </c>
      <c r="O3620" s="1" t="str">
        <f t="shared" si="7404"/>
        <v>0</v>
      </c>
      <c r="P3620" s="1" t="str">
        <f t="shared" si="7404"/>
        <v>0</v>
      </c>
      <c r="Q3620" s="1" t="str">
        <f t="shared" si="7332"/>
        <v>0.0070</v>
      </c>
      <c r="R3620" s="1" t="s">
        <v>25</v>
      </c>
      <c r="T3620" s="1" t="str">
        <f t="shared" si="7333"/>
        <v>0</v>
      </c>
      <c r="U3620" s="1" t="str">
        <f t="shared" si="7403"/>
        <v>0.0070</v>
      </c>
    </row>
    <row r="3621" s="1" customFormat="1" spans="1:21">
      <c r="A3621" s="1" t="str">
        <f>"4601992069430"</f>
        <v>4601992069430</v>
      </c>
      <c r="B3621" s="1" t="s">
        <v>3644</v>
      </c>
      <c r="C3621" s="1" t="s">
        <v>24</v>
      </c>
      <c r="D3621" s="1" t="str">
        <f t="shared" si="7330"/>
        <v>2021</v>
      </c>
      <c r="E3621" s="1" t="str">
        <f>"47.92"</f>
        <v>47.92</v>
      </c>
      <c r="F3621" s="1" t="str">
        <f t="shared" ref="F3621:I3621" si="7405">"0"</f>
        <v>0</v>
      </c>
      <c r="G3621" s="1" t="str">
        <f t="shared" si="7405"/>
        <v>0</v>
      </c>
      <c r="H3621" s="1" t="str">
        <f t="shared" si="7405"/>
        <v>0</v>
      </c>
      <c r="I3621" s="1" t="str">
        <f t="shared" si="7405"/>
        <v>0</v>
      </c>
      <c r="J3621" s="1" t="str">
        <f>"4"</f>
        <v>4</v>
      </c>
      <c r="K3621" s="1" t="str">
        <f t="shared" ref="K3621:P3621" si="7406">"0"</f>
        <v>0</v>
      </c>
      <c r="L3621" s="1" t="str">
        <f t="shared" si="7406"/>
        <v>0</v>
      </c>
      <c r="M3621" s="1" t="str">
        <f t="shared" si="7406"/>
        <v>0</v>
      </c>
      <c r="N3621" s="1" t="str">
        <f t="shared" si="7406"/>
        <v>0</v>
      </c>
      <c r="O3621" s="1" t="str">
        <f t="shared" si="7406"/>
        <v>0</v>
      </c>
      <c r="P3621" s="1" t="str">
        <f t="shared" si="7406"/>
        <v>0</v>
      </c>
      <c r="Q3621" s="1" t="str">
        <f t="shared" si="7332"/>
        <v>0.0070</v>
      </c>
      <c r="R3621" s="1" t="s">
        <v>29</v>
      </c>
      <c r="S3621" s="1">
        <v>-0.0014</v>
      </c>
      <c r="T3621" s="1" t="str">
        <f t="shared" si="7333"/>
        <v>0</v>
      </c>
      <c r="U3621" s="1" t="str">
        <f t="shared" ref="U3621:U3625" si="7407">"0.0056"</f>
        <v>0.0056</v>
      </c>
    </row>
    <row r="3622" s="1" customFormat="1" spans="1:21">
      <c r="A3622" s="1" t="str">
        <f>"4601992069438"</f>
        <v>4601992069438</v>
      </c>
      <c r="B3622" s="1" t="s">
        <v>3645</v>
      </c>
      <c r="C3622" s="1" t="s">
        <v>24</v>
      </c>
      <c r="D3622" s="1" t="str">
        <f t="shared" si="7330"/>
        <v>2021</v>
      </c>
      <c r="E3622" s="1" t="str">
        <f t="shared" ref="E3622:P3622" si="7408">"0"</f>
        <v>0</v>
      </c>
      <c r="F3622" s="1" t="str">
        <f t="shared" si="7408"/>
        <v>0</v>
      </c>
      <c r="G3622" s="1" t="str">
        <f t="shared" si="7408"/>
        <v>0</v>
      </c>
      <c r="H3622" s="1" t="str">
        <f t="shared" si="7408"/>
        <v>0</v>
      </c>
      <c r="I3622" s="1" t="str">
        <f t="shared" si="7408"/>
        <v>0</v>
      </c>
      <c r="J3622" s="1" t="str">
        <f t="shared" si="7408"/>
        <v>0</v>
      </c>
      <c r="K3622" s="1" t="str">
        <f t="shared" si="7408"/>
        <v>0</v>
      </c>
      <c r="L3622" s="1" t="str">
        <f t="shared" si="7408"/>
        <v>0</v>
      </c>
      <c r="M3622" s="1" t="str">
        <f t="shared" si="7408"/>
        <v>0</v>
      </c>
      <c r="N3622" s="1" t="str">
        <f t="shared" si="7408"/>
        <v>0</v>
      </c>
      <c r="O3622" s="1" t="str">
        <f t="shared" si="7408"/>
        <v>0</v>
      </c>
      <c r="P3622" s="1" t="str">
        <f t="shared" si="7408"/>
        <v>0</v>
      </c>
      <c r="Q3622" s="1" t="str">
        <f t="shared" si="7332"/>
        <v>0.0070</v>
      </c>
      <c r="R3622" s="1" t="s">
        <v>25</v>
      </c>
      <c r="T3622" s="1" t="str">
        <f t="shared" si="7333"/>
        <v>0</v>
      </c>
      <c r="U3622" s="1" t="str">
        <f t="shared" si="7403"/>
        <v>0.0070</v>
      </c>
    </row>
    <row r="3623" s="1" customFormat="1" spans="1:21">
      <c r="A3623" s="1" t="str">
        <f>"4601992069416"</f>
        <v>4601992069416</v>
      </c>
      <c r="B3623" s="1" t="s">
        <v>3646</v>
      </c>
      <c r="C3623" s="1" t="s">
        <v>24</v>
      </c>
      <c r="D3623" s="1" t="str">
        <f t="shared" si="7330"/>
        <v>2021</v>
      </c>
      <c r="E3623" s="1" t="str">
        <f>"165.57"</f>
        <v>165.57</v>
      </c>
      <c r="F3623" s="1" t="str">
        <f t="shared" ref="F3623:I3623" si="7409">"0"</f>
        <v>0</v>
      </c>
      <c r="G3623" s="1" t="str">
        <f t="shared" si="7409"/>
        <v>0</v>
      </c>
      <c r="H3623" s="1" t="str">
        <f t="shared" si="7409"/>
        <v>0</v>
      </c>
      <c r="I3623" s="1" t="str">
        <f t="shared" si="7409"/>
        <v>0</v>
      </c>
      <c r="J3623" s="1" t="str">
        <f>"13"</f>
        <v>13</v>
      </c>
      <c r="K3623" s="1" t="str">
        <f t="shared" ref="K3623:P3623" si="7410">"0"</f>
        <v>0</v>
      </c>
      <c r="L3623" s="1" t="str">
        <f t="shared" si="7410"/>
        <v>0</v>
      </c>
      <c r="M3623" s="1" t="str">
        <f t="shared" si="7410"/>
        <v>0</v>
      </c>
      <c r="N3623" s="1" t="str">
        <f t="shared" si="7410"/>
        <v>0</v>
      </c>
      <c r="O3623" s="1" t="str">
        <f t="shared" si="7410"/>
        <v>0</v>
      </c>
      <c r="P3623" s="1" t="str">
        <f t="shared" si="7410"/>
        <v>0</v>
      </c>
      <c r="Q3623" s="1" t="str">
        <f t="shared" si="7332"/>
        <v>0.0070</v>
      </c>
      <c r="R3623" s="1" t="s">
        <v>29</v>
      </c>
      <c r="S3623" s="1">
        <v>-0.0014</v>
      </c>
      <c r="T3623" s="1" t="str">
        <f t="shared" si="7333"/>
        <v>0</v>
      </c>
      <c r="U3623" s="1" t="str">
        <f t="shared" si="7407"/>
        <v>0.0056</v>
      </c>
    </row>
    <row r="3624" s="1" customFormat="1" spans="1:21">
      <c r="A3624" s="1" t="str">
        <f>"4601992069436"</f>
        <v>4601992069436</v>
      </c>
      <c r="B3624" s="1" t="s">
        <v>3647</v>
      </c>
      <c r="C3624" s="1" t="s">
        <v>24</v>
      </c>
      <c r="D3624" s="1" t="str">
        <f t="shared" si="7330"/>
        <v>2021</v>
      </c>
      <c r="E3624" s="1" t="str">
        <f>"11.98"</f>
        <v>11.98</v>
      </c>
      <c r="F3624" s="1" t="str">
        <f t="shared" ref="F3624:I3624" si="7411">"0"</f>
        <v>0</v>
      </c>
      <c r="G3624" s="1" t="str">
        <f t="shared" si="7411"/>
        <v>0</v>
      </c>
      <c r="H3624" s="1" t="str">
        <f t="shared" si="7411"/>
        <v>0</v>
      </c>
      <c r="I3624" s="1" t="str">
        <f t="shared" si="7411"/>
        <v>0</v>
      </c>
      <c r="J3624" s="1" t="str">
        <f>"1"</f>
        <v>1</v>
      </c>
      <c r="K3624" s="1" t="str">
        <f t="shared" ref="K3624:P3624" si="7412">"0"</f>
        <v>0</v>
      </c>
      <c r="L3624" s="1" t="str">
        <f t="shared" si="7412"/>
        <v>0</v>
      </c>
      <c r="M3624" s="1" t="str">
        <f t="shared" si="7412"/>
        <v>0</v>
      </c>
      <c r="N3624" s="1" t="str">
        <f t="shared" si="7412"/>
        <v>0</v>
      </c>
      <c r="O3624" s="1" t="str">
        <f t="shared" si="7412"/>
        <v>0</v>
      </c>
      <c r="P3624" s="1" t="str">
        <f t="shared" si="7412"/>
        <v>0</v>
      </c>
      <c r="Q3624" s="1" t="str">
        <f t="shared" si="7332"/>
        <v>0.0070</v>
      </c>
      <c r="R3624" s="1" t="s">
        <v>25</v>
      </c>
      <c r="T3624" s="1" t="str">
        <f t="shared" si="7333"/>
        <v>0</v>
      </c>
      <c r="U3624" s="1" t="str">
        <f t="shared" ref="U3624:U3629" si="7413">"0.0070"</f>
        <v>0.0070</v>
      </c>
    </row>
    <row r="3625" s="1" customFormat="1" spans="1:21">
      <c r="A3625" s="1" t="str">
        <f>"4601992069469"</f>
        <v>4601992069469</v>
      </c>
      <c r="B3625" s="1" t="s">
        <v>3648</v>
      </c>
      <c r="C3625" s="1" t="s">
        <v>24</v>
      </c>
      <c r="D3625" s="1" t="str">
        <f t="shared" si="7330"/>
        <v>2021</v>
      </c>
      <c r="E3625" s="1" t="str">
        <f>"23.96"</f>
        <v>23.96</v>
      </c>
      <c r="F3625" s="1" t="str">
        <f t="shared" ref="F3625:I3625" si="7414">"0"</f>
        <v>0</v>
      </c>
      <c r="G3625" s="1" t="str">
        <f t="shared" si="7414"/>
        <v>0</v>
      </c>
      <c r="H3625" s="1" t="str">
        <f t="shared" si="7414"/>
        <v>0</v>
      </c>
      <c r="I3625" s="1" t="str">
        <f t="shared" si="7414"/>
        <v>0</v>
      </c>
      <c r="J3625" s="1" t="str">
        <f>"2"</f>
        <v>2</v>
      </c>
      <c r="K3625" s="1" t="str">
        <f t="shared" ref="K3625:P3625" si="7415">"0"</f>
        <v>0</v>
      </c>
      <c r="L3625" s="1" t="str">
        <f t="shared" si="7415"/>
        <v>0</v>
      </c>
      <c r="M3625" s="1" t="str">
        <f t="shared" si="7415"/>
        <v>0</v>
      </c>
      <c r="N3625" s="1" t="str">
        <f t="shared" si="7415"/>
        <v>0</v>
      </c>
      <c r="O3625" s="1" t="str">
        <f t="shared" si="7415"/>
        <v>0</v>
      </c>
      <c r="P3625" s="1" t="str">
        <f t="shared" si="7415"/>
        <v>0</v>
      </c>
      <c r="Q3625" s="1" t="str">
        <f t="shared" si="7332"/>
        <v>0.0070</v>
      </c>
      <c r="R3625" s="1" t="s">
        <v>29</v>
      </c>
      <c r="S3625" s="1">
        <v>-0.0014</v>
      </c>
      <c r="T3625" s="1" t="str">
        <f t="shared" si="7333"/>
        <v>0</v>
      </c>
      <c r="U3625" s="1" t="str">
        <f t="shared" si="7407"/>
        <v>0.0056</v>
      </c>
    </row>
    <row r="3626" s="1" customFormat="1" spans="1:21">
      <c r="A3626" s="1" t="str">
        <f>"4601992069506"</f>
        <v>4601992069506</v>
      </c>
      <c r="B3626" s="1" t="s">
        <v>3649</v>
      </c>
      <c r="C3626" s="1" t="s">
        <v>24</v>
      </c>
      <c r="D3626" s="1" t="str">
        <f t="shared" si="7330"/>
        <v>2021</v>
      </c>
      <c r="E3626" s="1" t="str">
        <f t="shared" ref="E3626:P3626" si="7416">"0"</f>
        <v>0</v>
      </c>
      <c r="F3626" s="1" t="str">
        <f t="shared" si="7416"/>
        <v>0</v>
      </c>
      <c r="G3626" s="1" t="str">
        <f t="shared" si="7416"/>
        <v>0</v>
      </c>
      <c r="H3626" s="1" t="str">
        <f t="shared" si="7416"/>
        <v>0</v>
      </c>
      <c r="I3626" s="1" t="str">
        <f t="shared" si="7416"/>
        <v>0</v>
      </c>
      <c r="J3626" s="1" t="str">
        <f t="shared" si="7416"/>
        <v>0</v>
      </c>
      <c r="K3626" s="1" t="str">
        <f t="shared" si="7416"/>
        <v>0</v>
      </c>
      <c r="L3626" s="1" t="str">
        <f t="shared" si="7416"/>
        <v>0</v>
      </c>
      <c r="M3626" s="1" t="str">
        <f t="shared" si="7416"/>
        <v>0</v>
      </c>
      <c r="N3626" s="1" t="str">
        <f t="shared" si="7416"/>
        <v>0</v>
      </c>
      <c r="O3626" s="1" t="str">
        <f t="shared" si="7416"/>
        <v>0</v>
      </c>
      <c r="P3626" s="1" t="str">
        <f t="shared" si="7416"/>
        <v>0</v>
      </c>
      <c r="Q3626" s="1" t="str">
        <f t="shared" si="7332"/>
        <v>0.0070</v>
      </c>
      <c r="R3626" s="1" t="s">
        <v>25</v>
      </c>
      <c r="T3626" s="1" t="str">
        <f t="shared" si="7333"/>
        <v>0</v>
      </c>
      <c r="U3626" s="1" t="str">
        <f t="shared" si="7413"/>
        <v>0.0070</v>
      </c>
    </row>
    <row r="3627" s="1" customFormat="1" spans="1:21">
      <c r="A3627" s="1" t="str">
        <f>"4601992069476"</f>
        <v>4601992069476</v>
      </c>
      <c r="B3627" s="1" t="s">
        <v>3650</v>
      </c>
      <c r="C3627" s="1" t="s">
        <v>24</v>
      </c>
      <c r="D3627" s="1" t="str">
        <f t="shared" si="7330"/>
        <v>2021</v>
      </c>
      <c r="E3627" s="1" t="str">
        <f>"48.19"</f>
        <v>48.19</v>
      </c>
      <c r="F3627" s="1" t="str">
        <f t="shared" ref="F3627:I3627" si="7417">"0"</f>
        <v>0</v>
      </c>
      <c r="G3627" s="1" t="str">
        <f t="shared" si="7417"/>
        <v>0</v>
      </c>
      <c r="H3627" s="1" t="str">
        <f t="shared" si="7417"/>
        <v>0</v>
      </c>
      <c r="I3627" s="1" t="str">
        <f t="shared" si="7417"/>
        <v>0</v>
      </c>
      <c r="J3627" s="1" t="str">
        <f>"4"</f>
        <v>4</v>
      </c>
      <c r="K3627" s="1" t="str">
        <f t="shared" ref="K3627:P3627" si="7418">"0"</f>
        <v>0</v>
      </c>
      <c r="L3627" s="1" t="str">
        <f t="shared" si="7418"/>
        <v>0</v>
      </c>
      <c r="M3627" s="1" t="str">
        <f t="shared" si="7418"/>
        <v>0</v>
      </c>
      <c r="N3627" s="1" t="str">
        <f t="shared" si="7418"/>
        <v>0</v>
      </c>
      <c r="O3627" s="1" t="str">
        <f t="shared" si="7418"/>
        <v>0</v>
      </c>
      <c r="P3627" s="1" t="str">
        <f t="shared" si="7418"/>
        <v>0</v>
      </c>
      <c r="Q3627" s="1" t="str">
        <f t="shared" si="7332"/>
        <v>0.0070</v>
      </c>
      <c r="R3627" s="1" t="s">
        <v>29</v>
      </c>
      <c r="S3627" s="1">
        <v>-0.0014</v>
      </c>
      <c r="T3627" s="1" t="str">
        <f t="shared" si="7333"/>
        <v>0</v>
      </c>
      <c r="U3627" s="1" t="str">
        <f t="shared" ref="U3627:U3631" si="7419">"0.0056"</f>
        <v>0.0056</v>
      </c>
    </row>
    <row r="3628" s="1" customFormat="1" spans="1:21">
      <c r="A3628" s="1" t="str">
        <f>"4601992069480"</f>
        <v>4601992069480</v>
      </c>
      <c r="B3628" s="1" t="s">
        <v>3651</v>
      </c>
      <c r="C3628" s="1" t="s">
        <v>24</v>
      </c>
      <c r="D3628" s="1" t="str">
        <f t="shared" si="7330"/>
        <v>2021</v>
      </c>
      <c r="E3628" s="1" t="str">
        <f>"11.98"</f>
        <v>11.98</v>
      </c>
      <c r="F3628" s="1" t="str">
        <f t="shared" ref="F3628:I3628" si="7420">"0"</f>
        <v>0</v>
      </c>
      <c r="G3628" s="1" t="str">
        <f t="shared" si="7420"/>
        <v>0</v>
      </c>
      <c r="H3628" s="1" t="str">
        <f t="shared" si="7420"/>
        <v>0</v>
      </c>
      <c r="I3628" s="1" t="str">
        <f t="shared" si="7420"/>
        <v>0</v>
      </c>
      <c r="J3628" s="1" t="str">
        <f>"1"</f>
        <v>1</v>
      </c>
      <c r="K3628" s="1" t="str">
        <f t="shared" ref="K3628:P3628" si="7421">"0"</f>
        <v>0</v>
      </c>
      <c r="L3628" s="1" t="str">
        <f t="shared" si="7421"/>
        <v>0</v>
      </c>
      <c r="M3628" s="1" t="str">
        <f t="shared" si="7421"/>
        <v>0</v>
      </c>
      <c r="N3628" s="1" t="str">
        <f t="shared" si="7421"/>
        <v>0</v>
      </c>
      <c r="O3628" s="1" t="str">
        <f t="shared" si="7421"/>
        <v>0</v>
      </c>
      <c r="P3628" s="1" t="str">
        <f t="shared" si="7421"/>
        <v>0</v>
      </c>
      <c r="Q3628" s="1" t="str">
        <f t="shared" si="7332"/>
        <v>0.0070</v>
      </c>
      <c r="R3628" s="1" t="s">
        <v>29</v>
      </c>
      <c r="S3628" s="1">
        <v>-0.0014</v>
      </c>
      <c r="T3628" s="1" t="str">
        <f t="shared" si="7333"/>
        <v>0</v>
      </c>
      <c r="U3628" s="1" t="str">
        <f t="shared" si="7419"/>
        <v>0.0056</v>
      </c>
    </row>
    <row r="3629" s="1" customFormat="1" spans="1:21">
      <c r="A3629" s="1" t="str">
        <f>"4601992069513"</f>
        <v>4601992069513</v>
      </c>
      <c r="B3629" s="1" t="s">
        <v>3652</v>
      </c>
      <c r="C3629" s="1" t="s">
        <v>24</v>
      </c>
      <c r="D3629" s="1" t="str">
        <f t="shared" si="7330"/>
        <v>2021</v>
      </c>
      <c r="E3629" s="1" t="str">
        <f>"24.18"</f>
        <v>24.18</v>
      </c>
      <c r="F3629" s="1" t="str">
        <f t="shared" ref="F3629:I3629" si="7422">"0"</f>
        <v>0</v>
      </c>
      <c r="G3629" s="1" t="str">
        <f t="shared" si="7422"/>
        <v>0</v>
      </c>
      <c r="H3629" s="1" t="str">
        <f t="shared" si="7422"/>
        <v>0</v>
      </c>
      <c r="I3629" s="1" t="str">
        <f t="shared" si="7422"/>
        <v>0</v>
      </c>
      <c r="J3629" s="1" t="str">
        <f>"2"</f>
        <v>2</v>
      </c>
      <c r="K3629" s="1" t="str">
        <f t="shared" ref="K3629:P3629" si="7423">"0"</f>
        <v>0</v>
      </c>
      <c r="L3629" s="1" t="str">
        <f t="shared" si="7423"/>
        <v>0</v>
      </c>
      <c r="M3629" s="1" t="str">
        <f t="shared" si="7423"/>
        <v>0</v>
      </c>
      <c r="N3629" s="1" t="str">
        <f t="shared" si="7423"/>
        <v>0</v>
      </c>
      <c r="O3629" s="1" t="str">
        <f t="shared" si="7423"/>
        <v>0</v>
      </c>
      <c r="P3629" s="1" t="str">
        <f t="shared" si="7423"/>
        <v>0</v>
      </c>
      <c r="Q3629" s="1" t="str">
        <f t="shared" si="7332"/>
        <v>0.0070</v>
      </c>
      <c r="R3629" s="1" t="s">
        <v>25</v>
      </c>
      <c r="T3629" s="1" t="str">
        <f t="shared" si="7333"/>
        <v>0</v>
      </c>
      <c r="U3629" s="1" t="str">
        <f t="shared" si="7413"/>
        <v>0.0070</v>
      </c>
    </row>
    <row r="3630" s="1" customFormat="1" spans="1:21">
      <c r="A3630" s="1" t="str">
        <f>"4601992069535"</f>
        <v>4601992069535</v>
      </c>
      <c r="B3630" s="1" t="s">
        <v>3653</v>
      </c>
      <c r="C3630" s="1" t="s">
        <v>24</v>
      </c>
      <c r="D3630" s="1" t="str">
        <f t="shared" si="7330"/>
        <v>2021</v>
      </c>
      <c r="E3630" s="1" t="str">
        <f>"12.08"</f>
        <v>12.08</v>
      </c>
      <c r="F3630" s="1" t="str">
        <f t="shared" ref="F3630:I3630" si="7424">"0"</f>
        <v>0</v>
      </c>
      <c r="G3630" s="1" t="str">
        <f t="shared" si="7424"/>
        <v>0</v>
      </c>
      <c r="H3630" s="1" t="str">
        <f t="shared" si="7424"/>
        <v>0</v>
      </c>
      <c r="I3630" s="1" t="str">
        <f t="shared" si="7424"/>
        <v>0</v>
      </c>
      <c r="J3630" s="1" t="str">
        <f>"3"</f>
        <v>3</v>
      </c>
      <c r="K3630" s="1" t="str">
        <f t="shared" ref="K3630:P3630" si="7425">"0"</f>
        <v>0</v>
      </c>
      <c r="L3630" s="1" t="str">
        <f t="shared" si="7425"/>
        <v>0</v>
      </c>
      <c r="M3630" s="1" t="str">
        <f t="shared" si="7425"/>
        <v>0</v>
      </c>
      <c r="N3630" s="1" t="str">
        <f t="shared" si="7425"/>
        <v>0</v>
      </c>
      <c r="O3630" s="1" t="str">
        <f t="shared" si="7425"/>
        <v>0</v>
      </c>
      <c r="P3630" s="1" t="str">
        <f t="shared" si="7425"/>
        <v>0</v>
      </c>
      <c r="Q3630" s="1" t="str">
        <f t="shared" si="7332"/>
        <v>0.0070</v>
      </c>
      <c r="R3630" s="1" t="s">
        <v>29</v>
      </c>
      <c r="S3630" s="1">
        <v>-0.0014</v>
      </c>
      <c r="T3630" s="1" t="str">
        <f t="shared" si="7333"/>
        <v>0</v>
      </c>
      <c r="U3630" s="1" t="str">
        <f t="shared" si="7419"/>
        <v>0.0056</v>
      </c>
    </row>
    <row r="3631" s="1" customFormat="1" spans="1:21">
      <c r="A3631" s="1" t="str">
        <f>"4601992069519"</f>
        <v>4601992069519</v>
      </c>
      <c r="B3631" s="1" t="s">
        <v>3654</v>
      </c>
      <c r="C3631" s="1" t="s">
        <v>24</v>
      </c>
      <c r="D3631" s="1" t="str">
        <f t="shared" si="7330"/>
        <v>2021</v>
      </c>
      <c r="E3631" s="1" t="str">
        <f>"52.02"</f>
        <v>52.02</v>
      </c>
      <c r="F3631" s="1" t="str">
        <f t="shared" ref="F3631:I3631" si="7426">"0"</f>
        <v>0</v>
      </c>
      <c r="G3631" s="1" t="str">
        <f t="shared" si="7426"/>
        <v>0</v>
      </c>
      <c r="H3631" s="1" t="str">
        <f t="shared" si="7426"/>
        <v>0</v>
      </c>
      <c r="I3631" s="1" t="str">
        <f t="shared" si="7426"/>
        <v>0</v>
      </c>
      <c r="J3631" s="1" t="str">
        <f>"4"</f>
        <v>4</v>
      </c>
      <c r="K3631" s="1" t="str">
        <f t="shared" ref="K3631:P3631" si="7427">"0"</f>
        <v>0</v>
      </c>
      <c r="L3631" s="1" t="str">
        <f t="shared" si="7427"/>
        <v>0</v>
      </c>
      <c r="M3631" s="1" t="str">
        <f t="shared" si="7427"/>
        <v>0</v>
      </c>
      <c r="N3631" s="1" t="str">
        <f t="shared" si="7427"/>
        <v>0</v>
      </c>
      <c r="O3631" s="1" t="str">
        <f t="shared" si="7427"/>
        <v>0</v>
      </c>
      <c r="P3631" s="1" t="str">
        <f t="shared" si="7427"/>
        <v>0</v>
      </c>
      <c r="Q3631" s="1" t="str">
        <f t="shared" si="7332"/>
        <v>0.0070</v>
      </c>
      <c r="R3631" s="1" t="s">
        <v>29</v>
      </c>
      <c r="S3631" s="1">
        <v>-0.0014</v>
      </c>
      <c r="T3631" s="1" t="str">
        <f t="shared" si="7333"/>
        <v>0</v>
      </c>
      <c r="U3631" s="1" t="str">
        <f t="shared" si="7419"/>
        <v>0.0056</v>
      </c>
    </row>
    <row r="3632" s="1" customFormat="1" spans="1:21">
      <c r="A3632" s="1" t="str">
        <f>"4601992069547"</f>
        <v>4601992069547</v>
      </c>
      <c r="B3632" s="1" t="s">
        <v>3655</v>
      </c>
      <c r="C3632" s="1" t="s">
        <v>24</v>
      </c>
      <c r="D3632" s="1" t="str">
        <f t="shared" si="7330"/>
        <v>2021</v>
      </c>
      <c r="E3632" s="1" t="str">
        <f t="shared" ref="E3632:P3632" si="7428">"0"</f>
        <v>0</v>
      </c>
      <c r="F3632" s="1" t="str">
        <f t="shared" si="7428"/>
        <v>0</v>
      </c>
      <c r="G3632" s="1" t="str">
        <f t="shared" si="7428"/>
        <v>0</v>
      </c>
      <c r="H3632" s="1" t="str">
        <f t="shared" si="7428"/>
        <v>0</v>
      </c>
      <c r="I3632" s="1" t="str">
        <f t="shared" si="7428"/>
        <v>0</v>
      </c>
      <c r="J3632" s="1" t="str">
        <f t="shared" si="7428"/>
        <v>0</v>
      </c>
      <c r="K3632" s="1" t="str">
        <f t="shared" si="7428"/>
        <v>0</v>
      </c>
      <c r="L3632" s="1" t="str">
        <f t="shared" si="7428"/>
        <v>0</v>
      </c>
      <c r="M3632" s="1" t="str">
        <f t="shared" si="7428"/>
        <v>0</v>
      </c>
      <c r="N3632" s="1" t="str">
        <f t="shared" si="7428"/>
        <v>0</v>
      </c>
      <c r="O3632" s="1" t="str">
        <f t="shared" si="7428"/>
        <v>0</v>
      </c>
      <c r="P3632" s="1" t="str">
        <f t="shared" si="7428"/>
        <v>0</v>
      </c>
      <c r="Q3632" s="1" t="str">
        <f t="shared" si="7332"/>
        <v>0.0070</v>
      </c>
      <c r="R3632" s="1" t="s">
        <v>25</v>
      </c>
      <c r="T3632" s="1" t="str">
        <f t="shared" si="7333"/>
        <v>0</v>
      </c>
      <c r="U3632" s="1" t="str">
        <f>"0.0070"</f>
        <v>0.0070</v>
      </c>
    </row>
    <row r="3633" s="1" customFormat="1" spans="1:21">
      <c r="A3633" s="1" t="str">
        <f>"4601992069530"</f>
        <v>4601992069530</v>
      </c>
      <c r="B3633" s="1" t="s">
        <v>3656</v>
      </c>
      <c r="C3633" s="1" t="s">
        <v>24</v>
      </c>
      <c r="D3633" s="1" t="str">
        <f t="shared" si="7330"/>
        <v>2021</v>
      </c>
      <c r="E3633" s="1" t="str">
        <f>"36.27"</f>
        <v>36.27</v>
      </c>
      <c r="F3633" s="1" t="str">
        <f t="shared" ref="F3633:I3633" si="7429">"0"</f>
        <v>0</v>
      </c>
      <c r="G3633" s="1" t="str">
        <f t="shared" si="7429"/>
        <v>0</v>
      </c>
      <c r="H3633" s="1" t="str">
        <f t="shared" si="7429"/>
        <v>0</v>
      </c>
      <c r="I3633" s="1" t="str">
        <f t="shared" si="7429"/>
        <v>0</v>
      </c>
      <c r="J3633" s="1" t="str">
        <f>"3"</f>
        <v>3</v>
      </c>
      <c r="K3633" s="1" t="str">
        <f t="shared" ref="K3633:P3633" si="7430">"0"</f>
        <v>0</v>
      </c>
      <c r="L3633" s="1" t="str">
        <f t="shared" si="7430"/>
        <v>0</v>
      </c>
      <c r="M3633" s="1" t="str">
        <f t="shared" si="7430"/>
        <v>0</v>
      </c>
      <c r="N3633" s="1" t="str">
        <f t="shared" si="7430"/>
        <v>0</v>
      </c>
      <c r="O3633" s="1" t="str">
        <f t="shared" si="7430"/>
        <v>0</v>
      </c>
      <c r="P3633" s="1" t="str">
        <f t="shared" si="7430"/>
        <v>0</v>
      </c>
      <c r="Q3633" s="1" t="str">
        <f t="shared" si="7332"/>
        <v>0.0070</v>
      </c>
      <c r="R3633" s="1" t="s">
        <v>29</v>
      </c>
      <c r="S3633" s="1">
        <v>-0.0014</v>
      </c>
      <c r="T3633" s="1" t="str">
        <f t="shared" si="7333"/>
        <v>0</v>
      </c>
      <c r="U3633" s="1" t="str">
        <f t="shared" ref="U3633:U3637" si="7431">"0.0056"</f>
        <v>0.0056</v>
      </c>
    </row>
    <row r="3634" s="1" customFormat="1" spans="1:21">
      <c r="A3634" s="1" t="str">
        <f>"4601992069593"</f>
        <v>4601992069593</v>
      </c>
      <c r="B3634" s="1" t="s">
        <v>3657</v>
      </c>
      <c r="C3634" s="1" t="s">
        <v>24</v>
      </c>
      <c r="D3634" s="1" t="str">
        <f t="shared" si="7330"/>
        <v>2021</v>
      </c>
      <c r="E3634" s="1" t="str">
        <f t="shared" ref="E3634:P3634" si="7432">"0"</f>
        <v>0</v>
      </c>
      <c r="F3634" s="1" t="str">
        <f t="shared" si="7432"/>
        <v>0</v>
      </c>
      <c r="G3634" s="1" t="str">
        <f t="shared" si="7432"/>
        <v>0</v>
      </c>
      <c r="H3634" s="1" t="str">
        <f t="shared" si="7432"/>
        <v>0</v>
      </c>
      <c r="I3634" s="1" t="str">
        <f t="shared" si="7432"/>
        <v>0</v>
      </c>
      <c r="J3634" s="1" t="str">
        <f t="shared" si="7432"/>
        <v>0</v>
      </c>
      <c r="K3634" s="1" t="str">
        <f t="shared" si="7432"/>
        <v>0</v>
      </c>
      <c r="L3634" s="1" t="str">
        <f t="shared" si="7432"/>
        <v>0</v>
      </c>
      <c r="M3634" s="1" t="str">
        <f t="shared" si="7432"/>
        <v>0</v>
      </c>
      <c r="N3634" s="1" t="str">
        <f t="shared" si="7432"/>
        <v>0</v>
      </c>
      <c r="O3634" s="1" t="str">
        <f t="shared" si="7432"/>
        <v>0</v>
      </c>
      <c r="P3634" s="1" t="str">
        <f t="shared" si="7432"/>
        <v>0</v>
      </c>
      <c r="Q3634" s="1" t="str">
        <f t="shared" si="7332"/>
        <v>0.0070</v>
      </c>
      <c r="R3634" s="1" t="s">
        <v>25</v>
      </c>
      <c r="T3634" s="1" t="str">
        <f t="shared" si="7333"/>
        <v>0</v>
      </c>
      <c r="U3634" s="1" t="str">
        <f>"0.0070"</f>
        <v>0.0070</v>
      </c>
    </row>
    <row r="3635" s="1" customFormat="1" spans="1:21">
      <c r="A3635" s="1" t="str">
        <f>"4601992069555"</f>
        <v>4601992069555</v>
      </c>
      <c r="B3635" s="1" t="s">
        <v>3658</v>
      </c>
      <c r="C3635" s="1" t="s">
        <v>24</v>
      </c>
      <c r="D3635" s="1" t="str">
        <f t="shared" si="7330"/>
        <v>2021</v>
      </c>
      <c r="E3635" s="1" t="str">
        <f>"23.96"</f>
        <v>23.96</v>
      </c>
      <c r="F3635" s="1" t="str">
        <f t="shared" ref="F3635:I3635" si="7433">"0"</f>
        <v>0</v>
      </c>
      <c r="G3635" s="1" t="str">
        <f t="shared" si="7433"/>
        <v>0</v>
      </c>
      <c r="H3635" s="1" t="str">
        <f t="shared" si="7433"/>
        <v>0</v>
      </c>
      <c r="I3635" s="1" t="str">
        <f t="shared" si="7433"/>
        <v>0</v>
      </c>
      <c r="J3635" s="1" t="str">
        <f>"1"</f>
        <v>1</v>
      </c>
      <c r="K3635" s="1" t="str">
        <f t="shared" ref="K3635:P3635" si="7434">"0"</f>
        <v>0</v>
      </c>
      <c r="L3635" s="1" t="str">
        <f t="shared" si="7434"/>
        <v>0</v>
      </c>
      <c r="M3635" s="1" t="str">
        <f t="shared" si="7434"/>
        <v>0</v>
      </c>
      <c r="N3635" s="1" t="str">
        <f t="shared" si="7434"/>
        <v>0</v>
      </c>
      <c r="O3635" s="1" t="str">
        <f t="shared" si="7434"/>
        <v>0</v>
      </c>
      <c r="P3635" s="1" t="str">
        <f t="shared" si="7434"/>
        <v>0</v>
      </c>
      <c r="Q3635" s="1" t="str">
        <f t="shared" si="7332"/>
        <v>0.0070</v>
      </c>
      <c r="R3635" s="1" t="s">
        <v>29</v>
      </c>
      <c r="S3635" s="1">
        <v>-0.0014</v>
      </c>
      <c r="T3635" s="1" t="str">
        <f t="shared" si="7333"/>
        <v>0</v>
      </c>
      <c r="U3635" s="1" t="str">
        <f t="shared" si="7431"/>
        <v>0.0056</v>
      </c>
    </row>
    <row r="3636" s="1" customFormat="1" spans="1:21">
      <c r="A3636" s="1" t="str">
        <f>"4601992069605"</f>
        <v>4601992069605</v>
      </c>
      <c r="B3636" s="1" t="s">
        <v>3659</v>
      </c>
      <c r="C3636" s="1" t="s">
        <v>24</v>
      </c>
      <c r="D3636" s="1" t="str">
        <f t="shared" si="7330"/>
        <v>2021</v>
      </c>
      <c r="E3636" s="1" t="str">
        <f>"179.70"</f>
        <v>179.70</v>
      </c>
      <c r="F3636" s="1" t="str">
        <f t="shared" ref="F3636:I3636" si="7435">"0"</f>
        <v>0</v>
      </c>
      <c r="G3636" s="1" t="str">
        <f t="shared" si="7435"/>
        <v>0</v>
      </c>
      <c r="H3636" s="1" t="str">
        <f t="shared" si="7435"/>
        <v>0</v>
      </c>
      <c r="I3636" s="1" t="str">
        <f t="shared" si="7435"/>
        <v>0</v>
      </c>
      <c r="J3636" s="1" t="str">
        <f>"16"</f>
        <v>16</v>
      </c>
      <c r="K3636" s="1" t="str">
        <f t="shared" ref="K3636:P3636" si="7436">"0"</f>
        <v>0</v>
      </c>
      <c r="L3636" s="1" t="str">
        <f t="shared" si="7436"/>
        <v>0</v>
      </c>
      <c r="M3636" s="1" t="str">
        <f t="shared" si="7436"/>
        <v>0</v>
      </c>
      <c r="N3636" s="1" t="str">
        <f t="shared" si="7436"/>
        <v>0</v>
      </c>
      <c r="O3636" s="1" t="str">
        <f t="shared" si="7436"/>
        <v>0</v>
      </c>
      <c r="P3636" s="1" t="str">
        <f t="shared" si="7436"/>
        <v>0</v>
      </c>
      <c r="Q3636" s="1" t="str">
        <f t="shared" si="7332"/>
        <v>0.0070</v>
      </c>
      <c r="R3636" s="1" t="s">
        <v>29</v>
      </c>
      <c r="S3636" s="1">
        <v>-0.0014</v>
      </c>
      <c r="T3636" s="1" t="str">
        <f t="shared" si="7333"/>
        <v>0</v>
      </c>
      <c r="U3636" s="1" t="str">
        <f t="shared" si="7431"/>
        <v>0.0056</v>
      </c>
    </row>
    <row r="3637" s="1" customFormat="1" spans="1:21">
      <c r="A3637" s="1" t="str">
        <f>"4601992069586"</f>
        <v>4601992069586</v>
      </c>
      <c r="B3637" s="1" t="s">
        <v>3660</v>
      </c>
      <c r="C3637" s="1" t="s">
        <v>24</v>
      </c>
      <c r="D3637" s="1" t="str">
        <f t="shared" si="7330"/>
        <v>2021</v>
      </c>
      <c r="E3637" s="1" t="str">
        <f>"29.75"</f>
        <v>29.75</v>
      </c>
      <c r="F3637" s="1" t="str">
        <f t="shared" ref="F3637:I3637" si="7437">"0"</f>
        <v>0</v>
      </c>
      <c r="G3637" s="1" t="str">
        <f t="shared" si="7437"/>
        <v>0</v>
      </c>
      <c r="H3637" s="1" t="str">
        <f t="shared" si="7437"/>
        <v>0</v>
      </c>
      <c r="I3637" s="1" t="str">
        <f t="shared" si="7437"/>
        <v>0</v>
      </c>
      <c r="J3637" s="1" t="str">
        <f>"2"</f>
        <v>2</v>
      </c>
      <c r="K3637" s="1" t="str">
        <f t="shared" ref="K3637:P3637" si="7438">"0"</f>
        <v>0</v>
      </c>
      <c r="L3637" s="1" t="str">
        <f t="shared" si="7438"/>
        <v>0</v>
      </c>
      <c r="M3637" s="1" t="str">
        <f t="shared" si="7438"/>
        <v>0</v>
      </c>
      <c r="N3637" s="1" t="str">
        <f t="shared" si="7438"/>
        <v>0</v>
      </c>
      <c r="O3637" s="1" t="str">
        <f t="shared" si="7438"/>
        <v>0</v>
      </c>
      <c r="P3637" s="1" t="str">
        <f t="shared" si="7438"/>
        <v>0</v>
      </c>
      <c r="Q3637" s="1" t="str">
        <f t="shared" si="7332"/>
        <v>0.0070</v>
      </c>
      <c r="R3637" s="1" t="s">
        <v>29</v>
      </c>
      <c r="S3637" s="1">
        <v>-0.0014</v>
      </c>
      <c r="T3637" s="1" t="str">
        <f t="shared" si="7333"/>
        <v>0</v>
      </c>
      <c r="U3637" s="1" t="str">
        <f t="shared" si="7431"/>
        <v>0.0056</v>
      </c>
    </row>
    <row r="3638" s="1" customFormat="1" spans="1:21">
      <c r="A3638" s="1" t="str">
        <f>"4601992069639"</f>
        <v>4601992069639</v>
      </c>
      <c r="B3638" s="1" t="s">
        <v>3661</v>
      </c>
      <c r="C3638" s="1" t="s">
        <v>24</v>
      </c>
      <c r="D3638" s="1" t="str">
        <f t="shared" si="7330"/>
        <v>2021</v>
      </c>
      <c r="E3638" s="1" t="str">
        <f>"11.98"</f>
        <v>11.98</v>
      </c>
      <c r="F3638" s="1" t="str">
        <f t="shared" ref="F3638:I3638" si="7439">"0"</f>
        <v>0</v>
      </c>
      <c r="G3638" s="1" t="str">
        <f t="shared" si="7439"/>
        <v>0</v>
      </c>
      <c r="H3638" s="1" t="str">
        <f t="shared" si="7439"/>
        <v>0</v>
      </c>
      <c r="I3638" s="1" t="str">
        <f t="shared" si="7439"/>
        <v>0</v>
      </c>
      <c r="J3638" s="1" t="str">
        <f>"1"</f>
        <v>1</v>
      </c>
      <c r="K3638" s="1" t="str">
        <f t="shared" ref="K3638:P3638" si="7440">"0"</f>
        <v>0</v>
      </c>
      <c r="L3638" s="1" t="str">
        <f t="shared" si="7440"/>
        <v>0</v>
      </c>
      <c r="M3638" s="1" t="str">
        <f t="shared" si="7440"/>
        <v>0</v>
      </c>
      <c r="N3638" s="1" t="str">
        <f t="shared" si="7440"/>
        <v>0</v>
      </c>
      <c r="O3638" s="1" t="str">
        <f t="shared" si="7440"/>
        <v>0</v>
      </c>
      <c r="P3638" s="1" t="str">
        <f t="shared" si="7440"/>
        <v>0</v>
      </c>
      <c r="Q3638" s="1" t="str">
        <f t="shared" si="7332"/>
        <v>0.0070</v>
      </c>
      <c r="R3638" s="1" t="s">
        <v>25</v>
      </c>
      <c r="T3638" s="1" t="str">
        <f t="shared" si="7333"/>
        <v>0</v>
      </c>
      <c r="U3638" s="1" t="str">
        <f t="shared" ref="U3638:U3644" si="7441">"0.0070"</f>
        <v>0.0070</v>
      </c>
    </row>
    <row r="3639" s="1" customFormat="1" spans="1:21">
      <c r="A3639" s="1" t="str">
        <f>"4601992069631"</f>
        <v>4601992069631</v>
      </c>
      <c r="B3639" s="1" t="s">
        <v>3662</v>
      </c>
      <c r="C3639" s="1" t="s">
        <v>24</v>
      </c>
      <c r="D3639" s="1" t="str">
        <f t="shared" si="7330"/>
        <v>2021</v>
      </c>
      <c r="E3639" s="1" t="str">
        <f>"72.54"</f>
        <v>72.54</v>
      </c>
      <c r="F3639" s="1" t="str">
        <f t="shared" ref="F3639:I3639" si="7442">"0"</f>
        <v>0</v>
      </c>
      <c r="G3639" s="1" t="str">
        <f t="shared" si="7442"/>
        <v>0</v>
      </c>
      <c r="H3639" s="1" t="str">
        <f t="shared" si="7442"/>
        <v>0</v>
      </c>
      <c r="I3639" s="1" t="str">
        <f t="shared" si="7442"/>
        <v>0</v>
      </c>
      <c r="J3639" s="1" t="str">
        <f>"6"</f>
        <v>6</v>
      </c>
      <c r="K3639" s="1" t="str">
        <f t="shared" ref="K3639:P3639" si="7443">"0"</f>
        <v>0</v>
      </c>
      <c r="L3639" s="1" t="str">
        <f t="shared" si="7443"/>
        <v>0</v>
      </c>
      <c r="M3639" s="1" t="str">
        <f t="shared" si="7443"/>
        <v>0</v>
      </c>
      <c r="N3639" s="1" t="str">
        <f t="shared" si="7443"/>
        <v>0</v>
      </c>
      <c r="O3639" s="1" t="str">
        <f t="shared" si="7443"/>
        <v>0</v>
      </c>
      <c r="P3639" s="1" t="str">
        <f t="shared" si="7443"/>
        <v>0</v>
      </c>
      <c r="Q3639" s="1" t="str">
        <f t="shared" si="7332"/>
        <v>0.0070</v>
      </c>
      <c r="R3639" s="1" t="s">
        <v>29</v>
      </c>
      <c r="S3639" s="1">
        <v>-0.0014</v>
      </c>
      <c r="T3639" s="1" t="str">
        <f t="shared" si="7333"/>
        <v>0</v>
      </c>
      <c r="U3639" s="1" t="str">
        <f>"0.0056"</f>
        <v>0.0056</v>
      </c>
    </row>
    <row r="3640" s="1" customFormat="1" spans="1:21">
      <c r="A3640" s="1" t="str">
        <f>"4601992069643"</f>
        <v>4601992069643</v>
      </c>
      <c r="B3640" s="1" t="s">
        <v>3663</v>
      </c>
      <c r="C3640" s="1" t="s">
        <v>24</v>
      </c>
      <c r="D3640" s="1" t="str">
        <f t="shared" si="7330"/>
        <v>2021</v>
      </c>
      <c r="E3640" s="1" t="str">
        <f>"47.92"</f>
        <v>47.92</v>
      </c>
      <c r="F3640" s="1" t="str">
        <f t="shared" ref="F3640:I3640" si="7444">"0"</f>
        <v>0</v>
      </c>
      <c r="G3640" s="1" t="str">
        <f t="shared" si="7444"/>
        <v>0</v>
      </c>
      <c r="H3640" s="1" t="str">
        <f t="shared" si="7444"/>
        <v>0</v>
      </c>
      <c r="I3640" s="1" t="str">
        <f t="shared" si="7444"/>
        <v>0</v>
      </c>
      <c r="J3640" s="1" t="str">
        <f>"4"</f>
        <v>4</v>
      </c>
      <c r="K3640" s="1" t="str">
        <f t="shared" ref="K3640:P3640" si="7445">"0"</f>
        <v>0</v>
      </c>
      <c r="L3640" s="1" t="str">
        <f t="shared" si="7445"/>
        <v>0</v>
      </c>
      <c r="M3640" s="1" t="str">
        <f t="shared" si="7445"/>
        <v>0</v>
      </c>
      <c r="N3640" s="1" t="str">
        <f t="shared" si="7445"/>
        <v>0</v>
      </c>
      <c r="O3640" s="1" t="str">
        <f t="shared" si="7445"/>
        <v>0</v>
      </c>
      <c r="P3640" s="1" t="str">
        <f t="shared" si="7445"/>
        <v>0</v>
      </c>
      <c r="Q3640" s="1" t="str">
        <f t="shared" si="7332"/>
        <v>0.0070</v>
      </c>
      <c r="R3640" s="1" t="s">
        <v>29</v>
      </c>
      <c r="S3640" s="1">
        <v>-0.0014</v>
      </c>
      <c r="T3640" s="1" t="str">
        <f t="shared" si="7333"/>
        <v>0</v>
      </c>
      <c r="U3640" s="1" t="str">
        <f>"0.0056"</f>
        <v>0.0056</v>
      </c>
    </row>
    <row r="3641" s="1" customFormat="1" spans="1:21">
      <c r="A3641" s="1" t="str">
        <f>"4601992069670"</f>
        <v>4601992069670</v>
      </c>
      <c r="B3641" s="1" t="s">
        <v>3664</v>
      </c>
      <c r="C3641" s="1" t="s">
        <v>24</v>
      </c>
      <c r="D3641" s="1" t="str">
        <f t="shared" si="7330"/>
        <v>2021</v>
      </c>
      <c r="E3641" s="1" t="str">
        <f>"71.88"</f>
        <v>71.88</v>
      </c>
      <c r="F3641" s="1" t="str">
        <f t="shared" ref="F3641:I3641" si="7446">"0"</f>
        <v>0</v>
      </c>
      <c r="G3641" s="1" t="str">
        <f t="shared" si="7446"/>
        <v>0</v>
      </c>
      <c r="H3641" s="1" t="str">
        <f t="shared" si="7446"/>
        <v>0</v>
      </c>
      <c r="I3641" s="1" t="str">
        <f t="shared" si="7446"/>
        <v>0</v>
      </c>
      <c r="J3641" s="1" t="str">
        <f>"2"</f>
        <v>2</v>
      </c>
      <c r="K3641" s="1" t="str">
        <f t="shared" ref="K3641:P3641" si="7447">"0"</f>
        <v>0</v>
      </c>
      <c r="L3641" s="1" t="str">
        <f t="shared" si="7447"/>
        <v>0</v>
      </c>
      <c r="M3641" s="1" t="str">
        <f t="shared" si="7447"/>
        <v>0</v>
      </c>
      <c r="N3641" s="1" t="str">
        <f t="shared" si="7447"/>
        <v>0</v>
      </c>
      <c r="O3641" s="1" t="str">
        <f t="shared" si="7447"/>
        <v>0</v>
      </c>
      <c r="P3641" s="1" t="str">
        <f t="shared" si="7447"/>
        <v>0</v>
      </c>
      <c r="Q3641" s="1" t="str">
        <f t="shared" si="7332"/>
        <v>0.0070</v>
      </c>
      <c r="R3641" s="1" t="s">
        <v>25</v>
      </c>
      <c r="T3641" s="1" t="str">
        <f t="shared" si="7333"/>
        <v>0</v>
      </c>
      <c r="U3641" s="1" t="str">
        <f t="shared" si="7441"/>
        <v>0.0070</v>
      </c>
    </row>
    <row r="3642" s="1" customFormat="1" spans="1:21">
      <c r="A3642" s="1" t="str">
        <f>"4601992069777"</f>
        <v>4601992069777</v>
      </c>
      <c r="B3642" s="1" t="s">
        <v>3665</v>
      </c>
      <c r="C3642" s="1" t="s">
        <v>24</v>
      </c>
      <c r="D3642" s="1" t="str">
        <f t="shared" si="7330"/>
        <v>2021</v>
      </c>
      <c r="E3642" s="1" t="str">
        <f t="shared" ref="E3642:P3642" si="7448">"0"</f>
        <v>0</v>
      </c>
      <c r="F3642" s="1" t="str">
        <f t="shared" si="7448"/>
        <v>0</v>
      </c>
      <c r="G3642" s="1" t="str">
        <f t="shared" si="7448"/>
        <v>0</v>
      </c>
      <c r="H3642" s="1" t="str">
        <f t="shared" si="7448"/>
        <v>0</v>
      </c>
      <c r="I3642" s="1" t="str">
        <f t="shared" si="7448"/>
        <v>0</v>
      </c>
      <c r="J3642" s="1" t="str">
        <f t="shared" si="7448"/>
        <v>0</v>
      </c>
      <c r="K3642" s="1" t="str">
        <f t="shared" si="7448"/>
        <v>0</v>
      </c>
      <c r="L3642" s="1" t="str">
        <f t="shared" si="7448"/>
        <v>0</v>
      </c>
      <c r="M3642" s="1" t="str">
        <f t="shared" si="7448"/>
        <v>0</v>
      </c>
      <c r="N3642" s="1" t="str">
        <f t="shared" si="7448"/>
        <v>0</v>
      </c>
      <c r="O3642" s="1" t="str">
        <f t="shared" si="7448"/>
        <v>0</v>
      </c>
      <c r="P3642" s="1" t="str">
        <f t="shared" si="7448"/>
        <v>0</v>
      </c>
      <c r="Q3642" s="1" t="str">
        <f t="shared" si="7332"/>
        <v>0.0070</v>
      </c>
      <c r="R3642" s="1" t="s">
        <v>25</v>
      </c>
      <c r="T3642" s="1" t="str">
        <f t="shared" si="7333"/>
        <v>0</v>
      </c>
      <c r="U3642" s="1" t="str">
        <f t="shared" si="7441"/>
        <v>0.0070</v>
      </c>
    </row>
    <row r="3643" s="1" customFormat="1" spans="1:21">
      <c r="A3643" s="1" t="str">
        <f>"4601992069779"</f>
        <v>4601992069779</v>
      </c>
      <c r="B3643" s="1" t="s">
        <v>3666</v>
      </c>
      <c r="C3643" s="1" t="s">
        <v>24</v>
      </c>
      <c r="D3643" s="1" t="str">
        <f t="shared" si="7330"/>
        <v>2021</v>
      </c>
      <c r="E3643" s="1" t="str">
        <f t="shared" ref="E3643:P3643" si="7449">"0"</f>
        <v>0</v>
      </c>
      <c r="F3643" s="1" t="str">
        <f t="shared" si="7449"/>
        <v>0</v>
      </c>
      <c r="G3643" s="1" t="str">
        <f t="shared" si="7449"/>
        <v>0</v>
      </c>
      <c r="H3643" s="1" t="str">
        <f t="shared" si="7449"/>
        <v>0</v>
      </c>
      <c r="I3643" s="1" t="str">
        <f t="shared" si="7449"/>
        <v>0</v>
      </c>
      <c r="J3643" s="1" t="str">
        <f t="shared" si="7449"/>
        <v>0</v>
      </c>
      <c r="K3643" s="1" t="str">
        <f t="shared" si="7449"/>
        <v>0</v>
      </c>
      <c r="L3643" s="1" t="str">
        <f t="shared" si="7449"/>
        <v>0</v>
      </c>
      <c r="M3643" s="1" t="str">
        <f t="shared" si="7449"/>
        <v>0</v>
      </c>
      <c r="N3643" s="1" t="str">
        <f t="shared" si="7449"/>
        <v>0</v>
      </c>
      <c r="O3643" s="1" t="str">
        <f t="shared" si="7449"/>
        <v>0</v>
      </c>
      <c r="P3643" s="1" t="str">
        <f t="shared" si="7449"/>
        <v>0</v>
      </c>
      <c r="Q3643" s="1" t="str">
        <f t="shared" si="7332"/>
        <v>0.0070</v>
      </c>
      <c r="R3643" s="1" t="s">
        <v>25</v>
      </c>
      <c r="T3643" s="1" t="str">
        <f t="shared" si="7333"/>
        <v>0</v>
      </c>
      <c r="U3643" s="1" t="str">
        <f t="shared" si="7441"/>
        <v>0.0070</v>
      </c>
    </row>
    <row r="3644" s="1" customFormat="1" spans="1:21">
      <c r="A3644" s="1" t="str">
        <f>"4601992069861"</f>
        <v>4601992069861</v>
      </c>
      <c r="B3644" s="1" t="s">
        <v>3667</v>
      </c>
      <c r="C3644" s="1" t="s">
        <v>24</v>
      </c>
      <c r="D3644" s="1" t="str">
        <f t="shared" si="7330"/>
        <v>2021</v>
      </c>
      <c r="E3644" s="1" t="str">
        <f t="shared" ref="E3644:P3644" si="7450">"0"</f>
        <v>0</v>
      </c>
      <c r="F3644" s="1" t="str">
        <f t="shared" si="7450"/>
        <v>0</v>
      </c>
      <c r="G3644" s="1" t="str">
        <f t="shared" si="7450"/>
        <v>0</v>
      </c>
      <c r="H3644" s="1" t="str">
        <f t="shared" si="7450"/>
        <v>0</v>
      </c>
      <c r="I3644" s="1" t="str">
        <f t="shared" si="7450"/>
        <v>0</v>
      </c>
      <c r="J3644" s="1" t="str">
        <f t="shared" si="7450"/>
        <v>0</v>
      </c>
      <c r="K3644" s="1" t="str">
        <f t="shared" si="7450"/>
        <v>0</v>
      </c>
      <c r="L3644" s="1" t="str">
        <f t="shared" si="7450"/>
        <v>0</v>
      </c>
      <c r="M3644" s="1" t="str">
        <f t="shared" si="7450"/>
        <v>0</v>
      </c>
      <c r="N3644" s="1" t="str">
        <f t="shared" si="7450"/>
        <v>0</v>
      </c>
      <c r="O3644" s="1" t="str">
        <f t="shared" si="7450"/>
        <v>0</v>
      </c>
      <c r="P3644" s="1" t="str">
        <f t="shared" si="7450"/>
        <v>0</v>
      </c>
      <c r="Q3644" s="1" t="str">
        <f t="shared" si="7332"/>
        <v>0.0070</v>
      </c>
      <c r="R3644" s="1" t="s">
        <v>25</v>
      </c>
      <c r="T3644" s="1" t="str">
        <f t="shared" si="7333"/>
        <v>0</v>
      </c>
      <c r="U3644" s="1" t="str">
        <f t="shared" si="7441"/>
        <v>0.0070</v>
      </c>
    </row>
    <row r="3645" s="1" customFormat="1" spans="1:21">
      <c r="A3645" s="1" t="str">
        <f>"4601992069690"</f>
        <v>4601992069690</v>
      </c>
      <c r="B3645" s="1" t="s">
        <v>3668</v>
      </c>
      <c r="C3645" s="1" t="s">
        <v>24</v>
      </c>
      <c r="D3645" s="1" t="str">
        <f t="shared" si="7330"/>
        <v>2021</v>
      </c>
      <c r="E3645" s="1" t="str">
        <f>"36.16"</f>
        <v>36.16</v>
      </c>
      <c r="F3645" s="1" t="str">
        <f t="shared" ref="F3645:I3645" si="7451">"0"</f>
        <v>0</v>
      </c>
      <c r="G3645" s="1" t="str">
        <f t="shared" si="7451"/>
        <v>0</v>
      </c>
      <c r="H3645" s="1" t="str">
        <f t="shared" si="7451"/>
        <v>0</v>
      </c>
      <c r="I3645" s="1" t="str">
        <f t="shared" si="7451"/>
        <v>0</v>
      </c>
      <c r="J3645" s="1" t="str">
        <f>"4"</f>
        <v>4</v>
      </c>
      <c r="K3645" s="1" t="str">
        <f t="shared" ref="K3645:P3645" si="7452">"0"</f>
        <v>0</v>
      </c>
      <c r="L3645" s="1" t="str">
        <f t="shared" si="7452"/>
        <v>0</v>
      </c>
      <c r="M3645" s="1" t="str">
        <f t="shared" si="7452"/>
        <v>0</v>
      </c>
      <c r="N3645" s="1" t="str">
        <f t="shared" si="7452"/>
        <v>0</v>
      </c>
      <c r="O3645" s="1" t="str">
        <f t="shared" si="7452"/>
        <v>0</v>
      </c>
      <c r="P3645" s="1" t="str">
        <f t="shared" si="7452"/>
        <v>0</v>
      </c>
      <c r="Q3645" s="1" t="str">
        <f t="shared" si="7332"/>
        <v>0.0070</v>
      </c>
      <c r="R3645" s="1" t="s">
        <v>29</v>
      </c>
      <c r="S3645" s="1">
        <v>-0.0014</v>
      </c>
      <c r="T3645" s="1" t="str">
        <f t="shared" si="7333"/>
        <v>0</v>
      </c>
      <c r="U3645" s="1" t="str">
        <f>"0.0056"</f>
        <v>0.0056</v>
      </c>
    </row>
    <row r="3646" s="1" customFormat="1" spans="1:21">
      <c r="A3646" s="1" t="str">
        <f>"4601992069672"</f>
        <v>4601992069672</v>
      </c>
      <c r="B3646" s="1" t="s">
        <v>3669</v>
      </c>
      <c r="C3646" s="1" t="s">
        <v>24</v>
      </c>
      <c r="D3646" s="1" t="str">
        <f t="shared" si="7330"/>
        <v>2021</v>
      </c>
      <c r="E3646" s="1" t="str">
        <f>"23.96"</f>
        <v>23.96</v>
      </c>
      <c r="F3646" s="1" t="str">
        <f t="shared" ref="F3646:I3646" si="7453">"0"</f>
        <v>0</v>
      </c>
      <c r="G3646" s="1" t="str">
        <f t="shared" si="7453"/>
        <v>0</v>
      </c>
      <c r="H3646" s="1" t="str">
        <f t="shared" si="7453"/>
        <v>0</v>
      </c>
      <c r="I3646" s="1" t="str">
        <f t="shared" si="7453"/>
        <v>0</v>
      </c>
      <c r="J3646" s="1" t="str">
        <f>"2"</f>
        <v>2</v>
      </c>
      <c r="K3646" s="1" t="str">
        <f t="shared" ref="K3646:P3646" si="7454">"0"</f>
        <v>0</v>
      </c>
      <c r="L3646" s="1" t="str">
        <f t="shared" si="7454"/>
        <v>0</v>
      </c>
      <c r="M3646" s="1" t="str">
        <f t="shared" si="7454"/>
        <v>0</v>
      </c>
      <c r="N3646" s="1" t="str">
        <f t="shared" si="7454"/>
        <v>0</v>
      </c>
      <c r="O3646" s="1" t="str">
        <f t="shared" si="7454"/>
        <v>0</v>
      </c>
      <c r="P3646" s="1" t="str">
        <f t="shared" si="7454"/>
        <v>0</v>
      </c>
      <c r="Q3646" s="1" t="str">
        <f t="shared" si="7332"/>
        <v>0.0070</v>
      </c>
      <c r="R3646" s="1" t="s">
        <v>29</v>
      </c>
      <c r="S3646" s="1">
        <v>-0.0014</v>
      </c>
      <c r="T3646" s="1" t="str">
        <f t="shared" si="7333"/>
        <v>0</v>
      </c>
      <c r="U3646" s="1" t="str">
        <f>"0.0056"</f>
        <v>0.0056</v>
      </c>
    </row>
    <row r="3647" s="1" customFormat="1" spans="1:21">
      <c r="A3647" s="1" t="str">
        <f>"4601992069795"</f>
        <v>4601992069795</v>
      </c>
      <c r="B3647" s="1" t="s">
        <v>3670</v>
      </c>
      <c r="C3647" s="1" t="s">
        <v>24</v>
      </c>
      <c r="D3647" s="1" t="str">
        <f t="shared" si="7330"/>
        <v>2021</v>
      </c>
      <c r="E3647" s="1" t="str">
        <f t="shared" ref="E3647:I3647" si="7455">"0"</f>
        <v>0</v>
      </c>
      <c r="F3647" s="1" t="str">
        <f t="shared" si="7455"/>
        <v>0</v>
      </c>
      <c r="G3647" s="1" t="str">
        <f t="shared" si="7455"/>
        <v>0</v>
      </c>
      <c r="H3647" s="1" t="str">
        <f t="shared" si="7455"/>
        <v>0</v>
      </c>
      <c r="I3647" s="1" t="str">
        <f t="shared" si="7455"/>
        <v>0</v>
      </c>
      <c r="J3647" s="1" t="str">
        <f>"3"</f>
        <v>3</v>
      </c>
      <c r="K3647" s="1" t="str">
        <f t="shared" ref="K3647:P3647" si="7456">"0"</f>
        <v>0</v>
      </c>
      <c r="L3647" s="1" t="str">
        <f t="shared" si="7456"/>
        <v>0</v>
      </c>
      <c r="M3647" s="1" t="str">
        <f t="shared" si="7456"/>
        <v>0</v>
      </c>
      <c r="N3647" s="1" t="str">
        <f t="shared" si="7456"/>
        <v>0</v>
      </c>
      <c r="O3647" s="1" t="str">
        <f t="shared" si="7456"/>
        <v>0</v>
      </c>
      <c r="P3647" s="1" t="str">
        <f t="shared" si="7456"/>
        <v>0</v>
      </c>
      <c r="Q3647" s="1" t="str">
        <f t="shared" si="7332"/>
        <v>0.0070</v>
      </c>
      <c r="R3647" s="1" t="s">
        <v>25</v>
      </c>
      <c r="T3647" s="1" t="str">
        <f t="shared" si="7333"/>
        <v>0</v>
      </c>
      <c r="U3647" s="1" t="str">
        <f t="shared" ref="U3647:U3653" si="7457">"0.0070"</f>
        <v>0.0070</v>
      </c>
    </row>
    <row r="3648" s="1" customFormat="1" spans="1:21">
      <c r="A3648" s="1" t="str">
        <f>"4601992069892"</f>
        <v>4601992069892</v>
      </c>
      <c r="B3648" s="1" t="s">
        <v>3671</v>
      </c>
      <c r="C3648" s="1" t="s">
        <v>24</v>
      </c>
      <c r="D3648" s="1" t="str">
        <f t="shared" si="7330"/>
        <v>2021</v>
      </c>
      <c r="E3648" s="1" t="str">
        <f t="shared" ref="E3648:P3648" si="7458">"0"</f>
        <v>0</v>
      </c>
      <c r="F3648" s="1" t="str">
        <f t="shared" si="7458"/>
        <v>0</v>
      </c>
      <c r="G3648" s="1" t="str">
        <f t="shared" si="7458"/>
        <v>0</v>
      </c>
      <c r="H3648" s="1" t="str">
        <f t="shared" si="7458"/>
        <v>0</v>
      </c>
      <c r="I3648" s="1" t="str">
        <f t="shared" si="7458"/>
        <v>0</v>
      </c>
      <c r="J3648" s="1" t="str">
        <f t="shared" si="7458"/>
        <v>0</v>
      </c>
      <c r="K3648" s="1" t="str">
        <f t="shared" si="7458"/>
        <v>0</v>
      </c>
      <c r="L3648" s="1" t="str">
        <f t="shared" si="7458"/>
        <v>0</v>
      </c>
      <c r="M3648" s="1" t="str">
        <f t="shared" si="7458"/>
        <v>0</v>
      </c>
      <c r="N3648" s="1" t="str">
        <f t="shared" si="7458"/>
        <v>0</v>
      </c>
      <c r="O3648" s="1" t="str">
        <f t="shared" si="7458"/>
        <v>0</v>
      </c>
      <c r="P3648" s="1" t="str">
        <f t="shared" si="7458"/>
        <v>0</v>
      </c>
      <c r="Q3648" s="1" t="str">
        <f t="shared" si="7332"/>
        <v>0.0070</v>
      </c>
      <c r="R3648" s="1" t="s">
        <v>25</v>
      </c>
      <c r="T3648" s="1" t="str">
        <f t="shared" si="7333"/>
        <v>0</v>
      </c>
      <c r="U3648" s="1" t="str">
        <f t="shared" si="7457"/>
        <v>0.0070</v>
      </c>
    </row>
    <row r="3649" s="1" customFormat="1" spans="1:21">
      <c r="A3649" s="1" t="str">
        <f>"4601992069882"</f>
        <v>4601992069882</v>
      </c>
      <c r="B3649" s="1" t="s">
        <v>3672</v>
      </c>
      <c r="C3649" s="1" t="s">
        <v>24</v>
      </c>
      <c r="D3649" s="1" t="str">
        <f t="shared" si="7330"/>
        <v>2021</v>
      </c>
      <c r="E3649" s="1" t="str">
        <f t="shared" ref="E3649:P3649" si="7459">"0"</f>
        <v>0</v>
      </c>
      <c r="F3649" s="1" t="str">
        <f t="shared" si="7459"/>
        <v>0</v>
      </c>
      <c r="G3649" s="1" t="str">
        <f t="shared" si="7459"/>
        <v>0</v>
      </c>
      <c r="H3649" s="1" t="str">
        <f t="shared" si="7459"/>
        <v>0</v>
      </c>
      <c r="I3649" s="1" t="str">
        <f t="shared" si="7459"/>
        <v>0</v>
      </c>
      <c r="J3649" s="1" t="str">
        <f t="shared" si="7459"/>
        <v>0</v>
      </c>
      <c r="K3649" s="1" t="str">
        <f t="shared" si="7459"/>
        <v>0</v>
      </c>
      <c r="L3649" s="1" t="str">
        <f t="shared" si="7459"/>
        <v>0</v>
      </c>
      <c r="M3649" s="1" t="str">
        <f t="shared" si="7459"/>
        <v>0</v>
      </c>
      <c r="N3649" s="1" t="str">
        <f t="shared" si="7459"/>
        <v>0</v>
      </c>
      <c r="O3649" s="1" t="str">
        <f t="shared" si="7459"/>
        <v>0</v>
      </c>
      <c r="P3649" s="1" t="str">
        <f t="shared" si="7459"/>
        <v>0</v>
      </c>
      <c r="Q3649" s="1" t="str">
        <f t="shared" si="7332"/>
        <v>0.0070</v>
      </c>
      <c r="R3649" s="1" t="s">
        <v>25</v>
      </c>
      <c r="T3649" s="1" t="str">
        <f t="shared" si="7333"/>
        <v>0</v>
      </c>
      <c r="U3649" s="1" t="str">
        <f t="shared" si="7457"/>
        <v>0.0070</v>
      </c>
    </row>
    <row r="3650" s="1" customFormat="1" spans="1:21">
      <c r="A3650" s="1" t="str">
        <f>"4601992069927"</f>
        <v>4601992069927</v>
      </c>
      <c r="B3650" s="1" t="s">
        <v>3673</v>
      </c>
      <c r="C3650" s="1" t="s">
        <v>24</v>
      </c>
      <c r="D3650" s="1" t="str">
        <f t="shared" si="7330"/>
        <v>2021</v>
      </c>
      <c r="E3650" s="1" t="str">
        <f t="shared" ref="E3650:P3650" si="7460">"0"</f>
        <v>0</v>
      </c>
      <c r="F3650" s="1" t="str">
        <f t="shared" si="7460"/>
        <v>0</v>
      </c>
      <c r="G3650" s="1" t="str">
        <f t="shared" si="7460"/>
        <v>0</v>
      </c>
      <c r="H3650" s="1" t="str">
        <f t="shared" si="7460"/>
        <v>0</v>
      </c>
      <c r="I3650" s="1" t="str">
        <f t="shared" si="7460"/>
        <v>0</v>
      </c>
      <c r="J3650" s="1" t="str">
        <f t="shared" si="7460"/>
        <v>0</v>
      </c>
      <c r="K3650" s="1" t="str">
        <f t="shared" si="7460"/>
        <v>0</v>
      </c>
      <c r="L3650" s="1" t="str">
        <f t="shared" si="7460"/>
        <v>0</v>
      </c>
      <c r="M3650" s="1" t="str">
        <f t="shared" si="7460"/>
        <v>0</v>
      </c>
      <c r="N3650" s="1" t="str">
        <f t="shared" si="7460"/>
        <v>0</v>
      </c>
      <c r="O3650" s="1" t="str">
        <f t="shared" si="7460"/>
        <v>0</v>
      </c>
      <c r="P3650" s="1" t="str">
        <f t="shared" si="7460"/>
        <v>0</v>
      </c>
      <c r="Q3650" s="1" t="str">
        <f t="shared" si="7332"/>
        <v>0.0070</v>
      </c>
      <c r="R3650" s="1" t="s">
        <v>25</v>
      </c>
      <c r="T3650" s="1" t="str">
        <f t="shared" si="7333"/>
        <v>0</v>
      </c>
      <c r="U3650" s="1" t="str">
        <f t="shared" si="7457"/>
        <v>0.0070</v>
      </c>
    </row>
    <row r="3651" s="1" customFormat="1" spans="1:21">
      <c r="A3651" s="1" t="str">
        <f>"4601992069948"</f>
        <v>4601992069948</v>
      </c>
      <c r="B3651" s="1" t="s">
        <v>3674</v>
      </c>
      <c r="C3651" s="1" t="s">
        <v>24</v>
      </c>
      <c r="D3651" s="1" t="str">
        <f t="shared" ref="D3651:D3714" si="7461">"2021"</f>
        <v>2021</v>
      </c>
      <c r="E3651" s="1" t="str">
        <f t="shared" ref="E3651:P3651" si="7462">"0"</f>
        <v>0</v>
      </c>
      <c r="F3651" s="1" t="str">
        <f t="shared" si="7462"/>
        <v>0</v>
      </c>
      <c r="G3651" s="1" t="str">
        <f t="shared" si="7462"/>
        <v>0</v>
      </c>
      <c r="H3651" s="1" t="str">
        <f t="shared" si="7462"/>
        <v>0</v>
      </c>
      <c r="I3651" s="1" t="str">
        <f t="shared" si="7462"/>
        <v>0</v>
      </c>
      <c r="J3651" s="1" t="str">
        <f t="shared" si="7462"/>
        <v>0</v>
      </c>
      <c r="K3651" s="1" t="str">
        <f t="shared" si="7462"/>
        <v>0</v>
      </c>
      <c r="L3651" s="1" t="str">
        <f t="shared" si="7462"/>
        <v>0</v>
      </c>
      <c r="M3651" s="1" t="str">
        <f t="shared" si="7462"/>
        <v>0</v>
      </c>
      <c r="N3651" s="1" t="str">
        <f t="shared" si="7462"/>
        <v>0</v>
      </c>
      <c r="O3651" s="1" t="str">
        <f t="shared" si="7462"/>
        <v>0</v>
      </c>
      <c r="P3651" s="1" t="str">
        <f t="shared" si="7462"/>
        <v>0</v>
      </c>
      <c r="Q3651" s="1" t="str">
        <f t="shared" ref="Q3651:Q3714" si="7463">"0.0070"</f>
        <v>0.0070</v>
      </c>
      <c r="R3651" s="1" t="s">
        <v>25</v>
      </c>
      <c r="T3651" s="1" t="str">
        <f t="shared" ref="T3651:T3714" si="7464">"0"</f>
        <v>0</v>
      </c>
      <c r="U3651" s="1" t="str">
        <f t="shared" si="7457"/>
        <v>0.0070</v>
      </c>
    </row>
    <row r="3652" s="1" customFormat="1" spans="1:21">
      <c r="A3652" s="1" t="str">
        <f>"4601992069955"</f>
        <v>4601992069955</v>
      </c>
      <c r="B3652" s="1" t="s">
        <v>3675</v>
      </c>
      <c r="C3652" s="1" t="s">
        <v>24</v>
      </c>
      <c r="D3652" s="1" t="str">
        <f t="shared" si="7461"/>
        <v>2021</v>
      </c>
      <c r="E3652" s="1" t="str">
        <f t="shared" ref="E3652:P3652" si="7465">"0"</f>
        <v>0</v>
      </c>
      <c r="F3652" s="1" t="str">
        <f t="shared" si="7465"/>
        <v>0</v>
      </c>
      <c r="G3652" s="1" t="str">
        <f t="shared" si="7465"/>
        <v>0</v>
      </c>
      <c r="H3652" s="1" t="str">
        <f t="shared" si="7465"/>
        <v>0</v>
      </c>
      <c r="I3652" s="1" t="str">
        <f t="shared" si="7465"/>
        <v>0</v>
      </c>
      <c r="J3652" s="1" t="str">
        <f t="shared" si="7465"/>
        <v>0</v>
      </c>
      <c r="K3652" s="1" t="str">
        <f t="shared" si="7465"/>
        <v>0</v>
      </c>
      <c r="L3652" s="1" t="str">
        <f t="shared" si="7465"/>
        <v>0</v>
      </c>
      <c r="M3652" s="1" t="str">
        <f t="shared" si="7465"/>
        <v>0</v>
      </c>
      <c r="N3652" s="1" t="str">
        <f t="shared" si="7465"/>
        <v>0</v>
      </c>
      <c r="O3652" s="1" t="str">
        <f t="shared" si="7465"/>
        <v>0</v>
      </c>
      <c r="P3652" s="1" t="str">
        <f t="shared" si="7465"/>
        <v>0</v>
      </c>
      <c r="Q3652" s="1" t="str">
        <f t="shared" si="7463"/>
        <v>0.0070</v>
      </c>
      <c r="R3652" s="1" t="s">
        <v>25</v>
      </c>
      <c r="T3652" s="1" t="str">
        <f t="shared" si="7464"/>
        <v>0</v>
      </c>
      <c r="U3652" s="1" t="str">
        <f t="shared" si="7457"/>
        <v>0.0070</v>
      </c>
    </row>
    <row r="3653" s="1" customFormat="1" spans="1:21">
      <c r="A3653" s="1" t="str">
        <f>"4601992069926"</f>
        <v>4601992069926</v>
      </c>
      <c r="B3653" s="1" t="s">
        <v>3676</v>
      </c>
      <c r="C3653" s="1" t="s">
        <v>24</v>
      </c>
      <c r="D3653" s="1" t="str">
        <f t="shared" si="7461"/>
        <v>2021</v>
      </c>
      <c r="E3653" s="1" t="str">
        <f t="shared" ref="E3653:I3653" si="7466">"0"</f>
        <v>0</v>
      </c>
      <c r="F3653" s="1" t="str">
        <f t="shared" si="7466"/>
        <v>0</v>
      </c>
      <c r="G3653" s="1" t="str">
        <f t="shared" si="7466"/>
        <v>0</v>
      </c>
      <c r="H3653" s="1" t="str">
        <f t="shared" si="7466"/>
        <v>0</v>
      </c>
      <c r="I3653" s="1" t="str">
        <f t="shared" si="7466"/>
        <v>0</v>
      </c>
      <c r="J3653" s="1" t="str">
        <f>"3"</f>
        <v>3</v>
      </c>
      <c r="K3653" s="1" t="str">
        <f t="shared" ref="K3653:P3653" si="7467">"0"</f>
        <v>0</v>
      </c>
      <c r="L3653" s="1" t="str">
        <f t="shared" si="7467"/>
        <v>0</v>
      </c>
      <c r="M3653" s="1" t="str">
        <f t="shared" si="7467"/>
        <v>0</v>
      </c>
      <c r="N3653" s="1" t="str">
        <f t="shared" si="7467"/>
        <v>0</v>
      </c>
      <c r="O3653" s="1" t="str">
        <f t="shared" si="7467"/>
        <v>0</v>
      </c>
      <c r="P3653" s="1" t="str">
        <f t="shared" si="7467"/>
        <v>0</v>
      </c>
      <c r="Q3653" s="1" t="str">
        <f t="shared" si="7463"/>
        <v>0.0070</v>
      </c>
      <c r="R3653" s="1" t="s">
        <v>25</v>
      </c>
      <c r="T3653" s="1" t="str">
        <f t="shared" si="7464"/>
        <v>0</v>
      </c>
      <c r="U3653" s="1" t="str">
        <f t="shared" si="7457"/>
        <v>0.0070</v>
      </c>
    </row>
    <row r="3654" s="1" customFormat="1" spans="1:21">
      <c r="A3654" s="1" t="str">
        <f>"4601992069950"</f>
        <v>4601992069950</v>
      </c>
      <c r="B3654" s="1" t="s">
        <v>3677</v>
      </c>
      <c r="C3654" s="1" t="s">
        <v>24</v>
      </c>
      <c r="D3654" s="1" t="str">
        <f t="shared" si="7461"/>
        <v>2021</v>
      </c>
      <c r="E3654" s="1" t="str">
        <f>"23.96"</f>
        <v>23.96</v>
      </c>
      <c r="F3654" s="1" t="str">
        <f t="shared" ref="F3654:I3654" si="7468">"0"</f>
        <v>0</v>
      </c>
      <c r="G3654" s="1" t="str">
        <f t="shared" si="7468"/>
        <v>0</v>
      </c>
      <c r="H3654" s="1" t="str">
        <f t="shared" si="7468"/>
        <v>0</v>
      </c>
      <c r="I3654" s="1" t="str">
        <f t="shared" si="7468"/>
        <v>0</v>
      </c>
      <c r="J3654" s="1" t="str">
        <f t="shared" ref="J3654:J3657" si="7469">"2"</f>
        <v>2</v>
      </c>
      <c r="K3654" s="1" t="str">
        <f t="shared" ref="K3654:P3654" si="7470">"0"</f>
        <v>0</v>
      </c>
      <c r="L3654" s="1" t="str">
        <f t="shared" si="7470"/>
        <v>0</v>
      </c>
      <c r="M3654" s="1" t="str">
        <f t="shared" si="7470"/>
        <v>0</v>
      </c>
      <c r="N3654" s="1" t="str">
        <f t="shared" si="7470"/>
        <v>0</v>
      </c>
      <c r="O3654" s="1" t="str">
        <f t="shared" si="7470"/>
        <v>0</v>
      </c>
      <c r="P3654" s="1" t="str">
        <f t="shared" si="7470"/>
        <v>0</v>
      </c>
      <c r="Q3654" s="1" t="str">
        <f t="shared" si="7463"/>
        <v>0.0070</v>
      </c>
      <c r="R3654" s="1" t="s">
        <v>29</v>
      </c>
      <c r="S3654" s="1">
        <v>-0.0014</v>
      </c>
      <c r="T3654" s="1" t="str">
        <f t="shared" si="7464"/>
        <v>0</v>
      </c>
      <c r="U3654" s="1" t="str">
        <f t="shared" ref="U3654:U3658" si="7471">"0.0056"</f>
        <v>0.0056</v>
      </c>
    </row>
    <row r="3655" s="1" customFormat="1" spans="1:21">
      <c r="A3655" s="1" t="str">
        <f>"4601992069994"</f>
        <v>4601992069994</v>
      </c>
      <c r="B3655" s="1" t="s">
        <v>3678</v>
      </c>
      <c r="C3655" s="1" t="s">
        <v>24</v>
      </c>
      <c r="D3655" s="1" t="str">
        <f t="shared" si="7461"/>
        <v>2021</v>
      </c>
      <c r="E3655" s="1" t="str">
        <f>"24.18"</f>
        <v>24.18</v>
      </c>
      <c r="F3655" s="1" t="str">
        <f t="shared" ref="F3655:I3655" si="7472">"0"</f>
        <v>0</v>
      </c>
      <c r="G3655" s="1" t="str">
        <f t="shared" si="7472"/>
        <v>0</v>
      </c>
      <c r="H3655" s="1" t="str">
        <f t="shared" si="7472"/>
        <v>0</v>
      </c>
      <c r="I3655" s="1" t="str">
        <f t="shared" si="7472"/>
        <v>0</v>
      </c>
      <c r="J3655" s="1" t="str">
        <f>"4"</f>
        <v>4</v>
      </c>
      <c r="K3655" s="1" t="str">
        <f t="shared" ref="K3655:P3655" si="7473">"0"</f>
        <v>0</v>
      </c>
      <c r="L3655" s="1" t="str">
        <f t="shared" si="7473"/>
        <v>0</v>
      </c>
      <c r="M3655" s="1" t="str">
        <f t="shared" si="7473"/>
        <v>0</v>
      </c>
      <c r="N3655" s="1" t="str">
        <f t="shared" si="7473"/>
        <v>0</v>
      </c>
      <c r="O3655" s="1" t="str">
        <f t="shared" si="7473"/>
        <v>0</v>
      </c>
      <c r="P3655" s="1" t="str">
        <f t="shared" si="7473"/>
        <v>0</v>
      </c>
      <c r="Q3655" s="1" t="str">
        <f t="shared" si="7463"/>
        <v>0.0070</v>
      </c>
      <c r="R3655" s="1" t="s">
        <v>29</v>
      </c>
      <c r="S3655" s="1">
        <v>-0.0014</v>
      </c>
      <c r="T3655" s="1" t="str">
        <f t="shared" si="7464"/>
        <v>0</v>
      </c>
      <c r="U3655" s="1" t="str">
        <f t="shared" si="7471"/>
        <v>0.0056</v>
      </c>
    </row>
    <row r="3656" s="1" customFormat="1" spans="1:21">
      <c r="A3656" s="1" t="str">
        <f>"4601992070004"</f>
        <v>4601992070004</v>
      </c>
      <c r="B3656" s="1" t="s">
        <v>3679</v>
      </c>
      <c r="C3656" s="1" t="s">
        <v>24</v>
      </c>
      <c r="D3656" s="1" t="str">
        <f t="shared" si="7461"/>
        <v>2021</v>
      </c>
      <c r="E3656" s="1" t="str">
        <f>"23.96"</f>
        <v>23.96</v>
      </c>
      <c r="F3656" s="1" t="str">
        <f t="shared" ref="F3656:I3656" si="7474">"0"</f>
        <v>0</v>
      </c>
      <c r="G3656" s="1" t="str">
        <f t="shared" si="7474"/>
        <v>0</v>
      </c>
      <c r="H3656" s="1" t="str">
        <f t="shared" si="7474"/>
        <v>0</v>
      </c>
      <c r="I3656" s="1" t="str">
        <f t="shared" si="7474"/>
        <v>0</v>
      </c>
      <c r="J3656" s="1" t="str">
        <f t="shared" si="7469"/>
        <v>2</v>
      </c>
      <c r="K3656" s="1" t="str">
        <f t="shared" ref="K3656:P3656" si="7475">"0"</f>
        <v>0</v>
      </c>
      <c r="L3656" s="1" t="str">
        <f t="shared" si="7475"/>
        <v>0</v>
      </c>
      <c r="M3656" s="1" t="str">
        <f t="shared" si="7475"/>
        <v>0</v>
      </c>
      <c r="N3656" s="1" t="str">
        <f t="shared" si="7475"/>
        <v>0</v>
      </c>
      <c r="O3656" s="1" t="str">
        <f t="shared" si="7475"/>
        <v>0</v>
      </c>
      <c r="P3656" s="1" t="str">
        <f t="shared" si="7475"/>
        <v>0</v>
      </c>
      <c r="Q3656" s="1" t="str">
        <f t="shared" si="7463"/>
        <v>0.0070</v>
      </c>
      <c r="R3656" s="1" t="s">
        <v>29</v>
      </c>
      <c r="S3656" s="1">
        <v>-0.0014</v>
      </c>
      <c r="T3656" s="1" t="str">
        <f t="shared" si="7464"/>
        <v>0</v>
      </c>
      <c r="U3656" s="1" t="str">
        <f t="shared" si="7471"/>
        <v>0.0056</v>
      </c>
    </row>
    <row r="3657" s="1" customFormat="1" spans="1:21">
      <c r="A3657" s="1" t="str">
        <f>"4601992070018"</f>
        <v>4601992070018</v>
      </c>
      <c r="B3657" s="1" t="s">
        <v>3680</v>
      </c>
      <c r="C3657" s="1" t="s">
        <v>24</v>
      </c>
      <c r="D3657" s="1" t="str">
        <f t="shared" si="7461"/>
        <v>2021</v>
      </c>
      <c r="E3657" s="1" t="str">
        <f>"24.24"</f>
        <v>24.24</v>
      </c>
      <c r="F3657" s="1" t="str">
        <f t="shared" ref="F3657:I3657" si="7476">"0"</f>
        <v>0</v>
      </c>
      <c r="G3657" s="1" t="str">
        <f t="shared" si="7476"/>
        <v>0</v>
      </c>
      <c r="H3657" s="1" t="str">
        <f t="shared" si="7476"/>
        <v>0</v>
      </c>
      <c r="I3657" s="1" t="str">
        <f t="shared" si="7476"/>
        <v>0</v>
      </c>
      <c r="J3657" s="1" t="str">
        <f t="shared" si="7469"/>
        <v>2</v>
      </c>
      <c r="K3657" s="1" t="str">
        <f t="shared" ref="K3657:P3657" si="7477">"0"</f>
        <v>0</v>
      </c>
      <c r="L3657" s="1" t="str">
        <f t="shared" si="7477"/>
        <v>0</v>
      </c>
      <c r="M3657" s="1" t="str">
        <f t="shared" si="7477"/>
        <v>0</v>
      </c>
      <c r="N3657" s="1" t="str">
        <f t="shared" si="7477"/>
        <v>0</v>
      </c>
      <c r="O3657" s="1" t="str">
        <f t="shared" si="7477"/>
        <v>0</v>
      </c>
      <c r="P3657" s="1" t="str">
        <f t="shared" si="7477"/>
        <v>0</v>
      </c>
      <c r="Q3657" s="1" t="str">
        <f t="shared" si="7463"/>
        <v>0.0070</v>
      </c>
      <c r="R3657" s="1" t="s">
        <v>29</v>
      </c>
      <c r="S3657" s="1">
        <v>-0.0014</v>
      </c>
      <c r="T3657" s="1" t="str">
        <f t="shared" si="7464"/>
        <v>0</v>
      </c>
      <c r="U3657" s="1" t="str">
        <f t="shared" si="7471"/>
        <v>0.0056</v>
      </c>
    </row>
    <row r="3658" s="1" customFormat="1" spans="1:21">
      <c r="A3658" s="1" t="str">
        <f>"4601992070056"</f>
        <v>4601992070056</v>
      </c>
      <c r="B3658" s="1" t="s">
        <v>3681</v>
      </c>
      <c r="C3658" s="1" t="s">
        <v>24</v>
      </c>
      <c r="D3658" s="1" t="str">
        <f t="shared" si="7461"/>
        <v>2021</v>
      </c>
      <c r="E3658" s="1" t="str">
        <f>"35.94"</f>
        <v>35.94</v>
      </c>
      <c r="F3658" s="1" t="str">
        <f t="shared" ref="F3658:I3658" si="7478">"0"</f>
        <v>0</v>
      </c>
      <c r="G3658" s="1" t="str">
        <f t="shared" si="7478"/>
        <v>0</v>
      </c>
      <c r="H3658" s="1" t="str">
        <f t="shared" si="7478"/>
        <v>0</v>
      </c>
      <c r="I3658" s="1" t="str">
        <f t="shared" si="7478"/>
        <v>0</v>
      </c>
      <c r="J3658" s="1" t="str">
        <f>"4"</f>
        <v>4</v>
      </c>
      <c r="K3658" s="1" t="str">
        <f t="shared" ref="K3658:P3658" si="7479">"0"</f>
        <v>0</v>
      </c>
      <c r="L3658" s="1" t="str">
        <f t="shared" si="7479"/>
        <v>0</v>
      </c>
      <c r="M3658" s="1" t="str">
        <f t="shared" si="7479"/>
        <v>0</v>
      </c>
      <c r="N3658" s="1" t="str">
        <f t="shared" si="7479"/>
        <v>0</v>
      </c>
      <c r="O3658" s="1" t="str">
        <f t="shared" si="7479"/>
        <v>0</v>
      </c>
      <c r="P3658" s="1" t="str">
        <f t="shared" si="7479"/>
        <v>0</v>
      </c>
      <c r="Q3658" s="1" t="str">
        <f t="shared" si="7463"/>
        <v>0.0070</v>
      </c>
      <c r="R3658" s="1" t="s">
        <v>29</v>
      </c>
      <c r="S3658" s="1">
        <v>-0.0014</v>
      </c>
      <c r="T3658" s="1" t="str">
        <f t="shared" si="7464"/>
        <v>0</v>
      </c>
      <c r="U3658" s="1" t="str">
        <f t="shared" si="7471"/>
        <v>0.0056</v>
      </c>
    </row>
    <row r="3659" s="1" customFormat="1" spans="1:21">
      <c r="A3659" s="1" t="str">
        <f>"4601992070088"</f>
        <v>4601992070088</v>
      </c>
      <c r="B3659" s="1" t="s">
        <v>3682</v>
      </c>
      <c r="C3659" s="1" t="s">
        <v>24</v>
      </c>
      <c r="D3659" s="1" t="str">
        <f t="shared" si="7461"/>
        <v>2021</v>
      </c>
      <c r="E3659" s="1" t="str">
        <f t="shared" ref="E3659:P3659" si="7480">"0"</f>
        <v>0</v>
      </c>
      <c r="F3659" s="1" t="str">
        <f t="shared" si="7480"/>
        <v>0</v>
      </c>
      <c r="G3659" s="1" t="str">
        <f t="shared" si="7480"/>
        <v>0</v>
      </c>
      <c r="H3659" s="1" t="str">
        <f t="shared" si="7480"/>
        <v>0</v>
      </c>
      <c r="I3659" s="1" t="str">
        <f t="shared" si="7480"/>
        <v>0</v>
      </c>
      <c r="J3659" s="1" t="str">
        <f t="shared" si="7480"/>
        <v>0</v>
      </c>
      <c r="K3659" s="1" t="str">
        <f t="shared" si="7480"/>
        <v>0</v>
      </c>
      <c r="L3659" s="1" t="str">
        <f t="shared" si="7480"/>
        <v>0</v>
      </c>
      <c r="M3659" s="1" t="str">
        <f t="shared" si="7480"/>
        <v>0</v>
      </c>
      <c r="N3659" s="1" t="str">
        <f t="shared" si="7480"/>
        <v>0</v>
      </c>
      <c r="O3659" s="1" t="str">
        <f t="shared" si="7480"/>
        <v>0</v>
      </c>
      <c r="P3659" s="1" t="str">
        <f t="shared" si="7480"/>
        <v>0</v>
      </c>
      <c r="Q3659" s="1" t="str">
        <f t="shared" si="7463"/>
        <v>0.0070</v>
      </c>
      <c r="R3659" s="1" t="s">
        <v>25</v>
      </c>
      <c r="T3659" s="1" t="str">
        <f t="shared" si="7464"/>
        <v>0</v>
      </c>
      <c r="U3659" s="1" t="str">
        <f t="shared" ref="U3659:U3661" si="7481">"0.0070"</f>
        <v>0.0070</v>
      </c>
    </row>
    <row r="3660" s="1" customFormat="1" spans="1:21">
      <c r="A3660" s="1" t="str">
        <f>"4601992070055"</f>
        <v>4601992070055</v>
      </c>
      <c r="B3660" s="1" t="s">
        <v>3683</v>
      </c>
      <c r="C3660" s="1" t="s">
        <v>24</v>
      </c>
      <c r="D3660" s="1" t="str">
        <f t="shared" si="7461"/>
        <v>2021</v>
      </c>
      <c r="E3660" s="1" t="str">
        <f t="shared" ref="E3660:E3665" si="7482">"11.98"</f>
        <v>11.98</v>
      </c>
      <c r="F3660" s="1" t="str">
        <f t="shared" ref="F3660:I3660" si="7483">"0"</f>
        <v>0</v>
      </c>
      <c r="G3660" s="1" t="str">
        <f t="shared" si="7483"/>
        <v>0</v>
      </c>
      <c r="H3660" s="1" t="str">
        <f>"35.00"</f>
        <v>35.00</v>
      </c>
      <c r="I3660" s="1" t="str">
        <f t="shared" si="7483"/>
        <v>0</v>
      </c>
      <c r="J3660" s="1" t="str">
        <f>"5"</f>
        <v>5</v>
      </c>
      <c r="K3660" s="1" t="str">
        <f t="shared" ref="K3660:P3660" si="7484">"0"</f>
        <v>0</v>
      </c>
      <c r="L3660" s="1" t="str">
        <f t="shared" si="7484"/>
        <v>0</v>
      </c>
      <c r="M3660" s="1" t="str">
        <f t="shared" si="7484"/>
        <v>0</v>
      </c>
      <c r="N3660" s="1" t="str">
        <f t="shared" si="7484"/>
        <v>0</v>
      </c>
      <c r="O3660" s="1" t="str">
        <f t="shared" si="7484"/>
        <v>0</v>
      </c>
      <c r="P3660" s="1" t="str">
        <f t="shared" si="7484"/>
        <v>0</v>
      </c>
      <c r="Q3660" s="1" t="str">
        <f t="shared" si="7463"/>
        <v>0.0070</v>
      </c>
      <c r="R3660" s="1" t="s">
        <v>25</v>
      </c>
      <c r="T3660" s="1" t="str">
        <f t="shared" si="7464"/>
        <v>0</v>
      </c>
      <c r="U3660" s="1" t="str">
        <f t="shared" si="7481"/>
        <v>0.0070</v>
      </c>
    </row>
    <row r="3661" s="1" customFormat="1" spans="1:21">
      <c r="A3661" s="1" t="str">
        <f>"4601992070095"</f>
        <v>4601992070095</v>
      </c>
      <c r="B3661" s="1" t="s">
        <v>3684</v>
      </c>
      <c r="C3661" s="1" t="s">
        <v>24</v>
      </c>
      <c r="D3661" s="1" t="str">
        <f t="shared" si="7461"/>
        <v>2021</v>
      </c>
      <c r="E3661" s="1" t="str">
        <f t="shared" ref="E3661:G3661" si="7485">"0"</f>
        <v>0</v>
      </c>
      <c r="F3661" s="1" t="str">
        <f t="shared" si="7485"/>
        <v>0</v>
      </c>
      <c r="G3661" s="1" t="str">
        <f t="shared" si="7485"/>
        <v>0</v>
      </c>
      <c r="H3661" s="1" t="str">
        <f>"12.25"</f>
        <v>12.25</v>
      </c>
      <c r="I3661" s="1" t="str">
        <f t="shared" ref="I3661:P3661" si="7486">"0"</f>
        <v>0</v>
      </c>
      <c r="J3661" s="1" t="str">
        <f t="shared" si="7486"/>
        <v>0</v>
      </c>
      <c r="K3661" s="1" t="str">
        <f t="shared" si="7486"/>
        <v>0</v>
      </c>
      <c r="L3661" s="1" t="str">
        <f t="shared" si="7486"/>
        <v>0</v>
      </c>
      <c r="M3661" s="1" t="str">
        <f t="shared" si="7486"/>
        <v>0</v>
      </c>
      <c r="N3661" s="1" t="str">
        <f t="shared" si="7486"/>
        <v>0</v>
      </c>
      <c r="O3661" s="1" t="str">
        <f t="shared" si="7486"/>
        <v>0</v>
      </c>
      <c r="P3661" s="1" t="str">
        <f t="shared" si="7486"/>
        <v>0</v>
      </c>
      <c r="Q3661" s="1" t="str">
        <f t="shared" si="7463"/>
        <v>0.0070</v>
      </c>
      <c r="R3661" s="1" t="s">
        <v>25</v>
      </c>
      <c r="T3661" s="1" t="str">
        <f t="shared" si="7464"/>
        <v>0</v>
      </c>
      <c r="U3661" s="1" t="str">
        <f t="shared" si="7481"/>
        <v>0.0070</v>
      </c>
    </row>
    <row r="3662" s="1" customFormat="1" spans="1:21">
      <c r="A3662" s="1" t="str">
        <f>"4601992070062"</f>
        <v>4601992070062</v>
      </c>
      <c r="B3662" s="1" t="s">
        <v>3685</v>
      </c>
      <c r="C3662" s="1" t="s">
        <v>24</v>
      </c>
      <c r="D3662" s="1" t="str">
        <f t="shared" si="7461"/>
        <v>2021</v>
      </c>
      <c r="E3662" s="1" t="str">
        <f>"47.92"</f>
        <v>47.92</v>
      </c>
      <c r="F3662" s="1" t="str">
        <f t="shared" ref="F3662:I3662" si="7487">"0"</f>
        <v>0</v>
      </c>
      <c r="G3662" s="1" t="str">
        <f t="shared" si="7487"/>
        <v>0</v>
      </c>
      <c r="H3662" s="1" t="str">
        <f t="shared" si="7487"/>
        <v>0</v>
      </c>
      <c r="I3662" s="1" t="str">
        <f t="shared" si="7487"/>
        <v>0</v>
      </c>
      <c r="J3662" s="1" t="str">
        <f>"4"</f>
        <v>4</v>
      </c>
      <c r="K3662" s="1" t="str">
        <f t="shared" ref="K3662:P3662" si="7488">"0"</f>
        <v>0</v>
      </c>
      <c r="L3662" s="1" t="str">
        <f t="shared" si="7488"/>
        <v>0</v>
      </c>
      <c r="M3662" s="1" t="str">
        <f t="shared" si="7488"/>
        <v>0</v>
      </c>
      <c r="N3662" s="1" t="str">
        <f t="shared" si="7488"/>
        <v>0</v>
      </c>
      <c r="O3662" s="1" t="str">
        <f t="shared" si="7488"/>
        <v>0</v>
      </c>
      <c r="P3662" s="1" t="str">
        <f t="shared" si="7488"/>
        <v>0</v>
      </c>
      <c r="Q3662" s="1" t="str">
        <f t="shared" si="7463"/>
        <v>0.0070</v>
      </c>
      <c r="R3662" s="1" t="s">
        <v>29</v>
      </c>
      <c r="S3662" s="1">
        <v>-0.0014</v>
      </c>
      <c r="T3662" s="1" t="str">
        <f t="shared" si="7464"/>
        <v>0</v>
      </c>
      <c r="U3662" s="1" t="str">
        <f t="shared" ref="U3662:U3667" si="7489">"0.0056"</f>
        <v>0.0056</v>
      </c>
    </row>
    <row r="3663" s="1" customFormat="1" spans="1:21">
      <c r="A3663" s="1" t="str">
        <f>"4601992070106"</f>
        <v>4601992070106</v>
      </c>
      <c r="B3663" s="1" t="s">
        <v>3686</v>
      </c>
      <c r="C3663" s="1" t="s">
        <v>24</v>
      </c>
      <c r="D3663" s="1" t="str">
        <f t="shared" si="7461"/>
        <v>2021</v>
      </c>
      <c r="E3663" s="1" t="str">
        <f>"24.56"</f>
        <v>24.56</v>
      </c>
      <c r="F3663" s="1" t="str">
        <f t="shared" ref="F3663:I3663" si="7490">"0"</f>
        <v>0</v>
      </c>
      <c r="G3663" s="1" t="str">
        <f t="shared" si="7490"/>
        <v>0</v>
      </c>
      <c r="H3663" s="1" t="str">
        <f t="shared" si="7490"/>
        <v>0</v>
      </c>
      <c r="I3663" s="1" t="str">
        <f t="shared" si="7490"/>
        <v>0</v>
      </c>
      <c r="J3663" s="1" t="str">
        <f>"2"</f>
        <v>2</v>
      </c>
      <c r="K3663" s="1" t="str">
        <f t="shared" ref="K3663:P3663" si="7491">"0"</f>
        <v>0</v>
      </c>
      <c r="L3663" s="1" t="str">
        <f t="shared" si="7491"/>
        <v>0</v>
      </c>
      <c r="M3663" s="1" t="str">
        <f t="shared" si="7491"/>
        <v>0</v>
      </c>
      <c r="N3663" s="1" t="str">
        <f t="shared" si="7491"/>
        <v>0</v>
      </c>
      <c r="O3663" s="1" t="str">
        <f t="shared" si="7491"/>
        <v>0</v>
      </c>
      <c r="P3663" s="1" t="str">
        <f t="shared" si="7491"/>
        <v>0</v>
      </c>
      <c r="Q3663" s="1" t="str">
        <f t="shared" si="7463"/>
        <v>0.0070</v>
      </c>
      <c r="R3663" s="1" t="s">
        <v>29</v>
      </c>
      <c r="S3663" s="1">
        <v>-0.0014</v>
      </c>
      <c r="T3663" s="1" t="str">
        <f t="shared" si="7464"/>
        <v>0</v>
      </c>
      <c r="U3663" s="1" t="str">
        <f t="shared" si="7489"/>
        <v>0.0056</v>
      </c>
    </row>
    <row r="3664" s="1" customFormat="1" spans="1:21">
      <c r="A3664" s="1" t="str">
        <f>"4601992070120"</f>
        <v>4601992070120</v>
      </c>
      <c r="B3664" s="1" t="s">
        <v>3687</v>
      </c>
      <c r="C3664" s="1" t="s">
        <v>24</v>
      </c>
      <c r="D3664" s="1" t="str">
        <f t="shared" si="7461"/>
        <v>2021</v>
      </c>
      <c r="E3664" s="1" t="str">
        <f t="shared" si="7482"/>
        <v>11.98</v>
      </c>
      <c r="F3664" s="1" t="str">
        <f t="shared" ref="F3664:I3664" si="7492">"0"</f>
        <v>0</v>
      </c>
      <c r="G3664" s="1" t="str">
        <f t="shared" si="7492"/>
        <v>0</v>
      </c>
      <c r="H3664" s="1" t="str">
        <f t="shared" si="7492"/>
        <v>0</v>
      </c>
      <c r="I3664" s="1" t="str">
        <f t="shared" si="7492"/>
        <v>0</v>
      </c>
      <c r="J3664" s="1" t="str">
        <f>"1"</f>
        <v>1</v>
      </c>
      <c r="K3664" s="1" t="str">
        <f t="shared" ref="K3664:P3664" si="7493">"0"</f>
        <v>0</v>
      </c>
      <c r="L3664" s="1" t="str">
        <f t="shared" si="7493"/>
        <v>0</v>
      </c>
      <c r="M3664" s="1" t="str">
        <f t="shared" si="7493"/>
        <v>0</v>
      </c>
      <c r="N3664" s="1" t="str">
        <f t="shared" si="7493"/>
        <v>0</v>
      </c>
      <c r="O3664" s="1" t="str">
        <f t="shared" si="7493"/>
        <v>0</v>
      </c>
      <c r="P3664" s="1" t="str">
        <f t="shared" si="7493"/>
        <v>0</v>
      </c>
      <c r="Q3664" s="1" t="str">
        <f t="shared" si="7463"/>
        <v>0.0070</v>
      </c>
      <c r="R3664" s="1" t="s">
        <v>29</v>
      </c>
      <c r="S3664" s="1">
        <v>-0.0014</v>
      </c>
      <c r="T3664" s="1" t="str">
        <f t="shared" si="7464"/>
        <v>0</v>
      </c>
      <c r="U3664" s="1" t="str">
        <f t="shared" si="7489"/>
        <v>0.0056</v>
      </c>
    </row>
    <row r="3665" s="1" customFormat="1" spans="1:21">
      <c r="A3665" s="1" t="str">
        <f>"4601992070131"</f>
        <v>4601992070131</v>
      </c>
      <c r="B3665" s="1" t="s">
        <v>3688</v>
      </c>
      <c r="C3665" s="1" t="s">
        <v>24</v>
      </c>
      <c r="D3665" s="1" t="str">
        <f t="shared" si="7461"/>
        <v>2021</v>
      </c>
      <c r="E3665" s="1" t="str">
        <f t="shared" si="7482"/>
        <v>11.98</v>
      </c>
      <c r="F3665" s="1" t="str">
        <f t="shared" ref="F3665:I3665" si="7494">"0"</f>
        <v>0</v>
      </c>
      <c r="G3665" s="1" t="str">
        <f t="shared" si="7494"/>
        <v>0</v>
      </c>
      <c r="H3665" s="1" t="str">
        <f t="shared" si="7494"/>
        <v>0</v>
      </c>
      <c r="I3665" s="1" t="str">
        <f t="shared" si="7494"/>
        <v>0</v>
      </c>
      <c r="J3665" s="1" t="str">
        <f>"2"</f>
        <v>2</v>
      </c>
      <c r="K3665" s="1" t="str">
        <f t="shared" ref="K3665:P3665" si="7495">"0"</f>
        <v>0</v>
      </c>
      <c r="L3665" s="1" t="str">
        <f t="shared" si="7495"/>
        <v>0</v>
      </c>
      <c r="M3665" s="1" t="str">
        <f t="shared" si="7495"/>
        <v>0</v>
      </c>
      <c r="N3665" s="1" t="str">
        <f t="shared" si="7495"/>
        <v>0</v>
      </c>
      <c r="O3665" s="1" t="str">
        <f t="shared" si="7495"/>
        <v>0</v>
      </c>
      <c r="P3665" s="1" t="str">
        <f t="shared" si="7495"/>
        <v>0</v>
      </c>
      <c r="Q3665" s="1" t="str">
        <f t="shared" si="7463"/>
        <v>0.0070</v>
      </c>
      <c r="R3665" s="1" t="s">
        <v>29</v>
      </c>
      <c r="S3665" s="1">
        <v>-0.0014</v>
      </c>
      <c r="T3665" s="1" t="str">
        <f t="shared" si="7464"/>
        <v>0</v>
      </c>
      <c r="U3665" s="1" t="str">
        <f t="shared" si="7489"/>
        <v>0.0056</v>
      </c>
    </row>
    <row r="3666" s="1" customFormat="1" spans="1:21">
      <c r="A3666" s="1" t="str">
        <f>"4601992070160"</f>
        <v>4601992070160</v>
      </c>
      <c r="B3666" s="1" t="s">
        <v>3689</v>
      </c>
      <c r="C3666" s="1" t="s">
        <v>24</v>
      </c>
      <c r="D3666" s="1" t="str">
        <f t="shared" si="7461"/>
        <v>2021</v>
      </c>
      <c r="E3666" s="1" t="str">
        <f>"50.75"</f>
        <v>50.75</v>
      </c>
      <c r="F3666" s="1" t="str">
        <f t="shared" ref="F3666:I3666" si="7496">"0"</f>
        <v>0</v>
      </c>
      <c r="G3666" s="1" t="str">
        <f t="shared" si="7496"/>
        <v>0</v>
      </c>
      <c r="H3666" s="1" t="str">
        <f t="shared" si="7496"/>
        <v>0</v>
      </c>
      <c r="I3666" s="1" t="str">
        <f t="shared" si="7496"/>
        <v>0</v>
      </c>
      <c r="J3666" s="1" t="str">
        <f>"4"</f>
        <v>4</v>
      </c>
      <c r="K3666" s="1" t="str">
        <f t="shared" ref="K3666:P3666" si="7497">"0"</f>
        <v>0</v>
      </c>
      <c r="L3666" s="1" t="str">
        <f t="shared" si="7497"/>
        <v>0</v>
      </c>
      <c r="M3666" s="1" t="str">
        <f t="shared" si="7497"/>
        <v>0</v>
      </c>
      <c r="N3666" s="1" t="str">
        <f t="shared" si="7497"/>
        <v>0</v>
      </c>
      <c r="O3666" s="1" t="str">
        <f t="shared" si="7497"/>
        <v>0</v>
      </c>
      <c r="P3666" s="1" t="str">
        <f t="shared" si="7497"/>
        <v>0</v>
      </c>
      <c r="Q3666" s="1" t="str">
        <f t="shared" si="7463"/>
        <v>0.0070</v>
      </c>
      <c r="R3666" s="1" t="s">
        <v>29</v>
      </c>
      <c r="S3666" s="1">
        <v>-0.0014</v>
      </c>
      <c r="T3666" s="1" t="str">
        <f t="shared" si="7464"/>
        <v>0</v>
      </c>
      <c r="U3666" s="1" t="str">
        <f t="shared" si="7489"/>
        <v>0.0056</v>
      </c>
    </row>
    <row r="3667" s="1" customFormat="1" spans="1:21">
      <c r="A3667" s="1" t="str">
        <f>"4601992070202"</f>
        <v>4601992070202</v>
      </c>
      <c r="B3667" s="1" t="s">
        <v>3690</v>
      </c>
      <c r="C3667" s="1" t="s">
        <v>24</v>
      </c>
      <c r="D3667" s="1" t="str">
        <f t="shared" si="7461"/>
        <v>2021</v>
      </c>
      <c r="E3667" s="1" t="str">
        <f>"58.96"</f>
        <v>58.96</v>
      </c>
      <c r="F3667" s="1" t="str">
        <f t="shared" ref="F3667:I3667" si="7498">"0"</f>
        <v>0</v>
      </c>
      <c r="G3667" s="1" t="str">
        <f t="shared" si="7498"/>
        <v>0</v>
      </c>
      <c r="H3667" s="1" t="str">
        <f t="shared" si="7498"/>
        <v>0</v>
      </c>
      <c r="I3667" s="1" t="str">
        <f t="shared" si="7498"/>
        <v>0</v>
      </c>
      <c r="J3667" s="1" t="str">
        <f t="shared" ref="J3667:J3671" si="7499">"3"</f>
        <v>3</v>
      </c>
      <c r="K3667" s="1" t="str">
        <f t="shared" ref="K3667:P3667" si="7500">"0"</f>
        <v>0</v>
      </c>
      <c r="L3667" s="1" t="str">
        <f t="shared" si="7500"/>
        <v>0</v>
      </c>
      <c r="M3667" s="1" t="str">
        <f t="shared" si="7500"/>
        <v>0</v>
      </c>
      <c r="N3667" s="1" t="str">
        <f t="shared" si="7500"/>
        <v>0</v>
      </c>
      <c r="O3667" s="1" t="str">
        <f t="shared" si="7500"/>
        <v>0</v>
      </c>
      <c r="P3667" s="1" t="str">
        <f t="shared" si="7500"/>
        <v>0</v>
      </c>
      <c r="Q3667" s="1" t="str">
        <f t="shared" si="7463"/>
        <v>0.0070</v>
      </c>
      <c r="R3667" s="1" t="s">
        <v>29</v>
      </c>
      <c r="S3667" s="1">
        <v>-0.0014</v>
      </c>
      <c r="T3667" s="1" t="str">
        <f t="shared" si="7464"/>
        <v>0</v>
      </c>
      <c r="U3667" s="1" t="str">
        <f t="shared" si="7489"/>
        <v>0.0056</v>
      </c>
    </row>
    <row r="3668" s="1" customFormat="1" spans="1:21">
      <c r="A3668" s="1" t="str">
        <f>"4601992070205"</f>
        <v>4601992070205</v>
      </c>
      <c r="B3668" s="1" t="s">
        <v>3691</v>
      </c>
      <c r="C3668" s="1" t="s">
        <v>24</v>
      </c>
      <c r="D3668" s="1" t="str">
        <f t="shared" si="7461"/>
        <v>2021</v>
      </c>
      <c r="E3668" s="1" t="str">
        <f>"11.98"</f>
        <v>11.98</v>
      </c>
      <c r="F3668" s="1" t="str">
        <f t="shared" ref="F3668:I3668" si="7501">"0"</f>
        <v>0</v>
      </c>
      <c r="G3668" s="1" t="str">
        <f t="shared" si="7501"/>
        <v>0</v>
      </c>
      <c r="H3668" s="1" t="str">
        <f t="shared" si="7501"/>
        <v>0</v>
      </c>
      <c r="I3668" s="1" t="str">
        <f t="shared" si="7501"/>
        <v>0</v>
      </c>
      <c r="J3668" s="1" t="str">
        <f>"1"</f>
        <v>1</v>
      </c>
      <c r="K3668" s="1" t="str">
        <f t="shared" ref="K3668:P3668" si="7502">"0"</f>
        <v>0</v>
      </c>
      <c r="L3668" s="1" t="str">
        <f t="shared" si="7502"/>
        <v>0</v>
      </c>
      <c r="M3668" s="1" t="str">
        <f t="shared" si="7502"/>
        <v>0</v>
      </c>
      <c r="N3668" s="1" t="str">
        <f t="shared" si="7502"/>
        <v>0</v>
      </c>
      <c r="O3668" s="1" t="str">
        <f t="shared" si="7502"/>
        <v>0</v>
      </c>
      <c r="P3668" s="1" t="str">
        <f t="shared" si="7502"/>
        <v>0</v>
      </c>
      <c r="Q3668" s="1" t="str">
        <f t="shared" si="7463"/>
        <v>0.0070</v>
      </c>
      <c r="R3668" s="1" t="s">
        <v>25</v>
      </c>
      <c r="T3668" s="1" t="str">
        <f t="shared" si="7464"/>
        <v>0</v>
      </c>
      <c r="U3668" s="1" t="str">
        <f>"0.0070"</f>
        <v>0.0070</v>
      </c>
    </row>
    <row r="3669" s="1" customFormat="1" spans="1:21">
      <c r="A3669" s="1" t="str">
        <f>"4601992070171"</f>
        <v>4601992070171</v>
      </c>
      <c r="B3669" s="1" t="s">
        <v>3692</v>
      </c>
      <c r="C3669" s="1" t="s">
        <v>24</v>
      </c>
      <c r="D3669" s="1" t="str">
        <f t="shared" si="7461"/>
        <v>2021</v>
      </c>
      <c r="E3669" s="1" t="str">
        <f>"448.83"</f>
        <v>448.83</v>
      </c>
      <c r="F3669" s="1" t="str">
        <f t="shared" ref="F3669:I3669" si="7503">"0"</f>
        <v>0</v>
      </c>
      <c r="G3669" s="1" t="str">
        <f t="shared" si="7503"/>
        <v>0</v>
      </c>
      <c r="H3669" s="1" t="str">
        <f t="shared" si="7503"/>
        <v>0</v>
      </c>
      <c r="I3669" s="1" t="str">
        <f t="shared" si="7503"/>
        <v>0</v>
      </c>
      <c r="J3669" s="1" t="str">
        <f>"27"</f>
        <v>27</v>
      </c>
      <c r="K3669" s="1" t="str">
        <f t="shared" ref="K3669:P3669" si="7504">"0"</f>
        <v>0</v>
      </c>
      <c r="L3669" s="1" t="str">
        <f t="shared" si="7504"/>
        <v>0</v>
      </c>
      <c r="M3669" s="1" t="str">
        <f t="shared" si="7504"/>
        <v>0</v>
      </c>
      <c r="N3669" s="1" t="str">
        <f t="shared" si="7504"/>
        <v>0</v>
      </c>
      <c r="O3669" s="1" t="str">
        <f t="shared" si="7504"/>
        <v>0</v>
      </c>
      <c r="P3669" s="1" t="str">
        <f t="shared" si="7504"/>
        <v>0</v>
      </c>
      <c r="Q3669" s="1" t="str">
        <f t="shared" si="7463"/>
        <v>0.0070</v>
      </c>
      <c r="R3669" s="1" t="s">
        <v>29</v>
      </c>
      <c r="S3669" s="1">
        <v>-0.0014</v>
      </c>
      <c r="T3669" s="1" t="str">
        <f t="shared" si="7464"/>
        <v>0</v>
      </c>
      <c r="U3669" s="1" t="str">
        <f t="shared" ref="U3669:U3674" si="7505">"0.0056"</f>
        <v>0.0056</v>
      </c>
    </row>
    <row r="3670" s="1" customFormat="1" spans="1:21">
      <c r="A3670" s="1" t="str">
        <f>"4601992070214"</f>
        <v>4601992070214</v>
      </c>
      <c r="B3670" s="1" t="s">
        <v>3693</v>
      </c>
      <c r="C3670" s="1" t="s">
        <v>24</v>
      </c>
      <c r="D3670" s="1" t="str">
        <f t="shared" si="7461"/>
        <v>2021</v>
      </c>
      <c r="E3670" s="1" t="str">
        <f>"23.96"</f>
        <v>23.96</v>
      </c>
      <c r="F3670" s="1" t="str">
        <f t="shared" ref="F3670:I3670" si="7506">"0"</f>
        <v>0</v>
      </c>
      <c r="G3670" s="1" t="str">
        <f t="shared" si="7506"/>
        <v>0</v>
      </c>
      <c r="H3670" s="1" t="str">
        <f t="shared" si="7506"/>
        <v>0</v>
      </c>
      <c r="I3670" s="1" t="str">
        <f t="shared" si="7506"/>
        <v>0</v>
      </c>
      <c r="J3670" s="1" t="str">
        <f t="shared" si="7499"/>
        <v>3</v>
      </c>
      <c r="K3670" s="1" t="str">
        <f t="shared" ref="K3670:P3670" si="7507">"0"</f>
        <v>0</v>
      </c>
      <c r="L3670" s="1" t="str">
        <f t="shared" si="7507"/>
        <v>0</v>
      </c>
      <c r="M3670" s="1" t="str">
        <f t="shared" si="7507"/>
        <v>0</v>
      </c>
      <c r="N3670" s="1" t="str">
        <f t="shared" si="7507"/>
        <v>0</v>
      </c>
      <c r="O3670" s="1" t="str">
        <f t="shared" si="7507"/>
        <v>0</v>
      </c>
      <c r="P3670" s="1" t="str">
        <f t="shared" si="7507"/>
        <v>0</v>
      </c>
      <c r="Q3670" s="1" t="str">
        <f t="shared" si="7463"/>
        <v>0.0070</v>
      </c>
      <c r="R3670" s="1" t="s">
        <v>29</v>
      </c>
      <c r="S3670" s="1">
        <v>-0.0014</v>
      </c>
      <c r="T3670" s="1" t="str">
        <f t="shared" si="7464"/>
        <v>0</v>
      </c>
      <c r="U3670" s="1" t="str">
        <f t="shared" si="7505"/>
        <v>0.0056</v>
      </c>
    </row>
    <row r="3671" s="1" customFormat="1" spans="1:21">
      <c r="A3671" s="1" t="str">
        <f>"4601992070222"</f>
        <v>4601992070222</v>
      </c>
      <c r="B3671" s="1" t="s">
        <v>3694</v>
      </c>
      <c r="C3671" s="1" t="s">
        <v>24</v>
      </c>
      <c r="D3671" s="1" t="str">
        <f t="shared" si="7461"/>
        <v>2021</v>
      </c>
      <c r="E3671" s="1" t="str">
        <f>"35.94"</f>
        <v>35.94</v>
      </c>
      <c r="F3671" s="1" t="str">
        <f t="shared" ref="F3671:I3671" si="7508">"0"</f>
        <v>0</v>
      </c>
      <c r="G3671" s="1" t="str">
        <f t="shared" si="7508"/>
        <v>0</v>
      </c>
      <c r="H3671" s="1" t="str">
        <f t="shared" si="7508"/>
        <v>0</v>
      </c>
      <c r="I3671" s="1" t="str">
        <f t="shared" si="7508"/>
        <v>0</v>
      </c>
      <c r="J3671" s="1" t="str">
        <f t="shared" si="7499"/>
        <v>3</v>
      </c>
      <c r="K3671" s="1" t="str">
        <f t="shared" ref="K3671:P3671" si="7509">"0"</f>
        <v>0</v>
      </c>
      <c r="L3671" s="1" t="str">
        <f t="shared" si="7509"/>
        <v>0</v>
      </c>
      <c r="M3671" s="1" t="str">
        <f t="shared" si="7509"/>
        <v>0</v>
      </c>
      <c r="N3671" s="1" t="str">
        <f t="shared" si="7509"/>
        <v>0</v>
      </c>
      <c r="O3671" s="1" t="str">
        <f t="shared" si="7509"/>
        <v>0</v>
      </c>
      <c r="P3671" s="1" t="str">
        <f t="shared" si="7509"/>
        <v>0</v>
      </c>
      <c r="Q3671" s="1" t="str">
        <f t="shared" si="7463"/>
        <v>0.0070</v>
      </c>
      <c r="R3671" s="1" t="s">
        <v>29</v>
      </c>
      <c r="S3671" s="1">
        <v>-0.0014</v>
      </c>
      <c r="T3671" s="1" t="str">
        <f t="shared" si="7464"/>
        <v>0</v>
      </c>
      <c r="U3671" s="1" t="str">
        <f t="shared" si="7505"/>
        <v>0.0056</v>
      </c>
    </row>
    <row r="3672" s="1" customFormat="1" spans="1:21">
      <c r="A3672" s="1" t="str">
        <f>"4601992070239"</f>
        <v>4601992070239</v>
      </c>
      <c r="B3672" s="1" t="s">
        <v>3695</v>
      </c>
      <c r="C3672" s="1" t="s">
        <v>24</v>
      </c>
      <c r="D3672" s="1" t="str">
        <f t="shared" si="7461"/>
        <v>2021</v>
      </c>
      <c r="E3672" s="1" t="str">
        <f>"23.96"</f>
        <v>23.96</v>
      </c>
      <c r="F3672" s="1" t="str">
        <f t="shared" ref="F3672:I3672" si="7510">"0"</f>
        <v>0</v>
      </c>
      <c r="G3672" s="1" t="str">
        <f t="shared" si="7510"/>
        <v>0</v>
      </c>
      <c r="H3672" s="1" t="str">
        <f t="shared" si="7510"/>
        <v>0</v>
      </c>
      <c r="I3672" s="1" t="str">
        <f t="shared" si="7510"/>
        <v>0</v>
      </c>
      <c r="J3672" s="1" t="str">
        <f>"2"</f>
        <v>2</v>
      </c>
      <c r="K3672" s="1" t="str">
        <f t="shared" ref="K3672:P3672" si="7511">"0"</f>
        <v>0</v>
      </c>
      <c r="L3672" s="1" t="str">
        <f t="shared" si="7511"/>
        <v>0</v>
      </c>
      <c r="M3672" s="1" t="str">
        <f t="shared" si="7511"/>
        <v>0</v>
      </c>
      <c r="N3672" s="1" t="str">
        <f t="shared" si="7511"/>
        <v>0</v>
      </c>
      <c r="O3672" s="1" t="str">
        <f t="shared" si="7511"/>
        <v>0</v>
      </c>
      <c r="P3672" s="1" t="str">
        <f t="shared" si="7511"/>
        <v>0</v>
      </c>
      <c r="Q3672" s="1" t="str">
        <f t="shared" si="7463"/>
        <v>0.0070</v>
      </c>
      <c r="R3672" s="1" t="s">
        <v>29</v>
      </c>
      <c r="S3672" s="1">
        <v>-0.0014</v>
      </c>
      <c r="T3672" s="1" t="str">
        <f t="shared" si="7464"/>
        <v>0</v>
      </c>
      <c r="U3672" s="1" t="str">
        <f t="shared" si="7505"/>
        <v>0.0056</v>
      </c>
    </row>
    <row r="3673" s="1" customFormat="1" spans="1:21">
      <c r="A3673" s="1" t="str">
        <f>"4601992070261"</f>
        <v>4601992070261</v>
      </c>
      <c r="B3673" s="1" t="s">
        <v>3696</v>
      </c>
      <c r="C3673" s="1" t="s">
        <v>24</v>
      </c>
      <c r="D3673" s="1" t="str">
        <f t="shared" si="7461"/>
        <v>2021</v>
      </c>
      <c r="E3673" s="1" t="str">
        <f>"11.98"</f>
        <v>11.98</v>
      </c>
      <c r="F3673" s="1" t="str">
        <f t="shared" ref="F3673:I3673" si="7512">"0"</f>
        <v>0</v>
      </c>
      <c r="G3673" s="1" t="str">
        <f t="shared" si="7512"/>
        <v>0</v>
      </c>
      <c r="H3673" s="1" t="str">
        <f t="shared" si="7512"/>
        <v>0</v>
      </c>
      <c r="I3673" s="1" t="str">
        <f t="shared" si="7512"/>
        <v>0</v>
      </c>
      <c r="J3673" s="1" t="str">
        <f>"1"</f>
        <v>1</v>
      </c>
      <c r="K3673" s="1" t="str">
        <f t="shared" ref="K3673:P3673" si="7513">"0"</f>
        <v>0</v>
      </c>
      <c r="L3673" s="1" t="str">
        <f t="shared" si="7513"/>
        <v>0</v>
      </c>
      <c r="M3673" s="1" t="str">
        <f t="shared" si="7513"/>
        <v>0</v>
      </c>
      <c r="N3673" s="1" t="str">
        <f t="shared" si="7513"/>
        <v>0</v>
      </c>
      <c r="O3673" s="1" t="str">
        <f t="shared" si="7513"/>
        <v>0</v>
      </c>
      <c r="P3673" s="1" t="str">
        <f t="shared" si="7513"/>
        <v>0</v>
      </c>
      <c r="Q3673" s="1" t="str">
        <f t="shared" si="7463"/>
        <v>0.0070</v>
      </c>
      <c r="R3673" s="1" t="s">
        <v>29</v>
      </c>
      <c r="S3673" s="1">
        <v>-0.0014</v>
      </c>
      <c r="T3673" s="1" t="str">
        <f t="shared" si="7464"/>
        <v>0</v>
      </c>
      <c r="U3673" s="1" t="str">
        <f t="shared" si="7505"/>
        <v>0.0056</v>
      </c>
    </row>
    <row r="3674" s="1" customFormat="1" spans="1:21">
      <c r="A3674" s="1" t="str">
        <f>"4601992070245"</f>
        <v>4601992070245</v>
      </c>
      <c r="B3674" s="1" t="s">
        <v>3697</v>
      </c>
      <c r="C3674" s="1" t="s">
        <v>24</v>
      </c>
      <c r="D3674" s="1" t="str">
        <f t="shared" si="7461"/>
        <v>2021</v>
      </c>
      <c r="E3674" s="1" t="str">
        <f>"36.75"</f>
        <v>36.75</v>
      </c>
      <c r="F3674" s="1" t="str">
        <f t="shared" ref="F3674:I3674" si="7514">"0"</f>
        <v>0</v>
      </c>
      <c r="G3674" s="1" t="str">
        <f t="shared" si="7514"/>
        <v>0</v>
      </c>
      <c r="H3674" s="1" t="str">
        <f t="shared" si="7514"/>
        <v>0</v>
      </c>
      <c r="I3674" s="1" t="str">
        <f t="shared" si="7514"/>
        <v>0</v>
      </c>
      <c r="J3674" s="1" t="str">
        <f>"3"</f>
        <v>3</v>
      </c>
      <c r="K3674" s="1" t="str">
        <f t="shared" ref="K3674:P3674" si="7515">"0"</f>
        <v>0</v>
      </c>
      <c r="L3674" s="1" t="str">
        <f t="shared" si="7515"/>
        <v>0</v>
      </c>
      <c r="M3674" s="1" t="str">
        <f t="shared" si="7515"/>
        <v>0</v>
      </c>
      <c r="N3674" s="1" t="str">
        <f t="shared" si="7515"/>
        <v>0</v>
      </c>
      <c r="O3674" s="1" t="str">
        <f t="shared" si="7515"/>
        <v>0</v>
      </c>
      <c r="P3674" s="1" t="str">
        <f t="shared" si="7515"/>
        <v>0</v>
      </c>
      <c r="Q3674" s="1" t="str">
        <f t="shared" si="7463"/>
        <v>0.0070</v>
      </c>
      <c r="R3674" s="1" t="s">
        <v>29</v>
      </c>
      <c r="S3674" s="1">
        <v>-0.0014</v>
      </c>
      <c r="T3674" s="1" t="str">
        <f t="shared" si="7464"/>
        <v>0</v>
      </c>
      <c r="U3674" s="1" t="str">
        <f t="shared" si="7505"/>
        <v>0.0056</v>
      </c>
    </row>
    <row r="3675" s="1" customFormat="1" spans="1:21">
      <c r="A3675" s="1" t="str">
        <f>"4601992070343"</f>
        <v>4601992070343</v>
      </c>
      <c r="B3675" s="1" t="s">
        <v>3698</v>
      </c>
      <c r="C3675" s="1" t="s">
        <v>24</v>
      </c>
      <c r="D3675" s="1" t="str">
        <f t="shared" si="7461"/>
        <v>2021</v>
      </c>
      <c r="E3675" s="1" t="str">
        <f t="shared" ref="E3675:P3675" si="7516">"0"</f>
        <v>0</v>
      </c>
      <c r="F3675" s="1" t="str">
        <f t="shared" si="7516"/>
        <v>0</v>
      </c>
      <c r="G3675" s="1" t="str">
        <f t="shared" si="7516"/>
        <v>0</v>
      </c>
      <c r="H3675" s="1" t="str">
        <f t="shared" si="7516"/>
        <v>0</v>
      </c>
      <c r="I3675" s="1" t="str">
        <f t="shared" si="7516"/>
        <v>0</v>
      </c>
      <c r="J3675" s="1" t="str">
        <f t="shared" si="7516"/>
        <v>0</v>
      </c>
      <c r="K3675" s="1" t="str">
        <f t="shared" si="7516"/>
        <v>0</v>
      </c>
      <c r="L3675" s="1" t="str">
        <f t="shared" si="7516"/>
        <v>0</v>
      </c>
      <c r="M3675" s="1" t="str">
        <f t="shared" si="7516"/>
        <v>0</v>
      </c>
      <c r="N3675" s="1" t="str">
        <f t="shared" si="7516"/>
        <v>0</v>
      </c>
      <c r="O3675" s="1" t="str">
        <f t="shared" si="7516"/>
        <v>0</v>
      </c>
      <c r="P3675" s="1" t="str">
        <f t="shared" si="7516"/>
        <v>0</v>
      </c>
      <c r="Q3675" s="1" t="str">
        <f t="shared" si="7463"/>
        <v>0.0070</v>
      </c>
      <c r="R3675" s="1" t="s">
        <v>25</v>
      </c>
      <c r="T3675" s="1" t="str">
        <f t="shared" si="7464"/>
        <v>0</v>
      </c>
      <c r="U3675" s="1" t="str">
        <f t="shared" ref="U3675:U3677" si="7517">"0.0070"</f>
        <v>0.0070</v>
      </c>
    </row>
    <row r="3676" s="1" customFormat="1" spans="1:21">
      <c r="A3676" s="1" t="str">
        <f>"4601992070301"</f>
        <v>4601992070301</v>
      </c>
      <c r="B3676" s="1" t="s">
        <v>3699</v>
      </c>
      <c r="C3676" s="1" t="s">
        <v>24</v>
      </c>
      <c r="D3676" s="1" t="str">
        <f t="shared" si="7461"/>
        <v>2021</v>
      </c>
      <c r="E3676" s="1" t="str">
        <f t="shared" ref="E3676:G3676" si="7518">"0"</f>
        <v>0</v>
      </c>
      <c r="F3676" s="1" t="str">
        <f t="shared" si="7518"/>
        <v>0</v>
      </c>
      <c r="G3676" s="1" t="str">
        <f t="shared" si="7518"/>
        <v>0</v>
      </c>
      <c r="H3676" s="1" t="str">
        <f>"47.92"</f>
        <v>47.92</v>
      </c>
      <c r="I3676" s="1" t="str">
        <f t="shared" ref="I3676:P3676" si="7519">"0"</f>
        <v>0</v>
      </c>
      <c r="J3676" s="1" t="str">
        <f t="shared" si="7519"/>
        <v>0</v>
      </c>
      <c r="K3676" s="1" t="str">
        <f t="shared" si="7519"/>
        <v>0</v>
      </c>
      <c r="L3676" s="1" t="str">
        <f t="shared" si="7519"/>
        <v>0</v>
      </c>
      <c r="M3676" s="1" t="str">
        <f t="shared" si="7519"/>
        <v>0</v>
      </c>
      <c r="N3676" s="1" t="str">
        <f t="shared" si="7519"/>
        <v>0</v>
      </c>
      <c r="O3676" s="1" t="str">
        <f t="shared" si="7519"/>
        <v>0</v>
      </c>
      <c r="P3676" s="1" t="str">
        <f t="shared" si="7519"/>
        <v>0</v>
      </c>
      <c r="Q3676" s="1" t="str">
        <f t="shared" si="7463"/>
        <v>0.0070</v>
      </c>
      <c r="R3676" s="1" t="s">
        <v>25</v>
      </c>
      <c r="T3676" s="1" t="str">
        <f t="shared" si="7464"/>
        <v>0</v>
      </c>
      <c r="U3676" s="1" t="str">
        <f t="shared" si="7517"/>
        <v>0.0070</v>
      </c>
    </row>
    <row r="3677" s="1" customFormat="1" spans="1:21">
      <c r="A3677" s="1" t="str">
        <f>"4601992070382"</f>
        <v>4601992070382</v>
      </c>
      <c r="B3677" s="1" t="s">
        <v>3700</v>
      </c>
      <c r="C3677" s="1" t="s">
        <v>24</v>
      </c>
      <c r="D3677" s="1" t="str">
        <f t="shared" si="7461"/>
        <v>2021</v>
      </c>
      <c r="E3677" s="1" t="str">
        <f t="shared" ref="E3677:G3677" si="7520">"0"</f>
        <v>0</v>
      </c>
      <c r="F3677" s="1" t="str">
        <f t="shared" si="7520"/>
        <v>0</v>
      </c>
      <c r="G3677" s="1" t="str">
        <f t="shared" si="7520"/>
        <v>0</v>
      </c>
      <c r="H3677" s="1" t="str">
        <f>"11.98"</f>
        <v>11.98</v>
      </c>
      <c r="I3677" s="1" t="str">
        <f t="shared" ref="I3677:P3677" si="7521">"0"</f>
        <v>0</v>
      </c>
      <c r="J3677" s="1" t="str">
        <f t="shared" si="7521"/>
        <v>0</v>
      </c>
      <c r="K3677" s="1" t="str">
        <f t="shared" si="7521"/>
        <v>0</v>
      </c>
      <c r="L3677" s="1" t="str">
        <f t="shared" si="7521"/>
        <v>0</v>
      </c>
      <c r="M3677" s="1" t="str">
        <f t="shared" si="7521"/>
        <v>0</v>
      </c>
      <c r="N3677" s="1" t="str">
        <f t="shared" si="7521"/>
        <v>0</v>
      </c>
      <c r="O3677" s="1" t="str">
        <f t="shared" si="7521"/>
        <v>0</v>
      </c>
      <c r="P3677" s="1" t="str">
        <f t="shared" si="7521"/>
        <v>0</v>
      </c>
      <c r="Q3677" s="1" t="str">
        <f t="shared" si="7463"/>
        <v>0.0070</v>
      </c>
      <c r="R3677" s="1" t="s">
        <v>25</v>
      </c>
      <c r="T3677" s="1" t="str">
        <f t="shared" si="7464"/>
        <v>0</v>
      </c>
      <c r="U3677" s="1" t="str">
        <f t="shared" si="7517"/>
        <v>0.0070</v>
      </c>
    </row>
    <row r="3678" s="1" customFormat="1" spans="1:21">
      <c r="A3678" s="1" t="str">
        <f>"4601992070376"</f>
        <v>4601992070376</v>
      </c>
      <c r="B3678" s="1" t="s">
        <v>3701</v>
      </c>
      <c r="C3678" s="1" t="s">
        <v>24</v>
      </c>
      <c r="D3678" s="1" t="str">
        <f t="shared" si="7461"/>
        <v>2021</v>
      </c>
      <c r="E3678" s="1" t="str">
        <f>"23.96"</f>
        <v>23.96</v>
      </c>
      <c r="F3678" s="1" t="str">
        <f t="shared" ref="F3678:I3678" si="7522">"0"</f>
        <v>0</v>
      </c>
      <c r="G3678" s="1" t="str">
        <f t="shared" si="7522"/>
        <v>0</v>
      </c>
      <c r="H3678" s="1" t="str">
        <f t="shared" si="7522"/>
        <v>0</v>
      </c>
      <c r="I3678" s="1" t="str">
        <f t="shared" si="7522"/>
        <v>0</v>
      </c>
      <c r="J3678" s="1" t="str">
        <f t="shared" ref="J3678:J3682" si="7523">"2"</f>
        <v>2</v>
      </c>
      <c r="K3678" s="1" t="str">
        <f t="shared" ref="K3678:P3678" si="7524">"0"</f>
        <v>0</v>
      </c>
      <c r="L3678" s="1" t="str">
        <f t="shared" si="7524"/>
        <v>0</v>
      </c>
      <c r="M3678" s="1" t="str">
        <f t="shared" si="7524"/>
        <v>0</v>
      </c>
      <c r="N3678" s="1" t="str">
        <f t="shared" si="7524"/>
        <v>0</v>
      </c>
      <c r="O3678" s="1" t="str">
        <f t="shared" si="7524"/>
        <v>0</v>
      </c>
      <c r="P3678" s="1" t="str">
        <f t="shared" si="7524"/>
        <v>0</v>
      </c>
      <c r="Q3678" s="1" t="str">
        <f t="shared" si="7463"/>
        <v>0.0070</v>
      </c>
      <c r="R3678" s="1" t="s">
        <v>29</v>
      </c>
      <c r="S3678" s="1">
        <v>-0.0014</v>
      </c>
      <c r="T3678" s="1" t="str">
        <f t="shared" si="7464"/>
        <v>0</v>
      </c>
      <c r="U3678" s="1" t="str">
        <f t="shared" ref="U3678:U3680" si="7525">"0.0056"</f>
        <v>0.0056</v>
      </c>
    </row>
    <row r="3679" s="1" customFormat="1" spans="1:21">
      <c r="A3679" s="1" t="str">
        <f>"4601992070393"</f>
        <v>4601992070393</v>
      </c>
      <c r="B3679" s="1" t="s">
        <v>3702</v>
      </c>
      <c r="C3679" s="1" t="s">
        <v>24</v>
      </c>
      <c r="D3679" s="1" t="str">
        <f t="shared" si="7461"/>
        <v>2021</v>
      </c>
      <c r="E3679" s="1" t="str">
        <f>"11.98"</f>
        <v>11.98</v>
      </c>
      <c r="F3679" s="1" t="str">
        <f t="shared" ref="F3679:I3679" si="7526">"0"</f>
        <v>0</v>
      </c>
      <c r="G3679" s="1" t="str">
        <f t="shared" si="7526"/>
        <v>0</v>
      </c>
      <c r="H3679" s="1" t="str">
        <f t="shared" si="7526"/>
        <v>0</v>
      </c>
      <c r="I3679" s="1" t="str">
        <f t="shared" si="7526"/>
        <v>0</v>
      </c>
      <c r="J3679" s="1" t="str">
        <f>"1"</f>
        <v>1</v>
      </c>
      <c r="K3679" s="1" t="str">
        <f t="shared" ref="K3679:P3679" si="7527">"0"</f>
        <v>0</v>
      </c>
      <c r="L3679" s="1" t="str">
        <f t="shared" si="7527"/>
        <v>0</v>
      </c>
      <c r="M3679" s="1" t="str">
        <f t="shared" si="7527"/>
        <v>0</v>
      </c>
      <c r="N3679" s="1" t="str">
        <f t="shared" si="7527"/>
        <v>0</v>
      </c>
      <c r="O3679" s="1" t="str">
        <f t="shared" si="7527"/>
        <v>0</v>
      </c>
      <c r="P3679" s="1" t="str">
        <f t="shared" si="7527"/>
        <v>0</v>
      </c>
      <c r="Q3679" s="1" t="str">
        <f t="shared" si="7463"/>
        <v>0.0070</v>
      </c>
      <c r="R3679" s="1" t="s">
        <v>29</v>
      </c>
      <c r="S3679" s="1">
        <v>-0.0014</v>
      </c>
      <c r="T3679" s="1" t="str">
        <f t="shared" si="7464"/>
        <v>0</v>
      </c>
      <c r="U3679" s="1" t="str">
        <f t="shared" si="7525"/>
        <v>0.0056</v>
      </c>
    </row>
    <row r="3680" s="1" customFormat="1" spans="1:21">
      <c r="A3680" s="1" t="str">
        <f>"4601992070470"</f>
        <v>4601992070470</v>
      </c>
      <c r="B3680" s="1" t="s">
        <v>3703</v>
      </c>
      <c r="C3680" s="1" t="s">
        <v>24</v>
      </c>
      <c r="D3680" s="1" t="str">
        <f t="shared" si="7461"/>
        <v>2021</v>
      </c>
      <c r="E3680" s="1" t="str">
        <f>"24.18"</f>
        <v>24.18</v>
      </c>
      <c r="F3680" s="1" t="str">
        <f t="shared" ref="F3680:I3680" si="7528">"0"</f>
        <v>0</v>
      </c>
      <c r="G3680" s="1" t="str">
        <f t="shared" si="7528"/>
        <v>0</v>
      </c>
      <c r="H3680" s="1" t="str">
        <f t="shared" si="7528"/>
        <v>0</v>
      </c>
      <c r="I3680" s="1" t="str">
        <f t="shared" si="7528"/>
        <v>0</v>
      </c>
      <c r="J3680" s="1" t="str">
        <f t="shared" si="7523"/>
        <v>2</v>
      </c>
      <c r="K3680" s="1" t="str">
        <f t="shared" ref="K3680:P3680" si="7529">"0"</f>
        <v>0</v>
      </c>
      <c r="L3680" s="1" t="str">
        <f t="shared" si="7529"/>
        <v>0</v>
      </c>
      <c r="M3680" s="1" t="str">
        <f t="shared" si="7529"/>
        <v>0</v>
      </c>
      <c r="N3680" s="1" t="str">
        <f t="shared" si="7529"/>
        <v>0</v>
      </c>
      <c r="O3680" s="1" t="str">
        <f t="shared" si="7529"/>
        <v>0</v>
      </c>
      <c r="P3680" s="1" t="str">
        <f t="shared" si="7529"/>
        <v>0</v>
      </c>
      <c r="Q3680" s="1" t="str">
        <f t="shared" si="7463"/>
        <v>0.0070</v>
      </c>
      <c r="R3680" s="1" t="s">
        <v>29</v>
      </c>
      <c r="S3680" s="1">
        <v>-0.0014</v>
      </c>
      <c r="T3680" s="1" t="str">
        <f t="shared" si="7464"/>
        <v>0</v>
      </c>
      <c r="U3680" s="1" t="str">
        <f t="shared" si="7525"/>
        <v>0.0056</v>
      </c>
    </row>
    <row r="3681" s="1" customFormat="1" spans="1:21">
      <c r="A3681" s="1" t="str">
        <f>"4601992070499"</f>
        <v>4601992070499</v>
      </c>
      <c r="B3681" s="1" t="s">
        <v>3704</v>
      </c>
      <c r="C3681" s="1" t="s">
        <v>24</v>
      </c>
      <c r="D3681" s="1" t="str">
        <f t="shared" si="7461"/>
        <v>2021</v>
      </c>
      <c r="E3681" s="1" t="str">
        <f t="shared" ref="E3681:P3681" si="7530">"0"</f>
        <v>0</v>
      </c>
      <c r="F3681" s="1" t="str">
        <f t="shared" si="7530"/>
        <v>0</v>
      </c>
      <c r="G3681" s="1" t="str">
        <f t="shared" si="7530"/>
        <v>0</v>
      </c>
      <c r="H3681" s="1" t="str">
        <f t="shared" si="7530"/>
        <v>0</v>
      </c>
      <c r="I3681" s="1" t="str">
        <f t="shared" si="7530"/>
        <v>0</v>
      </c>
      <c r="J3681" s="1" t="str">
        <f t="shared" si="7530"/>
        <v>0</v>
      </c>
      <c r="K3681" s="1" t="str">
        <f t="shared" si="7530"/>
        <v>0</v>
      </c>
      <c r="L3681" s="1" t="str">
        <f t="shared" si="7530"/>
        <v>0</v>
      </c>
      <c r="M3681" s="1" t="str">
        <f t="shared" si="7530"/>
        <v>0</v>
      </c>
      <c r="N3681" s="1" t="str">
        <f t="shared" si="7530"/>
        <v>0</v>
      </c>
      <c r="O3681" s="1" t="str">
        <f t="shared" si="7530"/>
        <v>0</v>
      </c>
      <c r="P3681" s="1" t="str">
        <f t="shared" si="7530"/>
        <v>0</v>
      </c>
      <c r="Q3681" s="1" t="str">
        <f t="shared" si="7463"/>
        <v>0.0070</v>
      </c>
      <c r="R3681" s="1" t="s">
        <v>25</v>
      </c>
      <c r="T3681" s="1" t="str">
        <f t="shared" si="7464"/>
        <v>0</v>
      </c>
      <c r="U3681" s="1" t="str">
        <f>"0.0070"</f>
        <v>0.0070</v>
      </c>
    </row>
    <row r="3682" s="1" customFormat="1" spans="1:21">
      <c r="A3682" s="1" t="str">
        <f>"4601992070552"</f>
        <v>4601992070552</v>
      </c>
      <c r="B3682" s="1" t="s">
        <v>3705</v>
      </c>
      <c r="C3682" s="1" t="s">
        <v>24</v>
      </c>
      <c r="D3682" s="1" t="str">
        <f t="shared" si="7461"/>
        <v>2021</v>
      </c>
      <c r="E3682" s="1" t="str">
        <f>"24.23"</f>
        <v>24.23</v>
      </c>
      <c r="F3682" s="1" t="str">
        <f t="shared" ref="F3682:I3682" si="7531">"0"</f>
        <v>0</v>
      </c>
      <c r="G3682" s="1" t="str">
        <f t="shared" si="7531"/>
        <v>0</v>
      </c>
      <c r="H3682" s="1" t="str">
        <f t="shared" si="7531"/>
        <v>0</v>
      </c>
      <c r="I3682" s="1" t="str">
        <f t="shared" si="7531"/>
        <v>0</v>
      </c>
      <c r="J3682" s="1" t="str">
        <f t="shared" si="7523"/>
        <v>2</v>
      </c>
      <c r="K3682" s="1" t="str">
        <f t="shared" ref="K3682:P3682" si="7532">"0"</f>
        <v>0</v>
      </c>
      <c r="L3682" s="1" t="str">
        <f t="shared" si="7532"/>
        <v>0</v>
      </c>
      <c r="M3682" s="1" t="str">
        <f t="shared" si="7532"/>
        <v>0</v>
      </c>
      <c r="N3682" s="1" t="str">
        <f t="shared" si="7532"/>
        <v>0</v>
      </c>
      <c r="O3682" s="1" t="str">
        <f t="shared" si="7532"/>
        <v>0</v>
      </c>
      <c r="P3682" s="1" t="str">
        <f t="shared" si="7532"/>
        <v>0</v>
      </c>
      <c r="Q3682" s="1" t="str">
        <f t="shared" si="7463"/>
        <v>0.0070</v>
      </c>
      <c r="R3682" s="1" t="s">
        <v>29</v>
      </c>
      <c r="S3682" s="1">
        <v>-0.0014</v>
      </c>
      <c r="T3682" s="1" t="str">
        <f t="shared" si="7464"/>
        <v>0</v>
      </c>
      <c r="U3682" s="1" t="str">
        <f t="shared" ref="U3682:U3684" si="7533">"0.0056"</f>
        <v>0.0056</v>
      </c>
    </row>
    <row r="3683" s="1" customFormat="1" spans="1:21">
      <c r="A3683" s="1" t="str">
        <f>"4601992070531"</f>
        <v>4601992070531</v>
      </c>
      <c r="B3683" s="1" t="s">
        <v>3706</v>
      </c>
      <c r="C3683" s="1" t="s">
        <v>24</v>
      </c>
      <c r="D3683" s="1" t="str">
        <f t="shared" si="7461"/>
        <v>2021</v>
      </c>
      <c r="E3683" s="1" t="str">
        <f t="shared" ref="E3683:E3688" si="7534">"11.98"</f>
        <v>11.98</v>
      </c>
      <c r="F3683" s="1" t="str">
        <f t="shared" ref="F3683:I3683" si="7535">"0"</f>
        <v>0</v>
      </c>
      <c r="G3683" s="1" t="str">
        <f t="shared" si="7535"/>
        <v>0</v>
      </c>
      <c r="H3683" s="1" t="str">
        <f t="shared" si="7535"/>
        <v>0</v>
      </c>
      <c r="I3683" s="1" t="str">
        <f t="shared" si="7535"/>
        <v>0</v>
      </c>
      <c r="J3683" s="1" t="str">
        <f t="shared" ref="J3683:J3688" si="7536">"1"</f>
        <v>1</v>
      </c>
      <c r="K3683" s="1" t="str">
        <f t="shared" ref="K3683:P3683" si="7537">"0"</f>
        <v>0</v>
      </c>
      <c r="L3683" s="1" t="str">
        <f t="shared" si="7537"/>
        <v>0</v>
      </c>
      <c r="M3683" s="1" t="str">
        <f t="shared" si="7537"/>
        <v>0</v>
      </c>
      <c r="N3683" s="1" t="str">
        <f t="shared" si="7537"/>
        <v>0</v>
      </c>
      <c r="O3683" s="1" t="str">
        <f t="shared" si="7537"/>
        <v>0</v>
      </c>
      <c r="P3683" s="1" t="str">
        <f t="shared" si="7537"/>
        <v>0</v>
      </c>
      <c r="Q3683" s="1" t="str">
        <f t="shared" si="7463"/>
        <v>0.0070</v>
      </c>
      <c r="R3683" s="1" t="s">
        <v>29</v>
      </c>
      <c r="S3683" s="1">
        <v>-0.0014</v>
      </c>
      <c r="T3683" s="1" t="str">
        <f t="shared" si="7464"/>
        <v>0</v>
      </c>
      <c r="U3683" s="1" t="str">
        <f t="shared" si="7533"/>
        <v>0.0056</v>
      </c>
    </row>
    <row r="3684" s="1" customFormat="1" spans="1:21">
      <c r="A3684" s="1" t="str">
        <f>"4601992070554"</f>
        <v>4601992070554</v>
      </c>
      <c r="B3684" s="1" t="s">
        <v>3707</v>
      </c>
      <c r="C3684" s="1" t="s">
        <v>24</v>
      </c>
      <c r="D3684" s="1" t="str">
        <f t="shared" si="7461"/>
        <v>2021</v>
      </c>
      <c r="E3684" s="1" t="str">
        <f>"36.75"</f>
        <v>36.75</v>
      </c>
      <c r="F3684" s="1" t="str">
        <f t="shared" ref="F3684:I3684" si="7538">"0"</f>
        <v>0</v>
      </c>
      <c r="G3684" s="1" t="str">
        <f t="shared" si="7538"/>
        <v>0</v>
      </c>
      <c r="H3684" s="1" t="str">
        <f t="shared" si="7538"/>
        <v>0</v>
      </c>
      <c r="I3684" s="1" t="str">
        <f t="shared" si="7538"/>
        <v>0</v>
      </c>
      <c r="J3684" s="1" t="str">
        <f>"4"</f>
        <v>4</v>
      </c>
      <c r="K3684" s="1" t="str">
        <f t="shared" ref="K3684:P3684" si="7539">"0"</f>
        <v>0</v>
      </c>
      <c r="L3684" s="1" t="str">
        <f t="shared" si="7539"/>
        <v>0</v>
      </c>
      <c r="M3684" s="1" t="str">
        <f t="shared" si="7539"/>
        <v>0</v>
      </c>
      <c r="N3684" s="1" t="str">
        <f t="shared" si="7539"/>
        <v>0</v>
      </c>
      <c r="O3684" s="1" t="str">
        <f t="shared" si="7539"/>
        <v>0</v>
      </c>
      <c r="P3684" s="1" t="str">
        <f t="shared" si="7539"/>
        <v>0</v>
      </c>
      <c r="Q3684" s="1" t="str">
        <f t="shared" si="7463"/>
        <v>0.0070</v>
      </c>
      <c r="R3684" s="1" t="s">
        <v>29</v>
      </c>
      <c r="S3684" s="1">
        <v>-0.0014</v>
      </c>
      <c r="T3684" s="1" t="str">
        <f t="shared" si="7464"/>
        <v>0</v>
      </c>
      <c r="U3684" s="1" t="str">
        <f t="shared" si="7533"/>
        <v>0.0056</v>
      </c>
    </row>
    <row r="3685" s="1" customFormat="1" spans="1:21">
      <c r="A3685" s="1" t="str">
        <f>"4601992070567"</f>
        <v>4601992070567</v>
      </c>
      <c r="B3685" s="1" t="s">
        <v>3708</v>
      </c>
      <c r="C3685" s="1" t="s">
        <v>24</v>
      </c>
      <c r="D3685" s="1" t="str">
        <f t="shared" si="7461"/>
        <v>2021</v>
      </c>
      <c r="E3685" s="1" t="str">
        <f t="shared" si="7534"/>
        <v>11.98</v>
      </c>
      <c r="F3685" s="1" t="str">
        <f t="shared" ref="F3685:I3685" si="7540">"0"</f>
        <v>0</v>
      </c>
      <c r="G3685" s="1" t="str">
        <f t="shared" si="7540"/>
        <v>0</v>
      </c>
      <c r="H3685" s="1" t="str">
        <f t="shared" si="7540"/>
        <v>0</v>
      </c>
      <c r="I3685" s="1" t="str">
        <f t="shared" si="7540"/>
        <v>0</v>
      </c>
      <c r="J3685" s="1" t="str">
        <f t="shared" si="7536"/>
        <v>1</v>
      </c>
      <c r="K3685" s="1" t="str">
        <f t="shared" ref="K3685:P3685" si="7541">"0"</f>
        <v>0</v>
      </c>
      <c r="L3685" s="1" t="str">
        <f t="shared" si="7541"/>
        <v>0</v>
      </c>
      <c r="M3685" s="1" t="str">
        <f t="shared" si="7541"/>
        <v>0</v>
      </c>
      <c r="N3685" s="1" t="str">
        <f t="shared" si="7541"/>
        <v>0</v>
      </c>
      <c r="O3685" s="1" t="str">
        <f t="shared" si="7541"/>
        <v>0</v>
      </c>
      <c r="P3685" s="1" t="str">
        <f t="shared" si="7541"/>
        <v>0</v>
      </c>
      <c r="Q3685" s="1" t="str">
        <f t="shared" si="7463"/>
        <v>0.0070</v>
      </c>
      <c r="R3685" s="1" t="s">
        <v>25</v>
      </c>
      <c r="T3685" s="1" t="str">
        <f t="shared" si="7464"/>
        <v>0</v>
      </c>
      <c r="U3685" s="1" t="str">
        <f>"0.0070"</f>
        <v>0.0070</v>
      </c>
    </row>
    <row r="3686" s="1" customFormat="1" spans="1:21">
      <c r="A3686" s="1" t="str">
        <f>"4601992070597"</f>
        <v>4601992070597</v>
      </c>
      <c r="B3686" s="1" t="s">
        <v>3709</v>
      </c>
      <c r="C3686" s="1" t="s">
        <v>24</v>
      </c>
      <c r="D3686" s="1" t="str">
        <f t="shared" si="7461"/>
        <v>2021</v>
      </c>
      <c r="E3686" s="1" t="str">
        <f>"48.36"</f>
        <v>48.36</v>
      </c>
      <c r="F3686" s="1" t="str">
        <f t="shared" ref="F3686:I3686" si="7542">"0"</f>
        <v>0</v>
      </c>
      <c r="G3686" s="1" t="str">
        <f t="shared" si="7542"/>
        <v>0</v>
      </c>
      <c r="H3686" s="1" t="str">
        <f t="shared" si="7542"/>
        <v>0</v>
      </c>
      <c r="I3686" s="1" t="str">
        <f t="shared" si="7542"/>
        <v>0</v>
      </c>
      <c r="J3686" s="1" t="str">
        <f t="shared" ref="J3686:J3690" si="7543">"3"</f>
        <v>3</v>
      </c>
      <c r="K3686" s="1" t="str">
        <f t="shared" ref="K3686:P3686" si="7544">"0"</f>
        <v>0</v>
      </c>
      <c r="L3686" s="1" t="str">
        <f t="shared" si="7544"/>
        <v>0</v>
      </c>
      <c r="M3686" s="1" t="str">
        <f t="shared" si="7544"/>
        <v>0</v>
      </c>
      <c r="N3686" s="1" t="str">
        <f t="shared" si="7544"/>
        <v>0</v>
      </c>
      <c r="O3686" s="1" t="str">
        <f t="shared" si="7544"/>
        <v>0</v>
      </c>
      <c r="P3686" s="1" t="str">
        <f t="shared" si="7544"/>
        <v>0</v>
      </c>
      <c r="Q3686" s="1" t="str">
        <f t="shared" si="7463"/>
        <v>0.0070</v>
      </c>
      <c r="R3686" s="1" t="s">
        <v>29</v>
      </c>
      <c r="S3686" s="1">
        <v>-0.0014</v>
      </c>
      <c r="T3686" s="1" t="str">
        <f t="shared" si="7464"/>
        <v>0</v>
      </c>
      <c r="U3686" s="1" t="str">
        <f t="shared" ref="U3686:U3691" si="7545">"0.0056"</f>
        <v>0.0056</v>
      </c>
    </row>
    <row r="3687" s="1" customFormat="1" spans="1:21">
      <c r="A3687" s="1" t="str">
        <f>"4601992070646"</f>
        <v>4601992070646</v>
      </c>
      <c r="B3687" s="1" t="s">
        <v>3710</v>
      </c>
      <c r="C3687" s="1" t="s">
        <v>24</v>
      </c>
      <c r="D3687" s="1" t="str">
        <f t="shared" si="7461"/>
        <v>2021</v>
      </c>
      <c r="E3687" s="1" t="str">
        <f t="shared" ref="E3687:G3687" si="7546">"0"</f>
        <v>0</v>
      </c>
      <c r="F3687" s="1" t="str">
        <f t="shared" si="7546"/>
        <v>0</v>
      </c>
      <c r="G3687" s="1" t="str">
        <f t="shared" si="7546"/>
        <v>0</v>
      </c>
      <c r="H3687" s="1" t="str">
        <f>"23.96"</f>
        <v>23.96</v>
      </c>
      <c r="I3687" s="1" t="str">
        <f t="shared" ref="I3687:P3687" si="7547">"0"</f>
        <v>0</v>
      </c>
      <c r="J3687" s="1" t="str">
        <f t="shared" si="7547"/>
        <v>0</v>
      </c>
      <c r="K3687" s="1" t="str">
        <f t="shared" si="7547"/>
        <v>0</v>
      </c>
      <c r="L3687" s="1" t="str">
        <f t="shared" si="7547"/>
        <v>0</v>
      </c>
      <c r="M3687" s="1" t="str">
        <f t="shared" si="7547"/>
        <v>0</v>
      </c>
      <c r="N3687" s="1" t="str">
        <f t="shared" si="7547"/>
        <v>0</v>
      </c>
      <c r="O3687" s="1" t="str">
        <f t="shared" si="7547"/>
        <v>0</v>
      </c>
      <c r="P3687" s="1" t="str">
        <f t="shared" si="7547"/>
        <v>0</v>
      </c>
      <c r="Q3687" s="1" t="str">
        <f t="shared" si="7463"/>
        <v>0.0070</v>
      </c>
      <c r="R3687" s="1" t="s">
        <v>25</v>
      </c>
      <c r="T3687" s="1" t="str">
        <f t="shared" si="7464"/>
        <v>0</v>
      </c>
      <c r="U3687" s="1" t="str">
        <f>"0.0070"</f>
        <v>0.0070</v>
      </c>
    </row>
    <row r="3688" s="1" customFormat="1" spans="1:21">
      <c r="A3688" s="1" t="str">
        <f>"4601992070642"</f>
        <v>4601992070642</v>
      </c>
      <c r="B3688" s="1" t="s">
        <v>3711</v>
      </c>
      <c r="C3688" s="1" t="s">
        <v>24</v>
      </c>
      <c r="D3688" s="1" t="str">
        <f t="shared" si="7461"/>
        <v>2021</v>
      </c>
      <c r="E3688" s="1" t="str">
        <f t="shared" si="7534"/>
        <v>11.98</v>
      </c>
      <c r="F3688" s="1" t="str">
        <f t="shared" ref="F3688:I3688" si="7548">"0"</f>
        <v>0</v>
      </c>
      <c r="G3688" s="1" t="str">
        <f t="shared" si="7548"/>
        <v>0</v>
      </c>
      <c r="H3688" s="1" t="str">
        <f t="shared" si="7548"/>
        <v>0</v>
      </c>
      <c r="I3688" s="1" t="str">
        <f t="shared" si="7548"/>
        <v>0</v>
      </c>
      <c r="J3688" s="1" t="str">
        <f t="shared" si="7536"/>
        <v>1</v>
      </c>
      <c r="K3688" s="1" t="str">
        <f t="shared" ref="K3688:P3688" si="7549">"0"</f>
        <v>0</v>
      </c>
      <c r="L3688" s="1" t="str">
        <f t="shared" si="7549"/>
        <v>0</v>
      </c>
      <c r="M3688" s="1" t="str">
        <f t="shared" si="7549"/>
        <v>0</v>
      </c>
      <c r="N3688" s="1" t="str">
        <f t="shared" si="7549"/>
        <v>0</v>
      </c>
      <c r="O3688" s="1" t="str">
        <f t="shared" si="7549"/>
        <v>0</v>
      </c>
      <c r="P3688" s="1" t="str">
        <f t="shared" si="7549"/>
        <v>0</v>
      </c>
      <c r="Q3688" s="1" t="str">
        <f t="shared" si="7463"/>
        <v>0.0070</v>
      </c>
      <c r="R3688" s="1" t="s">
        <v>29</v>
      </c>
      <c r="S3688" s="1">
        <v>-0.0014</v>
      </c>
      <c r="T3688" s="1" t="str">
        <f t="shared" si="7464"/>
        <v>0</v>
      </c>
      <c r="U3688" s="1" t="str">
        <f t="shared" si="7545"/>
        <v>0.0056</v>
      </c>
    </row>
    <row r="3689" s="1" customFormat="1" spans="1:21">
      <c r="A3689" s="1" t="str">
        <f>"4601992070625"</f>
        <v>4601992070625</v>
      </c>
      <c r="B3689" s="1" t="s">
        <v>3712</v>
      </c>
      <c r="C3689" s="1" t="s">
        <v>24</v>
      </c>
      <c r="D3689" s="1" t="str">
        <f t="shared" si="7461"/>
        <v>2021</v>
      </c>
      <c r="E3689" s="1" t="str">
        <f>"23.96"</f>
        <v>23.96</v>
      </c>
      <c r="F3689" s="1" t="str">
        <f t="shared" ref="F3689:I3689" si="7550">"0"</f>
        <v>0</v>
      </c>
      <c r="G3689" s="1" t="str">
        <f t="shared" si="7550"/>
        <v>0</v>
      </c>
      <c r="H3689" s="1" t="str">
        <f t="shared" si="7550"/>
        <v>0</v>
      </c>
      <c r="I3689" s="1" t="str">
        <f t="shared" si="7550"/>
        <v>0</v>
      </c>
      <c r="J3689" s="1" t="str">
        <f t="shared" si="7543"/>
        <v>3</v>
      </c>
      <c r="K3689" s="1" t="str">
        <f t="shared" ref="K3689:P3689" si="7551">"0"</f>
        <v>0</v>
      </c>
      <c r="L3689" s="1" t="str">
        <f t="shared" si="7551"/>
        <v>0</v>
      </c>
      <c r="M3689" s="1" t="str">
        <f t="shared" si="7551"/>
        <v>0</v>
      </c>
      <c r="N3689" s="1" t="str">
        <f t="shared" si="7551"/>
        <v>0</v>
      </c>
      <c r="O3689" s="1" t="str">
        <f t="shared" si="7551"/>
        <v>0</v>
      </c>
      <c r="P3689" s="1" t="str">
        <f t="shared" si="7551"/>
        <v>0</v>
      </c>
      <c r="Q3689" s="1" t="str">
        <f t="shared" si="7463"/>
        <v>0.0070</v>
      </c>
      <c r="R3689" s="1" t="s">
        <v>29</v>
      </c>
      <c r="S3689" s="1">
        <v>-0.0014</v>
      </c>
      <c r="T3689" s="1" t="str">
        <f t="shared" si="7464"/>
        <v>0</v>
      </c>
      <c r="U3689" s="1" t="str">
        <f t="shared" si="7545"/>
        <v>0.0056</v>
      </c>
    </row>
    <row r="3690" s="1" customFormat="1" spans="1:21">
      <c r="A3690" s="1" t="str">
        <f>"4601992070669"</f>
        <v>4601992070669</v>
      </c>
      <c r="B3690" s="1" t="s">
        <v>3713</v>
      </c>
      <c r="C3690" s="1" t="s">
        <v>24</v>
      </c>
      <c r="D3690" s="1" t="str">
        <f t="shared" si="7461"/>
        <v>2021</v>
      </c>
      <c r="E3690" s="1" t="str">
        <f>"35.94"</f>
        <v>35.94</v>
      </c>
      <c r="F3690" s="1" t="str">
        <f t="shared" ref="F3690:I3690" si="7552">"0"</f>
        <v>0</v>
      </c>
      <c r="G3690" s="1" t="str">
        <f t="shared" si="7552"/>
        <v>0</v>
      </c>
      <c r="H3690" s="1" t="str">
        <f t="shared" si="7552"/>
        <v>0</v>
      </c>
      <c r="I3690" s="1" t="str">
        <f t="shared" si="7552"/>
        <v>0</v>
      </c>
      <c r="J3690" s="1" t="str">
        <f t="shared" si="7543"/>
        <v>3</v>
      </c>
      <c r="K3690" s="1" t="str">
        <f t="shared" ref="K3690:P3690" si="7553">"0"</f>
        <v>0</v>
      </c>
      <c r="L3690" s="1" t="str">
        <f t="shared" si="7553"/>
        <v>0</v>
      </c>
      <c r="M3690" s="1" t="str">
        <f t="shared" si="7553"/>
        <v>0</v>
      </c>
      <c r="N3690" s="1" t="str">
        <f t="shared" si="7553"/>
        <v>0</v>
      </c>
      <c r="O3690" s="1" t="str">
        <f t="shared" si="7553"/>
        <v>0</v>
      </c>
      <c r="P3690" s="1" t="str">
        <f t="shared" si="7553"/>
        <v>0</v>
      </c>
      <c r="Q3690" s="1" t="str">
        <f t="shared" si="7463"/>
        <v>0.0070</v>
      </c>
      <c r="R3690" s="1" t="s">
        <v>29</v>
      </c>
      <c r="S3690" s="1">
        <v>-0.0014</v>
      </c>
      <c r="T3690" s="1" t="str">
        <f t="shared" si="7464"/>
        <v>0</v>
      </c>
      <c r="U3690" s="1" t="str">
        <f t="shared" si="7545"/>
        <v>0.0056</v>
      </c>
    </row>
    <row r="3691" s="1" customFormat="1" spans="1:21">
      <c r="A3691" s="1" t="str">
        <f>"4601992070781"</f>
        <v>4601992070781</v>
      </c>
      <c r="B3691" s="1" t="s">
        <v>3714</v>
      </c>
      <c r="C3691" s="1" t="s">
        <v>24</v>
      </c>
      <c r="D3691" s="1" t="str">
        <f t="shared" si="7461"/>
        <v>2021</v>
      </c>
      <c r="E3691" s="1" t="str">
        <f>"145.20"</f>
        <v>145.20</v>
      </c>
      <c r="F3691" s="1" t="str">
        <f t="shared" ref="F3691:I3691" si="7554">"0"</f>
        <v>0</v>
      </c>
      <c r="G3691" s="1" t="str">
        <f t="shared" si="7554"/>
        <v>0</v>
      </c>
      <c r="H3691" s="1" t="str">
        <f t="shared" si="7554"/>
        <v>0</v>
      </c>
      <c r="I3691" s="1" t="str">
        <f t="shared" si="7554"/>
        <v>0</v>
      </c>
      <c r="J3691" s="1" t="str">
        <f>"10"</f>
        <v>10</v>
      </c>
      <c r="K3691" s="1" t="str">
        <f t="shared" ref="K3691:P3691" si="7555">"0"</f>
        <v>0</v>
      </c>
      <c r="L3691" s="1" t="str">
        <f t="shared" si="7555"/>
        <v>0</v>
      </c>
      <c r="M3691" s="1" t="str">
        <f t="shared" si="7555"/>
        <v>0</v>
      </c>
      <c r="N3691" s="1" t="str">
        <f t="shared" si="7555"/>
        <v>0</v>
      </c>
      <c r="O3691" s="1" t="str">
        <f t="shared" si="7555"/>
        <v>0</v>
      </c>
      <c r="P3691" s="1" t="str">
        <f t="shared" si="7555"/>
        <v>0</v>
      </c>
      <c r="Q3691" s="1" t="str">
        <f t="shared" si="7463"/>
        <v>0.0070</v>
      </c>
      <c r="R3691" s="1" t="s">
        <v>29</v>
      </c>
      <c r="S3691" s="1">
        <v>-0.0014</v>
      </c>
      <c r="T3691" s="1" t="str">
        <f t="shared" si="7464"/>
        <v>0</v>
      </c>
      <c r="U3691" s="1" t="str">
        <f t="shared" si="7545"/>
        <v>0.0056</v>
      </c>
    </row>
    <row r="3692" s="1" customFormat="1" spans="1:21">
      <c r="A3692" s="1" t="str">
        <f>"4601992070769"</f>
        <v>4601992070769</v>
      </c>
      <c r="B3692" s="1" t="s">
        <v>3715</v>
      </c>
      <c r="C3692" s="1" t="s">
        <v>24</v>
      </c>
      <c r="D3692" s="1" t="str">
        <f t="shared" si="7461"/>
        <v>2021</v>
      </c>
      <c r="E3692" s="1" t="str">
        <f t="shared" ref="E3692:I3692" si="7556">"0"</f>
        <v>0</v>
      </c>
      <c r="F3692" s="1" t="str">
        <f t="shared" si="7556"/>
        <v>0</v>
      </c>
      <c r="G3692" s="1" t="str">
        <f t="shared" si="7556"/>
        <v>0</v>
      </c>
      <c r="H3692" s="1" t="str">
        <f t="shared" si="7556"/>
        <v>0</v>
      </c>
      <c r="I3692" s="1" t="str">
        <f t="shared" si="7556"/>
        <v>0</v>
      </c>
      <c r="J3692" s="1" t="str">
        <f>"1"</f>
        <v>1</v>
      </c>
      <c r="K3692" s="1" t="str">
        <f t="shared" ref="K3692:P3692" si="7557">"0"</f>
        <v>0</v>
      </c>
      <c r="L3692" s="1" t="str">
        <f t="shared" si="7557"/>
        <v>0</v>
      </c>
      <c r="M3692" s="1" t="str">
        <f t="shared" si="7557"/>
        <v>0</v>
      </c>
      <c r="N3692" s="1" t="str">
        <f t="shared" si="7557"/>
        <v>0</v>
      </c>
      <c r="O3692" s="1" t="str">
        <f t="shared" si="7557"/>
        <v>0</v>
      </c>
      <c r="P3692" s="1" t="str">
        <f t="shared" si="7557"/>
        <v>0</v>
      </c>
      <c r="Q3692" s="1" t="str">
        <f t="shared" si="7463"/>
        <v>0.0070</v>
      </c>
      <c r="R3692" s="1" t="s">
        <v>25</v>
      </c>
      <c r="T3692" s="1" t="str">
        <f t="shared" si="7464"/>
        <v>0</v>
      </c>
      <c r="U3692" s="1" t="str">
        <f t="shared" ref="U3692:U3695" si="7558">"0.0070"</f>
        <v>0.0070</v>
      </c>
    </row>
    <row r="3693" s="1" customFormat="1" spans="1:21">
      <c r="A3693" s="1" t="str">
        <f>"4601992070710"</f>
        <v>4601992070710</v>
      </c>
      <c r="B3693" s="1" t="s">
        <v>3716</v>
      </c>
      <c r="C3693" s="1" t="s">
        <v>24</v>
      </c>
      <c r="D3693" s="1" t="str">
        <f t="shared" si="7461"/>
        <v>2021</v>
      </c>
      <c r="E3693" s="1" t="str">
        <f>"23.96"</f>
        <v>23.96</v>
      </c>
      <c r="F3693" s="1" t="str">
        <f t="shared" ref="F3693:I3693" si="7559">"0"</f>
        <v>0</v>
      </c>
      <c r="G3693" s="1" t="str">
        <f t="shared" si="7559"/>
        <v>0</v>
      </c>
      <c r="H3693" s="1" t="str">
        <f t="shared" si="7559"/>
        <v>0</v>
      </c>
      <c r="I3693" s="1" t="str">
        <f t="shared" si="7559"/>
        <v>0</v>
      </c>
      <c r="J3693" s="1" t="str">
        <f>"2"</f>
        <v>2</v>
      </c>
      <c r="K3693" s="1" t="str">
        <f t="shared" ref="K3693:P3693" si="7560">"0"</f>
        <v>0</v>
      </c>
      <c r="L3693" s="1" t="str">
        <f t="shared" si="7560"/>
        <v>0</v>
      </c>
      <c r="M3693" s="1" t="str">
        <f t="shared" si="7560"/>
        <v>0</v>
      </c>
      <c r="N3693" s="1" t="str">
        <f t="shared" si="7560"/>
        <v>0</v>
      </c>
      <c r="O3693" s="1" t="str">
        <f t="shared" si="7560"/>
        <v>0</v>
      </c>
      <c r="P3693" s="1" t="str">
        <f t="shared" si="7560"/>
        <v>0</v>
      </c>
      <c r="Q3693" s="1" t="str">
        <f t="shared" si="7463"/>
        <v>0.0070</v>
      </c>
      <c r="R3693" s="1" t="s">
        <v>29</v>
      </c>
      <c r="S3693" s="1">
        <v>-0.0014</v>
      </c>
      <c r="T3693" s="1" t="str">
        <f t="shared" si="7464"/>
        <v>0</v>
      </c>
      <c r="U3693" s="1" t="str">
        <f>"0.0056"</f>
        <v>0.0056</v>
      </c>
    </row>
    <row r="3694" s="1" customFormat="1" spans="1:21">
      <c r="A3694" s="1" t="str">
        <f>"4601992070842"</f>
        <v>4601992070842</v>
      </c>
      <c r="B3694" s="1" t="s">
        <v>3717</v>
      </c>
      <c r="C3694" s="1" t="s">
        <v>24</v>
      </c>
      <c r="D3694" s="1" t="str">
        <f t="shared" si="7461"/>
        <v>2021</v>
      </c>
      <c r="E3694" s="1" t="str">
        <f t="shared" ref="E3694:G3694" si="7561">"0"</f>
        <v>0</v>
      </c>
      <c r="F3694" s="1" t="str">
        <f t="shared" si="7561"/>
        <v>0</v>
      </c>
      <c r="G3694" s="1" t="str">
        <f t="shared" si="7561"/>
        <v>0</v>
      </c>
      <c r="H3694" s="1" t="str">
        <f>"24.50"</f>
        <v>24.50</v>
      </c>
      <c r="I3694" s="1" t="str">
        <f t="shared" ref="I3694:P3694" si="7562">"0"</f>
        <v>0</v>
      </c>
      <c r="J3694" s="1" t="str">
        <f t="shared" si="7562"/>
        <v>0</v>
      </c>
      <c r="K3694" s="1" t="str">
        <f t="shared" si="7562"/>
        <v>0</v>
      </c>
      <c r="L3694" s="1" t="str">
        <f t="shared" si="7562"/>
        <v>0</v>
      </c>
      <c r="M3694" s="1" t="str">
        <f t="shared" si="7562"/>
        <v>0</v>
      </c>
      <c r="N3694" s="1" t="str">
        <f t="shared" si="7562"/>
        <v>0</v>
      </c>
      <c r="O3694" s="1" t="str">
        <f t="shared" si="7562"/>
        <v>0</v>
      </c>
      <c r="P3694" s="1" t="str">
        <f t="shared" si="7562"/>
        <v>0</v>
      </c>
      <c r="Q3694" s="1" t="str">
        <f t="shared" si="7463"/>
        <v>0.0070</v>
      </c>
      <c r="R3694" s="1" t="s">
        <v>25</v>
      </c>
      <c r="T3694" s="1" t="str">
        <f t="shared" si="7464"/>
        <v>0</v>
      </c>
      <c r="U3694" s="1" t="str">
        <f t="shared" si="7558"/>
        <v>0.0070</v>
      </c>
    </row>
    <row r="3695" s="1" customFormat="1" spans="1:21">
      <c r="A3695" s="1" t="str">
        <f>"4601992070863"</f>
        <v>4601992070863</v>
      </c>
      <c r="B3695" s="1" t="s">
        <v>3718</v>
      </c>
      <c r="C3695" s="1" t="s">
        <v>24</v>
      </c>
      <c r="D3695" s="1" t="str">
        <f t="shared" si="7461"/>
        <v>2021</v>
      </c>
      <c r="E3695" s="1" t="str">
        <f t="shared" ref="E3695:P3695" si="7563">"0"</f>
        <v>0</v>
      </c>
      <c r="F3695" s="1" t="str">
        <f t="shared" si="7563"/>
        <v>0</v>
      </c>
      <c r="G3695" s="1" t="str">
        <f t="shared" si="7563"/>
        <v>0</v>
      </c>
      <c r="H3695" s="1" t="str">
        <f t="shared" si="7563"/>
        <v>0</v>
      </c>
      <c r="I3695" s="1" t="str">
        <f t="shared" si="7563"/>
        <v>0</v>
      </c>
      <c r="J3695" s="1" t="str">
        <f t="shared" si="7563"/>
        <v>0</v>
      </c>
      <c r="K3695" s="1" t="str">
        <f t="shared" si="7563"/>
        <v>0</v>
      </c>
      <c r="L3695" s="1" t="str">
        <f t="shared" si="7563"/>
        <v>0</v>
      </c>
      <c r="M3695" s="1" t="str">
        <f t="shared" si="7563"/>
        <v>0</v>
      </c>
      <c r="N3695" s="1" t="str">
        <f t="shared" si="7563"/>
        <v>0</v>
      </c>
      <c r="O3695" s="1" t="str">
        <f t="shared" si="7563"/>
        <v>0</v>
      </c>
      <c r="P3695" s="1" t="str">
        <f t="shared" si="7563"/>
        <v>0</v>
      </c>
      <c r="Q3695" s="1" t="str">
        <f t="shared" si="7463"/>
        <v>0.0070</v>
      </c>
      <c r="R3695" s="1" t="s">
        <v>25</v>
      </c>
      <c r="T3695" s="1" t="str">
        <f t="shared" si="7464"/>
        <v>0</v>
      </c>
      <c r="U3695" s="1" t="str">
        <f t="shared" si="7558"/>
        <v>0.0070</v>
      </c>
    </row>
    <row r="3696" s="1" customFormat="1" spans="1:21">
      <c r="A3696" s="1" t="str">
        <f>"4601992070815"</f>
        <v>4601992070815</v>
      </c>
      <c r="B3696" s="1" t="s">
        <v>3719</v>
      </c>
      <c r="C3696" s="1" t="s">
        <v>24</v>
      </c>
      <c r="D3696" s="1" t="str">
        <f t="shared" si="7461"/>
        <v>2021</v>
      </c>
      <c r="E3696" s="1" t="str">
        <f>"23.96"</f>
        <v>23.96</v>
      </c>
      <c r="F3696" s="1" t="str">
        <f t="shared" ref="F3696:I3696" si="7564">"0"</f>
        <v>0</v>
      </c>
      <c r="G3696" s="1" t="str">
        <f t="shared" si="7564"/>
        <v>0</v>
      </c>
      <c r="H3696" s="1" t="str">
        <f t="shared" si="7564"/>
        <v>0</v>
      </c>
      <c r="I3696" s="1" t="str">
        <f t="shared" si="7564"/>
        <v>0</v>
      </c>
      <c r="J3696" s="1" t="str">
        <f>"4"</f>
        <v>4</v>
      </c>
      <c r="K3696" s="1" t="str">
        <f t="shared" ref="K3696:P3696" si="7565">"0"</f>
        <v>0</v>
      </c>
      <c r="L3696" s="1" t="str">
        <f t="shared" si="7565"/>
        <v>0</v>
      </c>
      <c r="M3696" s="1" t="str">
        <f t="shared" si="7565"/>
        <v>0</v>
      </c>
      <c r="N3696" s="1" t="str">
        <f t="shared" si="7565"/>
        <v>0</v>
      </c>
      <c r="O3696" s="1" t="str">
        <f t="shared" si="7565"/>
        <v>0</v>
      </c>
      <c r="P3696" s="1" t="str">
        <f t="shared" si="7565"/>
        <v>0</v>
      </c>
      <c r="Q3696" s="1" t="str">
        <f t="shared" si="7463"/>
        <v>0.0070</v>
      </c>
      <c r="R3696" s="1" t="s">
        <v>29</v>
      </c>
      <c r="S3696" s="1">
        <v>-0.0014</v>
      </c>
      <c r="T3696" s="1" t="str">
        <f t="shared" si="7464"/>
        <v>0</v>
      </c>
      <c r="U3696" s="1" t="str">
        <f>"0.0056"</f>
        <v>0.0056</v>
      </c>
    </row>
    <row r="3697" s="1" customFormat="1" spans="1:21">
      <c r="A3697" s="1" t="str">
        <f>"4601992070970"</f>
        <v>4601992070970</v>
      </c>
      <c r="B3697" s="1" t="s">
        <v>3720</v>
      </c>
      <c r="C3697" s="1" t="s">
        <v>24</v>
      </c>
      <c r="D3697" s="1" t="str">
        <f t="shared" si="7461"/>
        <v>2021</v>
      </c>
      <c r="E3697" s="1" t="str">
        <f t="shared" ref="E3697:P3697" si="7566">"0"</f>
        <v>0</v>
      </c>
      <c r="F3697" s="1" t="str">
        <f t="shared" si="7566"/>
        <v>0</v>
      </c>
      <c r="G3697" s="1" t="str">
        <f t="shared" si="7566"/>
        <v>0</v>
      </c>
      <c r="H3697" s="1" t="str">
        <f t="shared" si="7566"/>
        <v>0</v>
      </c>
      <c r="I3697" s="1" t="str">
        <f t="shared" si="7566"/>
        <v>0</v>
      </c>
      <c r="J3697" s="1" t="str">
        <f t="shared" si="7566"/>
        <v>0</v>
      </c>
      <c r="K3697" s="1" t="str">
        <f t="shared" si="7566"/>
        <v>0</v>
      </c>
      <c r="L3697" s="1" t="str">
        <f t="shared" si="7566"/>
        <v>0</v>
      </c>
      <c r="M3697" s="1" t="str">
        <f t="shared" si="7566"/>
        <v>0</v>
      </c>
      <c r="N3697" s="1" t="str">
        <f t="shared" si="7566"/>
        <v>0</v>
      </c>
      <c r="O3697" s="1" t="str">
        <f t="shared" si="7566"/>
        <v>0</v>
      </c>
      <c r="P3697" s="1" t="str">
        <f t="shared" si="7566"/>
        <v>0</v>
      </c>
      <c r="Q3697" s="1" t="str">
        <f t="shared" si="7463"/>
        <v>0.0070</v>
      </c>
      <c r="R3697" s="1" t="s">
        <v>25</v>
      </c>
      <c r="T3697" s="1" t="str">
        <f t="shared" si="7464"/>
        <v>0</v>
      </c>
      <c r="U3697" s="1" t="str">
        <f t="shared" ref="U3697:U3701" si="7567">"0.0070"</f>
        <v>0.0070</v>
      </c>
    </row>
    <row r="3698" s="1" customFormat="1" spans="1:21">
      <c r="A3698" s="1" t="str">
        <f>"4601992070879"</f>
        <v>4601992070879</v>
      </c>
      <c r="B3698" s="1" t="s">
        <v>3721</v>
      </c>
      <c r="C3698" s="1" t="s">
        <v>24</v>
      </c>
      <c r="D3698" s="1" t="str">
        <f t="shared" si="7461"/>
        <v>2021</v>
      </c>
      <c r="E3698" s="1" t="str">
        <f>"24.50"</f>
        <v>24.50</v>
      </c>
      <c r="F3698" s="1" t="str">
        <f t="shared" ref="F3698:I3698" si="7568">"0"</f>
        <v>0</v>
      </c>
      <c r="G3698" s="1" t="str">
        <f t="shared" si="7568"/>
        <v>0</v>
      </c>
      <c r="H3698" s="1" t="str">
        <f t="shared" si="7568"/>
        <v>0</v>
      </c>
      <c r="I3698" s="1" t="str">
        <f t="shared" si="7568"/>
        <v>0</v>
      </c>
      <c r="J3698" s="1" t="str">
        <f>"2"</f>
        <v>2</v>
      </c>
      <c r="K3698" s="1" t="str">
        <f t="shared" ref="K3698:P3698" si="7569">"0"</f>
        <v>0</v>
      </c>
      <c r="L3698" s="1" t="str">
        <f t="shared" si="7569"/>
        <v>0</v>
      </c>
      <c r="M3698" s="1" t="str">
        <f t="shared" si="7569"/>
        <v>0</v>
      </c>
      <c r="N3698" s="1" t="str">
        <f t="shared" si="7569"/>
        <v>0</v>
      </c>
      <c r="O3698" s="1" t="str">
        <f t="shared" si="7569"/>
        <v>0</v>
      </c>
      <c r="P3698" s="1" t="str">
        <f t="shared" si="7569"/>
        <v>0</v>
      </c>
      <c r="Q3698" s="1" t="str">
        <f t="shared" si="7463"/>
        <v>0.0070</v>
      </c>
      <c r="R3698" s="1" t="s">
        <v>25</v>
      </c>
      <c r="T3698" s="1" t="str">
        <f t="shared" si="7464"/>
        <v>0</v>
      </c>
      <c r="U3698" s="1" t="str">
        <f t="shared" si="7567"/>
        <v>0.0070</v>
      </c>
    </row>
    <row r="3699" s="1" customFormat="1" spans="1:21">
      <c r="A3699" s="1" t="str">
        <f>"4601992070876"</f>
        <v>4601992070876</v>
      </c>
      <c r="B3699" s="1" t="s">
        <v>3722</v>
      </c>
      <c r="C3699" s="1" t="s">
        <v>24</v>
      </c>
      <c r="D3699" s="1" t="str">
        <f t="shared" si="7461"/>
        <v>2021</v>
      </c>
      <c r="E3699" s="1" t="str">
        <f>"12.25"</f>
        <v>12.25</v>
      </c>
      <c r="F3699" s="1" t="str">
        <f t="shared" ref="F3699:I3699" si="7570">"0"</f>
        <v>0</v>
      </c>
      <c r="G3699" s="1" t="str">
        <f t="shared" si="7570"/>
        <v>0</v>
      </c>
      <c r="H3699" s="1" t="str">
        <f t="shared" si="7570"/>
        <v>0</v>
      </c>
      <c r="I3699" s="1" t="str">
        <f t="shared" si="7570"/>
        <v>0</v>
      </c>
      <c r="J3699" s="1" t="str">
        <f t="shared" ref="J3699:J3703" si="7571">"1"</f>
        <v>1</v>
      </c>
      <c r="K3699" s="1" t="str">
        <f t="shared" ref="K3699:P3699" si="7572">"0"</f>
        <v>0</v>
      </c>
      <c r="L3699" s="1" t="str">
        <f t="shared" si="7572"/>
        <v>0</v>
      </c>
      <c r="M3699" s="1" t="str">
        <f t="shared" si="7572"/>
        <v>0</v>
      </c>
      <c r="N3699" s="1" t="str">
        <f t="shared" si="7572"/>
        <v>0</v>
      </c>
      <c r="O3699" s="1" t="str">
        <f t="shared" si="7572"/>
        <v>0</v>
      </c>
      <c r="P3699" s="1" t="str">
        <f t="shared" si="7572"/>
        <v>0</v>
      </c>
      <c r="Q3699" s="1" t="str">
        <f t="shared" si="7463"/>
        <v>0.0070</v>
      </c>
      <c r="R3699" s="1" t="s">
        <v>29</v>
      </c>
      <c r="S3699" s="1">
        <v>-0.0014</v>
      </c>
      <c r="T3699" s="1" t="str">
        <f t="shared" si="7464"/>
        <v>0</v>
      </c>
      <c r="U3699" s="1" t="str">
        <f t="shared" ref="U3699:U3704" si="7573">"0.0056"</f>
        <v>0.0056</v>
      </c>
    </row>
    <row r="3700" s="1" customFormat="1" spans="1:21">
      <c r="A3700" s="1" t="str">
        <f>"4601992070904"</f>
        <v>4601992070904</v>
      </c>
      <c r="B3700" s="1" t="s">
        <v>3723</v>
      </c>
      <c r="C3700" s="1" t="s">
        <v>24</v>
      </c>
      <c r="D3700" s="1" t="str">
        <f t="shared" si="7461"/>
        <v>2021</v>
      </c>
      <c r="E3700" s="1" t="str">
        <f>"23.96"</f>
        <v>23.96</v>
      </c>
      <c r="F3700" s="1" t="str">
        <f t="shared" ref="F3700:I3700" si="7574">"0"</f>
        <v>0</v>
      </c>
      <c r="G3700" s="1" t="str">
        <f t="shared" si="7574"/>
        <v>0</v>
      </c>
      <c r="H3700" s="1" t="str">
        <f t="shared" si="7574"/>
        <v>0</v>
      </c>
      <c r="I3700" s="1" t="str">
        <f t="shared" si="7574"/>
        <v>0</v>
      </c>
      <c r="J3700" s="1" t="str">
        <f>"2"</f>
        <v>2</v>
      </c>
      <c r="K3700" s="1" t="str">
        <f t="shared" ref="K3700:P3700" si="7575">"0"</f>
        <v>0</v>
      </c>
      <c r="L3700" s="1" t="str">
        <f t="shared" si="7575"/>
        <v>0</v>
      </c>
      <c r="M3700" s="1" t="str">
        <f t="shared" si="7575"/>
        <v>0</v>
      </c>
      <c r="N3700" s="1" t="str">
        <f t="shared" si="7575"/>
        <v>0</v>
      </c>
      <c r="O3700" s="1" t="str">
        <f t="shared" si="7575"/>
        <v>0</v>
      </c>
      <c r="P3700" s="1" t="str">
        <f t="shared" si="7575"/>
        <v>0</v>
      </c>
      <c r="Q3700" s="1" t="str">
        <f t="shared" si="7463"/>
        <v>0.0070</v>
      </c>
      <c r="R3700" s="1" t="s">
        <v>25</v>
      </c>
      <c r="T3700" s="1" t="str">
        <f t="shared" si="7464"/>
        <v>0</v>
      </c>
      <c r="U3700" s="1" t="str">
        <f t="shared" si="7567"/>
        <v>0.0070</v>
      </c>
    </row>
    <row r="3701" s="1" customFormat="1" spans="1:21">
      <c r="A3701" s="1" t="str">
        <f>"4601992071179"</f>
        <v>4601992071179</v>
      </c>
      <c r="B3701" s="1" t="s">
        <v>3724</v>
      </c>
      <c r="C3701" s="1" t="s">
        <v>24</v>
      </c>
      <c r="D3701" s="1" t="str">
        <f t="shared" si="7461"/>
        <v>2021</v>
      </c>
      <c r="E3701" s="1" t="str">
        <f t="shared" ref="E3701:P3701" si="7576">"0"</f>
        <v>0</v>
      </c>
      <c r="F3701" s="1" t="str">
        <f t="shared" si="7576"/>
        <v>0</v>
      </c>
      <c r="G3701" s="1" t="str">
        <f t="shared" si="7576"/>
        <v>0</v>
      </c>
      <c r="H3701" s="1" t="str">
        <f t="shared" si="7576"/>
        <v>0</v>
      </c>
      <c r="I3701" s="1" t="str">
        <f t="shared" si="7576"/>
        <v>0</v>
      </c>
      <c r="J3701" s="1" t="str">
        <f t="shared" si="7576"/>
        <v>0</v>
      </c>
      <c r="K3701" s="1" t="str">
        <f t="shared" si="7576"/>
        <v>0</v>
      </c>
      <c r="L3701" s="1" t="str">
        <f t="shared" si="7576"/>
        <v>0</v>
      </c>
      <c r="M3701" s="1" t="str">
        <f t="shared" si="7576"/>
        <v>0</v>
      </c>
      <c r="N3701" s="1" t="str">
        <f t="shared" si="7576"/>
        <v>0</v>
      </c>
      <c r="O3701" s="1" t="str">
        <f t="shared" si="7576"/>
        <v>0</v>
      </c>
      <c r="P3701" s="1" t="str">
        <f t="shared" si="7576"/>
        <v>0</v>
      </c>
      <c r="Q3701" s="1" t="str">
        <f t="shared" si="7463"/>
        <v>0.0070</v>
      </c>
      <c r="R3701" s="1" t="s">
        <v>25</v>
      </c>
      <c r="T3701" s="1" t="str">
        <f t="shared" si="7464"/>
        <v>0</v>
      </c>
      <c r="U3701" s="1" t="str">
        <f t="shared" si="7567"/>
        <v>0.0070</v>
      </c>
    </row>
    <row r="3702" s="1" customFormat="1" spans="1:21">
      <c r="A3702" s="1" t="str">
        <f>"4601992070992"</f>
        <v>4601992070992</v>
      </c>
      <c r="B3702" s="1" t="s">
        <v>3725</v>
      </c>
      <c r="C3702" s="1" t="s">
        <v>24</v>
      </c>
      <c r="D3702" s="1" t="str">
        <f t="shared" si="7461"/>
        <v>2021</v>
      </c>
      <c r="E3702" s="1" t="str">
        <f>"12.25"</f>
        <v>12.25</v>
      </c>
      <c r="F3702" s="1" t="str">
        <f t="shared" ref="F3702:I3702" si="7577">"0"</f>
        <v>0</v>
      </c>
      <c r="G3702" s="1" t="str">
        <f t="shared" si="7577"/>
        <v>0</v>
      </c>
      <c r="H3702" s="1" t="str">
        <f t="shared" si="7577"/>
        <v>0</v>
      </c>
      <c r="I3702" s="1" t="str">
        <f t="shared" si="7577"/>
        <v>0</v>
      </c>
      <c r="J3702" s="1" t="str">
        <f t="shared" si="7571"/>
        <v>1</v>
      </c>
      <c r="K3702" s="1" t="str">
        <f t="shared" ref="K3702:P3702" si="7578">"0"</f>
        <v>0</v>
      </c>
      <c r="L3702" s="1" t="str">
        <f t="shared" si="7578"/>
        <v>0</v>
      </c>
      <c r="M3702" s="1" t="str">
        <f t="shared" si="7578"/>
        <v>0</v>
      </c>
      <c r="N3702" s="1" t="str">
        <f t="shared" si="7578"/>
        <v>0</v>
      </c>
      <c r="O3702" s="1" t="str">
        <f t="shared" si="7578"/>
        <v>0</v>
      </c>
      <c r="P3702" s="1" t="str">
        <f t="shared" si="7578"/>
        <v>0</v>
      </c>
      <c r="Q3702" s="1" t="str">
        <f t="shared" si="7463"/>
        <v>0.0070</v>
      </c>
      <c r="R3702" s="1" t="s">
        <v>29</v>
      </c>
      <c r="S3702" s="1">
        <v>-0.0014</v>
      </c>
      <c r="T3702" s="1" t="str">
        <f t="shared" si="7464"/>
        <v>0</v>
      </c>
      <c r="U3702" s="1" t="str">
        <f t="shared" si="7573"/>
        <v>0.0056</v>
      </c>
    </row>
    <row r="3703" s="1" customFormat="1" spans="1:21">
      <c r="A3703" s="1" t="str">
        <f>"4601992070972"</f>
        <v>4601992070972</v>
      </c>
      <c r="B3703" s="1" t="s">
        <v>3726</v>
      </c>
      <c r="C3703" s="1" t="s">
        <v>24</v>
      </c>
      <c r="D3703" s="1" t="str">
        <f t="shared" si="7461"/>
        <v>2021</v>
      </c>
      <c r="E3703" s="1" t="str">
        <f>"11.98"</f>
        <v>11.98</v>
      </c>
      <c r="F3703" s="1" t="str">
        <f t="shared" ref="F3703:I3703" si="7579">"0"</f>
        <v>0</v>
      </c>
      <c r="G3703" s="1" t="str">
        <f t="shared" si="7579"/>
        <v>0</v>
      </c>
      <c r="H3703" s="1" t="str">
        <f t="shared" si="7579"/>
        <v>0</v>
      </c>
      <c r="I3703" s="1" t="str">
        <f t="shared" si="7579"/>
        <v>0</v>
      </c>
      <c r="J3703" s="1" t="str">
        <f t="shared" si="7571"/>
        <v>1</v>
      </c>
      <c r="K3703" s="1" t="str">
        <f t="shared" ref="K3703:P3703" si="7580">"0"</f>
        <v>0</v>
      </c>
      <c r="L3703" s="1" t="str">
        <f t="shared" si="7580"/>
        <v>0</v>
      </c>
      <c r="M3703" s="1" t="str">
        <f t="shared" si="7580"/>
        <v>0</v>
      </c>
      <c r="N3703" s="1" t="str">
        <f t="shared" si="7580"/>
        <v>0</v>
      </c>
      <c r="O3703" s="1" t="str">
        <f t="shared" si="7580"/>
        <v>0</v>
      </c>
      <c r="P3703" s="1" t="str">
        <f t="shared" si="7580"/>
        <v>0</v>
      </c>
      <c r="Q3703" s="1" t="str">
        <f t="shared" si="7463"/>
        <v>0.0070</v>
      </c>
      <c r="R3703" s="1" t="s">
        <v>25</v>
      </c>
      <c r="T3703" s="1" t="str">
        <f t="shared" si="7464"/>
        <v>0</v>
      </c>
      <c r="U3703" s="1" t="str">
        <f t="shared" ref="U3703:U3719" si="7581">"0.0070"</f>
        <v>0.0070</v>
      </c>
    </row>
    <row r="3704" s="1" customFormat="1" spans="1:21">
      <c r="A3704" s="1" t="str">
        <f>"4601992016732"</f>
        <v>4601992016732</v>
      </c>
      <c r="B3704" s="1" t="s">
        <v>3727</v>
      </c>
      <c r="C3704" s="1" t="s">
        <v>24</v>
      </c>
      <c r="D3704" s="1" t="str">
        <f t="shared" si="7461"/>
        <v>2021</v>
      </c>
      <c r="E3704" s="1" t="str">
        <f>"26.12"</f>
        <v>26.12</v>
      </c>
      <c r="F3704" s="1" t="str">
        <f t="shared" ref="F3704:I3704" si="7582">"0"</f>
        <v>0</v>
      </c>
      <c r="G3704" s="1" t="str">
        <f t="shared" si="7582"/>
        <v>0</v>
      </c>
      <c r="H3704" s="1" t="str">
        <f t="shared" si="7582"/>
        <v>0</v>
      </c>
      <c r="I3704" s="1" t="str">
        <f t="shared" si="7582"/>
        <v>0</v>
      </c>
      <c r="J3704" s="1" t="str">
        <f>"3"</f>
        <v>3</v>
      </c>
      <c r="K3704" s="1" t="str">
        <f t="shared" ref="K3704:P3704" si="7583">"0"</f>
        <v>0</v>
      </c>
      <c r="L3704" s="1" t="str">
        <f t="shared" si="7583"/>
        <v>0</v>
      </c>
      <c r="M3704" s="1" t="str">
        <f t="shared" si="7583"/>
        <v>0</v>
      </c>
      <c r="N3704" s="1" t="str">
        <f t="shared" si="7583"/>
        <v>0</v>
      </c>
      <c r="O3704" s="1" t="str">
        <f t="shared" si="7583"/>
        <v>0</v>
      </c>
      <c r="P3704" s="1" t="str">
        <f t="shared" si="7583"/>
        <v>0</v>
      </c>
      <c r="Q3704" s="1" t="str">
        <f t="shared" si="7463"/>
        <v>0.0070</v>
      </c>
      <c r="R3704" s="1" t="s">
        <v>29</v>
      </c>
      <c r="S3704" s="1">
        <v>-0.0014</v>
      </c>
      <c r="T3704" s="1" t="str">
        <f t="shared" si="7464"/>
        <v>0</v>
      </c>
      <c r="U3704" s="1" t="str">
        <f t="shared" si="7573"/>
        <v>0.0056</v>
      </c>
    </row>
    <row r="3705" s="1" customFormat="1" spans="1:21">
      <c r="A3705" s="1" t="str">
        <f>"4601992071206"</f>
        <v>4601992071206</v>
      </c>
      <c r="B3705" s="1" t="s">
        <v>3728</v>
      </c>
      <c r="C3705" s="1" t="s">
        <v>24</v>
      </c>
      <c r="D3705" s="1" t="str">
        <f t="shared" si="7461"/>
        <v>2021</v>
      </c>
      <c r="E3705" s="1" t="str">
        <f t="shared" ref="E3705:P3705" si="7584">"0"</f>
        <v>0</v>
      </c>
      <c r="F3705" s="1" t="str">
        <f t="shared" si="7584"/>
        <v>0</v>
      </c>
      <c r="G3705" s="1" t="str">
        <f t="shared" si="7584"/>
        <v>0</v>
      </c>
      <c r="H3705" s="1" t="str">
        <f t="shared" si="7584"/>
        <v>0</v>
      </c>
      <c r="I3705" s="1" t="str">
        <f t="shared" si="7584"/>
        <v>0</v>
      </c>
      <c r="J3705" s="1" t="str">
        <f t="shared" si="7584"/>
        <v>0</v>
      </c>
      <c r="K3705" s="1" t="str">
        <f t="shared" si="7584"/>
        <v>0</v>
      </c>
      <c r="L3705" s="1" t="str">
        <f t="shared" si="7584"/>
        <v>0</v>
      </c>
      <c r="M3705" s="1" t="str">
        <f t="shared" si="7584"/>
        <v>0</v>
      </c>
      <c r="N3705" s="1" t="str">
        <f t="shared" si="7584"/>
        <v>0</v>
      </c>
      <c r="O3705" s="1" t="str">
        <f t="shared" si="7584"/>
        <v>0</v>
      </c>
      <c r="P3705" s="1" t="str">
        <f t="shared" si="7584"/>
        <v>0</v>
      </c>
      <c r="Q3705" s="1" t="str">
        <f t="shared" si="7463"/>
        <v>0.0070</v>
      </c>
      <c r="R3705" s="1" t="s">
        <v>25</v>
      </c>
      <c r="T3705" s="1" t="str">
        <f t="shared" si="7464"/>
        <v>0</v>
      </c>
      <c r="U3705" s="1" t="str">
        <f t="shared" si="7581"/>
        <v>0.0070</v>
      </c>
    </row>
    <row r="3706" s="1" customFormat="1" spans="1:21">
      <c r="A3706" s="1" t="str">
        <f>"4601992071208"</f>
        <v>4601992071208</v>
      </c>
      <c r="B3706" s="1" t="s">
        <v>3729</v>
      </c>
      <c r="C3706" s="1" t="s">
        <v>24</v>
      </c>
      <c r="D3706" s="1" t="str">
        <f t="shared" si="7461"/>
        <v>2021</v>
      </c>
      <c r="E3706" s="1" t="str">
        <f t="shared" ref="E3706:P3706" si="7585">"0"</f>
        <v>0</v>
      </c>
      <c r="F3706" s="1" t="str">
        <f t="shared" si="7585"/>
        <v>0</v>
      </c>
      <c r="G3706" s="1" t="str">
        <f t="shared" si="7585"/>
        <v>0</v>
      </c>
      <c r="H3706" s="1" t="str">
        <f t="shared" si="7585"/>
        <v>0</v>
      </c>
      <c r="I3706" s="1" t="str">
        <f t="shared" si="7585"/>
        <v>0</v>
      </c>
      <c r="J3706" s="1" t="str">
        <f t="shared" si="7585"/>
        <v>0</v>
      </c>
      <c r="K3706" s="1" t="str">
        <f t="shared" si="7585"/>
        <v>0</v>
      </c>
      <c r="L3706" s="1" t="str">
        <f t="shared" si="7585"/>
        <v>0</v>
      </c>
      <c r="M3706" s="1" t="str">
        <f t="shared" si="7585"/>
        <v>0</v>
      </c>
      <c r="N3706" s="1" t="str">
        <f t="shared" si="7585"/>
        <v>0</v>
      </c>
      <c r="O3706" s="1" t="str">
        <f t="shared" si="7585"/>
        <v>0</v>
      </c>
      <c r="P3706" s="1" t="str">
        <f t="shared" si="7585"/>
        <v>0</v>
      </c>
      <c r="Q3706" s="1" t="str">
        <f t="shared" si="7463"/>
        <v>0.0070</v>
      </c>
      <c r="R3706" s="1" t="s">
        <v>25</v>
      </c>
      <c r="T3706" s="1" t="str">
        <f t="shared" si="7464"/>
        <v>0</v>
      </c>
      <c r="U3706" s="1" t="str">
        <f t="shared" si="7581"/>
        <v>0.0070</v>
      </c>
    </row>
    <row r="3707" s="1" customFormat="1" spans="1:21">
      <c r="A3707" s="1" t="str">
        <f>"4601992071300"</f>
        <v>4601992071300</v>
      </c>
      <c r="B3707" s="1" t="s">
        <v>3730</v>
      </c>
      <c r="C3707" s="1" t="s">
        <v>24</v>
      </c>
      <c r="D3707" s="1" t="str">
        <f t="shared" si="7461"/>
        <v>2021</v>
      </c>
      <c r="E3707" s="1" t="str">
        <f t="shared" ref="E3707:P3707" si="7586">"0"</f>
        <v>0</v>
      </c>
      <c r="F3707" s="1" t="str">
        <f t="shared" si="7586"/>
        <v>0</v>
      </c>
      <c r="G3707" s="1" t="str">
        <f t="shared" si="7586"/>
        <v>0</v>
      </c>
      <c r="H3707" s="1" t="str">
        <f t="shared" si="7586"/>
        <v>0</v>
      </c>
      <c r="I3707" s="1" t="str">
        <f t="shared" si="7586"/>
        <v>0</v>
      </c>
      <c r="J3707" s="1" t="str">
        <f t="shared" si="7586"/>
        <v>0</v>
      </c>
      <c r="K3707" s="1" t="str">
        <f t="shared" si="7586"/>
        <v>0</v>
      </c>
      <c r="L3707" s="1" t="str">
        <f t="shared" si="7586"/>
        <v>0</v>
      </c>
      <c r="M3707" s="1" t="str">
        <f t="shared" si="7586"/>
        <v>0</v>
      </c>
      <c r="N3707" s="1" t="str">
        <f t="shared" si="7586"/>
        <v>0</v>
      </c>
      <c r="O3707" s="1" t="str">
        <f t="shared" si="7586"/>
        <v>0</v>
      </c>
      <c r="P3707" s="1" t="str">
        <f t="shared" si="7586"/>
        <v>0</v>
      </c>
      <c r="Q3707" s="1" t="str">
        <f t="shared" si="7463"/>
        <v>0.0070</v>
      </c>
      <c r="R3707" s="1" t="s">
        <v>25</v>
      </c>
      <c r="T3707" s="1" t="str">
        <f t="shared" si="7464"/>
        <v>0</v>
      </c>
      <c r="U3707" s="1" t="str">
        <f t="shared" si="7581"/>
        <v>0.0070</v>
      </c>
    </row>
    <row r="3708" s="1" customFormat="1" spans="1:21">
      <c r="A3708" s="1" t="str">
        <f>"4601992071341"</f>
        <v>4601992071341</v>
      </c>
      <c r="B3708" s="1" t="s">
        <v>3731</v>
      </c>
      <c r="C3708" s="1" t="s">
        <v>24</v>
      </c>
      <c r="D3708" s="1" t="str">
        <f t="shared" si="7461"/>
        <v>2021</v>
      </c>
      <c r="E3708" s="1" t="str">
        <f t="shared" ref="E3708:P3708" si="7587">"0"</f>
        <v>0</v>
      </c>
      <c r="F3708" s="1" t="str">
        <f t="shared" si="7587"/>
        <v>0</v>
      </c>
      <c r="G3708" s="1" t="str">
        <f t="shared" si="7587"/>
        <v>0</v>
      </c>
      <c r="H3708" s="1" t="str">
        <f t="shared" si="7587"/>
        <v>0</v>
      </c>
      <c r="I3708" s="1" t="str">
        <f t="shared" si="7587"/>
        <v>0</v>
      </c>
      <c r="J3708" s="1" t="str">
        <f t="shared" si="7587"/>
        <v>0</v>
      </c>
      <c r="K3708" s="1" t="str">
        <f t="shared" si="7587"/>
        <v>0</v>
      </c>
      <c r="L3708" s="1" t="str">
        <f t="shared" si="7587"/>
        <v>0</v>
      </c>
      <c r="M3708" s="1" t="str">
        <f t="shared" si="7587"/>
        <v>0</v>
      </c>
      <c r="N3708" s="1" t="str">
        <f t="shared" si="7587"/>
        <v>0</v>
      </c>
      <c r="O3708" s="1" t="str">
        <f t="shared" si="7587"/>
        <v>0</v>
      </c>
      <c r="P3708" s="1" t="str">
        <f t="shared" si="7587"/>
        <v>0</v>
      </c>
      <c r="Q3708" s="1" t="str">
        <f t="shared" si="7463"/>
        <v>0.0070</v>
      </c>
      <c r="R3708" s="1" t="s">
        <v>25</v>
      </c>
      <c r="T3708" s="1" t="str">
        <f t="shared" si="7464"/>
        <v>0</v>
      </c>
      <c r="U3708" s="1" t="str">
        <f t="shared" si="7581"/>
        <v>0.0070</v>
      </c>
    </row>
    <row r="3709" s="1" customFormat="1" spans="1:21">
      <c r="A3709" s="1" t="str">
        <f>"4601992071369"</f>
        <v>4601992071369</v>
      </c>
      <c r="B3709" s="1" t="s">
        <v>3732</v>
      </c>
      <c r="C3709" s="1" t="s">
        <v>24</v>
      </c>
      <c r="D3709" s="1" t="str">
        <f t="shared" si="7461"/>
        <v>2021</v>
      </c>
      <c r="E3709" s="1" t="str">
        <f t="shared" ref="E3709:P3709" si="7588">"0"</f>
        <v>0</v>
      </c>
      <c r="F3709" s="1" t="str">
        <f t="shared" si="7588"/>
        <v>0</v>
      </c>
      <c r="G3709" s="1" t="str">
        <f t="shared" si="7588"/>
        <v>0</v>
      </c>
      <c r="H3709" s="1" t="str">
        <f t="shared" si="7588"/>
        <v>0</v>
      </c>
      <c r="I3709" s="1" t="str">
        <f t="shared" si="7588"/>
        <v>0</v>
      </c>
      <c r="J3709" s="1" t="str">
        <f t="shared" si="7588"/>
        <v>0</v>
      </c>
      <c r="K3709" s="1" t="str">
        <f t="shared" si="7588"/>
        <v>0</v>
      </c>
      <c r="L3709" s="1" t="str">
        <f t="shared" si="7588"/>
        <v>0</v>
      </c>
      <c r="M3709" s="1" t="str">
        <f t="shared" si="7588"/>
        <v>0</v>
      </c>
      <c r="N3709" s="1" t="str">
        <f t="shared" si="7588"/>
        <v>0</v>
      </c>
      <c r="O3709" s="1" t="str">
        <f t="shared" si="7588"/>
        <v>0</v>
      </c>
      <c r="P3709" s="1" t="str">
        <f t="shared" si="7588"/>
        <v>0</v>
      </c>
      <c r="Q3709" s="1" t="str">
        <f t="shared" si="7463"/>
        <v>0.0070</v>
      </c>
      <c r="R3709" s="1" t="s">
        <v>25</v>
      </c>
      <c r="T3709" s="1" t="str">
        <f t="shared" si="7464"/>
        <v>0</v>
      </c>
      <c r="U3709" s="1" t="str">
        <f t="shared" si="7581"/>
        <v>0.0070</v>
      </c>
    </row>
    <row r="3710" s="1" customFormat="1" spans="1:21">
      <c r="A3710" s="1" t="str">
        <f>"4601992071433"</f>
        <v>4601992071433</v>
      </c>
      <c r="B3710" s="1" t="s">
        <v>3733</v>
      </c>
      <c r="C3710" s="1" t="s">
        <v>24</v>
      </c>
      <c r="D3710" s="1" t="str">
        <f t="shared" si="7461"/>
        <v>2021</v>
      </c>
      <c r="E3710" s="1" t="str">
        <f t="shared" ref="E3710:P3710" si="7589">"0"</f>
        <v>0</v>
      </c>
      <c r="F3710" s="1" t="str">
        <f t="shared" si="7589"/>
        <v>0</v>
      </c>
      <c r="G3710" s="1" t="str">
        <f t="shared" si="7589"/>
        <v>0</v>
      </c>
      <c r="H3710" s="1" t="str">
        <f t="shared" si="7589"/>
        <v>0</v>
      </c>
      <c r="I3710" s="1" t="str">
        <f t="shared" si="7589"/>
        <v>0</v>
      </c>
      <c r="J3710" s="1" t="str">
        <f t="shared" si="7589"/>
        <v>0</v>
      </c>
      <c r="K3710" s="1" t="str">
        <f t="shared" si="7589"/>
        <v>0</v>
      </c>
      <c r="L3710" s="1" t="str">
        <f t="shared" si="7589"/>
        <v>0</v>
      </c>
      <c r="M3710" s="1" t="str">
        <f t="shared" si="7589"/>
        <v>0</v>
      </c>
      <c r="N3710" s="1" t="str">
        <f t="shared" si="7589"/>
        <v>0</v>
      </c>
      <c r="O3710" s="1" t="str">
        <f t="shared" si="7589"/>
        <v>0</v>
      </c>
      <c r="P3710" s="1" t="str">
        <f t="shared" si="7589"/>
        <v>0</v>
      </c>
      <c r="Q3710" s="1" t="str">
        <f t="shared" si="7463"/>
        <v>0.0070</v>
      </c>
      <c r="R3710" s="1" t="s">
        <v>25</v>
      </c>
      <c r="T3710" s="1" t="str">
        <f t="shared" si="7464"/>
        <v>0</v>
      </c>
      <c r="U3710" s="1" t="str">
        <f t="shared" si="7581"/>
        <v>0.0070</v>
      </c>
    </row>
    <row r="3711" s="1" customFormat="1" spans="1:21">
      <c r="A3711" s="1" t="str">
        <f>"4601992071438"</f>
        <v>4601992071438</v>
      </c>
      <c r="B3711" s="1" t="s">
        <v>3734</v>
      </c>
      <c r="C3711" s="1" t="s">
        <v>24</v>
      </c>
      <c r="D3711" s="1" t="str">
        <f t="shared" si="7461"/>
        <v>2021</v>
      </c>
      <c r="E3711" s="1" t="str">
        <f t="shared" ref="E3711:P3711" si="7590">"0"</f>
        <v>0</v>
      </c>
      <c r="F3711" s="1" t="str">
        <f t="shared" si="7590"/>
        <v>0</v>
      </c>
      <c r="G3711" s="1" t="str">
        <f t="shared" si="7590"/>
        <v>0</v>
      </c>
      <c r="H3711" s="1" t="str">
        <f t="shared" si="7590"/>
        <v>0</v>
      </c>
      <c r="I3711" s="1" t="str">
        <f t="shared" si="7590"/>
        <v>0</v>
      </c>
      <c r="J3711" s="1" t="str">
        <f t="shared" si="7590"/>
        <v>0</v>
      </c>
      <c r="K3711" s="1" t="str">
        <f t="shared" si="7590"/>
        <v>0</v>
      </c>
      <c r="L3711" s="1" t="str">
        <f t="shared" si="7590"/>
        <v>0</v>
      </c>
      <c r="M3711" s="1" t="str">
        <f t="shared" si="7590"/>
        <v>0</v>
      </c>
      <c r="N3711" s="1" t="str">
        <f t="shared" si="7590"/>
        <v>0</v>
      </c>
      <c r="O3711" s="1" t="str">
        <f t="shared" si="7590"/>
        <v>0</v>
      </c>
      <c r="P3711" s="1" t="str">
        <f t="shared" si="7590"/>
        <v>0</v>
      </c>
      <c r="Q3711" s="1" t="str">
        <f t="shared" si="7463"/>
        <v>0.0070</v>
      </c>
      <c r="R3711" s="1" t="s">
        <v>25</v>
      </c>
      <c r="T3711" s="1" t="str">
        <f t="shared" si="7464"/>
        <v>0</v>
      </c>
      <c r="U3711" s="1" t="str">
        <f t="shared" si="7581"/>
        <v>0.0070</v>
      </c>
    </row>
    <row r="3712" s="1" customFormat="1" spans="1:21">
      <c r="A3712" s="1" t="str">
        <f>"4601992071477"</f>
        <v>4601992071477</v>
      </c>
      <c r="B3712" s="1" t="s">
        <v>3735</v>
      </c>
      <c r="C3712" s="1" t="s">
        <v>24</v>
      </c>
      <c r="D3712" s="1" t="str">
        <f t="shared" si="7461"/>
        <v>2021</v>
      </c>
      <c r="E3712" s="1" t="str">
        <f t="shared" ref="E3712:P3712" si="7591">"0"</f>
        <v>0</v>
      </c>
      <c r="F3712" s="1" t="str">
        <f t="shared" si="7591"/>
        <v>0</v>
      </c>
      <c r="G3712" s="1" t="str">
        <f t="shared" si="7591"/>
        <v>0</v>
      </c>
      <c r="H3712" s="1" t="str">
        <f t="shared" si="7591"/>
        <v>0</v>
      </c>
      <c r="I3712" s="1" t="str">
        <f t="shared" si="7591"/>
        <v>0</v>
      </c>
      <c r="J3712" s="1" t="str">
        <f t="shared" si="7591"/>
        <v>0</v>
      </c>
      <c r="K3712" s="1" t="str">
        <f t="shared" si="7591"/>
        <v>0</v>
      </c>
      <c r="L3712" s="1" t="str">
        <f t="shared" si="7591"/>
        <v>0</v>
      </c>
      <c r="M3712" s="1" t="str">
        <f t="shared" si="7591"/>
        <v>0</v>
      </c>
      <c r="N3712" s="1" t="str">
        <f t="shared" si="7591"/>
        <v>0</v>
      </c>
      <c r="O3712" s="1" t="str">
        <f t="shared" si="7591"/>
        <v>0</v>
      </c>
      <c r="P3712" s="1" t="str">
        <f t="shared" si="7591"/>
        <v>0</v>
      </c>
      <c r="Q3712" s="1" t="str">
        <f t="shared" si="7463"/>
        <v>0.0070</v>
      </c>
      <c r="R3712" s="1" t="s">
        <v>25</v>
      </c>
      <c r="T3712" s="1" t="str">
        <f t="shared" si="7464"/>
        <v>0</v>
      </c>
      <c r="U3712" s="1" t="str">
        <f t="shared" si="7581"/>
        <v>0.0070</v>
      </c>
    </row>
    <row r="3713" s="1" customFormat="1" spans="1:21">
      <c r="A3713" s="1" t="str">
        <f>"4601992071556"</f>
        <v>4601992071556</v>
      </c>
      <c r="B3713" s="1" t="s">
        <v>3736</v>
      </c>
      <c r="C3713" s="1" t="s">
        <v>24</v>
      </c>
      <c r="D3713" s="1" t="str">
        <f t="shared" si="7461"/>
        <v>2021</v>
      </c>
      <c r="E3713" s="1" t="str">
        <f t="shared" ref="E3713:P3713" si="7592">"0"</f>
        <v>0</v>
      </c>
      <c r="F3713" s="1" t="str">
        <f t="shared" si="7592"/>
        <v>0</v>
      </c>
      <c r="G3713" s="1" t="str">
        <f t="shared" si="7592"/>
        <v>0</v>
      </c>
      <c r="H3713" s="1" t="str">
        <f t="shared" si="7592"/>
        <v>0</v>
      </c>
      <c r="I3713" s="1" t="str">
        <f t="shared" si="7592"/>
        <v>0</v>
      </c>
      <c r="J3713" s="1" t="str">
        <f t="shared" si="7592"/>
        <v>0</v>
      </c>
      <c r="K3713" s="1" t="str">
        <f t="shared" si="7592"/>
        <v>0</v>
      </c>
      <c r="L3713" s="1" t="str">
        <f t="shared" si="7592"/>
        <v>0</v>
      </c>
      <c r="M3713" s="1" t="str">
        <f t="shared" si="7592"/>
        <v>0</v>
      </c>
      <c r="N3713" s="1" t="str">
        <f t="shared" si="7592"/>
        <v>0</v>
      </c>
      <c r="O3713" s="1" t="str">
        <f t="shared" si="7592"/>
        <v>0</v>
      </c>
      <c r="P3713" s="1" t="str">
        <f t="shared" si="7592"/>
        <v>0</v>
      </c>
      <c r="Q3713" s="1" t="str">
        <f t="shared" si="7463"/>
        <v>0.0070</v>
      </c>
      <c r="R3713" s="1" t="s">
        <v>25</v>
      </c>
      <c r="T3713" s="1" t="str">
        <f t="shared" si="7464"/>
        <v>0</v>
      </c>
      <c r="U3713" s="1" t="str">
        <f t="shared" si="7581"/>
        <v>0.0070</v>
      </c>
    </row>
    <row r="3714" s="1" customFormat="1" spans="1:21">
      <c r="A3714" s="1" t="str">
        <f>"4601992071479"</f>
        <v>4601992071479</v>
      </c>
      <c r="B3714" s="1" t="s">
        <v>3737</v>
      </c>
      <c r="C3714" s="1" t="s">
        <v>24</v>
      </c>
      <c r="D3714" s="1" t="str">
        <f t="shared" si="7461"/>
        <v>2021</v>
      </c>
      <c r="E3714" s="1" t="str">
        <f t="shared" ref="E3714:P3714" si="7593">"0"</f>
        <v>0</v>
      </c>
      <c r="F3714" s="1" t="str">
        <f t="shared" si="7593"/>
        <v>0</v>
      </c>
      <c r="G3714" s="1" t="str">
        <f t="shared" si="7593"/>
        <v>0</v>
      </c>
      <c r="H3714" s="1" t="str">
        <f t="shared" si="7593"/>
        <v>0</v>
      </c>
      <c r="I3714" s="1" t="str">
        <f t="shared" si="7593"/>
        <v>0</v>
      </c>
      <c r="J3714" s="1" t="str">
        <f t="shared" si="7593"/>
        <v>0</v>
      </c>
      <c r="K3714" s="1" t="str">
        <f t="shared" si="7593"/>
        <v>0</v>
      </c>
      <c r="L3714" s="1" t="str">
        <f t="shared" si="7593"/>
        <v>0</v>
      </c>
      <c r="M3714" s="1" t="str">
        <f t="shared" si="7593"/>
        <v>0</v>
      </c>
      <c r="N3714" s="1" t="str">
        <f t="shared" si="7593"/>
        <v>0</v>
      </c>
      <c r="O3714" s="1" t="str">
        <f t="shared" si="7593"/>
        <v>0</v>
      </c>
      <c r="P3714" s="1" t="str">
        <f t="shared" si="7593"/>
        <v>0</v>
      </c>
      <c r="Q3714" s="1" t="str">
        <f t="shared" si="7463"/>
        <v>0.0070</v>
      </c>
      <c r="R3714" s="1" t="s">
        <v>25</v>
      </c>
      <c r="T3714" s="1" t="str">
        <f t="shared" si="7464"/>
        <v>0</v>
      </c>
      <c r="U3714" s="1" t="str">
        <f t="shared" si="7581"/>
        <v>0.0070</v>
      </c>
    </row>
    <row r="3715" s="1" customFormat="1" spans="1:21">
      <c r="A3715" s="1" t="str">
        <f>"4601992071562"</f>
        <v>4601992071562</v>
      </c>
      <c r="B3715" s="1" t="s">
        <v>3738</v>
      </c>
      <c r="C3715" s="1" t="s">
        <v>24</v>
      </c>
      <c r="D3715" s="1" t="str">
        <f t="shared" ref="D3715:D3778" si="7594">"2021"</f>
        <v>2021</v>
      </c>
      <c r="E3715" s="1" t="str">
        <f t="shared" ref="E3715:P3715" si="7595">"0"</f>
        <v>0</v>
      </c>
      <c r="F3715" s="1" t="str">
        <f t="shared" si="7595"/>
        <v>0</v>
      </c>
      <c r="G3715" s="1" t="str">
        <f t="shared" si="7595"/>
        <v>0</v>
      </c>
      <c r="H3715" s="1" t="str">
        <f t="shared" si="7595"/>
        <v>0</v>
      </c>
      <c r="I3715" s="1" t="str">
        <f t="shared" si="7595"/>
        <v>0</v>
      </c>
      <c r="J3715" s="1" t="str">
        <f t="shared" si="7595"/>
        <v>0</v>
      </c>
      <c r="K3715" s="1" t="str">
        <f t="shared" si="7595"/>
        <v>0</v>
      </c>
      <c r="L3715" s="1" t="str">
        <f t="shared" si="7595"/>
        <v>0</v>
      </c>
      <c r="M3715" s="1" t="str">
        <f t="shared" si="7595"/>
        <v>0</v>
      </c>
      <c r="N3715" s="1" t="str">
        <f t="shared" si="7595"/>
        <v>0</v>
      </c>
      <c r="O3715" s="1" t="str">
        <f t="shared" si="7595"/>
        <v>0</v>
      </c>
      <c r="P3715" s="1" t="str">
        <f t="shared" si="7595"/>
        <v>0</v>
      </c>
      <c r="Q3715" s="1" t="str">
        <f t="shared" ref="Q3715:Q3778" si="7596">"0.0070"</f>
        <v>0.0070</v>
      </c>
      <c r="R3715" s="1" t="s">
        <v>25</v>
      </c>
      <c r="T3715" s="1" t="str">
        <f t="shared" ref="T3715:T3778" si="7597">"0"</f>
        <v>0</v>
      </c>
      <c r="U3715" s="1" t="str">
        <f t="shared" si="7581"/>
        <v>0.0070</v>
      </c>
    </row>
    <row r="3716" s="1" customFormat="1" spans="1:21">
      <c r="A3716" s="1" t="str">
        <f>"4601992071624"</f>
        <v>4601992071624</v>
      </c>
      <c r="B3716" s="1" t="s">
        <v>3739</v>
      </c>
      <c r="C3716" s="1" t="s">
        <v>24</v>
      </c>
      <c r="D3716" s="1" t="str">
        <f t="shared" si="7594"/>
        <v>2021</v>
      </c>
      <c r="E3716" s="1" t="str">
        <f t="shared" ref="E3716:P3716" si="7598">"0"</f>
        <v>0</v>
      </c>
      <c r="F3716" s="1" t="str">
        <f t="shared" si="7598"/>
        <v>0</v>
      </c>
      <c r="G3716" s="1" t="str">
        <f t="shared" si="7598"/>
        <v>0</v>
      </c>
      <c r="H3716" s="1" t="str">
        <f t="shared" si="7598"/>
        <v>0</v>
      </c>
      <c r="I3716" s="1" t="str">
        <f t="shared" si="7598"/>
        <v>0</v>
      </c>
      <c r="J3716" s="1" t="str">
        <f t="shared" si="7598"/>
        <v>0</v>
      </c>
      <c r="K3716" s="1" t="str">
        <f t="shared" si="7598"/>
        <v>0</v>
      </c>
      <c r="L3716" s="1" t="str">
        <f t="shared" si="7598"/>
        <v>0</v>
      </c>
      <c r="M3716" s="1" t="str">
        <f t="shared" si="7598"/>
        <v>0</v>
      </c>
      <c r="N3716" s="1" t="str">
        <f t="shared" si="7598"/>
        <v>0</v>
      </c>
      <c r="O3716" s="1" t="str">
        <f t="shared" si="7598"/>
        <v>0</v>
      </c>
      <c r="P3716" s="1" t="str">
        <f t="shared" si="7598"/>
        <v>0</v>
      </c>
      <c r="Q3716" s="1" t="str">
        <f t="shared" si="7596"/>
        <v>0.0070</v>
      </c>
      <c r="R3716" s="1" t="s">
        <v>25</v>
      </c>
      <c r="T3716" s="1" t="str">
        <f t="shared" si="7597"/>
        <v>0</v>
      </c>
      <c r="U3716" s="1" t="str">
        <f t="shared" si="7581"/>
        <v>0.0070</v>
      </c>
    </row>
    <row r="3717" s="1" customFormat="1" spans="1:21">
      <c r="A3717" s="1" t="str">
        <f>"4601992071652"</f>
        <v>4601992071652</v>
      </c>
      <c r="B3717" s="1" t="s">
        <v>3740</v>
      </c>
      <c r="C3717" s="1" t="s">
        <v>24</v>
      </c>
      <c r="D3717" s="1" t="str">
        <f t="shared" si="7594"/>
        <v>2021</v>
      </c>
      <c r="E3717" s="1" t="str">
        <f t="shared" ref="E3717:P3717" si="7599">"0"</f>
        <v>0</v>
      </c>
      <c r="F3717" s="1" t="str">
        <f t="shared" si="7599"/>
        <v>0</v>
      </c>
      <c r="G3717" s="1" t="str">
        <f t="shared" si="7599"/>
        <v>0</v>
      </c>
      <c r="H3717" s="1" t="str">
        <f t="shared" si="7599"/>
        <v>0</v>
      </c>
      <c r="I3717" s="1" t="str">
        <f t="shared" si="7599"/>
        <v>0</v>
      </c>
      <c r="J3717" s="1" t="str">
        <f t="shared" si="7599"/>
        <v>0</v>
      </c>
      <c r="K3717" s="1" t="str">
        <f t="shared" si="7599"/>
        <v>0</v>
      </c>
      <c r="L3717" s="1" t="str">
        <f t="shared" si="7599"/>
        <v>0</v>
      </c>
      <c r="M3717" s="1" t="str">
        <f t="shared" si="7599"/>
        <v>0</v>
      </c>
      <c r="N3717" s="1" t="str">
        <f t="shared" si="7599"/>
        <v>0</v>
      </c>
      <c r="O3717" s="1" t="str">
        <f t="shared" si="7599"/>
        <v>0</v>
      </c>
      <c r="P3717" s="1" t="str">
        <f t="shared" si="7599"/>
        <v>0</v>
      </c>
      <c r="Q3717" s="1" t="str">
        <f t="shared" si="7596"/>
        <v>0.0070</v>
      </c>
      <c r="R3717" s="1" t="s">
        <v>25</v>
      </c>
      <c r="T3717" s="1" t="str">
        <f t="shared" si="7597"/>
        <v>0</v>
      </c>
      <c r="U3717" s="1" t="str">
        <f t="shared" si="7581"/>
        <v>0.0070</v>
      </c>
    </row>
    <row r="3718" s="1" customFormat="1" spans="1:21">
      <c r="A3718" s="1" t="str">
        <f>"4601992071798"</f>
        <v>4601992071798</v>
      </c>
      <c r="B3718" s="1" t="s">
        <v>3741</v>
      </c>
      <c r="C3718" s="1" t="s">
        <v>24</v>
      </c>
      <c r="D3718" s="1" t="str">
        <f t="shared" si="7594"/>
        <v>2021</v>
      </c>
      <c r="E3718" s="1" t="str">
        <f t="shared" ref="E3718:P3718" si="7600">"0"</f>
        <v>0</v>
      </c>
      <c r="F3718" s="1" t="str">
        <f t="shared" si="7600"/>
        <v>0</v>
      </c>
      <c r="G3718" s="1" t="str">
        <f t="shared" si="7600"/>
        <v>0</v>
      </c>
      <c r="H3718" s="1" t="str">
        <f t="shared" si="7600"/>
        <v>0</v>
      </c>
      <c r="I3718" s="1" t="str">
        <f t="shared" si="7600"/>
        <v>0</v>
      </c>
      <c r="J3718" s="1" t="str">
        <f t="shared" si="7600"/>
        <v>0</v>
      </c>
      <c r="K3718" s="1" t="str">
        <f t="shared" si="7600"/>
        <v>0</v>
      </c>
      <c r="L3718" s="1" t="str">
        <f t="shared" si="7600"/>
        <v>0</v>
      </c>
      <c r="M3718" s="1" t="str">
        <f t="shared" si="7600"/>
        <v>0</v>
      </c>
      <c r="N3718" s="1" t="str">
        <f t="shared" si="7600"/>
        <v>0</v>
      </c>
      <c r="O3718" s="1" t="str">
        <f t="shared" si="7600"/>
        <v>0</v>
      </c>
      <c r="P3718" s="1" t="str">
        <f t="shared" si="7600"/>
        <v>0</v>
      </c>
      <c r="Q3718" s="1" t="str">
        <f t="shared" si="7596"/>
        <v>0.0070</v>
      </c>
      <c r="R3718" s="1" t="s">
        <v>25</v>
      </c>
      <c r="T3718" s="1" t="str">
        <f t="shared" si="7597"/>
        <v>0</v>
      </c>
      <c r="U3718" s="1" t="str">
        <f t="shared" si="7581"/>
        <v>0.0070</v>
      </c>
    </row>
    <row r="3719" s="1" customFormat="1" spans="1:21">
      <c r="A3719" s="1" t="str">
        <f>"4601992071745"</f>
        <v>4601992071745</v>
      </c>
      <c r="B3719" s="1" t="s">
        <v>3742</v>
      </c>
      <c r="C3719" s="1" t="s">
        <v>24</v>
      </c>
      <c r="D3719" s="1" t="str">
        <f t="shared" si="7594"/>
        <v>2021</v>
      </c>
      <c r="E3719" s="1" t="str">
        <f t="shared" ref="E3719:I3719" si="7601">"0"</f>
        <v>0</v>
      </c>
      <c r="F3719" s="1" t="str">
        <f t="shared" si="7601"/>
        <v>0</v>
      </c>
      <c r="G3719" s="1" t="str">
        <f t="shared" si="7601"/>
        <v>0</v>
      </c>
      <c r="H3719" s="1" t="str">
        <f t="shared" si="7601"/>
        <v>0</v>
      </c>
      <c r="I3719" s="1" t="str">
        <f t="shared" si="7601"/>
        <v>0</v>
      </c>
      <c r="J3719" s="1" t="str">
        <f>"3"</f>
        <v>3</v>
      </c>
      <c r="K3719" s="1" t="str">
        <f t="shared" ref="K3719:P3719" si="7602">"0"</f>
        <v>0</v>
      </c>
      <c r="L3719" s="1" t="str">
        <f t="shared" si="7602"/>
        <v>0</v>
      </c>
      <c r="M3719" s="1" t="str">
        <f t="shared" si="7602"/>
        <v>0</v>
      </c>
      <c r="N3719" s="1" t="str">
        <f t="shared" si="7602"/>
        <v>0</v>
      </c>
      <c r="O3719" s="1" t="str">
        <f t="shared" si="7602"/>
        <v>0</v>
      </c>
      <c r="P3719" s="1" t="str">
        <f t="shared" si="7602"/>
        <v>0</v>
      </c>
      <c r="Q3719" s="1" t="str">
        <f t="shared" si="7596"/>
        <v>0.0070</v>
      </c>
      <c r="R3719" s="1" t="s">
        <v>25</v>
      </c>
      <c r="T3719" s="1" t="str">
        <f t="shared" si="7597"/>
        <v>0</v>
      </c>
      <c r="U3719" s="1" t="str">
        <f t="shared" si="7581"/>
        <v>0.0070</v>
      </c>
    </row>
    <row r="3720" s="1" customFormat="1" spans="1:21">
      <c r="A3720" s="1" t="str">
        <f>"4601992071782"</f>
        <v>4601992071782</v>
      </c>
      <c r="B3720" s="1" t="s">
        <v>3743</v>
      </c>
      <c r="C3720" s="1" t="s">
        <v>24</v>
      </c>
      <c r="D3720" s="1" t="str">
        <f t="shared" si="7594"/>
        <v>2021</v>
      </c>
      <c r="E3720" s="1" t="str">
        <f>"12.25"</f>
        <v>12.25</v>
      </c>
      <c r="F3720" s="1" t="str">
        <f t="shared" ref="F3720:I3720" si="7603">"0"</f>
        <v>0</v>
      </c>
      <c r="G3720" s="1" t="str">
        <f t="shared" si="7603"/>
        <v>0</v>
      </c>
      <c r="H3720" s="1" t="str">
        <f t="shared" si="7603"/>
        <v>0</v>
      </c>
      <c r="I3720" s="1" t="str">
        <f t="shared" si="7603"/>
        <v>0</v>
      </c>
      <c r="J3720" s="1" t="str">
        <f>"2"</f>
        <v>2</v>
      </c>
      <c r="K3720" s="1" t="str">
        <f t="shared" ref="K3720:P3720" si="7604">"0"</f>
        <v>0</v>
      </c>
      <c r="L3720" s="1" t="str">
        <f t="shared" si="7604"/>
        <v>0</v>
      </c>
      <c r="M3720" s="1" t="str">
        <f t="shared" si="7604"/>
        <v>0</v>
      </c>
      <c r="N3720" s="1" t="str">
        <f t="shared" si="7604"/>
        <v>0</v>
      </c>
      <c r="O3720" s="1" t="str">
        <f t="shared" si="7604"/>
        <v>0</v>
      </c>
      <c r="P3720" s="1" t="str">
        <f t="shared" si="7604"/>
        <v>0</v>
      </c>
      <c r="Q3720" s="1" t="str">
        <f t="shared" si="7596"/>
        <v>0.0070</v>
      </c>
      <c r="R3720" s="1" t="s">
        <v>29</v>
      </c>
      <c r="S3720" s="1">
        <v>-0.0014</v>
      </c>
      <c r="T3720" s="1" t="str">
        <f t="shared" si="7597"/>
        <v>0</v>
      </c>
      <c r="U3720" s="1" t="str">
        <f>"0.0056"</f>
        <v>0.0056</v>
      </c>
    </row>
    <row r="3721" s="1" customFormat="1" spans="1:21">
      <c r="A3721" s="1" t="str">
        <f>"4601992071836"</f>
        <v>4601992071836</v>
      </c>
      <c r="B3721" s="1" t="s">
        <v>3744</v>
      </c>
      <c r="C3721" s="1" t="s">
        <v>24</v>
      </c>
      <c r="D3721" s="1" t="str">
        <f t="shared" si="7594"/>
        <v>2021</v>
      </c>
      <c r="E3721" s="1" t="str">
        <f t="shared" ref="E3721:P3721" si="7605">"0"</f>
        <v>0</v>
      </c>
      <c r="F3721" s="1" t="str">
        <f t="shared" si="7605"/>
        <v>0</v>
      </c>
      <c r="G3721" s="1" t="str">
        <f t="shared" si="7605"/>
        <v>0</v>
      </c>
      <c r="H3721" s="1" t="str">
        <f t="shared" si="7605"/>
        <v>0</v>
      </c>
      <c r="I3721" s="1" t="str">
        <f t="shared" si="7605"/>
        <v>0</v>
      </c>
      <c r="J3721" s="1" t="str">
        <f t="shared" si="7605"/>
        <v>0</v>
      </c>
      <c r="K3721" s="1" t="str">
        <f t="shared" si="7605"/>
        <v>0</v>
      </c>
      <c r="L3721" s="1" t="str">
        <f t="shared" si="7605"/>
        <v>0</v>
      </c>
      <c r="M3721" s="1" t="str">
        <f t="shared" si="7605"/>
        <v>0</v>
      </c>
      <c r="N3721" s="1" t="str">
        <f t="shared" si="7605"/>
        <v>0</v>
      </c>
      <c r="O3721" s="1" t="str">
        <f t="shared" si="7605"/>
        <v>0</v>
      </c>
      <c r="P3721" s="1" t="str">
        <f t="shared" si="7605"/>
        <v>0</v>
      </c>
      <c r="Q3721" s="1" t="str">
        <f t="shared" si="7596"/>
        <v>0.0070</v>
      </c>
      <c r="R3721" s="1" t="s">
        <v>25</v>
      </c>
      <c r="T3721" s="1" t="str">
        <f t="shared" si="7597"/>
        <v>0</v>
      </c>
      <c r="U3721" s="1" t="str">
        <f t="shared" ref="U3721:U3725" si="7606">"0.0070"</f>
        <v>0.0070</v>
      </c>
    </row>
    <row r="3722" s="1" customFormat="1" spans="1:21">
      <c r="A3722" s="1" t="str">
        <f>"4601992071799"</f>
        <v>4601992071799</v>
      </c>
      <c r="B3722" s="1" t="s">
        <v>3745</v>
      </c>
      <c r="C3722" s="1" t="s">
        <v>24</v>
      </c>
      <c r="D3722" s="1" t="str">
        <f t="shared" si="7594"/>
        <v>2021</v>
      </c>
      <c r="E3722" s="1" t="str">
        <f>"47.92"</f>
        <v>47.92</v>
      </c>
      <c r="F3722" s="1" t="str">
        <f t="shared" ref="F3722:I3722" si="7607">"0"</f>
        <v>0</v>
      </c>
      <c r="G3722" s="1" t="str">
        <f t="shared" si="7607"/>
        <v>0</v>
      </c>
      <c r="H3722" s="1" t="str">
        <f t="shared" si="7607"/>
        <v>0</v>
      </c>
      <c r="I3722" s="1" t="str">
        <f t="shared" si="7607"/>
        <v>0</v>
      </c>
      <c r="J3722" s="1" t="str">
        <f>"2"</f>
        <v>2</v>
      </c>
      <c r="K3722" s="1" t="str">
        <f t="shared" ref="K3722:P3722" si="7608">"0"</f>
        <v>0</v>
      </c>
      <c r="L3722" s="1" t="str">
        <f t="shared" si="7608"/>
        <v>0</v>
      </c>
      <c r="M3722" s="1" t="str">
        <f t="shared" si="7608"/>
        <v>0</v>
      </c>
      <c r="N3722" s="1" t="str">
        <f t="shared" si="7608"/>
        <v>0</v>
      </c>
      <c r="O3722" s="1" t="str">
        <f t="shared" si="7608"/>
        <v>0</v>
      </c>
      <c r="P3722" s="1" t="str">
        <f t="shared" si="7608"/>
        <v>0</v>
      </c>
      <c r="Q3722" s="1" t="str">
        <f t="shared" si="7596"/>
        <v>0.0070</v>
      </c>
      <c r="R3722" s="1" t="s">
        <v>25</v>
      </c>
      <c r="T3722" s="1" t="str">
        <f t="shared" si="7597"/>
        <v>0</v>
      </c>
      <c r="U3722" s="1" t="str">
        <f t="shared" si="7606"/>
        <v>0.0070</v>
      </c>
    </row>
    <row r="3723" s="1" customFormat="1" spans="1:21">
      <c r="A3723" s="1" t="str">
        <f>"4601992071841"</f>
        <v>4601992071841</v>
      </c>
      <c r="B3723" s="1" t="s">
        <v>3746</v>
      </c>
      <c r="C3723" s="1" t="s">
        <v>24</v>
      </c>
      <c r="D3723" s="1" t="str">
        <f t="shared" si="7594"/>
        <v>2021</v>
      </c>
      <c r="E3723" s="1" t="str">
        <f t="shared" ref="E3723:P3723" si="7609">"0"</f>
        <v>0</v>
      </c>
      <c r="F3723" s="1" t="str">
        <f t="shared" si="7609"/>
        <v>0</v>
      </c>
      <c r="G3723" s="1" t="str">
        <f t="shared" si="7609"/>
        <v>0</v>
      </c>
      <c r="H3723" s="1" t="str">
        <f t="shared" si="7609"/>
        <v>0</v>
      </c>
      <c r="I3723" s="1" t="str">
        <f t="shared" si="7609"/>
        <v>0</v>
      </c>
      <c r="J3723" s="1" t="str">
        <f t="shared" si="7609"/>
        <v>0</v>
      </c>
      <c r="K3723" s="1" t="str">
        <f t="shared" si="7609"/>
        <v>0</v>
      </c>
      <c r="L3723" s="1" t="str">
        <f t="shared" si="7609"/>
        <v>0</v>
      </c>
      <c r="M3723" s="1" t="str">
        <f t="shared" si="7609"/>
        <v>0</v>
      </c>
      <c r="N3723" s="1" t="str">
        <f t="shared" si="7609"/>
        <v>0</v>
      </c>
      <c r="O3723" s="1" t="str">
        <f t="shared" si="7609"/>
        <v>0</v>
      </c>
      <c r="P3723" s="1" t="str">
        <f t="shared" si="7609"/>
        <v>0</v>
      </c>
      <c r="Q3723" s="1" t="str">
        <f t="shared" si="7596"/>
        <v>0.0070</v>
      </c>
      <c r="R3723" s="1" t="s">
        <v>25</v>
      </c>
      <c r="T3723" s="1" t="str">
        <f t="shared" si="7597"/>
        <v>0</v>
      </c>
      <c r="U3723" s="1" t="str">
        <f t="shared" si="7606"/>
        <v>0.0070</v>
      </c>
    </row>
    <row r="3724" s="1" customFormat="1" spans="1:21">
      <c r="A3724" s="1" t="str">
        <f>"4601992071845"</f>
        <v>4601992071845</v>
      </c>
      <c r="B3724" s="1" t="s">
        <v>3747</v>
      </c>
      <c r="C3724" s="1" t="s">
        <v>24</v>
      </c>
      <c r="D3724" s="1" t="str">
        <f t="shared" si="7594"/>
        <v>2021</v>
      </c>
      <c r="E3724" s="1" t="str">
        <f t="shared" ref="E3724:P3724" si="7610">"0"</f>
        <v>0</v>
      </c>
      <c r="F3724" s="1" t="str">
        <f t="shared" si="7610"/>
        <v>0</v>
      </c>
      <c r="G3724" s="1" t="str">
        <f t="shared" si="7610"/>
        <v>0</v>
      </c>
      <c r="H3724" s="1" t="str">
        <f t="shared" si="7610"/>
        <v>0</v>
      </c>
      <c r="I3724" s="1" t="str">
        <f t="shared" si="7610"/>
        <v>0</v>
      </c>
      <c r="J3724" s="1" t="str">
        <f t="shared" si="7610"/>
        <v>0</v>
      </c>
      <c r="K3724" s="1" t="str">
        <f t="shared" si="7610"/>
        <v>0</v>
      </c>
      <c r="L3724" s="1" t="str">
        <f t="shared" si="7610"/>
        <v>0</v>
      </c>
      <c r="M3724" s="1" t="str">
        <f t="shared" si="7610"/>
        <v>0</v>
      </c>
      <c r="N3724" s="1" t="str">
        <f t="shared" si="7610"/>
        <v>0</v>
      </c>
      <c r="O3724" s="1" t="str">
        <f t="shared" si="7610"/>
        <v>0</v>
      </c>
      <c r="P3724" s="1" t="str">
        <f t="shared" si="7610"/>
        <v>0</v>
      </c>
      <c r="Q3724" s="1" t="str">
        <f t="shared" si="7596"/>
        <v>0.0070</v>
      </c>
      <c r="R3724" s="1" t="s">
        <v>25</v>
      </c>
      <c r="T3724" s="1" t="str">
        <f t="shared" si="7597"/>
        <v>0</v>
      </c>
      <c r="U3724" s="1" t="str">
        <f t="shared" si="7606"/>
        <v>0.0070</v>
      </c>
    </row>
    <row r="3725" s="1" customFormat="1" spans="1:21">
      <c r="A3725" s="1" t="str">
        <f>"4601992071850"</f>
        <v>4601992071850</v>
      </c>
      <c r="B3725" s="1" t="s">
        <v>3748</v>
      </c>
      <c r="C3725" s="1" t="s">
        <v>24</v>
      </c>
      <c r="D3725" s="1" t="str">
        <f t="shared" si="7594"/>
        <v>2021</v>
      </c>
      <c r="E3725" s="1" t="str">
        <f t="shared" ref="E3725:P3725" si="7611">"0"</f>
        <v>0</v>
      </c>
      <c r="F3725" s="1" t="str">
        <f t="shared" si="7611"/>
        <v>0</v>
      </c>
      <c r="G3725" s="1" t="str">
        <f t="shared" si="7611"/>
        <v>0</v>
      </c>
      <c r="H3725" s="1" t="str">
        <f t="shared" si="7611"/>
        <v>0</v>
      </c>
      <c r="I3725" s="1" t="str">
        <f t="shared" si="7611"/>
        <v>0</v>
      </c>
      <c r="J3725" s="1" t="str">
        <f t="shared" si="7611"/>
        <v>0</v>
      </c>
      <c r="K3725" s="1" t="str">
        <f t="shared" si="7611"/>
        <v>0</v>
      </c>
      <c r="L3725" s="1" t="str">
        <f t="shared" si="7611"/>
        <v>0</v>
      </c>
      <c r="M3725" s="1" t="str">
        <f t="shared" si="7611"/>
        <v>0</v>
      </c>
      <c r="N3725" s="1" t="str">
        <f t="shared" si="7611"/>
        <v>0</v>
      </c>
      <c r="O3725" s="1" t="str">
        <f t="shared" si="7611"/>
        <v>0</v>
      </c>
      <c r="P3725" s="1" t="str">
        <f t="shared" si="7611"/>
        <v>0</v>
      </c>
      <c r="Q3725" s="1" t="str">
        <f t="shared" si="7596"/>
        <v>0.0070</v>
      </c>
      <c r="R3725" s="1" t="s">
        <v>25</v>
      </c>
      <c r="T3725" s="1" t="str">
        <f t="shared" si="7597"/>
        <v>0</v>
      </c>
      <c r="U3725" s="1" t="str">
        <f t="shared" si="7606"/>
        <v>0.0070</v>
      </c>
    </row>
    <row r="3726" s="1" customFormat="1" spans="1:21">
      <c r="A3726" s="1" t="str">
        <f>"4601991410717"</f>
        <v>4601991410717</v>
      </c>
      <c r="B3726" s="1" t="s">
        <v>3749</v>
      </c>
      <c r="C3726" s="1" t="s">
        <v>24</v>
      </c>
      <c r="D3726" s="1" t="str">
        <f t="shared" si="7594"/>
        <v>2021</v>
      </c>
      <c r="E3726" s="1" t="str">
        <f>"13807.27"</f>
        <v>13807.27</v>
      </c>
      <c r="F3726" s="1" t="str">
        <f t="shared" ref="F3726:I3726" si="7612">"0"</f>
        <v>0</v>
      </c>
      <c r="G3726" s="1" t="str">
        <f t="shared" si="7612"/>
        <v>0</v>
      </c>
      <c r="H3726" s="1" t="str">
        <f t="shared" si="7612"/>
        <v>0</v>
      </c>
      <c r="I3726" s="1" t="str">
        <f t="shared" si="7612"/>
        <v>0</v>
      </c>
      <c r="J3726" s="1" t="str">
        <f>"53"</f>
        <v>53</v>
      </c>
      <c r="K3726" s="1" t="str">
        <f t="shared" ref="K3726:P3726" si="7613">"0"</f>
        <v>0</v>
      </c>
      <c r="L3726" s="1" t="str">
        <f t="shared" si="7613"/>
        <v>0</v>
      </c>
      <c r="M3726" s="1" t="str">
        <f t="shared" si="7613"/>
        <v>0</v>
      </c>
      <c r="N3726" s="1" t="str">
        <f t="shared" si="7613"/>
        <v>0</v>
      </c>
      <c r="O3726" s="1" t="str">
        <f t="shared" si="7613"/>
        <v>0</v>
      </c>
      <c r="P3726" s="1" t="str">
        <f t="shared" si="7613"/>
        <v>0</v>
      </c>
      <c r="Q3726" s="1" t="str">
        <f t="shared" si="7596"/>
        <v>0.0070</v>
      </c>
      <c r="R3726" s="1" t="s">
        <v>29</v>
      </c>
      <c r="S3726" s="1">
        <v>-0.0014</v>
      </c>
      <c r="T3726" s="1" t="str">
        <f t="shared" si="7597"/>
        <v>0</v>
      </c>
      <c r="U3726" s="1" t="str">
        <f>"0.0056"</f>
        <v>0.0056</v>
      </c>
    </row>
    <row r="3727" s="1" customFormat="1" spans="1:21">
      <c r="A3727" s="1" t="str">
        <f>"4601992071922"</f>
        <v>4601992071922</v>
      </c>
      <c r="B3727" s="1" t="s">
        <v>3750</v>
      </c>
      <c r="C3727" s="1" t="s">
        <v>24</v>
      </c>
      <c r="D3727" s="1" t="str">
        <f t="shared" si="7594"/>
        <v>2021</v>
      </c>
      <c r="E3727" s="1" t="str">
        <f t="shared" ref="E3727:P3727" si="7614">"0"</f>
        <v>0</v>
      </c>
      <c r="F3727" s="1" t="str">
        <f t="shared" si="7614"/>
        <v>0</v>
      </c>
      <c r="G3727" s="1" t="str">
        <f t="shared" si="7614"/>
        <v>0</v>
      </c>
      <c r="H3727" s="1" t="str">
        <f t="shared" si="7614"/>
        <v>0</v>
      </c>
      <c r="I3727" s="1" t="str">
        <f t="shared" si="7614"/>
        <v>0</v>
      </c>
      <c r="J3727" s="1" t="str">
        <f t="shared" si="7614"/>
        <v>0</v>
      </c>
      <c r="K3727" s="1" t="str">
        <f t="shared" si="7614"/>
        <v>0</v>
      </c>
      <c r="L3727" s="1" t="str">
        <f t="shared" si="7614"/>
        <v>0</v>
      </c>
      <c r="M3727" s="1" t="str">
        <f t="shared" si="7614"/>
        <v>0</v>
      </c>
      <c r="N3727" s="1" t="str">
        <f t="shared" si="7614"/>
        <v>0</v>
      </c>
      <c r="O3727" s="1" t="str">
        <f t="shared" si="7614"/>
        <v>0</v>
      </c>
      <c r="P3727" s="1" t="str">
        <f t="shared" si="7614"/>
        <v>0</v>
      </c>
      <c r="Q3727" s="1" t="str">
        <f t="shared" si="7596"/>
        <v>0.0070</v>
      </c>
      <c r="R3727" s="1" t="s">
        <v>25</v>
      </c>
      <c r="T3727" s="1" t="str">
        <f t="shared" si="7597"/>
        <v>0</v>
      </c>
      <c r="U3727" s="1" t="str">
        <f t="shared" ref="U3727:U3729" si="7615">"0.0070"</f>
        <v>0.0070</v>
      </c>
    </row>
    <row r="3728" s="1" customFormat="1" spans="1:21">
      <c r="A3728" s="1" t="str">
        <f>"4601992071924"</f>
        <v>4601992071924</v>
      </c>
      <c r="B3728" s="1" t="s">
        <v>3751</v>
      </c>
      <c r="C3728" s="1" t="s">
        <v>24</v>
      </c>
      <c r="D3728" s="1" t="str">
        <f t="shared" si="7594"/>
        <v>2021</v>
      </c>
      <c r="E3728" s="1" t="str">
        <f t="shared" ref="E3728:P3728" si="7616">"0"</f>
        <v>0</v>
      </c>
      <c r="F3728" s="1" t="str">
        <f t="shared" si="7616"/>
        <v>0</v>
      </c>
      <c r="G3728" s="1" t="str">
        <f t="shared" si="7616"/>
        <v>0</v>
      </c>
      <c r="H3728" s="1" t="str">
        <f t="shared" si="7616"/>
        <v>0</v>
      </c>
      <c r="I3728" s="1" t="str">
        <f t="shared" si="7616"/>
        <v>0</v>
      </c>
      <c r="J3728" s="1" t="str">
        <f t="shared" si="7616"/>
        <v>0</v>
      </c>
      <c r="K3728" s="1" t="str">
        <f t="shared" si="7616"/>
        <v>0</v>
      </c>
      <c r="L3728" s="1" t="str">
        <f t="shared" si="7616"/>
        <v>0</v>
      </c>
      <c r="M3728" s="1" t="str">
        <f t="shared" si="7616"/>
        <v>0</v>
      </c>
      <c r="N3728" s="1" t="str">
        <f t="shared" si="7616"/>
        <v>0</v>
      </c>
      <c r="O3728" s="1" t="str">
        <f t="shared" si="7616"/>
        <v>0</v>
      </c>
      <c r="P3728" s="1" t="str">
        <f t="shared" si="7616"/>
        <v>0</v>
      </c>
      <c r="Q3728" s="1" t="str">
        <f t="shared" si="7596"/>
        <v>0.0070</v>
      </c>
      <c r="R3728" s="1" t="s">
        <v>25</v>
      </c>
      <c r="T3728" s="1" t="str">
        <f t="shared" si="7597"/>
        <v>0</v>
      </c>
      <c r="U3728" s="1" t="str">
        <f t="shared" si="7615"/>
        <v>0.0070</v>
      </c>
    </row>
    <row r="3729" s="1" customFormat="1" spans="1:21">
      <c r="A3729" s="1" t="str">
        <f>"4601992071980"</f>
        <v>4601992071980</v>
      </c>
      <c r="B3729" s="1" t="s">
        <v>3752</v>
      </c>
      <c r="C3729" s="1" t="s">
        <v>24</v>
      </c>
      <c r="D3729" s="1" t="str">
        <f t="shared" si="7594"/>
        <v>2021</v>
      </c>
      <c r="E3729" s="1" t="str">
        <f t="shared" ref="E3729:P3729" si="7617">"0"</f>
        <v>0</v>
      </c>
      <c r="F3729" s="1" t="str">
        <f t="shared" si="7617"/>
        <v>0</v>
      </c>
      <c r="G3729" s="1" t="str">
        <f t="shared" si="7617"/>
        <v>0</v>
      </c>
      <c r="H3729" s="1" t="str">
        <f t="shared" si="7617"/>
        <v>0</v>
      </c>
      <c r="I3729" s="1" t="str">
        <f t="shared" si="7617"/>
        <v>0</v>
      </c>
      <c r="J3729" s="1" t="str">
        <f t="shared" si="7617"/>
        <v>0</v>
      </c>
      <c r="K3729" s="1" t="str">
        <f t="shared" si="7617"/>
        <v>0</v>
      </c>
      <c r="L3729" s="1" t="str">
        <f t="shared" si="7617"/>
        <v>0</v>
      </c>
      <c r="M3729" s="1" t="str">
        <f t="shared" si="7617"/>
        <v>0</v>
      </c>
      <c r="N3729" s="1" t="str">
        <f t="shared" si="7617"/>
        <v>0</v>
      </c>
      <c r="O3729" s="1" t="str">
        <f t="shared" si="7617"/>
        <v>0</v>
      </c>
      <c r="P3729" s="1" t="str">
        <f t="shared" si="7617"/>
        <v>0</v>
      </c>
      <c r="Q3729" s="1" t="str">
        <f t="shared" si="7596"/>
        <v>0.0070</v>
      </c>
      <c r="R3729" s="1" t="s">
        <v>25</v>
      </c>
      <c r="T3729" s="1" t="str">
        <f t="shared" si="7597"/>
        <v>0</v>
      </c>
      <c r="U3729" s="1" t="str">
        <f t="shared" si="7615"/>
        <v>0.0070</v>
      </c>
    </row>
    <row r="3730" s="1" customFormat="1" spans="1:21">
      <c r="A3730" s="1" t="str">
        <f>"4601992019558"</f>
        <v>4601992019558</v>
      </c>
      <c r="B3730" s="1" t="s">
        <v>3753</v>
      </c>
      <c r="C3730" s="1" t="s">
        <v>24</v>
      </c>
      <c r="D3730" s="1" t="str">
        <f t="shared" si="7594"/>
        <v>2021</v>
      </c>
      <c r="E3730" s="1" t="str">
        <f>"36.27"</f>
        <v>36.27</v>
      </c>
      <c r="F3730" s="1" t="str">
        <f t="shared" ref="F3730:I3730" si="7618">"0"</f>
        <v>0</v>
      </c>
      <c r="G3730" s="1" t="str">
        <f t="shared" si="7618"/>
        <v>0</v>
      </c>
      <c r="H3730" s="1" t="str">
        <f t="shared" si="7618"/>
        <v>0</v>
      </c>
      <c r="I3730" s="1" t="str">
        <f t="shared" si="7618"/>
        <v>0</v>
      </c>
      <c r="J3730" s="1" t="str">
        <f>"3"</f>
        <v>3</v>
      </c>
      <c r="K3730" s="1" t="str">
        <f t="shared" ref="K3730:P3730" si="7619">"0"</f>
        <v>0</v>
      </c>
      <c r="L3730" s="1" t="str">
        <f t="shared" si="7619"/>
        <v>0</v>
      </c>
      <c r="M3730" s="1" t="str">
        <f t="shared" si="7619"/>
        <v>0</v>
      </c>
      <c r="N3730" s="1" t="str">
        <f t="shared" si="7619"/>
        <v>0</v>
      </c>
      <c r="O3730" s="1" t="str">
        <f t="shared" si="7619"/>
        <v>0</v>
      </c>
      <c r="P3730" s="1" t="str">
        <f t="shared" si="7619"/>
        <v>0</v>
      </c>
      <c r="Q3730" s="1" t="str">
        <f t="shared" si="7596"/>
        <v>0.0070</v>
      </c>
      <c r="R3730" s="1" t="s">
        <v>29</v>
      </c>
      <c r="S3730" s="1">
        <v>-0.0014</v>
      </c>
      <c r="T3730" s="1" t="str">
        <f t="shared" si="7597"/>
        <v>0</v>
      </c>
      <c r="U3730" s="1" t="str">
        <f>"0.0056"</f>
        <v>0.0056</v>
      </c>
    </row>
    <row r="3731" s="1" customFormat="1" spans="1:21">
      <c r="A3731" s="1" t="str">
        <f>"4601992072000"</f>
        <v>4601992072000</v>
      </c>
      <c r="B3731" s="1" t="s">
        <v>3754</v>
      </c>
      <c r="C3731" s="1" t="s">
        <v>24</v>
      </c>
      <c r="D3731" s="1" t="str">
        <f t="shared" si="7594"/>
        <v>2021</v>
      </c>
      <c r="E3731" s="1" t="str">
        <f t="shared" ref="E3731:P3731" si="7620">"0"</f>
        <v>0</v>
      </c>
      <c r="F3731" s="1" t="str">
        <f t="shared" si="7620"/>
        <v>0</v>
      </c>
      <c r="G3731" s="1" t="str">
        <f t="shared" si="7620"/>
        <v>0</v>
      </c>
      <c r="H3731" s="1" t="str">
        <f t="shared" si="7620"/>
        <v>0</v>
      </c>
      <c r="I3731" s="1" t="str">
        <f t="shared" si="7620"/>
        <v>0</v>
      </c>
      <c r="J3731" s="1" t="str">
        <f t="shared" si="7620"/>
        <v>0</v>
      </c>
      <c r="K3731" s="1" t="str">
        <f t="shared" si="7620"/>
        <v>0</v>
      </c>
      <c r="L3731" s="1" t="str">
        <f t="shared" si="7620"/>
        <v>0</v>
      </c>
      <c r="M3731" s="1" t="str">
        <f t="shared" si="7620"/>
        <v>0</v>
      </c>
      <c r="N3731" s="1" t="str">
        <f t="shared" si="7620"/>
        <v>0</v>
      </c>
      <c r="O3731" s="1" t="str">
        <f t="shared" si="7620"/>
        <v>0</v>
      </c>
      <c r="P3731" s="1" t="str">
        <f t="shared" si="7620"/>
        <v>0</v>
      </c>
      <c r="Q3731" s="1" t="str">
        <f t="shared" si="7596"/>
        <v>0.0070</v>
      </c>
      <c r="R3731" s="1" t="s">
        <v>25</v>
      </c>
      <c r="T3731" s="1" t="str">
        <f t="shared" si="7597"/>
        <v>0</v>
      </c>
      <c r="U3731" s="1" t="str">
        <f t="shared" ref="U3731:U3750" si="7621">"0.0070"</f>
        <v>0.0070</v>
      </c>
    </row>
    <row r="3732" s="1" customFormat="1" spans="1:21">
      <c r="A3732" s="1" t="str">
        <f>"4601992072070"</f>
        <v>4601992072070</v>
      </c>
      <c r="B3732" s="1" t="s">
        <v>3755</v>
      </c>
      <c r="C3732" s="1" t="s">
        <v>24</v>
      </c>
      <c r="D3732" s="1" t="str">
        <f t="shared" si="7594"/>
        <v>2021</v>
      </c>
      <c r="E3732" s="1" t="str">
        <f t="shared" ref="E3732:P3732" si="7622">"0"</f>
        <v>0</v>
      </c>
      <c r="F3732" s="1" t="str">
        <f t="shared" si="7622"/>
        <v>0</v>
      </c>
      <c r="G3732" s="1" t="str">
        <f t="shared" si="7622"/>
        <v>0</v>
      </c>
      <c r="H3732" s="1" t="str">
        <f t="shared" si="7622"/>
        <v>0</v>
      </c>
      <c r="I3732" s="1" t="str">
        <f t="shared" si="7622"/>
        <v>0</v>
      </c>
      <c r="J3732" s="1" t="str">
        <f t="shared" si="7622"/>
        <v>0</v>
      </c>
      <c r="K3732" s="1" t="str">
        <f t="shared" si="7622"/>
        <v>0</v>
      </c>
      <c r="L3732" s="1" t="str">
        <f t="shared" si="7622"/>
        <v>0</v>
      </c>
      <c r="M3732" s="1" t="str">
        <f t="shared" si="7622"/>
        <v>0</v>
      </c>
      <c r="N3732" s="1" t="str">
        <f t="shared" si="7622"/>
        <v>0</v>
      </c>
      <c r="O3732" s="1" t="str">
        <f t="shared" si="7622"/>
        <v>0</v>
      </c>
      <c r="P3732" s="1" t="str">
        <f t="shared" si="7622"/>
        <v>0</v>
      </c>
      <c r="Q3732" s="1" t="str">
        <f t="shared" si="7596"/>
        <v>0.0070</v>
      </c>
      <c r="R3732" s="1" t="s">
        <v>25</v>
      </c>
      <c r="T3732" s="1" t="str">
        <f t="shared" si="7597"/>
        <v>0</v>
      </c>
      <c r="U3732" s="1" t="str">
        <f t="shared" si="7621"/>
        <v>0.0070</v>
      </c>
    </row>
    <row r="3733" s="1" customFormat="1" spans="1:21">
      <c r="A3733" s="1" t="str">
        <f>"4601992072148"</f>
        <v>4601992072148</v>
      </c>
      <c r="B3733" s="1" t="s">
        <v>3756</v>
      </c>
      <c r="C3733" s="1" t="s">
        <v>24</v>
      </c>
      <c r="D3733" s="1" t="str">
        <f t="shared" si="7594"/>
        <v>2021</v>
      </c>
      <c r="E3733" s="1" t="str">
        <f t="shared" ref="E3733:P3733" si="7623">"0"</f>
        <v>0</v>
      </c>
      <c r="F3733" s="1" t="str">
        <f t="shared" si="7623"/>
        <v>0</v>
      </c>
      <c r="G3733" s="1" t="str">
        <f t="shared" si="7623"/>
        <v>0</v>
      </c>
      <c r="H3733" s="1" t="str">
        <f t="shared" si="7623"/>
        <v>0</v>
      </c>
      <c r="I3733" s="1" t="str">
        <f t="shared" si="7623"/>
        <v>0</v>
      </c>
      <c r="J3733" s="1" t="str">
        <f t="shared" si="7623"/>
        <v>0</v>
      </c>
      <c r="K3733" s="1" t="str">
        <f t="shared" si="7623"/>
        <v>0</v>
      </c>
      <c r="L3733" s="1" t="str">
        <f t="shared" si="7623"/>
        <v>0</v>
      </c>
      <c r="M3733" s="1" t="str">
        <f t="shared" si="7623"/>
        <v>0</v>
      </c>
      <c r="N3733" s="1" t="str">
        <f t="shared" si="7623"/>
        <v>0</v>
      </c>
      <c r="O3733" s="1" t="str">
        <f t="shared" si="7623"/>
        <v>0</v>
      </c>
      <c r="P3733" s="1" t="str">
        <f t="shared" si="7623"/>
        <v>0</v>
      </c>
      <c r="Q3733" s="1" t="str">
        <f t="shared" si="7596"/>
        <v>0.0070</v>
      </c>
      <c r="R3733" s="1" t="s">
        <v>25</v>
      </c>
      <c r="T3733" s="1" t="str">
        <f t="shared" si="7597"/>
        <v>0</v>
      </c>
      <c r="U3733" s="1" t="str">
        <f t="shared" si="7621"/>
        <v>0.0070</v>
      </c>
    </row>
    <row r="3734" s="1" customFormat="1" spans="1:21">
      <c r="A3734" s="1" t="str">
        <f>"4601992072321"</f>
        <v>4601992072321</v>
      </c>
      <c r="B3734" s="1" t="s">
        <v>3757</v>
      </c>
      <c r="C3734" s="1" t="s">
        <v>24</v>
      </c>
      <c r="D3734" s="1" t="str">
        <f t="shared" si="7594"/>
        <v>2021</v>
      </c>
      <c r="E3734" s="1" t="str">
        <f t="shared" ref="E3734:P3734" si="7624">"0"</f>
        <v>0</v>
      </c>
      <c r="F3734" s="1" t="str">
        <f t="shared" si="7624"/>
        <v>0</v>
      </c>
      <c r="G3734" s="1" t="str">
        <f t="shared" si="7624"/>
        <v>0</v>
      </c>
      <c r="H3734" s="1" t="str">
        <f t="shared" si="7624"/>
        <v>0</v>
      </c>
      <c r="I3734" s="1" t="str">
        <f t="shared" si="7624"/>
        <v>0</v>
      </c>
      <c r="J3734" s="1" t="str">
        <f t="shared" si="7624"/>
        <v>0</v>
      </c>
      <c r="K3734" s="1" t="str">
        <f t="shared" si="7624"/>
        <v>0</v>
      </c>
      <c r="L3734" s="1" t="str">
        <f t="shared" si="7624"/>
        <v>0</v>
      </c>
      <c r="M3734" s="1" t="str">
        <f t="shared" si="7624"/>
        <v>0</v>
      </c>
      <c r="N3734" s="1" t="str">
        <f t="shared" si="7624"/>
        <v>0</v>
      </c>
      <c r="O3734" s="1" t="str">
        <f t="shared" si="7624"/>
        <v>0</v>
      </c>
      <c r="P3734" s="1" t="str">
        <f t="shared" si="7624"/>
        <v>0</v>
      </c>
      <c r="Q3734" s="1" t="str">
        <f t="shared" si="7596"/>
        <v>0.0070</v>
      </c>
      <c r="R3734" s="1" t="s">
        <v>25</v>
      </c>
      <c r="T3734" s="1" t="str">
        <f t="shared" si="7597"/>
        <v>0</v>
      </c>
      <c r="U3734" s="1" t="str">
        <f t="shared" si="7621"/>
        <v>0.0070</v>
      </c>
    </row>
    <row r="3735" s="1" customFormat="1" spans="1:21">
      <c r="A3735" s="1" t="str">
        <f>"4601992072349"</f>
        <v>4601992072349</v>
      </c>
      <c r="B3735" s="1" t="s">
        <v>3758</v>
      </c>
      <c r="C3735" s="1" t="s">
        <v>24</v>
      </c>
      <c r="D3735" s="1" t="str">
        <f t="shared" si="7594"/>
        <v>2021</v>
      </c>
      <c r="E3735" s="1" t="str">
        <f t="shared" ref="E3735:P3735" si="7625">"0"</f>
        <v>0</v>
      </c>
      <c r="F3735" s="1" t="str">
        <f t="shared" si="7625"/>
        <v>0</v>
      </c>
      <c r="G3735" s="1" t="str">
        <f t="shared" si="7625"/>
        <v>0</v>
      </c>
      <c r="H3735" s="1" t="str">
        <f t="shared" si="7625"/>
        <v>0</v>
      </c>
      <c r="I3735" s="1" t="str">
        <f t="shared" si="7625"/>
        <v>0</v>
      </c>
      <c r="J3735" s="1" t="str">
        <f t="shared" si="7625"/>
        <v>0</v>
      </c>
      <c r="K3735" s="1" t="str">
        <f t="shared" si="7625"/>
        <v>0</v>
      </c>
      <c r="L3735" s="1" t="str">
        <f t="shared" si="7625"/>
        <v>0</v>
      </c>
      <c r="M3735" s="1" t="str">
        <f t="shared" si="7625"/>
        <v>0</v>
      </c>
      <c r="N3735" s="1" t="str">
        <f t="shared" si="7625"/>
        <v>0</v>
      </c>
      <c r="O3735" s="1" t="str">
        <f t="shared" si="7625"/>
        <v>0</v>
      </c>
      <c r="P3735" s="1" t="str">
        <f t="shared" si="7625"/>
        <v>0</v>
      </c>
      <c r="Q3735" s="1" t="str">
        <f t="shared" si="7596"/>
        <v>0.0070</v>
      </c>
      <c r="R3735" s="1" t="s">
        <v>25</v>
      </c>
      <c r="T3735" s="1" t="str">
        <f t="shared" si="7597"/>
        <v>0</v>
      </c>
      <c r="U3735" s="1" t="str">
        <f t="shared" si="7621"/>
        <v>0.0070</v>
      </c>
    </row>
    <row r="3736" s="1" customFormat="1" spans="1:21">
      <c r="A3736" s="1" t="str">
        <f>"4601992072332"</f>
        <v>4601992072332</v>
      </c>
      <c r="B3736" s="1" t="s">
        <v>3759</v>
      </c>
      <c r="C3736" s="1" t="s">
        <v>24</v>
      </c>
      <c r="D3736" s="1" t="str">
        <f t="shared" si="7594"/>
        <v>2021</v>
      </c>
      <c r="E3736" s="1" t="str">
        <f t="shared" ref="E3736:P3736" si="7626">"0"</f>
        <v>0</v>
      </c>
      <c r="F3736" s="1" t="str">
        <f t="shared" si="7626"/>
        <v>0</v>
      </c>
      <c r="G3736" s="1" t="str">
        <f t="shared" si="7626"/>
        <v>0</v>
      </c>
      <c r="H3736" s="1" t="str">
        <f t="shared" si="7626"/>
        <v>0</v>
      </c>
      <c r="I3736" s="1" t="str">
        <f t="shared" si="7626"/>
        <v>0</v>
      </c>
      <c r="J3736" s="1" t="str">
        <f t="shared" si="7626"/>
        <v>0</v>
      </c>
      <c r="K3736" s="1" t="str">
        <f t="shared" si="7626"/>
        <v>0</v>
      </c>
      <c r="L3736" s="1" t="str">
        <f t="shared" si="7626"/>
        <v>0</v>
      </c>
      <c r="M3736" s="1" t="str">
        <f t="shared" si="7626"/>
        <v>0</v>
      </c>
      <c r="N3736" s="1" t="str">
        <f t="shared" si="7626"/>
        <v>0</v>
      </c>
      <c r="O3736" s="1" t="str">
        <f t="shared" si="7626"/>
        <v>0</v>
      </c>
      <c r="P3736" s="1" t="str">
        <f t="shared" si="7626"/>
        <v>0</v>
      </c>
      <c r="Q3736" s="1" t="str">
        <f t="shared" si="7596"/>
        <v>0.0070</v>
      </c>
      <c r="R3736" s="1" t="s">
        <v>25</v>
      </c>
      <c r="T3736" s="1" t="str">
        <f t="shared" si="7597"/>
        <v>0</v>
      </c>
      <c r="U3736" s="1" t="str">
        <f t="shared" si="7621"/>
        <v>0.0070</v>
      </c>
    </row>
    <row r="3737" s="1" customFormat="1" spans="1:21">
      <c r="A3737" s="1" t="str">
        <f>"4601992072353"</f>
        <v>4601992072353</v>
      </c>
      <c r="B3737" s="1" t="s">
        <v>3760</v>
      </c>
      <c r="C3737" s="1" t="s">
        <v>24</v>
      </c>
      <c r="D3737" s="1" t="str">
        <f t="shared" si="7594"/>
        <v>2021</v>
      </c>
      <c r="E3737" s="1" t="str">
        <f t="shared" ref="E3737:P3737" si="7627">"0"</f>
        <v>0</v>
      </c>
      <c r="F3737" s="1" t="str">
        <f t="shared" si="7627"/>
        <v>0</v>
      </c>
      <c r="G3737" s="1" t="str">
        <f t="shared" si="7627"/>
        <v>0</v>
      </c>
      <c r="H3737" s="1" t="str">
        <f t="shared" si="7627"/>
        <v>0</v>
      </c>
      <c r="I3737" s="1" t="str">
        <f t="shared" si="7627"/>
        <v>0</v>
      </c>
      <c r="J3737" s="1" t="str">
        <f t="shared" si="7627"/>
        <v>0</v>
      </c>
      <c r="K3737" s="1" t="str">
        <f t="shared" si="7627"/>
        <v>0</v>
      </c>
      <c r="L3737" s="1" t="str">
        <f t="shared" si="7627"/>
        <v>0</v>
      </c>
      <c r="M3737" s="1" t="str">
        <f t="shared" si="7627"/>
        <v>0</v>
      </c>
      <c r="N3737" s="1" t="str">
        <f t="shared" si="7627"/>
        <v>0</v>
      </c>
      <c r="O3737" s="1" t="str">
        <f t="shared" si="7627"/>
        <v>0</v>
      </c>
      <c r="P3737" s="1" t="str">
        <f t="shared" si="7627"/>
        <v>0</v>
      </c>
      <c r="Q3737" s="1" t="str">
        <f t="shared" si="7596"/>
        <v>0.0070</v>
      </c>
      <c r="R3737" s="1" t="s">
        <v>25</v>
      </c>
      <c r="T3737" s="1" t="str">
        <f t="shared" si="7597"/>
        <v>0</v>
      </c>
      <c r="U3737" s="1" t="str">
        <f t="shared" si="7621"/>
        <v>0.0070</v>
      </c>
    </row>
    <row r="3738" s="1" customFormat="1" spans="1:21">
      <c r="A3738" s="1" t="str">
        <f>"4601992072363"</f>
        <v>4601992072363</v>
      </c>
      <c r="B3738" s="1" t="s">
        <v>3761</v>
      </c>
      <c r="C3738" s="1" t="s">
        <v>24</v>
      </c>
      <c r="D3738" s="1" t="str">
        <f t="shared" si="7594"/>
        <v>2021</v>
      </c>
      <c r="E3738" s="1" t="str">
        <f t="shared" ref="E3738:P3738" si="7628">"0"</f>
        <v>0</v>
      </c>
      <c r="F3738" s="1" t="str">
        <f t="shared" si="7628"/>
        <v>0</v>
      </c>
      <c r="G3738" s="1" t="str">
        <f t="shared" si="7628"/>
        <v>0</v>
      </c>
      <c r="H3738" s="1" t="str">
        <f t="shared" si="7628"/>
        <v>0</v>
      </c>
      <c r="I3738" s="1" t="str">
        <f t="shared" si="7628"/>
        <v>0</v>
      </c>
      <c r="J3738" s="1" t="str">
        <f t="shared" si="7628"/>
        <v>0</v>
      </c>
      <c r="K3738" s="1" t="str">
        <f t="shared" si="7628"/>
        <v>0</v>
      </c>
      <c r="L3738" s="1" t="str">
        <f t="shared" si="7628"/>
        <v>0</v>
      </c>
      <c r="M3738" s="1" t="str">
        <f t="shared" si="7628"/>
        <v>0</v>
      </c>
      <c r="N3738" s="1" t="str">
        <f t="shared" si="7628"/>
        <v>0</v>
      </c>
      <c r="O3738" s="1" t="str">
        <f t="shared" si="7628"/>
        <v>0</v>
      </c>
      <c r="P3738" s="1" t="str">
        <f t="shared" si="7628"/>
        <v>0</v>
      </c>
      <c r="Q3738" s="1" t="str">
        <f t="shared" si="7596"/>
        <v>0.0070</v>
      </c>
      <c r="R3738" s="1" t="s">
        <v>25</v>
      </c>
      <c r="T3738" s="1" t="str">
        <f t="shared" si="7597"/>
        <v>0</v>
      </c>
      <c r="U3738" s="1" t="str">
        <f t="shared" si="7621"/>
        <v>0.0070</v>
      </c>
    </row>
    <row r="3739" s="1" customFormat="1" spans="1:21">
      <c r="A3739" s="1" t="str">
        <f>"4601992072423"</f>
        <v>4601992072423</v>
      </c>
      <c r="B3739" s="1" t="s">
        <v>3762</v>
      </c>
      <c r="C3739" s="1" t="s">
        <v>24</v>
      </c>
      <c r="D3739" s="1" t="str">
        <f t="shared" si="7594"/>
        <v>2021</v>
      </c>
      <c r="E3739" s="1" t="str">
        <f t="shared" ref="E3739:P3739" si="7629">"0"</f>
        <v>0</v>
      </c>
      <c r="F3739" s="1" t="str">
        <f t="shared" si="7629"/>
        <v>0</v>
      </c>
      <c r="G3739" s="1" t="str">
        <f t="shared" si="7629"/>
        <v>0</v>
      </c>
      <c r="H3739" s="1" t="str">
        <f t="shared" si="7629"/>
        <v>0</v>
      </c>
      <c r="I3739" s="1" t="str">
        <f t="shared" si="7629"/>
        <v>0</v>
      </c>
      <c r="J3739" s="1" t="str">
        <f t="shared" si="7629"/>
        <v>0</v>
      </c>
      <c r="K3739" s="1" t="str">
        <f t="shared" si="7629"/>
        <v>0</v>
      </c>
      <c r="L3739" s="1" t="str">
        <f t="shared" si="7629"/>
        <v>0</v>
      </c>
      <c r="M3739" s="1" t="str">
        <f t="shared" si="7629"/>
        <v>0</v>
      </c>
      <c r="N3739" s="1" t="str">
        <f t="shared" si="7629"/>
        <v>0</v>
      </c>
      <c r="O3739" s="1" t="str">
        <f t="shared" si="7629"/>
        <v>0</v>
      </c>
      <c r="P3739" s="1" t="str">
        <f t="shared" si="7629"/>
        <v>0</v>
      </c>
      <c r="Q3739" s="1" t="str">
        <f t="shared" si="7596"/>
        <v>0.0070</v>
      </c>
      <c r="R3739" s="1" t="s">
        <v>25</v>
      </c>
      <c r="T3739" s="1" t="str">
        <f t="shared" si="7597"/>
        <v>0</v>
      </c>
      <c r="U3739" s="1" t="str">
        <f t="shared" si="7621"/>
        <v>0.0070</v>
      </c>
    </row>
    <row r="3740" s="1" customFormat="1" spans="1:21">
      <c r="A3740" s="1" t="str">
        <f>"4601992072396"</f>
        <v>4601992072396</v>
      </c>
      <c r="B3740" s="1" t="s">
        <v>3763</v>
      </c>
      <c r="C3740" s="1" t="s">
        <v>24</v>
      </c>
      <c r="D3740" s="1" t="str">
        <f t="shared" si="7594"/>
        <v>2021</v>
      </c>
      <c r="E3740" s="1" t="str">
        <f t="shared" ref="E3740:P3740" si="7630">"0"</f>
        <v>0</v>
      </c>
      <c r="F3740" s="1" t="str">
        <f t="shared" si="7630"/>
        <v>0</v>
      </c>
      <c r="G3740" s="1" t="str">
        <f t="shared" si="7630"/>
        <v>0</v>
      </c>
      <c r="H3740" s="1" t="str">
        <f t="shared" si="7630"/>
        <v>0</v>
      </c>
      <c r="I3740" s="1" t="str">
        <f t="shared" si="7630"/>
        <v>0</v>
      </c>
      <c r="J3740" s="1" t="str">
        <f t="shared" si="7630"/>
        <v>0</v>
      </c>
      <c r="K3740" s="1" t="str">
        <f t="shared" si="7630"/>
        <v>0</v>
      </c>
      <c r="L3740" s="1" t="str">
        <f t="shared" si="7630"/>
        <v>0</v>
      </c>
      <c r="M3740" s="1" t="str">
        <f t="shared" si="7630"/>
        <v>0</v>
      </c>
      <c r="N3740" s="1" t="str">
        <f t="shared" si="7630"/>
        <v>0</v>
      </c>
      <c r="O3740" s="1" t="str">
        <f t="shared" si="7630"/>
        <v>0</v>
      </c>
      <c r="P3740" s="1" t="str">
        <f t="shared" si="7630"/>
        <v>0</v>
      </c>
      <c r="Q3740" s="1" t="str">
        <f t="shared" si="7596"/>
        <v>0.0070</v>
      </c>
      <c r="R3740" s="1" t="s">
        <v>25</v>
      </c>
      <c r="T3740" s="1" t="str">
        <f t="shared" si="7597"/>
        <v>0</v>
      </c>
      <c r="U3740" s="1" t="str">
        <f t="shared" si="7621"/>
        <v>0.0070</v>
      </c>
    </row>
    <row r="3741" s="1" customFormat="1" spans="1:21">
      <c r="A3741" s="1" t="str">
        <f>"4601992072457"</f>
        <v>4601992072457</v>
      </c>
      <c r="B3741" s="1" t="s">
        <v>3764</v>
      </c>
      <c r="C3741" s="1" t="s">
        <v>24</v>
      </c>
      <c r="D3741" s="1" t="str">
        <f t="shared" si="7594"/>
        <v>2021</v>
      </c>
      <c r="E3741" s="1" t="str">
        <f t="shared" ref="E3741:P3741" si="7631">"0"</f>
        <v>0</v>
      </c>
      <c r="F3741" s="1" t="str">
        <f t="shared" si="7631"/>
        <v>0</v>
      </c>
      <c r="G3741" s="1" t="str">
        <f t="shared" si="7631"/>
        <v>0</v>
      </c>
      <c r="H3741" s="1" t="str">
        <f t="shared" si="7631"/>
        <v>0</v>
      </c>
      <c r="I3741" s="1" t="str">
        <f t="shared" si="7631"/>
        <v>0</v>
      </c>
      <c r="J3741" s="1" t="str">
        <f t="shared" si="7631"/>
        <v>0</v>
      </c>
      <c r="K3741" s="1" t="str">
        <f t="shared" si="7631"/>
        <v>0</v>
      </c>
      <c r="L3741" s="1" t="str">
        <f t="shared" si="7631"/>
        <v>0</v>
      </c>
      <c r="M3741" s="1" t="str">
        <f t="shared" si="7631"/>
        <v>0</v>
      </c>
      <c r="N3741" s="1" t="str">
        <f t="shared" si="7631"/>
        <v>0</v>
      </c>
      <c r="O3741" s="1" t="str">
        <f t="shared" si="7631"/>
        <v>0</v>
      </c>
      <c r="P3741" s="1" t="str">
        <f t="shared" si="7631"/>
        <v>0</v>
      </c>
      <c r="Q3741" s="1" t="str">
        <f t="shared" si="7596"/>
        <v>0.0070</v>
      </c>
      <c r="R3741" s="1" t="s">
        <v>25</v>
      </c>
      <c r="T3741" s="1" t="str">
        <f t="shared" si="7597"/>
        <v>0</v>
      </c>
      <c r="U3741" s="1" t="str">
        <f t="shared" si="7621"/>
        <v>0.0070</v>
      </c>
    </row>
    <row r="3742" s="1" customFormat="1" spans="1:21">
      <c r="A3742" s="1" t="str">
        <f>"4601992072474"</f>
        <v>4601992072474</v>
      </c>
      <c r="B3742" s="1" t="s">
        <v>3765</v>
      </c>
      <c r="C3742" s="1" t="s">
        <v>24</v>
      </c>
      <c r="D3742" s="1" t="str">
        <f t="shared" si="7594"/>
        <v>2021</v>
      </c>
      <c r="E3742" s="1" t="str">
        <f t="shared" ref="E3742:P3742" si="7632">"0"</f>
        <v>0</v>
      </c>
      <c r="F3742" s="1" t="str">
        <f t="shared" si="7632"/>
        <v>0</v>
      </c>
      <c r="G3742" s="1" t="str">
        <f t="shared" si="7632"/>
        <v>0</v>
      </c>
      <c r="H3742" s="1" t="str">
        <f t="shared" si="7632"/>
        <v>0</v>
      </c>
      <c r="I3742" s="1" t="str">
        <f t="shared" si="7632"/>
        <v>0</v>
      </c>
      <c r="J3742" s="1" t="str">
        <f t="shared" si="7632"/>
        <v>0</v>
      </c>
      <c r="K3742" s="1" t="str">
        <f t="shared" si="7632"/>
        <v>0</v>
      </c>
      <c r="L3742" s="1" t="str">
        <f t="shared" si="7632"/>
        <v>0</v>
      </c>
      <c r="M3742" s="1" t="str">
        <f t="shared" si="7632"/>
        <v>0</v>
      </c>
      <c r="N3742" s="1" t="str">
        <f t="shared" si="7632"/>
        <v>0</v>
      </c>
      <c r="O3742" s="1" t="str">
        <f t="shared" si="7632"/>
        <v>0</v>
      </c>
      <c r="P3742" s="1" t="str">
        <f t="shared" si="7632"/>
        <v>0</v>
      </c>
      <c r="Q3742" s="1" t="str">
        <f t="shared" si="7596"/>
        <v>0.0070</v>
      </c>
      <c r="R3742" s="1" t="s">
        <v>25</v>
      </c>
      <c r="T3742" s="1" t="str">
        <f t="shared" si="7597"/>
        <v>0</v>
      </c>
      <c r="U3742" s="1" t="str">
        <f t="shared" si="7621"/>
        <v>0.0070</v>
      </c>
    </row>
    <row r="3743" s="1" customFormat="1" spans="1:21">
      <c r="A3743" s="1" t="str">
        <f>"4601992072501"</f>
        <v>4601992072501</v>
      </c>
      <c r="B3743" s="1" t="s">
        <v>3766</v>
      </c>
      <c r="C3743" s="1" t="s">
        <v>24</v>
      </c>
      <c r="D3743" s="1" t="str">
        <f t="shared" si="7594"/>
        <v>2021</v>
      </c>
      <c r="E3743" s="1" t="str">
        <f t="shared" ref="E3743:P3743" si="7633">"0"</f>
        <v>0</v>
      </c>
      <c r="F3743" s="1" t="str">
        <f t="shared" si="7633"/>
        <v>0</v>
      </c>
      <c r="G3743" s="1" t="str">
        <f t="shared" si="7633"/>
        <v>0</v>
      </c>
      <c r="H3743" s="1" t="str">
        <f t="shared" si="7633"/>
        <v>0</v>
      </c>
      <c r="I3743" s="1" t="str">
        <f t="shared" si="7633"/>
        <v>0</v>
      </c>
      <c r="J3743" s="1" t="str">
        <f t="shared" si="7633"/>
        <v>0</v>
      </c>
      <c r="K3743" s="1" t="str">
        <f t="shared" si="7633"/>
        <v>0</v>
      </c>
      <c r="L3743" s="1" t="str">
        <f t="shared" si="7633"/>
        <v>0</v>
      </c>
      <c r="M3743" s="1" t="str">
        <f t="shared" si="7633"/>
        <v>0</v>
      </c>
      <c r="N3743" s="1" t="str">
        <f t="shared" si="7633"/>
        <v>0</v>
      </c>
      <c r="O3743" s="1" t="str">
        <f t="shared" si="7633"/>
        <v>0</v>
      </c>
      <c r="P3743" s="1" t="str">
        <f t="shared" si="7633"/>
        <v>0</v>
      </c>
      <c r="Q3743" s="1" t="str">
        <f t="shared" si="7596"/>
        <v>0.0070</v>
      </c>
      <c r="R3743" s="1" t="s">
        <v>25</v>
      </c>
      <c r="T3743" s="1" t="str">
        <f t="shared" si="7597"/>
        <v>0</v>
      </c>
      <c r="U3743" s="1" t="str">
        <f t="shared" si="7621"/>
        <v>0.0070</v>
      </c>
    </row>
    <row r="3744" s="1" customFormat="1" spans="1:21">
      <c r="A3744" s="1" t="str">
        <f>"4601992072717"</f>
        <v>4601992072717</v>
      </c>
      <c r="B3744" s="1" t="s">
        <v>3767</v>
      </c>
      <c r="C3744" s="1" t="s">
        <v>24</v>
      </c>
      <c r="D3744" s="1" t="str">
        <f t="shared" si="7594"/>
        <v>2021</v>
      </c>
      <c r="E3744" s="1" t="str">
        <f t="shared" ref="E3744:P3744" si="7634">"0"</f>
        <v>0</v>
      </c>
      <c r="F3744" s="1" t="str">
        <f t="shared" si="7634"/>
        <v>0</v>
      </c>
      <c r="G3744" s="1" t="str">
        <f t="shared" si="7634"/>
        <v>0</v>
      </c>
      <c r="H3744" s="1" t="str">
        <f t="shared" si="7634"/>
        <v>0</v>
      </c>
      <c r="I3744" s="1" t="str">
        <f t="shared" si="7634"/>
        <v>0</v>
      </c>
      <c r="J3744" s="1" t="str">
        <f t="shared" si="7634"/>
        <v>0</v>
      </c>
      <c r="K3744" s="1" t="str">
        <f t="shared" si="7634"/>
        <v>0</v>
      </c>
      <c r="L3744" s="1" t="str">
        <f t="shared" si="7634"/>
        <v>0</v>
      </c>
      <c r="M3744" s="1" t="str">
        <f t="shared" si="7634"/>
        <v>0</v>
      </c>
      <c r="N3744" s="1" t="str">
        <f t="shared" si="7634"/>
        <v>0</v>
      </c>
      <c r="O3744" s="1" t="str">
        <f t="shared" si="7634"/>
        <v>0</v>
      </c>
      <c r="P3744" s="1" t="str">
        <f t="shared" si="7634"/>
        <v>0</v>
      </c>
      <c r="Q3744" s="1" t="str">
        <f t="shared" si="7596"/>
        <v>0.0070</v>
      </c>
      <c r="R3744" s="1" t="s">
        <v>25</v>
      </c>
      <c r="T3744" s="1" t="str">
        <f t="shared" si="7597"/>
        <v>0</v>
      </c>
      <c r="U3744" s="1" t="str">
        <f t="shared" si="7621"/>
        <v>0.0070</v>
      </c>
    </row>
    <row r="3745" s="1" customFormat="1" spans="1:21">
      <c r="A3745" s="1" t="str">
        <f>"4601992072743"</f>
        <v>4601992072743</v>
      </c>
      <c r="B3745" s="1" t="s">
        <v>3768</v>
      </c>
      <c r="C3745" s="1" t="s">
        <v>24</v>
      </c>
      <c r="D3745" s="1" t="str">
        <f t="shared" si="7594"/>
        <v>2021</v>
      </c>
      <c r="E3745" s="1" t="str">
        <f t="shared" ref="E3745:P3745" si="7635">"0"</f>
        <v>0</v>
      </c>
      <c r="F3745" s="1" t="str">
        <f t="shared" si="7635"/>
        <v>0</v>
      </c>
      <c r="G3745" s="1" t="str">
        <f t="shared" si="7635"/>
        <v>0</v>
      </c>
      <c r="H3745" s="1" t="str">
        <f t="shared" si="7635"/>
        <v>0</v>
      </c>
      <c r="I3745" s="1" t="str">
        <f t="shared" si="7635"/>
        <v>0</v>
      </c>
      <c r="J3745" s="1" t="str">
        <f t="shared" si="7635"/>
        <v>0</v>
      </c>
      <c r="K3745" s="1" t="str">
        <f t="shared" si="7635"/>
        <v>0</v>
      </c>
      <c r="L3745" s="1" t="str">
        <f t="shared" si="7635"/>
        <v>0</v>
      </c>
      <c r="M3745" s="1" t="str">
        <f t="shared" si="7635"/>
        <v>0</v>
      </c>
      <c r="N3745" s="1" t="str">
        <f t="shared" si="7635"/>
        <v>0</v>
      </c>
      <c r="O3745" s="1" t="str">
        <f t="shared" si="7635"/>
        <v>0</v>
      </c>
      <c r="P3745" s="1" t="str">
        <f t="shared" si="7635"/>
        <v>0</v>
      </c>
      <c r="Q3745" s="1" t="str">
        <f t="shared" si="7596"/>
        <v>0.0070</v>
      </c>
      <c r="R3745" s="1" t="s">
        <v>25</v>
      </c>
      <c r="T3745" s="1" t="str">
        <f t="shared" si="7597"/>
        <v>0</v>
      </c>
      <c r="U3745" s="1" t="str">
        <f t="shared" si="7621"/>
        <v>0.0070</v>
      </c>
    </row>
    <row r="3746" s="1" customFormat="1" spans="1:21">
      <c r="A3746" s="1" t="str">
        <f>"4601992072769"</f>
        <v>4601992072769</v>
      </c>
      <c r="B3746" s="1" t="s">
        <v>3769</v>
      </c>
      <c r="C3746" s="1" t="s">
        <v>24</v>
      </c>
      <c r="D3746" s="1" t="str">
        <f t="shared" si="7594"/>
        <v>2021</v>
      </c>
      <c r="E3746" s="1" t="str">
        <f t="shared" ref="E3746:P3746" si="7636">"0"</f>
        <v>0</v>
      </c>
      <c r="F3746" s="1" t="str">
        <f t="shared" si="7636"/>
        <v>0</v>
      </c>
      <c r="G3746" s="1" t="str">
        <f t="shared" si="7636"/>
        <v>0</v>
      </c>
      <c r="H3746" s="1" t="str">
        <f t="shared" si="7636"/>
        <v>0</v>
      </c>
      <c r="I3746" s="1" t="str">
        <f t="shared" si="7636"/>
        <v>0</v>
      </c>
      <c r="J3746" s="1" t="str">
        <f t="shared" si="7636"/>
        <v>0</v>
      </c>
      <c r="K3746" s="1" t="str">
        <f t="shared" si="7636"/>
        <v>0</v>
      </c>
      <c r="L3746" s="1" t="str">
        <f t="shared" si="7636"/>
        <v>0</v>
      </c>
      <c r="M3746" s="1" t="str">
        <f t="shared" si="7636"/>
        <v>0</v>
      </c>
      <c r="N3746" s="1" t="str">
        <f t="shared" si="7636"/>
        <v>0</v>
      </c>
      <c r="O3746" s="1" t="str">
        <f t="shared" si="7636"/>
        <v>0</v>
      </c>
      <c r="P3746" s="1" t="str">
        <f t="shared" si="7636"/>
        <v>0</v>
      </c>
      <c r="Q3746" s="1" t="str">
        <f t="shared" si="7596"/>
        <v>0.0070</v>
      </c>
      <c r="R3746" s="1" t="s">
        <v>25</v>
      </c>
      <c r="T3746" s="1" t="str">
        <f t="shared" si="7597"/>
        <v>0</v>
      </c>
      <c r="U3746" s="1" t="str">
        <f t="shared" si="7621"/>
        <v>0.0070</v>
      </c>
    </row>
    <row r="3747" s="1" customFormat="1" spans="1:21">
      <c r="A3747" s="1" t="str">
        <f>"4601992072775"</f>
        <v>4601992072775</v>
      </c>
      <c r="B3747" s="1" t="s">
        <v>3770</v>
      </c>
      <c r="C3747" s="1" t="s">
        <v>24</v>
      </c>
      <c r="D3747" s="1" t="str">
        <f t="shared" si="7594"/>
        <v>2021</v>
      </c>
      <c r="E3747" s="1" t="str">
        <f t="shared" ref="E3747:P3747" si="7637">"0"</f>
        <v>0</v>
      </c>
      <c r="F3747" s="1" t="str">
        <f t="shared" si="7637"/>
        <v>0</v>
      </c>
      <c r="G3747" s="1" t="str">
        <f t="shared" si="7637"/>
        <v>0</v>
      </c>
      <c r="H3747" s="1" t="str">
        <f t="shared" si="7637"/>
        <v>0</v>
      </c>
      <c r="I3747" s="1" t="str">
        <f t="shared" si="7637"/>
        <v>0</v>
      </c>
      <c r="J3747" s="1" t="str">
        <f t="shared" si="7637"/>
        <v>0</v>
      </c>
      <c r="K3747" s="1" t="str">
        <f t="shared" si="7637"/>
        <v>0</v>
      </c>
      <c r="L3747" s="1" t="str">
        <f t="shared" si="7637"/>
        <v>0</v>
      </c>
      <c r="M3747" s="1" t="str">
        <f t="shared" si="7637"/>
        <v>0</v>
      </c>
      <c r="N3747" s="1" t="str">
        <f t="shared" si="7637"/>
        <v>0</v>
      </c>
      <c r="O3747" s="1" t="str">
        <f t="shared" si="7637"/>
        <v>0</v>
      </c>
      <c r="P3747" s="1" t="str">
        <f t="shared" si="7637"/>
        <v>0</v>
      </c>
      <c r="Q3747" s="1" t="str">
        <f t="shared" si="7596"/>
        <v>0.0070</v>
      </c>
      <c r="R3747" s="1" t="s">
        <v>25</v>
      </c>
      <c r="T3747" s="1" t="str">
        <f t="shared" si="7597"/>
        <v>0</v>
      </c>
      <c r="U3747" s="1" t="str">
        <f t="shared" si="7621"/>
        <v>0.0070</v>
      </c>
    </row>
    <row r="3748" s="1" customFormat="1" spans="1:21">
      <c r="A3748" s="1" t="str">
        <f>"4601992072824"</f>
        <v>4601992072824</v>
      </c>
      <c r="B3748" s="1" t="s">
        <v>3771</v>
      </c>
      <c r="C3748" s="1" t="s">
        <v>24</v>
      </c>
      <c r="D3748" s="1" t="str">
        <f t="shared" si="7594"/>
        <v>2021</v>
      </c>
      <c r="E3748" s="1" t="str">
        <f t="shared" ref="E3748:P3748" si="7638">"0"</f>
        <v>0</v>
      </c>
      <c r="F3748" s="1" t="str">
        <f t="shared" si="7638"/>
        <v>0</v>
      </c>
      <c r="G3748" s="1" t="str">
        <f t="shared" si="7638"/>
        <v>0</v>
      </c>
      <c r="H3748" s="1" t="str">
        <f t="shared" si="7638"/>
        <v>0</v>
      </c>
      <c r="I3748" s="1" t="str">
        <f t="shared" si="7638"/>
        <v>0</v>
      </c>
      <c r="J3748" s="1" t="str">
        <f t="shared" si="7638"/>
        <v>0</v>
      </c>
      <c r="K3748" s="1" t="str">
        <f t="shared" si="7638"/>
        <v>0</v>
      </c>
      <c r="L3748" s="1" t="str">
        <f t="shared" si="7638"/>
        <v>0</v>
      </c>
      <c r="M3748" s="1" t="str">
        <f t="shared" si="7638"/>
        <v>0</v>
      </c>
      <c r="N3748" s="1" t="str">
        <f t="shared" si="7638"/>
        <v>0</v>
      </c>
      <c r="O3748" s="1" t="str">
        <f t="shared" si="7638"/>
        <v>0</v>
      </c>
      <c r="P3748" s="1" t="str">
        <f t="shared" si="7638"/>
        <v>0</v>
      </c>
      <c r="Q3748" s="1" t="str">
        <f t="shared" si="7596"/>
        <v>0.0070</v>
      </c>
      <c r="R3748" s="1" t="s">
        <v>25</v>
      </c>
      <c r="T3748" s="1" t="str">
        <f t="shared" si="7597"/>
        <v>0</v>
      </c>
      <c r="U3748" s="1" t="str">
        <f t="shared" si="7621"/>
        <v>0.0070</v>
      </c>
    </row>
    <row r="3749" s="1" customFormat="1" spans="1:21">
      <c r="A3749" s="1" t="str">
        <f>"4601992072884"</f>
        <v>4601992072884</v>
      </c>
      <c r="B3749" s="1" t="s">
        <v>3772</v>
      </c>
      <c r="C3749" s="1" t="s">
        <v>24</v>
      </c>
      <c r="D3749" s="1" t="str">
        <f t="shared" si="7594"/>
        <v>2021</v>
      </c>
      <c r="E3749" s="1" t="str">
        <f t="shared" ref="E3749:P3749" si="7639">"0"</f>
        <v>0</v>
      </c>
      <c r="F3749" s="1" t="str">
        <f t="shared" si="7639"/>
        <v>0</v>
      </c>
      <c r="G3749" s="1" t="str">
        <f t="shared" si="7639"/>
        <v>0</v>
      </c>
      <c r="H3749" s="1" t="str">
        <f t="shared" si="7639"/>
        <v>0</v>
      </c>
      <c r="I3749" s="1" t="str">
        <f t="shared" si="7639"/>
        <v>0</v>
      </c>
      <c r="J3749" s="1" t="str">
        <f t="shared" si="7639"/>
        <v>0</v>
      </c>
      <c r="K3749" s="1" t="str">
        <f t="shared" si="7639"/>
        <v>0</v>
      </c>
      <c r="L3749" s="1" t="str">
        <f t="shared" si="7639"/>
        <v>0</v>
      </c>
      <c r="M3749" s="1" t="str">
        <f t="shared" si="7639"/>
        <v>0</v>
      </c>
      <c r="N3749" s="1" t="str">
        <f t="shared" si="7639"/>
        <v>0</v>
      </c>
      <c r="O3749" s="1" t="str">
        <f t="shared" si="7639"/>
        <v>0</v>
      </c>
      <c r="P3749" s="1" t="str">
        <f t="shared" si="7639"/>
        <v>0</v>
      </c>
      <c r="Q3749" s="1" t="str">
        <f t="shared" si="7596"/>
        <v>0.0070</v>
      </c>
      <c r="R3749" s="1" t="s">
        <v>25</v>
      </c>
      <c r="T3749" s="1" t="str">
        <f t="shared" si="7597"/>
        <v>0</v>
      </c>
      <c r="U3749" s="1" t="str">
        <f t="shared" si="7621"/>
        <v>0.0070</v>
      </c>
    </row>
    <row r="3750" s="1" customFormat="1" spans="1:21">
      <c r="A3750" s="1" t="str">
        <f>"4601992073078"</f>
        <v>4601992073078</v>
      </c>
      <c r="B3750" s="1" t="s">
        <v>3773</v>
      </c>
      <c r="C3750" s="1" t="s">
        <v>24</v>
      </c>
      <c r="D3750" s="1" t="str">
        <f t="shared" si="7594"/>
        <v>2021</v>
      </c>
      <c r="E3750" s="1" t="str">
        <f t="shared" ref="E3750:P3750" si="7640">"0"</f>
        <v>0</v>
      </c>
      <c r="F3750" s="1" t="str">
        <f t="shared" si="7640"/>
        <v>0</v>
      </c>
      <c r="G3750" s="1" t="str">
        <f t="shared" si="7640"/>
        <v>0</v>
      </c>
      <c r="H3750" s="1" t="str">
        <f t="shared" si="7640"/>
        <v>0</v>
      </c>
      <c r="I3750" s="1" t="str">
        <f t="shared" si="7640"/>
        <v>0</v>
      </c>
      <c r="J3750" s="1" t="str">
        <f t="shared" si="7640"/>
        <v>0</v>
      </c>
      <c r="K3750" s="1" t="str">
        <f t="shared" si="7640"/>
        <v>0</v>
      </c>
      <c r="L3750" s="1" t="str">
        <f t="shared" si="7640"/>
        <v>0</v>
      </c>
      <c r="M3750" s="1" t="str">
        <f t="shared" si="7640"/>
        <v>0</v>
      </c>
      <c r="N3750" s="1" t="str">
        <f t="shared" si="7640"/>
        <v>0</v>
      </c>
      <c r="O3750" s="1" t="str">
        <f t="shared" si="7640"/>
        <v>0</v>
      </c>
      <c r="P3750" s="1" t="str">
        <f t="shared" si="7640"/>
        <v>0</v>
      </c>
      <c r="Q3750" s="1" t="str">
        <f t="shared" si="7596"/>
        <v>0.0070</v>
      </c>
      <c r="R3750" s="1" t="s">
        <v>25</v>
      </c>
      <c r="T3750" s="1" t="str">
        <f t="shared" si="7597"/>
        <v>0</v>
      </c>
      <c r="U3750" s="1" t="str">
        <f t="shared" si="7621"/>
        <v>0.0070</v>
      </c>
    </row>
    <row r="3751" s="1" customFormat="1" spans="1:21">
      <c r="A3751" s="1" t="str">
        <f>"4601992072579"</f>
        <v>4601992072579</v>
      </c>
      <c r="B3751" s="1" t="s">
        <v>3774</v>
      </c>
      <c r="C3751" s="1" t="s">
        <v>24</v>
      </c>
      <c r="D3751" s="1" t="str">
        <f t="shared" si="7594"/>
        <v>2021</v>
      </c>
      <c r="E3751" s="1" t="str">
        <f>"47.25"</f>
        <v>47.25</v>
      </c>
      <c r="F3751" s="1" t="str">
        <f t="shared" ref="F3751:I3751" si="7641">"0"</f>
        <v>0</v>
      </c>
      <c r="G3751" s="1" t="str">
        <f t="shared" si="7641"/>
        <v>0</v>
      </c>
      <c r="H3751" s="1" t="str">
        <f t="shared" si="7641"/>
        <v>0</v>
      </c>
      <c r="I3751" s="1" t="str">
        <f t="shared" si="7641"/>
        <v>0</v>
      </c>
      <c r="J3751" s="1" t="str">
        <f>"2"</f>
        <v>2</v>
      </c>
      <c r="K3751" s="1" t="str">
        <f t="shared" ref="K3751:P3751" si="7642">"0"</f>
        <v>0</v>
      </c>
      <c r="L3751" s="1" t="str">
        <f t="shared" si="7642"/>
        <v>0</v>
      </c>
      <c r="M3751" s="1" t="str">
        <f t="shared" si="7642"/>
        <v>0</v>
      </c>
      <c r="N3751" s="1" t="str">
        <f t="shared" si="7642"/>
        <v>0</v>
      </c>
      <c r="O3751" s="1" t="str">
        <f t="shared" si="7642"/>
        <v>0</v>
      </c>
      <c r="P3751" s="1" t="str">
        <f t="shared" si="7642"/>
        <v>0</v>
      </c>
      <c r="Q3751" s="1" t="str">
        <f t="shared" si="7596"/>
        <v>0.0070</v>
      </c>
      <c r="R3751" s="1" t="s">
        <v>29</v>
      </c>
      <c r="S3751" s="1">
        <v>-0.0014</v>
      </c>
      <c r="T3751" s="1" t="str">
        <f t="shared" si="7597"/>
        <v>0</v>
      </c>
      <c r="U3751" s="1" t="str">
        <f>"0.0056"</f>
        <v>0.0056</v>
      </c>
    </row>
    <row r="3752" s="1" customFormat="1" spans="1:21">
      <c r="A3752" s="1" t="str">
        <f>"4601992073082"</f>
        <v>4601992073082</v>
      </c>
      <c r="B3752" s="1" t="s">
        <v>3775</v>
      </c>
      <c r="C3752" s="1" t="s">
        <v>24</v>
      </c>
      <c r="D3752" s="1" t="str">
        <f t="shared" si="7594"/>
        <v>2021</v>
      </c>
      <c r="E3752" s="1" t="str">
        <f t="shared" ref="E3752:P3752" si="7643">"0"</f>
        <v>0</v>
      </c>
      <c r="F3752" s="1" t="str">
        <f t="shared" si="7643"/>
        <v>0</v>
      </c>
      <c r="G3752" s="1" t="str">
        <f t="shared" si="7643"/>
        <v>0</v>
      </c>
      <c r="H3752" s="1" t="str">
        <f t="shared" si="7643"/>
        <v>0</v>
      </c>
      <c r="I3752" s="1" t="str">
        <f t="shared" si="7643"/>
        <v>0</v>
      </c>
      <c r="J3752" s="1" t="str">
        <f t="shared" si="7643"/>
        <v>0</v>
      </c>
      <c r="K3752" s="1" t="str">
        <f t="shared" si="7643"/>
        <v>0</v>
      </c>
      <c r="L3752" s="1" t="str">
        <f t="shared" si="7643"/>
        <v>0</v>
      </c>
      <c r="M3752" s="1" t="str">
        <f t="shared" si="7643"/>
        <v>0</v>
      </c>
      <c r="N3752" s="1" t="str">
        <f t="shared" si="7643"/>
        <v>0</v>
      </c>
      <c r="O3752" s="1" t="str">
        <f t="shared" si="7643"/>
        <v>0</v>
      </c>
      <c r="P3752" s="1" t="str">
        <f t="shared" si="7643"/>
        <v>0</v>
      </c>
      <c r="Q3752" s="1" t="str">
        <f t="shared" si="7596"/>
        <v>0.0070</v>
      </c>
      <c r="R3752" s="1" t="s">
        <v>25</v>
      </c>
      <c r="T3752" s="1" t="str">
        <f t="shared" si="7597"/>
        <v>0</v>
      </c>
      <c r="U3752" s="1" t="str">
        <f t="shared" ref="U3752:U3768" si="7644">"0.0070"</f>
        <v>0.0070</v>
      </c>
    </row>
    <row r="3753" s="1" customFormat="1" spans="1:21">
      <c r="A3753" s="1" t="str">
        <f>"4601992073163"</f>
        <v>4601992073163</v>
      </c>
      <c r="B3753" s="1" t="s">
        <v>3776</v>
      </c>
      <c r="C3753" s="1" t="s">
        <v>24</v>
      </c>
      <c r="D3753" s="1" t="str">
        <f t="shared" si="7594"/>
        <v>2021</v>
      </c>
      <c r="E3753" s="1" t="str">
        <f t="shared" ref="E3753:P3753" si="7645">"0"</f>
        <v>0</v>
      </c>
      <c r="F3753" s="1" t="str">
        <f t="shared" si="7645"/>
        <v>0</v>
      </c>
      <c r="G3753" s="1" t="str">
        <f t="shared" si="7645"/>
        <v>0</v>
      </c>
      <c r="H3753" s="1" t="str">
        <f t="shared" si="7645"/>
        <v>0</v>
      </c>
      <c r="I3753" s="1" t="str">
        <f t="shared" si="7645"/>
        <v>0</v>
      </c>
      <c r="J3753" s="1" t="str">
        <f t="shared" si="7645"/>
        <v>0</v>
      </c>
      <c r="K3753" s="1" t="str">
        <f t="shared" si="7645"/>
        <v>0</v>
      </c>
      <c r="L3753" s="1" t="str">
        <f t="shared" si="7645"/>
        <v>0</v>
      </c>
      <c r="M3753" s="1" t="str">
        <f t="shared" si="7645"/>
        <v>0</v>
      </c>
      <c r="N3753" s="1" t="str">
        <f t="shared" si="7645"/>
        <v>0</v>
      </c>
      <c r="O3753" s="1" t="str">
        <f t="shared" si="7645"/>
        <v>0</v>
      </c>
      <c r="P3753" s="1" t="str">
        <f t="shared" si="7645"/>
        <v>0</v>
      </c>
      <c r="Q3753" s="1" t="str">
        <f t="shared" si="7596"/>
        <v>0.0070</v>
      </c>
      <c r="R3753" s="1" t="s">
        <v>25</v>
      </c>
      <c r="T3753" s="1" t="str">
        <f t="shared" si="7597"/>
        <v>0</v>
      </c>
      <c r="U3753" s="1" t="str">
        <f t="shared" si="7644"/>
        <v>0.0070</v>
      </c>
    </row>
    <row r="3754" s="1" customFormat="1" spans="1:21">
      <c r="A3754" s="1" t="str">
        <f>"4601992073171"</f>
        <v>4601992073171</v>
      </c>
      <c r="B3754" s="1" t="s">
        <v>3777</v>
      </c>
      <c r="C3754" s="1" t="s">
        <v>24</v>
      </c>
      <c r="D3754" s="1" t="str">
        <f t="shared" si="7594"/>
        <v>2021</v>
      </c>
      <c r="E3754" s="1" t="str">
        <f t="shared" ref="E3754:P3754" si="7646">"0"</f>
        <v>0</v>
      </c>
      <c r="F3754" s="1" t="str">
        <f t="shared" si="7646"/>
        <v>0</v>
      </c>
      <c r="G3754" s="1" t="str">
        <f t="shared" si="7646"/>
        <v>0</v>
      </c>
      <c r="H3754" s="1" t="str">
        <f t="shared" si="7646"/>
        <v>0</v>
      </c>
      <c r="I3754" s="1" t="str">
        <f t="shared" si="7646"/>
        <v>0</v>
      </c>
      <c r="J3754" s="1" t="str">
        <f t="shared" si="7646"/>
        <v>0</v>
      </c>
      <c r="K3754" s="1" t="str">
        <f t="shared" si="7646"/>
        <v>0</v>
      </c>
      <c r="L3754" s="1" t="str">
        <f t="shared" si="7646"/>
        <v>0</v>
      </c>
      <c r="M3754" s="1" t="str">
        <f t="shared" si="7646"/>
        <v>0</v>
      </c>
      <c r="N3754" s="1" t="str">
        <f t="shared" si="7646"/>
        <v>0</v>
      </c>
      <c r="O3754" s="1" t="str">
        <f t="shared" si="7646"/>
        <v>0</v>
      </c>
      <c r="P3754" s="1" t="str">
        <f t="shared" si="7646"/>
        <v>0</v>
      </c>
      <c r="Q3754" s="1" t="str">
        <f t="shared" si="7596"/>
        <v>0.0070</v>
      </c>
      <c r="R3754" s="1" t="s">
        <v>25</v>
      </c>
      <c r="T3754" s="1" t="str">
        <f t="shared" si="7597"/>
        <v>0</v>
      </c>
      <c r="U3754" s="1" t="str">
        <f t="shared" si="7644"/>
        <v>0.0070</v>
      </c>
    </row>
    <row r="3755" s="1" customFormat="1" spans="1:21">
      <c r="A3755" s="1" t="str">
        <f>"4601992073164"</f>
        <v>4601992073164</v>
      </c>
      <c r="B3755" s="1" t="s">
        <v>3778</v>
      </c>
      <c r="C3755" s="1" t="s">
        <v>24</v>
      </c>
      <c r="D3755" s="1" t="str">
        <f t="shared" si="7594"/>
        <v>2021</v>
      </c>
      <c r="E3755" s="1" t="str">
        <f t="shared" ref="E3755:P3755" si="7647">"0"</f>
        <v>0</v>
      </c>
      <c r="F3755" s="1" t="str">
        <f t="shared" si="7647"/>
        <v>0</v>
      </c>
      <c r="G3755" s="1" t="str">
        <f t="shared" si="7647"/>
        <v>0</v>
      </c>
      <c r="H3755" s="1" t="str">
        <f t="shared" si="7647"/>
        <v>0</v>
      </c>
      <c r="I3755" s="1" t="str">
        <f t="shared" si="7647"/>
        <v>0</v>
      </c>
      <c r="J3755" s="1" t="str">
        <f t="shared" si="7647"/>
        <v>0</v>
      </c>
      <c r="K3755" s="1" t="str">
        <f t="shared" si="7647"/>
        <v>0</v>
      </c>
      <c r="L3755" s="1" t="str">
        <f t="shared" si="7647"/>
        <v>0</v>
      </c>
      <c r="M3755" s="1" t="str">
        <f t="shared" si="7647"/>
        <v>0</v>
      </c>
      <c r="N3755" s="1" t="str">
        <f t="shared" si="7647"/>
        <v>0</v>
      </c>
      <c r="O3755" s="1" t="str">
        <f t="shared" si="7647"/>
        <v>0</v>
      </c>
      <c r="P3755" s="1" t="str">
        <f t="shared" si="7647"/>
        <v>0</v>
      </c>
      <c r="Q3755" s="1" t="str">
        <f t="shared" si="7596"/>
        <v>0.0070</v>
      </c>
      <c r="R3755" s="1" t="s">
        <v>25</v>
      </c>
      <c r="T3755" s="1" t="str">
        <f t="shared" si="7597"/>
        <v>0</v>
      </c>
      <c r="U3755" s="1" t="str">
        <f t="shared" si="7644"/>
        <v>0.0070</v>
      </c>
    </row>
    <row r="3756" s="1" customFormat="1" spans="1:21">
      <c r="A3756" s="1" t="str">
        <f>"4601992073191"</f>
        <v>4601992073191</v>
      </c>
      <c r="B3756" s="1" t="s">
        <v>3779</v>
      </c>
      <c r="C3756" s="1" t="s">
        <v>24</v>
      </c>
      <c r="D3756" s="1" t="str">
        <f t="shared" si="7594"/>
        <v>2021</v>
      </c>
      <c r="E3756" s="1" t="str">
        <f t="shared" ref="E3756:P3756" si="7648">"0"</f>
        <v>0</v>
      </c>
      <c r="F3756" s="1" t="str">
        <f t="shared" si="7648"/>
        <v>0</v>
      </c>
      <c r="G3756" s="1" t="str">
        <f t="shared" si="7648"/>
        <v>0</v>
      </c>
      <c r="H3756" s="1" t="str">
        <f t="shared" si="7648"/>
        <v>0</v>
      </c>
      <c r="I3756" s="1" t="str">
        <f t="shared" si="7648"/>
        <v>0</v>
      </c>
      <c r="J3756" s="1" t="str">
        <f t="shared" si="7648"/>
        <v>0</v>
      </c>
      <c r="K3756" s="1" t="str">
        <f t="shared" si="7648"/>
        <v>0</v>
      </c>
      <c r="L3756" s="1" t="str">
        <f t="shared" si="7648"/>
        <v>0</v>
      </c>
      <c r="M3756" s="1" t="str">
        <f t="shared" si="7648"/>
        <v>0</v>
      </c>
      <c r="N3756" s="1" t="str">
        <f t="shared" si="7648"/>
        <v>0</v>
      </c>
      <c r="O3756" s="1" t="str">
        <f t="shared" si="7648"/>
        <v>0</v>
      </c>
      <c r="P3756" s="1" t="str">
        <f t="shared" si="7648"/>
        <v>0</v>
      </c>
      <c r="Q3756" s="1" t="str">
        <f t="shared" si="7596"/>
        <v>0.0070</v>
      </c>
      <c r="R3756" s="1" t="s">
        <v>25</v>
      </c>
      <c r="T3756" s="1" t="str">
        <f t="shared" si="7597"/>
        <v>0</v>
      </c>
      <c r="U3756" s="1" t="str">
        <f t="shared" si="7644"/>
        <v>0.0070</v>
      </c>
    </row>
    <row r="3757" s="1" customFormat="1" spans="1:21">
      <c r="A3757" s="1" t="str">
        <f>"4601992073188"</f>
        <v>4601992073188</v>
      </c>
      <c r="B3757" s="1" t="s">
        <v>3780</v>
      </c>
      <c r="C3757" s="1" t="s">
        <v>24</v>
      </c>
      <c r="D3757" s="1" t="str">
        <f t="shared" si="7594"/>
        <v>2021</v>
      </c>
      <c r="E3757" s="1" t="str">
        <f t="shared" ref="E3757:P3757" si="7649">"0"</f>
        <v>0</v>
      </c>
      <c r="F3757" s="1" t="str">
        <f t="shared" si="7649"/>
        <v>0</v>
      </c>
      <c r="G3757" s="1" t="str">
        <f t="shared" si="7649"/>
        <v>0</v>
      </c>
      <c r="H3757" s="1" t="str">
        <f t="shared" si="7649"/>
        <v>0</v>
      </c>
      <c r="I3757" s="1" t="str">
        <f t="shared" si="7649"/>
        <v>0</v>
      </c>
      <c r="J3757" s="1" t="str">
        <f t="shared" si="7649"/>
        <v>0</v>
      </c>
      <c r="K3757" s="1" t="str">
        <f t="shared" si="7649"/>
        <v>0</v>
      </c>
      <c r="L3757" s="1" t="str">
        <f t="shared" si="7649"/>
        <v>0</v>
      </c>
      <c r="M3757" s="1" t="str">
        <f t="shared" si="7649"/>
        <v>0</v>
      </c>
      <c r="N3757" s="1" t="str">
        <f t="shared" si="7649"/>
        <v>0</v>
      </c>
      <c r="O3757" s="1" t="str">
        <f t="shared" si="7649"/>
        <v>0</v>
      </c>
      <c r="P3757" s="1" t="str">
        <f t="shared" si="7649"/>
        <v>0</v>
      </c>
      <c r="Q3757" s="1" t="str">
        <f t="shared" si="7596"/>
        <v>0.0070</v>
      </c>
      <c r="R3757" s="1" t="s">
        <v>25</v>
      </c>
      <c r="T3757" s="1" t="str">
        <f t="shared" si="7597"/>
        <v>0</v>
      </c>
      <c r="U3757" s="1" t="str">
        <f t="shared" si="7644"/>
        <v>0.0070</v>
      </c>
    </row>
    <row r="3758" s="1" customFormat="1" spans="1:21">
      <c r="A3758" s="1" t="str">
        <f>"4601992073517"</f>
        <v>4601992073517</v>
      </c>
      <c r="B3758" s="1" t="s">
        <v>3781</v>
      </c>
      <c r="C3758" s="1" t="s">
        <v>24</v>
      </c>
      <c r="D3758" s="1" t="str">
        <f t="shared" si="7594"/>
        <v>2021</v>
      </c>
      <c r="E3758" s="1" t="str">
        <f t="shared" ref="E3758:P3758" si="7650">"0"</f>
        <v>0</v>
      </c>
      <c r="F3758" s="1" t="str">
        <f t="shared" si="7650"/>
        <v>0</v>
      </c>
      <c r="G3758" s="1" t="str">
        <f t="shared" si="7650"/>
        <v>0</v>
      </c>
      <c r="H3758" s="1" t="str">
        <f t="shared" si="7650"/>
        <v>0</v>
      </c>
      <c r="I3758" s="1" t="str">
        <f t="shared" si="7650"/>
        <v>0</v>
      </c>
      <c r="J3758" s="1" t="str">
        <f t="shared" si="7650"/>
        <v>0</v>
      </c>
      <c r="K3758" s="1" t="str">
        <f t="shared" si="7650"/>
        <v>0</v>
      </c>
      <c r="L3758" s="1" t="str">
        <f t="shared" si="7650"/>
        <v>0</v>
      </c>
      <c r="M3758" s="1" t="str">
        <f t="shared" si="7650"/>
        <v>0</v>
      </c>
      <c r="N3758" s="1" t="str">
        <f t="shared" si="7650"/>
        <v>0</v>
      </c>
      <c r="O3758" s="1" t="str">
        <f t="shared" si="7650"/>
        <v>0</v>
      </c>
      <c r="P3758" s="1" t="str">
        <f t="shared" si="7650"/>
        <v>0</v>
      </c>
      <c r="Q3758" s="1" t="str">
        <f t="shared" si="7596"/>
        <v>0.0070</v>
      </c>
      <c r="R3758" s="1" t="s">
        <v>25</v>
      </c>
      <c r="T3758" s="1" t="str">
        <f t="shared" si="7597"/>
        <v>0</v>
      </c>
      <c r="U3758" s="1" t="str">
        <f t="shared" si="7644"/>
        <v>0.0070</v>
      </c>
    </row>
    <row r="3759" s="1" customFormat="1" spans="1:21">
      <c r="A3759" s="1" t="str">
        <f>"4601992073201"</f>
        <v>4601992073201</v>
      </c>
      <c r="B3759" s="1" t="s">
        <v>3782</v>
      </c>
      <c r="C3759" s="1" t="s">
        <v>24</v>
      </c>
      <c r="D3759" s="1" t="str">
        <f t="shared" si="7594"/>
        <v>2021</v>
      </c>
      <c r="E3759" s="1" t="str">
        <f t="shared" ref="E3759:P3759" si="7651">"0"</f>
        <v>0</v>
      </c>
      <c r="F3759" s="1" t="str">
        <f t="shared" si="7651"/>
        <v>0</v>
      </c>
      <c r="G3759" s="1" t="str">
        <f t="shared" si="7651"/>
        <v>0</v>
      </c>
      <c r="H3759" s="1" t="str">
        <f t="shared" si="7651"/>
        <v>0</v>
      </c>
      <c r="I3759" s="1" t="str">
        <f t="shared" si="7651"/>
        <v>0</v>
      </c>
      <c r="J3759" s="1" t="str">
        <f t="shared" si="7651"/>
        <v>0</v>
      </c>
      <c r="K3759" s="1" t="str">
        <f t="shared" si="7651"/>
        <v>0</v>
      </c>
      <c r="L3759" s="1" t="str">
        <f t="shared" si="7651"/>
        <v>0</v>
      </c>
      <c r="M3759" s="1" t="str">
        <f t="shared" si="7651"/>
        <v>0</v>
      </c>
      <c r="N3759" s="1" t="str">
        <f t="shared" si="7651"/>
        <v>0</v>
      </c>
      <c r="O3759" s="1" t="str">
        <f t="shared" si="7651"/>
        <v>0</v>
      </c>
      <c r="P3759" s="1" t="str">
        <f t="shared" si="7651"/>
        <v>0</v>
      </c>
      <c r="Q3759" s="1" t="str">
        <f t="shared" si="7596"/>
        <v>0.0070</v>
      </c>
      <c r="R3759" s="1" t="s">
        <v>25</v>
      </c>
      <c r="T3759" s="1" t="str">
        <f t="shared" si="7597"/>
        <v>0</v>
      </c>
      <c r="U3759" s="1" t="str">
        <f t="shared" si="7644"/>
        <v>0.0070</v>
      </c>
    </row>
    <row r="3760" s="1" customFormat="1" spans="1:21">
      <c r="A3760" s="1" t="str">
        <f>"4601992073521"</f>
        <v>4601992073521</v>
      </c>
      <c r="B3760" s="1" t="s">
        <v>3783</v>
      </c>
      <c r="C3760" s="1" t="s">
        <v>24</v>
      </c>
      <c r="D3760" s="1" t="str">
        <f t="shared" si="7594"/>
        <v>2021</v>
      </c>
      <c r="E3760" s="1" t="str">
        <f t="shared" ref="E3760:P3760" si="7652">"0"</f>
        <v>0</v>
      </c>
      <c r="F3760" s="1" t="str">
        <f t="shared" si="7652"/>
        <v>0</v>
      </c>
      <c r="G3760" s="1" t="str">
        <f t="shared" si="7652"/>
        <v>0</v>
      </c>
      <c r="H3760" s="1" t="str">
        <f t="shared" si="7652"/>
        <v>0</v>
      </c>
      <c r="I3760" s="1" t="str">
        <f t="shared" si="7652"/>
        <v>0</v>
      </c>
      <c r="J3760" s="1" t="str">
        <f t="shared" si="7652"/>
        <v>0</v>
      </c>
      <c r="K3760" s="1" t="str">
        <f t="shared" si="7652"/>
        <v>0</v>
      </c>
      <c r="L3760" s="1" t="str">
        <f t="shared" si="7652"/>
        <v>0</v>
      </c>
      <c r="M3760" s="1" t="str">
        <f t="shared" si="7652"/>
        <v>0</v>
      </c>
      <c r="N3760" s="1" t="str">
        <f t="shared" si="7652"/>
        <v>0</v>
      </c>
      <c r="O3760" s="1" t="str">
        <f t="shared" si="7652"/>
        <v>0</v>
      </c>
      <c r="P3760" s="1" t="str">
        <f t="shared" si="7652"/>
        <v>0</v>
      </c>
      <c r="Q3760" s="1" t="str">
        <f t="shared" si="7596"/>
        <v>0.0070</v>
      </c>
      <c r="R3760" s="1" t="s">
        <v>25</v>
      </c>
      <c r="T3760" s="1" t="str">
        <f t="shared" si="7597"/>
        <v>0</v>
      </c>
      <c r="U3760" s="1" t="str">
        <f t="shared" si="7644"/>
        <v>0.0070</v>
      </c>
    </row>
    <row r="3761" s="1" customFormat="1" spans="1:21">
      <c r="A3761" s="1" t="str">
        <f>"4601992073547"</f>
        <v>4601992073547</v>
      </c>
      <c r="B3761" s="1" t="s">
        <v>3784</v>
      </c>
      <c r="C3761" s="1" t="s">
        <v>24</v>
      </c>
      <c r="D3761" s="1" t="str">
        <f t="shared" si="7594"/>
        <v>2021</v>
      </c>
      <c r="E3761" s="1" t="str">
        <f t="shared" ref="E3761:P3761" si="7653">"0"</f>
        <v>0</v>
      </c>
      <c r="F3761" s="1" t="str">
        <f t="shared" si="7653"/>
        <v>0</v>
      </c>
      <c r="G3761" s="1" t="str">
        <f t="shared" si="7653"/>
        <v>0</v>
      </c>
      <c r="H3761" s="1" t="str">
        <f t="shared" si="7653"/>
        <v>0</v>
      </c>
      <c r="I3761" s="1" t="str">
        <f t="shared" si="7653"/>
        <v>0</v>
      </c>
      <c r="J3761" s="1" t="str">
        <f t="shared" si="7653"/>
        <v>0</v>
      </c>
      <c r="K3761" s="1" t="str">
        <f t="shared" si="7653"/>
        <v>0</v>
      </c>
      <c r="L3761" s="1" t="str">
        <f t="shared" si="7653"/>
        <v>0</v>
      </c>
      <c r="M3761" s="1" t="str">
        <f t="shared" si="7653"/>
        <v>0</v>
      </c>
      <c r="N3761" s="1" t="str">
        <f t="shared" si="7653"/>
        <v>0</v>
      </c>
      <c r="O3761" s="1" t="str">
        <f t="shared" si="7653"/>
        <v>0</v>
      </c>
      <c r="P3761" s="1" t="str">
        <f t="shared" si="7653"/>
        <v>0</v>
      </c>
      <c r="Q3761" s="1" t="str">
        <f t="shared" si="7596"/>
        <v>0.0070</v>
      </c>
      <c r="R3761" s="1" t="s">
        <v>25</v>
      </c>
      <c r="T3761" s="1" t="str">
        <f t="shared" si="7597"/>
        <v>0</v>
      </c>
      <c r="U3761" s="1" t="str">
        <f t="shared" si="7644"/>
        <v>0.0070</v>
      </c>
    </row>
    <row r="3762" s="1" customFormat="1" spans="1:21">
      <c r="A3762" s="1" t="str">
        <f>"4601992073578"</f>
        <v>4601992073578</v>
      </c>
      <c r="B3762" s="1" t="s">
        <v>3785</v>
      </c>
      <c r="C3762" s="1" t="s">
        <v>24</v>
      </c>
      <c r="D3762" s="1" t="str">
        <f t="shared" si="7594"/>
        <v>2021</v>
      </c>
      <c r="E3762" s="1" t="str">
        <f t="shared" ref="E3762:P3762" si="7654">"0"</f>
        <v>0</v>
      </c>
      <c r="F3762" s="1" t="str">
        <f t="shared" si="7654"/>
        <v>0</v>
      </c>
      <c r="G3762" s="1" t="str">
        <f t="shared" si="7654"/>
        <v>0</v>
      </c>
      <c r="H3762" s="1" t="str">
        <f t="shared" si="7654"/>
        <v>0</v>
      </c>
      <c r="I3762" s="1" t="str">
        <f t="shared" si="7654"/>
        <v>0</v>
      </c>
      <c r="J3762" s="1" t="str">
        <f t="shared" si="7654"/>
        <v>0</v>
      </c>
      <c r="K3762" s="1" t="str">
        <f t="shared" si="7654"/>
        <v>0</v>
      </c>
      <c r="L3762" s="1" t="str">
        <f t="shared" si="7654"/>
        <v>0</v>
      </c>
      <c r="M3762" s="1" t="str">
        <f t="shared" si="7654"/>
        <v>0</v>
      </c>
      <c r="N3762" s="1" t="str">
        <f t="shared" si="7654"/>
        <v>0</v>
      </c>
      <c r="O3762" s="1" t="str">
        <f t="shared" si="7654"/>
        <v>0</v>
      </c>
      <c r="P3762" s="1" t="str">
        <f t="shared" si="7654"/>
        <v>0</v>
      </c>
      <c r="Q3762" s="1" t="str">
        <f t="shared" si="7596"/>
        <v>0.0070</v>
      </c>
      <c r="R3762" s="1" t="s">
        <v>25</v>
      </c>
      <c r="T3762" s="1" t="str">
        <f t="shared" si="7597"/>
        <v>0</v>
      </c>
      <c r="U3762" s="1" t="str">
        <f t="shared" si="7644"/>
        <v>0.0070</v>
      </c>
    </row>
    <row r="3763" s="1" customFormat="1" spans="1:21">
      <c r="A3763" s="1" t="str">
        <f>"4601992073670"</f>
        <v>4601992073670</v>
      </c>
      <c r="B3763" s="1" t="s">
        <v>3786</v>
      </c>
      <c r="C3763" s="1" t="s">
        <v>24</v>
      </c>
      <c r="D3763" s="1" t="str">
        <f t="shared" si="7594"/>
        <v>2021</v>
      </c>
      <c r="E3763" s="1" t="str">
        <f t="shared" ref="E3763:P3763" si="7655">"0"</f>
        <v>0</v>
      </c>
      <c r="F3763" s="1" t="str">
        <f t="shared" si="7655"/>
        <v>0</v>
      </c>
      <c r="G3763" s="1" t="str">
        <f t="shared" si="7655"/>
        <v>0</v>
      </c>
      <c r="H3763" s="1" t="str">
        <f t="shared" si="7655"/>
        <v>0</v>
      </c>
      <c r="I3763" s="1" t="str">
        <f t="shared" si="7655"/>
        <v>0</v>
      </c>
      <c r="J3763" s="1" t="str">
        <f t="shared" si="7655"/>
        <v>0</v>
      </c>
      <c r="K3763" s="1" t="str">
        <f t="shared" si="7655"/>
        <v>0</v>
      </c>
      <c r="L3763" s="1" t="str">
        <f t="shared" si="7655"/>
        <v>0</v>
      </c>
      <c r="M3763" s="1" t="str">
        <f t="shared" si="7655"/>
        <v>0</v>
      </c>
      <c r="N3763" s="1" t="str">
        <f t="shared" si="7655"/>
        <v>0</v>
      </c>
      <c r="O3763" s="1" t="str">
        <f t="shared" si="7655"/>
        <v>0</v>
      </c>
      <c r="P3763" s="1" t="str">
        <f t="shared" si="7655"/>
        <v>0</v>
      </c>
      <c r="Q3763" s="1" t="str">
        <f t="shared" si="7596"/>
        <v>0.0070</v>
      </c>
      <c r="R3763" s="1" t="s">
        <v>25</v>
      </c>
      <c r="T3763" s="1" t="str">
        <f t="shared" si="7597"/>
        <v>0</v>
      </c>
      <c r="U3763" s="1" t="str">
        <f t="shared" si="7644"/>
        <v>0.0070</v>
      </c>
    </row>
    <row r="3764" s="1" customFormat="1" spans="1:21">
      <c r="A3764" s="1" t="str">
        <f>"4601992073727"</f>
        <v>4601992073727</v>
      </c>
      <c r="B3764" s="1" t="s">
        <v>3787</v>
      </c>
      <c r="C3764" s="1" t="s">
        <v>24</v>
      </c>
      <c r="D3764" s="1" t="str">
        <f t="shared" si="7594"/>
        <v>2021</v>
      </c>
      <c r="E3764" s="1" t="str">
        <f t="shared" ref="E3764:P3764" si="7656">"0"</f>
        <v>0</v>
      </c>
      <c r="F3764" s="1" t="str">
        <f t="shared" si="7656"/>
        <v>0</v>
      </c>
      <c r="G3764" s="1" t="str">
        <f t="shared" si="7656"/>
        <v>0</v>
      </c>
      <c r="H3764" s="1" t="str">
        <f t="shared" si="7656"/>
        <v>0</v>
      </c>
      <c r="I3764" s="1" t="str">
        <f t="shared" si="7656"/>
        <v>0</v>
      </c>
      <c r="J3764" s="1" t="str">
        <f t="shared" si="7656"/>
        <v>0</v>
      </c>
      <c r="K3764" s="1" t="str">
        <f t="shared" si="7656"/>
        <v>0</v>
      </c>
      <c r="L3764" s="1" t="str">
        <f t="shared" si="7656"/>
        <v>0</v>
      </c>
      <c r="M3764" s="1" t="str">
        <f t="shared" si="7656"/>
        <v>0</v>
      </c>
      <c r="N3764" s="1" t="str">
        <f t="shared" si="7656"/>
        <v>0</v>
      </c>
      <c r="O3764" s="1" t="str">
        <f t="shared" si="7656"/>
        <v>0</v>
      </c>
      <c r="P3764" s="1" t="str">
        <f t="shared" si="7656"/>
        <v>0</v>
      </c>
      <c r="Q3764" s="1" t="str">
        <f t="shared" si="7596"/>
        <v>0.0070</v>
      </c>
      <c r="R3764" s="1" t="s">
        <v>25</v>
      </c>
      <c r="T3764" s="1" t="str">
        <f t="shared" si="7597"/>
        <v>0</v>
      </c>
      <c r="U3764" s="1" t="str">
        <f t="shared" si="7644"/>
        <v>0.0070</v>
      </c>
    </row>
    <row r="3765" s="1" customFormat="1" spans="1:21">
      <c r="A3765" s="1" t="str">
        <f>"4601992073541"</f>
        <v>4601992073541</v>
      </c>
      <c r="B3765" s="1" t="s">
        <v>3788</v>
      </c>
      <c r="C3765" s="1" t="s">
        <v>24</v>
      </c>
      <c r="D3765" s="1" t="str">
        <f t="shared" si="7594"/>
        <v>2021</v>
      </c>
      <c r="E3765" s="1" t="str">
        <f t="shared" ref="E3765:I3765" si="7657">"0"</f>
        <v>0</v>
      </c>
      <c r="F3765" s="1" t="str">
        <f t="shared" si="7657"/>
        <v>0</v>
      </c>
      <c r="G3765" s="1" t="str">
        <f t="shared" si="7657"/>
        <v>0</v>
      </c>
      <c r="H3765" s="1" t="str">
        <f t="shared" si="7657"/>
        <v>0</v>
      </c>
      <c r="I3765" s="1" t="str">
        <f t="shared" si="7657"/>
        <v>0</v>
      </c>
      <c r="J3765" s="1" t="str">
        <f>"2"</f>
        <v>2</v>
      </c>
      <c r="K3765" s="1" t="str">
        <f t="shared" ref="K3765:P3765" si="7658">"0"</f>
        <v>0</v>
      </c>
      <c r="L3765" s="1" t="str">
        <f t="shared" si="7658"/>
        <v>0</v>
      </c>
      <c r="M3765" s="1" t="str">
        <f t="shared" si="7658"/>
        <v>0</v>
      </c>
      <c r="N3765" s="1" t="str">
        <f t="shared" si="7658"/>
        <v>0</v>
      </c>
      <c r="O3765" s="1" t="str">
        <f t="shared" si="7658"/>
        <v>0</v>
      </c>
      <c r="P3765" s="1" t="str">
        <f t="shared" si="7658"/>
        <v>0</v>
      </c>
      <c r="Q3765" s="1" t="str">
        <f t="shared" si="7596"/>
        <v>0.0070</v>
      </c>
      <c r="R3765" s="1" t="s">
        <v>25</v>
      </c>
      <c r="T3765" s="1" t="str">
        <f t="shared" si="7597"/>
        <v>0</v>
      </c>
      <c r="U3765" s="1" t="str">
        <f t="shared" si="7644"/>
        <v>0.0070</v>
      </c>
    </row>
    <row r="3766" s="1" customFormat="1" spans="1:21">
      <c r="A3766" s="1" t="str">
        <f>"4601992073906"</f>
        <v>4601992073906</v>
      </c>
      <c r="B3766" s="1" t="s">
        <v>3789</v>
      </c>
      <c r="C3766" s="1" t="s">
        <v>24</v>
      </c>
      <c r="D3766" s="1" t="str">
        <f t="shared" si="7594"/>
        <v>2021</v>
      </c>
      <c r="E3766" s="1" t="str">
        <f t="shared" ref="E3766:P3766" si="7659">"0"</f>
        <v>0</v>
      </c>
      <c r="F3766" s="1" t="str">
        <f t="shared" si="7659"/>
        <v>0</v>
      </c>
      <c r="G3766" s="1" t="str">
        <f t="shared" si="7659"/>
        <v>0</v>
      </c>
      <c r="H3766" s="1" t="str">
        <f t="shared" si="7659"/>
        <v>0</v>
      </c>
      <c r="I3766" s="1" t="str">
        <f t="shared" si="7659"/>
        <v>0</v>
      </c>
      <c r="J3766" s="1" t="str">
        <f t="shared" si="7659"/>
        <v>0</v>
      </c>
      <c r="K3766" s="1" t="str">
        <f t="shared" si="7659"/>
        <v>0</v>
      </c>
      <c r="L3766" s="1" t="str">
        <f t="shared" si="7659"/>
        <v>0</v>
      </c>
      <c r="M3766" s="1" t="str">
        <f t="shared" si="7659"/>
        <v>0</v>
      </c>
      <c r="N3766" s="1" t="str">
        <f t="shared" si="7659"/>
        <v>0</v>
      </c>
      <c r="O3766" s="1" t="str">
        <f t="shared" si="7659"/>
        <v>0</v>
      </c>
      <c r="P3766" s="1" t="str">
        <f t="shared" si="7659"/>
        <v>0</v>
      </c>
      <c r="Q3766" s="1" t="str">
        <f t="shared" si="7596"/>
        <v>0.0070</v>
      </c>
      <c r="R3766" s="1" t="s">
        <v>25</v>
      </c>
      <c r="T3766" s="1" t="str">
        <f t="shared" si="7597"/>
        <v>0</v>
      </c>
      <c r="U3766" s="1" t="str">
        <f t="shared" si="7644"/>
        <v>0.0070</v>
      </c>
    </row>
    <row r="3767" s="1" customFormat="1" spans="1:21">
      <c r="A3767" s="1" t="str">
        <f>"4601992073964"</f>
        <v>4601992073964</v>
      </c>
      <c r="B3767" s="1" t="s">
        <v>3790</v>
      </c>
      <c r="C3767" s="1" t="s">
        <v>24</v>
      </c>
      <c r="D3767" s="1" t="str">
        <f t="shared" si="7594"/>
        <v>2021</v>
      </c>
      <c r="E3767" s="1" t="str">
        <f t="shared" ref="E3767:P3767" si="7660">"0"</f>
        <v>0</v>
      </c>
      <c r="F3767" s="1" t="str">
        <f t="shared" si="7660"/>
        <v>0</v>
      </c>
      <c r="G3767" s="1" t="str">
        <f t="shared" si="7660"/>
        <v>0</v>
      </c>
      <c r="H3767" s="1" t="str">
        <f t="shared" si="7660"/>
        <v>0</v>
      </c>
      <c r="I3767" s="1" t="str">
        <f t="shared" si="7660"/>
        <v>0</v>
      </c>
      <c r="J3767" s="1" t="str">
        <f t="shared" si="7660"/>
        <v>0</v>
      </c>
      <c r="K3767" s="1" t="str">
        <f t="shared" si="7660"/>
        <v>0</v>
      </c>
      <c r="L3767" s="1" t="str">
        <f t="shared" si="7660"/>
        <v>0</v>
      </c>
      <c r="M3767" s="1" t="str">
        <f t="shared" si="7660"/>
        <v>0</v>
      </c>
      <c r="N3767" s="1" t="str">
        <f t="shared" si="7660"/>
        <v>0</v>
      </c>
      <c r="O3767" s="1" t="str">
        <f t="shared" si="7660"/>
        <v>0</v>
      </c>
      <c r="P3767" s="1" t="str">
        <f t="shared" si="7660"/>
        <v>0</v>
      </c>
      <c r="Q3767" s="1" t="str">
        <f t="shared" si="7596"/>
        <v>0.0070</v>
      </c>
      <c r="R3767" s="1" t="s">
        <v>25</v>
      </c>
      <c r="T3767" s="1" t="str">
        <f t="shared" si="7597"/>
        <v>0</v>
      </c>
      <c r="U3767" s="1" t="str">
        <f t="shared" si="7644"/>
        <v>0.0070</v>
      </c>
    </row>
    <row r="3768" s="1" customFormat="1" spans="1:21">
      <c r="A3768" s="1" t="str">
        <f>"4601992074071"</f>
        <v>4601992074071</v>
      </c>
      <c r="B3768" s="1" t="s">
        <v>3791</v>
      </c>
      <c r="C3768" s="1" t="s">
        <v>24</v>
      </c>
      <c r="D3768" s="1" t="str">
        <f t="shared" si="7594"/>
        <v>2021</v>
      </c>
      <c r="E3768" s="1" t="str">
        <f t="shared" ref="E3768:P3768" si="7661">"0"</f>
        <v>0</v>
      </c>
      <c r="F3768" s="1" t="str">
        <f t="shared" si="7661"/>
        <v>0</v>
      </c>
      <c r="G3768" s="1" t="str">
        <f t="shared" si="7661"/>
        <v>0</v>
      </c>
      <c r="H3768" s="1" t="str">
        <f t="shared" si="7661"/>
        <v>0</v>
      </c>
      <c r="I3768" s="1" t="str">
        <f t="shared" si="7661"/>
        <v>0</v>
      </c>
      <c r="J3768" s="1" t="str">
        <f t="shared" si="7661"/>
        <v>0</v>
      </c>
      <c r="K3768" s="1" t="str">
        <f t="shared" si="7661"/>
        <v>0</v>
      </c>
      <c r="L3768" s="1" t="str">
        <f t="shared" si="7661"/>
        <v>0</v>
      </c>
      <c r="M3768" s="1" t="str">
        <f t="shared" si="7661"/>
        <v>0</v>
      </c>
      <c r="N3768" s="1" t="str">
        <f t="shared" si="7661"/>
        <v>0</v>
      </c>
      <c r="O3768" s="1" t="str">
        <f t="shared" si="7661"/>
        <v>0</v>
      </c>
      <c r="P3768" s="1" t="str">
        <f t="shared" si="7661"/>
        <v>0</v>
      </c>
      <c r="Q3768" s="1" t="str">
        <f t="shared" si="7596"/>
        <v>0.0070</v>
      </c>
      <c r="R3768" s="1" t="s">
        <v>25</v>
      </c>
      <c r="T3768" s="1" t="str">
        <f t="shared" si="7597"/>
        <v>0</v>
      </c>
      <c r="U3768" s="1" t="str">
        <f t="shared" si="7644"/>
        <v>0.0070</v>
      </c>
    </row>
    <row r="3769" s="1" customFormat="1" spans="1:21">
      <c r="A3769" s="1" t="str">
        <f>"4601992073812"</f>
        <v>4601992073812</v>
      </c>
      <c r="B3769" s="1" t="s">
        <v>3792</v>
      </c>
      <c r="C3769" s="1" t="s">
        <v>24</v>
      </c>
      <c r="D3769" s="1" t="str">
        <f t="shared" si="7594"/>
        <v>2021</v>
      </c>
      <c r="E3769" s="1" t="str">
        <f>"12.58"</f>
        <v>12.58</v>
      </c>
      <c r="F3769" s="1" t="str">
        <f t="shared" ref="F3769:I3769" si="7662">"0"</f>
        <v>0</v>
      </c>
      <c r="G3769" s="1" t="str">
        <f t="shared" si="7662"/>
        <v>0</v>
      </c>
      <c r="H3769" s="1" t="str">
        <f t="shared" si="7662"/>
        <v>0</v>
      </c>
      <c r="I3769" s="1" t="str">
        <f t="shared" si="7662"/>
        <v>0</v>
      </c>
      <c r="J3769" s="1" t="str">
        <f>"1"</f>
        <v>1</v>
      </c>
      <c r="K3769" s="1" t="str">
        <f t="shared" ref="K3769:P3769" si="7663">"0"</f>
        <v>0</v>
      </c>
      <c r="L3769" s="1" t="str">
        <f t="shared" si="7663"/>
        <v>0</v>
      </c>
      <c r="M3769" s="1" t="str">
        <f t="shared" si="7663"/>
        <v>0</v>
      </c>
      <c r="N3769" s="1" t="str">
        <f t="shared" si="7663"/>
        <v>0</v>
      </c>
      <c r="O3769" s="1" t="str">
        <f t="shared" si="7663"/>
        <v>0</v>
      </c>
      <c r="P3769" s="1" t="str">
        <f t="shared" si="7663"/>
        <v>0</v>
      </c>
      <c r="Q3769" s="1" t="str">
        <f t="shared" si="7596"/>
        <v>0.0070</v>
      </c>
      <c r="R3769" s="1" t="s">
        <v>29</v>
      </c>
      <c r="S3769" s="1">
        <v>-0.0014</v>
      </c>
      <c r="T3769" s="1" t="str">
        <f t="shared" si="7597"/>
        <v>0</v>
      </c>
      <c r="U3769" s="1" t="str">
        <f>"0.0056"</f>
        <v>0.0056</v>
      </c>
    </row>
    <row r="3770" s="1" customFormat="1" spans="1:21">
      <c r="A3770" s="1" t="str">
        <f>"4601992074121"</f>
        <v>4601992074121</v>
      </c>
      <c r="B3770" s="1" t="s">
        <v>3793</v>
      </c>
      <c r="C3770" s="1" t="s">
        <v>24</v>
      </c>
      <c r="D3770" s="1" t="str">
        <f t="shared" si="7594"/>
        <v>2021</v>
      </c>
      <c r="E3770" s="1" t="str">
        <f t="shared" ref="E3770:P3770" si="7664">"0"</f>
        <v>0</v>
      </c>
      <c r="F3770" s="1" t="str">
        <f t="shared" si="7664"/>
        <v>0</v>
      </c>
      <c r="G3770" s="1" t="str">
        <f t="shared" si="7664"/>
        <v>0</v>
      </c>
      <c r="H3770" s="1" t="str">
        <f t="shared" si="7664"/>
        <v>0</v>
      </c>
      <c r="I3770" s="1" t="str">
        <f t="shared" si="7664"/>
        <v>0</v>
      </c>
      <c r="J3770" s="1" t="str">
        <f t="shared" si="7664"/>
        <v>0</v>
      </c>
      <c r="K3770" s="1" t="str">
        <f t="shared" si="7664"/>
        <v>0</v>
      </c>
      <c r="L3770" s="1" t="str">
        <f t="shared" si="7664"/>
        <v>0</v>
      </c>
      <c r="M3770" s="1" t="str">
        <f t="shared" si="7664"/>
        <v>0</v>
      </c>
      <c r="N3770" s="1" t="str">
        <f t="shared" si="7664"/>
        <v>0</v>
      </c>
      <c r="O3770" s="1" t="str">
        <f t="shared" si="7664"/>
        <v>0</v>
      </c>
      <c r="P3770" s="1" t="str">
        <f t="shared" si="7664"/>
        <v>0</v>
      </c>
      <c r="Q3770" s="1" t="str">
        <f t="shared" si="7596"/>
        <v>0.0070</v>
      </c>
      <c r="R3770" s="1" t="s">
        <v>25</v>
      </c>
      <c r="T3770" s="1" t="str">
        <f t="shared" si="7597"/>
        <v>0</v>
      </c>
      <c r="U3770" s="1" t="str">
        <f t="shared" ref="U3770:U3781" si="7665">"0.0070"</f>
        <v>0.0070</v>
      </c>
    </row>
    <row r="3771" s="1" customFormat="1" spans="1:21">
      <c r="A3771" s="1" t="str">
        <f>"4601992074095"</f>
        <v>4601992074095</v>
      </c>
      <c r="B3771" s="1" t="s">
        <v>3794</v>
      </c>
      <c r="C3771" s="1" t="s">
        <v>24</v>
      </c>
      <c r="D3771" s="1" t="str">
        <f t="shared" si="7594"/>
        <v>2021</v>
      </c>
      <c r="E3771" s="1" t="str">
        <f t="shared" ref="E3771:P3771" si="7666">"0"</f>
        <v>0</v>
      </c>
      <c r="F3771" s="1" t="str">
        <f t="shared" si="7666"/>
        <v>0</v>
      </c>
      <c r="G3771" s="1" t="str">
        <f t="shared" si="7666"/>
        <v>0</v>
      </c>
      <c r="H3771" s="1" t="str">
        <f t="shared" si="7666"/>
        <v>0</v>
      </c>
      <c r="I3771" s="1" t="str">
        <f t="shared" si="7666"/>
        <v>0</v>
      </c>
      <c r="J3771" s="1" t="str">
        <f t="shared" si="7666"/>
        <v>0</v>
      </c>
      <c r="K3771" s="1" t="str">
        <f t="shared" si="7666"/>
        <v>0</v>
      </c>
      <c r="L3771" s="1" t="str">
        <f t="shared" si="7666"/>
        <v>0</v>
      </c>
      <c r="M3771" s="1" t="str">
        <f t="shared" si="7666"/>
        <v>0</v>
      </c>
      <c r="N3771" s="1" t="str">
        <f t="shared" si="7666"/>
        <v>0</v>
      </c>
      <c r="O3771" s="1" t="str">
        <f t="shared" si="7666"/>
        <v>0</v>
      </c>
      <c r="P3771" s="1" t="str">
        <f t="shared" si="7666"/>
        <v>0</v>
      </c>
      <c r="Q3771" s="1" t="str">
        <f t="shared" si="7596"/>
        <v>0.0070</v>
      </c>
      <c r="R3771" s="1" t="s">
        <v>25</v>
      </c>
      <c r="T3771" s="1" t="str">
        <f t="shared" si="7597"/>
        <v>0</v>
      </c>
      <c r="U3771" s="1" t="str">
        <f t="shared" si="7665"/>
        <v>0.0070</v>
      </c>
    </row>
    <row r="3772" s="1" customFormat="1" spans="1:21">
      <c r="A3772" s="1" t="str">
        <f>"4601992074148"</f>
        <v>4601992074148</v>
      </c>
      <c r="B3772" s="1" t="s">
        <v>3795</v>
      </c>
      <c r="C3772" s="1" t="s">
        <v>24</v>
      </c>
      <c r="D3772" s="1" t="str">
        <f t="shared" si="7594"/>
        <v>2021</v>
      </c>
      <c r="E3772" s="1" t="str">
        <f t="shared" ref="E3772:P3772" si="7667">"0"</f>
        <v>0</v>
      </c>
      <c r="F3772" s="1" t="str">
        <f t="shared" si="7667"/>
        <v>0</v>
      </c>
      <c r="G3772" s="1" t="str">
        <f t="shared" si="7667"/>
        <v>0</v>
      </c>
      <c r="H3772" s="1" t="str">
        <f t="shared" si="7667"/>
        <v>0</v>
      </c>
      <c r="I3772" s="1" t="str">
        <f t="shared" si="7667"/>
        <v>0</v>
      </c>
      <c r="J3772" s="1" t="str">
        <f t="shared" si="7667"/>
        <v>0</v>
      </c>
      <c r="K3772" s="1" t="str">
        <f t="shared" si="7667"/>
        <v>0</v>
      </c>
      <c r="L3772" s="1" t="str">
        <f t="shared" si="7667"/>
        <v>0</v>
      </c>
      <c r="M3772" s="1" t="str">
        <f t="shared" si="7667"/>
        <v>0</v>
      </c>
      <c r="N3772" s="1" t="str">
        <f t="shared" si="7667"/>
        <v>0</v>
      </c>
      <c r="O3772" s="1" t="str">
        <f t="shared" si="7667"/>
        <v>0</v>
      </c>
      <c r="P3772" s="1" t="str">
        <f t="shared" si="7667"/>
        <v>0</v>
      </c>
      <c r="Q3772" s="1" t="str">
        <f t="shared" si="7596"/>
        <v>0.0070</v>
      </c>
      <c r="R3772" s="1" t="s">
        <v>25</v>
      </c>
      <c r="T3772" s="1" t="str">
        <f t="shared" si="7597"/>
        <v>0</v>
      </c>
      <c r="U3772" s="1" t="str">
        <f t="shared" si="7665"/>
        <v>0.0070</v>
      </c>
    </row>
    <row r="3773" s="1" customFormat="1" spans="1:21">
      <c r="A3773" s="1" t="str">
        <f>"4601992074129"</f>
        <v>4601992074129</v>
      </c>
      <c r="B3773" s="1" t="s">
        <v>3796</v>
      </c>
      <c r="C3773" s="1" t="s">
        <v>24</v>
      </c>
      <c r="D3773" s="1" t="str">
        <f t="shared" si="7594"/>
        <v>2021</v>
      </c>
      <c r="E3773" s="1" t="str">
        <f t="shared" ref="E3773:P3773" si="7668">"0"</f>
        <v>0</v>
      </c>
      <c r="F3773" s="1" t="str">
        <f t="shared" si="7668"/>
        <v>0</v>
      </c>
      <c r="G3773" s="1" t="str">
        <f t="shared" si="7668"/>
        <v>0</v>
      </c>
      <c r="H3773" s="1" t="str">
        <f t="shared" si="7668"/>
        <v>0</v>
      </c>
      <c r="I3773" s="1" t="str">
        <f t="shared" si="7668"/>
        <v>0</v>
      </c>
      <c r="J3773" s="1" t="str">
        <f t="shared" si="7668"/>
        <v>0</v>
      </c>
      <c r="K3773" s="1" t="str">
        <f t="shared" si="7668"/>
        <v>0</v>
      </c>
      <c r="L3773" s="1" t="str">
        <f t="shared" si="7668"/>
        <v>0</v>
      </c>
      <c r="M3773" s="1" t="str">
        <f t="shared" si="7668"/>
        <v>0</v>
      </c>
      <c r="N3773" s="1" t="str">
        <f t="shared" si="7668"/>
        <v>0</v>
      </c>
      <c r="O3773" s="1" t="str">
        <f t="shared" si="7668"/>
        <v>0</v>
      </c>
      <c r="P3773" s="1" t="str">
        <f t="shared" si="7668"/>
        <v>0</v>
      </c>
      <c r="Q3773" s="1" t="str">
        <f t="shared" si="7596"/>
        <v>0.0070</v>
      </c>
      <c r="R3773" s="1" t="s">
        <v>25</v>
      </c>
      <c r="T3773" s="1" t="str">
        <f t="shared" si="7597"/>
        <v>0</v>
      </c>
      <c r="U3773" s="1" t="str">
        <f t="shared" si="7665"/>
        <v>0.0070</v>
      </c>
    </row>
    <row r="3774" s="1" customFormat="1" spans="1:21">
      <c r="A3774" s="1" t="str">
        <f>"4601992074380"</f>
        <v>4601992074380</v>
      </c>
      <c r="B3774" s="1" t="s">
        <v>3797</v>
      </c>
      <c r="C3774" s="1" t="s">
        <v>24</v>
      </c>
      <c r="D3774" s="1" t="str">
        <f t="shared" si="7594"/>
        <v>2021</v>
      </c>
      <c r="E3774" s="1" t="str">
        <f t="shared" ref="E3774:P3774" si="7669">"0"</f>
        <v>0</v>
      </c>
      <c r="F3774" s="1" t="str">
        <f t="shared" si="7669"/>
        <v>0</v>
      </c>
      <c r="G3774" s="1" t="str">
        <f t="shared" si="7669"/>
        <v>0</v>
      </c>
      <c r="H3774" s="1" t="str">
        <f t="shared" si="7669"/>
        <v>0</v>
      </c>
      <c r="I3774" s="1" t="str">
        <f t="shared" si="7669"/>
        <v>0</v>
      </c>
      <c r="J3774" s="1" t="str">
        <f t="shared" si="7669"/>
        <v>0</v>
      </c>
      <c r="K3774" s="1" t="str">
        <f t="shared" si="7669"/>
        <v>0</v>
      </c>
      <c r="L3774" s="1" t="str">
        <f t="shared" si="7669"/>
        <v>0</v>
      </c>
      <c r="M3774" s="1" t="str">
        <f t="shared" si="7669"/>
        <v>0</v>
      </c>
      <c r="N3774" s="1" t="str">
        <f t="shared" si="7669"/>
        <v>0</v>
      </c>
      <c r="O3774" s="1" t="str">
        <f t="shared" si="7669"/>
        <v>0</v>
      </c>
      <c r="P3774" s="1" t="str">
        <f t="shared" si="7669"/>
        <v>0</v>
      </c>
      <c r="Q3774" s="1" t="str">
        <f t="shared" si="7596"/>
        <v>0.0070</v>
      </c>
      <c r="R3774" s="1" t="s">
        <v>25</v>
      </c>
      <c r="T3774" s="1" t="str">
        <f t="shared" si="7597"/>
        <v>0</v>
      </c>
      <c r="U3774" s="1" t="str">
        <f t="shared" si="7665"/>
        <v>0.0070</v>
      </c>
    </row>
    <row r="3775" s="1" customFormat="1" spans="1:21">
      <c r="A3775" s="1" t="str">
        <f>"4601992074149"</f>
        <v>4601992074149</v>
      </c>
      <c r="B3775" s="1" t="s">
        <v>3798</v>
      </c>
      <c r="C3775" s="1" t="s">
        <v>24</v>
      </c>
      <c r="D3775" s="1" t="str">
        <f t="shared" si="7594"/>
        <v>2021</v>
      </c>
      <c r="E3775" s="1" t="str">
        <f t="shared" ref="E3775:P3775" si="7670">"0"</f>
        <v>0</v>
      </c>
      <c r="F3775" s="1" t="str">
        <f t="shared" si="7670"/>
        <v>0</v>
      </c>
      <c r="G3775" s="1" t="str">
        <f t="shared" si="7670"/>
        <v>0</v>
      </c>
      <c r="H3775" s="1" t="str">
        <f t="shared" si="7670"/>
        <v>0</v>
      </c>
      <c r="I3775" s="1" t="str">
        <f t="shared" si="7670"/>
        <v>0</v>
      </c>
      <c r="J3775" s="1" t="str">
        <f t="shared" si="7670"/>
        <v>0</v>
      </c>
      <c r="K3775" s="1" t="str">
        <f t="shared" si="7670"/>
        <v>0</v>
      </c>
      <c r="L3775" s="1" t="str">
        <f t="shared" si="7670"/>
        <v>0</v>
      </c>
      <c r="M3775" s="1" t="str">
        <f t="shared" si="7670"/>
        <v>0</v>
      </c>
      <c r="N3775" s="1" t="str">
        <f t="shared" si="7670"/>
        <v>0</v>
      </c>
      <c r="O3775" s="1" t="str">
        <f t="shared" si="7670"/>
        <v>0</v>
      </c>
      <c r="P3775" s="1" t="str">
        <f t="shared" si="7670"/>
        <v>0</v>
      </c>
      <c r="Q3775" s="1" t="str">
        <f t="shared" si="7596"/>
        <v>0.0070</v>
      </c>
      <c r="R3775" s="1" t="s">
        <v>25</v>
      </c>
      <c r="T3775" s="1" t="str">
        <f t="shared" si="7597"/>
        <v>0</v>
      </c>
      <c r="U3775" s="1" t="str">
        <f t="shared" si="7665"/>
        <v>0.0070</v>
      </c>
    </row>
    <row r="3776" s="1" customFormat="1" spans="1:21">
      <c r="A3776" s="1" t="str">
        <f>"4601992074501"</f>
        <v>4601992074501</v>
      </c>
      <c r="B3776" s="1" t="s">
        <v>3799</v>
      </c>
      <c r="C3776" s="1" t="s">
        <v>24</v>
      </c>
      <c r="D3776" s="1" t="str">
        <f t="shared" si="7594"/>
        <v>2021</v>
      </c>
      <c r="E3776" s="1" t="str">
        <f t="shared" ref="E3776:P3776" si="7671">"0"</f>
        <v>0</v>
      </c>
      <c r="F3776" s="1" t="str">
        <f t="shared" si="7671"/>
        <v>0</v>
      </c>
      <c r="G3776" s="1" t="str">
        <f t="shared" si="7671"/>
        <v>0</v>
      </c>
      <c r="H3776" s="1" t="str">
        <f t="shared" si="7671"/>
        <v>0</v>
      </c>
      <c r="I3776" s="1" t="str">
        <f t="shared" si="7671"/>
        <v>0</v>
      </c>
      <c r="J3776" s="1" t="str">
        <f t="shared" si="7671"/>
        <v>0</v>
      </c>
      <c r="K3776" s="1" t="str">
        <f t="shared" si="7671"/>
        <v>0</v>
      </c>
      <c r="L3776" s="1" t="str">
        <f t="shared" si="7671"/>
        <v>0</v>
      </c>
      <c r="M3776" s="1" t="str">
        <f t="shared" si="7671"/>
        <v>0</v>
      </c>
      <c r="N3776" s="1" t="str">
        <f t="shared" si="7671"/>
        <v>0</v>
      </c>
      <c r="O3776" s="1" t="str">
        <f t="shared" si="7671"/>
        <v>0</v>
      </c>
      <c r="P3776" s="1" t="str">
        <f t="shared" si="7671"/>
        <v>0</v>
      </c>
      <c r="Q3776" s="1" t="str">
        <f t="shared" si="7596"/>
        <v>0.0070</v>
      </c>
      <c r="R3776" s="1" t="s">
        <v>25</v>
      </c>
      <c r="T3776" s="1" t="str">
        <f t="shared" si="7597"/>
        <v>0</v>
      </c>
      <c r="U3776" s="1" t="str">
        <f t="shared" si="7665"/>
        <v>0.0070</v>
      </c>
    </row>
    <row r="3777" s="1" customFormat="1" spans="1:21">
      <c r="A3777" s="1" t="str">
        <f>"4601992074466"</f>
        <v>4601992074466</v>
      </c>
      <c r="B3777" s="1" t="s">
        <v>3800</v>
      </c>
      <c r="C3777" s="1" t="s">
        <v>24</v>
      </c>
      <c r="D3777" s="1" t="str">
        <f t="shared" si="7594"/>
        <v>2021</v>
      </c>
      <c r="E3777" s="1" t="str">
        <f t="shared" ref="E3777:P3777" si="7672">"0"</f>
        <v>0</v>
      </c>
      <c r="F3777" s="1" t="str">
        <f t="shared" si="7672"/>
        <v>0</v>
      </c>
      <c r="G3777" s="1" t="str">
        <f t="shared" si="7672"/>
        <v>0</v>
      </c>
      <c r="H3777" s="1" t="str">
        <f t="shared" si="7672"/>
        <v>0</v>
      </c>
      <c r="I3777" s="1" t="str">
        <f t="shared" si="7672"/>
        <v>0</v>
      </c>
      <c r="J3777" s="1" t="str">
        <f t="shared" si="7672"/>
        <v>0</v>
      </c>
      <c r="K3777" s="1" t="str">
        <f t="shared" si="7672"/>
        <v>0</v>
      </c>
      <c r="L3777" s="1" t="str">
        <f t="shared" si="7672"/>
        <v>0</v>
      </c>
      <c r="M3777" s="1" t="str">
        <f t="shared" si="7672"/>
        <v>0</v>
      </c>
      <c r="N3777" s="1" t="str">
        <f t="shared" si="7672"/>
        <v>0</v>
      </c>
      <c r="O3777" s="1" t="str">
        <f t="shared" si="7672"/>
        <v>0</v>
      </c>
      <c r="P3777" s="1" t="str">
        <f t="shared" si="7672"/>
        <v>0</v>
      </c>
      <c r="Q3777" s="1" t="str">
        <f t="shared" si="7596"/>
        <v>0.0070</v>
      </c>
      <c r="R3777" s="1" t="s">
        <v>25</v>
      </c>
      <c r="T3777" s="1" t="str">
        <f t="shared" si="7597"/>
        <v>0</v>
      </c>
      <c r="U3777" s="1" t="str">
        <f t="shared" si="7665"/>
        <v>0.0070</v>
      </c>
    </row>
    <row r="3778" s="1" customFormat="1" spans="1:21">
      <c r="A3778" s="1" t="str">
        <f>"4601992074588"</f>
        <v>4601992074588</v>
      </c>
      <c r="B3778" s="1" t="s">
        <v>3801</v>
      </c>
      <c r="C3778" s="1" t="s">
        <v>24</v>
      </c>
      <c r="D3778" s="1" t="str">
        <f t="shared" si="7594"/>
        <v>2021</v>
      </c>
      <c r="E3778" s="1" t="str">
        <f t="shared" ref="E3778:P3778" si="7673">"0"</f>
        <v>0</v>
      </c>
      <c r="F3778" s="1" t="str">
        <f t="shared" si="7673"/>
        <v>0</v>
      </c>
      <c r="G3778" s="1" t="str">
        <f t="shared" si="7673"/>
        <v>0</v>
      </c>
      <c r="H3778" s="1" t="str">
        <f t="shared" si="7673"/>
        <v>0</v>
      </c>
      <c r="I3778" s="1" t="str">
        <f t="shared" si="7673"/>
        <v>0</v>
      </c>
      <c r="J3778" s="1" t="str">
        <f t="shared" si="7673"/>
        <v>0</v>
      </c>
      <c r="K3778" s="1" t="str">
        <f t="shared" si="7673"/>
        <v>0</v>
      </c>
      <c r="L3778" s="1" t="str">
        <f t="shared" si="7673"/>
        <v>0</v>
      </c>
      <c r="M3778" s="1" t="str">
        <f t="shared" si="7673"/>
        <v>0</v>
      </c>
      <c r="N3778" s="1" t="str">
        <f t="shared" si="7673"/>
        <v>0</v>
      </c>
      <c r="O3778" s="1" t="str">
        <f t="shared" si="7673"/>
        <v>0</v>
      </c>
      <c r="P3778" s="1" t="str">
        <f t="shared" si="7673"/>
        <v>0</v>
      </c>
      <c r="Q3778" s="1" t="str">
        <f t="shared" si="7596"/>
        <v>0.0070</v>
      </c>
      <c r="R3778" s="1" t="s">
        <v>25</v>
      </c>
      <c r="T3778" s="1" t="str">
        <f t="shared" si="7597"/>
        <v>0</v>
      </c>
      <c r="U3778" s="1" t="str">
        <f t="shared" si="7665"/>
        <v>0.0070</v>
      </c>
    </row>
    <row r="3779" s="1" customFormat="1" spans="1:21">
      <c r="A3779" s="1" t="str">
        <f>"4601992074809"</f>
        <v>4601992074809</v>
      </c>
      <c r="B3779" s="1" t="s">
        <v>3802</v>
      </c>
      <c r="C3779" s="1" t="s">
        <v>24</v>
      </c>
      <c r="D3779" s="1" t="str">
        <f t="shared" ref="D3779:D3842" si="7674">"2021"</f>
        <v>2021</v>
      </c>
      <c r="E3779" s="1" t="str">
        <f t="shared" ref="E3779:P3779" si="7675">"0"</f>
        <v>0</v>
      </c>
      <c r="F3779" s="1" t="str">
        <f t="shared" si="7675"/>
        <v>0</v>
      </c>
      <c r="G3779" s="1" t="str">
        <f t="shared" si="7675"/>
        <v>0</v>
      </c>
      <c r="H3779" s="1" t="str">
        <f t="shared" si="7675"/>
        <v>0</v>
      </c>
      <c r="I3779" s="1" t="str">
        <f t="shared" si="7675"/>
        <v>0</v>
      </c>
      <c r="J3779" s="1" t="str">
        <f t="shared" si="7675"/>
        <v>0</v>
      </c>
      <c r="K3779" s="1" t="str">
        <f t="shared" si="7675"/>
        <v>0</v>
      </c>
      <c r="L3779" s="1" t="str">
        <f t="shared" si="7675"/>
        <v>0</v>
      </c>
      <c r="M3779" s="1" t="str">
        <f t="shared" si="7675"/>
        <v>0</v>
      </c>
      <c r="N3779" s="1" t="str">
        <f t="shared" si="7675"/>
        <v>0</v>
      </c>
      <c r="O3779" s="1" t="str">
        <f t="shared" si="7675"/>
        <v>0</v>
      </c>
      <c r="P3779" s="1" t="str">
        <f t="shared" si="7675"/>
        <v>0</v>
      </c>
      <c r="Q3779" s="1" t="str">
        <f t="shared" ref="Q3779:Q3842" si="7676">"0.0070"</f>
        <v>0.0070</v>
      </c>
      <c r="R3779" s="1" t="s">
        <v>25</v>
      </c>
      <c r="T3779" s="1" t="str">
        <f t="shared" ref="T3779:T3842" si="7677">"0"</f>
        <v>0</v>
      </c>
      <c r="U3779" s="1" t="str">
        <f t="shared" si="7665"/>
        <v>0.0070</v>
      </c>
    </row>
    <row r="3780" s="1" customFormat="1" spans="1:21">
      <c r="A3780" s="1" t="str">
        <f>"4601992074678"</f>
        <v>4601992074678</v>
      </c>
      <c r="B3780" s="1" t="s">
        <v>3803</v>
      </c>
      <c r="C3780" s="1" t="s">
        <v>24</v>
      </c>
      <c r="D3780" s="1" t="str">
        <f t="shared" si="7674"/>
        <v>2021</v>
      </c>
      <c r="E3780" s="1" t="str">
        <f t="shared" ref="E3780:I3780" si="7678">"0"</f>
        <v>0</v>
      </c>
      <c r="F3780" s="1" t="str">
        <f t="shared" si="7678"/>
        <v>0</v>
      </c>
      <c r="G3780" s="1" t="str">
        <f t="shared" si="7678"/>
        <v>0</v>
      </c>
      <c r="H3780" s="1" t="str">
        <f t="shared" si="7678"/>
        <v>0</v>
      </c>
      <c r="I3780" s="1" t="str">
        <f t="shared" si="7678"/>
        <v>0</v>
      </c>
      <c r="J3780" s="1" t="str">
        <f>"3"</f>
        <v>3</v>
      </c>
      <c r="K3780" s="1" t="str">
        <f t="shared" ref="K3780:P3780" si="7679">"0"</f>
        <v>0</v>
      </c>
      <c r="L3780" s="1" t="str">
        <f t="shared" si="7679"/>
        <v>0</v>
      </c>
      <c r="M3780" s="1" t="str">
        <f t="shared" si="7679"/>
        <v>0</v>
      </c>
      <c r="N3780" s="1" t="str">
        <f t="shared" si="7679"/>
        <v>0</v>
      </c>
      <c r="O3780" s="1" t="str">
        <f t="shared" si="7679"/>
        <v>0</v>
      </c>
      <c r="P3780" s="1" t="str">
        <f t="shared" si="7679"/>
        <v>0</v>
      </c>
      <c r="Q3780" s="1" t="str">
        <f t="shared" si="7676"/>
        <v>0.0070</v>
      </c>
      <c r="R3780" s="1" t="s">
        <v>25</v>
      </c>
      <c r="T3780" s="1" t="str">
        <f t="shared" si="7677"/>
        <v>0</v>
      </c>
      <c r="U3780" s="1" t="str">
        <f t="shared" si="7665"/>
        <v>0.0070</v>
      </c>
    </row>
    <row r="3781" s="1" customFormat="1" spans="1:21">
      <c r="A3781" s="1" t="str">
        <f>"4601992075179"</f>
        <v>4601992075179</v>
      </c>
      <c r="B3781" s="1" t="s">
        <v>3804</v>
      </c>
      <c r="C3781" s="1" t="s">
        <v>24</v>
      </c>
      <c r="D3781" s="1" t="str">
        <f t="shared" si="7674"/>
        <v>2021</v>
      </c>
      <c r="E3781" s="1" t="str">
        <f t="shared" ref="E3781:P3781" si="7680">"0"</f>
        <v>0</v>
      </c>
      <c r="F3781" s="1" t="str">
        <f t="shared" si="7680"/>
        <v>0</v>
      </c>
      <c r="G3781" s="1" t="str">
        <f t="shared" si="7680"/>
        <v>0</v>
      </c>
      <c r="H3781" s="1" t="str">
        <f t="shared" si="7680"/>
        <v>0</v>
      </c>
      <c r="I3781" s="1" t="str">
        <f t="shared" si="7680"/>
        <v>0</v>
      </c>
      <c r="J3781" s="1" t="str">
        <f t="shared" si="7680"/>
        <v>0</v>
      </c>
      <c r="K3781" s="1" t="str">
        <f t="shared" si="7680"/>
        <v>0</v>
      </c>
      <c r="L3781" s="1" t="str">
        <f t="shared" si="7680"/>
        <v>0</v>
      </c>
      <c r="M3781" s="1" t="str">
        <f t="shared" si="7680"/>
        <v>0</v>
      </c>
      <c r="N3781" s="1" t="str">
        <f t="shared" si="7680"/>
        <v>0</v>
      </c>
      <c r="O3781" s="1" t="str">
        <f t="shared" si="7680"/>
        <v>0</v>
      </c>
      <c r="P3781" s="1" t="str">
        <f t="shared" si="7680"/>
        <v>0</v>
      </c>
      <c r="Q3781" s="1" t="str">
        <f t="shared" si="7676"/>
        <v>0.0070</v>
      </c>
      <c r="R3781" s="1" t="s">
        <v>25</v>
      </c>
      <c r="T3781" s="1" t="str">
        <f t="shared" si="7677"/>
        <v>0</v>
      </c>
      <c r="U3781" s="1" t="str">
        <f t="shared" si="7665"/>
        <v>0.0070</v>
      </c>
    </row>
    <row r="3782" s="1" customFormat="1" spans="1:21">
      <c r="A3782" s="1" t="str">
        <f>"4601992074683"</f>
        <v>4601992074683</v>
      </c>
      <c r="B3782" s="1" t="s">
        <v>3805</v>
      </c>
      <c r="C3782" s="1" t="s">
        <v>24</v>
      </c>
      <c r="D3782" s="1" t="str">
        <f t="shared" si="7674"/>
        <v>2021</v>
      </c>
      <c r="E3782" s="1" t="str">
        <f>"11.98"</f>
        <v>11.98</v>
      </c>
      <c r="F3782" s="1" t="str">
        <f t="shared" ref="F3782:I3782" si="7681">"0"</f>
        <v>0</v>
      </c>
      <c r="G3782" s="1" t="str">
        <f t="shared" si="7681"/>
        <v>0</v>
      </c>
      <c r="H3782" s="1" t="str">
        <f t="shared" si="7681"/>
        <v>0</v>
      </c>
      <c r="I3782" s="1" t="str">
        <f t="shared" si="7681"/>
        <v>0</v>
      </c>
      <c r="J3782" s="1" t="str">
        <f>"1"</f>
        <v>1</v>
      </c>
      <c r="K3782" s="1" t="str">
        <f t="shared" ref="K3782:P3782" si="7682">"0"</f>
        <v>0</v>
      </c>
      <c r="L3782" s="1" t="str">
        <f t="shared" si="7682"/>
        <v>0</v>
      </c>
      <c r="M3782" s="1" t="str">
        <f t="shared" si="7682"/>
        <v>0</v>
      </c>
      <c r="N3782" s="1" t="str">
        <f t="shared" si="7682"/>
        <v>0</v>
      </c>
      <c r="O3782" s="1" t="str">
        <f t="shared" si="7682"/>
        <v>0</v>
      </c>
      <c r="P3782" s="1" t="str">
        <f t="shared" si="7682"/>
        <v>0</v>
      </c>
      <c r="Q3782" s="1" t="str">
        <f t="shared" si="7676"/>
        <v>0.0070</v>
      </c>
      <c r="R3782" s="1" t="s">
        <v>29</v>
      </c>
      <c r="S3782" s="1">
        <v>-0.0014</v>
      </c>
      <c r="T3782" s="1" t="str">
        <f t="shared" si="7677"/>
        <v>0</v>
      </c>
      <c r="U3782" s="1" t="str">
        <f>"0.0056"</f>
        <v>0.0056</v>
      </c>
    </row>
    <row r="3783" s="1" customFormat="1" spans="1:21">
      <c r="A3783" s="1" t="str">
        <f>"4601992075296"</f>
        <v>4601992075296</v>
      </c>
      <c r="B3783" s="1" t="s">
        <v>3806</v>
      </c>
      <c r="C3783" s="1" t="s">
        <v>24</v>
      </c>
      <c r="D3783" s="1" t="str">
        <f t="shared" si="7674"/>
        <v>2021</v>
      </c>
      <c r="E3783" s="1" t="str">
        <f t="shared" ref="E3783:P3783" si="7683">"0"</f>
        <v>0</v>
      </c>
      <c r="F3783" s="1" t="str">
        <f t="shared" si="7683"/>
        <v>0</v>
      </c>
      <c r="G3783" s="1" t="str">
        <f t="shared" si="7683"/>
        <v>0</v>
      </c>
      <c r="H3783" s="1" t="str">
        <f t="shared" si="7683"/>
        <v>0</v>
      </c>
      <c r="I3783" s="1" t="str">
        <f t="shared" si="7683"/>
        <v>0</v>
      </c>
      <c r="J3783" s="1" t="str">
        <f t="shared" si="7683"/>
        <v>0</v>
      </c>
      <c r="K3783" s="1" t="str">
        <f t="shared" si="7683"/>
        <v>0</v>
      </c>
      <c r="L3783" s="1" t="str">
        <f t="shared" si="7683"/>
        <v>0</v>
      </c>
      <c r="M3783" s="1" t="str">
        <f t="shared" si="7683"/>
        <v>0</v>
      </c>
      <c r="N3783" s="1" t="str">
        <f t="shared" si="7683"/>
        <v>0</v>
      </c>
      <c r="O3783" s="1" t="str">
        <f t="shared" si="7683"/>
        <v>0</v>
      </c>
      <c r="P3783" s="1" t="str">
        <f t="shared" si="7683"/>
        <v>0</v>
      </c>
      <c r="Q3783" s="1" t="str">
        <f t="shared" si="7676"/>
        <v>0.0070</v>
      </c>
      <c r="R3783" s="1" t="s">
        <v>25</v>
      </c>
      <c r="T3783" s="1" t="str">
        <f t="shared" si="7677"/>
        <v>0</v>
      </c>
      <c r="U3783" s="1" t="str">
        <f t="shared" ref="U3783:U3799" si="7684">"0.0070"</f>
        <v>0.0070</v>
      </c>
    </row>
    <row r="3784" s="1" customFormat="1" spans="1:21">
      <c r="A3784" s="1" t="str">
        <f>"4601992075380"</f>
        <v>4601992075380</v>
      </c>
      <c r="B3784" s="1" t="s">
        <v>3807</v>
      </c>
      <c r="C3784" s="1" t="s">
        <v>24</v>
      </c>
      <c r="D3784" s="1" t="str">
        <f t="shared" si="7674"/>
        <v>2021</v>
      </c>
      <c r="E3784" s="1" t="str">
        <f t="shared" ref="E3784:P3784" si="7685">"0"</f>
        <v>0</v>
      </c>
      <c r="F3784" s="1" t="str">
        <f t="shared" si="7685"/>
        <v>0</v>
      </c>
      <c r="G3784" s="1" t="str">
        <f t="shared" si="7685"/>
        <v>0</v>
      </c>
      <c r="H3784" s="1" t="str">
        <f t="shared" si="7685"/>
        <v>0</v>
      </c>
      <c r="I3784" s="1" t="str">
        <f t="shared" si="7685"/>
        <v>0</v>
      </c>
      <c r="J3784" s="1" t="str">
        <f t="shared" si="7685"/>
        <v>0</v>
      </c>
      <c r="K3784" s="1" t="str">
        <f t="shared" si="7685"/>
        <v>0</v>
      </c>
      <c r="L3784" s="1" t="str">
        <f t="shared" si="7685"/>
        <v>0</v>
      </c>
      <c r="M3784" s="1" t="str">
        <f t="shared" si="7685"/>
        <v>0</v>
      </c>
      <c r="N3784" s="1" t="str">
        <f t="shared" si="7685"/>
        <v>0</v>
      </c>
      <c r="O3784" s="1" t="str">
        <f t="shared" si="7685"/>
        <v>0</v>
      </c>
      <c r="P3784" s="1" t="str">
        <f t="shared" si="7685"/>
        <v>0</v>
      </c>
      <c r="Q3784" s="1" t="str">
        <f t="shared" si="7676"/>
        <v>0.0070</v>
      </c>
      <c r="R3784" s="1" t="s">
        <v>25</v>
      </c>
      <c r="T3784" s="1" t="str">
        <f t="shared" si="7677"/>
        <v>0</v>
      </c>
      <c r="U3784" s="1" t="str">
        <f t="shared" si="7684"/>
        <v>0.0070</v>
      </c>
    </row>
    <row r="3785" s="1" customFormat="1" spans="1:21">
      <c r="A3785" s="1" t="str">
        <f>"4601992075381"</f>
        <v>4601992075381</v>
      </c>
      <c r="B3785" s="1" t="s">
        <v>3808</v>
      </c>
      <c r="C3785" s="1" t="s">
        <v>24</v>
      </c>
      <c r="D3785" s="1" t="str">
        <f t="shared" si="7674"/>
        <v>2021</v>
      </c>
      <c r="E3785" s="1" t="str">
        <f t="shared" ref="E3785:P3785" si="7686">"0"</f>
        <v>0</v>
      </c>
      <c r="F3785" s="1" t="str">
        <f t="shared" si="7686"/>
        <v>0</v>
      </c>
      <c r="G3785" s="1" t="str">
        <f t="shared" si="7686"/>
        <v>0</v>
      </c>
      <c r="H3785" s="1" t="str">
        <f t="shared" si="7686"/>
        <v>0</v>
      </c>
      <c r="I3785" s="1" t="str">
        <f t="shared" si="7686"/>
        <v>0</v>
      </c>
      <c r="J3785" s="1" t="str">
        <f t="shared" si="7686"/>
        <v>0</v>
      </c>
      <c r="K3785" s="1" t="str">
        <f t="shared" si="7686"/>
        <v>0</v>
      </c>
      <c r="L3785" s="1" t="str">
        <f t="shared" si="7686"/>
        <v>0</v>
      </c>
      <c r="M3785" s="1" t="str">
        <f t="shared" si="7686"/>
        <v>0</v>
      </c>
      <c r="N3785" s="1" t="str">
        <f t="shared" si="7686"/>
        <v>0</v>
      </c>
      <c r="O3785" s="1" t="str">
        <f t="shared" si="7686"/>
        <v>0</v>
      </c>
      <c r="P3785" s="1" t="str">
        <f t="shared" si="7686"/>
        <v>0</v>
      </c>
      <c r="Q3785" s="1" t="str">
        <f t="shared" si="7676"/>
        <v>0.0070</v>
      </c>
      <c r="R3785" s="1" t="s">
        <v>25</v>
      </c>
      <c r="T3785" s="1" t="str">
        <f t="shared" si="7677"/>
        <v>0</v>
      </c>
      <c r="U3785" s="1" t="str">
        <f t="shared" si="7684"/>
        <v>0.0070</v>
      </c>
    </row>
    <row r="3786" s="1" customFormat="1" spans="1:21">
      <c r="A3786" s="1" t="str">
        <f>"4601992075498"</f>
        <v>4601992075498</v>
      </c>
      <c r="B3786" s="1" t="s">
        <v>3809</v>
      </c>
      <c r="C3786" s="1" t="s">
        <v>24</v>
      </c>
      <c r="D3786" s="1" t="str">
        <f t="shared" si="7674"/>
        <v>2021</v>
      </c>
      <c r="E3786" s="1" t="str">
        <f t="shared" ref="E3786:P3786" si="7687">"0"</f>
        <v>0</v>
      </c>
      <c r="F3786" s="1" t="str">
        <f t="shared" si="7687"/>
        <v>0</v>
      </c>
      <c r="G3786" s="1" t="str">
        <f t="shared" si="7687"/>
        <v>0</v>
      </c>
      <c r="H3786" s="1" t="str">
        <f t="shared" si="7687"/>
        <v>0</v>
      </c>
      <c r="I3786" s="1" t="str">
        <f t="shared" si="7687"/>
        <v>0</v>
      </c>
      <c r="J3786" s="1" t="str">
        <f t="shared" si="7687"/>
        <v>0</v>
      </c>
      <c r="K3786" s="1" t="str">
        <f t="shared" si="7687"/>
        <v>0</v>
      </c>
      <c r="L3786" s="1" t="str">
        <f t="shared" si="7687"/>
        <v>0</v>
      </c>
      <c r="M3786" s="1" t="str">
        <f t="shared" si="7687"/>
        <v>0</v>
      </c>
      <c r="N3786" s="1" t="str">
        <f t="shared" si="7687"/>
        <v>0</v>
      </c>
      <c r="O3786" s="1" t="str">
        <f t="shared" si="7687"/>
        <v>0</v>
      </c>
      <c r="P3786" s="1" t="str">
        <f t="shared" si="7687"/>
        <v>0</v>
      </c>
      <c r="Q3786" s="1" t="str">
        <f t="shared" si="7676"/>
        <v>0.0070</v>
      </c>
      <c r="R3786" s="1" t="s">
        <v>25</v>
      </c>
      <c r="T3786" s="1" t="str">
        <f t="shared" si="7677"/>
        <v>0</v>
      </c>
      <c r="U3786" s="1" t="str">
        <f t="shared" si="7684"/>
        <v>0.0070</v>
      </c>
    </row>
    <row r="3787" s="1" customFormat="1" spans="1:21">
      <c r="A3787" s="1" t="str">
        <f>"4601992075411"</f>
        <v>4601992075411</v>
      </c>
      <c r="B3787" s="1" t="s">
        <v>3810</v>
      </c>
      <c r="C3787" s="1" t="s">
        <v>24</v>
      </c>
      <c r="D3787" s="1" t="str">
        <f t="shared" si="7674"/>
        <v>2021</v>
      </c>
      <c r="E3787" s="1" t="str">
        <f t="shared" ref="E3787:P3787" si="7688">"0"</f>
        <v>0</v>
      </c>
      <c r="F3787" s="1" t="str">
        <f t="shared" si="7688"/>
        <v>0</v>
      </c>
      <c r="G3787" s="1" t="str">
        <f t="shared" si="7688"/>
        <v>0</v>
      </c>
      <c r="H3787" s="1" t="str">
        <f t="shared" si="7688"/>
        <v>0</v>
      </c>
      <c r="I3787" s="1" t="str">
        <f t="shared" si="7688"/>
        <v>0</v>
      </c>
      <c r="J3787" s="1" t="str">
        <f t="shared" si="7688"/>
        <v>0</v>
      </c>
      <c r="K3787" s="1" t="str">
        <f t="shared" si="7688"/>
        <v>0</v>
      </c>
      <c r="L3787" s="1" t="str">
        <f t="shared" si="7688"/>
        <v>0</v>
      </c>
      <c r="M3787" s="1" t="str">
        <f t="shared" si="7688"/>
        <v>0</v>
      </c>
      <c r="N3787" s="1" t="str">
        <f t="shared" si="7688"/>
        <v>0</v>
      </c>
      <c r="O3787" s="1" t="str">
        <f t="shared" si="7688"/>
        <v>0</v>
      </c>
      <c r="P3787" s="1" t="str">
        <f t="shared" si="7688"/>
        <v>0</v>
      </c>
      <c r="Q3787" s="1" t="str">
        <f t="shared" si="7676"/>
        <v>0.0070</v>
      </c>
      <c r="R3787" s="1" t="s">
        <v>25</v>
      </c>
      <c r="T3787" s="1" t="str">
        <f t="shared" si="7677"/>
        <v>0</v>
      </c>
      <c r="U3787" s="1" t="str">
        <f t="shared" si="7684"/>
        <v>0.0070</v>
      </c>
    </row>
    <row r="3788" s="1" customFormat="1" spans="1:21">
      <c r="A3788" s="1" t="str">
        <f>"4601992075517"</f>
        <v>4601992075517</v>
      </c>
      <c r="B3788" s="1" t="s">
        <v>3811</v>
      </c>
      <c r="C3788" s="1" t="s">
        <v>24</v>
      </c>
      <c r="D3788" s="1" t="str">
        <f t="shared" si="7674"/>
        <v>2021</v>
      </c>
      <c r="E3788" s="1" t="str">
        <f t="shared" ref="E3788:P3788" si="7689">"0"</f>
        <v>0</v>
      </c>
      <c r="F3788" s="1" t="str">
        <f t="shared" si="7689"/>
        <v>0</v>
      </c>
      <c r="G3788" s="1" t="str">
        <f t="shared" si="7689"/>
        <v>0</v>
      </c>
      <c r="H3788" s="1" t="str">
        <f t="shared" si="7689"/>
        <v>0</v>
      </c>
      <c r="I3788" s="1" t="str">
        <f t="shared" si="7689"/>
        <v>0</v>
      </c>
      <c r="J3788" s="1" t="str">
        <f t="shared" si="7689"/>
        <v>0</v>
      </c>
      <c r="K3788" s="1" t="str">
        <f t="shared" si="7689"/>
        <v>0</v>
      </c>
      <c r="L3788" s="1" t="str">
        <f t="shared" si="7689"/>
        <v>0</v>
      </c>
      <c r="M3788" s="1" t="str">
        <f t="shared" si="7689"/>
        <v>0</v>
      </c>
      <c r="N3788" s="1" t="str">
        <f t="shared" si="7689"/>
        <v>0</v>
      </c>
      <c r="O3788" s="1" t="str">
        <f t="shared" si="7689"/>
        <v>0</v>
      </c>
      <c r="P3788" s="1" t="str">
        <f t="shared" si="7689"/>
        <v>0</v>
      </c>
      <c r="Q3788" s="1" t="str">
        <f t="shared" si="7676"/>
        <v>0.0070</v>
      </c>
      <c r="R3788" s="1" t="s">
        <v>25</v>
      </c>
      <c r="T3788" s="1" t="str">
        <f t="shared" si="7677"/>
        <v>0</v>
      </c>
      <c r="U3788" s="1" t="str">
        <f t="shared" si="7684"/>
        <v>0.0070</v>
      </c>
    </row>
    <row r="3789" s="1" customFormat="1" spans="1:21">
      <c r="A3789" s="1" t="str">
        <f>"4601992075501"</f>
        <v>4601992075501</v>
      </c>
      <c r="B3789" s="1" t="s">
        <v>3812</v>
      </c>
      <c r="C3789" s="1" t="s">
        <v>24</v>
      </c>
      <c r="D3789" s="1" t="str">
        <f t="shared" si="7674"/>
        <v>2021</v>
      </c>
      <c r="E3789" s="1" t="str">
        <f t="shared" ref="E3789:P3789" si="7690">"0"</f>
        <v>0</v>
      </c>
      <c r="F3789" s="1" t="str">
        <f t="shared" si="7690"/>
        <v>0</v>
      </c>
      <c r="G3789" s="1" t="str">
        <f t="shared" si="7690"/>
        <v>0</v>
      </c>
      <c r="H3789" s="1" t="str">
        <f t="shared" si="7690"/>
        <v>0</v>
      </c>
      <c r="I3789" s="1" t="str">
        <f t="shared" si="7690"/>
        <v>0</v>
      </c>
      <c r="J3789" s="1" t="str">
        <f t="shared" si="7690"/>
        <v>0</v>
      </c>
      <c r="K3789" s="1" t="str">
        <f t="shared" si="7690"/>
        <v>0</v>
      </c>
      <c r="L3789" s="1" t="str">
        <f t="shared" si="7690"/>
        <v>0</v>
      </c>
      <c r="M3789" s="1" t="str">
        <f t="shared" si="7690"/>
        <v>0</v>
      </c>
      <c r="N3789" s="1" t="str">
        <f t="shared" si="7690"/>
        <v>0</v>
      </c>
      <c r="O3789" s="1" t="str">
        <f t="shared" si="7690"/>
        <v>0</v>
      </c>
      <c r="P3789" s="1" t="str">
        <f t="shared" si="7690"/>
        <v>0</v>
      </c>
      <c r="Q3789" s="1" t="str">
        <f t="shared" si="7676"/>
        <v>0.0070</v>
      </c>
      <c r="R3789" s="1" t="s">
        <v>25</v>
      </c>
      <c r="T3789" s="1" t="str">
        <f t="shared" si="7677"/>
        <v>0</v>
      </c>
      <c r="U3789" s="1" t="str">
        <f t="shared" si="7684"/>
        <v>0.0070</v>
      </c>
    </row>
    <row r="3790" s="1" customFormat="1" spans="1:21">
      <c r="A3790" s="1" t="str">
        <f>"4601992076266"</f>
        <v>4601992076266</v>
      </c>
      <c r="B3790" s="1" t="s">
        <v>3813</v>
      </c>
      <c r="C3790" s="1" t="s">
        <v>24</v>
      </c>
      <c r="D3790" s="1" t="str">
        <f t="shared" si="7674"/>
        <v>2021</v>
      </c>
      <c r="E3790" s="1" t="str">
        <f t="shared" ref="E3790:P3790" si="7691">"0"</f>
        <v>0</v>
      </c>
      <c r="F3790" s="1" t="str">
        <f t="shared" si="7691"/>
        <v>0</v>
      </c>
      <c r="G3790" s="1" t="str">
        <f t="shared" si="7691"/>
        <v>0</v>
      </c>
      <c r="H3790" s="1" t="str">
        <f t="shared" si="7691"/>
        <v>0</v>
      </c>
      <c r="I3790" s="1" t="str">
        <f t="shared" si="7691"/>
        <v>0</v>
      </c>
      <c r="J3790" s="1" t="str">
        <f t="shared" si="7691"/>
        <v>0</v>
      </c>
      <c r="K3790" s="1" t="str">
        <f t="shared" si="7691"/>
        <v>0</v>
      </c>
      <c r="L3790" s="1" t="str">
        <f t="shared" si="7691"/>
        <v>0</v>
      </c>
      <c r="M3790" s="1" t="str">
        <f t="shared" si="7691"/>
        <v>0</v>
      </c>
      <c r="N3790" s="1" t="str">
        <f t="shared" si="7691"/>
        <v>0</v>
      </c>
      <c r="O3790" s="1" t="str">
        <f t="shared" si="7691"/>
        <v>0</v>
      </c>
      <c r="P3790" s="1" t="str">
        <f t="shared" si="7691"/>
        <v>0</v>
      </c>
      <c r="Q3790" s="1" t="str">
        <f t="shared" si="7676"/>
        <v>0.0070</v>
      </c>
      <c r="R3790" s="1" t="s">
        <v>25</v>
      </c>
      <c r="T3790" s="1" t="str">
        <f t="shared" si="7677"/>
        <v>0</v>
      </c>
      <c r="U3790" s="1" t="str">
        <f t="shared" si="7684"/>
        <v>0.0070</v>
      </c>
    </row>
    <row r="3791" s="1" customFormat="1" spans="1:21">
      <c r="A3791" s="1" t="str">
        <f>"4601992075524"</f>
        <v>4601992075524</v>
      </c>
      <c r="B3791" s="1" t="s">
        <v>3814</v>
      </c>
      <c r="C3791" s="1" t="s">
        <v>24</v>
      </c>
      <c r="D3791" s="1" t="str">
        <f t="shared" si="7674"/>
        <v>2021</v>
      </c>
      <c r="E3791" s="1" t="str">
        <f t="shared" ref="E3791:P3791" si="7692">"0"</f>
        <v>0</v>
      </c>
      <c r="F3791" s="1" t="str">
        <f t="shared" si="7692"/>
        <v>0</v>
      </c>
      <c r="G3791" s="1" t="str">
        <f t="shared" si="7692"/>
        <v>0</v>
      </c>
      <c r="H3791" s="1" t="str">
        <f t="shared" si="7692"/>
        <v>0</v>
      </c>
      <c r="I3791" s="1" t="str">
        <f t="shared" si="7692"/>
        <v>0</v>
      </c>
      <c r="J3791" s="1" t="str">
        <f t="shared" si="7692"/>
        <v>0</v>
      </c>
      <c r="K3791" s="1" t="str">
        <f t="shared" si="7692"/>
        <v>0</v>
      </c>
      <c r="L3791" s="1" t="str">
        <f t="shared" si="7692"/>
        <v>0</v>
      </c>
      <c r="M3791" s="1" t="str">
        <f t="shared" si="7692"/>
        <v>0</v>
      </c>
      <c r="N3791" s="1" t="str">
        <f t="shared" si="7692"/>
        <v>0</v>
      </c>
      <c r="O3791" s="1" t="str">
        <f t="shared" si="7692"/>
        <v>0</v>
      </c>
      <c r="P3791" s="1" t="str">
        <f t="shared" si="7692"/>
        <v>0</v>
      </c>
      <c r="Q3791" s="1" t="str">
        <f t="shared" si="7676"/>
        <v>0.0070</v>
      </c>
      <c r="R3791" s="1" t="s">
        <v>25</v>
      </c>
      <c r="T3791" s="1" t="str">
        <f t="shared" si="7677"/>
        <v>0</v>
      </c>
      <c r="U3791" s="1" t="str">
        <f t="shared" si="7684"/>
        <v>0.0070</v>
      </c>
    </row>
    <row r="3792" s="1" customFormat="1" spans="1:21">
      <c r="A3792" s="1" t="str">
        <f>"4601992076570"</f>
        <v>4601992076570</v>
      </c>
      <c r="B3792" s="1" t="s">
        <v>3815</v>
      </c>
      <c r="C3792" s="1" t="s">
        <v>24</v>
      </c>
      <c r="D3792" s="1" t="str">
        <f t="shared" si="7674"/>
        <v>2021</v>
      </c>
      <c r="E3792" s="1" t="str">
        <f t="shared" ref="E3792:P3792" si="7693">"0"</f>
        <v>0</v>
      </c>
      <c r="F3792" s="1" t="str">
        <f t="shared" si="7693"/>
        <v>0</v>
      </c>
      <c r="G3792" s="1" t="str">
        <f t="shared" si="7693"/>
        <v>0</v>
      </c>
      <c r="H3792" s="1" t="str">
        <f t="shared" si="7693"/>
        <v>0</v>
      </c>
      <c r="I3792" s="1" t="str">
        <f t="shared" si="7693"/>
        <v>0</v>
      </c>
      <c r="J3792" s="1" t="str">
        <f t="shared" si="7693"/>
        <v>0</v>
      </c>
      <c r="K3792" s="1" t="str">
        <f t="shared" si="7693"/>
        <v>0</v>
      </c>
      <c r="L3792" s="1" t="str">
        <f t="shared" si="7693"/>
        <v>0</v>
      </c>
      <c r="M3792" s="1" t="str">
        <f t="shared" si="7693"/>
        <v>0</v>
      </c>
      <c r="N3792" s="1" t="str">
        <f t="shared" si="7693"/>
        <v>0</v>
      </c>
      <c r="O3792" s="1" t="str">
        <f t="shared" si="7693"/>
        <v>0</v>
      </c>
      <c r="P3792" s="1" t="str">
        <f t="shared" si="7693"/>
        <v>0</v>
      </c>
      <c r="Q3792" s="1" t="str">
        <f t="shared" si="7676"/>
        <v>0.0070</v>
      </c>
      <c r="R3792" s="1" t="s">
        <v>25</v>
      </c>
      <c r="T3792" s="1" t="str">
        <f t="shared" si="7677"/>
        <v>0</v>
      </c>
      <c r="U3792" s="1" t="str">
        <f t="shared" si="7684"/>
        <v>0.0070</v>
      </c>
    </row>
    <row r="3793" s="1" customFormat="1" spans="1:21">
      <c r="A3793" s="1" t="str">
        <f>"4601992076630"</f>
        <v>4601992076630</v>
      </c>
      <c r="B3793" s="1" t="s">
        <v>3816</v>
      </c>
      <c r="C3793" s="1" t="s">
        <v>24</v>
      </c>
      <c r="D3793" s="1" t="str">
        <f t="shared" si="7674"/>
        <v>2021</v>
      </c>
      <c r="E3793" s="1" t="str">
        <f t="shared" ref="E3793:P3793" si="7694">"0"</f>
        <v>0</v>
      </c>
      <c r="F3793" s="1" t="str">
        <f t="shared" si="7694"/>
        <v>0</v>
      </c>
      <c r="G3793" s="1" t="str">
        <f t="shared" si="7694"/>
        <v>0</v>
      </c>
      <c r="H3793" s="1" t="str">
        <f t="shared" si="7694"/>
        <v>0</v>
      </c>
      <c r="I3793" s="1" t="str">
        <f t="shared" si="7694"/>
        <v>0</v>
      </c>
      <c r="J3793" s="1" t="str">
        <f t="shared" si="7694"/>
        <v>0</v>
      </c>
      <c r="K3793" s="1" t="str">
        <f t="shared" si="7694"/>
        <v>0</v>
      </c>
      <c r="L3793" s="1" t="str">
        <f t="shared" si="7694"/>
        <v>0</v>
      </c>
      <c r="M3793" s="1" t="str">
        <f t="shared" si="7694"/>
        <v>0</v>
      </c>
      <c r="N3793" s="1" t="str">
        <f t="shared" si="7694"/>
        <v>0</v>
      </c>
      <c r="O3793" s="1" t="str">
        <f t="shared" si="7694"/>
        <v>0</v>
      </c>
      <c r="P3793" s="1" t="str">
        <f t="shared" si="7694"/>
        <v>0</v>
      </c>
      <c r="Q3793" s="1" t="str">
        <f t="shared" si="7676"/>
        <v>0.0070</v>
      </c>
      <c r="R3793" s="1" t="s">
        <v>25</v>
      </c>
      <c r="T3793" s="1" t="str">
        <f t="shared" si="7677"/>
        <v>0</v>
      </c>
      <c r="U3793" s="1" t="str">
        <f t="shared" si="7684"/>
        <v>0.0070</v>
      </c>
    </row>
    <row r="3794" s="1" customFormat="1" spans="1:21">
      <c r="A3794" s="1" t="str">
        <f>"4601992076609"</f>
        <v>4601992076609</v>
      </c>
      <c r="B3794" s="1" t="s">
        <v>3817</v>
      </c>
      <c r="C3794" s="1" t="s">
        <v>24</v>
      </c>
      <c r="D3794" s="1" t="str">
        <f t="shared" si="7674"/>
        <v>2021</v>
      </c>
      <c r="E3794" s="1" t="str">
        <f t="shared" ref="E3794:P3794" si="7695">"0"</f>
        <v>0</v>
      </c>
      <c r="F3794" s="1" t="str">
        <f t="shared" si="7695"/>
        <v>0</v>
      </c>
      <c r="G3794" s="1" t="str">
        <f t="shared" si="7695"/>
        <v>0</v>
      </c>
      <c r="H3794" s="1" t="str">
        <f t="shared" si="7695"/>
        <v>0</v>
      </c>
      <c r="I3794" s="1" t="str">
        <f t="shared" si="7695"/>
        <v>0</v>
      </c>
      <c r="J3794" s="1" t="str">
        <f t="shared" si="7695"/>
        <v>0</v>
      </c>
      <c r="K3794" s="1" t="str">
        <f t="shared" si="7695"/>
        <v>0</v>
      </c>
      <c r="L3794" s="1" t="str">
        <f t="shared" si="7695"/>
        <v>0</v>
      </c>
      <c r="M3794" s="1" t="str">
        <f t="shared" si="7695"/>
        <v>0</v>
      </c>
      <c r="N3794" s="1" t="str">
        <f t="shared" si="7695"/>
        <v>0</v>
      </c>
      <c r="O3794" s="1" t="str">
        <f t="shared" si="7695"/>
        <v>0</v>
      </c>
      <c r="P3794" s="1" t="str">
        <f t="shared" si="7695"/>
        <v>0</v>
      </c>
      <c r="Q3794" s="1" t="str">
        <f t="shared" si="7676"/>
        <v>0.0070</v>
      </c>
      <c r="R3794" s="1" t="s">
        <v>25</v>
      </c>
      <c r="T3794" s="1" t="str">
        <f t="shared" si="7677"/>
        <v>0</v>
      </c>
      <c r="U3794" s="1" t="str">
        <f t="shared" si="7684"/>
        <v>0.0070</v>
      </c>
    </row>
    <row r="3795" s="1" customFormat="1" spans="1:21">
      <c r="A3795" s="1" t="str">
        <f>"4601992076644"</f>
        <v>4601992076644</v>
      </c>
      <c r="B3795" s="1" t="s">
        <v>3818</v>
      </c>
      <c r="C3795" s="1" t="s">
        <v>24</v>
      </c>
      <c r="D3795" s="1" t="str">
        <f t="shared" si="7674"/>
        <v>2021</v>
      </c>
      <c r="E3795" s="1" t="str">
        <f t="shared" ref="E3795:P3795" si="7696">"0"</f>
        <v>0</v>
      </c>
      <c r="F3795" s="1" t="str">
        <f t="shared" si="7696"/>
        <v>0</v>
      </c>
      <c r="G3795" s="1" t="str">
        <f t="shared" si="7696"/>
        <v>0</v>
      </c>
      <c r="H3795" s="1" t="str">
        <f t="shared" si="7696"/>
        <v>0</v>
      </c>
      <c r="I3795" s="1" t="str">
        <f t="shared" si="7696"/>
        <v>0</v>
      </c>
      <c r="J3795" s="1" t="str">
        <f t="shared" si="7696"/>
        <v>0</v>
      </c>
      <c r="K3795" s="1" t="str">
        <f t="shared" si="7696"/>
        <v>0</v>
      </c>
      <c r="L3795" s="1" t="str">
        <f t="shared" si="7696"/>
        <v>0</v>
      </c>
      <c r="M3795" s="1" t="str">
        <f t="shared" si="7696"/>
        <v>0</v>
      </c>
      <c r="N3795" s="1" t="str">
        <f t="shared" si="7696"/>
        <v>0</v>
      </c>
      <c r="O3795" s="1" t="str">
        <f t="shared" si="7696"/>
        <v>0</v>
      </c>
      <c r="P3795" s="1" t="str">
        <f t="shared" si="7696"/>
        <v>0</v>
      </c>
      <c r="Q3795" s="1" t="str">
        <f t="shared" si="7676"/>
        <v>0.0070</v>
      </c>
      <c r="R3795" s="1" t="s">
        <v>25</v>
      </c>
      <c r="T3795" s="1" t="str">
        <f t="shared" si="7677"/>
        <v>0</v>
      </c>
      <c r="U3795" s="1" t="str">
        <f t="shared" si="7684"/>
        <v>0.0070</v>
      </c>
    </row>
    <row r="3796" s="1" customFormat="1" spans="1:21">
      <c r="A3796" s="1" t="str">
        <f>"4601992076656"</f>
        <v>4601992076656</v>
      </c>
      <c r="B3796" s="1" t="s">
        <v>3819</v>
      </c>
      <c r="C3796" s="1" t="s">
        <v>24</v>
      </c>
      <c r="D3796" s="1" t="str">
        <f t="shared" si="7674"/>
        <v>2021</v>
      </c>
      <c r="E3796" s="1" t="str">
        <f t="shared" ref="E3796:P3796" si="7697">"0"</f>
        <v>0</v>
      </c>
      <c r="F3796" s="1" t="str">
        <f t="shared" si="7697"/>
        <v>0</v>
      </c>
      <c r="G3796" s="1" t="str">
        <f t="shared" si="7697"/>
        <v>0</v>
      </c>
      <c r="H3796" s="1" t="str">
        <f t="shared" si="7697"/>
        <v>0</v>
      </c>
      <c r="I3796" s="1" t="str">
        <f t="shared" si="7697"/>
        <v>0</v>
      </c>
      <c r="J3796" s="1" t="str">
        <f t="shared" si="7697"/>
        <v>0</v>
      </c>
      <c r="K3796" s="1" t="str">
        <f t="shared" si="7697"/>
        <v>0</v>
      </c>
      <c r="L3796" s="1" t="str">
        <f t="shared" si="7697"/>
        <v>0</v>
      </c>
      <c r="M3796" s="1" t="str">
        <f t="shared" si="7697"/>
        <v>0</v>
      </c>
      <c r="N3796" s="1" t="str">
        <f t="shared" si="7697"/>
        <v>0</v>
      </c>
      <c r="O3796" s="1" t="str">
        <f t="shared" si="7697"/>
        <v>0</v>
      </c>
      <c r="P3796" s="1" t="str">
        <f t="shared" si="7697"/>
        <v>0</v>
      </c>
      <c r="Q3796" s="1" t="str">
        <f t="shared" si="7676"/>
        <v>0.0070</v>
      </c>
      <c r="R3796" s="1" t="s">
        <v>25</v>
      </c>
      <c r="T3796" s="1" t="str">
        <f t="shared" si="7677"/>
        <v>0</v>
      </c>
      <c r="U3796" s="1" t="str">
        <f t="shared" si="7684"/>
        <v>0.0070</v>
      </c>
    </row>
    <row r="3797" s="1" customFormat="1" spans="1:21">
      <c r="A3797" s="1" t="str">
        <f>"4601992076677"</f>
        <v>4601992076677</v>
      </c>
      <c r="B3797" s="1" t="s">
        <v>3820</v>
      </c>
      <c r="C3797" s="1" t="s">
        <v>24</v>
      </c>
      <c r="D3797" s="1" t="str">
        <f t="shared" si="7674"/>
        <v>2021</v>
      </c>
      <c r="E3797" s="1" t="str">
        <f t="shared" ref="E3797:P3797" si="7698">"0"</f>
        <v>0</v>
      </c>
      <c r="F3797" s="1" t="str">
        <f t="shared" si="7698"/>
        <v>0</v>
      </c>
      <c r="G3797" s="1" t="str">
        <f t="shared" si="7698"/>
        <v>0</v>
      </c>
      <c r="H3797" s="1" t="str">
        <f t="shared" si="7698"/>
        <v>0</v>
      </c>
      <c r="I3797" s="1" t="str">
        <f t="shared" si="7698"/>
        <v>0</v>
      </c>
      <c r="J3797" s="1" t="str">
        <f t="shared" si="7698"/>
        <v>0</v>
      </c>
      <c r="K3797" s="1" t="str">
        <f t="shared" si="7698"/>
        <v>0</v>
      </c>
      <c r="L3797" s="1" t="str">
        <f t="shared" si="7698"/>
        <v>0</v>
      </c>
      <c r="M3797" s="1" t="str">
        <f t="shared" si="7698"/>
        <v>0</v>
      </c>
      <c r="N3797" s="1" t="str">
        <f t="shared" si="7698"/>
        <v>0</v>
      </c>
      <c r="O3797" s="1" t="str">
        <f t="shared" si="7698"/>
        <v>0</v>
      </c>
      <c r="P3797" s="1" t="str">
        <f t="shared" si="7698"/>
        <v>0</v>
      </c>
      <c r="Q3797" s="1" t="str">
        <f t="shared" si="7676"/>
        <v>0.0070</v>
      </c>
      <c r="R3797" s="1" t="s">
        <v>25</v>
      </c>
      <c r="T3797" s="1" t="str">
        <f t="shared" si="7677"/>
        <v>0</v>
      </c>
      <c r="U3797" s="1" t="str">
        <f t="shared" si="7684"/>
        <v>0.0070</v>
      </c>
    </row>
    <row r="3798" s="1" customFormat="1" spans="1:21">
      <c r="A3798" s="1" t="str">
        <f>"4601992077004"</f>
        <v>4601992077004</v>
      </c>
      <c r="B3798" s="1" t="s">
        <v>3821</v>
      </c>
      <c r="C3798" s="1" t="s">
        <v>24</v>
      </c>
      <c r="D3798" s="1" t="str">
        <f t="shared" si="7674"/>
        <v>2021</v>
      </c>
      <c r="E3798" s="1" t="str">
        <f t="shared" ref="E3798:P3798" si="7699">"0"</f>
        <v>0</v>
      </c>
      <c r="F3798" s="1" t="str">
        <f t="shared" si="7699"/>
        <v>0</v>
      </c>
      <c r="G3798" s="1" t="str">
        <f t="shared" si="7699"/>
        <v>0</v>
      </c>
      <c r="H3798" s="1" t="str">
        <f t="shared" si="7699"/>
        <v>0</v>
      </c>
      <c r="I3798" s="1" t="str">
        <f t="shared" si="7699"/>
        <v>0</v>
      </c>
      <c r="J3798" s="1" t="str">
        <f t="shared" si="7699"/>
        <v>0</v>
      </c>
      <c r="K3798" s="1" t="str">
        <f t="shared" si="7699"/>
        <v>0</v>
      </c>
      <c r="L3798" s="1" t="str">
        <f t="shared" si="7699"/>
        <v>0</v>
      </c>
      <c r="M3798" s="1" t="str">
        <f t="shared" si="7699"/>
        <v>0</v>
      </c>
      <c r="N3798" s="1" t="str">
        <f t="shared" si="7699"/>
        <v>0</v>
      </c>
      <c r="O3798" s="1" t="str">
        <f t="shared" si="7699"/>
        <v>0</v>
      </c>
      <c r="P3798" s="1" t="str">
        <f t="shared" si="7699"/>
        <v>0</v>
      </c>
      <c r="Q3798" s="1" t="str">
        <f t="shared" si="7676"/>
        <v>0.0070</v>
      </c>
      <c r="R3798" s="1" t="s">
        <v>25</v>
      </c>
      <c r="T3798" s="1" t="str">
        <f t="shared" si="7677"/>
        <v>0</v>
      </c>
      <c r="U3798" s="1" t="str">
        <f t="shared" si="7684"/>
        <v>0.0070</v>
      </c>
    </row>
    <row r="3799" s="1" customFormat="1" spans="1:21">
      <c r="A3799" s="1" t="str">
        <f>"4601992077010"</f>
        <v>4601992077010</v>
      </c>
      <c r="B3799" s="1" t="s">
        <v>3822</v>
      </c>
      <c r="C3799" s="1" t="s">
        <v>24</v>
      </c>
      <c r="D3799" s="1" t="str">
        <f t="shared" si="7674"/>
        <v>2021</v>
      </c>
      <c r="E3799" s="1" t="str">
        <f t="shared" ref="E3799:P3799" si="7700">"0"</f>
        <v>0</v>
      </c>
      <c r="F3799" s="1" t="str">
        <f t="shared" si="7700"/>
        <v>0</v>
      </c>
      <c r="G3799" s="1" t="str">
        <f t="shared" si="7700"/>
        <v>0</v>
      </c>
      <c r="H3799" s="1" t="str">
        <f t="shared" si="7700"/>
        <v>0</v>
      </c>
      <c r="I3799" s="1" t="str">
        <f t="shared" si="7700"/>
        <v>0</v>
      </c>
      <c r="J3799" s="1" t="str">
        <f t="shared" si="7700"/>
        <v>0</v>
      </c>
      <c r="K3799" s="1" t="str">
        <f t="shared" si="7700"/>
        <v>0</v>
      </c>
      <c r="L3799" s="1" t="str">
        <f t="shared" si="7700"/>
        <v>0</v>
      </c>
      <c r="M3799" s="1" t="str">
        <f t="shared" si="7700"/>
        <v>0</v>
      </c>
      <c r="N3799" s="1" t="str">
        <f t="shared" si="7700"/>
        <v>0</v>
      </c>
      <c r="O3799" s="1" t="str">
        <f t="shared" si="7700"/>
        <v>0</v>
      </c>
      <c r="P3799" s="1" t="str">
        <f t="shared" si="7700"/>
        <v>0</v>
      </c>
      <c r="Q3799" s="1" t="str">
        <f t="shared" si="7676"/>
        <v>0.0070</v>
      </c>
      <c r="R3799" s="1" t="s">
        <v>25</v>
      </c>
      <c r="T3799" s="1" t="str">
        <f t="shared" si="7677"/>
        <v>0</v>
      </c>
      <c r="U3799" s="1" t="str">
        <f t="shared" si="7684"/>
        <v>0.0070</v>
      </c>
    </row>
    <row r="3800" s="1" customFormat="1" spans="1:21">
      <c r="A3800" s="1" t="str">
        <f>"4601992076607"</f>
        <v>4601992076607</v>
      </c>
      <c r="B3800" s="1" t="s">
        <v>3823</v>
      </c>
      <c r="C3800" s="1" t="s">
        <v>24</v>
      </c>
      <c r="D3800" s="1" t="str">
        <f t="shared" si="7674"/>
        <v>2021</v>
      </c>
      <c r="E3800" s="1" t="str">
        <f>"120.90"</f>
        <v>120.90</v>
      </c>
      <c r="F3800" s="1" t="str">
        <f t="shared" ref="F3800:I3800" si="7701">"0"</f>
        <v>0</v>
      </c>
      <c r="G3800" s="1" t="str">
        <f t="shared" si="7701"/>
        <v>0</v>
      </c>
      <c r="H3800" s="1" t="str">
        <f t="shared" si="7701"/>
        <v>0</v>
      </c>
      <c r="I3800" s="1" t="str">
        <f t="shared" si="7701"/>
        <v>0</v>
      </c>
      <c r="J3800" s="1" t="str">
        <f>"7"</f>
        <v>7</v>
      </c>
      <c r="K3800" s="1" t="str">
        <f t="shared" ref="K3800:P3800" si="7702">"0"</f>
        <v>0</v>
      </c>
      <c r="L3800" s="1" t="str">
        <f t="shared" si="7702"/>
        <v>0</v>
      </c>
      <c r="M3800" s="1" t="str">
        <f t="shared" si="7702"/>
        <v>0</v>
      </c>
      <c r="N3800" s="1" t="str">
        <f t="shared" si="7702"/>
        <v>0</v>
      </c>
      <c r="O3800" s="1" t="str">
        <f t="shared" si="7702"/>
        <v>0</v>
      </c>
      <c r="P3800" s="1" t="str">
        <f t="shared" si="7702"/>
        <v>0</v>
      </c>
      <c r="Q3800" s="1" t="str">
        <f t="shared" si="7676"/>
        <v>0.0070</v>
      </c>
      <c r="R3800" s="1" t="s">
        <v>29</v>
      </c>
      <c r="S3800" s="1">
        <v>-0.0014</v>
      </c>
      <c r="T3800" s="1" t="str">
        <f t="shared" si="7677"/>
        <v>0</v>
      </c>
      <c r="U3800" s="1" t="str">
        <f>"0.0056"</f>
        <v>0.0056</v>
      </c>
    </row>
    <row r="3801" s="1" customFormat="1" spans="1:21">
      <c r="A3801" s="1" t="str">
        <f>"4601992077021"</f>
        <v>4601992077021</v>
      </c>
      <c r="B3801" s="1" t="s">
        <v>3824</v>
      </c>
      <c r="C3801" s="1" t="s">
        <v>24</v>
      </c>
      <c r="D3801" s="1" t="str">
        <f t="shared" si="7674"/>
        <v>2021</v>
      </c>
      <c r="E3801" s="1" t="str">
        <f t="shared" ref="E3801:P3801" si="7703">"0"</f>
        <v>0</v>
      </c>
      <c r="F3801" s="1" t="str">
        <f t="shared" si="7703"/>
        <v>0</v>
      </c>
      <c r="G3801" s="1" t="str">
        <f t="shared" si="7703"/>
        <v>0</v>
      </c>
      <c r="H3801" s="1" t="str">
        <f t="shared" si="7703"/>
        <v>0</v>
      </c>
      <c r="I3801" s="1" t="str">
        <f t="shared" si="7703"/>
        <v>0</v>
      </c>
      <c r="J3801" s="1" t="str">
        <f t="shared" si="7703"/>
        <v>0</v>
      </c>
      <c r="K3801" s="1" t="str">
        <f t="shared" si="7703"/>
        <v>0</v>
      </c>
      <c r="L3801" s="1" t="str">
        <f t="shared" si="7703"/>
        <v>0</v>
      </c>
      <c r="M3801" s="1" t="str">
        <f t="shared" si="7703"/>
        <v>0</v>
      </c>
      <c r="N3801" s="1" t="str">
        <f t="shared" si="7703"/>
        <v>0</v>
      </c>
      <c r="O3801" s="1" t="str">
        <f t="shared" si="7703"/>
        <v>0</v>
      </c>
      <c r="P3801" s="1" t="str">
        <f t="shared" si="7703"/>
        <v>0</v>
      </c>
      <c r="Q3801" s="1" t="str">
        <f t="shared" si="7676"/>
        <v>0.0070</v>
      </c>
      <c r="R3801" s="1" t="s">
        <v>25</v>
      </c>
      <c r="T3801" s="1" t="str">
        <f t="shared" si="7677"/>
        <v>0</v>
      </c>
      <c r="U3801" s="1" t="str">
        <f t="shared" ref="U3801:U3864" si="7704">"0.0070"</f>
        <v>0.0070</v>
      </c>
    </row>
    <row r="3802" s="1" customFormat="1" spans="1:21">
      <c r="A3802" s="1" t="str">
        <f>"4601992077007"</f>
        <v>4601992077007</v>
      </c>
      <c r="B3802" s="1" t="s">
        <v>3825</v>
      </c>
      <c r="C3802" s="1" t="s">
        <v>24</v>
      </c>
      <c r="D3802" s="1" t="str">
        <f t="shared" si="7674"/>
        <v>2021</v>
      </c>
      <c r="E3802" s="1" t="str">
        <f t="shared" ref="E3802:I3802" si="7705">"0"</f>
        <v>0</v>
      </c>
      <c r="F3802" s="1" t="str">
        <f t="shared" si="7705"/>
        <v>0</v>
      </c>
      <c r="G3802" s="1" t="str">
        <f t="shared" si="7705"/>
        <v>0</v>
      </c>
      <c r="H3802" s="1" t="str">
        <f t="shared" si="7705"/>
        <v>0</v>
      </c>
      <c r="I3802" s="1" t="str">
        <f t="shared" si="7705"/>
        <v>0</v>
      </c>
      <c r="J3802" s="1" t="str">
        <f>"1"</f>
        <v>1</v>
      </c>
      <c r="K3802" s="1" t="str">
        <f t="shared" ref="K3802:P3802" si="7706">"0"</f>
        <v>0</v>
      </c>
      <c r="L3802" s="1" t="str">
        <f t="shared" si="7706"/>
        <v>0</v>
      </c>
      <c r="M3802" s="1" t="str">
        <f t="shared" si="7706"/>
        <v>0</v>
      </c>
      <c r="N3802" s="1" t="str">
        <f t="shared" si="7706"/>
        <v>0</v>
      </c>
      <c r="O3802" s="1" t="str">
        <f t="shared" si="7706"/>
        <v>0</v>
      </c>
      <c r="P3802" s="1" t="str">
        <f t="shared" si="7706"/>
        <v>0</v>
      </c>
      <c r="Q3802" s="1" t="str">
        <f t="shared" si="7676"/>
        <v>0.0070</v>
      </c>
      <c r="R3802" s="1" t="s">
        <v>25</v>
      </c>
      <c r="T3802" s="1" t="str">
        <f t="shared" si="7677"/>
        <v>0</v>
      </c>
      <c r="U3802" s="1" t="str">
        <f t="shared" si="7704"/>
        <v>0.0070</v>
      </c>
    </row>
    <row r="3803" s="1" customFormat="1" spans="1:21">
      <c r="A3803" s="1" t="str">
        <f>"4601992077065"</f>
        <v>4601992077065</v>
      </c>
      <c r="B3803" s="1" t="s">
        <v>3826</v>
      </c>
      <c r="C3803" s="1" t="s">
        <v>24</v>
      </c>
      <c r="D3803" s="1" t="str">
        <f t="shared" si="7674"/>
        <v>2021</v>
      </c>
      <c r="E3803" s="1" t="str">
        <f t="shared" ref="E3803:P3803" si="7707">"0"</f>
        <v>0</v>
      </c>
      <c r="F3803" s="1" t="str">
        <f t="shared" si="7707"/>
        <v>0</v>
      </c>
      <c r="G3803" s="1" t="str">
        <f t="shared" si="7707"/>
        <v>0</v>
      </c>
      <c r="H3803" s="1" t="str">
        <f t="shared" si="7707"/>
        <v>0</v>
      </c>
      <c r="I3803" s="1" t="str">
        <f t="shared" si="7707"/>
        <v>0</v>
      </c>
      <c r="J3803" s="1" t="str">
        <f t="shared" si="7707"/>
        <v>0</v>
      </c>
      <c r="K3803" s="1" t="str">
        <f t="shared" si="7707"/>
        <v>0</v>
      </c>
      <c r="L3803" s="1" t="str">
        <f t="shared" si="7707"/>
        <v>0</v>
      </c>
      <c r="M3803" s="1" t="str">
        <f t="shared" si="7707"/>
        <v>0</v>
      </c>
      <c r="N3803" s="1" t="str">
        <f t="shared" si="7707"/>
        <v>0</v>
      </c>
      <c r="O3803" s="1" t="str">
        <f t="shared" si="7707"/>
        <v>0</v>
      </c>
      <c r="P3803" s="1" t="str">
        <f t="shared" si="7707"/>
        <v>0</v>
      </c>
      <c r="Q3803" s="1" t="str">
        <f t="shared" si="7676"/>
        <v>0.0070</v>
      </c>
      <c r="R3803" s="1" t="s">
        <v>25</v>
      </c>
      <c r="T3803" s="1" t="str">
        <f t="shared" si="7677"/>
        <v>0</v>
      </c>
      <c r="U3803" s="1" t="str">
        <f t="shared" si="7704"/>
        <v>0.0070</v>
      </c>
    </row>
    <row r="3804" s="1" customFormat="1" spans="1:21">
      <c r="A3804" s="1" t="str">
        <f>"4601992077067"</f>
        <v>4601992077067</v>
      </c>
      <c r="B3804" s="1" t="s">
        <v>3827</v>
      </c>
      <c r="C3804" s="1" t="s">
        <v>24</v>
      </c>
      <c r="D3804" s="1" t="str">
        <f t="shared" si="7674"/>
        <v>2021</v>
      </c>
      <c r="E3804" s="1" t="str">
        <f t="shared" ref="E3804:P3804" si="7708">"0"</f>
        <v>0</v>
      </c>
      <c r="F3804" s="1" t="str">
        <f t="shared" si="7708"/>
        <v>0</v>
      </c>
      <c r="G3804" s="1" t="str">
        <f t="shared" si="7708"/>
        <v>0</v>
      </c>
      <c r="H3804" s="1" t="str">
        <f t="shared" si="7708"/>
        <v>0</v>
      </c>
      <c r="I3804" s="1" t="str">
        <f t="shared" si="7708"/>
        <v>0</v>
      </c>
      <c r="J3804" s="1" t="str">
        <f t="shared" si="7708"/>
        <v>0</v>
      </c>
      <c r="K3804" s="1" t="str">
        <f t="shared" si="7708"/>
        <v>0</v>
      </c>
      <c r="L3804" s="1" t="str">
        <f t="shared" si="7708"/>
        <v>0</v>
      </c>
      <c r="M3804" s="1" t="str">
        <f t="shared" si="7708"/>
        <v>0</v>
      </c>
      <c r="N3804" s="1" t="str">
        <f t="shared" si="7708"/>
        <v>0</v>
      </c>
      <c r="O3804" s="1" t="str">
        <f t="shared" si="7708"/>
        <v>0</v>
      </c>
      <c r="P3804" s="1" t="str">
        <f t="shared" si="7708"/>
        <v>0</v>
      </c>
      <c r="Q3804" s="1" t="str">
        <f t="shared" si="7676"/>
        <v>0.0070</v>
      </c>
      <c r="R3804" s="1" t="s">
        <v>25</v>
      </c>
      <c r="T3804" s="1" t="str">
        <f t="shared" si="7677"/>
        <v>0</v>
      </c>
      <c r="U3804" s="1" t="str">
        <f t="shared" si="7704"/>
        <v>0.0070</v>
      </c>
    </row>
    <row r="3805" s="1" customFormat="1" spans="1:21">
      <c r="A3805" s="1" t="str">
        <f>"4601992077084"</f>
        <v>4601992077084</v>
      </c>
      <c r="B3805" s="1" t="s">
        <v>3828</v>
      </c>
      <c r="C3805" s="1" t="s">
        <v>24</v>
      </c>
      <c r="D3805" s="1" t="str">
        <f t="shared" si="7674"/>
        <v>2021</v>
      </c>
      <c r="E3805" s="1" t="str">
        <f t="shared" ref="E3805:P3805" si="7709">"0"</f>
        <v>0</v>
      </c>
      <c r="F3805" s="1" t="str">
        <f t="shared" si="7709"/>
        <v>0</v>
      </c>
      <c r="G3805" s="1" t="str">
        <f t="shared" si="7709"/>
        <v>0</v>
      </c>
      <c r="H3805" s="1" t="str">
        <f t="shared" si="7709"/>
        <v>0</v>
      </c>
      <c r="I3805" s="1" t="str">
        <f t="shared" si="7709"/>
        <v>0</v>
      </c>
      <c r="J3805" s="1" t="str">
        <f t="shared" si="7709"/>
        <v>0</v>
      </c>
      <c r="K3805" s="1" t="str">
        <f t="shared" si="7709"/>
        <v>0</v>
      </c>
      <c r="L3805" s="1" t="str">
        <f t="shared" si="7709"/>
        <v>0</v>
      </c>
      <c r="M3805" s="1" t="str">
        <f t="shared" si="7709"/>
        <v>0</v>
      </c>
      <c r="N3805" s="1" t="str">
        <f t="shared" si="7709"/>
        <v>0</v>
      </c>
      <c r="O3805" s="1" t="str">
        <f t="shared" si="7709"/>
        <v>0</v>
      </c>
      <c r="P3805" s="1" t="str">
        <f t="shared" si="7709"/>
        <v>0</v>
      </c>
      <c r="Q3805" s="1" t="str">
        <f t="shared" si="7676"/>
        <v>0.0070</v>
      </c>
      <c r="R3805" s="1" t="s">
        <v>25</v>
      </c>
      <c r="T3805" s="1" t="str">
        <f t="shared" si="7677"/>
        <v>0</v>
      </c>
      <c r="U3805" s="1" t="str">
        <f t="shared" si="7704"/>
        <v>0.0070</v>
      </c>
    </row>
    <row r="3806" s="1" customFormat="1" spans="1:21">
      <c r="A3806" s="1" t="str">
        <f>"4601992077170"</f>
        <v>4601992077170</v>
      </c>
      <c r="B3806" s="1" t="s">
        <v>3829</v>
      </c>
      <c r="C3806" s="1" t="s">
        <v>24</v>
      </c>
      <c r="D3806" s="1" t="str">
        <f t="shared" si="7674"/>
        <v>2021</v>
      </c>
      <c r="E3806" s="1" t="str">
        <f t="shared" ref="E3806:P3806" si="7710">"0"</f>
        <v>0</v>
      </c>
      <c r="F3806" s="1" t="str">
        <f t="shared" si="7710"/>
        <v>0</v>
      </c>
      <c r="G3806" s="1" t="str">
        <f t="shared" si="7710"/>
        <v>0</v>
      </c>
      <c r="H3806" s="1" t="str">
        <f t="shared" si="7710"/>
        <v>0</v>
      </c>
      <c r="I3806" s="1" t="str">
        <f t="shared" si="7710"/>
        <v>0</v>
      </c>
      <c r="J3806" s="1" t="str">
        <f t="shared" si="7710"/>
        <v>0</v>
      </c>
      <c r="K3806" s="1" t="str">
        <f t="shared" si="7710"/>
        <v>0</v>
      </c>
      <c r="L3806" s="1" t="str">
        <f t="shared" si="7710"/>
        <v>0</v>
      </c>
      <c r="M3806" s="1" t="str">
        <f t="shared" si="7710"/>
        <v>0</v>
      </c>
      <c r="N3806" s="1" t="str">
        <f t="shared" si="7710"/>
        <v>0</v>
      </c>
      <c r="O3806" s="1" t="str">
        <f t="shared" si="7710"/>
        <v>0</v>
      </c>
      <c r="P3806" s="1" t="str">
        <f t="shared" si="7710"/>
        <v>0</v>
      </c>
      <c r="Q3806" s="1" t="str">
        <f t="shared" si="7676"/>
        <v>0.0070</v>
      </c>
      <c r="R3806" s="1" t="s">
        <v>25</v>
      </c>
      <c r="T3806" s="1" t="str">
        <f t="shared" si="7677"/>
        <v>0</v>
      </c>
      <c r="U3806" s="1" t="str">
        <f t="shared" si="7704"/>
        <v>0.0070</v>
      </c>
    </row>
    <row r="3807" s="1" customFormat="1" spans="1:21">
      <c r="A3807" s="1" t="str">
        <f>"4601992077184"</f>
        <v>4601992077184</v>
      </c>
      <c r="B3807" s="1" t="s">
        <v>3830</v>
      </c>
      <c r="C3807" s="1" t="s">
        <v>24</v>
      </c>
      <c r="D3807" s="1" t="str">
        <f t="shared" si="7674"/>
        <v>2021</v>
      </c>
      <c r="E3807" s="1" t="str">
        <f t="shared" ref="E3807:P3807" si="7711">"0"</f>
        <v>0</v>
      </c>
      <c r="F3807" s="1" t="str">
        <f t="shared" si="7711"/>
        <v>0</v>
      </c>
      <c r="G3807" s="1" t="str">
        <f t="shared" si="7711"/>
        <v>0</v>
      </c>
      <c r="H3807" s="1" t="str">
        <f t="shared" si="7711"/>
        <v>0</v>
      </c>
      <c r="I3807" s="1" t="str">
        <f t="shared" si="7711"/>
        <v>0</v>
      </c>
      <c r="J3807" s="1" t="str">
        <f t="shared" si="7711"/>
        <v>0</v>
      </c>
      <c r="K3807" s="1" t="str">
        <f t="shared" si="7711"/>
        <v>0</v>
      </c>
      <c r="L3807" s="1" t="str">
        <f t="shared" si="7711"/>
        <v>0</v>
      </c>
      <c r="M3807" s="1" t="str">
        <f t="shared" si="7711"/>
        <v>0</v>
      </c>
      <c r="N3807" s="1" t="str">
        <f t="shared" si="7711"/>
        <v>0</v>
      </c>
      <c r="O3807" s="1" t="str">
        <f t="shared" si="7711"/>
        <v>0</v>
      </c>
      <c r="P3807" s="1" t="str">
        <f t="shared" si="7711"/>
        <v>0</v>
      </c>
      <c r="Q3807" s="1" t="str">
        <f t="shared" si="7676"/>
        <v>0.0070</v>
      </c>
      <c r="R3807" s="1" t="s">
        <v>25</v>
      </c>
      <c r="T3807" s="1" t="str">
        <f t="shared" si="7677"/>
        <v>0</v>
      </c>
      <c r="U3807" s="1" t="str">
        <f t="shared" si="7704"/>
        <v>0.0070</v>
      </c>
    </row>
    <row r="3808" s="1" customFormat="1" spans="1:21">
      <c r="A3808" s="1" t="str">
        <f>"4601992077220"</f>
        <v>4601992077220</v>
      </c>
      <c r="B3808" s="1" t="s">
        <v>3831</v>
      </c>
      <c r="C3808" s="1" t="s">
        <v>24</v>
      </c>
      <c r="D3808" s="1" t="str">
        <f t="shared" si="7674"/>
        <v>2021</v>
      </c>
      <c r="E3808" s="1" t="str">
        <f t="shared" ref="E3808:P3808" si="7712">"0"</f>
        <v>0</v>
      </c>
      <c r="F3808" s="1" t="str">
        <f t="shared" si="7712"/>
        <v>0</v>
      </c>
      <c r="G3808" s="1" t="str">
        <f t="shared" si="7712"/>
        <v>0</v>
      </c>
      <c r="H3808" s="1" t="str">
        <f t="shared" si="7712"/>
        <v>0</v>
      </c>
      <c r="I3808" s="1" t="str">
        <f t="shared" si="7712"/>
        <v>0</v>
      </c>
      <c r="J3808" s="1" t="str">
        <f t="shared" si="7712"/>
        <v>0</v>
      </c>
      <c r="K3808" s="1" t="str">
        <f t="shared" si="7712"/>
        <v>0</v>
      </c>
      <c r="L3808" s="1" t="str">
        <f t="shared" si="7712"/>
        <v>0</v>
      </c>
      <c r="M3808" s="1" t="str">
        <f t="shared" si="7712"/>
        <v>0</v>
      </c>
      <c r="N3808" s="1" t="str">
        <f t="shared" si="7712"/>
        <v>0</v>
      </c>
      <c r="O3808" s="1" t="str">
        <f t="shared" si="7712"/>
        <v>0</v>
      </c>
      <c r="P3808" s="1" t="str">
        <f t="shared" si="7712"/>
        <v>0</v>
      </c>
      <c r="Q3808" s="1" t="str">
        <f t="shared" si="7676"/>
        <v>0.0070</v>
      </c>
      <c r="R3808" s="1" t="s">
        <v>25</v>
      </c>
      <c r="T3808" s="1" t="str">
        <f t="shared" si="7677"/>
        <v>0</v>
      </c>
      <c r="U3808" s="1" t="str">
        <f t="shared" si="7704"/>
        <v>0.0070</v>
      </c>
    </row>
    <row r="3809" s="1" customFormat="1" spans="1:21">
      <c r="A3809" s="1" t="str">
        <f>"4601992077221"</f>
        <v>4601992077221</v>
      </c>
      <c r="B3809" s="1" t="s">
        <v>3832</v>
      </c>
      <c r="C3809" s="1" t="s">
        <v>24</v>
      </c>
      <c r="D3809" s="1" t="str">
        <f t="shared" si="7674"/>
        <v>2021</v>
      </c>
      <c r="E3809" s="1" t="str">
        <f t="shared" ref="E3809:P3809" si="7713">"0"</f>
        <v>0</v>
      </c>
      <c r="F3809" s="1" t="str">
        <f t="shared" si="7713"/>
        <v>0</v>
      </c>
      <c r="G3809" s="1" t="str">
        <f t="shared" si="7713"/>
        <v>0</v>
      </c>
      <c r="H3809" s="1" t="str">
        <f t="shared" si="7713"/>
        <v>0</v>
      </c>
      <c r="I3809" s="1" t="str">
        <f t="shared" si="7713"/>
        <v>0</v>
      </c>
      <c r="J3809" s="1" t="str">
        <f t="shared" si="7713"/>
        <v>0</v>
      </c>
      <c r="K3809" s="1" t="str">
        <f t="shared" si="7713"/>
        <v>0</v>
      </c>
      <c r="L3809" s="1" t="str">
        <f t="shared" si="7713"/>
        <v>0</v>
      </c>
      <c r="M3809" s="1" t="str">
        <f t="shared" si="7713"/>
        <v>0</v>
      </c>
      <c r="N3809" s="1" t="str">
        <f t="shared" si="7713"/>
        <v>0</v>
      </c>
      <c r="O3809" s="1" t="str">
        <f t="shared" si="7713"/>
        <v>0</v>
      </c>
      <c r="P3809" s="1" t="str">
        <f t="shared" si="7713"/>
        <v>0</v>
      </c>
      <c r="Q3809" s="1" t="str">
        <f t="shared" si="7676"/>
        <v>0.0070</v>
      </c>
      <c r="R3809" s="1" t="s">
        <v>25</v>
      </c>
      <c r="T3809" s="1" t="str">
        <f t="shared" si="7677"/>
        <v>0</v>
      </c>
      <c r="U3809" s="1" t="str">
        <f t="shared" si="7704"/>
        <v>0.0070</v>
      </c>
    </row>
    <row r="3810" s="1" customFormat="1" spans="1:21">
      <c r="A3810" s="1" t="str">
        <f>"4601992077222"</f>
        <v>4601992077222</v>
      </c>
      <c r="B3810" s="1" t="s">
        <v>3833</v>
      </c>
      <c r="C3810" s="1" t="s">
        <v>24</v>
      </c>
      <c r="D3810" s="1" t="str">
        <f t="shared" si="7674"/>
        <v>2021</v>
      </c>
      <c r="E3810" s="1" t="str">
        <f t="shared" ref="E3810:P3810" si="7714">"0"</f>
        <v>0</v>
      </c>
      <c r="F3810" s="1" t="str">
        <f t="shared" si="7714"/>
        <v>0</v>
      </c>
      <c r="G3810" s="1" t="str">
        <f t="shared" si="7714"/>
        <v>0</v>
      </c>
      <c r="H3810" s="1" t="str">
        <f t="shared" si="7714"/>
        <v>0</v>
      </c>
      <c r="I3810" s="1" t="str">
        <f t="shared" si="7714"/>
        <v>0</v>
      </c>
      <c r="J3810" s="1" t="str">
        <f t="shared" si="7714"/>
        <v>0</v>
      </c>
      <c r="K3810" s="1" t="str">
        <f t="shared" si="7714"/>
        <v>0</v>
      </c>
      <c r="L3810" s="1" t="str">
        <f t="shared" si="7714"/>
        <v>0</v>
      </c>
      <c r="M3810" s="1" t="str">
        <f t="shared" si="7714"/>
        <v>0</v>
      </c>
      <c r="N3810" s="1" t="str">
        <f t="shared" si="7714"/>
        <v>0</v>
      </c>
      <c r="O3810" s="1" t="str">
        <f t="shared" si="7714"/>
        <v>0</v>
      </c>
      <c r="P3810" s="1" t="str">
        <f t="shared" si="7714"/>
        <v>0</v>
      </c>
      <c r="Q3810" s="1" t="str">
        <f t="shared" si="7676"/>
        <v>0.0070</v>
      </c>
      <c r="R3810" s="1" t="s">
        <v>25</v>
      </c>
      <c r="T3810" s="1" t="str">
        <f t="shared" si="7677"/>
        <v>0</v>
      </c>
      <c r="U3810" s="1" t="str">
        <f t="shared" si="7704"/>
        <v>0.0070</v>
      </c>
    </row>
    <row r="3811" s="1" customFormat="1" spans="1:21">
      <c r="A3811" s="1" t="str">
        <f>"4601992077194"</f>
        <v>4601992077194</v>
      </c>
      <c r="B3811" s="1" t="s">
        <v>3834</v>
      </c>
      <c r="C3811" s="1" t="s">
        <v>24</v>
      </c>
      <c r="D3811" s="1" t="str">
        <f t="shared" si="7674"/>
        <v>2021</v>
      </c>
      <c r="E3811" s="1" t="str">
        <f t="shared" ref="E3811:I3811" si="7715">"0"</f>
        <v>0</v>
      </c>
      <c r="F3811" s="1" t="str">
        <f t="shared" si="7715"/>
        <v>0</v>
      </c>
      <c r="G3811" s="1" t="str">
        <f t="shared" si="7715"/>
        <v>0</v>
      </c>
      <c r="H3811" s="1" t="str">
        <f t="shared" si="7715"/>
        <v>0</v>
      </c>
      <c r="I3811" s="1" t="str">
        <f t="shared" si="7715"/>
        <v>0</v>
      </c>
      <c r="J3811" s="1" t="str">
        <f>"1"</f>
        <v>1</v>
      </c>
      <c r="K3811" s="1" t="str">
        <f t="shared" ref="K3811:P3811" si="7716">"0"</f>
        <v>0</v>
      </c>
      <c r="L3811" s="1" t="str">
        <f t="shared" si="7716"/>
        <v>0</v>
      </c>
      <c r="M3811" s="1" t="str">
        <f t="shared" si="7716"/>
        <v>0</v>
      </c>
      <c r="N3811" s="1" t="str">
        <f t="shared" si="7716"/>
        <v>0</v>
      </c>
      <c r="O3811" s="1" t="str">
        <f t="shared" si="7716"/>
        <v>0</v>
      </c>
      <c r="P3811" s="1" t="str">
        <f t="shared" si="7716"/>
        <v>0</v>
      </c>
      <c r="Q3811" s="1" t="str">
        <f t="shared" si="7676"/>
        <v>0.0070</v>
      </c>
      <c r="R3811" s="1" t="s">
        <v>25</v>
      </c>
      <c r="T3811" s="1" t="str">
        <f t="shared" si="7677"/>
        <v>0</v>
      </c>
      <c r="U3811" s="1" t="str">
        <f t="shared" si="7704"/>
        <v>0.0070</v>
      </c>
    </row>
    <row r="3812" s="1" customFormat="1" spans="1:21">
      <c r="A3812" s="1" t="str">
        <f>"4601992077223"</f>
        <v>4601992077223</v>
      </c>
      <c r="B3812" s="1" t="s">
        <v>3835</v>
      </c>
      <c r="C3812" s="1" t="s">
        <v>24</v>
      </c>
      <c r="D3812" s="1" t="str">
        <f t="shared" si="7674"/>
        <v>2021</v>
      </c>
      <c r="E3812" s="1" t="str">
        <f t="shared" ref="E3812:P3812" si="7717">"0"</f>
        <v>0</v>
      </c>
      <c r="F3812" s="1" t="str">
        <f t="shared" si="7717"/>
        <v>0</v>
      </c>
      <c r="G3812" s="1" t="str">
        <f t="shared" si="7717"/>
        <v>0</v>
      </c>
      <c r="H3812" s="1" t="str">
        <f t="shared" si="7717"/>
        <v>0</v>
      </c>
      <c r="I3812" s="1" t="str">
        <f t="shared" si="7717"/>
        <v>0</v>
      </c>
      <c r="J3812" s="1" t="str">
        <f t="shared" si="7717"/>
        <v>0</v>
      </c>
      <c r="K3812" s="1" t="str">
        <f t="shared" si="7717"/>
        <v>0</v>
      </c>
      <c r="L3812" s="1" t="str">
        <f t="shared" si="7717"/>
        <v>0</v>
      </c>
      <c r="M3812" s="1" t="str">
        <f t="shared" si="7717"/>
        <v>0</v>
      </c>
      <c r="N3812" s="1" t="str">
        <f t="shared" si="7717"/>
        <v>0</v>
      </c>
      <c r="O3812" s="1" t="str">
        <f t="shared" si="7717"/>
        <v>0</v>
      </c>
      <c r="P3812" s="1" t="str">
        <f t="shared" si="7717"/>
        <v>0</v>
      </c>
      <c r="Q3812" s="1" t="str">
        <f t="shared" si="7676"/>
        <v>0.0070</v>
      </c>
      <c r="R3812" s="1" t="s">
        <v>25</v>
      </c>
      <c r="T3812" s="1" t="str">
        <f t="shared" si="7677"/>
        <v>0</v>
      </c>
      <c r="U3812" s="1" t="str">
        <f t="shared" si="7704"/>
        <v>0.0070</v>
      </c>
    </row>
    <row r="3813" s="1" customFormat="1" spans="1:21">
      <c r="A3813" s="1" t="str">
        <f>"4601992077224"</f>
        <v>4601992077224</v>
      </c>
      <c r="B3813" s="1" t="s">
        <v>3836</v>
      </c>
      <c r="C3813" s="1" t="s">
        <v>24</v>
      </c>
      <c r="D3813" s="1" t="str">
        <f t="shared" si="7674"/>
        <v>2021</v>
      </c>
      <c r="E3813" s="1" t="str">
        <f t="shared" ref="E3813:P3813" si="7718">"0"</f>
        <v>0</v>
      </c>
      <c r="F3813" s="1" t="str">
        <f t="shared" si="7718"/>
        <v>0</v>
      </c>
      <c r="G3813" s="1" t="str">
        <f t="shared" si="7718"/>
        <v>0</v>
      </c>
      <c r="H3813" s="1" t="str">
        <f t="shared" si="7718"/>
        <v>0</v>
      </c>
      <c r="I3813" s="1" t="str">
        <f t="shared" si="7718"/>
        <v>0</v>
      </c>
      <c r="J3813" s="1" t="str">
        <f t="shared" si="7718"/>
        <v>0</v>
      </c>
      <c r="K3813" s="1" t="str">
        <f t="shared" si="7718"/>
        <v>0</v>
      </c>
      <c r="L3813" s="1" t="str">
        <f t="shared" si="7718"/>
        <v>0</v>
      </c>
      <c r="M3813" s="1" t="str">
        <f t="shared" si="7718"/>
        <v>0</v>
      </c>
      <c r="N3813" s="1" t="str">
        <f t="shared" si="7718"/>
        <v>0</v>
      </c>
      <c r="O3813" s="1" t="str">
        <f t="shared" si="7718"/>
        <v>0</v>
      </c>
      <c r="P3813" s="1" t="str">
        <f t="shared" si="7718"/>
        <v>0</v>
      </c>
      <c r="Q3813" s="1" t="str">
        <f t="shared" si="7676"/>
        <v>0.0070</v>
      </c>
      <c r="R3813" s="1" t="s">
        <v>25</v>
      </c>
      <c r="T3813" s="1" t="str">
        <f t="shared" si="7677"/>
        <v>0</v>
      </c>
      <c r="U3813" s="1" t="str">
        <f t="shared" si="7704"/>
        <v>0.0070</v>
      </c>
    </row>
    <row r="3814" s="1" customFormat="1" spans="1:21">
      <c r="A3814" s="1" t="str">
        <f>"4601992077225"</f>
        <v>4601992077225</v>
      </c>
      <c r="B3814" s="1" t="s">
        <v>3837</v>
      </c>
      <c r="C3814" s="1" t="s">
        <v>24</v>
      </c>
      <c r="D3814" s="1" t="str">
        <f t="shared" si="7674"/>
        <v>2021</v>
      </c>
      <c r="E3814" s="1" t="str">
        <f t="shared" ref="E3814:P3814" si="7719">"0"</f>
        <v>0</v>
      </c>
      <c r="F3814" s="1" t="str">
        <f t="shared" si="7719"/>
        <v>0</v>
      </c>
      <c r="G3814" s="1" t="str">
        <f t="shared" si="7719"/>
        <v>0</v>
      </c>
      <c r="H3814" s="1" t="str">
        <f t="shared" si="7719"/>
        <v>0</v>
      </c>
      <c r="I3814" s="1" t="str">
        <f t="shared" si="7719"/>
        <v>0</v>
      </c>
      <c r="J3814" s="1" t="str">
        <f t="shared" si="7719"/>
        <v>0</v>
      </c>
      <c r="K3814" s="1" t="str">
        <f t="shared" si="7719"/>
        <v>0</v>
      </c>
      <c r="L3814" s="1" t="str">
        <f t="shared" si="7719"/>
        <v>0</v>
      </c>
      <c r="M3814" s="1" t="str">
        <f t="shared" si="7719"/>
        <v>0</v>
      </c>
      <c r="N3814" s="1" t="str">
        <f t="shared" si="7719"/>
        <v>0</v>
      </c>
      <c r="O3814" s="1" t="str">
        <f t="shared" si="7719"/>
        <v>0</v>
      </c>
      <c r="P3814" s="1" t="str">
        <f t="shared" si="7719"/>
        <v>0</v>
      </c>
      <c r="Q3814" s="1" t="str">
        <f t="shared" si="7676"/>
        <v>0.0070</v>
      </c>
      <c r="R3814" s="1" t="s">
        <v>25</v>
      </c>
      <c r="T3814" s="1" t="str">
        <f t="shared" si="7677"/>
        <v>0</v>
      </c>
      <c r="U3814" s="1" t="str">
        <f t="shared" si="7704"/>
        <v>0.0070</v>
      </c>
    </row>
    <row r="3815" s="1" customFormat="1" spans="1:21">
      <c r="A3815" s="1" t="str">
        <f>"4601992077252"</f>
        <v>4601992077252</v>
      </c>
      <c r="B3815" s="1" t="s">
        <v>3838</v>
      </c>
      <c r="C3815" s="1" t="s">
        <v>24</v>
      </c>
      <c r="D3815" s="1" t="str">
        <f t="shared" si="7674"/>
        <v>2021</v>
      </c>
      <c r="E3815" s="1" t="str">
        <f t="shared" ref="E3815:P3815" si="7720">"0"</f>
        <v>0</v>
      </c>
      <c r="F3815" s="1" t="str">
        <f t="shared" si="7720"/>
        <v>0</v>
      </c>
      <c r="G3815" s="1" t="str">
        <f t="shared" si="7720"/>
        <v>0</v>
      </c>
      <c r="H3815" s="1" t="str">
        <f t="shared" si="7720"/>
        <v>0</v>
      </c>
      <c r="I3815" s="1" t="str">
        <f t="shared" si="7720"/>
        <v>0</v>
      </c>
      <c r="J3815" s="1" t="str">
        <f t="shared" si="7720"/>
        <v>0</v>
      </c>
      <c r="K3815" s="1" t="str">
        <f t="shared" si="7720"/>
        <v>0</v>
      </c>
      <c r="L3815" s="1" t="str">
        <f t="shared" si="7720"/>
        <v>0</v>
      </c>
      <c r="M3815" s="1" t="str">
        <f t="shared" si="7720"/>
        <v>0</v>
      </c>
      <c r="N3815" s="1" t="str">
        <f t="shared" si="7720"/>
        <v>0</v>
      </c>
      <c r="O3815" s="1" t="str">
        <f t="shared" si="7720"/>
        <v>0</v>
      </c>
      <c r="P3815" s="1" t="str">
        <f t="shared" si="7720"/>
        <v>0</v>
      </c>
      <c r="Q3815" s="1" t="str">
        <f t="shared" si="7676"/>
        <v>0.0070</v>
      </c>
      <c r="R3815" s="1" t="s">
        <v>25</v>
      </c>
      <c r="T3815" s="1" t="str">
        <f t="shared" si="7677"/>
        <v>0</v>
      </c>
      <c r="U3815" s="1" t="str">
        <f t="shared" si="7704"/>
        <v>0.0070</v>
      </c>
    </row>
    <row r="3816" s="1" customFormat="1" spans="1:21">
      <c r="A3816" s="1" t="str">
        <f>"4601992077253"</f>
        <v>4601992077253</v>
      </c>
      <c r="B3816" s="1" t="s">
        <v>3839</v>
      </c>
      <c r="C3816" s="1" t="s">
        <v>24</v>
      </c>
      <c r="D3816" s="1" t="str">
        <f t="shared" si="7674"/>
        <v>2021</v>
      </c>
      <c r="E3816" s="1" t="str">
        <f t="shared" ref="E3816:P3816" si="7721">"0"</f>
        <v>0</v>
      </c>
      <c r="F3816" s="1" t="str">
        <f t="shared" si="7721"/>
        <v>0</v>
      </c>
      <c r="G3816" s="1" t="str">
        <f t="shared" si="7721"/>
        <v>0</v>
      </c>
      <c r="H3816" s="1" t="str">
        <f t="shared" si="7721"/>
        <v>0</v>
      </c>
      <c r="I3816" s="1" t="str">
        <f t="shared" si="7721"/>
        <v>0</v>
      </c>
      <c r="J3816" s="1" t="str">
        <f t="shared" si="7721"/>
        <v>0</v>
      </c>
      <c r="K3816" s="1" t="str">
        <f t="shared" si="7721"/>
        <v>0</v>
      </c>
      <c r="L3816" s="1" t="str">
        <f t="shared" si="7721"/>
        <v>0</v>
      </c>
      <c r="M3816" s="1" t="str">
        <f t="shared" si="7721"/>
        <v>0</v>
      </c>
      <c r="N3816" s="1" t="str">
        <f t="shared" si="7721"/>
        <v>0</v>
      </c>
      <c r="O3816" s="1" t="str">
        <f t="shared" si="7721"/>
        <v>0</v>
      </c>
      <c r="P3816" s="1" t="str">
        <f t="shared" si="7721"/>
        <v>0</v>
      </c>
      <c r="Q3816" s="1" t="str">
        <f t="shared" si="7676"/>
        <v>0.0070</v>
      </c>
      <c r="R3816" s="1" t="s">
        <v>25</v>
      </c>
      <c r="T3816" s="1" t="str">
        <f t="shared" si="7677"/>
        <v>0</v>
      </c>
      <c r="U3816" s="1" t="str">
        <f t="shared" si="7704"/>
        <v>0.0070</v>
      </c>
    </row>
    <row r="3817" s="1" customFormat="1" spans="1:21">
      <c r="A3817" s="1" t="str">
        <f>"4601992077382"</f>
        <v>4601992077382</v>
      </c>
      <c r="B3817" s="1" t="s">
        <v>3840</v>
      </c>
      <c r="C3817" s="1" t="s">
        <v>24</v>
      </c>
      <c r="D3817" s="1" t="str">
        <f t="shared" si="7674"/>
        <v>2021</v>
      </c>
      <c r="E3817" s="1" t="str">
        <f t="shared" ref="E3817:P3817" si="7722">"0"</f>
        <v>0</v>
      </c>
      <c r="F3817" s="1" t="str">
        <f t="shared" si="7722"/>
        <v>0</v>
      </c>
      <c r="G3817" s="1" t="str">
        <f t="shared" si="7722"/>
        <v>0</v>
      </c>
      <c r="H3817" s="1" t="str">
        <f t="shared" si="7722"/>
        <v>0</v>
      </c>
      <c r="I3817" s="1" t="str">
        <f t="shared" si="7722"/>
        <v>0</v>
      </c>
      <c r="J3817" s="1" t="str">
        <f t="shared" si="7722"/>
        <v>0</v>
      </c>
      <c r="K3817" s="1" t="str">
        <f t="shared" si="7722"/>
        <v>0</v>
      </c>
      <c r="L3817" s="1" t="str">
        <f t="shared" si="7722"/>
        <v>0</v>
      </c>
      <c r="M3817" s="1" t="str">
        <f t="shared" si="7722"/>
        <v>0</v>
      </c>
      <c r="N3817" s="1" t="str">
        <f t="shared" si="7722"/>
        <v>0</v>
      </c>
      <c r="O3817" s="1" t="str">
        <f t="shared" si="7722"/>
        <v>0</v>
      </c>
      <c r="P3817" s="1" t="str">
        <f t="shared" si="7722"/>
        <v>0</v>
      </c>
      <c r="Q3817" s="1" t="str">
        <f t="shared" si="7676"/>
        <v>0.0070</v>
      </c>
      <c r="R3817" s="1" t="s">
        <v>25</v>
      </c>
      <c r="T3817" s="1" t="str">
        <f t="shared" si="7677"/>
        <v>0</v>
      </c>
      <c r="U3817" s="1" t="str">
        <f t="shared" si="7704"/>
        <v>0.0070</v>
      </c>
    </row>
    <row r="3818" s="1" customFormat="1" spans="1:21">
      <c r="A3818" s="1" t="str">
        <f>"4601992077444"</f>
        <v>4601992077444</v>
      </c>
      <c r="B3818" s="1" t="s">
        <v>3841</v>
      </c>
      <c r="C3818" s="1" t="s">
        <v>24</v>
      </c>
      <c r="D3818" s="1" t="str">
        <f t="shared" si="7674"/>
        <v>2021</v>
      </c>
      <c r="E3818" s="1" t="str">
        <f t="shared" ref="E3818:P3818" si="7723">"0"</f>
        <v>0</v>
      </c>
      <c r="F3818" s="1" t="str">
        <f t="shared" si="7723"/>
        <v>0</v>
      </c>
      <c r="G3818" s="1" t="str">
        <f t="shared" si="7723"/>
        <v>0</v>
      </c>
      <c r="H3818" s="1" t="str">
        <f t="shared" si="7723"/>
        <v>0</v>
      </c>
      <c r="I3818" s="1" t="str">
        <f t="shared" si="7723"/>
        <v>0</v>
      </c>
      <c r="J3818" s="1" t="str">
        <f t="shared" si="7723"/>
        <v>0</v>
      </c>
      <c r="K3818" s="1" t="str">
        <f t="shared" si="7723"/>
        <v>0</v>
      </c>
      <c r="L3818" s="1" t="str">
        <f t="shared" si="7723"/>
        <v>0</v>
      </c>
      <c r="M3818" s="1" t="str">
        <f t="shared" si="7723"/>
        <v>0</v>
      </c>
      <c r="N3818" s="1" t="str">
        <f t="shared" si="7723"/>
        <v>0</v>
      </c>
      <c r="O3818" s="1" t="str">
        <f t="shared" si="7723"/>
        <v>0</v>
      </c>
      <c r="P3818" s="1" t="str">
        <f t="shared" si="7723"/>
        <v>0</v>
      </c>
      <c r="Q3818" s="1" t="str">
        <f t="shared" si="7676"/>
        <v>0.0070</v>
      </c>
      <c r="R3818" s="1" t="s">
        <v>25</v>
      </c>
      <c r="T3818" s="1" t="str">
        <f t="shared" si="7677"/>
        <v>0</v>
      </c>
      <c r="U3818" s="1" t="str">
        <f t="shared" si="7704"/>
        <v>0.0070</v>
      </c>
    </row>
    <row r="3819" s="1" customFormat="1" spans="1:21">
      <c r="A3819" s="1" t="str">
        <f>"4601992077470"</f>
        <v>4601992077470</v>
      </c>
      <c r="B3819" s="1" t="s">
        <v>3842</v>
      </c>
      <c r="C3819" s="1" t="s">
        <v>24</v>
      </c>
      <c r="D3819" s="1" t="str">
        <f t="shared" si="7674"/>
        <v>2021</v>
      </c>
      <c r="E3819" s="1" t="str">
        <f t="shared" ref="E3819:P3819" si="7724">"0"</f>
        <v>0</v>
      </c>
      <c r="F3819" s="1" t="str">
        <f t="shared" si="7724"/>
        <v>0</v>
      </c>
      <c r="G3819" s="1" t="str">
        <f t="shared" si="7724"/>
        <v>0</v>
      </c>
      <c r="H3819" s="1" t="str">
        <f t="shared" si="7724"/>
        <v>0</v>
      </c>
      <c r="I3819" s="1" t="str">
        <f t="shared" si="7724"/>
        <v>0</v>
      </c>
      <c r="J3819" s="1" t="str">
        <f t="shared" si="7724"/>
        <v>0</v>
      </c>
      <c r="K3819" s="1" t="str">
        <f t="shared" si="7724"/>
        <v>0</v>
      </c>
      <c r="L3819" s="1" t="str">
        <f t="shared" si="7724"/>
        <v>0</v>
      </c>
      <c r="M3819" s="1" t="str">
        <f t="shared" si="7724"/>
        <v>0</v>
      </c>
      <c r="N3819" s="1" t="str">
        <f t="shared" si="7724"/>
        <v>0</v>
      </c>
      <c r="O3819" s="1" t="str">
        <f t="shared" si="7724"/>
        <v>0</v>
      </c>
      <c r="P3819" s="1" t="str">
        <f t="shared" si="7724"/>
        <v>0</v>
      </c>
      <c r="Q3819" s="1" t="str">
        <f t="shared" si="7676"/>
        <v>0.0070</v>
      </c>
      <c r="R3819" s="1" t="s">
        <v>25</v>
      </c>
      <c r="T3819" s="1" t="str">
        <f t="shared" si="7677"/>
        <v>0</v>
      </c>
      <c r="U3819" s="1" t="str">
        <f t="shared" si="7704"/>
        <v>0.0070</v>
      </c>
    </row>
    <row r="3820" s="1" customFormat="1" spans="1:21">
      <c r="A3820" s="1" t="str">
        <f>"4601992077303"</f>
        <v>4601992077303</v>
      </c>
      <c r="B3820" s="1" t="s">
        <v>3843</v>
      </c>
      <c r="C3820" s="1" t="s">
        <v>24</v>
      </c>
      <c r="D3820" s="1" t="str">
        <f t="shared" si="7674"/>
        <v>2021</v>
      </c>
      <c r="E3820" s="1" t="str">
        <f t="shared" ref="E3820:I3820" si="7725">"0"</f>
        <v>0</v>
      </c>
      <c r="F3820" s="1" t="str">
        <f t="shared" si="7725"/>
        <v>0</v>
      </c>
      <c r="G3820" s="1" t="str">
        <f t="shared" si="7725"/>
        <v>0</v>
      </c>
      <c r="H3820" s="1" t="str">
        <f t="shared" si="7725"/>
        <v>0</v>
      </c>
      <c r="I3820" s="1" t="str">
        <f t="shared" si="7725"/>
        <v>0</v>
      </c>
      <c r="J3820" s="1" t="str">
        <f>"2"</f>
        <v>2</v>
      </c>
      <c r="K3820" s="1" t="str">
        <f t="shared" ref="K3820:P3820" si="7726">"0"</f>
        <v>0</v>
      </c>
      <c r="L3820" s="1" t="str">
        <f t="shared" si="7726"/>
        <v>0</v>
      </c>
      <c r="M3820" s="1" t="str">
        <f t="shared" si="7726"/>
        <v>0</v>
      </c>
      <c r="N3820" s="1" t="str">
        <f t="shared" si="7726"/>
        <v>0</v>
      </c>
      <c r="O3820" s="1" t="str">
        <f t="shared" si="7726"/>
        <v>0</v>
      </c>
      <c r="P3820" s="1" t="str">
        <f t="shared" si="7726"/>
        <v>0</v>
      </c>
      <c r="Q3820" s="1" t="str">
        <f t="shared" si="7676"/>
        <v>0.0070</v>
      </c>
      <c r="R3820" s="1" t="s">
        <v>25</v>
      </c>
      <c r="T3820" s="1" t="str">
        <f t="shared" si="7677"/>
        <v>0</v>
      </c>
      <c r="U3820" s="1" t="str">
        <f t="shared" si="7704"/>
        <v>0.0070</v>
      </c>
    </row>
    <row r="3821" s="1" customFormat="1" spans="1:21">
      <c r="A3821" s="1" t="str">
        <f>"4601992077529"</f>
        <v>4601992077529</v>
      </c>
      <c r="B3821" s="1" t="s">
        <v>3844</v>
      </c>
      <c r="C3821" s="1" t="s">
        <v>24</v>
      </c>
      <c r="D3821" s="1" t="str">
        <f t="shared" si="7674"/>
        <v>2021</v>
      </c>
      <c r="E3821" s="1" t="str">
        <f t="shared" ref="E3821:P3821" si="7727">"0"</f>
        <v>0</v>
      </c>
      <c r="F3821" s="1" t="str">
        <f t="shared" si="7727"/>
        <v>0</v>
      </c>
      <c r="G3821" s="1" t="str">
        <f t="shared" si="7727"/>
        <v>0</v>
      </c>
      <c r="H3821" s="1" t="str">
        <f t="shared" si="7727"/>
        <v>0</v>
      </c>
      <c r="I3821" s="1" t="str">
        <f t="shared" si="7727"/>
        <v>0</v>
      </c>
      <c r="J3821" s="1" t="str">
        <f t="shared" si="7727"/>
        <v>0</v>
      </c>
      <c r="K3821" s="1" t="str">
        <f t="shared" si="7727"/>
        <v>0</v>
      </c>
      <c r="L3821" s="1" t="str">
        <f t="shared" si="7727"/>
        <v>0</v>
      </c>
      <c r="M3821" s="1" t="str">
        <f t="shared" si="7727"/>
        <v>0</v>
      </c>
      <c r="N3821" s="1" t="str">
        <f t="shared" si="7727"/>
        <v>0</v>
      </c>
      <c r="O3821" s="1" t="str">
        <f t="shared" si="7727"/>
        <v>0</v>
      </c>
      <c r="P3821" s="1" t="str">
        <f t="shared" si="7727"/>
        <v>0</v>
      </c>
      <c r="Q3821" s="1" t="str">
        <f t="shared" si="7676"/>
        <v>0.0070</v>
      </c>
      <c r="R3821" s="1" t="s">
        <v>25</v>
      </c>
      <c r="T3821" s="1" t="str">
        <f t="shared" si="7677"/>
        <v>0</v>
      </c>
      <c r="U3821" s="1" t="str">
        <f t="shared" si="7704"/>
        <v>0.0070</v>
      </c>
    </row>
    <row r="3822" s="1" customFormat="1" spans="1:21">
      <c r="A3822" s="1" t="str">
        <f>"4601992077535"</f>
        <v>4601992077535</v>
      </c>
      <c r="B3822" s="1" t="s">
        <v>3845</v>
      </c>
      <c r="C3822" s="1" t="s">
        <v>24</v>
      </c>
      <c r="D3822" s="1" t="str">
        <f t="shared" si="7674"/>
        <v>2021</v>
      </c>
      <c r="E3822" s="1" t="str">
        <f t="shared" ref="E3822:P3822" si="7728">"0"</f>
        <v>0</v>
      </c>
      <c r="F3822" s="1" t="str">
        <f t="shared" si="7728"/>
        <v>0</v>
      </c>
      <c r="G3822" s="1" t="str">
        <f t="shared" si="7728"/>
        <v>0</v>
      </c>
      <c r="H3822" s="1" t="str">
        <f t="shared" si="7728"/>
        <v>0</v>
      </c>
      <c r="I3822" s="1" t="str">
        <f t="shared" si="7728"/>
        <v>0</v>
      </c>
      <c r="J3822" s="1" t="str">
        <f t="shared" si="7728"/>
        <v>0</v>
      </c>
      <c r="K3822" s="1" t="str">
        <f t="shared" si="7728"/>
        <v>0</v>
      </c>
      <c r="L3822" s="1" t="str">
        <f t="shared" si="7728"/>
        <v>0</v>
      </c>
      <c r="M3822" s="1" t="str">
        <f t="shared" si="7728"/>
        <v>0</v>
      </c>
      <c r="N3822" s="1" t="str">
        <f t="shared" si="7728"/>
        <v>0</v>
      </c>
      <c r="O3822" s="1" t="str">
        <f t="shared" si="7728"/>
        <v>0</v>
      </c>
      <c r="P3822" s="1" t="str">
        <f t="shared" si="7728"/>
        <v>0</v>
      </c>
      <c r="Q3822" s="1" t="str">
        <f t="shared" si="7676"/>
        <v>0.0070</v>
      </c>
      <c r="R3822" s="1" t="s">
        <v>25</v>
      </c>
      <c r="T3822" s="1" t="str">
        <f t="shared" si="7677"/>
        <v>0</v>
      </c>
      <c r="U3822" s="1" t="str">
        <f t="shared" si="7704"/>
        <v>0.0070</v>
      </c>
    </row>
    <row r="3823" s="1" customFormat="1" spans="1:21">
      <c r="A3823" s="1" t="str">
        <f>"4601992077585"</f>
        <v>4601992077585</v>
      </c>
      <c r="B3823" s="1" t="s">
        <v>3846</v>
      </c>
      <c r="C3823" s="1" t="s">
        <v>24</v>
      </c>
      <c r="D3823" s="1" t="str">
        <f t="shared" si="7674"/>
        <v>2021</v>
      </c>
      <c r="E3823" s="1" t="str">
        <f t="shared" ref="E3823:P3823" si="7729">"0"</f>
        <v>0</v>
      </c>
      <c r="F3823" s="1" t="str">
        <f t="shared" si="7729"/>
        <v>0</v>
      </c>
      <c r="G3823" s="1" t="str">
        <f t="shared" si="7729"/>
        <v>0</v>
      </c>
      <c r="H3823" s="1" t="str">
        <f t="shared" si="7729"/>
        <v>0</v>
      </c>
      <c r="I3823" s="1" t="str">
        <f t="shared" si="7729"/>
        <v>0</v>
      </c>
      <c r="J3823" s="1" t="str">
        <f t="shared" si="7729"/>
        <v>0</v>
      </c>
      <c r="K3823" s="1" t="str">
        <f t="shared" si="7729"/>
        <v>0</v>
      </c>
      <c r="L3823" s="1" t="str">
        <f t="shared" si="7729"/>
        <v>0</v>
      </c>
      <c r="M3823" s="1" t="str">
        <f t="shared" si="7729"/>
        <v>0</v>
      </c>
      <c r="N3823" s="1" t="str">
        <f t="shared" si="7729"/>
        <v>0</v>
      </c>
      <c r="O3823" s="1" t="str">
        <f t="shared" si="7729"/>
        <v>0</v>
      </c>
      <c r="P3823" s="1" t="str">
        <f t="shared" si="7729"/>
        <v>0</v>
      </c>
      <c r="Q3823" s="1" t="str">
        <f t="shared" si="7676"/>
        <v>0.0070</v>
      </c>
      <c r="R3823" s="1" t="s">
        <v>25</v>
      </c>
      <c r="T3823" s="1" t="str">
        <f t="shared" si="7677"/>
        <v>0</v>
      </c>
      <c r="U3823" s="1" t="str">
        <f t="shared" si="7704"/>
        <v>0.0070</v>
      </c>
    </row>
    <row r="3824" s="1" customFormat="1" spans="1:21">
      <c r="A3824" s="1" t="str">
        <f>"4601992077657"</f>
        <v>4601992077657</v>
      </c>
      <c r="B3824" s="1" t="s">
        <v>3847</v>
      </c>
      <c r="C3824" s="1" t="s">
        <v>24</v>
      </c>
      <c r="D3824" s="1" t="str">
        <f t="shared" si="7674"/>
        <v>2021</v>
      </c>
      <c r="E3824" s="1" t="str">
        <f t="shared" ref="E3824:P3824" si="7730">"0"</f>
        <v>0</v>
      </c>
      <c r="F3824" s="1" t="str">
        <f t="shared" si="7730"/>
        <v>0</v>
      </c>
      <c r="G3824" s="1" t="str">
        <f t="shared" si="7730"/>
        <v>0</v>
      </c>
      <c r="H3824" s="1" t="str">
        <f t="shared" si="7730"/>
        <v>0</v>
      </c>
      <c r="I3824" s="1" t="str">
        <f t="shared" si="7730"/>
        <v>0</v>
      </c>
      <c r="J3824" s="1" t="str">
        <f t="shared" si="7730"/>
        <v>0</v>
      </c>
      <c r="K3824" s="1" t="str">
        <f t="shared" si="7730"/>
        <v>0</v>
      </c>
      <c r="L3824" s="1" t="str">
        <f t="shared" si="7730"/>
        <v>0</v>
      </c>
      <c r="M3824" s="1" t="str">
        <f t="shared" si="7730"/>
        <v>0</v>
      </c>
      <c r="N3824" s="1" t="str">
        <f t="shared" si="7730"/>
        <v>0</v>
      </c>
      <c r="O3824" s="1" t="str">
        <f t="shared" si="7730"/>
        <v>0</v>
      </c>
      <c r="P3824" s="1" t="str">
        <f t="shared" si="7730"/>
        <v>0</v>
      </c>
      <c r="Q3824" s="1" t="str">
        <f t="shared" si="7676"/>
        <v>0.0070</v>
      </c>
      <c r="R3824" s="1" t="s">
        <v>25</v>
      </c>
      <c r="T3824" s="1" t="str">
        <f t="shared" si="7677"/>
        <v>0</v>
      </c>
      <c r="U3824" s="1" t="str">
        <f t="shared" si="7704"/>
        <v>0.0070</v>
      </c>
    </row>
    <row r="3825" s="1" customFormat="1" spans="1:21">
      <c r="A3825" s="1" t="str">
        <f>"4601992077683"</f>
        <v>4601992077683</v>
      </c>
      <c r="B3825" s="1" t="s">
        <v>3848</v>
      </c>
      <c r="C3825" s="1" t="s">
        <v>24</v>
      </c>
      <c r="D3825" s="1" t="str">
        <f t="shared" si="7674"/>
        <v>2021</v>
      </c>
      <c r="E3825" s="1" t="str">
        <f t="shared" ref="E3825:P3825" si="7731">"0"</f>
        <v>0</v>
      </c>
      <c r="F3825" s="1" t="str">
        <f t="shared" si="7731"/>
        <v>0</v>
      </c>
      <c r="G3825" s="1" t="str">
        <f t="shared" si="7731"/>
        <v>0</v>
      </c>
      <c r="H3825" s="1" t="str">
        <f t="shared" si="7731"/>
        <v>0</v>
      </c>
      <c r="I3825" s="1" t="str">
        <f t="shared" si="7731"/>
        <v>0</v>
      </c>
      <c r="J3825" s="1" t="str">
        <f t="shared" si="7731"/>
        <v>0</v>
      </c>
      <c r="K3825" s="1" t="str">
        <f t="shared" si="7731"/>
        <v>0</v>
      </c>
      <c r="L3825" s="1" t="str">
        <f t="shared" si="7731"/>
        <v>0</v>
      </c>
      <c r="M3825" s="1" t="str">
        <f t="shared" si="7731"/>
        <v>0</v>
      </c>
      <c r="N3825" s="1" t="str">
        <f t="shared" si="7731"/>
        <v>0</v>
      </c>
      <c r="O3825" s="1" t="str">
        <f t="shared" si="7731"/>
        <v>0</v>
      </c>
      <c r="P3825" s="1" t="str">
        <f t="shared" si="7731"/>
        <v>0</v>
      </c>
      <c r="Q3825" s="1" t="str">
        <f t="shared" si="7676"/>
        <v>0.0070</v>
      </c>
      <c r="R3825" s="1" t="s">
        <v>25</v>
      </c>
      <c r="T3825" s="1" t="str">
        <f t="shared" si="7677"/>
        <v>0</v>
      </c>
      <c r="U3825" s="1" t="str">
        <f t="shared" si="7704"/>
        <v>0.0070</v>
      </c>
    </row>
    <row r="3826" s="1" customFormat="1" spans="1:21">
      <c r="A3826" s="1" t="str">
        <f>"4601992077725"</f>
        <v>4601992077725</v>
      </c>
      <c r="B3826" s="1" t="s">
        <v>3849</v>
      </c>
      <c r="C3826" s="1" t="s">
        <v>24</v>
      </c>
      <c r="D3826" s="1" t="str">
        <f t="shared" si="7674"/>
        <v>2021</v>
      </c>
      <c r="E3826" s="1" t="str">
        <f t="shared" ref="E3826:P3826" si="7732">"0"</f>
        <v>0</v>
      </c>
      <c r="F3826" s="1" t="str">
        <f t="shared" si="7732"/>
        <v>0</v>
      </c>
      <c r="G3826" s="1" t="str">
        <f t="shared" si="7732"/>
        <v>0</v>
      </c>
      <c r="H3826" s="1" t="str">
        <f t="shared" si="7732"/>
        <v>0</v>
      </c>
      <c r="I3826" s="1" t="str">
        <f t="shared" si="7732"/>
        <v>0</v>
      </c>
      <c r="J3826" s="1" t="str">
        <f t="shared" si="7732"/>
        <v>0</v>
      </c>
      <c r="K3826" s="1" t="str">
        <f t="shared" si="7732"/>
        <v>0</v>
      </c>
      <c r="L3826" s="1" t="str">
        <f t="shared" si="7732"/>
        <v>0</v>
      </c>
      <c r="M3826" s="1" t="str">
        <f t="shared" si="7732"/>
        <v>0</v>
      </c>
      <c r="N3826" s="1" t="str">
        <f t="shared" si="7732"/>
        <v>0</v>
      </c>
      <c r="O3826" s="1" t="str">
        <f t="shared" si="7732"/>
        <v>0</v>
      </c>
      <c r="P3826" s="1" t="str">
        <f t="shared" si="7732"/>
        <v>0</v>
      </c>
      <c r="Q3826" s="1" t="str">
        <f t="shared" si="7676"/>
        <v>0.0070</v>
      </c>
      <c r="R3826" s="1" t="s">
        <v>25</v>
      </c>
      <c r="T3826" s="1" t="str">
        <f t="shared" si="7677"/>
        <v>0</v>
      </c>
      <c r="U3826" s="1" t="str">
        <f t="shared" si="7704"/>
        <v>0.0070</v>
      </c>
    </row>
    <row r="3827" s="1" customFormat="1" spans="1:21">
      <c r="A3827" s="1" t="str">
        <f>"4601992077759"</f>
        <v>4601992077759</v>
      </c>
      <c r="B3827" s="1" t="s">
        <v>3850</v>
      </c>
      <c r="C3827" s="1" t="s">
        <v>24</v>
      </c>
      <c r="D3827" s="1" t="str">
        <f t="shared" si="7674"/>
        <v>2021</v>
      </c>
      <c r="E3827" s="1" t="str">
        <f t="shared" ref="E3827:P3827" si="7733">"0"</f>
        <v>0</v>
      </c>
      <c r="F3827" s="1" t="str">
        <f t="shared" si="7733"/>
        <v>0</v>
      </c>
      <c r="G3827" s="1" t="str">
        <f t="shared" si="7733"/>
        <v>0</v>
      </c>
      <c r="H3827" s="1" t="str">
        <f t="shared" si="7733"/>
        <v>0</v>
      </c>
      <c r="I3827" s="1" t="str">
        <f t="shared" si="7733"/>
        <v>0</v>
      </c>
      <c r="J3827" s="1" t="str">
        <f t="shared" si="7733"/>
        <v>0</v>
      </c>
      <c r="K3827" s="1" t="str">
        <f t="shared" si="7733"/>
        <v>0</v>
      </c>
      <c r="L3827" s="1" t="str">
        <f t="shared" si="7733"/>
        <v>0</v>
      </c>
      <c r="M3827" s="1" t="str">
        <f t="shared" si="7733"/>
        <v>0</v>
      </c>
      <c r="N3827" s="1" t="str">
        <f t="shared" si="7733"/>
        <v>0</v>
      </c>
      <c r="O3827" s="1" t="str">
        <f t="shared" si="7733"/>
        <v>0</v>
      </c>
      <c r="P3827" s="1" t="str">
        <f t="shared" si="7733"/>
        <v>0</v>
      </c>
      <c r="Q3827" s="1" t="str">
        <f t="shared" si="7676"/>
        <v>0.0070</v>
      </c>
      <c r="R3827" s="1" t="s">
        <v>25</v>
      </c>
      <c r="T3827" s="1" t="str">
        <f t="shared" si="7677"/>
        <v>0</v>
      </c>
      <c r="U3827" s="1" t="str">
        <f t="shared" si="7704"/>
        <v>0.0070</v>
      </c>
    </row>
    <row r="3828" s="1" customFormat="1" spans="1:21">
      <c r="A3828" s="1" t="str">
        <f>"4601992077639"</f>
        <v>4601992077639</v>
      </c>
      <c r="B3828" s="1" t="s">
        <v>3851</v>
      </c>
      <c r="C3828" s="1" t="s">
        <v>24</v>
      </c>
      <c r="D3828" s="1" t="str">
        <f t="shared" si="7674"/>
        <v>2021</v>
      </c>
      <c r="E3828" s="1" t="str">
        <f t="shared" ref="E3828:I3828" si="7734">"0"</f>
        <v>0</v>
      </c>
      <c r="F3828" s="1" t="str">
        <f t="shared" si="7734"/>
        <v>0</v>
      </c>
      <c r="G3828" s="1" t="str">
        <f t="shared" si="7734"/>
        <v>0</v>
      </c>
      <c r="H3828" s="1" t="str">
        <f t="shared" si="7734"/>
        <v>0</v>
      </c>
      <c r="I3828" s="1" t="str">
        <f t="shared" si="7734"/>
        <v>0</v>
      </c>
      <c r="J3828" s="1" t="str">
        <f>"2"</f>
        <v>2</v>
      </c>
      <c r="K3828" s="1" t="str">
        <f t="shared" ref="K3828:P3828" si="7735">"0"</f>
        <v>0</v>
      </c>
      <c r="L3828" s="1" t="str">
        <f t="shared" si="7735"/>
        <v>0</v>
      </c>
      <c r="M3828" s="1" t="str">
        <f t="shared" si="7735"/>
        <v>0</v>
      </c>
      <c r="N3828" s="1" t="str">
        <f t="shared" si="7735"/>
        <v>0</v>
      </c>
      <c r="O3828" s="1" t="str">
        <f t="shared" si="7735"/>
        <v>0</v>
      </c>
      <c r="P3828" s="1" t="str">
        <f t="shared" si="7735"/>
        <v>0</v>
      </c>
      <c r="Q3828" s="1" t="str">
        <f t="shared" si="7676"/>
        <v>0.0070</v>
      </c>
      <c r="R3828" s="1" t="s">
        <v>25</v>
      </c>
      <c r="T3828" s="1" t="str">
        <f t="shared" si="7677"/>
        <v>0</v>
      </c>
      <c r="U3828" s="1" t="str">
        <f t="shared" si="7704"/>
        <v>0.0070</v>
      </c>
    </row>
    <row r="3829" s="1" customFormat="1" spans="1:21">
      <c r="A3829" s="1" t="str">
        <f>"4601992077814"</f>
        <v>4601992077814</v>
      </c>
      <c r="B3829" s="1" t="s">
        <v>3852</v>
      </c>
      <c r="C3829" s="1" t="s">
        <v>24</v>
      </c>
      <c r="D3829" s="1" t="str">
        <f t="shared" si="7674"/>
        <v>2021</v>
      </c>
      <c r="E3829" s="1" t="str">
        <f t="shared" ref="E3829:P3829" si="7736">"0"</f>
        <v>0</v>
      </c>
      <c r="F3829" s="1" t="str">
        <f t="shared" si="7736"/>
        <v>0</v>
      </c>
      <c r="G3829" s="1" t="str">
        <f t="shared" si="7736"/>
        <v>0</v>
      </c>
      <c r="H3829" s="1" t="str">
        <f t="shared" si="7736"/>
        <v>0</v>
      </c>
      <c r="I3829" s="1" t="str">
        <f t="shared" si="7736"/>
        <v>0</v>
      </c>
      <c r="J3829" s="1" t="str">
        <f t="shared" si="7736"/>
        <v>0</v>
      </c>
      <c r="K3829" s="1" t="str">
        <f t="shared" si="7736"/>
        <v>0</v>
      </c>
      <c r="L3829" s="1" t="str">
        <f t="shared" si="7736"/>
        <v>0</v>
      </c>
      <c r="M3829" s="1" t="str">
        <f t="shared" si="7736"/>
        <v>0</v>
      </c>
      <c r="N3829" s="1" t="str">
        <f t="shared" si="7736"/>
        <v>0</v>
      </c>
      <c r="O3829" s="1" t="str">
        <f t="shared" si="7736"/>
        <v>0</v>
      </c>
      <c r="P3829" s="1" t="str">
        <f t="shared" si="7736"/>
        <v>0</v>
      </c>
      <c r="Q3829" s="1" t="str">
        <f t="shared" si="7676"/>
        <v>0.0070</v>
      </c>
      <c r="R3829" s="1" t="s">
        <v>25</v>
      </c>
      <c r="T3829" s="1" t="str">
        <f t="shared" si="7677"/>
        <v>0</v>
      </c>
      <c r="U3829" s="1" t="str">
        <f t="shared" si="7704"/>
        <v>0.0070</v>
      </c>
    </row>
    <row r="3830" s="1" customFormat="1" spans="1:21">
      <c r="A3830" s="1" t="str">
        <f>"4601992077875"</f>
        <v>4601992077875</v>
      </c>
      <c r="B3830" s="1" t="s">
        <v>3853</v>
      </c>
      <c r="C3830" s="1" t="s">
        <v>24</v>
      </c>
      <c r="D3830" s="1" t="str">
        <f t="shared" si="7674"/>
        <v>2021</v>
      </c>
      <c r="E3830" s="1" t="str">
        <f t="shared" ref="E3830:P3830" si="7737">"0"</f>
        <v>0</v>
      </c>
      <c r="F3830" s="1" t="str">
        <f t="shared" si="7737"/>
        <v>0</v>
      </c>
      <c r="G3830" s="1" t="str">
        <f t="shared" si="7737"/>
        <v>0</v>
      </c>
      <c r="H3830" s="1" t="str">
        <f t="shared" si="7737"/>
        <v>0</v>
      </c>
      <c r="I3830" s="1" t="str">
        <f t="shared" si="7737"/>
        <v>0</v>
      </c>
      <c r="J3830" s="1" t="str">
        <f t="shared" si="7737"/>
        <v>0</v>
      </c>
      <c r="K3830" s="1" t="str">
        <f t="shared" si="7737"/>
        <v>0</v>
      </c>
      <c r="L3830" s="1" t="str">
        <f t="shared" si="7737"/>
        <v>0</v>
      </c>
      <c r="M3830" s="1" t="str">
        <f t="shared" si="7737"/>
        <v>0</v>
      </c>
      <c r="N3830" s="1" t="str">
        <f t="shared" si="7737"/>
        <v>0</v>
      </c>
      <c r="O3830" s="1" t="str">
        <f t="shared" si="7737"/>
        <v>0</v>
      </c>
      <c r="P3830" s="1" t="str">
        <f t="shared" si="7737"/>
        <v>0</v>
      </c>
      <c r="Q3830" s="1" t="str">
        <f t="shared" si="7676"/>
        <v>0.0070</v>
      </c>
      <c r="R3830" s="1" t="s">
        <v>25</v>
      </c>
      <c r="T3830" s="1" t="str">
        <f t="shared" si="7677"/>
        <v>0</v>
      </c>
      <c r="U3830" s="1" t="str">
        <f t="shared" si="7704"/>
        <v>0.0070</v>
      </c>
    </row>
    <row r="3831" s="1" customFormat="1" spans="1:21">
      <c r="A3831" s="1" t="str">
        <f>"4601992077898"</f>
        <v>4601992077898</v>
      </c>
      <c r="B3831" s="1" t="s">
        <v>3854</v>
      </c>
      <c r="C3831" s="1" t="s">
        <v>24</v>
      </c>
      <c r="D3831" s="1" t="str">
        <f t="shared" si="7674"/>
        <v>2021</v>
      </c>
      <c r="E3831" s="1" t="str">
        <f t="shared" ref="E3831:P3831" si="7738">"0"</f>
        <v>0</v>
      </c>
      <c r="F3831" s="1" t="str">
        <f t="shared" si="7738"/>
        <v>0</v>
      </c>
      <c r="G3831" s="1" t="str">
        <f t="shared" si="7738"/>
        <v>0</v>
      </c>
      <c r="H3831" s="1" t="str">
        <f t="shared" si="7738"/>
        <v>0</v>
      </c>
      <c r="I3831" s="1" t="str">
        <f t="shared" si="7738"/>
        <v>0</v>
      </c>
      <c r="J3831" s="1" t="str">
        <f t="shared" si="7738"/>
        <v>0</v>
      </c>
      <c r="K3831" s="1" t="str">
        <f t="shared" si="7738"/>
        <v>0</v>
      </c>
      <c r="L3831" s="1" t="str">
        <f t="shared" si="7738"/>
        <v>0</v>
      </c>
      <c r="M3831" s="1" t="str">
        <f t="shared" si="7738"/>
        <v>0</v>
      </c>
      <c r="N3831" s="1" t="str">
        <f t="shared" si="7738"/>
        <v>0</v>
      </c>
      <c r="O3831" s="1" t="str">
        <f t="shared" si="7738"/>
        <v>0</v>
      </c>
      <c r="P3831" s="1" t="str">
        <f t="shared" si="7738"/>
        <v>0</v>
      </c>
      <c r="Q3831" s="1" t="str">
        <f t="shared" si="7676"/>
        <v>0.0070</v>
      </c>
      <c r="R3831" s="1" t="s">
        <v>25</v>
      </c>
      <c r="T3831" s="1" t="str">
        <f t="shared" si="7677"/>
        <v>0</v>
      </c>
      <c r="U3831" s="1" t="str">
        <f t="shared" si="7704"/>
        <v>0.0070</v>
      </c>
    </row>
    <row r="3832" s="1" customFormat="1" spans="1:21">
      <c r="A3832" s="1" t="str">
        <f>"4601992077933"</f>
        <v>4601992077933</v>
      </c>
      <c r="B3832" s="1" t="s">
        <v>3855</v>
      </c>
      <c r="C3832" s="1" t="s">
        <v>24</v>
      </c>
      <c r="D3832" s="1" t="str">
        <f t="shared" si="7674"/>
        <v>2021</v>
      </c>
      <c r="E3832" s="1" t="str">
        <f t="shared" ref="E3832:P3832" si="7739">"0"</f>
        <v>0</v>
      </c>
      <c r="F3832" s="1" t="str">
        <f t="shared" si="7739"/>
        <v>0</v>
      </c>
      <c r="G3832" s="1" t="str">
        <f t="shared" si="7739"/>
        <v>0</v>
      </c>
      <c r="H3832" s="1" t="str">
        <f t="shared" si="7739"/>
        <v>0</v>
      </c>
      <c r="I3832" s="1" t="str">
        <f t="shared" si="7739"/>
        <v>0</v>
      </c>
      <c r="J3832" s="1" t="str">
        <f t="shared" si="7739"/>
        <v>0</v>
      </c>
      <c r="K3832" s="1" t="str">
        <f t="shared" si="7739"/>
        <v>0</v>
      </c>
      <c r="L3832" s="1" t="str">
        <f t="shared" si="7739"/>
        <v>0</v>
      </c>
      <c r="M3832" s="1" t="str">
        <f t="shared" si="7739"/>
        <v>0</v>
      </c>
      <c r="N3832" s="1" t="str">
        <f t="shared" si="7739"/>
        <v>0</v>
      </c>
      <c r="O3832" s="1" t="str">
        <f t="shared" si="7739"/>
        <v>0</v>
      </c>
      <c r="P3832" s="1" t="str">
        <f t="shared" si="7739"/>
        <v>0</v>
      </c>
      <c r="Q3832" s="1" t="str">
        <f t="shared" si="7676"/>
        <v>0.0070</v>
      </c>
      <c r="R3832" s="1" t="s">
        <v>25</v>
      </c>
      <c r="T3832" s="1" t="str">
        <f t="shared" si="7677"/>
        <v>0</v>
      </c>
      <c r="U3832" s="1" t="str">
        <f t="shared" si="7704"/>
        <v>0.0070</v>
      </c>
    </row>
    <row r="3833" s="1" customFormat="1" spans="1:21">
      <c r="A3833" s="1" t="str">
        <f>"4601992077942"</f>
        <v>4601992077942</v>
      </c>
      <c r="B3833" s="1" t="s">
        <v>3856</v>
      </c>
      <c r="C3833" s="1" t="s">
        <v>24</v>
      </c>
      <c r="D3833" s="1" t="str">
        <f t="shared" si="7674"/>
        <v>2021</v>
      </c>
      <c r="E3833" s="1" t="str">
        <f t="shared" ref="E3833:P3833" si="7740">"0"</f>
        <v>0</v>
      </c>
      <c r="F3833" s="1" t="str">
        <f t="shared" si="7740"/>
        <v>0</v>
      </c>
      <c r="G3833" s="1" t="str">
        <f t="shared" si="7740"/>
        <v>0</v>
      </c>
      <c r="H3833" s="1" t="str">
        <f t="shared" si="7740"/>
        <v>0</v>
      </c>
      <c r="I3833" s="1" t="str">
        <f t="shared" si="7740"/>
        <v>0</v>
      </c>
      <c r="J3833" s="1" t="str">
        <f t="shared" si="7740"/>
        <v>0</v>
      </c>
      <c r="K3833" s="1" t="str">
        <f t="shared" si="7740"/>
        <v>0</v>
      </c>
      <c r="L3833" s="1" t="str">
        <f t="shared" si="7740"/>
        <v>0</v>
      </c>
      <c r="M3833" s="1" t="str">
        <f t="shared" si="7740"/>
        <v>0</v>
      </c>
      <c r="N3833" s="1" t="str">
        <f t="shared" si="7740"/>
        <v>0</v>
      </c>
      <c r="O3833" s="1" t="str">
        <f t="shared" si="7740"/>
        <v>0</v>
      </c>
      <c r="P3833" s="1" t="str">
        <f t="shared" si="7740"/>
        <v>0</v>
      </c>
      <c r="Q3833" s="1" t="str">
        <f t="shared" si="7676"/>
        <v>0.0070</v>
      </c>
      <c r="R3833" s="1" t="s">
        <v>25</v>
      </c>
      <c r="T3833" s="1" t="str">
        <f t="shared" si="7677"/>
        <v>0</v>
      </c>
      <c r="U3833" s="1" t="str">
        <f t="shared" si="7704"/>
        <v>0.0070</v>
      </c>
    </row>
    <row r="3834" s="1" customFormat="1" spans="1:21">
      <c r="A3834" s="1" t="str">
        <f>"4601992077982"</f>
        <v>4601992077982</v>
      </c>
      <c r="B3834" s="1" t="s">
        <v>3857</v>
      </c>
      <c r="C3834" s="1" t="s">
        <v>24</v>
      </c>
      <c r="D3834" s="1" t="str">
        <f t="shared" si="7674"/>
        <v>2021</v>
      </c>
      <c r="E3834" s="1" t="str">
        <f t="shared" ref="E3834:P3834" si="7741">"0"</f>
        <v>0</v>
      </c>
      <c r="F3834" s="1" t="str">
        <f t="shared" si="7741"/>
        <v>0</v>
      </c>
      <c r="G3834" s="1" t="str">
        <f t="shared" si="7741"/>
        <v>0</v>
      </c>
      <c r="H3834" s="1" t="str">
        <f t="shared" si="7741"/>
        <v>0</v>
      </c>
      <c r="I3834" s="1" t="str">
        <f t="shared" si="7741"/>
        <v>0</v>
      </c>
      <c r="J3834" s="1" t="str">
        <f t="shared" si="7741"/>
        <v>0</v>
      </c>
      <c r="K3834" s="1" t="str">
        <f t="shared" si="7741"/>
        <v>0</v>
      </c>
      <c r="L3834" s="1" t="str">
        <f t="shared" si="7741"/>
        <v>0</v>
      </c>
      <c r="M3834" s="1" t="str">
        <f t="shared" si="7741"/>
        <v>0</v>
      </c>
      <c r="N3834" s="1" t="str">
        <f t="shared" si="7741"/>
        <v>0</v>
      </c>
      <c r="O3834" s="1" t="str">
        <f t="shared" si="7741"/>
        <v>0</v>
      </c>
      <c r="P3834" s="1" t="str">
        <f t="shared" si="7741"/>
        <v>0</v>
      </c>
      <c r="Q3834" s="1" t="str">
        <f t="shared" si="7676"/>
        <v>0.0070</v>
      </c>
      <c r="R3834" s="1" t="s">
        <v>25</v>
      </c>
      <c r="T3834" s="1" t="str">
        <f t="shared" si="7677"/>
        <v>0</v>
      </c>
      <c r="U3834" s="1" t="str">
        <f t="shared" si="7704"/>
        <v>0.0070</v>
      </c>
    </row>
    <row r="3835" s="1" customFormat="1" spans="1:21">
      <c r="A3835" s="1" t="str">
        <f>"4601992077962"</f>
        <v>4601992077962</v>
      </c>
      <c r="B3835" s="1" t="s">
        <v>3858</v>
      </c>
      <c r="C3835" s="1" t="s">
        <v>24</v>
      </c>
      <c r="D3835" s="1" t="str">
        <f t="shared" si="7674"/>
        <v>2021</v>
      </c>
      <c r="E3835" s="1" t="str">
        <f t="shared" ref="E3835:I3835" si="7742">"0"</f>
        <v>0</v>
      </c>
      <c r="F3835" s="1" t="str">
        <f t="shared" si="7742"/>
        <v>0</v>
      </c>
      <c r="G3835" s="1" t="str">
        <f t="shared" si="7742"/>
        <v>0</v>
      </c>
      <c r="H3835" s="1" t="str">
        <f t="shared" si="7742"/>
        <v>0</v>
      </c>
      <c r="I3835" s="1" t="str">
        <f t="shared" si="7742"/>
        <v>0</v>
      </c>
      <c r="J3835" s="1" t="str">
        <f>"1"</f>
        <v>1</v>
      </c>
      <c r="K3835" s="1" t="str">
        <f t="shared" ref="K3835:P3835" si="7743">"0"</f>
        <v>0</v>
      </c>
      <c r="L3835" s="1" t="str">
        <f t="shared" si="7743"/>
        <v>0</v>
      </c>
      <c r="M3835" s="1" t="str">
        <f t="shared" si="7743"/>
        <v>0</v>
      </c>
      <c r="N3835" s="1" t="str">
        <f t="shared" si="7743"/>
        <v>0</v>
      </c>
      <c r="O3835" s="1" t="str">
        <f t="shared" si="7743"/>
        <v>0</v>
      </c>
      <c r="P3835" s="1" t="str">
        <f t="shared" si="7743"/>
        <v>0</v>
      </c>
      <c r="Q3835" s="1" t="str">
        <f t="shared" si="7676"/>
        <v>0.0070</v>
      </c>
      <c r="R3835" s="1" t="s">
        <v>25</v>
      </c>
      <c r="T3835" s="1" t="str">
        <f t="shared" si="7677"/>
        <v>0</v>
      </c>
      <c r="U3835" s="1" t="str">
        <f t="shared" si="7704"/>
        <v>0.0070</v>
      </c>
    </row>
    <row r="3836" s="1" customFormat="1" spans="1:21">
      <c r="A3836" s="1" t="str">
        <f>"4601992078021"</f>
        <v>4601992078021</v>
      </c>
      <c r="B3836" s="1" t="s">
        <v>3859</v>
      </c>
      <c r="C3836" s="1" t="s">
        <v>24</v>
      </c>
      <c r="D3836" s="1" t="str">
        <f t="shared" si="7674"/>
        <v>2021</v>
      </c>
      <c r="E3836" s="1" t="str">
        <f t="shared" ref="E3836:P3836" si="7744">"0"</f>
        <v>0</v>
      </c>
      <c r="F3836" s="1" t="str">
        <f t="shared" si="7744"/>
        <v>0</v>
      </c>
      <c r="G3836" s="1" t="str">
        <f t="shared" si="7744"/>
        <v>0</v>
      </c>
      <c r="H3836" s="1" t="str">
        <f t="shared" si="7744"/>
        <v>0</v>
      </c>
      <c r="I3836" s="1" t="str">
        <f t="shared" si="7744"/>
        <v>0</v>
      </c>
      <c r="J3836" s="1" t="str">
        <f t="shared" si="7744"/>
        <v>0</v>
      </c>
      <c r="K3836" s="1" t="str">
        <f t="shared" si="7744"/>
        <v>0</v>
      </c>
      <c r="L3836" s="1" t="str">
        <f t="shared" si="7744"/>
        <v>0</v>
      </c>
      <c r="M3836" s="1" t="str">
        <f t="shared" si="7744"/>
        <v>0</v>
      </c>
      <c r="N3836" s="1" t="str">
        <f t="shared" si="7744"/>
        <v>0</v>
      </c>
      <c r="O3836" s="1" t="str">
        <f t="shared" si="7744"/>
        <v>0</v>
      </c>
      <c r="P3836" s="1" t="str">
        <f t="shared" si="7744"/>
        <v>0</v>
      </c>
      <c r="Q3836" s="1" t="str">
        <f t="shared" si="7676"/>
        <v>0.0070</v>
      </c>
      <c r="R3836" s="1" t="s">
        <v>25</v>
      </c>
      <c r="T3836" s="1" t="str">
        <f t="shared" si="7677"/>
        <v>0</v>
      </c>
      <c r="U3836" s="1" t="str">
        <f t="shared" si="7704"/>
        <v>0.0070</v>
      </c>
    </row>
    <row r="3837" s="1" customFormat="1" spans="1:21">
      <c r="A3837" s="1" t="str">
        <f>"4601992078071"</f>
        <v>4601992078071</v>
      </c>
      <c r="B3837" s="1" t="s">
        <v>3860</v>
      </c>
      <c r="C3837" s="1" t="s">
        <v>24</v>
      </c>
      <c r="D3837" s="1" t="str">
        <f t="shared" si="7674"/>
        <v>2021</v>
      </c>
      <c r="E3837" s="1" t="str">
        <f t="shared" ref="E3837:P3837" si="7745">"0"</f>
        <v>0</v>
      </c>
      <c r="F3837" s="1" t="str">
        <f t="shared" si="7745"/>
        <v>0</v>
      </c>
      <c r="G3837" s="1" t="str">
        <f t="shared" si="7745"/>
        <v>0</v>
      </c>
      <c r="H3837" s="1" t="str">
        <f t="shared" si="7745"/>
        <v>0</v>
      </c>
      <c r="I3837" s="1" t="str">
        <f t="shared" si="7745"/>
        <v>0</v>
      </c>
      <c r="J3837" s="1" t="str">
        <f t="shared" si="7745"/>
        <v>0</v>
      </c>
      <c r="K3837" s="1" t="str">
        <f t="shared" si="7745"/>
        <v>0</v>
      </c>
      <c r="L3837" s="1" t="str">
        <f t="shared" si="7745"/>
        <v>0</v>
      </c>
      <c r="M3837" s="1" t="str">
        <f t="shared" si="7745"/>
        <v>0</v>
      </c>
      <c r="N3837" s="1" t="str">
        <f t="shared" si="7745"/>
        <v>0</v>
      </c>
      <c r="O3837" s="1" t="str">
        <f t="shared" si="7745"/>
        <v>0</v>
      </c>
      <c r="P3837" s="1" t="str">
        <f t="shared" si="7745"/>
        <v>0</v>
      </c>
      <c r="Q3837" s="1" t="str">
        <f t="shared" si="7676"/>
        <v>0.0070</v>
      </c>
      <c r="R3837" s="1" t="s">
        <v>25</v>
      </c>
      <c r="T3837" s="1" t="str">
        <f t="shared" si="7677"/>
        <v>0</v>
      </c>
      <c r="U3837" s="1" t="str">
        <f t="shared" si="7704"/>
        <v>0.0070</v>
      </c>
    </row>
    <row r="3838" s="1" customFormat="1" spans="1:21">
      <c r="A3838" s="1" t="str">
        <f>"4601992078108"</f>
        <v>4601992078108</v>
      </c>
      <c r="B3838" s="1" t="s">
        <v>3861</v>
      </c>
      <c r="C3838" s="1" t="s">
        <v>24</v>
      </c>
      <c r="D3838" s="1" t="str">
        <f t="shared" si="7674"/>
        <v>2021</v>
      </c>
      <c r="E3838" s="1" t="str">
        <f t="shared" ref="E3838:P3838" si="7746">"0"</f>
        <v>0</v>
      </c>
      <c r="F3838" s="1" t="str">
        <f t="shared" si="7746"/>
        <v>0</v>
      </c>
      <c r="G3838" s="1" t="str">
        <f t="shared" si="7746"/>
        <v>0</v>
      </c>
      <c r="H3838" s="1" t="str">
        <f t="shared" si="7746"/>
        <v>0</v>
      </c>
      <c r="I3838" s="1" t="str">
        <f t="shared" si="7746"/>
        <v>0</v>
      </c>
      <c r="J3838" s="1" t="str">
        <f t="shared" si="7746"/>
        <v>0</v>
      </c>
      <c r="K3838" s="1" t="str">
        <f t="shared" si="7746"/>
        <v>0</v>
      </c>
      <c r="L3838" s="1" t="str">
        <f t="shared" si="7746"/>
        <v>0</v>
      </c>
      <c r="M3838" s="1" t="str">
        <f t="shared" si="7746"/>
        <v>0</v>
      </c>
      <c r="N3838" s="1" t="str">
        <f t="shared" si="7746"/>
        <v>0</v>
      </c>
      <c r="O3838" s="1" t="str">
        <f t="shared" si="7746"/>
        <v>0</v>
      </c>
      <c r="P3838" s="1" t="str">
        <f t="shared" si="7746"/>
        <v>0</v>
      </c>
      <c r="Q3838" s="1" t="str">
        <f t="shared" si="7676"/>
        <v>0.0070</v>
      </c>
      <c r="R3838" s="1" t="s">
        <v>25</v>
      </c>
      <c r="T3838" s="1" t="str">
        <f t="shared" si="7677"/>
        <v>0</v>
      </c>
      <c r="U3838" s="1" t="str">
        <f t="shared" si="7704"/>
        <v>0.0070</v>
      </c>
    </row>
    <row r="3839" s="1" customFormat="1" spans="1:21">
      <c r="A3839" s="1" t="str">
        <f>"4601992078133"</f>
        <v>4601992078133</v>
      </c>
      <c r="B3839" s="1" t="s">
        <v>3862</v>
      </c>
      <c r="C3839" s="1" t="s">
        <v>24</v>
      </c>
      <c r="D3839" s="1" t="str">
        <f t="shared" si="7674"/>
        <v>2021</v>
      </c>
      <c r="E3839" s="1" t="str">
        <f t="shared" ref="E3839:P3839" si="7747">"0"</f>
        <v>0</v>
      </c>
      <c r="F3839" s="1" t="str">
        <f t="shared" si="7747"/>
        <v>0</v>
      </c>
      <c r="G3839" s="1" t="str">
        <f t="shared" si="7747"/>
        <v>0</v>
      </c>
      <c r="H3839" s="1" t="str">
        <f t="shared" si="7747"/>
        <v>0</v>
      </c>
      <c r="I3839" s="1" t="str">
        <f t="shared" si="7747"/>
        <v>0</v>
      </c>
      <c r="J3839" s="1" t="str">
        <f t="shared" si="7747"/>
        <v>0</v>
      </c>
      <c r="K3839" s="1" t="str">
        <f t="shared" si="7747"/>
        <v>0</v>
      </c>
      <c r="L3839" s="1" t="str">
        <f t="shared" si="7747"/>
        <v>0</v>
      </c>
      <c r="M3839" s="1" t="str">
        <f t="shared" si="7747"/>
        <v>0</v>
      </c>
      <c r="N3839" s="1" t="str">
        <f t="shared" si="7747"/>
        <v>0</v>
      </c>
      <c r="O3839" s="1" t="str">
        <f t="shared" si="7747"/>
        <v>0</v>
      </c>
      <c r="P3839" s="1" t="str">
        <f t="shared" si="7747"/>
        <v>0</v>
      </c>
      <c r="Q3839" s="1" t="str">
        <f t="shared" si="7676"/>
        <v>0.0070</v>
      </c>
      <c r="R3839" s="1" t="s">
        <v>25</v>
      </c>
      <c r="T3839" s="1" t="str">
        <f t="shared" si="7677"/>
        <v>0</v>
      </c>
      <c r="U3839" s="1" t="str">
        <f t="shared" si="7704"/>
        <v>0.0070</v>
      </c>
    </row>
    <row r="3840" s="1" customFormat="1" spans="1:21">
      <c r="A3840" s="1" t="str">
        <f>"4601992078165"</f>
        <v>4601992078165</v>
      </c>
      <c r="B3840" s="1" t="s">
        <v>3863</v>
      </c>
      <c r="C3840" s="1" t="s">
        <v>24</v>
      </c>
      <c r="D3840" s="1" t="str">
        <f t="shared" si="7674"/>
        <v>2021</v>
      </c>
      <c r="E3840" s="1" t="str">
        <f t="shared" ref="E3840:P3840" si="7748">"0"</f>
        <v>0</v>
      </c>
      <c r="F3840" s="1" t="str">
        <f t="shared" si="7748"/>
        <v>0</v>
      </c>
      <c r="G3840" s="1" t="str">
        <f t="shared" si="7748"/>
        <v>0</v>
      </c>
      <c r="H3840" s="1" t="str">
        <f t="shared" si="7748"/>
        <v>0</v>
      </c>
      <c r="I3840" s="1" t="str">
        <f t="shared" si="7748"/>
        <v>0</v>
      </c>
      <c r="J3840" s="1" t="str">
        <f t="shared" si="7748"/>
        <v>0</v>
      </c>
      <c r="K3840" s="1" t="str">
        <f t="shared" si="7748"/>
        <v>0</v>
      </c>
      <c r="L3840" s="1" t="str">
        <f t="shared" si="7748"/>
        <v>0</v>
      </c>
      <c r="M3840" s="1" t="str">
        <f t="shared" si="7748"/>
        <v>0</v>
      </c>
      <c r="N3840" s="1" t="str">
        <f t="shared" si="7748"/>
        <v>0</v>
      </c>
      <c r="O3840" s="1" t="str">
        <f t="shared" si="7748"/>
        <v>0</v>
      </c>
      <c r="P3840" s="1" t="str">
        <f t="shared" si="7748"/>
        <v>0</v>
      </c>
      <c r="Q3840" s="1" t="str">
        <f t="shared" si="7676"/>
        <v>0.0070</v>
      </c>
      <c r="R3840" s="1" t="s">
        <v>25</v>
      </c>
      <c r="T3840" s="1" t="str">
        <f t="shared" si="7677"/>
        <v>0</v>
      </c>
      <c r="U3840" s="1" t="str">
        <f t="shared" si="7704"/>
        <v>0.0070</v>
      </c>
    </row>
    <row r="3841" s="1" customFormat="1" spans="1:21">
      <c r="A3841" s="1" t="str">
        <f>"4601992078170"</f>
        <v>4601992078170</v>
      </c>
      <c r="B3841" s="1" t="s">
        <v>3864</v>
      </c>
      <c r="C3841" s="1" t="s">
        <v>24</v>
      </c>
      <c r="D3841" s="1" t="str">
        <f t="shared" si="7674"/>
        <v>2021</v>
      </c>
      <c r="E3841" s="1" t="str">
        <f t="shared" ref="E3841:P3841" si="7749">"0"</f>
        <v>0</v>
      </c>
      <c r="F3841" s="1" t="str">
        <f t="shared" si="7749"/>
        <v>0</v>
      </c>
      <c r="G3841" s="1" t="str">
        <f t="shared" si="7749"/>
        <v>0</v>
      </c>
      <c r="H3841" s="1" t="str">
        <f t="shared" si="7749"/>
        <v>0</v>
      </c>
      <c r="I3841" s="1" t="str">
        <f t="shared" si="7749"/>
        <v>0</v>
      </c>
      <c r="J3841" s="1" t="str">
        <f t="shared" si="7749"/>
        <v>0</v>
      </c>
      <c r="K3841" s="1" t="str">
        <f t="shared" si="7749"/>
        <v>0</v>
      </c>
      <c r="L3841" s="1" t="str">
        <f t="shared" si="7749"/>
        <v>0</v>
      </c>
      <c r="M3841" s="1" t="str">
        <f t="shared" si="7749"/>
        <v>0</v>
      </c>
      <c r="N3841" s="1" t="str">
        <f t="shared" si="7749"/>
        <v>0</v>
      </c>
      <c r="O3841" s="1" t="str">
        <f t="shared" si="7749"/>
        <v>0</v>
      </c>
      <c r="P3841" s="1" t="str">
        <f t="shared" si="7749"/>
        <v>0</v>
      </c>
      <c r="Q3841" s="1" t="str">
        <f t="shared" si="7676"/>
        <v>0.0070</v>
      </c>
      <c r="R3841" s="1" t="s">
        <v>25</v>
      </c>
      <c r="T3841" s="1" t="str">
        <f t="shared" si="7677"/>
        <v>0</v>
      </c>
      <c r="U3841" s="1" t="str">
        <f t="shared" si="7704"/>
        <v>0.0070</v>
      </c>
    </row>
    <row r="3842" s="1" customFormat="1" spans="1:21">
      <c r="A3842" s="1" t="str">
        <f>"4601992078315"</f>
        <v>4601992078315</v>
      </c>
      <c r="B3842" s="1" t="s">
        <v>3865</v>
      </c>
      <c r="C3842" s="1" t="s">
        <v>24</v>
      </c>
      <c r="D3842" s="1" t="str">
        <f t="shared" si="7674"/>
        <v>2021</v>
      </c>
      <c r="E3842" s="1" t="str">
        <f t="shared" ref="E3842:P3842" si="7750">"0"</f>
        <v>0</v>
      </c>
      <c r="F3842" s="1" t="str">
        <f t="shared" si="7750"/>
        <v>0</v>
      </c>
      <c r="G3842" s="1" t="str">
        <f t="shared" si="7750"/>
        <v>0</v>
      </c>
      <c r="H3842" s="1" t="str">
        <f t="shared" si="7750"/>
        <v>0</v>
      </c>
      <c r="I3842" s="1" t="str">
        <f t="shared" si="7750"/>
        <v>0</v>
      </c>
      <c r="J3842" s="1" t="str">
        <f t="shared" si="7750"/>
        <v>0</v>
      </c>
      <c r="K3842" s="1" t="str">
        <f t="shared" si="7750"/>
        <v>0</v>
      </c>
      <c r="L3842" s="1" t="str">
        <f t="shared" si="7750"/>
        <v>0</v>
      </c>
      <c r="M3842" s="1" t="str">
        <f t="shared" si="7750"/>
        <v>0</v>
      </c>
      <c r="N3842" s="1" t="str">
        <f t="shared" si="7750"/>
        <v>0</v>
      </c>
      <c r="O3842" s="1" t="str">
        <f t="shared" si="7750"/>
        <v>0</v>
      </c>
      <c r="P3842" s="1" t="str">
        <f t="shared" si="7750"/>
        <v>0</v>
      </c>
      <c r="Q3842" s="1" t="str">
        <f t="shared" si="7676"/>
        <v>0.0070</v>
      </c>
      <c r="R3842" s="1" t="s">
        <v>25</v>
      </c>
      <c r="T3842" s="1" t="str">
        <f t="shared" si="7677"/>
        <v>0</v>
      </c>
      <c r="U3842" s="1" t="str">
        <f t="shared" si="7704"/>
        <v>0.0070</v>
      </c>
    </row>
    <row r="3843" s="1" customFormat="1" spans="1:21">
      <c r="A3843" s="1" t="str">
        <f>"4601992078226"</f>
        <v>4601992078226</v>
      </c>
      <c r="B3843" s="1" t="s">
        <v>3866</v>
      </c>
      <c r="C3843" s="1" t="s">
        <v>24</v>
      </c>
      <c r="D3843" s="1" t="str">
        <f t="shared" ref="D3843:D3906" si="7751">"2021"</f>
        <v>2021</v>
      </c>
      <c r="E3843" s="1" t="str">
        <f t="shared" ref="E3843:P3843" si="7752">"0"</f>
        <v>0</v>
      </c>
      <c r="F3843" s="1" t="str">
        <f t="shared" si="7752"/>
        <v>0</v>
      </c>
      <c r="G3843" s="1" t="str">
        <f t="shared" si="7752"/>
        <v>0</v>
      </c>
      <c r="H3843" s="1" t="str">
        <f t="shared" si="7752"/>
        <v>0</v>
      </c>
      <c r="I3843" s="1" t="str">
        <f t="shared" si="7752"/>
        <v>0</v>
      </c>
      <c r="J3843" s="1" t="str">
        <f t="shared" si="7752"/>
        <v>0</v>
      </c>
      <c r="K3843" s="1" t="str">
        <f t="shared" si="7752"/>
        <v>0</v>
      </c>
      <c r="L3843" s="1" t="str">
        <f t="shared" si="7752"/>
        <v>0</v>
      </c>
      <c r="M3843" s="1" t="str">
        <f t="shared" si="7752"/>
        <v>0</v>
      </c>
      <c r="N3843" s="1" t="str">
        <f t="shared" si="7752"/>
        <v>0</v>
      </c>
      <c r="O3843" s="1" t="str">
        <f t="shared" si="7752"/>
        <v>0</v>
      </c>
      <c r="P3843" s="1" t="str">
        <f t="shared" si="7752"/>
        <v>0</v>
      </c>
      <c r="Q3843" s="1" t="str">
        <f t="shared" ref="Q3843:Q3906" si="7753">"0.0070"</f>
        <v>0.0070</v>
      </c>
      <c r="R3843" s="1" t="s">
        <v>25</v>
      </c>
      <c r="T3843" s="1" t="str">
        <f t="shared" ref="T3843:T3906" si="7754">"0"</f>
        <v>0</v>
      </c>
      <c r="U3843" s="1" t="str">
        <f t="shared" si="7704"/>
        <v>0.0070</v>
      </c>
    </row>
    <row r="3844" s="1" customFormat="1" spans="1:21">
      <c r="A3844" s="1" t="str">
        <f>"4601992078352"</f>
        <v>4601992078352</v>
      </c>
      <c r="B3844" s="1" t="s">
        <v>3867</v>
      </c>
      <c r="C3844" s="1" t="s">
        <v>24</v>
      </c>
      <c r="D3844" s="1" t="str">
        <f t="shared" si="7751"/>
        <v>2021</v>
      </c>
      <c r="E3844" s="1" t="str">
        <f t="shared" ref="E3844:P3844" si="7755">"0"</f>
        <v>0</v>
      </c>
      <c r="F3844" s="1" t="str">
        <f t="shared" si="7755"/>
        <v>0</v>
      </c>
      <c r="G3844" s="1" t="str">
        <f t="shared" si="7755"/>
        <v>0</v>
      </c>
      <c r="H3844" s="1" t="str">
        <f t="shared" si="7755"/>
        <v>0</v>
      </c>
      <c r="I3844" s="1" t="str">
        <f t="shared" si="7755"/>
        <v>0</v>
      </c>
      <c r="J3844" s="1" t="str">
        <f t="shared" si="7755"/>
        <v>0</v>
      </c>
      <c r="K3844" s="1" t="str">
        <f t="shared" si="7755"/>
        <v>0</v>
      </c>
      <c r="L3844" s="1" t="str">
        <f t="shared" si="7755"/>
        <v>0</v>
      </c>
      <c r="M3844" s="1" t="str">
        <f t="shared" si="7755"/>
        <v>0</v>
      </c>
      <c r="N3844" s="1" t="str">
        <f t="shared" si="7755"/>
        <v>0</v>
      </c>
      <c r="O3844" s="1" t="str">
        <f t="shared" si="7755"/>
        <v>0</v>
      </c>
      <c r="P3844" s="1" t="str">
        <f t="shared" si="7755"/>
        <v>0</v>
      </c>
      <c r="Q3844" s="1" t="str">
        <f t="shared" si="7753"/>
        <v>0.0070</v>
      </c>
      <c r="R3844" s="1" t="s">
        <v>25</v>
      </c>
      <c r="T3844" s="1" t="str">
        <f t="shared" si="7754"/>
        <v>0</v>
      </c>
      <c r="U3844" s="1" t="str">
        <f t="shared" si="7704"/>
        <v>0.0070</v>
      </c>
    </row>
    <row r="3845" s="1" customFormat="1" spans="1:21">
      <c r="A3845" s="1" t="str">
        <f>"4601992078374"</f>
        <v>4601992078374</v>
      </c>
      <c r="B3845" s="1" t="s">
        <v>3868</v>
      </c>
      <c r="C3845" s="1" t="s">
        <v>24</v>
      </c>
      <c r="D3845" s="1" t="str">
        <f t="shared" si="7751"/>
        <v>2021</v>
      </c>
      <c r="E3845" s="1" t="str">
        <f t="shared" ref="E3845:P3845" si="7756">"0"</f>
        <v>0</v>
      </c>
      <c r="F3845" s="1" t="str">
        <f t="shared" si="7756"/>
        <v>0</v>
      </c>
      <c r="G3845" s="1" t="str">
        <f t="shared" si="7756"/>
        <v>0</v>
      </c>
      <c r="H3845" s="1" t="str">
        <f t="shared" si="7756"/>
        <v>0</v>
      </c>
      <c r="I3845" s="1" t="str">
        <f t="shared" si="7756"/>
        <v>0</v>
      </c>
      <c r="J3845" s="1" t="str">
        <f t="shared" si="7756"/>
        <v>0</v>
      </c>
      <c r="K3845" s="1" t="str">
        <f t="shared" si="7756"/>
        <v>0</v>
      </c>
      <c r="L3845" s="1" t="str">
        <f t="shared" si="7756"/>
        <v>0</v>
      </c>
      <c r="M3845" s="1" t="str">
        <f t="shared" si="7756"/>
        <v>0</v>
      </c>
      <c r="N3845" s="1" t="str">
        <f t="shared" si="7756"/>
        <v>0</v>
      </c>
      <c r="O3845" s="1" t="str">
        <f t="shared" si="7756"/>
        <v>0</v>
      </c>
      <c r="P3845" s="1" t="str">
        <f t="shared" si="7756"/>
        <v>0</v>
      </c>
      <c r="Q3845" s="1" t="str">
        <f t="shared" si="7753"/>
        <v>0.0070</v>
      </c>
      <c r="R3845" s="1" t="s">
        <v>25</v>
      </c>
      <c r="T3845" s="1" t="str">
        <f t="shared" si="7754"/>
        <v>0</v>
      </c>
      <c r="U3845" s="1" t="str">
        <f t="shared" si="7704"/>
        <v>0.0070</v>
      </c>
    </row>
    <row r="3846" s="1" customFormat="1" spans="1:21">
      <c r="A3846" s="1" t="str">
        <f>"4601992078415"</f>
        <v>4601992078415</v>
      </c>
      <c r="B3846" s="1" t="s">
        <v>3869</v>
      </c>
      <c r="C3846" s="1" t="s">
        <v>24</v>
      </c>
      <c r="D3846" s="1" t="str">
        <f t="shared" si="7751"/>
        <v>2021</v>
      </c>
      <c r="E3846" s="1" t="str">
        <f t="shared" ref="E3846:P3846" si="7757">"0"</f>
        <v>0</v>
      </c>
      <c r="F3846" s="1" t="str">
        <f t="shared" si="7757"/>
        <v>0</v>
      </c>
      <c r="G3846" s="1" t="str">
        <f t="shared" si="7757"/>
        <v>0</v>
      </c>
      <c r="H3846" s="1" t="str">
        <f t="shared" si="7757"/>
        <v>0</v>
      </c>
      <c r="I3846" s="1" t="str">
        <f t="shared" si="7757"/>
        <v>0</v>
      </c>
      <c r="J3846" s="1" t="str">
        <f t="shared" si="7757"/>
        <v>0</v>
      </c>
      <c r="K3846" s="1" t="str">
        <f t="shared" si="7757"/>
        <v>0</v>
      </c>
      <c r="L3846" s="1" t="str">
        <f t="shared" si="7757"/>
        <v>0</v>
      </c>
      <c r="M3846" s="1" t="str">
        <f t="shared" si="7757"/>
        <v>0</v>
      </c>
      <c r="N3846" s="1" t="str">
        <f t="shared" si="7757"/>
        <v>0</v>
      </c>
      <c r="O3846" s="1" t="str">
        <f t="shared" si="7757"/>
        <v>0</v>
      </c>
      <c r="P3846" s="1" t="str">
        <f t="shared" si="7757"/>
        <v>0</v>
      </c>
      <c r="Q3846" s="1" t="str">
        <f t="shared" si="7753"/>
        <v>0.0070</v>
      </c>
      <c r="R3846" s="1" t="s">
        <v>25</v>
      </c>
      <c r="T3846" s="1" t="str">
        <f t="shared" si="7754"/>
        <v>0</v>
      </c>
      <c r="U3846" s="1" t="str">
        <f t="shared" si="7704"/>
        <v>0.0070</v>
      </c>
    </row>
    <row r="3847" s="1" customFormat="1" spans="1:21">
      <c r="A3847" s="1" t="str">
        <f>"4601992078389"</f>
        <v>4601992078389</v>
      </c>
      <c r="B3847" s="1" t="s">
        <v>3870</v>
      </c>
      <c r="C3847" s="1" t="s">
        <v>24</v>
      </c>
      <c r="D3847" s="1" t="str">
        <f t="shared" si="7751"/>
        <v>2021</v>
      </c>
      <c r="E3847" s="1" t="str">
        <f t="shared" ref="E3847:P3847" si="7758">"0"</f>
        <v>0</v>
      </c>
      <c r="F3847" s="1" t="str">
        <f t="shared" si="7758"/>
        <v>0</v>
      </c>
      <c r="G3847" s="1" t="str">
        <f t="shared" si="7758"/>
        <v>0</v>
      </c>
      <c r="H3847" s="1" t="str">
        <f t="shared" si="7758"/>
        <v>0</v>
      </c>
      <c r="I3847" s="1" t="str">
        <f t="shared" si="7758"/>
        <v>0</v>
      </c>
      <c r="J3847" s="1" t="str">
        <f t="shared" si="7758"/>
        <v>0</v>
      </c>
      <c r="K3847" s="1" t="str">
        <f t="shared" si="7758"/>
        <v>0</v>
      </c>
      <c r="L3847" s="1" t="str">
        <f t="shared" si="7758"/>
        <v>0</v>
      </c>
      <c r="M3847" s="1" t="str">
        <f t="shared" si="7758"/>
        <v>0</v>
      </c>
      <c r="N3847" s="1" t="str">
        <f t="shared" si="7758"/>
        <v>0</v>
      </c>
      <c r="O3847" s="1" t="str">
        <f t="shared" si="7758"/>
        <v>0</v>
      </c>
      <c r="P3847" s="1" t="str">
        <f t="shared" si="7758"/>
        <v>0</v>
      </c>
      <c r="Q3847" s="1" t="str">
        <f t="shared" si="7753"/>
        <v>0.0070</v>
      </c>
      <c r="R3847" s="1" t="s">
        <v>25</v>
      </c>
      <c r="T3847" s="1" t="str">
        <f t="shared" si="7754"/>
        <v>0</v>
      </c>
      <c r="U3847" s="1" t="str">
        <f t="shared" si="7704"/>
        <v>0.0070</v>
      </c>
    </row>
    <row r="3848" s="1" customFormat="1" spans="1:21">
      <c r="A3848" s="1" t="str">
        <f>"4601992078471"</f>
        <v>4601992078471</v>
      </c>
      <c r="B3848" s="1" t="s">
        <v>3871</v>
      </c>
      <c r="C3848" s="1" t="s">
        <v>24</v>
      </c>
      <c r="D3848" s="1" t="str">
        <f t="shared" si="7751"/>
        <v>2021</v>
      </c>
      <c r="E3848" s="1" t="str">
        <f t="shared" ref="E3848:P3848" si="7759">"0"</f>
        <v>0</v>
      </c>
      <c r="F3848" s="1" t="str">
        <f t="shared" si="7759"/>
        <v>0</v>
      </c>
      <c r="G3848" s="1" t="str">
        <f t="shared" si="7759"/>
        <v>0</v>
      </c>
      <c r="H3848" s="1" t="str">
        <f t="shared" si="7759"/>
        <v>0</v>
      </c>
      <c r="I3848" s="1" t="str">
        <f t="shared" si="7759"/>
        <v>0</v>
      </c>
      <c r="J3848" s="1" t="str">
        <f t="shared" si="7759"/>
        <v>0</v>
      </c>
      <c r="K3848" s="1" t="str">
        <f t="shared" si="7759"/>
        <v>0</v>
      </c>
      <c r="L3848" s="1" t="str">
        <f t="shared" si="7759"/>
        <v>0</v>
      </c>
      <c r="M3848" s="1" t="str">
        <f t="shared" si="7759"/>
        <v>0</v>
      </c>
      <c r="N3848" s="1" t="str">
        <f t="shared" si="7759"/>
        <v>0</v>
      </c>
      <c r="O3848" s="1" t="str">
        <f t="shared" si="7759"/>
        <v>0</v>
      </c>
      <c r="P3848" s="1" t="str">
        <f t="shared" si="7759"/>
        <v>0</v>
      </c>
      <c r="Q3848" s="1" t="str">
        <f t="shared" si="7753"/>
        <v>0.0070</v>
      </c>
      <c r="R3848" s="1" t="s">
        <v>25</v>
      </c>
      <c r="T3848" s="1" t="str">
        <f t="shared" si="7754"/>
        <v>0</v>
      </c>
      <c r="U3848" s="1" t="str">
        <f t="shared" si="7704"/>
        <v>0.0070</v>
      </c>
    </row>
    <row r="3849" s="1" customFormat="1" spans="1:21">
      <c r="A3849" s="1" t="str">
        <f>"4601992078495"</f>
        <v>4601992078495</v>
      </c>
      <c r="B3849" s="1" t="s">
        <v>3872</v>
      </c>
      <c r="C3849" s="1" t="s">
        <v>24</v>
      </c>
      <c r="D3849" s="1" t="str">
        <f t="shared" si="7751"/>
        <v>2021</v>
      </c>
      <c r="E3849" s="1" t="str">
        <f t="shared" ref="E3849:P3849" si="7760">"0"</f>
        <v>0</v>
      </c>
      <c r="F3849" s="1" t="str">
        <f t="shared" si="7760"/>
        <v>0</v>
      </c>
      <c r="G3849" s="1" t="str">
        <f t="shared" si="7760"/>
        <v>0</v>
      </c>
      <c r="H3849" s="1" t="str">
        <f t="shared" si="7760"/>
        <v>0</v>
      </c>
      <c r="I3849" s="1" t="str">
        <f t="shared" si="7760"/>
        <v>0</v>
      </c>
      <c r="J3849" s="1" t="str">
        <f t="shared" si="7760"/>
        <v>0</v>
      </c>
      <c r="K3849" s="1" t="str">
        <f t="shared" si="7760"/>
        <v>0</v>
      </c>
      <c r="L3849" s="1" t="str">
        <f t="shared" si="7760"/>
        <v>0</v>
      </c>
      <c r="M3849" s="1" t="str">
        <f t="shared" si="7760"/>
        <v>0</v>
      </c>
      <c r="N3849" s="1" t="str">
        <f t="shared" si="7760"/>
        <v>0</v>
      </c>
      <c r="O3849" s="1" t="str">
        <f t="shared" si="7760"/>
        <v>0</v>
      </c>
      <c r="P3849" s="1" t="str">
        <f t="shared" si="7760"/>
        <v>0</v>
      </c>
      <c r="Q3849" s="1" t="str">
        <f t="shared" si="7753"/>
        <v>0.0070</v>
      </c>
      <c r="R3849" s="1" t="s">
        <v>25</v>
      </c>
      <c r="T3849" s="1" t="str">
        <f t="shared" si="7754"/>
        <v>0</v>
      </c>
      <c r="U3849" s="1" t="str">
        <f t="shared" si="7704"/>
        <v>0.0070</v>
      </c>
    </row>
    <row r="3850" s="1" customFormat="1" spans="1:21">
      <c r="A3850" s="1" t="str">
        <f>"4601992078387"</f>
        <v>4601992078387</v>
      </c>
      <c r="B3850" s="1" t="s">
        <v>3873</v>
      </c>
      <c r="C3850" s="1" t="s">
        <v>24</v>
      </c>
      <c r="D3850" s="1" t="str">
        <f t="shared" si="7751"/>
        <v>2021</v>
      </c>
      <c r="E3850" s="1" t="str">
        <f t="shared" ref="E3850:I3850" si="7761">"0"</f>
        <v>0</v>
      </c>
      <c r="F3850" s="1" t="str">
        <f t="shared" si="7761"/>
        <v>0</v>
      </c>
      <c r="G3850" s="1" t="str">
        <f t="shared" si="7761"/>
        <v>0</v>
      </c>
      <c r="H3850" s="1" t="str">
        <f t="shared" si="7761"/>
        <v>0</v>
      </c>
      <c r="I3850" s="1" t="str">
        <f t="shared" si="7761"/>
        <v>0</v>
      </c>
      <c r="J3850" s="1" t="str">
        <f>"11"</f>
        <v>11</v>
      </c>
      <c r="K3850" s="1" t="str">
        <f t="shared" ref="K3850:P3850" si="7762">"0"</f>
        <v>0</v>
      </c>
      <c r="L3850" s="1" t="str">
        <f t="shared" si="7762"/>
        <v>0</v>
      </c>
      <c r="M3850" s="1" t="str">
        <f t="shared" si="7762"/>
        <v>0</v>
      </c>
      <c r="N3850" s="1" t="str">
        <f t="shared" si="7762"/>
        <v>0</v>
      </c>
      <c r="O3850" s="1" t="str">
        <f t="shared" si="7762"/>
        <v>0</v>
      </c>
      <c r="P3850" s="1" t="str">
        <f t="shared" si="7762"/>
        <v>0</v>
      </c>
      <c r="Q3850" s="1" t="str">
        <f t="shared" si="7753"/>
        <v>0.0070</v>
      </c>
      <c r="R3850" s="1" t="s">
        <v>25</v>
      </c>
      <c r="T3850" s="1" t="str">
        <f t="shared" si="7754"/>
        <v>0</v>
      </c>
      <c r="U3850" s="1" t="str">
        <f t="shared" si="7704"/>
        <v>0.0070</v>
      </c>
    </row>
    <row r="3851" s="1" customFormat="1" spans="1:21">
      <c r="A3851" s="1" t="str">
        <f>"4601992078504"</f>
        <v>4601992078504</v>
      </c>
      <c r="B3851" s="1" t="s">
        <v>3874</v>
      </c>
      <c r="C3851" s="1" t="s">
        <v>24</v>
      </c>
      <c r="D3851" s="1" t="str">
        <f t="shared" si="7751"/>
        <v>2021</v>
      </c>
      <c r="E3851" s="1" t="str">
        <f t="shared" ref="E3851:P3851" si="7763">"0"</f>
        <v>0</v>
      </c>
      <c r="F3851" s="1" t="str">
        <f t="shared" si="7763"/>
        <v>0</v>
      </c>
      <c r="G3851" s="1" t="str">
        <f t="shared" si="7763"/>
        <v>0</v>
      </c>
      <c r="H3851" s="1" t="str">
        <f t="shared" si="7763"/>
        <v>0</v>
      </c>
      <c r="I3851" s="1" t="str">
        <f t="shared" si="7763"/>
        <v>0</v>
      </c>
      <c r="J3851" s="1" t="str">
        <f t="shared" si="7763"/>
        <v>0</v>
      </c>
      <c r="K3851" s="1" t="str">
        <f t="shared" si="7763"/>
        <v>0</v>
      </c>
      <c r="L3851" s="1" t="str">
        <f t="shared" si="7763"/>
        <v>0</v>
      </c>
      <c r="M3851" s="1" t="str">
        <f t="shared" si="7763"/>
        <v>0</v>
      </c>
      <c r="N3851" s="1" t="str">
        <f t="shared" si="7763"/>
        <v>0</v>
      </c>
      <c r="O3851" s="1" t="str">
        <f t="shared" si="7763"/>
        <v>0</v>
      </c>
      <c r="P3851" s="1" t="str">
        <f t="shared" si="7763"/>
        <v>0</v>
      </c>
      <c r="Q3851" s="1" t="str">
        <f t="shared" si="7753"/>
        <v>0.0070</v>
      </c>
      <c r="R3851" s="1" t="s">
        <v>25</v>
      </c>
      <c r="T3851" s="1" t="str">
        <f t="shared" si="7754"/>
        <v>0</v>
      </c>
      <c r="U3851" s="1" t="str">
        <f t="shared" si="7704"/>
        <v>0.0070</v>
      </c>
    </row>
    <row r="3852" s="1" customFormat="1" spans="1:21">
      <c r="A3852" s="1" t="str">
        <f>"4601992078569"</f>
        <v>4601992078569</v>
      </c>
      <c r="B3852" s="1" t="s">
        <v>3875</v>
      </c>
      <c r="C3852" s="1" t="s">
        <v>24</v>
      </c>
      <c r="D3852" s="1" t="str">
        <f t="shared" si="7751"/>
        <v>2021</v>
      </c>
      <c r="E3852" s="1" t="str">
        <f t="shared" ref="E3852:P3852" si="7764">"0"</f>
        <v>0</v>
      </c>
      <c r="F3852" s="1" t="str">
        <f t="shared" si="7764"/>
        <v>0</v>
      </c>
      <c r="G3852" s="1" t="str">
        <f t="shared" si="7764"/>
        <v>0</v>
      </c>
      <c r="H3852" s="1" t="str">
        <f t="shared" si="7764"/>
        <v>0</v>
      </c>
      <c r="I3852" s="1" t="str">
        <f t="shared" si="7764"/>
        <v>0</v>
      </c>
      <c r="J3852" s="1" t="str">
        <f t="shared" si="7764"/>
        <v>0</v>
      </c>
      <c r="K3852" s="1" t="str">
        <f t="shared" si="7764"/>
        <v>0</v>
      </c>
      <c r="L3852" s="1" t="str">
        <f t="shared" si="7764"/>
        <v>0</v>
      </c>
      <c r="M3852" s="1" t="str">
        <f t="shared" si="7764"/>
        <v>0</v>
      </c>
      <c r="N3852" s="1" t="str">
        <f t="shared" si="7764"/>
        <v>0</v>
      </c>
      <c r="O3852" s="1" t="str">
        <f t="shared" si="7764"/>
        <v>0</v>
      </c>
      <c r="P3852" s="1" t="str">
        <f t="shared" si="7764"/>
        <v>0</v>
      </c>
      <c r="Q3852" s="1" t="str">
        <f t="shared" si="7753"/>
        <v>0.0070</v>
      </c>
      <c r="R3852" s="1" t="s">
        <v>25</v>
      </c>
      <c r="T3852" s="1" t="str">
        <f t="shared" si="7754"/>
        <v>0</v>
      </c>
      <c r="U3852" s="1" t="str">
        <f t="shared" si="7704"/>
        <v>0.0070</v>
      </c>
    </row>
    <row r="3853" s="1" customFormat="1" spans="1:21">
      <c r="A3853" s="1" t="str">
        <f>"4601992078529"</f>
        <v>4601992078529</v>
      </c>
      <c r="B3853" s="1" t="s">
        <v>3876</v>
      </c>
      <c r="C3853" s="1" t="s">
        <v>24</v>
      </c>
      <c r="D3853" s="1" t="str">
        <f t="shared" si="7751"/>
        <v>2021</v>
      </c>
      <c r="E3853" s="1" t="str">
        <f t="shared" ref="E3853:P3853" si="7765">"0"</f>
        <v>0</v>
      </c>
      <c r="F3853" s="1" t="str">
        <f t="shared" si="7765"/>
        <v>0</v>
      </c>
      <c r="G3853" s="1" t="str">
        <f t="shared" si="7765"/>
        <v>0</v>
      </c>
      <c r="H3853" s="1" t="str">
        <f t="shared" si="7765"/>
        <v>0</v>
      </c>
      <c r="I3853" s="1" t="str">
        <f t="shared" si="7765"/>
        <v>0</v>
      </c>
      <c r="J3853" s="1" t="str">
        <f t="shared" si="7765"/>
        <v>0</v>
      </c>
      <c r="K3853" s="1" t="str">
        <f t="shared" si="7765"/>
        <v>0</v>
      </c>
      <c r="L3853" s="1" t="str">
        <f t="shared" si="7765"/>
        <v>0</v>
      </c>
      <c r="M3853" s="1" t="str">
        <f t="shared" si="7765"/>
        <v>0</v>
      </c>
      <c r="N3853" s="1" t="str">
        <f t="shared" si="7765"/>
        <v>0</v>
      </c>
      <c r="O3853" s="1" t="str">
        <f t="shared" si="7765"/>
        <v>0</v>
      </c>
      <c r="P3853" s="1" t="str">
        <f t="shared" si="7765"/>
        <v>0</v>
      </c>
      <c r="Q3853" s="1" t="str">
        <f t="shared" si="7753"/>
        <v>0.0070</v>
      </c>
      <c r="R3853" s="1" t="s">
        <v>25</v>
      </c>
      <c r="T3853" s="1" t="str">
        <f t="shared" si="7754"/>
        <v>0</v>
      </c>
      <c r="U3853" s="1" t="str">
        <f t="shared" si="7704"/>
        <v>0.0070</v>
      </c>
    </row>
    <row r="3854" s="1" customFormat="1" spans="1:21">
      <c r="A3854" s="1" t="str">
        <f>"4601992078598"</f>
        <v>4601992078598</v>
      </c>
      <c r="B3854" s="1" t="s">
        <v>3877</v>
      </c>
      <c r="C3854" s="1" t="s">
        <v>24</v>
      </c>
      <c r="D3854" s="1" t="str">
        <f t="shared" si="7751"/>
        <v>2021</v>
      </c>
      <c r="E3854" s="1" t="str">
        <f t="shared" ref="E3854:P3854" si="7766">"0"</f>
        <v>0</v>
      </c>
      <c r="F3854" s="1" t="str">
        <f t="shared" si="7766"/>
        <v>0</v>
      </c>
      <c r="G3854" s="1" t="str">
        <f t="shared" si="7766"/>
        <v>0</v>
      </c>
      <c r="H3854" s="1" t="str">
        <f t="shared" si="7766"/>
        <v>0</v>
      </c>
      <c r="I3854" s="1" t="str">
        <f t="shared" si="7766"/>
        <v>0</v>
      </c>
      <c r="J3854" s="1" t="str">
        <f t="shared" si="7766"/>
        <v>0</v>
      </c>
      <c r="K3854" s="1" t="str">
        <f t="shared" si="7766"/>
        <v>0</v>
      </c>
      <c r="L3854" s="1" t="str">
        <f t="shared" si="7766"/>
        <v>0</v>
      </c>
      <c r="M3854" s="1" t="str">
        <f t="shared" si="7766"/>
        <v>0</v>
      </c>
      <c r="N3854" s="1" t="str">
        <f t="shared" si="7766"/>
        <v>0</v>
      </c>
      <c r="O3854" s="1" t="str">
        <f t="shared" si="7766"/>
        <v>0</v>
      </c>
      <c r="P3854" s="1" t="str">
        <f t="shared" si="7766"/>
        <v>0</v>
      </c>
      <c r="Q3854" s="1" t="str">
        <f t="shared" si="7753"/>
        <v>0.0070</v>
      </c>
      <c r="R3854" s="1" t="s">
        <v>25</v>
      </c>
      <c r="T3854" s="1" t="str">
        <f t="shared" si="7754"/>
        <v>0</v>
      </c>
      <c r="U3854" s="1" t="str">
        <f t="shared" si="7704"/>
        <v>0.0070</v>
      </c>
    </row>
    <row r="3855" s="1" customFormat="1" spans="1:21">
      <c r="A3855" s="1" t="str">
        <f>"4601992078503"</f>
        <v>4601992078503</v>
      </c>
      <c r="B3855" s="1" t="s">
        <v>3878</v>
      </c>
      <c r="C3855" s="1" t="s">
        <v>24</v>
      </c>
      <c r="D3855" s="1" t="str">
        <f t="shared" si="7751"/>
        <v>2021</v>
      </c>
      <c r="E3855" s="1" t="str">
        <f t="shared" ref="E3855:I3855" si="7767">"0"</f>
        <v>0</v>
      </c>
      <c r="F3855" s="1" t="str">
        <f t="shared" si="7767"/>
        <v>0</v>
      </c>
      <c r="G3855" s="1" t="str">
        <f t="shared" si="7767"/>
        <v>0</v>
      </c>
      <c r="H3855" s="1" t="str">
        <f t="shared" si="7767"/>
        <v>0</v>
      </c>
      <c r="I3855" s="1" t="str">
        <f t="shared" si="7767"/>
        <v>0</v>
      </c>
      <c r="J3855" s="1" t="str">
        <f>"5"</f>
        <v>5</v>
      </c>
      <c r="K3855" s="1" t="str">
        <f t="shared" ref="K3855:P3855" si="7768">"0"</f>
        <v>0</v>
      </c>
      <c r="L3855" s="1" t="str">
        <f t="shared" si="7768"/>
        <v>0</v>
      </c>
      <c r="M3855" s="1" t="str">
        <f t="shared" si="7768"/>
        <v>0</v>
      </c>
      <c r="N3855" s="1" t="str">
        <f t="shared" si="7768"/>
        <v>0</v>
      </c>
      <c r="O3855" s="1" t="str">
        <f t="shared" si="7768"/>
        <v>0</v>
      </c>
      <c r="P3855" s="1" t="str">
        <f t="shared" si="7768"/>
        <v>0</v>
      </c>
      <c r="Q3855" s="1" t="str">
        <f t="shared" si="7753"/>
        <v>0.0070</v>
      </c>
      <c r="R3855" s="1" t="s">
        <v>25</v>
      </c>
      <c r="T3855" s="1" t="str">
        <f t="shared" si="7754"/>
        <v>0</v>
      </c>
      <c r="U3855" s="1" t="str">
        <f t="shared" si="7704"/>
        <v>0.0070</v>
      </c>
    </row>
    <row r="3856" s="1" customFormat="1" spans="1:21">
      <c r="A3856" s="1" t="str">
        <f>"4601992078669"</f>
        <v>4601992078669</v>
      </c>
      <c r="B3856" s="1" t="s">
        <v>3879</v>
      </c>
      <c r="C3856" s="1" t="s">
        <v>24</v>
      </c>
      <c r="D3856" s="1" t="str">
        <f t="shared" si="7751"/>
        <v>2021</v>
      </c>
      <c r="E3856" s="1" t="str">
        <f t="shared" ref="E3856:P3856" si="7769">"0"</f>
        <v>0</v>
      </c>
      <c r="F3856" s="1" t="str">
        <f t="shared" si="7769"/>
        <v>0</v>
      </c>
      <c r="G3856" s="1" t="str">
        <f t="shared" si="7769"/>
        <v>0</v>
      </c>
      <c r="H3856" s="1" t="str">
        <f t="shared" si="7769"/>
        <v>0</v>
      </c>
      <c r="I3856" s="1" t="str">
        <f t="shared" si="7769"/>
        <v>0</v>
      </c>
      <c r="J3856" s="1" t="str">
        <f t="shared" si="7769"/>
        <v>0</v>
      </c>
      <c r="K3856" s="1" t="str">
        <f t="shared" si="7769"/>
        <v>0</v>
      </c>
      <c r="L3856" s="1" t="str">
        <f t="shared" si="7769"/>
        <v>0</v>
      </c>
      <c r="M3856" s="1" t="str">
        <f t="shared" si="7769"/>
        <v>0</v>
      </c>
      <c r="N3856" s="1" t="str">
        <f t="shared" si="7769"/>
        <v>0</v>
      </c>
      <c r="O3856" s="1" t="str">
        <f t="shared" si="7769"/>
        <v>0</v>
      </c>
      <c r="P3856" s="1" t="str">
        <f t="shared" si="7769"/>
        <v>0</v>
      </c>
      <c r="Q3856" s="1" t="str">
        <f t="shared" si="7753"/>
        <v>0.0070</v>
      </c>
      <c r="R3856" s="1" t="s">
        <v>25</v>
      </c>
      <c r="T3856" s="1" t="str">
        <f t="shared" si="7754"/>
        <v>0</v>
      </c>
      <c r="U3856" s="1" t="str">
        <f t="shared" si="7704"/>
        <v>0.0070</v>
      </c>
    </row>
    <row r="3857" s="1" customFormat="1" spans="1:21">
      <c r="A3857" s="1" t="str">
        <f>"4601992078849"</f>
        <v>4601992078849</v>
      </c>
      <c r="B3857" s="1" t="s">
        <v>3880</v>
      </c>
      <c r="C3857" s="1" t="s">
        <v>24</v>
      </c>
      <c r="D3857" s="1" t="str">
        <f t="shared" si="7751"/>
        <v>2021</v>
      </c>
      <c r="E3857" s="1" t="str">
        <f t="shared" ref="E3857:P3857" si="7770">"0"</f>
        <v>0</v>
      </c>
      <c r="F3857" s="1" t="str">
        <f t="shared" si="7770"/>
        <v>0</v>
      </c>
      <c r="G3857" s="1" t="str">
        <f t="shared" si="7770"/>
        <v>0</v>
      </c>
      <c r="H3857" s="1" t="str">
        <f t="shared" si="7770"/>
        <v>0</v>
      </c>
      <c r="I3857" s="1" t="str">
        <f t="shared" si="7770"/>
        <v>0</v>
      </c>
      <c r="J3857" s="1" t="str">
        <f t="shared" si="7770"/>
        <v>0</v>
      </c>
      <c r="K3857" s="1" t="str">
        <f t="shared" si="7770"/>
        <v>0</v>
      </c>
      <c r="L3857" s="1" t="str">
        <f t="shared" si="7770"/>
        <v>0</v>
      </c>
      <c r="M3857" s="1" t="str">
        <f t="shared" si="7770"/>
        <v>0</v>
      </c>
      <c r="N3857" s="1" t="str">
        <f t="shared" si="7770"/>
        <v>0</v>
      </c>
      <c r="O3857" s="1" t="str">
        <f t="shared" si="7770"/>
        <v>0</v>
      </c>
      <c r="P3857" s="1" t="str">
        <f t="shared" si="7770"/>
        <v>0</v>
      </c>
      <c r="Q3857" s="1" t="str">
        <f t="shared" si="7753"/>
        <v>0.0070</v>
      </c>
      <c r="R3857" s="1" t="s">
        <v>25</v>
      </c>
      <c r="T3857" s="1" t="str">
        <f t="shared" si="7754"/>
        <v>0</v>
      </c>
      <c r="U3857" s="1" t="str">
        <f t="shared" si="7704"/>
        <v>0.0070</v>
      </c>
    </row>
    <row r="3858" s="1" customFormat="1" spans="1:21">
      <c r="A3858" s="1" t="str">
        <f>"4601992078808"</f>
        <v>4601992078808</v>
      </c>
      <c r="B3858" s="1" t="s">
        <v>3881</v>
      </c>
      <c r="C3858" s="1" t="s">
        <v>24</v>
      </c>
      <c r="D3858" s="1" t="str">
        <f t="shared" si="7751"/>
        <v>2021</v>
      </c>
      <c r="E3858" s="1" t="str">
        <f t="shared" ref="E3858:P3858" si="7771">"0"</f>
        <v>0</v>
      </c>
      <c r="F3858" s="1" t="str">
        <f t="shared" si="7771"/>
        <v>0</v>
      </c>
      <c r="G3858" s="1" t="str">
        <f t="shared" si="7771"/>
        <v>0</v>
      </c>
      <c r="H3858" s="1" t="str">
        <f t="shared" si="7771"/>
        <v>0</v>
      </c>
      <c r="I3858" s="1" t="str">
        <f t="shared" si="7771"/>
        <v>0</v>
      </c>
      <c r="J3858" s="1" t="str">
        <f t="shared" si="7771"/>
        <v>0</v>
      </c>
      <c r="K3858" s="1" t="str">
        <f t="shared" si="7771"/>
        <v>0</v>
      </c>
      <c r="L3858" s="1" t="str">
        <f t="shared" si="7771"/>
        <v>0</v>
      </c>
      <c r="M3858" s="1" t="str">
        <f t="shared" si="7771"/>
        <v>0</v>
      </c>
      <c r="N3858" s="1" t="str">
        <f t="shared" si="7771"/>
        <v>0</v>
      </c>
      <c r="O3858" s="1" t="str">
        <f t="shared" si="7771"/>
        <v>0</v>
      </c>
      <c r="P3858" s="1" t="str">
        <f t="shared" si="7771"/>
        <v>0</v>
      </c>
      <c r="Q3858" s="1" t="str">
        <f t="shared" si="7753"/>
        <v>0.0070</v>
      </c>
      <c r="R3858" s="1" t="s">
        <v>25</v>
      </c>
      <c r="T3858" s="1" t="str">
        <f t="shared" si="7754"/>
        <v>0</v>
      </c>
      <c r="U3858" s="1" t="str">
        <f t="shared" si="7704"/>
        <v>0.0070</v>
      </c>
    </row>
    <row r="3859" s="1" customFormat="1" spans="1:21">
      <c r="A3859" s="1" t="str">
        <f>"4601992078877"</f>
        <v>4601992078877</v>
      </c>
      <c r="B3859" s="1" t="s">
        <v>3882</v>
      </c>
      <c r="C3859" s="1" t="s">
        <v>24</v>
      </c>
      <c r="D3859" s="1" t="str">
        <f t="shared" si="7751"/>
        <v>2021</v>
      </c>
      <c r="E3859" s="1" t="str">
        <f t="shared" ref="E3859:P3859" si="7772">"0"</f>
        <v>0</v>
      </c>
      <c r="F3859" s="1" t="str">
        <f t="shared" si="7772"/>
        <v>0</v>
      </c>
      <c r="G3859" s="1" t="str">
        <f t="shared" si="7772"/>
        <v>0</v>
      </c>
      <c r="H3859" s="1" t="str">
        <f t="shared" si="7772"/>
        <v>0</v>
      </c>
      <c r="I3859" s="1" t="str">
        <f t="shared" si="7772"/>
        <v>0</v>
      </c>
      <c r="J3859" s="1" t="str">
        <f t="shared" si="7772"/>
        <v>0</v>
      </c>
      <c r="K3859" s="1" t="str">
        <f t="shared" si="7772"/>
        <v>0</v>
      </c>
      <c r="L3859" s="1" t="str">
        <f t="shared" si="7772"/>
        <v>0</v>
      </c>
      <c r="M3859" s="1" t="str">
        <f t="shared" si="7772"/>
        <v>0</v>
      </c>
      <c r="N3859" s="1" t="str">
        <f t="shared" si="7772"/>
        <v>0</v>
      </c>
      <c r="O3859" s="1" t="str">
        <f t="shared" si="7772"/>
        <v>0</v>
      </c>
      <c r="P3859" s="1" t="str">
        <f t="shared" si="7772"/>
        <v>0</v>
      </c>
      <c r="Q3859" s="1" t="str">
        <f t="shared" si="7753"/>
        <v>0.0070</v>
      </c>
      <c r="R3859" s="1" t="s">
        <v>25</v>
      </c>
      <c r="T3859" s="1" t="str">
        <f t="shared" si="7754"/>
        <v>0</v>
      </c>
      <c r="U3859" s="1" t="str">
        <f t="shared" si="7704"/>
        <v>0.0070</v>
      </c>
    </row>
    <row r="3860" s="1" customFormat="1" spans="1:21">
      <c r="A3860" s="1" t="str">
        <f>"4601992078626"</f>
        <v>4601992078626</v>
      </c>
      <c r="B3860" s="1" t="s">
        <v>3883</v>
      </c>
      <c r="C3860" s="1" t="s">
        <v>24</v>
      </c>
      <c r="D3860" s="1" t="str">
        <f t="shared" si="7751"/>
        <v>2021</v>
      </c>
      <c r="E3860" s="1" t="str">
        <f t="shared" ref="E3860:I3860" si="7773">"0"</f>
        <v>0</v>
      </c>
      <c r="F3860" s="1" t="str">
        <f t="shared" si="7773"/>
        <v>0</v>
      </c>
      <c r="G3860" s="1" t="str">
        <f t="shared" si="7773"/>
        <v>0</v>
      </c>
      <c r="H3860" s="1" t="str">
        <f t="shared" si="7773"/>
        <v>0</v>
      </c>
      <c r="I3860" s="1" t="str">
        <f t="shared" si="7773"/>
        <v>0</v>
      </c>
      <c r="J3860" s="1" t="str">
        <f>"1"</f>
        <v>1</v>
      </c>
      <c r="K3860" s="1" t="str">
        <f t="shared" ref="K3860:P3860" si="7774">"0"</f>
        <v>0</v>
      </c>
      <c r="L3860" s="1" t="str">
        <f t="shared" si="7774"/>
        <v>0</v>
      </c>
      <c r="M3860" s="1" t="str">
        <f t="shared" si="7774"/>
        <v>0</v>
      </c>
      <c r="N3860" s="1" t="str">
        <f t="shared" si="7774"/>
        <v>0</v>
      </c>
      <c r="O3860" s="1" t="str">
        <f t="shared" si="7774"/>
        <v>0</v>
      </c>
      <c r="P3860" s="1" t="str">
        <f t="shared" si="7774"/>
        <v>0</v>
      </c>
      <c r="Q3860" s="1" t="str">
        <f t="shared" si="7753"/>
        <v>0.0070</v>
      </c>
      <c r="R3860" s="1" t="s">
        <v>25</v>
      </c>
      <c r="T3860" s="1" t="str">
        <f t="shared" si="7754"/>
        <v>0</v>
      </c>
      <c r="U3860" s="1" t="str">
        <f t="shared" si="7704"/>
        <v>0.0070</v>
      </c>
    </row>
    <row r="3861" s="1" customFormat="1" spans="1:21">
      <c r="A3861" s="1" t="str">
        <f>"4601992078940"</f>
        <v>4601992078940</v>
      </c>
      <c r="B3861" s="1" t="s">
        <v>3884</v>
      </c>
      <c r="C3861" s="1" t="s">
        <v>24</v>
      </c>
      <c r="D3861" s="1" t="str">
        <f t="shared" si="7751"/>
        <v>2021</v>
      </c>
      <c r="E3861" s="1" t="str">
        <f t="shared" ref="E3861:P3861" si="7775">"0"</f>
        <v>0</v>
      </c>
      <c r="F3861" s="1" t="str">
        <f t="shared" si="7775"/>
        <v>0</v>
      </c>
      <c r="G3861" s="1" t="str">
        <f t="shared" si="7775"/>
        <v>0</v>
      </c>
      <c r="H3861" s="1" t="str">
        <f t="shared" si="7775"/>
        <v>0</v>
      </c>
      <c r="I3861" s="1" t="str">
        <f t="shared" si="7775"/>
        <v>0</v>
      </c>
      <c r="J3861" s="1" t="str">
        <f t="shared" si="7775"/>
        <v>0</v>
      </c>
      <c r="K3861" s="1" t="str">
        <f t="shared" si="7775"/>
        <v>0</v>
      </c>
      <c r="L3861" s="1" t="str">
        <f t="shared" si="7775"/>
        <v>0</v>
      </c>
      <c r="M3861" s="1" t="str">
        <f t="shared" si="7775"/>
        <v>0</v>
      </c>
      <c r="N3861" s="1" t="str">
        <f t="shared" si="7775"/>
        <v>0</v>
      </c>
      <c r="O3861" s="1" t="str">
        <f t="shared" si="7775"/>
        <v>0</v>
      </c>
      <c r="P3861" s="1" t="str">
        <f t="shared" si="7775"/>
        <v>0</v>
      </c>
      <c r="Q3861" s="1" t="str">
        <f t="shared" si="7753"/>
        <v>0.0070</v>
      </c>
      <c r="R3861" s="1" t="s">
        <v>25</v>
      </c>
      <c r="T3861" s="1" t="str">
        <f t="shared" si="7754"/>
        <v>0</v>
      </c>
      <c r="U3861" s="1" t="str">
        <f t="shared" si="7704"/>
        <v>0.0070</v>
      </c>
    </row>
    <row r="3862" s="1" customFormat="1" spans="1:21">
      <c r="A3862" s="1" t="str">
        <f>"4601992078988"</f>
        <v>4601992078988</v>
      </c>
      <c r="B3862" s="1" t="s">
        <v>3885</v>
      </c>
      <c r="C3862" s="1" t="s">
        <v>24</v>
      </c>
      <c r="D3862" s="1" t="str">
        <f t="shared" si="7751"/>
        <v>2021</v>
      </c>
      <c r="E3862" s="1" t="str">
        <f t="shared" ref="E3862:P3862" si="7776">"0"</f>
        <v>0</v>
      </c>
      <c r="F3862" s="1" t="str">
        <f t="shared" si="7776"/>
        <v>0</v>
      </c>
      <c r="G3862" s="1" t="str">
        <f t="shared" si="7776"/>
        <v>0</v>
      </c>
      <c r="H3862" s="1" t="str">
        <f t="shared" si="7776"/>
        <v>0</v>
      </c>
      <c r="I3862" s="1" t="str">
        <f t="shared" si="7776"/>
        <v>0</v>
      </c>
      <c r="J3862" s="1" t="str">
        <f t="shared" si="7776"/>
        <v>0</v>
      </c>
      <c r="K3862" s="1" t="str">
        <f t="shared" si="7776"/>
        <v>0</v>
      </c>
      <c r="L3862" s="1" t="str">
        <f t="shared" si="7776"/>
        <v>0</v>
      </c>
      <c r="M3862" s="1" t="str">
        <f t="shared" si="7776"/>
        <v>0</v>
      </c>
      <c r="N3862" s="1" t="str">
        <f t="shared" si="7776"/>
        <v>0</v>
      </c>
      <c r="O3862" s="1" t="str">
        <f t="shared" si="7776"/>
        <v>0</v>
      </c>
      <c r="P3862" s="1" t="str">
        <f t="shared" si="7776"/>
        <v>0</v>
      </c>
      <c r="Q3862" s="1" t="str">
        <f t="shared" si="7753"/>
        <v>0.0070</v>
      </c>
      <c r="R3862" s="1" t="s">
        <v>25</v>
      </c>
      <c r="T3862" s="1" t="str">
        <f t="shared" si="7754"/>
        <v>0</v>
      </c>
      <c r="U3862" s="1" t="str">
        <f t="shared" si="7704"/>
        <v>0.0070</v>
      </c>
    </row>
    <row r="3863" s="1" customFormat="1" spans="1:21">
      <c r="A3863" s="1" t="str">
        <f>"4601992079128"</f>
        <v>4601992079128</v>
      </c>
      <c r="B3863" s="1" t="s">
        <v>3886</v>
      </c>
      <c r="C3863" s="1" t="s">
        <v>24</v>
      </c>
      <c r="D3863" s="1" t="str">
        <f t="shared" si="7751"/>
        <v>2021</v>
      </c>
      <c r="E3863" s="1" t="str">
        <f t="shared" ref="E3863:P3863" si="7777">"0"</f>
        <v>0</v>
      </c>
      <c r="F3863" s="1" t="str">
        <f t="shared" si="7777"/>
        <v>0</v>
      </c>
      <c r="G3863" s="1" t="str">
        <f t="shared" si="7777"/>
        <v>0</v>
      </c>
      <c r="H3863" s="1" t="str">
        <f t="shared" si="7777"/>
        <v>0</v>
      </c>
      <c r="I3863" s="1" t="str">
        <f t="shared" si="7777"/>
        <v>0</v>
      </c>
      <c r="J3863" s="1" t="str">
        <f t="shared" si="7777"/>
        <v>0</v>
      </c>
      <c r="K3863" s="1" t="str">
        <f t="shared" si="7777"/>
        <v>0</v>
      </c>
      <c r="L3863" s="1" t="str">
        <f t="shared" si="7777"/>
        <v>0</v>
      </c>
      <c r="M3863" s="1" t="str">
        <f t="shared" si="7777"/>
        <v>0</v>
      </c>
      <c r="N3863" s="1" t="str">
        <f t="shared" si="7777"/>
        <v>0</v>
      </c>
      <c r="O3863" s="1" t="str">
        <f t="shared" si="7777"/>
        <v>0</v>
      </c>
      <c r="P3863" s="1" t="str">
        <f t="shared" si="7777"/>
        <v>0</v>
      </c>
      <c r="Q3863" s="1" t="str">
        <f t="shared" si="7753"/>
        <v>0.0070</v>
      </c>
      <c r="R3863" s="1" t="s">
        <v>25</v>
      </c>
      <c r="T3863" s="1" t="str">
        <f t="shared" si="7754"/>
        <v>0</v>
      </c>
      <c r="U3863" s="1" t="str">
        <f t="shared" si="7704"/>
        <v>0.0070</v>
      </c>
    </row>
    <row r="3864" s="1" customFormat="1" spans="1:21">
      <c r="A3864" s="1" t="str">
        <f>"4601992079053"</f>
        <v>4601992079053</v>
      </c>
      <c r="B3864" s="1" t="s">
        <v>3887</v>
      </c>
      <c r="C3864" s="1" t="s">
        <v>24</v>
      </c>
      <c r="D3864" s="1" t="str">
        <f t="shared" si="7751"/>
        <v>2021</v>
      </c>
      <c r="E3864" s="1" t="str">
        <f t="shared" ref="E3864:P3864" si="7778">"0"</f>
        <v>0</v>
      </c>
      <c r="F3864" s="1" t="str">
        <f t="shared" si="7778"/>
        <v>0</v>
      </c>
      <c r="G3864" s="1" t="str">
        <f t="shared" si="7778"/>
        <v>0</v>
      </c>
      <c r="H3864" s="1" t="str">
        <f t="shared" si="7778"/>
        <v>0</v>
      </c>
      <c r="I3864" s="1" t="str">
        <f t="shared" si="7778"/>
        <v>0</v>
      </c>
      <c r="J3864" s="1" t="str">
        <f t="shared" si="7778"/>
        <v>0</v>
      </c>
      <c r="K3864" s="1" t="str">
        <f t="shared" si="7778"/>
        <v>0</v>
      </c>
      <c r="L3864" s="1" t="str">
        <f t="shared" si="7778"/>
        <v>0</v>
      </c>
      <c r="M3864" s="1" t="str">
        <f t="shared" si="7778"/>
        <v>0</v>
      </c>
      <c r="N3864" s="1" t="str">
        <f t="shared" si="7778"/>
        <v>0</v>
      </c>
      <c r="O3864" s="1" t="str">
        <f t="shared" si="7778"/>
        <v>0</v>
      </c>
      <c r="P3864" s="1" t="str">
        <f t="shared" si="7778"/>
        <v>0</v>
      </c>
      <c r="Q3864" s="1" t="str">
        <f t="shared" si="7753"/>
        <v>0.0070</v>
      </c>
      <c r="R3864" s="1" t="s">
        <v>25</v>
      </c>
      <c r="T3864" s="1" t="str">
        <f t="shared" si="7754"/>
        <v>0</v>
      </c>
      <c r="U3864" s="1" t="str">
        <f t="shared" si="7704"/>
        <v>0.0070</v>
      </c>
    </row>
    <row r="3865" s="1" customFormat="1" spans="1:21">
      <c r="A3865" s="1" t="str">
        <f>"4601992079152"</f>
        <v>4601992079152</v>
      </c>
      <c r="B3865" s="1" t="s">
        <v>3888</v>
      </c>
      <c r="C3865" s="1" t="s">
        <v>24</v>
      </c>
      <c r="D3865" s="1" t="str">
        <f t="shared" si="7751"/>
        <v>2021</v>
      </c>
      <c r="E3865" s="1" t="str">
        <f t="shared" ref="E3865:P3865" si="7779">"0"</f>
        <v>0</v>
      </c>
      <c r="F3865" s="1" t="str">
        <f t="shared" si="7779"/>
        <v>0</v>
      </c>
      <c r="G3865" s="1" t="str">
        <f t="shared" si="7779"/>
        <v>0</v>
      </c>
      <c r="H3865" s="1" t="str">
        <f t="shared" si="7779"/>
        <v>0</v>
      </c>
      <c r="I3865" s="1" t="str">
        <f t="shared" si="7779"/>
        <v>0</v>
      </c>
      <c r="J3865" s="1" t="str">
        <f t="shared" si="7779"/>
        <v>0</v>
      </c>
      <c r="K3865" s="1" t="str">
        <f t="shared" si="7779"/>
        <v>0</v>
      </c>
      <c r="L3865" s="1" t="str">
        <f t="shared" si="7779"/>
        <v>0</v>
      </c>
      <c r="M3865" s="1" t="str">
        <f t="shared" si="7779"/>
        <v>0</v>
      </c>
      <c r="N3865" s="1" t="str">
        <f t="shared" si="7779"/>
        <v>0</v>
      </c>
      <c r="O3865" s="1" t="str">
        <f t="shared" si="7779"/>
        <v>0</v>
      </c>
      <c r="P3865" s="1" t="str">
        <f t="shared" si="7779"/>
        <v>0</v>
      </c>
      <c r="Q3865" s="1" t="str">
        <f t="shared" si="7753"/>
        <v>0.0070</v>
      </c>
      <c r="R3865" s="1" t="s">
        <v>25</v>
      </c>
      <c r="T3865" s="1" t="str">
        <f t="shared" si="7754"/>
        <v>0</v>
      </c>
      <c r="U3865" s="1" t="str">
        <f t="shared" ref="U3865:U3916" si="7780">"0.0070"</f>
        <v>0.0070</v>
      </c>
    </row>
    <row r="3866" s="1" customFormat="1" spans="1:21">
      <c r="A3866" s="1" t="str">
        <f>"4601992079123"</f>
        <v>4601992079123</v>
      </c>
      <c r="B3866" s="1" t="s">
        <v>3889</v>
      </c>
      <c r="C3866" s="1" t="s">
        <v>24</v>
      </c>
      <c r="D3866" s="1" t="str">
        <f t="shared" si="7751"/>
        <v>2021</v>
      </c>
      <c r="E3866" s="1" t="str">
        <f t="shared" ref="E3866:P3866" si="7781">"0"</f>
        <v>0</v>
      </c>
      <c r="F3866" s="1" t="str">
        <f t="shared" si="7781"/>
        <v>0</v>
      </c>
      <c r="G3866" s="1" t="str">
        <f t="shared" si="7781"/>
        <v>0</v>
      </c>
      <c r="H3866" s="1" t="str">
        <f t="shared" si="7781"/>
        <v>0</v>
      </c>
      <c r="I3866" s="1" t="str">
        <f t="shared" si="7781"/>
        <v>0</v>
      </c>
      <c r="J3866" s="1" t="str">
        <f t="shared" si="7781"/>
        <v>0</v>
      </c>
      <c r="K3866" s="1" t="str">
        <f t="shared" si="7781"/>
        <v>0</v>
      </c>
      <c r="L3866" s="1" t="str">
        <f t="shared" si="7781"/>
        <v>0</v>
      </c>
      <c r="M3866" s="1" t="str">
        <f t="shared" si="7781"/>
        <v>0</v>
      </c>
      <c r="N3866" s="1" t="str">
        <f t="shared" si="7781"/>
        <v>0</v>
      </c>
      <c r="O3866" s="1" t="str">
        <f t="shared" si="7781"/>
        <v>0</v>
      </c>
      <c r="P3866" s="1" t="str">
        <f t="shared" si="7781"/>
        <v>0</v>
      </c>
      <c r="Q3866" s="1" t="str">
        <f t="shared" si="7753"/>
        <v>0.0070</v>
      </c>
      <c r="R3866" s="1" t="s">
        <v>25</v>
      </c>
      <c r="T3866" s="1" t="str">
        <f t="shared" si="7754"/>
        <v>0</v>
      </c>
      <c r="U3866" s="1" t="str">
        <f t="shared" si="7780"/>
        <v>0.0070</v>
      </c>
    </row>
    <row r="3867" s="1" customFormat="1" spans="1:21">
      <c r="A3867" s="1" t="str">
        <f>"4601992079255"</f>
        <v>4601992079255</v>
      </c>
      <c r="B3867" s="1" t="s">
        <v>3890</v>
      </c>
      <c r="C3867" s="1" t="s">
        <v>24</v>
      </c>
      <c r="D3867" s="1" t="str">
        <f t="shared" si="7751"/>
        <v>2021</v>
      </c>
      <c r="E3867" s="1" t="str">
        <f t="shared" ref="E3867:P3867" si="7782">"0"</f>
        <v>0</v>
      </c>
      <c r="F3867" s="1" t="str">
        <f t="shared" si="7782"/>
        <v>0</v>
      </c>
      <c r="G3867" s="1" t="str">
        <f t="shared" si="7782"/>
        <v>0</v>
      </c>
      <c r="H3867" s="1" t="str">
        <f t="shared" si="7782"/>
        <v>0</v>
      </c>
      <c r="I3867" s="1" t="str">
        <f t="shared" si="7782"/>
        <v>0</v>
      </c>
      <c r="J3867" s="1" t="str">
        <f t="shared" si="7782"/>
        <v>0</v>
      </c>
      <c r="K3867" s="1" t="str">
        <f t="shared" si="7782"/>
        <v>0</v>
      </c>
      <c r="L3867" s="1" t="str">
        <f t="shared" si="7782"/>
        <v>0</v>
      </c>
      <c r="M3867" s="1" t="str">
        <f t="shared" si="7782"/>
        <v>0</v>
      </c>
      <c r="N3867" s="1" t="str">
        <f t="shared" si="7782"/>
        <v>0</v>
      </c>
      <c r="O3867" s="1" t="str">
        <f t="shared" si="7782"/>
        <v>0</v>
      </c>
      <c r="P3867" s="1" t="str">
        <f t="shared" si="7782"/>
        <v>0</v>
      </c>
      <c r="Q3867" s="1" t="str">
        <f t="shared" si="7753"/>
        <v>0.0070</v>
      </c>
      <c r="R3867" s="1" t="s">
        <v>25</v>
      </c>
      <c r="T3867" s="1" t="str">
        <f t="shared" si="7754"/>
        <v>0</v>
      </c>
      <c r="U3867" s="1" t="str">
        <f t="shared" si="7780"/>
        <v>0.0070</v>
      </c>
    </row>
    <row r="3868" s="1" customFormat="1" spans="1:21">
      <c r="A3868" s="1" t="str">
        <f>"4601992079312"</f>
        <v>4601992079312</v>
      </c>
      <c r="B3868" s="1" t="s">
        <v>3891</v>
      </c>
      <c r="C3868" s="1" t="s">
        <v>24</v>
      </c>
      <c r="D3868" s="1" t="str">
        <f t="shared" si="7751"/>
        <v>2021</v>
      </c>
      <c r="E3868" s="1" t="str">
        <f t="shared" ref="E3868:P3868" si="7783">"0"</f>
        <v>0</v>
      </c>
      <c r="F3868" s="1" t="str">
        <f t="shared" si="7783"/>
        <v>0</v>
      </c>
      <c r="G3868" s="1" t="str">
        <f t="shared" si="7783"/>
        <v>0</v>
      </c>
      <c r="H3868" s="1" t="str">
        <f t="shared" si="7783"/>
        <v>0</v>
      </c>
      <c r="I3868" s="1" t="str">
        <f t="shared" si="7783"/>
        <v>0</v>
      </c>
      <c r="J3868" s="1" t="str">
        <f t="shared" si="7783"/>
        <v>0</v>
      </c>
      <c r="K3868" s="1" t="str">
        <f t="shared" si="7783"/>
        <v>0</v>
      </c>
      <c r="L3868" s="1" t="str">
        <f t="shared" si="7783"/>
        <v>0</v>
      </c>
      <c r="M3868" s="1" t="str">
        <f t="shared" si="7783"/>
        <v>0</v>
      </c>
      <c r="N3868" s="1" t="str">
        <f t="shared" si="7783"/>
        <v>0</v>
      </c>
      <c r="O3868" s="1" t="str">
        <f t="shared" si="7783"/>
        <v>0</v>
      </c>
      <c r="P3868" s="1" t="str">
        <f t="shared" si="7783"/>
        <v>0</v>
      </c>
      <c r="Q3868" s="1" t="str">
        <f t="shared" si="7753"/>
        <v>0.0070</v>
      </c>
      <c r="R3868" s="1" t="s">
        <v>25</v>
      </c>
      <c r="T3868" s="1" t="str">
        <f t="shared" si="7754"/>
        <v>0</v>
      </c>
      <c r="U3868" s="1" t="str">
        <f t="shared" si="7780"/>
        <v>0.0070</v>
      </c>
    </row>
    <row r="3869" s="1" customFormat="1" spans="1:21">
      <c r="A3869" s="1" t="str">
        <f>"4601992079298"</f>
        <v>4601992079298</v>
      </c>
      <c r="B3869" s="1" t="s">
        <v>3892</v>
      </c>
      <c r="C3869" s="1" t="s">
        <v>24</v>
      </c>
      <c r="D3869" s="1" t="str">
        <f t="shared" si="7751"/>
        <v>2021</v>
      </c>
      <c r="E3869" s="1" t="str">
        <f t="shared" ref="E3869:P3869" si="7784">"0"</f>
        <v>0</v>
      </c>
      <c r="F3869" s="1" t="str">
        <f t="shared" si="7784"/>
        <v>0</v>
      </c>
      <c r="G3869" s="1" t="str">
        <f t="shared" si="7784"/>
        <v>0</v>
      </c>
      <c r="H3869" s="1" t="str">
        <f t="shared" si="7784"/>
        <v>0</v>
      </c>
      <c r="I3869" s="1" t="str">
        <f t="shared" si="7784"/>
        <v>0</v>
      </c>
      <c r="J3869" s="1" t="str">
        <f t="shared" si="7784"/>
        <v>0</v>
      </c>
      <c r="K3869" s="1" t="str">
        <f t="shared" si="7784"/>
        <v>0</v>
      </c>
      <c r="L3869" s="1" t="str">
        <f t="shared" si="7784"/>
        <v>0</v>
      </c>
      <c r="M3869" s="1" t="str">
        <f t="shared" si="7784"/>
        <v>0</v>
      </c>
      <c r="N3869" s="1" t="str">
        <f t="shared" si="7784"/>
        <v>0</v>
      </c>
      <c r="O3869" s="1" t="str">
        <f t="shared" si="7784"/>
        <v>0</v>
      </c>
      <c r="P3869" s="1" t="str">
        <f t="shared" si="7784"/>
        <v>0</v>
      </c>
      <c r="Q3869" s="1" t="str">
        <f t="shared" si="7753"/>
        <v>0.0070</v>
      </c>
      <c r="R3869" s="1" t="s">
        <v>25</v>
      </c>
      <c r="T3869" s="1" t="str">
        <f t="shared" si="7754"/>
        <v>0</v>
      </c>
      <c r="U3869" s="1" t="str">
        <f t="shared" si="7780"/>
        <v>0.0070</v>
      </c>
    </row>
    <row r="3870" s="1" customFormat="1" spans="1:21">
      <c r="A3870" s="1" t="str">
        <f>"4601992079309"</f>
        <v>4601992079309</v>
      </c>
      <c r="B3870" s="1" t="s">
        <v>3893</v>
      </c>
      <c r="C3870" s="1" t="s">
        <v>24</v>
      </c>
      <c r="D3870" s="1" t="str">
        <f t="shared" si="7751"/>
        <v>2021</v>
      </c>
      <c r="E3870" s="1" t="str">
        <f t="shared" ref="E3870:P3870" si="7785">"0"</f>
        <v>0</v>
      </c>
      <c r="F3870" s="1" t="str">
        <f t="shared" si="7785"/>
        <v>0</v>
      </c>
      <c r="G3870" s="1" t="str">
        <f t="shared" si="7785"/>
        <v>0</v>
      </c>
      <c r="H3870" s="1" t="str">
        <f t="shared" si="7785"/>
        <v>0</v>
      </c>
      <c r="I3870" s="1" t="str">
        <f t="shared" si="7785"/>
        <v>0</v>
      </c>
      <c r="J3870" s="1" t="str">
        <f t="shared" si="7785"/>
        <v>0</v>
      </c>
      <c r="K3870" s="1" t="str">
        <f t="shared" si="7785"/>
        <v>0</v>
      </c>
      <c r="L3870" s="1" t="str">
        <f t="shared" si="7785"/>
        <v>0</v>
      </c>
      <c r="M3870" s="1" t="str">
        <f t="shared" si="7785"/>
        <v>0</v>
      </c>
      <c r="N3870" s="1" t="str">
        <f t="shared" si="7785"/>
        <v>0</v>
      </c>
      <c r="O3870" s="1" t="str">
        <f t="shared" si="7785"/>
        <v>0</v>
      </c>
      <c r="P3870" s="1" t="str">
        <f t="shared" si="7785"/>
        <v>0</v>
      </c>
      <c r="Q3870" s="1" t="str">
        <f t="shared" si="7753"/>
        <v>0.0070</v>
      </c>
      <c r="R3870" s="1" t="s">
        <v>25</v>
      </c>
      <c r="T3870" s="1" t="str">
        <f t="shared" si="7754"/>
        <v>0</v>
      </c>
      <c r="U3870" s="1" t="str">
        <f t="shared" si="7780"/>
        <v>0.0070</v>
      </c>
    </row>
    <row r="3871" s="1" customFormat="1" spans="1:21">
      <c r="A3871" s="1" t="str">
        <f>"4601992079412"</f>
        <v>4601992079412</v>
      </c>
      <c r="B3871" s="1" t="s">
        <v>3894</v>
      </c>
      <c r="C3871" s="1" t="s">
        <v>24</v>
      </c>
      <c r="D3871" s="1" t="str">
        <f t="shared" si="7751"/>
        <v>2021</v>
      </c>
      <c r="E3871" s="1" t="str">
        <f t="shared" ref="E3871:P3871" si="7786">"0"</f>
        <v>0</v>
      </c>
      <c r="F3871" s="1" t="str">
        <f t="shared" si="7786"/>
        <v>0</v>
      </c>
      <c r="G3871" s="1" t="str">
        <f t="shared" si="7786"/>
        <v>0</v>
      </c>
      <c r="H3871" s="1" t="str">
        <f t="shared" si="7786"/>
        <v>0</v>
      </c>
      <c r="I3871" s="1" t="str">
        <f t="shared" si="7786"/>
        <v>0</v>
      </c>
      <c r="J3871" s="1" t="str">
        <f t="shared" si="7786"/>
        <v>0</v>
      </c>
      <c r="K3871" s="1" t="str">
        <f t="shared" si="7786"/>
        <v>0</v>
      </c>
      <c r="L3871" s="1" t="str">
        <f t="shared" si="7786"/>
        <v>0</v>
      </c>
      <c r="M3871" s="1" t="str">
        <f t="shared" si="7786"/>
        <v>0</v>
      </c>
      <c r="N3871" s="1" t="str">
        <f t="shared" si="7786"/>
        <v>0</v>
      </c>
      <c r="O3871" s="1" t="str">
        <f t="shared" si="7786"/>
        <v>0</v>
      </c>
      <c r="P3871" s="1" t="str">
        <f t="shared" si="7786"/>
        <v>0</v>
      </c>
      <c r="Q3871" s="1" t="str">
        <f t="shared" si="7753"/>
        <v>0.0070</v>
      </c>
      <c r="R3871" s="1" t="s">
        <v>25</v>
      </c>
      <c r="T3871" s="1" t="str">
        <f t="shared" si="7754"/>
        <v>0</v>
      </c>
      <c r="U3871" s="1" t="str">
        <f t="shared" si="7780"/>
        <v>0.0070</v>
      </c>
    </row>
    <row r="3872" s="1" customFormat="1" spans="1:21">
      <c r="A3872" s="1" t="str">
        <f>"4601992079343"</f>
        <v>4601992079343</v>
      </c>
      <c r="B3872" s="1" t="s">
        <v>3895</v>
      </c>
      <c r="C3872" s="1" t="s">
        <v>24</v>
      </c>
      <c r="D3872" s="1" t="str">
        <f t="shared" si="7751"/>
        <v>2021</v>
      </c>
      <c r="E3872" s="1" t="str">
        <f t="shared" ref="E3872:P3872" si="7787">"0"</f>
        <v>0</v>
      </c>
      <c r="F3872" s="1" t="str">
        <f t="shared" si="7787"/>
        <v>0</v>
      </c>
      <c r="G3872" s="1" t="str">
        <f t="shared" si="7787"/>
        <v>0</v>
      </c>
      <c r="H3872" s="1" t="str">
        <f t="shared" si="7787"/>
        <v>0</v>
      </c>
      <c r="I3872" s="1" t="str">
        <f t="shared" si="7787"/>
        <v>0</v>
      </c>
      <c r="J3872" s="1" t="str">
        <f t="shared" si="7787"/>
        <v>0</v>
      </c>
      <c r="K3872" s="1" t="str">
        <f t="shared" si="7787"/>
        <v>0</v>
      </c>
      <c r="L3872" s="1" t="str">
        <f t="shared" si="7787"/>
        <v>0</v>
      </c>
      <c r="M3872" s="1" t="str">
        <f t="shared" si="7787"/>
        <v>0</v>
      </c>
      <c r="N3872" s="1" t="str">
        <f t="shared" si="7787"/>
        <v>0</v>
      </c>
      <c r="O3872" s="1" t="str">
        <f t="shared" si="7787"/>
        <v>0</v>
      </c>
      <c r="P3872" s="1" t="str">
        <f t="shared" si="7787"/>
        <v>0</v>
      </c>
      <c r="Q3872" s="1" t="str">
        <f t="shared" si="7753"/>
        <v>0.0070</v>
      </c>
      <c r="R3872" s="1" t="s">
        <v>25</v>
      </c>
      <c r="T3872" s="1" t="str">
        <f t="shared" si="7754"/>
        <v>0</v>
      </c>
      <c r="U3872" s="1" t="str">
        <f t="shared" si="7780"/>
        <v>0.0070</v>
      </c>
    </row>
    <row r="3873" s="1" customFormat="1" spans="1:21">
      <c r="A3873" s="1" t="str">
        <f>"4601992079375"</f>
        <v>4601992079375</v>
      </c>
      <c r="B3873" s="1" t="s">
        <v>3896</v>
      </c>
      <c r="C3873" s="1" t="s">
        <v>24</v>
      </c>
      <c r="D3873" s="1" t="str">
        <f t="shared" si="7751"/>
        <v>2021</v>
      </c>
      <c r="E3873" s="1" t="str">
        <f t="shared" ref="E3873:P3873" si="7788">"0"</f>
        <v>0</v>
      </c>
      <c r="F3873" s="1" t="str">
        <f t="shared" si="7788"/>
        <v>0</v>
      </c>
      <c r="G3873" s="1" t="str">
        <f t="shared" si="7788"/>
        <v>0</v>
      </c>
      <c r="H3873" s="1" t="str">
        <f t="shared" si="7788"/>
        <v>0</v>
      </c>
      <c r="I3873" s="1" t="str">
        <f t="shared" si="7788"/>
        <v>0</v>
      </c>
      <c r="J3873" s="1" t="str">
        <f t="shared" si="7788"/>
        <v>0</v>
      </c>
      <c r="K3873" s="1" t="str">
        <f t="shared" si="7788"/>
        <v>0</v>
      </c>
      <c r="L3873" s="1" t="str">
        <f t="shared" si="7788"/>
        <v>0</v>
      </c>
      <c r="M3873" s="1" t="str">
        <f t="shared" si="7788"/>
        <v>0</v>
      </c>
      <c r="N3873" s="1" t="str">
        <f t="shared" si="7788"/>
        <v>0</v>
      </c>
      <c r="O3873" s="1" t="str">
        <f t="shared" si="7788"/>
        <v>0</v>
      </c>
      <c r="P3873" s="1" t="str">
        <f t="shared" si="7788"/>
        <v>0</v>
      </c>
      <c r="Q3873" s="1" t="str">
        <f t="shared" si="7753"/>
        <v>0.0070</v>
      </c>
      <c r="R3873" s="1" t="s">
        <v>25</v>
      </c>
      <c r="T3873" s="1" t="str">
        <f t="shared" si="7754"/>
        <v>0</v>
      </c>
      <c r="U3873" s="1" t="str">
        <f t="shared" si="7780"/>
        <v>0.0070</v>
      </c>
    </row>
    <row r="3874" s="1" customFormat="1" spans="1:21">
      <c r="A3874" s="1" t="str">
        <f>"4601992079411"</f>
        <v>4601992079411</v>
      </c>
      <c r="B3874" s="1" t="s">
        <v>3897</v>
      </c>
      <c r="C3874" s="1" t="s">
        <v>24</v>
      </c>
      <c r="D3874" s="1" t="str">
        <f t="shared" si="7751"/>
        <v>2021</v>
      </c>
      <c r="E3874" s="1" t="str">
        <f t="shared" ref="E3874:P3874" si="7789">"0"</f>
        <v>0</v>
      </c>
      <c r="F3874" s="1" t="str">
        <f t="shared" si="7789"/>
        <v>0</v>
      </c>
      <c r="G3874" s="1" t="str">
        <f t="shared" si="7789"/>
        <v>0</v>
      </c>
      <c r="H3874" s="1" t="str">
        <f t="shared" si="7789"/>
        <v>0</v>
      </c>
      <c r="I3874" s="1" t="str">
        <f t="shared" si="7789"/>
        <v>0</v>
      </c>
      <c r="J3874" s="1" t="str">
        <f t="shared" si="7789"/>
        <v>0</v>
      </c>
      <c r="K3874" s="1" t="str">
        <f t="shared" si="7789"/>
        <v>0</v>
      </c>
      <c r="L3874" s="1" t="str">
        <f t="shared" si="7789"/>
        <v>0</v>
      </c>
      <c r="M3874" s="1" t="str">
        <f t="shared" si="7789"/>
        <v>0</v>
      </c>
      <c r="N3874" s="1" t="str">
        <f t="shared" si="7789"/>
        <v>0</v>
      </c>
      <c r="O3874" s="1" t="str">
        <f t="shared" si="7789"/>
        <v>0</v>
      </c>
      <c r="P3874" s="1" t="str">
        <f t="shared" si="7789"/>
        <v>0</v>
      </c>
      <c r="Q3874" s="1" t="str">
        <f t="shared" si="7753"/>
        <v>0.0070</v>
      </c>
      <c r="R3874" s="1" t="s">
        <v>25</v>
      </c>
      <c r="T3874" s="1" t="str">
        <f t="shared" si="7754"/>
        <v>0</v>
      </c>
      <c r="U3874" s="1" t="str">
        <f t="shared" si="7780"/>
        <v>0.0070</v>
      </c>
    </row>
    <row r="3875" s="1" customFormat="1" spans="1:21">
      <c r="A3875" s="1" t="str">
        <f>"4601992079428"</f>
        <v>4601992079428</v>
      </c>
      <c r="B3875" s="1" t="s">
        <v>3898</v>
      </c>
      <c r="C3875" s="1" t="s">
        <v>24</v>
      </c>
      <c r="D3875" s="1" t="str">
        <f t="shared" si="7751"/>
        <v>2021</v>
      </c>
      <c r="E3875" s="1" t="str">
        <f t="shared" ref="E3875:P3875" si="7790">"0"</f>
        <v>0</v>
      </c>
      <c r="F3875" s="1" t="str">
        <f t="shared" si="7790"/>
        <v>0</v>
      </c>
      <c r="G3875" s="1" t="str">
        <f t="shared" si="7790"/>
        <v>0</v>
      </c>
      <c r="H3875" s="1" t="str">
        <f t="shared" si="7790"/>
        <v>0</v>
      </c>
      <c r="I3875" s="1" t="str">
        <f t="shared" si="7790"/>
        <v>0</v>
      </c>
      <c r="J3875" s="1" t="str">
        <f t="shared" si="7790"/>
        <v>0</v>
      </c>
      <c r="K3875" s="1" t="str">
        <f t="shared" si="7790"/>
        <v>0</v>
      </c>
      <c r="L3875" s="1" t="str">
        <f t="shared" si="7790"/>
        <v>0</v>
      </c>
      <c r="M3875" s="1" t="str">
        <f t="shared" si="7790"/>
        <v>0</v>
      </c>
      <c r="N3875" s="1" t="str">
        <f t="shared" si="7790"/>
        <v>0</v>
      </c>
      <c r="O3875" s="1" t="str">
        <f t="shared" si="7790"/>
        <v>0</v>
      </c>
      <c r="P3875" s="1" t="str">
        <f t="shared" si="7790"/>
        <v>0</v>
      </c>
      <c r="Q3875" s="1" t="str">
        <f t="shared" si="7753"/>
        <v>0.0070</v>
      </c>
      <c r="R3875" s="1" t="s">
        <v>25</v>
      </c>
      <c r="T3875" s="1" t="str">
        <f t="shared" si="7754"/>
        <v>0</v>
      </c>
      <c r="U3875" s="1" t="str">
        <f t="shared" si="7780"/>
        <v>0.0070</v>
      </c>
    </row>
    <row r="3876" s="1" customFormat="1" spans="1:21">
      <c r="A3876" s="1" t="str">
        <f>"4601992079425"</f>
        <v>4601992079425</v>
      </c>
      <c r="B3876" s="1" t="s">
        <v>3899</v>
      </c>
      <c r="C3876" s="1" t="s">
        <v>24</v>
      </c>
      <c r="D3876" s="1" t="str">
        <f t="shared" si="7751"/>
        <v>2021</v>
      </c>
      <c r="E3876" s="1" t="str">
        <f t="shared" ref="E3876:P3876" si="7791">"0"</f>
        <v>0</v>
      </c>
      <c r="F3876" s="1" t="str">
        <f t="shared" si="7791"/>
        <v>0</v>
      </c>
      <c r="G3876" s="1" t="str">
        <f t="shared" si="7791"/>
        <v>0</v>
      </c>
      <c r="H3876" s="1" t="str">
        <f t="shared" si="7791"/>
        <v>0</v>
      </c>
      <c r="I3876" s="1" t="str">
        <f t="shared" si="7791"/>
        <v>0</v>
      </c>
      <c r="J3876" s="1" t="str">
        <f t="shared" si="7791"/>
        <v>0</v>
      </c>
      <c r="K3876" s="1" t="str">
        <f t="shared" si="7791"/>
        <v>0</v>
      </c>
      <c r="L3876" s="1" t="str">
        <f t="shared" si="7791"/>
        <v>0</v>
      </c>
      <c r="M3876" s="1" t="str">
        <f t="shared" si="7791"/>
        <v>0</v>
      </c>
      <c r="N3876" s="1" t="str">
        <f t="shared" si="7791"/>
        <v>0</v>
      </c>
      <c r="O3876" s="1" t="str">
        <f t="shared" si="7791"/>
        <v>0</v>
      </c>
      <c r="P3876" s="1" t="str">
        <f t="shared" si="7791"/>
        <v>0</v>
      </c>
      <c r="Q3876" s="1" t="str">
        <f t="shared" si="7753"/>
        <v>0.0070</v>
      </c>
      <c r="R3876" s="1" t="s">
        <v>25</v>
      </c>
      <c r="T3876" s="1" t="str">
        <f t="shared" si="7754"/>
        <v>0</v>
      </c>
      <c r="U3876" s="1" t="str">
        <f t="shared" si="7780"/>
        <v>0.0070</v>
      </c>
    </row>
    <row r="3877" s="1" customFormat="1" spans="1:21">
      <c r="A3877" s="1" t="str">
        <f>"4601992079449"</f>
        <v>4601992079449</v>
      </c>
      <c r="B3877" s="1" t="s">
        <v>3900</v>
      </c>
      <c r="C3877" s="1" t="s">
        <v>24</v>
      </c>
      <c r="D3877" s="1" t="str">
        <f t="shared" si="7751"/>
        <v>2021</v>
      </c>
      <c r="E3877" s="1" t="str">
        <f t="shared" ref="E3877:P3877" si="7792">"0"</f>
        <v>0</v>
      </c>
      <c r="F3877" s="1" t="str">
        <f t="shared" si="7792"/>
        <v>0</v>
      </c>
      <c r="G3877" s="1" t="str">
        <f t="shared" si="7792"/>
        <v>0</v>
      </c>
      <c r="H3877" s="1" t="str">
        <f t="shared" si="7792"/>
        <v>0</v>
      </c>
      <c r="I3877" s="1" t="str">
        <f t="shared" si="7792"/>
        <v>0</v>
      </c>
      <c r="J3877" s="1" t="str">
        <f t="shared" si="7792"/>
        <v>0</v>
      </c>
      <c r="K3877" s="1" t="str">
        <f t="shared" si="7792"/>
        <v>0</v>
      </c>
      <c r="L3877" s="1" t="str">
        <f t="shared" si="7792"/>
        <v>0</v>
      </c>
      <c r="M3877" s="1" t="str">
        <f t="shared" si="7792"/>
        <v>0</v>
      </c>
      <c r="N3877" s="1" t="str">
        <f t="shared" si="7792"/>
        <v>0</v>
      </c>
      <c r="O3877" s="1" t="str">
        <f t="shared" si="7792"/>
        <v>0</v>
      </c>
      <c r="P3877" s="1" t="str">
        <f t="shared" si="7792"/>
        <v>0</v>
      </c>
      <c r="Q3877" s="1" t="str">
        <f t="shared" si="7753"/>
        <v>0.0070</v>
      </c>
      <c r="R3877" s="1" t="s">
        <v>25</v>
      </c>
      <c r="T3877" s="1" t="str">
        <f t="shared" si="7754"/>
        <v>0</v>
      </c>
      <c r="U3877" s="1" t="str">
        <f t="shared" si="7780"/>
        <v>0.0070</v>
      </c>
    </row>
    <row r="3878" s="1" customFormat="1" spans="1:21">
      <c r="A3878" s="1" t="str">
        <f>"4601992079459"</f>
        <v>4601992079459</v>
      </c>
      <c r="B3878" s="1" t="s">
        <v>3901</v>
      </c>
      <c r="C3878" s="1" t="s">
        <v>24</v>
      </c>
      <c r="D3878" s="1" t="str">
        <f t="shared" si="7751"/>
        <v>2021</v>
      </c>
      <c r="E3878" s="1" t="str">
        <f t="shared" ref="E3878:P3878" si="7793">"0"</f>
        <v>0</v>
      </c>
      <c r="F3878" s="1" t="str">
        <f t="shared" si="7793"/>
        <v>0</v>
      </c>
      <c r="G3878" s="1" t="str">
        <f t="shared" si="7793"/>
        <v>0</v>
      </c>
      <c r="H3878" s="1" t="str">
        <f t="shared" si="7793"/>
        <v>0</v>
      </c>
      <c r="I3878" s="1" t="str">
        <f t="shared" si="7793"/>
        <v>0</v>
      </c>
      <c r="J3878" s="1" t="str">
        <f t="shared" si="7793"/>
        <v>0</v>
      </c>
      <c r="K3878" s="1" t="str">
        <f t="shared" si="7793"/>
        <v>0</v>
      </c>
      <c r="L3878" s="1" t="str">
        <f t="shared" si="7793"/>
        <v>0</v>
      </c>
      <c r="M3878" s="1" t="str">
        <f t="shared" si="7793"/>
        <v>0</v>
      </c>
      <c r="N3878" s="1" t="str">
        <f t="shared" si="7793"/>
        <v>0</v>
      </c>
      <c r="O3878" s="1" t="str">
        <f t="shared" si="7793"/>
        <v>0</v>
      </c>
      <c r="P3878" s="1" t="str">
        <f t="shared" si="7793"/>
        <v>0</v>
      </c>
      <c r="Q3878" s="1" t="str">
        <f t="shared" si="7753"/>
        <v>0.0070</v>
      </c>
      <c r="R3878" s="1" t="s">
        <v>25</v>
      </c>
      <c r="T3878" s="1" t="str">
        <f t="shared" si="7754"/>
        <v>0</v>
      </c>
      <c r="U3878" s="1" t="str">
        <f t="shared" si="7780"/>
        <v>0.0070</v>
      </c>
    </row>
    <row r="3879" s="1" customFormat="1" spans="1:21">
      <c r="A3879" s="1" t="str">
        <f>"4601992079540"</f>
        <v>4601992079540</v>
      </c>
      <c r="B3879" s="1" t="s">
        <v>3902</v>
      </c>
      <c r="C3879" s="1" t="s">
        <v>24</v>
      </c>
      <c r="D3879" s="1" t="str">
        <f t="shared" si="7751"/>
        <v>2021</v>
      </c>
      <c r="E3879" s="1" t="str">
        <f t="shared" ref="E3879:P3879" si="7794">"0"</f>
        <v>0</v>
      </c>
      <c r="F3879" s="1" t="str">
        <f t="shared" si="7794"/>
        <v>0</v>
      </c>
      <c r="G3879" s="1" t="str">
        <f t="shared" si="7794"/>
        <v>0</v>
      </c>
      <c r="H3879" s="1" t="str">
        <f t="shared" si="7794"/>
        <v>0</v>
      </c>
      <c r="I3879" s="1" t="str">
        <f t="shared" si="7794"/>
        <v>0</v>
      </c>
      <c r="J3879" s="1" t="str">
        <f t="shared" si="7794"/>
        <v>0</v>
      </c>
      <c r="K3879" s="1" t="str">
        <f t="shared" si="7794"/>
        <v>0</v>
      </c>
      <c r="L3879" s="1" t="str">
        <f t="shared" si="7794"/>
        <v>0</v>
      </c>
      <c r="M3879" s="1" t="str">
        <f t="shared" si="7794"/>
        <v>0</v>
      </c>
      <c r="N3879" s="1" t="str">
        <f t="shared" si="7794"/>
        <v>0</v>
      </c>
      <c r="O3879" s="1" t="str">
        <f t="shared" si="7794"/>
        <v>0</v>
      </c>
      <c r="P3879" s="1" t="str">
        <f t="shared" si="7794"/>
        <v>0</v>
      </c>
      <c r="Q3879" s="1" t="str">
        <f t="shared" si="7753"/>
        <v>0.0070</v>
      </c>
      <c r="R3879" s="1" t="s">
        <v>25</v>
      </c>
      <c r="T3879" s="1" t="str">
        <f t="shared" si="7754"/>
        <v>0</v>
      </c>
      <c r="U3879" s="1" t="str">
        <f t="shared" si="7780"/>
        <v>0.0070</v>
      </c>
    </row>
    <row r="3880" s="1" customFormat="1" spans="1:21">
      <c r="A3880" s="1" t="str">
        <f>"4601992079470"</f>
        <v>4601992079470</v>
      </c>
      <c r="B3880" s="1" t="s">
        <v>3903</v>
      </c>
      <c r="C3880" s="1" t="s">
        <v>24</v>
      </c>
      <c r="D3880" s="1" t="str">
        <f t="shared" si="7751"/>
        <v>2021</v>
      </c>
      <c r="E3880" s="1" t="str">
        <f t="shared" ref="E3880:P3880" si="7795">"0"</f>
        <v>0</v>
      </c>
      <c r="F3880" s="1" t="str">
        <f t="shared" si="7795"/>
        <v>0</v>
      </c>
      <c r="G3880" s="1" t="str">
        <f t="shared" si="7795"/>
        <v>0</v>
      </c>
      <c r="H3880" s="1" t="str">
        <f t="shared" si="7795"/>
        <v>0</v>
      </c>
      <c r="I3880" s="1" t="str">
        <f t="shared" si="7795"/>
        <v>0</v>
      </c>
      <c r="J3880" s="1" t="str">
        <f t="shared" si="7795"/>
        <v>0</v>
      </c>
      <c r="K3880" s="1" t="str">
        <f t="shared" si="7795"/>
        <v>0</v>
      </c>
      <c r="L3880" s="1" t="str">
        <f t="shared" si="7795"/>
        <v>0</v>
      </c>
      <c r="M3880" s="1" t="str">
        <f t="shared" si="7795"/>
        <v>0</v>
      </c>
      <c r="N3880" s="1" t="str">
        <f t="shared" si="7795"/>
        <v>0</v>
      </c>
      <c r="O3880" s="1" t="str">
        <f t="shared" si="7795"/>
        <v>0</v>
      </c>
      <c r="P3880" s="1" t="str">
        <f t="shared" si="7795"/>
        <v>0</v>
      </c>
      <c r="Q3880" s="1" t="str">
        <f t="shared" si="7753"/>
        <v>0.0070</v>
      </c>
      <c r="R3880" s="1" t="s">
        <v>25</v>
      </c>
      <c r="T3880" s="1" t="str">
        <f t="shared" si="7754"/>
        <v>0</v>
      </c>
      <c r="U3880" s="1" t="str">
        <f t="shared" si="7780"/>
        <v>0.0070</v>
      </c>
    </row>
    <row r="3881" s="1" customFormat="1" spans="1:21">
      <c r="A3881" s="1" t="str">
        <f>"4601992079585"</f>
        <v>4601992079585</v>
      </c>
      <c r="B3881" s="1" t="s">
        <v>3904</v>
      </c>
      <c r="C3881" s="1" t="s">
        <v>24</v>
      </c>
      <c r="D3881" s="1" t="str">
        <f t="shared" si="7751"/>
        <v>2021</v>
      </c>
      <c r="E3881" s="1" t="str">
        <f t="shared" ref="E3881:P3881" si="7796">"0"</f>
        <v>0</v>
      </c>
      <c r="F3881" s="1" t="str">
        <f t="shared" si="7796"/>
        <v>0</v>
      </c>
      <c r="G3881" s="1" t="str">
        <f t="shared" si="7796"/>
        <v>0</v>
      </c>
      <c r="H3881" s="1" t="str">
        <f t="shared" si="7796"/>
        <v>0</v>
      </c>
      <c r="I3881" s="1" t="str">
        <f t="shared" si="7796"/>
        <v>0</v>
      </c>
      <c r="J3881" s="1" t="str">
        <f t="shared" si="7796"/>
        <v>0</v>
      </c>
      <c r="K3881" s="1" t="str">
        <f t="shared" si="7796"/>
        <v>0</v>
      </c>
      <c r="L3881" s="1" t="str">
        <f t="shared" si="7796"/>
        <v>0</v>
      </c>
      <c r="M3881" s="1" t="str">
        <f t="shared" si="7796"/>
        <v>0</v>
      </c>
      <c r="N3881" s="1" t="str">
        <f t="shared" si="7796"/>
        <v>0</v>
      </c>
      <c r="O3881" s="1" t="str">
        <f t="shared" si="7796"/>
        <v>0</v>
      </c>
      <c r="P3881" s="1" t="str">
        <f t="shared" si="7796"/>
        <v>0</v>
      </c>
      <c r="Q3881" s="1" t="str">
        <f t="shared" si="7753"/>
        <v>0.0070</v>
      </c>
      <c r="R3881" s="1" t="s">
        <v>25</v>
      </c>
      <c r="T3881" s="1" t="str">
        <f t="shared" si="7754"/>
        <v>0</v>
      </c>
      <c r="U3881" s="1" t="str">
        <f t="shared" si="7780"/>
        <v>0.0070</v>
      </c>
    </row>
    <row r="3882" s="1" customFormat="1" spans="1:21">
      <c r="A3882" s="1" t="str">
        <f>"4601992079619"</f>
        <v>4601992079619</v>
      </c>
      <c r="B3882" s="1" t="s">
        <v>3905</v>
      </c>
      <c r="C3882" s="1" t="s">
        <v>24</v>
      </c>
      <c r="D3882" s="1" t="str">
        <f t="shared" si="7751"/>
        <v>2021</v>
      </c>
      <c r="E3882" s="1" t="str">
        <f t="shared" ref="E3882:P3882" si="7797">"0"</f>
        <v>0</v>
      </c>
      <c r="F3882" s="1" t="str">
        <f t="shared" si="7797"/>
        <v>0</v>
      </c>
      <c r="G3882" s="1" t="str">
        <f t="shared" si="7797"/>
        <v>0</v>
      </c>
      <c r="H3882" s="1" t="str">
        <f t="shared" si="7797"/>
        <v>0</v>
      </c>
      <c r="I3882" s="1" t="str">
        <f t="shared" si="7797"/>
        <v>0</v>
      </c>
      <c r="J3882" s="1" t="str">
        <f t="shared" si="7797"/>
        <v>0</v>
      </c>
      <c r="K3882" s="1" t="str">
        <f t="shared" si="7797"/>
        <v>0</v>
      </c>
      <c r="L3882" s="1" t="str">
        <f t="shared" si="7797"/>
        <v>0</v>
      </c>
      <c r="M3882" s="1" t="str">
        <f t="shared" si="7797"/>
        <v>0</v>
      </c>
      <c r="N3882" s="1" t="str">
        <f t="shared" si="7797"/>
        <v>0</v>
      </c>
      <c r="O3882" s="1" t="str">
        <f t="shared" si="7797"/>
        <v>0</v>
      </c>
      <c r="P3882" s="1" t="str">
        <f t="shared" si="7797"/>
        <v>0</v>
      </c>
      <c r="Q3882" s="1" t="str">
        <f t="shared" si="7753"/>
        <v>0.0070</v>
      </c>
      <c r="R3882" s="1" t="s">
        <v>25</v>
      </c>
      <c r="T3882" s="1" t="str">
        <f t="shared" si="7754"/>
        <v>0</v>
      </c>
      <c r="U3882" s="1" t="str">
        <f t="shared" si="7780"/>
        <v>0.0070</v>
      </c>
    </row>
    <row r="3883" s="1" customFormat="1" spans="1:21">
      <c r="A3883" s="1" t="str">
        <f>"4601992079650"</f>
        <v>4601992079650</v>
      </c>
      <c r="B3883" s="1" t="s">
        <v>3906</v>
      </c>
      <c r="C3883" s="1" t="s">
        <v>24</v>
      </c>
      <c r="D3883" s="1" t="str">
        <f t="shared" si="7751"/>
        <v>2021</v>
      </c>
      <c r="E3883" s="1" t="str">
        <f t="shared" ref="E3883:P3883" si="7798">"0"</f>
        <v>0</v>
      </c>
      <c r="F3883" s="1" t="str">
        <f t="shared" si="7798"/>
        <v>0</v>
      </c>
      <c r="G3883" s="1" t="str">
        <f t="shared" si="7798"/>
        <v>0</v>
      </c>
      <c r="H3883" s="1" t="str">
        <f t="shared" si="7798"/>
        <v>0</v>
      </c>
      <c r="I3883" s="1" t="str">
        <f t="shared" si="7798"/>
        <v>0</v>
      </c>
      <c r="J3883" s="1" t="str">
        <f t="shared" si="7798"/>
        <v>0</v>
      </c>
      <c r="K3883" s="1" t="str">
        <f t="shared" si="7798"/>
        <v>0</v>
      </c>
      <c r="L3883" s="1" t="str">
        <f t="shared" si="7798"/>
        <v>0</v>
      </c>
      <c r="M3883" s="1" t="str">
        <f t="shared" si="7798"/>
        <v>0</v>
      </c>
      <c r="N3883" s="1" t="str">
        <f t="shared" si="7798"/>
        <v>0</v>
      </c>
      <c r="O3883" s="1" t="str">
        <f t="shared" si="7798"/>
        <v>0</v>
      </c>
      <c r="P3883" s="1" t="str">
        <f t="shared" si="7798"/>
        <v>0</v>
      </c>
      <c r="Q3883" s="1" t="str">
        <f t="shared" si="7753"/>
        <v>0.0070</v>
      </c>
      <c r="R3883" s="1" t="s">
        <v>25</v>
      </c>
      <c r="T3883" s="1" t="str">
        <f t="shared" si="7754"/>
        <v>0</v>
      </c>
      <c r="U3883" s="1" t="str">
        <f t="shared" si="7780"/>
        <v>0.0070</v>
      </c>
    </row>
    <row r="3884" s="1" customFormat="1" spans="1:21">
      <c r="A3884" s="1" t="str">
        <f>"4601992079622"</f>
        <v>4601992079622</v>
      </c>
      <c r="B3884" s="1" t="s">
        <v>3907</v>
      </c>
      <c r="C3884" s="1" t="s">
        <v>24</v>
      </c>
      <c r="D3884" s="1" t="str">
        <f t="shared" si="7751"/>
        <v>2021</v>
      </c>
      <c r="E3884" s="1" t="str">
        <f t="shared" ref="E3884:P3884" si="7799">"0"</f>
        <v>0</v>
      </c>
      <c r="F3884" s="1" t="str">
        <f t="shared" si="7799"/>
        <v>0</v>
      </c>
      <c r="G3884" s="1" t="str">
        <f t="shared" si="7799"/>
        <v>0</v>
      </c>
      <c r="H3884" s="1" t="str">
        <f t="shared" si="7799"/>
        <v>0</v>
      </c>
      <c r="I3884" s="1" t="str">
        <f t="shared" si="7799"/>
        <v>0</v>
      </c>
      <c r="J3884" s="1" t="str">
        <f t="shared" si="7799"/>
        <v>0</v>
      </c>
      <c r="K3884" s="1" t="str">
        <f t="shared" si="7799"/>
        <v>0</v>
      </c>
      <c r="L3884" s="1" t="str">
        <f t="shared" si="7799"/>
        <v>0</v>
      </c>
      <c r="M3884" s="1" t="str">
        <f t="shared" si="7799"/>
        <v>0</v>
      </c>
      <c r="N3884" s="1" t="str">
        <f t="shared" si="7799"/>
        <v>0</v>
      </c>
      <c r="O3884" s="1" t="str">
        <f t="shared" si="7799"/>
        <v>0</v>
      </c>
      <c r="P3884" s="1" t="str">
        <f t="shared" si="7799"/>
        <v>0</v>
      </c>
      <c r="Q3884" s="1" t="str">
        <f t="shared" si="7753"/>
        <v>0.0070</v>
      </c>
      <c r="R3884" s="1" t="s">
        <v>25</v>
      </c>
      <c r="T3884" s="1" t="str">
        <f t="shared" si="7754"/>
        <v>0</v>
      </c>
      <c r="U3884" s="1" t="str">
        <f t="shared" si="7780"/>
        <v>0.0070</v>
      </c>
    </row>
    <row r="3885" s="1" customFormat="1" spans="1:21">
      <c r="A3885" s="1" t="str">
        <f>"4601992079597"</f>
        <v>4601992079597</v>
      </c>
      <c r="B3885" s="1" t="s">
        <v>3908</v>
      </c>
      <c r="C3885" s="1" t="s">
        <v>24</v>
      </c>
      <c r="D3885" s="1" t="str">
        <f t="shared" si="7751"/>
        <v>2021</v>
      </c>
      <c r="E3885" s="1" t="str">
        <f t="shared" ref="E3885:I3885" si="7800">"0"</f>
        <v>0</v>
      </c>
      <c r="F3885" s="1" t="str">
        <f t="shared" si="7800"/>
        <v>0</v>
      </c>
      <c r="G3885" s="1" t="str">
        <f t="shared" si="7800"/>
        <v>0</v>
      </c>
      <c r="H3885" s="1" t="str">
        <f t="shared" si="7800"/>
        <v>0</v>
      </c>
      <c r="I3885" s="1" t="str">
        <f t="shared" si="7800"/>
        <v>0</v>
      </c>
      <c r="J3885" s="1" t="str">
        <f>"2"</f>
        <v>2</v>
      </c>
      <c r="K3885" s="1" t="str">
        <f t="shared" ref="K3885:P3885" si="7801">"0"</f>
        <v>0</v>
      </c>
      <c r="L3885" s="1" t="str">
        <f t="shared" si="7801"/>
        <v>0</v>
      </c>
      <c r="M3885" s="1" t="str">
        <f t="shared" si="7801"/>
        <v>0</v>
      </c>
      <c r="N3885" s="1" t="str">
        <f t="shared" si="7801"/>
        <v>0</v>
      </c>
      <c r="O3885" s="1" t="str">
        <f t="shared" si="7801"/>
        <v>0</v>
      </c>
      <c r="P3885" s="1" t="str">
        <f t="shared" si="7801"/>
        <v>0</v>
      </c>
      <c r="Q3885" s="1" t="str">
        <f t="shared" si="7753"/>
        <v>0.0070</v>
      </c>
      <c r="R3885" s="1" t="s">
        <v>25</v>
      </c>
      <c r="T3885" s="1" t="str">
        <f t="shared" si="7754"/>
        <v>0</v>
      </c>
      <c r="U3885" s="1" t="str">
        <f t="shared" si="7780"/>
        <v>0.0070</v>
      </c>
    </row>
    <row r="3886" s="1" customFormat="1" spans="1:21">
      <c r="A3886" s="1" t="str">
        <f>"4601992079686"</f>
        <v>4601992079686</v>
      </c>
      <c r="B3886" s="1" t="s">
        <v>3909</v>
      </c>
      <c r="C3886" s="1" t="s">
        <v>24</v>
      </c>
      <c r="D3886" s="1" t="str">
        <f t="shared" si="7751"/>
        <v>2021</v>
      </c>
      <c r="E3886" s="1" t="str">
        <f t="shared" ref="E3886:P3886" si="7802">"0"</f>
        <v>0</v>
      </c>
      <c r="F3886" s="1" t="str">
        <f t="shared" si="7802"/>
        <v>0</v>
      </c>
      <c r="G3886" s="1" t="str">
        <f t="shared" si="7802"/>
        <v>0</v>
      </c>
      <c r="H3886" s="1" t="str">
        <f t="shared" si="7802"/>
        <v>0</v>
      </c>
      <c r="I3886" s="1" t="str">
        <f t="shared" si="7802"/>
        <v>0</v>
      </c>
      <c r="J3886" s="1" t="str">
        <f t="shared" si="7802"/>
        <v>0</v>
      </c>
      <c r="K3886" s="1" t="str">
        <f t="shared" si="7802"/>
        <v>0</v>
      </c>
      <c r="L3886" s="1" t="str">
        <f t="shared" si="7802"/>
        <v>0</v>
      </c>
      <c r="M3886" s="1" t="str">
        <f t="shared" si="7802"/>
        <v>0</v>
      </c>
      <c r="N3886" s="1" t="str">
        <f t="shared" si="7802"/>
        <v>0</v>
      </c>
      <c r="O3886" s="1" t="str">
        <f t="shared" si="7802"/>
        <v>0</v>
      </c>
      <c r="P3886" s="1" t="str">
        <f t="shared" si="7802"/>
        <v>0</v>
      </c>
      <c r="Q3886" s="1" t="str">
        <f t="shared" si="7753"/>
        <v>0.0070</v>
      </c>
      <c r="R3886" s="1" t="s">
        <v>25</v>
      </c>
      <c r="T3886" s="1" t="str">
        <f t="shared" si="7754"/>
        <v>0</v>
      </c>
      <c r="U3886" s="1" t="str">
        <f t="shared" si="7780"/>
        <v>0.0070</v>
      </c>
    </row>
    <row r="3887" s="1" customFormat="1" spans="1:21">
      <c r="A3887" s="1" t="str">
        <f>"4601992079796"</f>
        <v>4601992079796</v>
      </c>
      <c r="B3887" s="1" t="s">
        <v>3910</v>
      </c>
      <c r="C3887" s="1" t="s">
        <v>24</v>
      </c>
      <c r="D3887" s="1" t="str">
        <f t="shared" si="7751"/>
        <v>2021</v>
      </c>
      <c r="E3887" s="1" t="str">
        <f t="shared" ref="E3887:P3887" si="7803">"0"</f>
        <v>0</v>
      </c>
      <c r="F3887" s="1" t="str">
        <f t="shared" si="7803"/>
        <v>0</v>
      </c>
      <c r="G3887" s="1" t="str">
        <f t="shared" si="7803"/>
        <v>0</v>
      </c>
      <c r="H3887" s="1" t="str">
        <f t="shared" si="7803"/>
        <v>0</v>
      </c>
      <c r="I3887" s="1" t="str">
        <f t="shared" si="7803"/>
        <v>0</v>
      </c>
      <c r="J3887" s="1" t="str">
        <f t="shared" si="7803"/>
        <v>0</v>
      </c>
      <c r="K3887" s="1" t="str">
        <f t="shared" si="7803"/>
        <v>0</v>
      </c>
      <c r="L3887" s="1" t="str">
        <f t="shared" si="7803"/>
        <v>0</v>
      </c>
      <c r="M3887" s="1" t="str">
        <f t="shared" si="7803"/>
        <v>0</v>
      </c>
      <c r="N3887" s="1" t="str">
        <f t="shared" si="7803"/>
        <v>0</v>
      </c>
      <c r="O3887" s="1" t="str">
        <f t="shared" si="7803"/>
        <v>0</v>
      </c>
      <c r="P3887" s="1" t="str">
        <f t="shared" si="7803"/>
        <v>0</v>
      </c>
      <c r="Q3887" s="1" t="str">
        <f t="shared" si="7753"/>
        <v>0.0070</v>
      </c>
      <c r="R3887" s="1" t="s">
        <v>25</v>
      </c>
      <c r="T3887" s="1" t="str">
        <f t="shared" si="7754"/>
        <v>0</v>
      </c>
      <c r="U3887" s="1" t="str">
        <f t="shared" si="7780"/>
        <v>0.0070</v>
      </c>
    </row>
    <row r="3888" s="1" customFormat="1" spans="1:21">
      <c r="A3888" s="1" t="str">
        <f>"4601992079844"</f>
        <v>4601992079844</v>
      </c>
      <c r="B3888" s="1" t="s">
        <v>3911</v>
      </c>
      <c r="C3888" s="1" t="s">
        <v>24</v>
      </c>
      <c r="D3888" s="1" t="str">
        <f t="shared" si="7751"/>
        <v>2021</v>
      </c>
      <c r="E3888" s="1" t="str">
        <f t="shared" ref="E3888:P3888" si="7804">"0"</f>
        <v>0</v>
      </c>
      <c r="F3888" s="1" t="str">
        <f t="shared" si="7804"/>
        <v>0</v>
      </c>
      <c r="G3888" s="1" t="str">
        <f t="shared" si="7804"/>
        <v>0</v>
      </c>
      <c r="H3888" s="1" t="str">
        <f t="shared" si="7804"/>
        <v>0</v>
      </c>
      <c r="I3888" s="1" t="str">
        <f t="shared" si="7804"/>
        <v>0</v>
      </c>
      <c r="J3888" s="1" t="str">
        <f t="shared" si="7804"/>
        <v>0</v>
      </c>
      <c r="K3888" s="1" t="str">
        <f t="shared" si="7804"/>
        <v>0</v>
      </c>
      <c r="L3888" s="1" t="str">
        <f t="shared" si="7804"/>
        <v>0</v>
      </c>
      <c r="M3888" s="1" t="str">
        <f t="shared" si="7804"/>
        <v>0</v>
      </c>
      <c r="N3888" s="1" t="str">
        <f t="shared" si="7804"/>
        <v>0</v>
      </c>
      <c r="O3888" s="1" t="str">
        <f t="shared" si="7804"/>
        <v>0</v>
      </c>
      <c r="P3888" s="1" t="str">
        <f t="shared" si="7804"/>
        <v>0</v>
      </c>
      <c r="Q3888" s="1" t="str">
        <f t="shared" si="7753"/>
        <v>0.0070</v>
      </c>
      <c r="R3888" s="1" t="s">
        <v>25</v>
      </c>
      <c r="T3888" s="1" t="str">
        <f t="shared" si="7754"/>
        <v>0</v>
      </c>
      <c r="U3888" s="1" t="str">
        <f t="shared" si="7780"/>
        <v>0.0070</v>
      </c>
    </row>
    <row r="3889" s="1" customFormat="1" spans="1:21">
      <c r="A3889" s="1" t="str">
        <f>"4601992079857"</f>
        <v>4601992079857</v>
      </c>
      <c r="B3889" s="1" t="s">
        <v>3912</v>
      </c>
      <c r="C3889" s="1" t="s">
        <v>24</v>
      </c>
      <c r="D3889" s="1" t="str">
        <f t="shared" si="7751"/>
        <v>2021</v>
      </c>
      <c r="E3889" s="1" t="str">
        <f t="shared" ref="E3889:P3889" si="7805">"0"</f>
        <v>0</v>
      </c>
      <c r="F3889" s="1" t="str">
        <f t="shared" si="7805"/>
        <v>0</v>
      </c>
      <c r="G3889" s="1" t="str">
        <f t="shared" si="7805"/>
        <v>0</v>
      </c>
      <c r="H3889" s="1" t="str">
        <f t="shared" si="7805"/>
        <v>0</v>
      </c>
      <c r="I3889" s="1" t="str">
        <f t="shared" si="7805"/>
        <v>0</v>
      </c>
      <c r="J3889" s="1" t="str">
        <f t="shared" si="7805"/>
        <v>0</v>
      </c>
      <c r="K3889" s="1" t="str">
        <f t="shared" si="7805"/>
        <v>0</v>
      </c>
      <c r="L3889" s="1" t="str">
        <f t="shared" si="7805"/>
        <v>0</v>
      </c>
      <c r="M3889" s="1" t="str">
        <f t="shared" si="7805"/>
        <v>0</v>
      </c>
      <c r="N3889" s="1" t="str">
        <f t="shared" si="7805"/>
        <v>0</v>
      </c>
      <c r="O3889" s="1" t="str">
        <f t="shared" si="7805"/>
        <v>0</v>
      </c>
      <c r="P3889" s="1" t="str">
        <f t="shared" si="7805"/>
        <v>0</v>
      </c>
      <c r="Q3889" s="1" t="str">
        <f t="shared" si="7753"/>
        <v>0.0070</v>
      </c>
      <c r="R3889" s="1" t="s">
        <v>25</v>
      </c>
      <c r="T3889" s="1" t="str">
        <f t="shared" si="7754"/>
        <v>0</v>
      </c>
      <c r="U3889" s="1" t="str">
        <f t="shared" si="7780"/>
        <v>0.0070</v>
      </c>
    </row>
    <row r="3890" s="1" customFormat="1" spans="1:21">
      <c r="A3890" s="1" t="str">
        <f>"4601992079860"</f>
        <v>4601992079860</v>
      </c>
      <c r="B3890" s="1" t="s">
        <v>3913</v>
      </c>
      <c r="C3890" s="1" t="s">
        <v>24</v>
      </c>
      <c r="D3890" s="1" t="str">
        <f t="shared" si="7751"/>
        <v>2021</v>
      </c>
      <c r="E3890" s="1" t="str">
        <f t="shared" ref="E3890:P3890" si="7806">"0"</f>
        <v>0</v>
      </c>
      <c r="F3890" s="1" t="str">
        <f t="shared" si="7806"/>
        <v>0</v>
      </c>
      <c r="G3890" s="1" t="str">
        <f t="shared" si="7806"/>
        <v>0</v>
      </c>
      <c r="H3890" s="1" t="str">
        <f t="shared" si="7806"/>
        <v>0</v>
      </c>
      <c r="I3890" s="1" t="str">
        <f t="shared" si="7806"/>
        <v>0</v>
      </c>
      <c r="J3890" s="1" t="str">
        <f t="shared" si="7806"/>
        <v>0</v>
      </c>
      <c r="K3890" s="1" t="str">
        <f t="shared" si="7806"/>
        <v>0</v>
      </c>
      <c r="L3890" s="1" t="str">
        <f t="shared" si="7806"/>
        <v>0</v>
      </c>
      <c r="M3890" s="1" t="str">
        <f t="shared" si="7806"/>
        <v>0</v>
      </c>
      <c r="N3890" s="1" t="str">
        <f t="shared" si="7806"/>
        <v>0</v>
      </c>
      <c r="O3890" s="1" t="str">
        <f t="shared" si="7806"/>
        <v>0</v>
      </c>
      <c r="P3890" s="1" t="str">
        <f t="shared" si="7806"/>
        <v>0</v>
      </c>
      <c r="Q3890" s="1" t="str">
        <f t="shared" si="7753"/>
        <v>0.0070</v>
      </c>
      <c r="R3890" s="1" t="s">
        <v>25</v>
      </c>
      <c r="T3890" s="1" t="str">
        <f t="shared" si="7754"/>
        <v>0</v>
      </c>
      <c r="U3890" s="1" t="str">
        <f t="shared" si="7780"/>
        <v>0.0070</v>
      </c>
    </row>
    <row r="3891" s="1" customFormat="1" spans="1:21">
      <c r="A3891" s="1" t="str">
        <f>"4601992079864"</f>
        <v>4601992079864</v>
      </c>
      <c r="B3891" s="1" t="s">
        <v>3914</v>
      </c>
      <c r="C3891" s="1" t="s">
        <v>24</v>
      </c>
      <c r="D3891" s="1" t="str">
        <f t="shared" si="7751"/>
        <v>2021</v>
      </c>
      <c r="E3891" s="1" t="str">
        <f t="shared" ref="E3891:P3891" si="7807">"0"</f>
        <v>0</v>
      </c>
      <c r="F3891" s="1" t="str">
        <f t="shared" si="7807"/>
        <v>0</v>
      </c>
      <c r="G3891" s="1" t="str">
        <f t="shared" si="7807"/>
        <v>0</v>
      </c>
      <c r="H3891" s="1" t="str">
        <f t="shared" si="7807"/>
        <v>0</v>
      </c>
      <c r="I3891" s="1" t="str">
        <f t="shared" si="7807"/>
        <v>0</v>
      </c>
      <c r="J3891" s="1" t="str">
        <f t="shared" si="7807"/>
        <v>0</v>
      </c>
      <c r="K3891" s="1" t="str">
        <f t="shared" si="7807"/>
        <v>0</v>
      </c>
      <c r="L3891" s="1" t="str">
        <f t="shared" si="7807"/>
        <v>0</v>
      </c>
      <c r="M3891" s="1" t="str">
        <f t="shared" si="7807"/>
        <v>0</v>
      </c>
      <c r="N3891" s="1" t="str">
        <f t="shared" si="7807"/>
        <v>0</v>
      </c>
      <c r="O3891" s="1" t="str">
        <f t="shared" si="7807"/>
        <v>0</v>
      </c>
      <c r="P3891" s="1" t="str">
        <f t="shared" si="7807"/>
        <v>0</v>
      </c>
      <c r="Q3891" s="1" t="str">
        <f t="shared" si="7753"/>
        <v>0.0070</v>
      </c>
      <c r="R3891" s="1" t="s">
        <v>25</v>
      </c>
      <c r="T3891" s="1" t="str">
        <f t="shared" si="7754"/>
        <v>0</v>
      </c>
      <c r="U3891" s="1" t="str">
        <f t="shared" si="7780"/>
        <v>0.0070</v>
      </c>
    </row>
    <row r="3892" s="1" customFormat="1" spans="1:21">
      <c r="A3892" s="1" t="str">
        <f>"4601992079886"</f>
        <v>4601992079886</v>
      </c>
      <c r="B3892" s="1" t="s">
        <v>3915</v>
      </c>
      <c r="C3892" s="1" t="s">
        <v>24</v>
      </c>
      <c r="D3892" s="1" t="str">
        <f t="shared" si="7751"/>
        <v>2021</v>
      </c>
      <c r="E3892" s="1" t="str">
        <f t="shared" ref="E3892:P3892" si="7808">"0"</f>
        <v>0</v>
      </c>
      <c r="F3892" s="1" t="str">
        <f t="shared" si="7808"/>
        <v>0</v>
      </c>
      <c r="G3892" s="1" t="str">
        <f t="shared" si="7808"/>
        <v>0</v>
      </c>
      <c r="H3892" s="1" t="str">
        <f t="shared" si="7808"/>
        <v>0</v>
      </c>
      <c r="I3892" s="1" t="str">
        <f t="shared" si="7808"/>
        <v>0</v>
      </c>
      <c r="J3892" s="1" t="str">
        <f t="shared" si="7808"/>
        <v>0</v>
      </c>
      <c r="K3892" s="1" t="str">
        <f t="shared" si="7808"/>
        <v>0</v>
      </c>
      <c r="L3892" s="1" t="str">
        <f t="shared" si="7808"/>
        <v>0</v>
      </c>
      <c r="M3892" s="1" t="str">
        <f t="shared" si="7808"/>
        <v>0</v>
      </c>
      <c r="N3892" s="1" t="str">
        <f t="shared" si="7808"/>
        <v>0</v>
      </c>
      <c r="O3892" s="1" t="str">
        <f t="shared" si="7808"/>
        <v>0</v>
      </c>
      <c r="P3892" s="1" t="str">
        <f t="shared" si="7808"/>
        <v>0</v>
      </c>
      <c r="Q3892" s="1" t="str">
        <f t="shared" si="7753"/>
        <v>0.0070</v>
      </c>
      <c r="R3892" s="1" t="s">
        <v>25</v>
      </c>
      <c r="T3892" s="1" t="str">
        <f t="shared" si="7754"/>
        <v>0</v>
      </c>
      <c r="U3892" s="1" t="str">
        <f t="shared" si="7780"/>
        <v>0.0070</v>
      </c>
    </row>
    <row r="3893" s="1" customFormat="1" spans="1:21">
      <c r="A3893" s="1" t="str">
        <f>"4601992079888"</f>
        <v>4601992079888</v>
      </c>
      <c r="B3893" s="1" t="s">
        <v>3916</v>
      </c>
      <c r="C3893" s="1" t="s">
        <v>24</v>
      </c>
      <c r="D3893" s="1" t="str">
        <f t="shared" si="7751"/>
        <v>2021</v>
      </c>
      <c r="E3893" s="1" t="str">
        <f t="shared" ref="E3893:P3893" si="7809">"0"</f>
        <v>0</v>
      </c>
      <c r="F3893" s="1" t="str">
        <f t="shared" si="7809"/>
        <v>0</v>
      </c>
      <c r="G3893" s="1" t="str">
        <f t="shared" si="7809"/>
        <v>0</v>
      </c>
      <c r="H3893" s="1" t="str">
        <f t="shared" si="7809"/>
        <v>0</v>
      </c>
      <c r="I3893" s="1" t="str">
        <f t="shared" si="7809"/>
        <v>0</v>
      </c>
      <c r="J3893" s="1" t="str">
        <f t="shared" si="7809"/>
        <v>0</v>
      </c>
      <c r="K3893" s="1" t="str">
        <f t="shared" si="7809"/>
        <v>0</v>
      </c>
      <c r="L3893" s="1" t="str">
        <f t="shared" si="7809"/>
        <v>0</v>
      </c>
      <c r="M3893" s="1" t="str">
        <f t="shared" si="7809"/>
        <v>0</v>
      </c>
      <c r="N3893" s="1" t="str">
        <f t="shared" si="7809"/>
        <v>0</v>
      </c>
      <c r="O3893" s="1" t="str">
        <f t="shared" si="7809"/>
        <v>0</v>
      </c>
      <c r="P3893" s="1" t="str">
        <f t="shared" si="7809"/>
        <v>0</v>
      </c>
      <c r="Q3893" s="1" t="str">
        <f t="shared" si="7753"/>
        <v>0.0070</v>
      </c>
      <c r="R3893" s="1" t="s">
        <v>25</v>
      </c>
      <c r="T3893" s="1" t="str">
        <f t="shared" si="7754"/>
        <v>0</v>
      </c>
      <c r="U3893" s="1" t="str">
        <f t="shared" si="7780"/>
        <v>0.0070</v>
      </c>
    </row>
    <row r="3894" s="1" customFormat="1" spans="1:21">
      <c r="A3894" s="1" t="str">
        <f>"4601992079914"</f>
        <v>4601992079914</v>
      </c>
      <c r="B3894" s="1" t="s">
        <v>3917</v>
      </c>
      <c r="C3894" s="1" t="s">
        <v>24</v>
      </c>
      <c r="D3894" s="1" t="str">
        <f t="shared" si="7751"/>
        <v>2021</v>
      </c>
      <c r="E3894" s="1" t="str">
        <f t="shared" ref="E3894:P3894" si="7810">"0"</f>
        <v>0</v>
      </c>
      <c r="F3894" s="1" t="str">
        <f t="shared" si="7810"/>
        <v>0</v>
      </c>
      <c r="G3894" s="1" t="str">
        <f t="shared" si="7810"/>
        <v>0</v>
      </c>
      <c r="H3894" s="1" t="str">
        <f t="shared" si="7810"/>
        <v>0</v>
      </c>
      <c r="I3894" s="1" t="str">
        <f t="shared" si="7810"/>
        <v>0</v>
      </c>
      <c r="J3894" s="1" t="str">
        <f t="shared" si="7810"/>
        <v>0</v>
      </c>
      <c r="K3894" s="1" t="str">
        <f t="shared" si="7810"/>
        <v>0</v>
      </c>
      <c r="L3894" s="1" t="str">
        <f t="shared" si="7810"/>
        <v>0</v>
      </c>
      <c r="M3894" s="1" t="str">
        <f t="shared" si="7810"/>
        <v>0</v>
      </c>
      <c r="N3894" s="1" t="str">
        <f t="shared" si="7810"/>
        <v>0</v>
      </c>
      <c r="O3894" s="1" t="str">
        <f t="shared" si="7810"/>
        <v>0</v>
      </c>
      <c r="P3894" s="1" t="str">
        <f t="shared" si="7810"/>
        <v>0</v>
      </c>
      <c r="Q3894" s="1" t="str">
        <f t="shared" si="7753"/>
        <v>0.0070</v>
      </c>
      <c r="R3894" s="1" t="s">
        <v>25</v>
      </c>
      <c r="T3894" s="1" t="str">
        <f t="shared" si="7754"/>
        <v>0</v>
      </c>
      <c r="U3894" s="1" t="str">
        <f t="shared" si="7780"/>
        <v>0.0070</v>
      </c>
    </row>
    <row r="3895" s="1" customFormat="1" spans="1:21">
      <c r="A3895" s="1" t="str">
        <f>"4601992079936"</f>
        <v>4601992079936</v>
      </c>
      <c r="B3895" s="1" t="s">
        <v>3918</v>
      </c>
      <c r="C3895" s="1" t="s">
        <v>24</v>
      </c>
      <c r="D3895" s="1" t="str">
        <f t="shared" si="7751"/>
        <v>2021</v>
      </c>
      <c r="E3895" s="1" t="str">
        <f t="shared" ref="E3895:P3895" si="7811">"0"</f>
        <v>0</v>
      </c>
      <c r="F3895" s="1" t="str">
        <f t="shared" si="7811"/>
        <v>0</v>
      </c>
      <c r="G3895" s="1" t="str">
        <f t="shared" si="7811"/>
        <v>0</v>
      </c>
      <c r="H3895" s="1" t="str">
        <f t="shared" si="7811"/>
        <v>0</v>
      </c>
      <c r="I3895" s="1" t="str">
        <f t="shared" si="7811"/>
        <v>0</v>
      </c>
      <c r="J3895" s="1" t="str">
        <f t="shared" si="7811"/>
        <v>0</v>
      </c>
      <c r="K3895" s="1" t="str">
        <f t="shared" si="7811"/>
        <v>0</v>
      </c>
      <c r="L3895" s="1" t="str">
        <f t="shared" si="7811"/>
        <v>0</v>
      </c>
      <c r="M3895" s="1" t="str">
        <f t="shared" si="7811"/>
        <v>0</v>
      </c>
      <c r="N3895" s="1" t="str">
        <f t="shared" si="7811"/>
        <v>0</v>
      </c>
      <c r="O3895" s="1" t="str">
        <f t="shared" si="7811"/>
        <v>0</v>
      </c>
      <c r="P3895" s="1" t="str">
        <f t="shared" si="7811"/>
        <v>0</v>
      </c>
      <c r="Q3895" s="1" t="str">
        <f t="shared" si="7753"/>
        <v>0.0070</v>
      </c>
      <c r="R3895" s="1" t="s">
        <v>25</v>
      </c>
      <c r="T3895" s="1" t="str">
        <f t="shared" si="7754"/>
        <v>0</v>
      </c>
      <c r="U3895" s="1" t="str">
        <f t="shared" si="7780"/>
        <v>0.0070</v>
      </c>
    </row>
    <row r="3896" s="1" customFormat="1" spans="1:21">
      <c r="A3896" s="1" t="str">
        <f>"4601992079930"</f>
        <v>4601992079930</v>
      </c>
      <c r="B3896" s="1" t="s">
        <v>3919</v>
      </c>
      <c r="C3896" s="1" t="s">
        <v>24</v>
      </c>
      <c r="D3896" s="1" t="str">
        <f t="shared" si="7751"/>
        <v>2021</v>
      </c>
      <c r="E3896" s="1" t="str">
        <f t="shared" ref="E3896:P3896" si="7812">"0"</f>
        <v>0</v>
      </c>
      <c r="F3896" s="1" t="str">
        <f t="shared" si="7812"/>
        <v>0</v>
      </c>
      <c r="G3896" s="1" t="str">
        <f t="shared" si="7812"/>
        <v>0</v>
      </c>
      <c r="H3896" s="1" t="str">
        <f t="shared" si="7812"/>
        <v>0</v>
      </c>
      <c r="I3896" s="1" t="str">
        <f t="shared" si="7812"/>
        <v>0</v>
      </c>
      <c r="J3896" s="1" t="str">
        <f t="shared" si="7812"/>
        <v>0</v>
      </c>
      <c r="K3896" s="1" t="str">
        <f t="shared" si="7812"/>
        <v>0</v>
      </c>
      <c r="L3896" s="1" t="str">
        <f t="shared" si="7812"/>
        <v>0</v>
      </c>
      <c r="M3896" s="1" t="str">
        <f t="shared" si="7812"/>
        <v>0</v>
      </c>
      <c r="N3896" s="1" t="str">
        <f t="shared" si="7812"/>
        <v>0</v>
      </c>
      <c r="O3896" s="1" t="str">
        <f t="shared" si="7812"/>
        <v>0</v>
      </c>
      <c r="P3896" s="1" t="str">
        <f t="shared" si="7812"/>
        <v>0</v>
      </c>
      <c r="Q3896" s="1" t="str">
        <f t="shared" si="7753"/>
        <v>0.0070</v>
      </c>
      <c r="R3896" s="1" t="s">
        <v>25</v>
      </c>
      <c r="T3896" s="1" t="str">
        <f t="shared" si="7754"/>
        <v>0</v>
      </c>
      <c r="U3896" s="1" t="str">
        <f t="shared" si="7780"/>
        <v>0.0070</v>
      </c>
    </row>
    <row r="3897" s="1" customFormat="1" spans="1:21">
      <c r="A3897" s="1" t="str">
        <f>"4601992079983"</f>
        <v>4601992079983</v>
      </c>
      <c r="B3897" s="1" t="s">
        <v>3920</v>
      </c>
      <c r="C3897" s="1" t="s">
        <v>24</v>
      </c>
      <c r="D3897" s="1" t="str">
        <f t="shared" si="7751"/>
        <v>2021</v>
      </c>
      <c r="E3897" s="1" t="str">
        <f t="shared" ref="E3897:P3897" si="7813">"0"</f>
        <v>0</v>
      </c>
      <c r="F3897" s="1" t="str">
        <f t="shared" si="7813"/>
        <v>0</v>
      </c>
      <c r="G3897" s="1" t="str">
        <f t="shared" si="7813"/>
        <v>0</v>
      </c>
      <c r="H3897" s="1" t="str">
        <f t="shared" si="7813"/>
        <v>0</v>
      </c>
      <c r="I3897" s="1" t="str">
        <f t="shared" si="7813"/>
        <v>0</v>
      </c>
      <c r="J3897" s="1" t="str">
        <f t="shared" si="7813"/>
        <v>0</v>
      </c>
      <c r="K3897" s="1" t="str">
        <f t="shared" si="7813"/>
        <v>0</v>
      </c>
      <c r="L3897" s="1" t="str">
        <f t="shared" si="7813"/>
        <v>0</v>
      </c>
      <c r="M3897" s="1" t="str">
        <f t="shared" si="7813"/>
        <v>0</v>
      </c>
      <c r="N3897" s="1" t="str">
        <f t="shared" si="7813"/>
        <v>0</v>
      </c>
      <c r="O3897" s="1" t="str">
        <f t="shared" si="7813"/>
        <v>0</v>
      </c>
      <c r="P3897" s="1" t="str">
        <f t="shared" si="7813"/>
        <v>0</v>
      </c>
      <c r="Q3897" s="1" t="str">
        <f t="shared" si="7753"/>
        <v>0.0070</v>
      </c>
      <c r="R3897" s="1" t="s">
        <v>25</v>
      </c>
      <c r="T3897" s="1" t="str">
        <f t="shared" si="7754"/>
        <v>0</v>
      </c>
      <c r="U3897" s="1" t="str">
        <f t="shared" si="7780"/>
        <v>0.0070</v>
      </c>
    </row>
    <row r="3898" s="1" customFormat="1" spans="1:21">
      <c r="A3898" s="1" t="str">
        <f>"4601992080006"</f>
        <v>4601992080006</v>
      </c>
      <c r="B3898" s="1" t="s">
        <v>3921</v>
      </c>
      <c r="C3898" s="1" t="s">
        <v>24</v>
      </c>
      <c r="D3898" s="1" t="str">
        <f t="shared" si="7751"/>
        <v>2021</v>
      </c>
      <c r="E3898" s="1" t="str">
        <f t="shared" ref="E3898:P3898" si="7814">"0"</f>
        <v>0</v>
      </c>
      <c r="F3898" s="1" t="str">
        <f t="shared" si="7814"/>
        <v>0</v>
      </c>
      <c r="G3898" s="1" t="str">
        <f t="shared" si="7814"/>
        <v>0</v>
      </c>
      <c r="H3898" s="1" t="str">
        <f t="shared" si="7814"/>
        <v>0</v>
      </c>
      <c r="I3898" s="1" t="str">
        <f t="shared" si="7814"/>
        <v>0</v>
      </c>
      <c r="J3898" s="1" t="str">
        <f t="shared" si="7814"/>
        <v>0</v>
      </c>
      <c r="K3898" s="1" t="str">
        <f t="shared" si="7814"/>
        <v>0</v>
      </c>
      <c r="L3898" s="1" t="str">
        <f t="shared" si="7814"/>
        <v>0</v>
      </c>
      <c r="M3898" s="1" t="str">
        <f t="shared" si="7814"/>
        <v>0</v>
      </c>
      <c r="N3898" s="1" t="str">
        <f t="shared" si="7814"/>
        <v>0</v>
      </c>
      <c r="O3898" s="1" t="str">
        <f t="shared" si="7814"/>
        <v>0</v>
      </c>
      <c r="P3898" s="1" t="str">
        <f t="shared" si="7814"/>
        <v>0</v>
      </c>
      <c r="Q3898" s="1" t="str">
        <f t="shared" si="7753"/>
        <v>0.0070</v>
      </c>
      <c r="R3898" s="1" t="s">
        <v>25</v>
      </c>
      <c r="T3898" s="1" t="str">
        <f t="shared" si="7754"/>
        <v>0</v>
      </c>
      <c r="U3898" s="1" t="str">
        <f t="shared" si="7780"/>
        <v>0.0070</v>
      </c>
    </row>
    <row r="3899" s="1" customFormat="1" spans="1:21">
      <c r="A3899" s="1" t="str">
        <f>"4601992080061"</f>
        <v>4601992080061</v>
      </c>
      <c r="B3899" s="1" t="s">
        <v>3922</v>
      </c>
      <c r="C3899" s="1" t="s">
        <v>24</v>
      </c>
      <c r="D3899" s="1" t="str">
        <f t="shared" si="7751"/>
        <v>2021</v>
      </c>
      <c r="E3899" s="1" t="str">
        <f t="shared" ref="E3899:P3899" si="7815">"0"</f>
        <v>0</v>
      </c>
      <c r="F3899" s="1" t="str">
        <f t="shared" si="7815"/>
        <v>0</v>
      </c>
      <c r="G3899" s="1" t="str">
        <f t="shared" si="7815"/>
        <v>0</v>
      </c>
      <c r="H3899" s="1" t="str">
        <f t="shared" si="7815"/>
        <v>0</v>
      </c>
      <c r="I3899" s="1" t="str">
        <f t="shared" si="7815"/>
        <v>0</v>
      </c>
      <c r="J3899" s="1" t="str">
        <f t="shared" si="7815"/>
        <v>0</v>
      </c>
      <c r="K3899" s="1" t="str">
        <f t="shared" si="7815"/>
        <v>0</v>
      </c>
      <c r="L3899" s="1" t="str">
        <f t="shared" si="7815"/>
        <v>0</v>
      </c>
      <c r="M3899" s="1" t="str">
        <f t="shared" si="7815"/>
        <v>0</v>
      </c>
      <c r="N3899" s="1" t="str">
        <f t="shared" si="7815"/>
        <v>0</v>
      </c>
      <c r="O3899" s="1" t="str">
        <f t="shared" si="7815"/>
        <v>0</v>
      </c>
      <c r="P3899" s="1" t="str">
        <f t="shared" si="7815"/>
        <v>0</v>
      </c>
      <c r="Q3899" s="1" t="str">
        <f t="shared" si="7753"/>
        <v>0.0070</v>
      </c>
      <c r="R3899" s="1" t="s">
        <v>25</v>
      </c>
      <c r="T3899" s="1" t="str">
        <f t="shared" si="7754"/>
        <v>0</v>
      </c>
      <c r="U3899" s="1" t="str">
        <f t="shared" si="7780"/>
        <v>0.0070</v>
      </c>
    </row>
    <row r="3900" s="1" customFormat="1" spans="1:21">
      <c r="A3900" s="1" t="str">
        <f>"4601992080115"</f>
        <v>4601992080115</v>
      </c>
      <c r="B3900" s="1" t="s">
        <v>3923</v>
      </c>
      <c r="C3900" s="1" t="s">
        <v>24</v>
      </c>
      <c r="D3900" s="1" t="str">
        <f t="shared" si="7751"/>
        <v>2021</v>
      </c>
      <c r="E3900" s="1" t="str">
        <f t="shared" ref="E3900:P3900" si="7816">"0"</f>
        <v>0</v>
      </c>
      <c r="F3900" s="1" t="str">
        <f t="shared" si="7816"/>
        <v>0</v>
      </c>
      <c r="G3900" s="1" t="str">
        <f t="shared" si="7816"/>
        <v>0</v>
      </c>
      <c r="H3900" s="1" t="str">
        <f t="shared" si="7816"/>
        <v>0</v>
      </c>
      <c r="I3900" s="1" t="str">
        <f t="shared" si="7816"/>
        <v>0</v>
      </c>
      <c r="J3900" s="1" t="str">
        <f t="shared" si="7816"/>
        <v>0</v>
      </c>
      <c r="K3900" s="1" t="str">
        <f t="shared" si="7816"/>
        <v>0</v>
      </c>
      <c r="L3900" s="1" t="str">
        <f t="shared" si="7816"/>
        <v>0</v>
      </c>
      <c r="M3900" s="1" t="str">
        <f t="shared" si="7816"/>
        <v>0</v>
      </c>
      <c r="N3900" s="1" t="str">
        <f t="shared" si="7816"/>
        <v>0</v>
      </c>
      <c r="O3900" s="1" t="str">
        <f t="shared" si="7816"/>
        <v>0</v>
      </c>
      <c r="P3900" s="1" t="str">
        <f t="shared" si="7816"/>
        <v>0</v>
      </c>
      <c r="Q3900" s="1" t="str">
        <f t="shared" si="7753"/>
        <v>0.0070</v>
      </c>
      <c r="R3900" s="1" t="s">
        <v>25</v>
      </c>
      <c r="T3900" s="1" t="str">
        <f t="shared" si="7754"/>
        <v>0</v>
      </c>
      <c r="U3900" s="1" t="str">
        <f t="shared" si="7780"/>
        <v>0.0070</v>
      </c>
    </row>
    <row r="3901" s="1" customFormat="1" spans="1:21">
      <c r="A3901" s="1" t="str">
        <f>"4601992080139"</f>
        <v>4601992080139</v>
      </c>
      <c r="B3901" s="1" t="s">
        <v>3924</v>
      </c>
      <c r="C3901" s="1" t="s">
        <v>24</v>
      </c>
      <c r="D3901" s="1" t="str">
        <f t="shared" si="7751"/>
        <v>2021</v>
      </c>
      <c r="E3901" s="1" t="str">
        <f t="shared" ref="E3901:P3901" si="7817">"0"</f>
        <v>0</v>
      </c>
      <c r="F3901" s="1" t="str">
        <f t="shared" si="7817"/>
        <v>0</v>
      </c>
      <c r="G3901" s="1" t="str">
        <f t="shared" si="7817"/>
        <v>0</v>
      </c>
      <c r="H3901" s="1" t="str">
        <f t="shared" si="7817"/>
        <v>0</v>
      </c>
      <c r="I3901" s="1" t="str">
        <f t="shared" si="7817"/>
        <v>0</v>
      </c>
      <c r="J3901" s="1" t="str">
        <f t="shared" si="7817"/>
        <v>0</v>
      </c>
      <c r="K3901" s="1" t="str">
        <f t="shared" si="7817"/>
        <v>0</v>
      </c>
      <c r="L3901" s="1" t="str">
        <f t="shared" si="7817"/>
        <v>0</v>
      </c>
      <c r="M3901" s="1" t="str">
        <f t="shared" si="7817"/>
        <v>0</v>
      </c>
      <c r="N3901" s="1" t="str">
        <f t="shared" si="7817"/>
        <v>0</v>
      </c>
      <c r="O3901" s="1" t="str">
        <f t="shared" si="7817"/>
        <v>0</v>
      </c>
      <c r="P3901" s="1" t="str">
        <f t="shared" si="7817"/>
        <v>0</v>
      </c>
      <c r="Q3901" s="1" t="str">
        <f t="shared" si="7753"/>
        <v>0.0070</v>
      </c>
      <c r="R3901" s="1" t="s">
        <v>25</v>
      </c>
      <c r="T3901" s="1" t="str">
        <f t="shared" si="7754"/>
        <v>0</v>
      </c>
      <c r="U3901" s="1" t="str">
        <f t="shared" si="7780"/>
        <v>0.0070</v>
      </c>
    </row>
    <row r="3902" s="1" customFormat="1" spans="1:21">
      <c r="A3902" s="1" t="str">
        <f>"4601992080049"</f>
        <v>4601992080049</v>
      </c>
      <c r="B3902" s="1" t="s">
        <v>3925</v>
      </c>
      <c r="C3902" s="1" t="s">
        <v>24</v>
      </c>
      <c r="D3902" s="1" t="str">
        <f t="shared" si="7751"/>
        <v>2021</v>
      </c>
      <c r="E3902" s="1" t="str">
        <f t="shared" ref="E3902:I3902" si="7818">"0"</f>
        <v>0</v>
      </c>
      <c r="F3902" s="1" t="str">
        <f t="shared" si="7818"/>
        <v>0</v>
      </c>
      <c r="G3902" s="1" t="str">
        <f t="shared" si="7818"/>
        <v>0</v>
      </c>
      <c r="H3902" s="1" t="str">
        <f t="shared" si="7818"/>
        <v>0</v>
      </c>
      <c r="I3902" s="1" t="str">
        <f t="shared" si="7818"/>
        <v>0</v>
      </c>
      <c r="J3902" s="1" t="str">
        <f>"2"</f>
        <v>2</v>
      </c>
      <c r="K3902" s="1" t="str">
        <f t="shared" ref="K3902:P3902" si="7819">"0"</f>
        <v>0</v>
      </c>
      <c r="L3902" s="1" t="str">
        <f t="shared" si="7819"/>
        <v>0</v>
      </c>
      <c r="M3902" s="1" t="str">
        <f t="shared" si="7819"/>
        <v>0</v>
      </c>
      <c r="N3902" s="1" t="str">
        <f t="shared" si="7819"/>
        <v>0</v>
      </c>
      <c r="O3902" s="1" t="str">
        <f t="shared" si="7819"/>
        <v>0</v>
      </c>
      <c r="P3902" s="1" t="str">
        <f t="shared" si="7819"/>
        <v>0</v>
      </c>
      <c r="Q3902" s="1" t="str">
        <f t="shared" si="7753"/>
        <v>0.0070</v>
      </c>
      <c r="R3902" s="1" t="s">
        <v>25</v>
      </c>
      <c r="T3902" s="1" t="str">
        <f t="shared" si="7754"/>
        <v>0</v>
      </c>
      <c r="U3902" s="1" t="str">
        <f t="shared" si="7780"/>
        <v>0.0070</v>
      </c>
    </row>
    <row r="3903" s="1" customFormat="1" spans="1:21">
      <c r="A3903" s="1" t="str">
        <f>"4601992080112"</f>
        <v>4601992080112</v>
      </c>
      <c r="B3903" s="1" t="s">
        <v>3926</v>
      </c>
      <c r="C3903" s="1" t="s">
        <v>24</v>
      </c>
      <c r="D3903" s="1" t="str">
        <f t="shared" si="7751"/>
        <v>2021</v>
      </c>
      <c r="E3903" s="1" t="str">
        <f t="shared" ref="E3903:I3903" si="7820">"0"</f>
        <v>0</v>
      </c>
      <c r="F3903" s="1" t="str">
        <f t="shared" si="7820"/>
        <v>0</v>
      </c>
      <c r="G3903" s="1" t="str">
        <f t="shared" si="7820"/>
        <v>0</v>
      </c>
      <c r="H3903" s="1" t="str">
        <f t="shared" si="7820"/>
        <v>0</v>
      </c>
      <c r="I3903" s="1" t="str">
        <f t="shared" si="7820"/>
        <v>0</v>
      </c>
      <c r="J3903" s="1" t="str">
        <f>"1"</f>
        <v>1</v>
      </c>
      <c r="K3903" s="1" t="str">
        <f t="shared" ref="K3903:P3903" si="7821">"0"</f>
        <v>0</v>
      </c>
      <c r="L3903" s="1" t="str">
        <f t="shared" si="7821"/>
        <v>0</v>
      </c>
      <c r="M3903" s="1" t="str">
        <f t="shared" si="7821"/>
        <v>0</v>
      </c>
      <c r="N3903" s="1" t="str">
        <f t="shared" si="7821"/>
        <v>0</v>
      </c>
      <c r="O3903" s="1" t="str">
        <f t="shared" si="7821"/>
        <v>0</v>
      </c>
      <c r="P3903" s="1" t="str">
        <f t="shared" si="7821"/>
        <v>0</v>
      </c>
      <c r="Q3903" s="1" t="str">
        <f t="shared" si="7753"/>
        <v>0.0070</v>
      </c>
      <c r="R3903" s="1" t="s">
        <v>25</v>
      </c>
      <c r="T3903" s="1" t="str">
        <f t="shared" si="7754"/>
        <v>0</v>
      </c>
      <c r="U3903" s="1" t="str">
        <f t="shared" si="7780"/>
        <v>0.0070</v>
      </c>
    </row>
    <row r="3904" s="1" customFormat="1" spans="1:21">
      <c r="A3904" s="1" t="str">
        <f>"4601992080153"</f>
        <v>4601992080153</v>
      </c>
      <c r="B3904" s="1" t="s">
        <v>3927</v>
      </c>
      <c r="C3904" s="1" t="s">
        <v>24</v>
      </c>
      <c r="D3904" s="1" t="str">
        <f t="shared" si="7751"/>
        <v>2021</v>
      </c>
      <c r="E3904" s="1" t="str">
        <f t="shared" ref="E3904:P3904" si="7822">"0"</f>
        <v>0</v>
      </c>
      <c r="F3904" s="1" t="str">
        <f t="shared" si="7822"/>
        <v>0</v>
      </c>
      <c r="G3904" s="1" t="str">
        <f t="shared" si="7822"/>
        <v>0</v>
      </c>
      <c r="H3904" s="1" t="str">
        <f t="shared" si="7822"/>
        <v>0</v>
      </c>
      <c r="I3904" s="1" t="str">
        <f t="shared" si="7822"/>
        <v>0</v>
      </c>
      <c r="J3904" s="1" t="str">
        <f t="shared" si="7822"/>
        <v>0</v>
      </c>
      <c r="K3904" s="1" t="str">
        <f t="shared" si="7822"/>
        <v>0</v>
      </c>
      <c r="L3904" s="1" t="str">
        <f t="shared" si="7822"/>
        <v>0</v>
      </c>
      <c r="M3904" s="1" t="str">
        <f t="shared" si="7822"/>
        <v>0</v>
      </c>
      <c r="N3904" s="1" t="str">
        <f t="shared" si="7822"/>
        <v>0</v>
      </c>
      <c r="O3904" s="1" t="str">
        <f t="shared" si="7822"/>
        <v>0</v>
      </c>
      <c r="P3904" s="1" t="str">
        <f t="shared" si="7822"/>
        <v>0</v>
      </c>
      <c r="Q3904" s="1" t="str">
        <f t="shared" si="7753"/>
        <v>0.0070</v>
      </c>
      <c r="R3904" s="1" t="s">
        <v>25</v>
      </c>
      <c r="T3904" s="1" t="str">
        <f t="shared" si="7754"/>
        <v>0</v>
      </c>
      <c r="U3904" s="1" t="str">
        <f t="shared" si="7780"/>
        <v>0.0070</v>
      </c>
    </row>
    <row r="3905" s="1" customFormat="1" spans="1:21">
      <c r="A3905" s="1" t="str">
        <f>"4601992080218"</f>
        <v>4601992080218</v>
      </c>
      <c r="B3905" s="1" t="s">
        <v>3928</v>
      </c>
      <c r="C3905" s="1" t="s">
        <v>24</v>
      </c>
      <c r="D3905" s="1" t="str">
        <f t="shared" si="7751"/>
        <v>2021</v>
      </c>
      <c r="E3905" s="1" t="str">
        <f t="shared" ref="E3905:P3905" si="7823">"0"</f>
        <v>0</v>
      </c>
      <c r="F3905" s="1" t="str">
        <f t="shared" si="7823"/>
        <v>0</v>
      </c>
      <c r="G3905" s="1" t="str">
        <f t="shared" si="7823"/>
        <v>0</v>
      </c>
      <c r="H3905" s="1" t="str">
        <f t="shared" si="7823"/>
        <v>0</v>
      </c>
      <c r="I3905" s="1" t="str">
        <f t="shared" si="7823"/>
        <v>0</v>
      </c>
      <c r="J3905" s="1" t="str">
        <f t="shared" si="7823"/>
        <v>0</v>
      </c>
      <c r="K3905" s="1" t="str">
        <f t="shared" si="7823"/>
        <v>0</v>
      </c>
      <c r="L3905" s="1" t="str">
        <f t="shared" si="7823"/>
        <v>0</v>
      </c>
      <c r="M3905" s="1" t="str">
        <f t="shared" si="7823"/>
        <v>0</v>
      </c>
      <c r="N3905" s="1" t="str">
        <f t="shared" si="7823"/>
        <v>0</v>
      </c>
      <c r="O3905" s="1" t="str">
        <f t="shared" si="7823"/>
        <v>0</v>
      </c>
      <c r="P3905" s="1" t="str">
        <f t="shared" si="7823"/>
        <v>0</v>
      </c>
      <c r="Q3905" s="1" t="str">
        <f t="shared" si="7753"/>
        <v>0.0070</v>
      </c>
      <c r="R3905" s="1" t="s">
        <v>25</v>
      </c>
      <c r="T3905" s="1" t="str">
        <f t="shared" si="7754"/>
        <v>0</v>
      </c>
      <c r="U3905" s="1" t="str">
        <f t="shared" si="7780"/>
        <v>0.0070</v>
      </c>
    </row>
    <row r="3906" s="1" customFormat="1" spans="1:21">
      <c r="A3906" s="1" t="str">
        <f>"4601992080278"</f>
        <v>4601992080278</v>
      </c>
      <c r="B3906" s="1" t="s">
        <v>3929</v>
      </c>
      <c r="C3906" s="1" t="s">
        <v>24</v>
      </c>
      <c r="D3906" s="1" t="str">
        <f t="shared" si="7751"/>
        <v>2021</v>
      </c>
      <c r="E3906" s="1" t="str">
        <f t="shared" ref="E3906:P3906" si="7824">"0"</f>
        <v>0</v>
      </c>
      <c r="F3906" s="1" t="str">
        <f t="shared" si="7824"/>
        <v>0</v>
      </c>
      <c r="G3906" s="1" t="str">
        <f t="shared" si="7824"/>
        <v>0</v>
      </c>
      <c r="H3906" s="1" t="str">
        <f t="shared" si="7824"/>
        <v>0</v>
      </c>
      <c r="I3906" s="1" t="str">
        <f t="shared" si="7824"/>
        <v>0</v>
      </c>
      <c r="J3906" s="1" t="str">
        <f t="shared" si="7824"/>
        <v>0</v>
      </c>
      <c r="K3906" s="1" t="str">
        <f t="shared" si="7824"/>
        <v>0</v>
      </c>
      <c r="L3906" s="1" t="str">
        <f t="shared" si="7824"/>
        <v>0</v>
      </c>
      <c r="M3906" s="1" t="str">
        <f t="shared" si="7824"/>
        <v>0</v>
      </c>
      <c r="N3906" s="1" t="str">
        <f t="shared" si="7824"/>
        <v>0</v>
      </c>
      <c r="O3906" s="1" t="str">
        <f t="shared" si="7824"/>
        <v>0</v>
      </c>
      <c r="P3906" s="1" t="str">
        <f t="shared" si="7824"/>
        <v>0</v>
      </c>
      <c r="Q3906" s="1" t="str">
        <f t="shared" si="7753"/>
        <v>0.0070</v>
      </c>
      <c r="R3906" s="1" t="s">
        <v>25</v>
      </c>
      <c r="T3906" s="1" t="str">
        <f t="shared" si="7754"/>
        <v>0</v>
      </c>
      <c r="U3906" s="1" t="str">
        <f t="shared" si="7780"/>
        <v>0.0070</v>
      </c>
    </row>
    <row r="3907" s="1" customFormat="1" spans="1:21">
      <c r="A3907" s="1" t="str">
        <f>"4601992080320"</f>
        <v>4601992080320</v>
      </c>
      <c r="B3907" s="1" t="s">
        <v>3930</v>
      </c>
      <c r="C3907" s="1" t="s">
        <v>24</v>
      </c>
      <c r="D3907" s="1" t="str">
        <f t="shared" ref="D3907:D3970" si="7825">"2021"</f>
        <v>2021</v>
      </c>
      <c r="E3907" s="1" t="str">
        <f t="shared" ref="E3907:P3907" si="7826">"0"</f>
        <v>0</v>
      </c>
      <c r="F3907" s="1" t="str">
        <f t="shared" si="7826"/>
        <v>0</v>
      </c>
      <c r="G3907" s="1" t="str">
        <f t="shared" si="7826"/>
        <v>0</v>
      </c>
      <c r="H3907" s="1" t="str">
        <f t="shared" si="7826"/>
        <v>0</v>
      </c>
      <c r="I3907" s="1" t="str">
        <f t="shared" si="7826"/>
        <v>0</v>
      </c>
      <c r="J3907" s="1" t="str">
        <f t="shared" si="7826"/>
        <v>0</v>
      </c>
      <c r="K3907" s="1" t="str">
        <f t="shared" si="7826"/>
        <v>0</v>
      </c>
      <c r="L3907" s="1" t="str">
        <f t="shared" si="7826"/>
        <v>0</v>
      </c>
      <c r="M3907" s="1" t="str">
        <f t="shared" si="7826"/>
        <v>0</v>
      </c>
      <c r="N3907" s="1" t="str">
        <f t="shared" si="7826"/>
        <v>0</v>
      </c>
      <c r="O3907" s="1" t="str">
        <f t="shared" si="7826"/>
        <v>0</v>
      </c>
      <c r="P3907" s="1" t="str">
        <f t="shared" si="7826"/>
        <v>0</v>
      </c>
      <c r="Q3907" s="1" t="str">
        <f t="shared" ref="Q3907:Q3970" si="7827">"0.0070"</f>
        <v>0.0070</v>
      </c>
      <c r="R3907" s="1" t="s">
        <v>25</v>
      </c>
      <c r="T3907" s="1" t="str">
        <f t="shared" ref="T3907:T3970" si="7828">"0"</f>
        <v>0</v>
      </c>
      <c r="U3907" s="1" t="str">
        <f t="shared" si="7780"/>
        <v>0.0070</v>
      </c>
    </row>
    <row r="3908" s="1" customFormat="1" spans="1:21">
      <c r="A3908" s="1" t="str">
        <f>"4601992080424"</f>
        <v>4601992080424</v>
      </c>
      <c r="B3908" s="1" t="s">
        <v>3931</v>
      </c>
      <c r="C3908" s="1" t="s">
        <v>24</v>
      </c>
      <c r="D3908" s="1" t="str">
        <f t="shared" si="7825"/>
        <v>2021</v>
      </c>
      <c r="E3908" s="1" t="str">
        <f t="shared" ref="E3908:P3908" si="7829">"0"</f>
        <v>0</v>
      </c>
      <c r="F3908" s="1" t="str">
        <f t="shared" si="7829"/>
        <v>0</v>
      </c>
      <c r="G3908" s="1" t="str">
        <f t="shared" si="7829"/>
        <v>0</v>
      </c>
      <c r="H3908" s="1" t="str">
        <f t="shared" si="7829"/>
        <v>0</v>
      </c>
      <c r="I3908" s="1" t="str">
        <f t="shared" si="7829"/>
        <v>0</v>
      </c>
      <c r="J3908" s="1" t="str">
        <f t="shared" si="7829"/>
        <v>0</v>
      </c>
      <c r="K3908" s="1" t="str">
        <f t="shared" si="7829"/>
        <v>0</v>
      </c>
      <c r="L3908" s="1" t="str">
        <f t="shared" si="7829"/>
        <v>0</v>
      </c>
      <c r="M3908" s="1" t="str">
        <f t="shared" si="7829"/>
        <v>0</v>
      </c>
      <c r="N3908" s="1" t="str">
        <f t="shared" si="7829"/>
        <v>0</v>
      </c>
      <c r="O3908" s="1" t="str">
        <f t="shared" si="7829"/>
        <v>0</v>
      </c>
      <c r="P3908" s="1" t="str">
        <f t="shared" si="7829"/>
        <v>0</v>
      </c>
      <c r="Q3908" s="1" t="str">
        <f t="shared" si="7827"/>
        <v>0.0070</v>
      </c>
      <c r="R3908" s="1" t="s">
        <v>25</v>
      </c>
      <c r="T3908" s="1" t="str">
        <f t="shared" si="7828"/>
        <v>0</v>
      </c>
      <c r="U3908" s="1" t="str">
        <f t="shared" si="7780"/>
        <v>0.0070</v>
      </c>
    </row>
    <row r="3909" s="1" customFormat="1" spans="1:21">
      <c r="A3909" s="1" t="str">
        <f>"4601992080325"</f>
        <v>4601992080325</v>
      </c>
      <c r="B3909" s="1" t="s">
        <v>3932</v>
      </c>
      <c r="C3909" s="1" t="s">
        <v>24</v>
      </c>
      <c r="D3909" s="1" t="str">
        <f t="shared" si="7825"/>
        <v>2021</v>
      </c>
      <c r="E3909" s="1" t="str">
        <f t="shared" ref="E3909:P3909" si="7830">"0"</f>
        <v>0</v>
      </c>
      <c r="F3909" s="1" t="str">
        <f t="shared" si="7830"/>
        <v>0</v>
      </c>
      <c r="G3909" s="1" t="str">
        <f t="shared" si="7830"/>
        <v>0</v>
      </c>
      <c r="H3909" s="1" t="str">
        <f t="shared" si="7830"/>
        <v>0</v>
      </c>
      <c r="I3909" s="1" t="str">
        <f t="shared" si="7830"/>
        <v>0</v>
      </c>
      <c r="J3909" s="1" t="str">
        <f t="shared" si="7830"/>
        <v>0</v>
      </c>
      <c r="K3909" s="1" t="str">
        <f t="shared" si="7830"/>
        <v>0</v>
      </c>
      <c r="L3909" s="1" t="str">
        <f t="shared" si="7830"/>
        <v>0</v>
      </c>
      <c r="M3909" s="1" t="str">
        <f t="shared" si="7830"/>
        <v>0</v>
      </c>
      <c r="N3909" s="1" t="str">
        <f t="shared" si="7830"/>
        <v>0</v>
      </c>
      <c r="O3909" s="1" t="str">
        <f t="shared" si="7830"/>
        <v>0</v>
      </c>
      <c r="P3909" s="1" t="str">
        <f t="shared" si="7830"/>
        <v>0</v>
      </c>
      <c r="Q3909" s="1" t="str">
        <f t="shared" si="7827"/>
        <v>0.0070</v>
      </c>
      <c r="R3909" s="1" t="s">
        <v>25</v>
      </c>
      <c r="T3909" s="1" t="str">
        <f t="shared" si="7828"/>
        <v>0</v>
      </c>
      <c r="U3909" s="1" t="str">
        <f t="shared" si="7780"/>
        <v>0.0070</v>
      </c>
    </row>
    <row r="3910" s="1" customFormat="1" spans="1:21">
      <c r="A3910" s="1" t="str">
        <f>"4601992080501"</f>
        <v>4601992080501</v>
      </c>
      <c r="B3910" s="1" t="s">
        <v>3933</v>
      </c>
      <c r="C3910" s="1" t="s">
        <v>24</v>
      </c>
      <c r="D3910" s="1" t="str">
        <f t="shared" si="7825"/>
        <v>2021</v>
      </c>
      <c r="E3910" s="1" t="str">
        <f t="shared" ref="E3910:P3910" si="7831">"0"</f>
        <v>0</v>
      </c>
      <c r="F3910" s="1" t="str">
        <f t="shared" si="7831"/>
        <v>0</v>
      </c>
      <c r="G3910" s="1" t="str">
        <f t="shared" si="7831"/>
        <v>0</v>
      </c>
      <c r="H3910" s="1" t="str">
        <f t="shared" si="7831"/>
        <v>0</v>
      </c>
      <c r="I3910" s="1" t="str">
        <f t="shared" si="7831"/>
        <v>0</v>
      </c>
      <c r="J3910" s="1" t="str">
        <f t="shared" si="7831"/>
        <v>0</v>
      </c>
      <c r="K3910" s="1" t="str">
        <f t="shared" si="7831"/>
        <v>0</v>
      </c>
      <c r="L3910" s="1" t="str">
        <f t="shared" si="7831"/>
        <v>0</v>
      </c>
      <c r="M3910" s="1" t="str">
        <f t="shared" si="7831"/>
        <v>0</v>
      </c>
      <c r="N3910" s="1" t="str">
        <f t="shared" si="7831"/>
        <v>0</v>
      </c>
      <c r="O3910" s="1" t="str">
        <f t="shared" si="7831"/>
        <v>0</v>
      </c>
      <c r="P3910" s="1" t="str">
        <f t="shared" si="7831"/>
        <v>0</v>
      </c>
      <c r="Q3910" s="1" t="str">
        <f t="shared" si="7827"/>
        <v>0.0070</v>
      </c>
      <c r="R3910" s="1" t="s">
        <v>25</v>
      </c>
      <c r="T3910" s="1" t="str">
        <f t="shared" si="7828"/>
        <v>0</v>
      </c>
      <c r="U3910" s="1" t="str">
        <f t="shared" si="7780"/>
        <v>0.0070</v>
      </c>
    </row>
    <row r="3911" s="1" customFormat="1" spans="1:21">
      <c r="A3911" s="1" t="str">
        <f>"4601992080516"</f>
        <v>4601992080516</v>
      </c>
      <c r="B3911" s="1" t="s">
        <v>3934</v>
      </c>
      <c r="C3911" s="1" t="s">
        <v>24</v>
      </c>
      <c r="D3911" s="1" t="str">
        <f t="shared" si="7825"/>
        <v>2021</v>
      </c>
      <c r="E3911" s="1" t="str">
        <f t="shared" ref="E3911:P3911" si="7832">"0"</f>
        <v>0</v>
      </c>
      <c r="F3911" s="1" t="str">
        <f t="shared" si="7832"/>
        <v>0</v>
      </c>
      <c r="G3911" s="1" t="str">
        <f t="shared" si="7832"/>
        <v>0</v>
      </c>
      <c r="H3911" s="1" t="str">
        <f t="shared" si="7832"/>
        <v>0</v>
      </c>
      <c r="I3911" s="1" t="str">
        <f t="shared" si="7832"/>
        <v>0</v>
      </c>
      <c r="J3911" s="1" t="str">
        <f t="shared" si="7832"/>
        <v>0</v>
      </c>
      <c r="K3911" s="1" t="str">
        <f t="shared" si="7832"/>
        <v>0</v>
      </c>
      <c r="L3911" s="1" t="str">
        <f t="shared" si="7832"/>
        <v>0</v>
      </c>
      <c r="M3911" s="1" t="str">
        <f t="shared" si="7832"/>
        <v>0</v>
      </c>
      <c r="N3911" s="1" t="str">
        <f t="shared" si="7832"/>
        <v>0</v>
      </c>
      <c r="O3911" s="1" t="str">
        <f t="shared" si="7832"/>
        <v>0</v>
      </c>
      <c r="P3911" s="1" t="str">
        <f t="shared" si="7832"/>
        <v>0</v>
      </c>
      <c r="Q3911" s="1" t="str">
        <f t="shared" si="7827"/>
        <v>0.0070</v>
      </c>
      <c r="R3911" s="1" t="s">
        <v>25</v>
      </c>
      <c r="T3911" s="1" t="str">
        <f t="shared" si="7828"/>
        <v>0</v>
      </c>
      <c r="U3911" s="1" t="str">
        <f t="shared" si="7780"/>
        <v>0.0070</v>
      </c>
    </row>
    <row r="3912" s="1" customFormat="1" spans="1:21">
      <c r="A3912" s="1" t="str">
        <f>"4601992080295"</f>
        <v>4601992080295</v>
      </c>
      <c r="B3912" s="1" t="s">
        <v>3935</v>
      </c>
      <c r="C3912" s="1" t="s">
        <v>24</v>
      </c>
      <c r="D3912" s="1" t="str">
        <f t="shared" si="7825"/>
        <v>2021</v>
      </c>
      <c r="E3912" s="1" t="str">
        <f>"1.18"</f>
        <v>1.18</v>
      </c>
      <c r="F3912" s="1" t="str">
        <f t="shared" ref="F3912:I3912" si="7833">"0"</f>
        <v>0</v>
      </c>
      <c r="G3912" s="1" t="str">
        <f t="shared" si="7833"/>
        <v>0</v>
      </c>
      <c r="H3912" s="1" t="str">
        <f t="shared" si="7833"/>
        <v>0</v>
      </c>
      <c r="I3912" s="1" t="str">
        <f t="shared" si="7833"/>
        <v>0</v>
      </c>
      <c r="J3912" s="1" t="str">
        <f>"1"</f>
        <v>1</v>
      </c>
      <c r="K3912" s="1" t="str">
        <f t="shared" ref="K3912:P3912" si="7834">"0"</f>
        <v>0</v>
      </c>
      <c r="L3912" s="1" t="str">
        <f t="shared" si="7834"/>
        <v>0</v>
      </c>
      <c r="M3912" s="1" t="str">
        <f t="shared" si="7834"/>
        <v>0</v>
      </c>
      <c r="N3912" s="1" t="str">
        <f t="shared" si="7834"/>
        <v>0</v>
      </c>
      <c r="O3912" s="1" t="str">
        <f t="shared" si="7834"/>
        <v>0</v>
      </c>
      <c r="P3912" s="1" t="str">
        <f t="shared" si="7834"/>
        <v>0</v>
      </c>
      <c r="Q3912" s="1" t="str">
        <f t="shared" si="7827"/>
        <v>0.0070</v>
      </c>
      <c r="R3912" s="1" t="s">
        <v>25</v>
      </c>
      <c r="T3912" s="1" t="str">
        <f t="shared" si="7828"/>
        <v>0</v>
      </c>
      <c r="U3912" s="1" t="str">
        <f t="shared" si="7780"/>
        <v>0.0070</v>
      </c>
    </row>
    <row r="3913" s="1" customFormat="1" spans="1:21">
      <c r="A3913" s="1" t="str">
        <f>"4601992080518"</f>
        <v>4601992080518</v>
      </c>
      <c r="B3913" s="1" t="s">
        <v>3936</v>
      </c>
      <c r="C3913" s="1" t="s">
        <v>24</v>
      </c>
      <c r="D3913" s="1" t="str">
        <f t="shared" si="7825"/>
        <v>2021</v>
      </c>
      <c r="E3913" s="1" t="str">
        <f t="shared" ref="E3913:P3913" si="7835">"0"</f>
        <v>0</v>
      </c>
      <c r="F3913" s="1" t="str">
        <f t="shared" si="7835"/>
        <v>0</v>
      </c>
      <c r="G3913" s="1" t="str">
        <f t="shared" si="7835"/>
        <v>0</v>
      </c>
      <c r="H3913" s="1" t="str">
        <f t="shared" si="7835"/>
        <v>0</v>
      </c>
      <c r="I3913" s="1" t="str">
        <f t="shared" si="7835"/>
        <v>0</v>
      </c>
      <c r="J3913" s="1" t="str">
        <f t="shared" si="7835"/>
        <v>0</v>
      </c>
      <c r="K3913" s="1" t="str">
        <f t="shared" si="7835"/>
        <v>0</v>
      </c>
      <c r="L3913" s="1" t="str">
        <f t="shared" si="7835"/>
        <v>0</v>
      </c>
      <c r="M3913" s="1" t="str">
        <f t="shared" si="7835"/>
        <v>0</v>
      </c>
      <c r="N3913" s="1" t="str">
        <f t="shared" si="7835"/>
        <v>0</v>
      </c>
      <c r="O3913" s="1" t="str">
        <f t="shared" si="7835"/>
        <v>0</v>
      </c>
      <c r="P3913" s="1" t="str">
        <f t="shared" si="7835"/>
        <v>0</v>
      </c>
      <c r="Q3913" s="1" t="str">
        <f t="shared" si="7827"/>
        <v>0.0070</v>
      </c>
      <c r="R3913" s="1" t="s">
        <v>25</v>
      </c>
      <c r="T3913" s="1" t="str">
        <f t="shared" si="7828"/>
        <v>0</v>
      </c>
      <c r="U3913" s="1" t="str">
        <f t="shared" si="7780"/>
        <v>0.0070</v>
      </c>
    </row>
    <row r="3914" s="1" customFormat="1" spans="1:21">
      <c r="A3914" s="1" t="str">
        <f>"4601992080519"</f>
        <v>4601992080519</v>
      </c>
      <c r="B3914" s="1" t="s">
        <v>3937</v>
      </c>
      <c r="C3914" s="1" t="s">
        <v>24</v>
      </c>
      <c r="D3914" s="1" t="str">
        <f t="shared" si="7825"/>
        <v>2021</v>
      </c>
      <c r="E3914" s="1" t="str">
        <f t="shared" ref="E3914:P3914" si="7836">"0"</f>
        <v>0</v>
      </c>
      <c r="F3914" s="1" t="str">
        <f t="shared" si="7836"/>
        <v>0</v>
      </c>
      <c r="G3914" s="1" t="str">
        <f t="shared" si="7836"/>
        <v>0</v>
      </c>
      <c r="H3914" s="1" t="str">
        <f t="shared" si="7836"/>
        <v>0</v>
      </c>
      <c r="I3914" s="1" t="str">
        <f t="shared" si="7836"/>
        <v>0</v>
      </c>
      <c r="J3914" s="1" t="str">
        <f t="shared" si="7836"/>
        <v>0</v>
      </c>
      <c r="K3914" s="1" t="str">
        <f t="shared" si="7836"/>
        <v>0</v>
      </c>
      <c r="L3914" s="1" t="str">
        <f t="shared" si="7836"/>
        <v>0</v>
      </c>
      <c r="M3914" s="1" t="str">
        <f t="shared" si="7836"/>
        <v>0</v>
      </c>
      <c r="N3914" s="1" t="str">
        <f t="shared" si="7836"/>
        <v>0</v>
      </c>
      <c r="O3914" s="1" t="str">
        <f t="shared" si="7836"/>
        <v>0</v>
      </c>
      <c r="P3914" s="1" t="str">
        <f t="shared" si="7836"/>
        <v>0</v>
      </c>
      <c r="Q3914" s="1" t="str">
        <f t="shared" si="7827"/>
        <v>0.0070</v>
      </c>
      <c r="R3914" s="1" t="s">
        <v>25</v>
      </c>
      <c r="T3914" s="1" t="str">
        <f t="shared" si="7828"/>
        <v>0</v>
      </c>
      <c r="U3914" s="1" t="str">
        <f t="shared" si="7780"/>
        <v>0.0070</v>
      </c>
    </row>
    <row r="3915" s="1" customFormat="1" spans="1:21">
      <c r="A3915" s="1" t="str">
        <f>"4601992080685"</f>
        <v>4601992080685</v>
      </c>
      <c r="B3915" s="1" t="s">
        <v>3938</v>
      </c>
      <c r="C3915" s="1" t="s">
        <v>24</v>
      </c>
      <c r="D3915" s="1" t="str">
        <f t="shared" si="7825"/>
        <v>2021</v>
      </c>
      <c r="E3915" s="1" t="str">
        <f t="shared" ref="E3915:P3915" si="7837">"0"</f>
        <v>0</v>
      </c>
      <c r="F3915" s="1" t="str">
        <f t="shared" si="7837"/>
        <v>0</v>
      </c>
      <c r="G3915" s="1" t="str">
        <f t="shared" si="7837"/>
        <v>0</v>
      </c>
      <c r="H3915" s="1" t="str">
        <f t="shared" si="7837"/>
        <v>0</v>
      </c>
      <c r="I3915" s="1" t="str">
        <f t="shared" si="7837"/>
        <v>0</v>
      </c>
      <c r="J3915" s="1" t="str">
        <f t="shared" si="7837"/>
        <v>0</v>
      </c>
      <c r="K3915" s="1" t="str">
        <f t="shared" si="7837"/>
        <v>0</v>
      </c>
      <c r="L3915" s="1" t="str">
        <f t="shared" si="7837"/>
        <v>0</v>
      </c>
      <c r="M3915" s="1" t="str">
        <f t="shared" si="7837"/>
        <v>0</v>
      </c>
      <c r="N3915" s="1" t="str">
        <f t="shared" si="7837"/>
        <v>0</v>
      </c>
      <c r="O3915" s="1" t="str">
        <f t="shared" si="7837"/>
        <v>0</v>
      </c>
      <c r="P3915" s="1" t="str">
        <f t="shared" si="7837"/>
        <v>0</v>
      </c>
      <c r="Q3915" s="1" t="str">
        <f t="shared" si="7827"/>
        <v>0.0070</v>
      </c>
      <c r="R3915" s="1" t="s">
        <v>25</v>
      </c>
      <c r="T3915" s="1" t="str">
        <f t="shared" si="7828"/>
        <v>0</v>
      </c>
      <c r="U3915" s="1" t="str">
        <f t="shared" si="7780"/>
        <v>0.0070</v>
      </c>
    </row>
    <row r="3916" s="1" customFormat="1" spans="1:21">
      <c r="A3916" s="1" t="str">
        <f>"4601992080687"</f>
        <v>4601992080687</v>
      </c>
      <c r="B3916" s="1" t="s">
        <v>3939</v>
      </c>
      <c r="C3916" s="1" t="s">
        <v>24</v>
      </c>
      <c r="D3916" s="1" t="str">
        <f t="shared" si="7825"/>
        <v>2021</v>
      </c>
      <c r="E3916" s="1" t="str">
        <f t="shared" ref="E3916:P3916" si="7838">"0"</f>
        <v>0</v>
      </c>
      <c r="F3916" s="1" t="str">
        <f t="shared" si="7838"/>
        <v>0</v>
      </c>
      <c r="G3916" s="1" t="str">
        <f t="shared" si="7838"/>
        <v>0</v>
      </c>
      <c r="H3916" s="1" t="str">
        <f t="shared" si="7838"/>
        <v>0</v>
      </c>
      <c r="I3916" s="1" t="str">
        <f t="shared" si="7838"/>
        <v>0</v>
      </c>
      <c r="J3916" s="1" t="str">
        <f t="shared" si="7838"/>
        <v>0</v>
      </c>
      <c r="K3916" s="1" t="str">
        <f t="shared" si="7838"/>
        <v>0</v>
      </c>
      <c r="L3916" s="1" t="str">
        <f t="shared" si="7838"/>
        <v>0</v>
      </c>
      <c r="M3916" s="1" t="str">
        <f t="shared" si="7838"/>
        <v>0</v>
      </c>
      <c r="N3916" s="1" t="str">
        <f t="shared" si="7838"/>
        <v>0</v>
      </c>
      <c r="O3916" s="1" t="str">
        <f t="shared" si="7838"/>
        <v>0</v>
      </c>
      <c r="P3916" s="1" t="str">
        <f t="shared" si="7838"/>
        <v>0</v>
      </c>
      <c r="Q3916" s="1" t="str">
        <f t="shared" si="7827"/>
        <v>0.0070</v>
      </c>
      <c r="R3916" s="1" t="s">
        <v>25</v>
      </c>
      <c r="T3916" s="1" t="str">
        <f t="shared" si="7828"/>
        <v>0</v>
      </c>
      <c r="U3916" s="1" t="str">
        <f t="shared" si="7780"/>
        <v>0.0070</v>
      </c>
    </row>
    <row r="3917" s="1" customFormat="1" spans="1:21">
      <c r="A3917" s="1" t="str">
        <f>"4601992080605"</f>
        <v>4601992080605</v>
      </c>
      <c r="B3917" s="1" t="s">
        <v>3940</v>
      </c>
      <c r="C3917" s="1" t="s">
        <v>24</v>
      </c>
      <c r="D3917" s="1" t="str">
        <f t="shared" si="7825"/>
        <v>2021</v>
      </c>
      <c r="E3917" s="1" t="str">
        <f>"24.18"</f>
        <v>24.18</v>
      </c>
      <c r="F3917" s="1" t="str">
        <f t="shared" ref="F3917:I3917" si="7839">"0"</f>
        <v>0</v>
      </c>
      <c r="G3917" s="1" t="str">
        <f t="shared" si="7839"/>
        <v>0</v>
      </c>
      <c r="H3917" s="1" t="str">
        <f t="shared" si="7839"/>
        <v>0</v>
      </c>
      <c r="I3917" s="1" t="str">
        <f t="shared" si="7839"/>
        <v>0</v>
      </c>
      <c r="J3917" s="1" t="str">
        <f>"4"</f>
        <v>4</v>
      </c>
      <c r="K3917" s="1" t="str">
        <f t="shared" ref="K3917:P3917" si="7840">"0"</f>
        <v>0</v>
      </c>
      <c r="L3917" s="1" t="str">
        <f t="shared" si="7840"/>
        <v>0</v>
      </c>
      <c r="M3917" s="1" t="str">
        <f t="shared" si="7840"/>
        <v>0</v>
      </c>
      <c r="N3917" s="1" t="str">
        <f t="shared" si="7840"/>
        <v>0</v>
      </c>
      <c r="O3917" s="1" t="str">
        <f t="shared" si="7840"/>
        <v>0</v>
      </c>
      <c r="P3917" s="1" t="str">
        <f t="shared" si="7840"/>
        <v>0</v>
      </c>
      <c r="Q3917" s="1" t="str">
        <f t="shared" si="7827"/>
        <v>0.0070</v>
      </c>
      <c r="R3917" s="1" t="s">
        <v>29</v>
      </c>
      <c r="S3917" s="1">
        <v>-0.0014</v>
      </c>
      <c r="T3917" s="1" t="str">
        <f t="shared" si="7828"/>
        <v>0</v>
      </c>
      <c r="U3917" s="1" t="str">
        <f>"0.0056"</f>
        <v>0.0056</v>
      </c>
    </row>
    <row r="3918" s="1" customFormat="1" spans="1:21">
      <c r="A3918" s="1" t="str">
        <f>"4601992080711"</f>
        <v>4601992080711</v>
      </c>
      <c r="B3918" s="1" t="s">
        <v>3941</v>
      </c>
      <c r="C3918" s="1" t="s">
        <v>24</v>
      </c>
      <c r="D3918" s="1" t="str">
        <f t="shared" si="7825"/>
        <v>2021</v>
      </c>
      <c r="E3918" s="1" t="str">
        <f t="shared" ref="E3918:P3918" si="7841">"0"</f>
        <v>0</v>
      </c>
      <c r="F3918" s="1" t="str">
        <f t="shared" si="7841"/>
        <v>0</v>
      </c>
      <c r="G3918" s="1" t="str">
        <f t="shared" si="7841"/>
        <v>0</v>
      </c>
      <c r="H3918" s="1" t="str">
        <f t="shared" si="7841"/>
        <v>0</v>
      </c>
      <c r="I3918" s="1" t="str">
        <f t="shared" si="7841"/>
        <v>0</v>
      </c>
      <c r="J3918" s="1" t="str">
        <f t="shared" si="7841"/>
        <v>0</v>
      </c>
      <c r="K3918" s="1" t="str">
        <f t="shared" si="7841"/>
        <v>0</v>
      </c>
      <c r="L3918" s="1" t="str">
        <f t="shared" si="7841"/>
        <v>0</v>
      </c>
      <c r="M3918" s="1" t="str">
        <f t="shared" si="7841"/>
        <v>0</v>
      </c>
      <c r="N3918" s="1" t="str">
        <f t="shared" si="7841"/>
        <v>0</v>
      </c>
      <c r="O3918" s="1" t="str">
        <f t="shared" si="7841"/>
        <v>0</v>
      </c>
      <c r="P3918" s="1" t="str">
        <f t="shared" si="7841"/>
        <v>0</v>
      </c>
      <c r="Q3918" s="1" t="str">
        <f t="shared" si="7827"/>
        <v>0.0070</v>
      </c>
      <c r="R3918" s="1" t="s">
        <v>25</v>
      </c>
      <c r="T3918" s="1" t="str">
        <f t="shared" si="7828"/>
        <v>0</v>
      </c>
      <c r="U3918" s="1" t="str">
        <f t="shared" ref="U3918:U3923" si="7842">"0.0070"</f>
        <v>0.0070</v>
      </c>
    </row>
    <row r="3919" s="1" customFormat="1" spans="1:21">
      <c r="A3919" s="1" t="str">
        <f>"4601992080528"</f>
        <v>4601992080528</v>
      </c>
      <c r="B3919" s="1" t="s">
        <v>3942</v>
      </c>
      <c r="C3919" s="1" t="s">
        <v>24</v>
      </c>
      <c r="D3919" s="1" t="str">
        <f t="shared" si="7825"/>
        <v>2021</v>
      </c>
      <c r="E3919" s="1" t="str">
        <f>"12.25"</f>
        <v>12.25</v>
      </c>
      <c r="F3919" s="1" t="str">
        <f t="shared" ref="F3919:I3919" si="7843">"0"</f>
        <v>0</v>
      </c>
      <c r="G3919" s="1" t="str">
        <f t="shared" si="7843"/>
        <v>0</v>
      </c>
      <c r="H3919" s="1" t="str">
        <f t="shared" si="7843"/>
        <v>0</v>
      </c>
      <c r="I3919" s="1" t="str">
        <f t="shared" si="7843"/>
        <v>0</v>
      </c>
      <c r="J3919" s="1" t="str">
        <f>"1"</f>
        <v>1</v>
      </c>
      <c r="K3919" s="1" t="str">
        <f t="shared" ref="K3919:P3919" si="7844">"0"</f>
        <v>0</v>
      </c>
      <c r="L3919" s="1" t="str">
        <f t="shared" si="7844"/>
        <v>0</v>
      </c>
      <c r="M3919" s="1" t="str">
        <f t="shared" si="7844"/>
        <v>0</v>
      </c>
      <c r="N3919" s="1" t="str">
        <f t="shared" si="7844"/>
        <v>0</v>
      </c>
      <c r="O3919" s="1" t="str">
        <f t="shared" si="7844"/>
        <v>0</v>
      </c>
      <c r="P3919" s="1" t="str">
        <f t="shared" si="7844"/>
        <v>0</v>
      </c>
      <c r="Q3919" s="1" t="str">
        <f t="shared" si="7827"/>
        <v>0.0070</v>
      </c>
      <c r="R3919" s="1" t="s">
        <v>29</v>
      </c>
      <c r="S3919" s="1">
        <v>-0.0014</v>
      </c>
      <c r="T3919" s="1" t="str">
        <f t="shared" si="7828"/>
        <v>0</v>
      </c>
      <c r="U3919" s="1" t="str">
        <f>"0.0056"</f>
        <v>0.0056</v>
      </c>
    </row>
    <row r="3920" s="1" customFormat="1" spans="1:21">
      <c r="A3920" s="1" t="str">
        <f>"4601992080688"</f>
        <v>4601992080688</v>
      </c>
      <c r="B3920" s="1" t="s">
        <v>3943</v>
      </c>
      <c r="C3920" s="1" t="s">
        <v>24</v>
      </c>
      <c r="D3920" s="1" t="str">
        <f t="shared" si="7825"/>
        <v>2021</v>
      </c>
      <c r="E3920" s="1" t="str">
        <f t="shared" ref="E3920:I3920" si="7845">"0"</f>
        <v>0</v>
      </c>
      <c r="F3920" s="1" t="str">
        <f t="shared" si="7845"/>
        <v>0</v>
      </c>
      <c r="G3920" s="1" t="str">
        <f t="shared" si="7845"/>
        <v>0</v>
      </c>
      <c r="H3920" s="1" t="str">
        <f t="shared" si="7845"/>
        <v>0</v>
      </c>
      <c r="I3920" s="1" t="str">
        <f t="shared" si="7845"/>
        <v>0</v>
      </c>
      <c r="J3920" s="1" t="str">
        <f>"2"</f>
        <v>2</v>
      </c>
      <c r="K3920" s="1" t="str">
        <f t="shared" ref="K3920:P3920" si="7846">"0"</f>
        <v>0</v>
      </c>
      <c r="L3920" s="1" t="str">
        <f t="shared" si="7846"/>
        <v>0</v>
      </c>
      <c r="M3920" s="1" t="str">
        <f t="shared" si="7846"/>
        <v>0</v>
      </c>
      <c r="N3920" s="1" t="str">
        <f t="shared" si="7846"/>
        <v>0</v>
      </c>
      <c r="O3920" s="1" t="str">
        <f t="shared" si="7846"/>
        <v>0</v>
      </c>
      <c r="P3920" s="1" t="str">
        <f t="shared" si="7846"/>
        <v>0</v>
      </c>
      <c r="Q3920" s="1" t="str">
        <f t="shared" si="7827"/>
        <v>0.0070</v>
      </c>
      <c r="R3920" s="1" t="s">
        <v>25</v>
      </c>
      <c r="T3920" s="1" t="str">
        <f t="shared" si="7828"/>
        <v>0</v>
      </c>
      <c r="U3920" s="1" t="str">
        <f t="shared" si="7842"/>
        <v>0.0070</v>
      </c>
    </row>
    <row r="3921" s="1" customFormat="1" spans="1:21">
      <c r="A3921" s="1" t="str">
        <f>"4601992080801"</f>
        <v>4601992080801</v>
      </c>
      <c r="B3921" s="1" t="s">
        <v>3944</v>
      </c>
      <c r="C3921" s="1" t="s">
        <v>24</v>
      </c>
      <c r="D3921" s="1" t="str">
        <f t="shared" si="7825"/>
        <v>2021</v>
      </c>
      <c r="E3921" s="1" t="str">
        <f t="shared" ref="E3921:P3921" si="7847">"0"</f>
        <v>0</v>
      </c>
      <c r="F3921" s="1" t="str">
        <f t="shared" si="7847"/>
        <v>0</v>
      </c>
      <c r="G3921" s="1" t="str">
        <f t="shared" si="7847"/>
        <v>0</v>
      </c>
      <c r="H3921" s="1" t="str">
        <f t="shared" si="7847"/>
        <v>0</v>
      </c>
      <c r="I3921" s="1" t="str">
        <f t="shared" si="7847"/>
        <v>0</v>
      </c>
      <c r="J3921" s="1" t="str">
        <f t="shared" si="7847"/>
        <v>0</v>
      </c>
      <c r="K3921" s="1" t="str">
        <f t="shared" si="7847"/>
        <v>0</v>
      </c>
      <c r="L3921" s="1" t="str">
        <f t="shared" si="7847"/>
        <v>0</v>
      </c>
      <c r="M3921" s="1" t="str">
        <f t="shared" si="7847"/>
        <v>0</v>
      </c>
      <c r="N3921" s="1" t="str">
        <f t="shared" si="7847"/>
        <v>0</v>
      </c>
      <c r="O3921" s="1" t="str">
        <f t="shared" si="7847"/>
        <v>0</v>
      </c>
      <c r="P3921" s="1" t="str">
        <f t="shared" si="7847"/>
        <v>0</v>
      </c>
      <c r="Q3921" s="1" t="str">
        <f t="shared" si="7827"/>
        <v>0.0070</v>
      </c>
      <c r="R3921" s="1" t="s">
        <v>25</v>
      </c>
      <c r="T3921" s="1" t="str">
        <f t="shared" si="7828"/>
        <v>0</v>
      </c>
      <c r="U3921" s="1" t="str">
        <f t="shared" si="7842"/>
        <v>0.0070</v>
      </c>
    </row>
    <row r="3922" s="1" customFormat="1" spans="1:21">
      <c r="A3922" s="1" t="str">
        <f>"4601992080790"</f>
        <v>4601992080790</v>
      </c>
      <c r="B3922" s="1" t="s">
        <v>3945</v>
      </c>
      <c r="C3922" s="1" t="s">
        <v>24</v>
      </c>
      <c r="D3922" s="1" t="str">
        <f t="shared" si="7825"/>
        <v>2021</v>
      </c>
      <c r="E3922" s="1" t="str">
        <f t="shared" ref="E3922:P3922" si="7848">"0"</f>
        <v>0</v>
      </c>
      <c r="F3922" s="1" t="str">
        <f t="shared" si="7848"/>
        <v>0</v>
      </c>
      <c r="G3922" s="1" t="str">
        <f t="shared" si="7848"/>
        <v>0</v>
      </c>
      <c r="H3922" s="1" t="str">
        <f t="shared" si="7848"/>
        <v>0</v>
      </c>
      <c r="I3922" s="1" t="str">
        <f t="shared" si="7848"/>
        <v>0</v>
      </c>
      <c r="J3922" s="1" t="str">
        <f t="shared" si="7848"/>
        <v>0</v>
      </c>
      <c r="K3922" s="1" t="str">
        <f t="shared" si="7848"/>
        <v>0</v>
      </c>
      <c r="L3922" s="1" t="str">
        <f t="shared" si="7848"/>
        <v>0</v>
      </c>
      <c r="M3922" s="1" t="str">
        <f t="shared" si="7848"/>
        <v>0</v>
      </c>
      <c r="N3922" s="1" t="str">
        <f t="shared" si="7848"/>
        <v>0</v>
      </c>
      <c r="O3922" s="1" t="str">
        <f t="shared" si="7848"/>
        <v>0</v>
      </c>
      <c r="P3922" s="1" t="str">
        <f t="shared" si="7848"/>
        <v>0</v>
      </c>
      <c r="Q3922" s="1" t="str">
        <f t="shared" si="7827"/>
        <v>0.0070</v>
      </c>
      <c r="R3922" s="1" t="s">
        <v>25</v>
      </c>
      <c r="T3922" s="1" t="str">
        <f t="shared" si="7828"/>
        <v>0</v>
      </c>
      <c r="U3922" s="1" t="str">
        <f t="shared" si="7842"/>
        <v>0.0070</v>
      </c>
    </row>
    <row r="3923" s="1" customFormat="1" spans="1:21">
      <c r="A3923" s="1" t="str">
        <f>"4601992080884"</f>
        <v>4601992080884</v>
      </c>
      <c r="B3923" s="1" t="s">
        <v>3946</v>
      </c>
      <c r="C3923" s="1" t="s">
        <v>24</v>
      </c>
      <c r="D3923" s="1" t="str">
        <f t="shared" si="7825"/>
        <v>2021</v>
      </c>
      <c r="E3923" s="1" t="str">
        <f t="shared" ref="E3923:P3923" si="7849">"0"</f>
        <v>0</v>
      </c>
      <c r="F3923" s="1" t="str">
        <f t="shared" si="7849"/>
        <v>0</v>
      </c>
      <c r="G3923" s="1" t="str">
        <f t="shared" si="7849"/>
        <v>0</v>
      </c>
      <c r="H3923" s="1" t="str">
        <f t="shared" si="7849"/>
        <v>0</v>
      </c>
      <c r="I3923" s="1" t="str">
        <f t="shared" si="7849"/>
        <v>0</v>
      </c>
      <c r="J3923" s="1" t="str">
        <f t="shared" si="7849"/>
        <v>0</v>
      </c>
      <c r="K3923" s="1" t="str">
        <f t="shared" si="7849"/>
        <v>0</v>
      </c>
      <c r="L3923" s="1" t="str">
        <f t="shared" si="7849"/>
        <v>0</v>
      </c>
      <c r="M3923" s="1" t="str">
        <f t="shared" si="7849"/>
        <v>0</v>
      </c>
      <c r="N3923" s="1" t="str">
        <f t="shared" si="7849"/>
        <v>0</v>
      </c>
      <c r="O3923" s="1" t="str">
        <f t="shared" si="7849"/>
        <v>0</v>
      </c>
      <c r="P3923" s="1" t="str">
        <f t="shared" si="7849"/>
        <v>0</v>
      </c>
      <c r="Q3923" s="1" t="str">
        <f t="shared" si="7827"/>
        <v>0.0070</v>
      </c>
      <c r="R3923" s="1" t="s">
        <v>25</v>
      </c>
      <c r="T3923" s="1" t="str">
        <f t="shared" si="7828"/>
        <v>0</v>
      </c>
      <c r="U3923" s="1" t="str">
        <f t="shared" si="7842"/>
        <v>0.0070</v>
      </c>
    </row>
    <row r="3924" s="1" customFormat="1" spans="1:21">
      <c r="A3924" s="1" t="str">
        <f>"4601992080785"</f>
        <v>4601992080785</v>
      </c>
      <c r="B3924" s="1" t="s">
        <v>3947</v>
      </c>
      <c r="C3924" s="1" t="s">
        <v>24</v>
      </c>
      <c r="D3924" s="1" t="str">
        <f t="shared" si="7825"/>
        <v>2021</v>
      </c>
      <c r="E3924" s="1" t="str">
        <f>"11.98"</f>
        <v>11.98</v>
      </c>
      <c r="F3924" s="1" t="str">
        <f t="shared" ref="F3924:I3924" si="7850">"0"</f>
        <v>0</v>
      </c>
      <c r="G3924" s="1" t="str">
        <f t="shared" si="7850"/>
        <v>0</v>
      </c>
      <c r="H3924" s="1" t="str">
        <f t="shared" si="7850"/>
        <v>0</v>
      </c>
      <c r="I3924" s="1" t="str">
        <f t="shared" si="7850"/>
        <v>0</v>
      </c>
      <c r="J3924" s="1" t="str">
        <f>"1"</f>
        <v>1</v>
      </c>
      <c r="K3924" s="1" t="str">
        <f t="shared" ref="K3924:P3924" si="7851">"0"</f>
        <v>0</v>
      </c>
      <c r="L3924" s="1" t="str">
        <f t="shared" si="7851"/>
        <v>0</v>
      </c>
      <c r="M3924" s="1" t="str">
        <f t="shared" si="7851"/>
        <v>0</v>
      </c>
      <c r="N3924" s="1" t="str">
        <f t="shared" si="7851"/>
        <v>0</v>
      </c>
      <c r="O3924" s="1" t="str">
        <f t="shared" si="7851"/>
        <v>0</v>
      </c>
      <c r="P3924" s="1" t="str">
        <f t="shared" si="7851"/>
        <v>0</v>
      </c>
      <c r="Q3924" s="1" t="str">
        <f t="shared" si="7827"/>
        <v>0.0070</v>
      </c>
      <c r="R3924" s="1" t="s">
        <v>29</v>
      </c>
      <c r="S3924" s="1">
        <v>-0.0014</v>
      </c>
      <c r="T3924" s="1" t="str">
        <f t="shared" si="7828"/>
        <v>0</v>
      </c>
      <c r="U3924" s="1" t="str">
        <f>"0.0056"</f>
        <v>0.0056</v>
      </c>
    </row>
    <row r="3925" s="1" customFormat="1" spans="1:21">
      <c r="A3925" s="1" t="str">
        <f>"4601992080885"</f>
        <v>4601992080885</v>
      </c>
      <c r="B3925" s="1" t="s">
        <v>3948</v>
      </c>
      <c r="C3925" s="1" t="s">
        <v>24</v>
      </c>
      <c r="D3925" s="1" t="str">
        <f t="shared" si="7825"/>
        <v>2021</v>
      </c>
      <c r="E3925" s="1" t="str">
        <f t="shared" ref="E3925:P3925" si="7852">"0"</f>
        <v>0</v>
      </c>
      <c r="F3925" s="1" t="str">
        <f t="shared" si="7852"/>
        <v>0</v>
      </c>
      <c r="G3925" s="1" t="str">
        <f t="shared" si="7852"/>
        <v>0</v>
      </c>
      <c r="H3925" s="1" t="str">
        <f t="shared" si="7852"/>
        <v>0</v>
      </c>
      <c r="I3925" s="1" t="str">
        <f t="shared" si="7852"/>
        <v>0</v>
      </c>
      <c r="J3925" s="1" t="str">
        <f t="shared" si="7852"/>
        <v>0</v>
      </c>
      <c r="K3925" s="1" t="str">
        <f t="shared" si="7852"/>
        <v>0</v>
      </c>
      <c r="L3925" s="1" t="str">
        <f t="shared" si="7852"/>
        <v>0</v>
      </c>
      <c r="M3925" s="1" t="str">
        <f t="shared" si="7852"/>
        <v>0</v>
      </c>
      <c r="N3925" s="1" t="str">
        <f t="shared" si="7852"/>
        <v>0</v>
      </c>
      <c r="O3925" s="1" t="str">
        <f t="shared" si="7852"/>
        <v>0</v>
      </c>
      <c r="P3925" s="1" t="str">
        <f t="shared" si="7852"/>
        <v>0</v>
      </c>
      <c r="Q3925" s="1" t="str">
        <f t="shared" si="7827"/>
        <v>0.0070</v>
      </c>
      <c r="R3925" s="1" t="s">
        <v>25</v>
      </c>
      <c r="T3925" s="1" t="str">
        <f t="shared" si="7828"/>
        <v>0</v>
      </c>
      <c r="U3925" s="1" t="str">
        <f t="shared" ref="U3925:U3943" si="7853">"0.0070"</f>
        <v>0.0070</v>
      </c>
    </row>
    <row r="3926" s="1" customFormat="1" spans="1:21">
      <c r="A3926" s="1" t="str">
        <f>"4601992080930"</f>
        <v>4601992080930</v>
      </c>
      <c r="B3926" s="1" t="s">
        <v>3949</v>
      </c>
      <c r="C3926" s="1" t="s">
        <v>24</v>
      </c>
      <c r="D3926" s="1" t="str">
        <f t="shared" si="7825"/>
        <v>2021</v>
      </c>
      <c r="E3926" s="1" t="str">
        <f t="shared" ref="E3926:P3926" si="7854">"0"</f>
        <v>0</v>
      </c>
      <c r="F3926" s="1" t="str">
        <f t="shared" si="7854"/>
        <v>0</v>
      </c>
      <c r="G3926" s="1" t="str">
        <f t="shared" si="7854"/>
        <v>0</v>
      </c>
      <c r="H3926" s="1" t="str">
        <f t="shared" si="7854"/>
        <v>0</v>
      </c>
      <c r="I3926" s="1" t="str">
        <f t="shared" si="7854"/>
        <v>0</v>
      </c>
      <c r="J3926" s="1" t="str">
        <f t="shared" si="7854"/>
        <v>0</v>
      </c>
      <c r="K3926" s="1" t="str">
        <f t="shared" si="7854"/>
        <v>0</v>
      </c>
      <c r="L3926" s="1" t="str">
        <f t="shared" si="7854"/>
        <v>0</v>
      </c>
      <c r="M3926" s="1" t="str">
        <f t="shared" si="7854"/>
        <v>0</v>
      </c>
      <c r="N3926" s="1" t="str">
        <f t="shared" si="7854"/>
        <v>0</v>
      </c>
      <c r="O3926" s="1" t="str">
        <f t="shared" si="7854"/>
        <v>0</v>
      </c>
      <c r="P3926" s="1" t="str">
        <f t="shared" si="7854"/>
        <v>0</v>
      </c>
      <c r="Q3926" s="1" t="str">
        <f t="shared" si="7827"/>
        <v>0.0070</v>
      </c>
      <c r="R3926" s="1" t="s">
        <v>25</v>
      </c>
      <c r="T3926" s="1" t="str">
        <f t="shared" si="7828"/>
        <v>0</v>
      </c>
      <c r="U3926" s="1" t="str">
        <f t="shared" si="7853"/>
        <v>0.0070</v>
      </c>
    </row>
    <row r="3927" s="1" customFormat="1" spans="1:21">
      <c r="A3927" s="1" t="str">
        <f>"4601992080950"</f>
        <v>4601992080950</v>
      </c>
      <c r="B3927" s="1" t="s">
        <v>3950</v>
      </c>
      <c r="C3927" s="1" t="s">
        <v>24</v>
      </c>
      <c r="D3927" s="1" t="str">
        <f t="shared" si="7825"/>
        <v>2021</v>
      </c>
      <c r="E3927" s="1" t="str">
        <f t="shared" ref="E3927:P3927" si="7855">"0"</f>
        <v>0</v>
      </c>
      <c r="F3927" s="1" t="str">
        <f t="shared" si="7855"/>
        <v>0</v>
      </c>
      <c r="G3927" s="1" t="str">
        <f t="shared" si="7855"/>
        <v>0</v>
      </c>
      <c r="H3927" s="1" t="str">
        <f t="shared" si="7855"/>
        <v>0</v>
      </c>
      <c r="I3927" s="1" t="str">
        <f t="shared" si="7855"/>
        <v>0</v>
      </c>
      <c r="J3927" s="1" t="str">
        <f t="shared" si="7855"/>
        <v>0</v>
      </c>
      <c r="K3927" s="1" t="str">
        <f t="shared" si="7855"/>
        <v>0</v>
      </c>
      <c r="L3927" s="1" t="str">
        <f t="shared" si="7855"/>
        <v>0</v>
      </c>
      <c r="M3927" s="1" t="str">
        <f t="shared" si="7855"/>
        <v>0</v>
      </c>
      <c r="N3927" s="1" t="str">
        <f t="shared" si="7855"/>
        <v>0</v>
      </c>
      <c r="O3927" s="1" t="str">
        <f t="shared" si="7855"/>
        <v>0</v>
      </c>
      <c r="P3927" s="1" t="str">
        <f t="shared" si="7855"/>
        <v>0</v>
      </c>
      <c r="Q3927" s="1" t="str">
        <f t="shared" si="7827"/>
        <v>0.0070</v>
      </c>
      <c r="R3927" s="1" t="s">
        <v>25</v>
      </c>
      <c r="T3927" s="1" t="str">
        <f t="shared" si="7828"/>
        <v>0</v>
      </c>
      <c r="U3927" s="1" t="str">
        <f t="shared" si="7853"/>
        <v>0.0070</v>
      </c>
    </row>
    <row r="3928" s="1" customFormat="1" spans="1:21">
      <c r="A3928" s="1" t="str">
        <f>"4601992081000"</f>
        <v>4601992081000</v>
      </c>
      <c r="B3928" s="1" t="s">
        <v>3951</v>
      </c>
      <c r="C3928" s="1" t="s">
        <v>24</v>
      </c>
      <c r="D3928" s="1" t="str">
        <f t="shared" si="7825"/>
        <v>2021</v>
      </c>
      <c r="E3928" s="1" t="str">
        <f t="shared" ref="E3928:P3928" si="7856">"0"</f>
        <v>0</v>
      </c>
      <c r="F3928" s="1" t="str">
        <f t="shared" si="7856"/>
        <v>0</v>
      </c>
      <c r="G3928" s="1" t="str">
        <f t="shared" si="7856"/>
        <v>0</v>
      </c>
      <c r="H3928" s="1" t="str">
        <f t="shared" si="7856"/>
        <v>0</v>
      </c>
      <c r="I3928" s="1" t="str">
        <f t="shared" si="7856"/>
        <v>0</v>
      </c>
      <c r="J3928" s="1" t="str">
        <f t="shared" si="7856"/>
        <v>0</v>
      </c>
      <c r="K3928" s="1" t="str">
        <f t="shared" si="7856"/>
        <v>0</v>
      </c>
      <c r="L3928" s="1" t="str">
        <f t="shared" si="7856"/>
        <v>0</v>
      </c>
      <c r="M3928" s="1" t="str">
        <f t="shared" si="7856"/>
        <v>0</v>
      </c>
      <c r="N3928" s="1" t="str">
        <f t="shared" si="7856"/>
        <v>0</v>
      </c>
      <c r="O3928" s="1" t="str">
        <f t="shared" si="7856"/>
        <v>0</v>
      </c>
      <c r="P3928" s="1" t="str">
        <f t="shared" si="7856"/>
        <v>0</v>
      </c>
      <c r="Q3928" s="1" t="str">
        <f t="shared" si="7827"/>
        <v>0.0070</v>
      </c>
      <c r="R3928" s="1" t="s">
        <v>25</v>
      </c>
      <c r="T3928" s="1" t="str">
        <f t="shared" si="7828"/>
        <v>0</v>
      </c>
      <c r="U3928" s="1" t="str">
        <f t="shared" si="7853"/>
        <v>0.0070</v>
      </c>
    </row>
    <row r="3929" s="1" customFormat="1" spans="1:21">
      <c r="A3929" s="1" t="str">
        <f>"4601992081004"</f>
        <v>4601992081004</v>
      </c>
      <c r="B3929" s="1" t="s">
        <v>3952</v>
      </c>
      <c r="C3929" s="1" t="s">
        <v>24</v>
      </c>
      <c r="D3929" s="1" t="str">
        <f t="shared" si="7825"/>
        <v>2021</v>
      </c>
      <c r="E3929" s="1" t="str">
        <f t="shared" ref="E3929:P3929" si="7857">"0"</f>
        <v>0</v>
      </c>
      <c r="F3929" s="1" t="str">
        <f t="shared" si="7857"/>
        <v>0</v>
      </c>
      <c r="G3929" s="1" t="str">
        <f t="shared" si="7857"/>
        <v>0</v>
      </c>
      <c r="H3929" s="1" t="str">
        <f t="shared" si="7857"/>
        <v>0</v>
      </c>
      <c r="I3929" s="1" t="str">
        <f t="shared" si="7857"/>
        <v>0</v>
      </c>
      <c r="J3929" s="1" t="str">
        <f t="shared" si="7857"/>
        <v>0</v>
      </c>
      <c r="K3929" s="1" t="str">
        <f t="shared" si="7857"/>
        <v>0</v>
      </c>
      <c r="L3929" s="1" t="str">
        <f t="shared" si="7857"/>
        <v>0</v>
      </c>
      <c r="M3929" s="1" t="str">
        <f t="shared" si="7857"/>
        <v>0</v>
      </c>
      <c r="N3929" s="1" t="str">
        <f t="shared" si="7857"/>
        <v>0</v>
      </c>
      <c r="O3929" s="1" t="str">
        <f t="shared" si="7857"/>
        <v>0</v>
      </c>
      <c r="P3929" s="1" t="str">
        <f t="shared" si="7857"/>
        <v>0</v>
      </c>
      <c r="Q3929" s="1" t="str">
        <f t="shared" si="7827"/>
        <v>0.0070</v>
      </c>
      <c r="R3929" s="1" t="s">
        <v>25</v>
      </c>
      <c r="T3929" s="1" t="str">
        <f t="shared" si="7828"/>
        <v>0</v>
      </c>
      <c r="U3929" s="1" t="str">
        <f t="shared" si="7853"/>
        <v>0.0070</v>
      </c>
    </row>
    <row r="3930" s="1" customFormat="1" spans="1:21">
      <c r="A3930" s="1" t="str">
        <f>"4601992081017"</f>
        <v>4601992081017</v>
      </c>
      <c r="B3930" s="1" t="s">
        <v>3953</v>
      </c>
      <c r="C3930" s="1" t="s">
        <v>24</v>
      </c>
      <c r="D3930" s="1" t="str">
        <f t="shared" si="7825"/>
        <v>2021</v>
      </c>
      <c r="E3930" s="1" t="str">
        <f t="shared" ref="E3930:P3930" si="7858">"0"</f>
        <v>0</v>
      </c>
      <c r="F3930" s="1" t="str">
        <f t="shared" si="7858"/>
        <v>0</v>
      </c>
      <c r="G3930" s="1" t="str">
        <f t="shared" si="7858"/>
        <v>0</v>
      </c>
      <c r="H3930" s="1" t="str">
        <f t="shared" si="7858"/>
        <v>0</v>
      </c>
      <c r="I3930" s="1" t="str">
        <f t="shared" si="7858"/>
        <v>0</v>
      </c>
      <c r="J3930" s="1" t="str">
        <f t="shared" si="7858"/>
        <v>0</v>
      </c>
      <c r="K3930" s="1" t="str">
        <f t="shared" si="7858"/>
        <v>0</v>
      </c>
      <c r="L3930" s="1" t="str">
        <f t="shared" si="7858"/>
        <v>0</v>
      </c>
      <c r="M3930" s="1" t="str">
        <f t="shared" si="7858"/>
        <v>0</v>
      </c>
      <c r="N3930" s="1" t="str">
        <f t="shared" si="7858"/>
        <v>0</v>
      </c>
      <c r="O3930" s="1" t="str">
        <f t="shared" si="7858"/>
        <v>0</v>
      </c>
      <c r="P3930" s="1" t="str">
        <f t="shared" si="7858"/>
        <v>0</v>
      </c>
      <c r="Q3930" s="1" t="str">
        <f t="shared" si="7827"/>
        <v>0.0070</v>
      </c>
      <c r="R3930" s="1" t="s">
        <v>25</v>
      </c>
      <c r="T3930" s="1" t="str">
        <f t="shared" si="7828"/>
        <v>0</v>
      </c>
      <c r="U3930" s="1" t="str">
        <f t="shared" si="7853"/>
        <v>0.0070</v>
      </c>
    </row>
    <row r="3931" s="1" customFormat="1" spans="1:21">
      <c r="A3931" s="1" t="str">
        <f>"4601992081158"</f>
        <v>4601992081158</v>
      </c>
      <c r="B3931" s="1" t="s">
        <v>3954</v>
      </c>
      <c r="C3931" s="1" t="s">
        <v>24</v>
      </c>
      <c r="D3931" s="1" t="str">
        <f t="shared" si="7825"/>
        <v>2021</v>
      </c>
      <c r="E3931" s="1" t="str">
        <f t="shared" ref="E3931:P3931" si="7859">"0"</f>
        <v>0</v>
      </c>
      <c r="F3931" s="1" t="str">
        <f t="shared" si="7859"/>
        <v>0</v>
      </c>
      <c r="G3931" s="1" t="str">
        <f t="shared" si="7859"/>
        <v>0</v>
      </c>
      <c r="H3931" s="1" t="str">
        <f t="shared" si="7859"/>
        <v>0</v>
      </c>
      <c r="I3931" s="1" t="str">
        <f t="shared" si="7859"/>
        <v>0</v>
      </c>
      <c r="J3931" s="1" t="str">
        <f t="shared" si="7859"/>
        <v>0</v>
      </c>
      <c r="K3931" s="1" t="str">
        <f t="shared" si="7859"/>
        <v>0</v>
      </c>
      <c r="L3931" s="1" t="str">
        <f t="shared" si="7859"/>
        <v>0</v>
      </c>
      <c r="M3931" s="1" t="str">
        <f t="shared" si="7859"/>
        <v>0</v>
      </c>
      <c r="N3931" s="1" t="str">
        <f t="shared" si="7859"/>
        <v>0</v>
      </c>
      <c r="O3931" s="1" t="str">
        <f t="shared" si="7859"/>
        <v>0</v>
      </c>
      <c r="P3931" s="1" t="str">
        <f t="shared" si="7859"/>
        <v>0</v>
      </c>
      <c r="Q3931" s="1" t="str">
        <f t="shared" si="7827"/>
        <v>0.0070</v>
      </c>
      <c r="R3931" s="1" t="s">
        <v>25</v>
      </c>
      <c r="T3931" s="1" t="str">
        <f t="shared" si="7828"/>
        <v>0</v>
      </c>
      <c r="U3931" s="1" t="str">
        <f t="shared" si="7853"/>
        <v>0.0070</v>
      </c>
    </row>
    <row r="3932" s="1" customFormat="1" spans="1:21">
      <c r="A3932" s="1" t="str">
        <f>"4601992081028"</f>
        <v>4601992081028</v>
      </c>
      <c r="B3932" s="1" t="s">
        <v>3955</v>
      </c>
      <c r="C3932" s="1" t="s">
        <v>24</v>
      </c>
      <c r="D3932" s="1" t="str">
        <f t="shared" si="7825"/>
        <v>2021</v>
      </c>
      <c r="E3932" s="1" t="str">
        <f t="shared" ref="E3932:P3932" si="7860">"0"</f>
        <v>0</v>
      </c>
      <c r="F3932" s="1" t="str">
        <f t="shared" si="7860"/>
        <v>0</v>
      </c>
      <c r="G3932" s="1" t="str">
        <f t="shared" si="7860"/>
        <v>0</v>
      </c>
      <c r="H3932" s="1" t="str">
        <f t="shared" si="7860"/>
        <v>0</v>
      </c>
      <c r="I3932" s="1" t="str">
        <f t="shared" si="7860"/>
        <v>0</v>
      </c>
      <c r="J3932" s="1" t="str">
        <f t="shared" si="7860"/>
        <v>0</v>
      </c>
      <c r="K3932" s="1" t="str">
        <f t="shared" si="7860"/>
        <v>0</v>
      </c>
      <c r="L3932" s="1" t="str">
        <f t="shared" si="7860"/>
        <v>0</v>
      </c>
      <c r="M3932" s="1" t="str">
        <f t="shared" si="7860"/>
        <v>0</v>
      </c>
      <c r="N3932" s="1" t="str">
        <f t="shared" si="7860"/>
        <v>0</v>
      </c>
      <c r="O3932" s="1" t="str">
        <f t="shared" si="7860"/>
        <v>0</v>
      </c>
      <c r="P3932" s="1" t="str">
        <f t="shared" si="7860"/>
        <v>0</v>
      </c>
      <c r="Q3932" s="1" t="str">
        <f t="shared" si="7827"/>
        <v>0.0070</v>
      </c>
      <c r="R3932" s="1" t="s">
        <v>25</v>
      </c>
      <c r="T3932" s="1" t="str">
        <f t="shared" si="7828"/>
        <v>0</v>
      </c>
      <c r="U3932" s="1" t="str">
        <f t="shared" si="7853"/>
        <v>0.0070</v>
      </c>
    </row>
    <row r="3933" s="1" customFormat="1" spans="1:21">
      <c r="A3933" s="1" t="str">
        <f>"4601992081191"</f>
        <v>4601992081191</v>
      </c>
      <c r="B3933" s="1" t="s">
        <v>3956</v>
      </c>
      <c r="C3933" s="1" t="s">
        <v>24</v>
      </c>
      <c r="D3933" s="1" t="str">
        <f t="shared" si="7825"/>
        <v>2021</v>
      </c>
      <c r="E3933" s="1" t="str">
        <f t="shared" ref="E3933:P3933" si="7861">"0"</f>
        <v>0</v>
      </c>
      <c r="F3933" s="1" t="str">
        <f t="shared" si="7861"/>
        <v>0</v>
      </c>
      <c r="G3933" s="1" t="str">
        <f t="shared" si="7861"/>
        <v>0</v>
      </c>
      <c r="H3933" s="1" t="str">
        <f t="shared" si="7861"/>
        <v>0</v>
      </c>
      <c r="I3933" s="1" t="str">
        <f t="shared" si="7861"/>
        <v>0</v>
      </c>
      <c r="J3933" s="1" t="str">
        <f t="shared" si="7861"/>
        <v>0</v>
      </c>
      <c r="K3933" s="1" t="str">
        <f t="shared" si="7861"/>
        <v>0</v>
      </c>
      <c r="L3933" s="1" t="str">
        <f t="shared" si="7861"/>
        <v>0</v>
      </c>
      <c r="M3933" s="1" t="str">
        <f t="shared" si="7861"/>
        <v>0</v>
      </c>
      <c r="N3933" s="1" t="str">
        <f t="shared" si="7861"/>
        <v>0</v>
      </c>
      <c r="O3933" s="1" t="str">
        <f t="shared" si="7861"/>
        <v>0</v>
      </c>
      <c r="P3933" s="1" t="str">
        <f t="shared" si="7861"/>
        <v>0</v>
      </c>
      <c r="Q3933" s="1" t="str">
        <f t="shared" si="7827"/>
        <v>0.0070</v>
      </c>
      <c r="R3933" s="1" t="s">
        <v>25</v>
      </c>
      <c r="T3933" s="1" t="str">
        <f t="shared" si="7828"/>
        <v>0</v>
      </c>
      <c r="U3933" s="1" t="str">
        <f t="shared" si="7853"/>
        <v>0.0070</v>
      </c>
    </row>
    <row r="3934" s="1" customFormat="1" spans="1:21">
      <c r="A3934" s="1" t="str">
        <f>"4601992081214"</f>
        <v>4601992081214</v>
      </c>
      <c r="B3934" s="1" t="s">
        <v>3957</v>
      </c>
      <c r="C3934" s="1" t="s">
        <v>24</v>
      </c>
      <c r="D3934" s="1" t="str">
        <f t="shared" si="7825"/>
        <v>2021</v>
      </c>
      <c r="E3934" s="1" t="str">
        <f t="shared" ref="E3934:P3934" si="7862">"0"</f>
        <v>0</v>
      </c>
      <c r="F3934" s="1" t="str">
        <f t="shared" si="7862"/>
        <v>0</v>
      </c>
      <c r="G3934" s="1" t="str">
        <f t="shared" si="7862"/>
        <v>0</v>
      </c>
      <c r="H3934" s="1" t="str">
        <f t="shared" si="7862"/>
        <v>0</v>
      </c>
      <c r="I3934" s="1" t="str">
        <f t="shared" si="7862"/>
        <v>0</v>
      </c>
      <c r="J3934" s="1" t="str">
        <f t="shared" si="7862"/>
        <v>0</v>
      </c>
      <c r="K3934" s="1" t="str">
        <f t="shared" si="7862"/>
        <v>0</v>
      </c>
      <c r="L3934" s="1" t="str">
        <f t="shared" si="7862"/>
        <v>0</v>
      </c>
      <c r="M3934" s="1" t="str">
        <f t="shared" si="7862"/>
        <v>0</v>
      </c>
      <c r="N3934" s="1" t="str">
        <f t="shared" si="7862"/>
        <v>0</v>
      </c>
      <c r="O3934" s="1" t="str">
        <f t="shared" si="7862"/>
        <v>0</v>
      </c>
      <c r="P3934" s="1" t="str">
        <f t="shared" si="7862"/>
        <v>0</v>
      </c>
      <c r="Q3934" s="1" t="str">
        <f t="shared" si="7827"/>
        <v>0.0070</v>
      </c>
      <c r="R3934" s="1" t="s">
        <v>25</v>
      </c>
      <c r="T3934" s="1" t="str">
        <f t="shared" si="7828"/>
        <v>0</v>
      </c>
      <c r="U3934" s="1" t="str">
        <f t="shared" si="7853"/>
        <v>0.0070</v>
      </c>
    </row>
    <row r="3935" s="1" customFormat="1" spans="1:21">
      <c r="A3935" s="1" t="str">
        <f>"4601992081229"</f>
        <v>4601992081229</v>
      </c>
      <c r="B3935" s="1" t="s">
        <v>3958</v>
      </c>
      <c r="C3935" s="1" t="s">
        <v>24</v>
      </c>
      <c r="D3935" s="1" t="str">
        <f t="shared" si="7825"/>
        <v>2021</v>
      </c>
      <c r="E3935" s="1" t="str">
        <f t="shared" ref="E3935:P3935" si="7863">"0"</f>
        <v>0</v>
      </c>
      <c r="F3935" s="1" t="str">
        <f t="shared" si="7863"/>
        <v>0</v>
      </c>
      <c r="G3935" s="1" t="str">
        <f t="shared" si="7863"/>
        <v>0</v>
      </c>
      <c r="H3935" s="1" t="str">
        <f t="shared" si="7863"/>
        <v>0</v>
      </c>
      <c r="I3935" s="1" t="str">
        <f t="shared" si="7863"/>
        <v>0</v>
      </c>
      <c r="J3935" s="1" t="str">
        <f t="shared" si="7863"/>
        <v>0</v>
      </c>
      <c r="K3935" s="1" t="str">
        <f t="shared" si="7863"/>
        <v>0</v>
      </c>
      <c r="L3935" s="1" t="str">
        <f t="shared" si="7863"/>
        <v>0</v>
      </c>
      <c r="M3935" s="1" t="str">
        <f t="shared" si="7863"/>
        <v>0</v>
      </c>
      <c r="N3935" s="1" t="str">
        <f t="shared" si="7863"/>
        <v>0</v>
      </c>
      <c r="O3935" s="1" t="str">
        <f t="shared" si="7863"/>
        <v>0</v>
      </c>
      <c r="P3935" s="1" t="str">
        <f t="shared" si="7863"/>
        <v>0</v>
      </c>
      <c r="Q3935" s="1" t="str">
        <f t="shared" si="7827"/>
        <v>0.0070</v>
      </c>
      <c r="R3935" s="1" t="s">
        <v>25</v>
      </c>
      <c r="T3935" s="1" t="str">
        <f t="shared" si="7828"/>
        <v>0</v>
      </c>
      <c r="U3935" s="1" t="str">
        <f t="shared" si="7853"/>
        <v>0.0070</v>
      </c>
    </row>
    <row r="3936" s="1" customFormat="1" spans="1:21">
      <c r="A3936" s="1" t="str">
        <f>"4601992081367"</f>
        <v>4601992081367</v>
      </c>
      <c r="B3936" s="1" t="s">
        <v>3959</v>
      </c>
      <c r="C3936" s="1" t="s">
        <v>24</v>
      </c>
      <c r="D3936" s="1" t="str">
        <f t="shared" si="7825"/>
        <v>2021</v>
      </c>
      <c r="E3936" s="1" t="str">
        <f t="shared" ref="E3936:P3936" si="7864">"0"</f>
        <v>0</v>
      </c>
      <c r="F3936" s="1" t="str">
        <f t="shared" si="7864"/>
        <v>0</v>
      </c>
      <c r="G3936" s="1" t="str">
        <f t="shared" si="7864"/>
        <v>0</v>
      </c>
      <c r="H3936" s="1" t="str">
        <f t="shared" si="7864"/>
        <v>0</v>
      </c>
      <c r="I3936" s="1" t="str">
        <f t="shared" si="7864"/>
        <v>0</v>
      </c>
      <c r="J3936" s="1" t="str">
        <f t="shared" si="7864"/>
        <v>0</v>
      </c>
      <c r="K3936" s="1" t="str">
        <f t="shared" si="7864"/>
        <v>0</v>
      </c>
      <c r="L3936" s="1" t="str">
        <f t="shared" si="7864"/>
        <v>0</v>
      </c>
      <c r="M3936" s="1" t="str">
        <f t="shared" si="7864"/>
        <v>0</v>
      </c>
      <c r="N3936" s="1" t="str">
        <f t="shared" si="7864"/>
        <v>0</v>
      </c>
      <c r="O3936" s="1" t="str">
        <f t="shared" si="7864"/>
        <v>0</v>
      </c>
      <c r="P3936" s="1" t="str">
        <f t="shared" si="7864"/>
        <v>0</v>
      </c>
      <c r="Q3936" s="1" t="str">
        <f t="shared" si="7827"/>
        <v>0.0070</v>
      </c>
      <c r="R3936" s="1" t="s">
        <v>25</v>
      </c>
      <c r="T3936" s="1" t="str">
        <f t="shared" si="7828"/>
        <v>0</v>
      </c>
      <c r="U3936" s="1" t="str">
        <f t="shared" si="7853"/>
        <v>0.0070</v>
      </c>
    </row>
    <row r="3937" s="1" customFormat="1" spans="1:21">
      <c r="A3937" s="1" t="str">
        <f>"4601992081183"</f>
        <v>4601992081183</v>
      </c>
      <c r="B3937" s="1" t="s">
        <v>3960</v>
      </c>
      <c r="C3937" s="1" t="s">
        <v>24</v>
      </c>
      <c r="D3937" s="1" t="str">
        <f t="shared" si="7825"/>
        <v>2021</v>
      </c>
      <c r="E3937" s="1" t="str">
        <f t="shared" ref="E3937:I3937" si="7865">"0"</f>
        <v>0</v>
      </c>
      <c r="F3937" s="1" t="str">
        <f t="shared" si="7865"/>
        <v>0</v>
      </c>
      <c r="G3937" s="1" t="str">
        <f t="shared" si="7865"/>
        <v>0</v>
      </c>
      <c r="H3937" s="1" t="str">
        <f t="shared" si="7865"/>
        <v>0</v>
      </c>
      <c r="I3937" s="1" t="str">
        <f t="shared" si="7865"/>
        <v>0</v>
      </c>
      <c r="J3937" s="1" t="str">
        <f>"2"</f>
        <v>2</v>
      </c>
      <c r="K3937" s="1" t="str">
        <f t="shared" ref="K3937:P3937" si="7866">"0"</f>
        <v>0</v>
      </c>
      <c r="L3937" s="1" t="str">
        <f t="shared" si="7866"/>
        <v>0</v>
      </c>
      <c r="M3937" s="1" t="str">
        <f t="shared" si="7866"/>
        <v>0</v>
      </c>
      <c r="N3937" s="1" t="str">
        <f t="shared" si="7866"/>
        <v>0</v>
      </c>
      <c r="O3937" s="1" t="str">
        <f t="shared" si="7866"/>
        <v>0</v>
      </c>
      <c r="P3937" s="1" t="str">
        <f t="shared" si="7866"/>
        <v>0</v>
      </c>
      <c r="Q3937" s="1" t="str">
        <f t="shared" si="7827"/>
        <v>0.0070</v>
      </c>
      <c r="R3937" s="1" t="s">
        <v>25</v>
      </c>
      <c r="T3937" s="1" t="str">
        <f t="shared" si="7828"/>
        <v>0</v>
      </c>
      <c r="U3937" s="1" t="str">
        <f t="shared" si="7853"/>
        <v>0.0070</v>
      </c>
    </row>
    <row r="3938" s="1" customFormat="1" spans="1:21">
      <c r="A3938" s="1" t="str">
        <f>"4601992081385"</f>
        <v>4601992081385</v>
      </c>
      <c r="B3938" s="1" t="s">
        <v>3961</v>
      </c>
      <c r="C3938" s="1" t="s">
        <v>24</v>
      </c>
      <c r="D3938" s="1" t="str">
        <f t="shared" si="7825"/>
        <v>2021</v>
      </c>
      <c r="E3938" s="1" t="str">
        <f t="shared" ref="E3938:P3938" si="7867">"0"</f>
        <v>0</v>
      </c>
      <c r="F3938" s="1" t="str">
        <f t="shared" si="7867"/>
        <v>0</v>
      </c>
      <c r="G3938" s="1" t="str">
        <f t="shared" si="7867"/>
        <v>0</v>
      </c>
      <c r="H3938" s="1" t="str">
        <f t="shared" si="7867"/>
        <v>0</v>
      </c>
      <c r="I3938" s="1" t="str">
        <f t="shared" si="7867"/>
        <v>0</v>
      </c>
      <c r="J3938" s="1" t="str">
        <f t="shared" si="7867"/>
        <v>0</v>
      </c>
      <c r="K3938" s="1" t="str">
        <f t="shared" si="7867"/>
        <v>0</v>
      </c>
      <c r="L3938" s="1" t="str">
        <f t="shared" si="7867"/>
        <v>0</v>
      </c>
      <c r="M3938" s="1" t="str">
        <f t="shared" si="7867"/>
        <v>0</v>
      </c>
      <c r="N3938" s="1" t="str">
        <f t="shared" si="7867"/>
        <v>0</v>
      </c>
      <c r="O3938" s="1" t="str">
        <f t="shared" si="7867"/>
        <v>0</v>
      </c>
      <c r="P3938" s="1" t="str">
        <f t="shared" si="7867"/>
        <v>0</v>
      </c>
      <c r="Q3938" s="1" t="str">
        <f t="shared" si="7827"/>
        <v>0.0070</v>
      </c>
      <c r="R3938" s="1" t="s">
        <v>25</v>
      </c>
      <c r="T3938" s="1" t="str">
        <f t="shared" si="7828"/>
        <v>0</v>
      </c>
      <c r="U3938" s="1" t="str">
        <f t="shared" si="7853"/>
        <v>0.0070</v>
      </c>
    </row>
    <row r="3939" s="1" customFormat="1" spans="1:21">
      <c r="A3939" s="1" t="str">
        <f>"4601992081435"</f>
        <v>4601992081435</v>
      </c>
      <c r="B3939" s="1" t="s">
        <v>3962</v>
      </c>
      <c r="C3939" s="1" t="s">
        <v>24</v>
      </c>
      <c r="D3939" s="1" t="str">
        <f t="shared" si="7825"/>
        <v>2021</v>
      </c>
      <c r="E3939" s="1" t="str">
        <f t="shared" ref="E3939:P3939" si="7868">"0"</f>
        <v>0</v>
      </c>
      <c r="F3939" s="1" t="str">
        <f t="shared" si="7868"/>
        <v>0</v>
      </c>
      <c r="G3939" s="1" t="str">
        <f t="shared" si="7868"/>
        <v>0</v>
      </c>
      <c r="H3939" s="1" t="str">
        <f t="shared" si="7868"/>
        <v>0</v>
      </c>
      <c r="I3939" s="1" t="str">
        <f t="shared" si="7868"/>
        <v>0</v>
      </c>
      <c r="J3939" s="1" t="str">
        <f t="shared" si="7868"/>
        <v>0</v>
      </c>
      <c r="K3939" s="1" t="str">
        <f t="shared" si="7868"/>
        <v>0</v>
      </c>
      <c r="L3939" s="1" t="str">
        <f t="shared" si="7868"/>
        <v>0</v>
      </c>
      <c r="M3939" s="1" t="str">
        <f t="shared" si="7868"/>
        <v>0</v>
      </c>
      <c r="N3939" s="1" t="str">
        <f t="shared" si="7868"/>
        <v>0</v>
      </c>
      <c r="O3939" s="1" t="str">
        <f t="shared" si="7868"/>
        <v>0</v>
      </c>
      <c r="P3939" s="1" t="str">
        <f t="shared" si="7868"/>
        <v>0</v>
      </c>
      <c r="Q3939" s="1" t="str">
        <f t="shared" si="7827"/>
        <v>0.0070</v>
      </c>
      <c r="R3939" s="1" t="s">
        <v>25</v>
      </c>
      <c r="T3939" s="1" t="str">
        <f t="shared" si="7828"/>
        <v>0</v>
      </c>
      <c r="U3939" s="1" t="str">
        <f t="shared" si="7853"/>
        <v>0.0070</v>
      </c>
    </row>
    <row r="3940" s="1" customFormat="1" spans="1:21">
      <c r="A3940" s="1" t="str">
        <f>"4601992081543"</f>
        <v>4601992081543</v>
      </c>
      <c r="B3940" s="1" t="s">
        <v>3963</v>
      </c>
      <c r="C3940" s="1" t="s">
        <v>24</v>
      </c>
      <c r="D3940" s="1" t="str">
        <f t="shared" si="7825"/>
        <v>2021</v>
      </c>
      <c r="E3940" s="1" t="str">
        <f t="shared" ref="E3940:P3940" si="7869">"0"</f>
        <v>0</v>
      </c>
      <c r="F3940" s="1" t="str">
        <f t="shared" si="7869"/>
        <v>0</v>
      </c>
      <c r="G3940" s="1" t="str">
        <f t="shared" si="7869"/>
        <v>0</v>
      </c>
      <c r="H3940" s="1" t="str">
        <f t="shared" si="7869"/>
        <v>0</v>
      </c>
      <c r="I3940" s="1" t="str">
        <f t="shared" si="7869"/>
        <v>0</v>
      </c>
      <c r="J3940" s="1" t="str">
        <f t="shared" si="7869"/>
        <v>0</v>
      </c>
      <c r="K3940" s="1" t="str">
        <f t="shared" si="7869"/>
        <v>0</v>
      </c>
      <c r="L3940" s="1" t="str">
        <f t="shared" si="7869"/>
        <v>0</v>
      </c>
      <c r="M3940" s="1" t="str">
        <f t="shared" si="7869"/>
        <v>0</v>
      </c>
      <c r="N3940" s="1" t="str">
        <f t="shared" si="7869"/>
        <v>0</v>
      </c>
      <c r="O3940" s="1" t="str">
        <f t="shared" si="7869"/>
        <v>0</v>
      </c>
      <c r="P3940" s="1" t="str">
        <f t="shared" si="7869"/>
        <v>0</v>
      </c>
      <c r="Q3940" s="1" t="str">
        <f t="shared" si="7827"/>
        <v>0.0070</v>
      </c>
      <c r="R3940" s="1" t="s">
        <v>25</v>
      </c>
      <c r="T3940" s="1" t="str">
        <f t="shared" si="7828"/>
        <v>0</v>
      </c>
      <c r="U3940" s="1" t="str">
        <f t="shared" si="7853"/>
        <v>0.0070</v>
      </c>
    </row>
    <row r="3941" s="1" customFormat="1" spans="1:21">
      <c r="A3941" s="1" t="str">
        <f>"4601992081434"</f>
        <v>4601992081434</v>
      </c>
      <c r="B3941" s="1" t="s">
        <v>3964</v>
      </c>
      <c r="C3941" s="1" t="s">
        <v>24</v>
      </c>
      <c r="D3941" s="1" t="str">
        <f t="shared" si="7825"/>
        <v>2021</v>
      </c>
      <c r="E3941" s="1" t="str">
        <f t="shared" ref="E3941:I3941" si="7870">"0"</f>
        <v>0</v>
      </c>
      <c r="F3941" s="1" t="str">
        <f t="shared" si="7870"/>
        <v>0</v>
      </c>
      <c r="G3941" s="1" t="str">
        <f t="shared" si="7870"/>
        <v>0</v>
      </c>
      <c r="H3941" s="1" t="str">
        <f t="shared" si="7870"/>
        <v>0</v>
      </c>
      <c r="I3941" s="1" t="str">
        <f t="shared" si="7870"/>
        <v>0</v>
      </c>
      <c r="J3941" s="1" t="str">
        <f>"1"</f>
        <v>1</v>
      </c>
      <c r="K3941" s="1" t="str">
        <f t="shared" ref="K3941:P3941" si="7871">"0"</f>
        <v>0</v>
      </c>
      <c r="L3941" s="1" t="str">
        <f t="shared" si="7871"/>
        <v>0</v>
      </c>
      <c r="M3941" s="1" t="str">
        <f t="shared" si="7871"/>
        <v>0</v>
      </c>
      <c r="N3941" s="1" t="str">
        <f t="shared" si="7871"/>
        <v>0</v>
      </c>
      <c r="O3941" s="1" t="str">
        <f t="shared" si="7871"/>
        <v>0</v>
      </c>
      <c r="P3941" s="1" t="str">
        <f t="shared" si="7871"/>
        <v>0</v>
      </c>
      <c r="Q3941" s="1" t="str">
        <f t="shared" si="7827"/>
        <v>0.0070</v>
      </c>
      <c r="R3941" s="1" t="s">
        <v>25</v>
      </c>
      <c r="T3941" s="1" t="str">
        <f t="shared" si="7828"/>
        <v>0</v>
      </c>
      <c r="U3941" s="1" t="str">
        <f t="shared" si="7853"/>
        <v>0.0070</v>
      </c>
    </row>
    <row r="3942" s="1" customFormat="1" spans="1:21">
      <c r="A3942" s="1" t="str">
        <f>"4601992081618"</f>
        <v>4601992081618</v>
      </c>
      <c r="B3942" s="1" t="s">
        <v>3965</v>
      </c>
      <c r="C3942" s="1" t="s">
        <v>24</v>
      </c>
      <c r="D3942" s="1" t="str">
        <f t="shared" si="7825"/>
        <v>2021</v>
      </c>
      <c r="E3942" s="1" t="str">
        <f t="shared" ref="E3942:P3942" si="7872">"0"</f>
        <v>0</v>
      </c>
      <c r="F3942" s="1" t="str">
        <f t="shared" si="7872"/>
        <v>0</v>
      </c>
      <c r="G3942" s="1" t="str">
        <f t="shared" si="7872"/>
        <v>0</v>
      </c>
      <c r="H3942" s="1" t="str">
        <f t="shared" si="7872"/>
        <v>0</v>
      </c>
      <c r="I3942" s="1" t="str">
        <f t="shared" si="7872"/>
        <v>0</v>
      </c>
      <c r="J3942" s="1" t="str">
        <f t="shared" si="7872"/>
        <v>0</v>
      </c>
      <c r="K3942" s="1" t="str">
        <f t="shared" si="7872"/>
        <v>0</v>
      </c>
      <c r="L3942" s="1" t="str">
        <f t="shared" si="7872"/>
        <v>0</v>
      </c>
      <c r="M3942" s="1" t="str">
        <f t="shared" si="7872"/>
        <v>0</v>
      </c>
      <c r="N3942" s="1" t="str">
        <f t="shared" si="7872"/>
        <v>0</v>
      </c>
      <c r="O3942" s="1" t="str">
        <f t="shared" si="7872"/>
        <v>0</v>
      </c>
      <c r="P3942" s="1" t="str">
        <f t="shared" si="7872"/>
        <v>0</v>
      </c>
      <c r="Q3942" s="1" t="str">
        <f t="shared" si="7827"/>
        <v>0.0070</v>
      </c>
      <c r="R3942" s="1" t="s">
        <v>25</v>
      </c>
      <c r="T3942" s="1" t="str">
        <f t="shared" si="7828"/>
        <v>0</v>
      </c>
      <c r="U3942" s="1" t="str">
        <f t="shared" si="7853"/>
        <v>0.0070</v>
      </c>
    </row>
    <row r="3943" s="1" customFormat="1" spans="1:21">
      <c r="A3943" s="1" t="str">
        <f>"4601992081616"</f>
        <v>4601992081616</v>
      </c>
      <c r="B3943" s="1" t="s">
        <v>3966</v>
      </c>
      <c r="C3943" s="1" t="s">
        <v>24</v>
      </c>
      <c r="D3943" s="1" t="str">
        <f t="shared" si="7825"/>
        <v>2021</v>
      </c>
      <c r="E3943" s="1" t="str">
        <f t="shared" ref="E3943:P3943" si="7873">"0"</f>
        <v>0</v>
      </c>
      <c r="F3943" s="1" t="str">
        <f t="shared" si="7873"/>
        <v>0</v>
      </c>
      <c r="G3943" s="1" t="str">
        <f t="shared" si="7873"/>
        <v>0</v>
      </c>
      <c r="H3943" s="1" t="str">
        <f t="shared" si="7873"/>
        <v>0</v>
      </c>
      <c r="I3943" s="1" t="str">
        <f t="shared" si="7873"/>
        <v>0</v>
      </c>
      <c r="J3943" s="1" t="str">
        <f t="shared" si="7873"/>
        <v>0</v>
      </c>
      <c r="K3943" s="1" t="str">
        <f t="shared" si="7873"/>
        <v>0</v>
      </c>
      <c r="L3943" s="1" t="str">
        <f t="shared" si="7873"/>
        <v>0</v>
      </c>
      <c r="M3943" s="1" t="str">
        <f t="shared" si="7873"/>
        <v>0</v>
      </c>
      <c r="N3943" s="1" t="str">
        <f t="shared" si="7873"/>
        <v>0</v>
      </c>
      <c r="O3943" s="1" t="str">
        <f t="shared" si="7873"/>
        <v>0</v>
      </c>
      <c r="P3943" s="1" t="str">
        <f t="shared" si="7873"/>
        <v>0</v>
      </c>
      <c r="Q3943" s="1" t="str">
        <f t="shared" si="7827"/>
        <v>0.0070</v>
      </c>
      <c r="R3943" s="1" t="s">
        <v>25</v>
      </c>
      <c r="T3943" s="1" t="str">
        <f t="shared" si="7828"/>
        <v>0</v>
      </c>
      <c r="U3943" s="1" t="str">
        <f t="shared" si="7853"/>
        <v>0.0070</v>
      </c>
    </row>
    <row r="3944" s="1" customFormat="1" spans="1:21">
      <c r="A3944" s="1" t="str">
        <f>"4601992081576"</f>
        <v>4601992081576</v>
      </c>
      <c r="B3944" s="1" t="s">
        <v>3967</v>
      </c>
      <c r="C3944" s="1" t="s">
        <v>24</v>
      </c>
      <c r="D3944" s="1" t="str">
        <f t="shared" si="7825"/>
        <v>2021</v>
      </c>
      <c r="E3944" s="1" t="str">
        <f>"48.36"</f>
        <v>48.36</v>
      </c>
      <c r="F3944" s="1" t="str">
        <f t="shared" ref="F3944:I3944" si="7874">"0"</f>
        <v>0</v>
      </c>
      <c r="G3944" s="1" t="str">
        <f t="shared" si="7874"/>
        <v>0</v>
      </c>
      <c r="H3944" s="1" t="str">
        <f t="shared" si="7874"/>
        <v>0</v>
      </c>
      <c r="I3944" s="1" t="str">
        <f t="shared" si="7874"/>
        <v>0</v>
      </c>
      <c r="J3944" s="1" t="str">
        <f>"4"</f>
        <v>4</v>
      </c>
      <c r="K3944" s="1" t="str">
        <f t="shared" ref="K3944:P3944" si="7875">"0"</f>
        <v>0</v>
      </c>
      <c r="L3944" s="1" t="str">
        <f t="shared" si="7875"/>
        <v>0</v>
      </c>
      <c r="M3944" s="1" t="str">
        <f t="shared" si="7875"/>
        <v>0</v>
      </c>
      <c r="N3944" s="1" t="str">
        <f t="shared" si="7875"/>
        <v>0</v>
      </c>
      <c r="O3944" s="1" t="str">
        <f t="shared" si="7875"/>
        <v>0</v>
      </c>
      <c r="P3944" s="1" t="str">
        <f t="shared" si="7875"/>
        <v>0</v>
      </c>
      <c r="Q3944" s="1" t="str">
        <f t="shared" si="7827"/>
        <v>0.0070</v>
      </c>
      <c r="R3944" s="1" t="s">
        <v>29</v>
      </c>
      <c r="S3944" s="1">
        <v>-0.0014</v>
      </c>
      <c r="T3944" s="1" t="str">
        <f t="shared" si="7828"/>
        <v>0</v>
      </c>
      <c r="U3944" s="1" t="str">
        <f>"0.0056"</f>
        <v>0.0056</v>
      </c>
    </row>
    <row r="3945" s="1" customFormat="1" spans="1:21">
      <c r="A3945" s="1" t="str">
        <f>"4601992081646"</f>
        <v>4601992081646</v>
      </c>
      <c r="B3945" s="1" t="s">
        <v>3968</v>
      </c>
      <c r="C3945" s="1" t="s">
        <v>24</v>
      </c>
      <c r="D3945" s="1" t="str">
        <f t="shared" si="7825"/>
        <v>2021</v>
      </c>
      <c r="E3945" s="1" t="str">
        <f t="shared" ref="E3945:P3945" si="7876">"0"</f>
        <v>0</v>
      </c>
      <c r="F3945" s="1" t="str">
        <f t="shared" si="7876"/>
        <v>0</v>
      </c>
      <c r="G3945" s="1" t="str">
        <f t="shared" si="7876"/>
        <v>0</v>
      </c>
      <c r="H3945" s="1" t="str">
        <f t="shared" si="7876"/>
        <v>0</v>
      </c>
      <c r="I3945" s="1" t="str">
        <f t="shared" si="7876"/>
        <v>0</v>
      </c>
      <c r="J3945" s="1" t="str">
        <f t="shared" si="7876"/>
        <v>0</v>
      </c>
      <c r="K3945" s="1" t="str">
        <f t="shared" si="7876"/>
        <v>0</v>
      </c>
      <c r="L3945" s="1" t="str">
        <f t="shared" si="7876"/>
        <v>0</v>
      </c>
      <c r="M3945" s="1" t="str">
        <f t="shared" si="7876"/>
        <v>0</v>
      </c>
      <c r="N3945" s="1" t="str">
        <f t="shared" si="7876"/>
        <v>0</v>
      </c>
      <c r="O3945" s="1" t="str">
        <f t="shared" si="7876"/>
        <v>0</v>
      </c>
      <c r="P3945" s="1" t="str">
        <f t="shared" si="7876"/>
        <v>0</v>
      </c>
      <c r="Q3945" s="1" t="str">
        <f t="shared" si="7827"/>
        <v>0.0070</v>
      </c>
      <c r="R3945" s="1" t="s">
        <v>25</v>
      </c>
      <c r="T3945" s="1" t="str">
        <f t="shared" si="7828"/>
        <v>0</v>
      </c>
      <c r="U3945" s="1" t="str">
        <f t="shared" ref="U3945:U3977" si="7877">"0.0070"</f>
        <v>0.0070</v>
      </c>
    </row>
    <row r="3946" s="1" customFormat="1" spans="1:21">
      <c r="A3946" s="1" t="str">
        <f>"4601992081626"</f>
        <v>4601992081626</v>
      </c>
      <c r="B3946" s="1" t="s">
        <v>3969</v>
      </c>
      <c r="C3946" s="1" t="s">
        <v>24</v>
      </c>
      <c r="D3946" s="1" t="str">
        <f t="shared" si="7825"/>
        <v>2021</v>
      </c>
      <c r="E3946" s="1" t="str">
        <f t="shared" ref="E3946:I3946" si="7878">"0"</f>
        <v>0</v>
      </c>
      <c r="F3946" s="1" t="str">
        <f t="shared" si="7878"/>
        <v>0</v>
      </c>
      <c r="G3946" s="1" t="str">
        <f t="shared" si="7878"/>
        <v>0</v>
      </c>
      <c r="H3946" s="1" t="str">
        <f t="shared" si="7878"/>
        <v>0</v>
      </c>
      <c r="I3946" s="1" t="str">
        <f t="shared" si="7878"/>
        <v>0</v>
      </c>
      <c r="J3946" s="1" t="str">
        <f>"2"</f>
        <v>2</v>
      </c>
      <c r="K3946" s="1" t="str">
        <f t="shared" ref="K3946:P3946" si="7879">"0"</f>
        <v>0</v>
      </c>
      <c r="L3946" s="1" t="str">
        <f t="shared" si="7879"/>
        <v>0</v>
      </c>
      <c r="M3946" s="1" t="str">
        <f t="shared" si="7879"/>
        <v>0</v>
      </c>
      <c r="N3946" s="1" t="str">
        <f t="shared" si="7879"/>
        <v>0</v>
      </c>
      <c r="O3946" s="1" t="str">
        <f t="shared" si="7879"/>
        <v>0</v>
      </c>
      <c r="P3946" s="1" t="str">
        <f t="shared" si="7879"/>
        <v>0</v>
      </c>
      <c r="Q3946" s="1" t="str">
        <f t="shared" si="7827"/>
        <v>0.0070</v>
      </c>
      <c r="R3946" s="1" t="s">
        <v>25</v>
      </c>
      <c r="T3946" s="1" t="str">
        <f t="shared" si="7828"/>
        <v>0</v>
      </c>
      <c r="U3946" s="1" t="str">
        <f t="shared" si="7877"/>
        <v>0.0070</v>
      </c>
    </row>
    <row r="3947" s="1" customFormat="1" spans="1:21">
      <c r="A3947" s="1" t="str">
        <f>"4601992081670"</f>
        <v>4601992081670</v>
      </c>
      <c r="B3947" s="1" t="s">
        <v>3970</v>
      </c>
      <c r="C3947" s="1" t="s">
        <v>24</v>
      </c>
      <c r="D3947" s="1" t="str">
        <f t="shared" si="7825"/>
        <v>2021</v>
      </c>
      <c r="E3947" s="1" t="str">
        <f>"25.90"</f>
        <v>25.90</v>
      </c>
      <c r="F3947" s="1" t="str">
        <f t="shared" ref="F3947:I3947" si="7880">"0"</f>
        <v>0</v>
      </c>
      <c r="G3947" s="1" t="str">
        <f t="shared" si="7880"/>
        <v>0</v>
      </c>
      <c r="H3947" s="1" t="str">
        <f t="shared" si="7880"/>
        <v>0</v>
      </c>
      <c r="I3947" s="1" t="str">
        <f t="shared" si="7880"/>
        <v>0</v>
      </c>
      <c r="J3947" s="1" t="str">
        <f>"2"</f>
        <v>2</v>
      </c>
      <c r="K3947" s="1" t="str">
        <f t="shared" ref="K3947:P3947" si="7881">"0"</f>
        <v>0</v>
      </c>
      <c r="L3947" s="1" t="str">
        <f t="shared" si="7881"/>
        <v>0</v>
      </c>
      <c r="M3947" s="1" t="str">
        <f t="shared" si="7881"/>
        <v>0</v>
      </c>
      <c r="N3947" s="1" t="str">
        <f t="shared" si="7881"/>
        <v>0</v>
      </c>
      <c r="O3947" s="1" t="str">
        <f t="shared" si="7881"/>
        <v>0</v>
      </c>
      <c r="P3947" s="1" t="str">
        <f t="shared" si="7881"/>
        <v>0</v>
      </c>
      <c r="Q3947" s="1" t="str">
        <f t="shared" si="7827"/>
        <v>0.0070</v>
      </c>
      <c r="R3947" s="1" t="s">
        <v>29</v>
      </c>
      <c r="S3947" s="1">
        <v>-0.0014</v>
      </c>
      <c r="T3947" s="1" t="str">
        <f t="shared" si="7828"/>
        <v>0</v>
      </c>
      <c r="U3947" s="1" t="str">
        <f>"0.0056"</f>
        <v>0.0056</v>
      </c>
    </row>
    <row r="3948" s="1" customFormat="1" spans="1:21">
      <c r="A3948" s="1" t="str">
        <f>"4601992081760"</f>
        <v>4601992081760</v>
      </c>
      <c r="B3948" s="1" t="s">
        <v>3971</v>
      </c>
      <c r="C3948" s="1" t="s">
        <v>24</v>
      </c>
      <c r="D3948" s="1" t="str">
        <f t="shared" si="7825"/>
        <v>2021</v>
      </c>
      <c r="E3948" s="1" t="str">
        <f t="shared" ref="E3948:P3948" si="7882">"0"</f>
        <v>0</v>
      </c>
      <c r="F3948" s="1" t="str">
        <f t="shared" si="7882"/>
        <v>0</v>
      </c>
      <c r="G3948" s="1" t="str">
        <f t="shared" si="7882"/>
        <v>0</v>
      </c>
      <c r="H3948" s="1" t="str">
        <f t="shared" si="7882"/>
        <v>0</v>
      </c>
      <c r="I3948" s="1" t="str">
        <f t="shared" si="7882"/>
        <v>0</v>
      </c>
      <c r="J3948" s="1" t="str">
        <f t="shared" si="7882"/>
        <v>0</v>
      </c>
      <c r="K3948" s="1" t="str">
        <f t="shared" si="7882"/>
        <v>0</v>
      </c>
      <c r="L3948" s="1" t="str">
        <f t="shared" si="7882"/>
        <v>0</v>
      </c>
      <c r="M3948" s="1" t="str">
        <f t="shared" si="7882"/>
        <v>0</v>
      </c>
      <c r="N3948" s="1" t="str">
        <f t="shared" si="7882"/>
        <v>0</v>
      </c>
      <c r="O3948" s="1" t="str">
        <f t="shared" si="7882"/>
        <v>0</v>
      </c>
      <c r="P3948" s="1" t="str">
        <f t="shared" si="7882"/>
        <v>0</v>
      </c>
      <c r="Q3948" s="1" t="str">
        <f t="shared" si="7827"/>
        <v>0.0070</v>
      </c>
      <c r="R3948" s="1" t="s">
        <v>25</v>
      </c>
      <c r="T3948" s="1" t="str">
        <f t="shared" si="7828"/>
        <v>0</v>
      </c>
      <c r="U3948" s="1" t="str">
        <f t="shared" si="7877"/>
        <v>0.0070</v>
      </c>
    </row>
    <row r="3949" s="1" customFormat="1" spans="1:21">
      <c r="A3949" s="1" t="str">
        <f>"4601992081773"</f>
        <v>4601992081773</v>
      </c>
      <c r="B3949" s="1" t="s">
        <v>3972</v>
      </c>
      <c r="C3949" s="1" t="s">
        <v>24</v>
      </c>
      <c r="D3949" s="1" t="str">
        <f t="shared" si="7825"/>
        <v>2021</v>
      </c>
      <c r="E3949" s="1" t="str">
        <f t="shared" ref="E3949:P3949" si="7883">"0"</f>
        <v>0</v>
      </c>
      <c r="F3949" s="1" t="str">
        <f t="shared" si="7883"/>
        <v>0</v>
      </c>
      <c r="G3949" s="1" t="str">
        <f t="shared" si="7883"/>
        <v>0</v>
      </c>
      <c r="H3949" s="1" t="str">
        <f t="shared" si="7883"/>
        <v>0</v>
      </c>
      <c r="I3949" s="1" t="str">
        <f t="shared" si="7883"/>
        <v>0</v>
      </c>
      <c r="J3949" s="1" t="str">
        <f t="shared" si="7883"/>
        <v>0</v>
      </c>
      <c r="K3949" s="1" t="str">
        <f t="shared" si="7883"/>
        <v>0</v>
      </c>
      <c r="L3949" s="1" t="str">
        <f t="shared" si="7883"/>
        <v>0</v>
      </c>
      <c r="M3949" s="1" t="str">
        <f t="shared" si="7883"/>
        <v>0</v>
      </c>
      <c r="N3949" s="1" t="str">
        <f t="shared" si="7883"/>
        <v>0</v>
      </c>
      <c r="O3949" s="1" t="str">
        <f t="shared" si="7883"/>
        <v>0</v>
      </c>
      <c r="P3949" s="1" t="str">
        <f t="shared" si="7883"/>
        <v>0</v>
      </c>
      <c r="Q3949" s="1" t="str">
        <f t="shared" si="7827"/>
        <v>0.0070</v>
      </c>
      <c r="R3949" s="1" t="s">
        <v>25</v>
      </c>
      <c r="T3949" s="1" t="str">
        <f t="shared" si="7828"/>
        <v>0</v>
      </c>
      <c r="U3949" s="1" t="str">
        <f t="shared" si="7877"/>
        <v>0.0070</v>
      </c>
    </row>
    <row r="3950" s="1" customFormat="1" spans="1:21">
      <c r="A3950" s="1" t="str">
        <f>"4601992081734"</f>
        <v>4601992081734</v>
      </c>
      <c r="B3950" s="1" t="s">
        <v>3973</v>
      </c>
      <c r="C3950" s="1" t="s">
        <v>24</v>
      </c>
      <c r="D3950" s="1" t="str">
        <f t="shared" si="7825"/>
        <v>2021</v>
      </c>
      <c r="E3950" s="1" t="str">
        <f t="shared" ref="E3950:I3950" si="7884">"0"</f>
        <v>0</v>
      </c>
      <c r="F3950" s="1" t="str">
        <f t="shared" si="7884"/>
        <v>0</v>
      </c>
      <c r="G3950" s="1" t="str">
        <f t="shared" si="7884"/>
        <v>0</v>
      </c>
      <c r="H3950" s="1" t="str">
        <f t="shared" si="7884"/>
        <v>0</v>
      </c>
      <c r="I3950" s="1" t="str">
        <f t="shared" si="7884"/>
        <v>0</v>
      </c>
      <c r="J3950" s="1" t="str">
        <f>"1"</f>
        <v>1</v>
      </c>
      <c r="K3950" s="1" t="str">
        <f t="shared" ref="K3950:P3950" si="7885">"0"</f>
        <v>0</v>
      </c>
      <c r="L3950" s="1" t="str">
        <f t="shared" si="7885"/>
        <v>0</v>
      </c>
      <c r="M3950" s="1" t="str">
        <f t="shared" si="7885"/>
        <v>0</v>
      </c>
      <c r="N3950" s="1" t="str">
        <f t="shared" si="7885"/>
        <v>0</v>
      </c>
      <c r="O3950" s="1" t="str">
        <f t="shared" si="7885"/>
        <v>0</v>
      </c>
      <c r="P3950" s="1" t="str">
        <f t="shared" si="7885"/>
        <v>0</v>
      </c>
      <c r="Q3950" s="1" t="str">
        <f t="shared" si="7827"/>
        <v>0.0070</v>
      </c>
      <c r="R3950" s="1" t="s">
        <v>25</v>
      </c>
      <c r="T3950" s="1" t="str">
        <f t="shared" si="7828"/>
        <v>0</v>
      </c>
      <c r="U3950" s="1" t="str">
        <f t="shared" si="7877"/>
        <v>0.0070</v>
      </c>
    </row>
    <row r="3951" s="1" customFormat="1" spans="1:21">
      <c r="A3951" s="1" t="str">
        <f>"4601992081776"</f>
        <v>4601992081776</v>
      </c>
      <c r="B3951" s="1" t="s">
        <v>3974</v>
      </c>
      <c r="C3951" s="1" t="s">
        <v>24</v>
      </c>
      <c r="D3951" s="1" t="str">
        <f t="shared" si="7825"/>
        <v>2021</v>
      </c>
      <c r="E3951" s="1" t="str">
        <f t="shared" ref="E3951:P3951" si="7886">"0"</f>
        <v>0</v>
      </c>
      <c r="F3951" s="1" t="str">
        <f t="shared" si="7886"/>
        <v>0</v>
      </c>
      <c r="G3951" s="1" t="str">
        <f t="shared" si="7886"/>
        <v>0</v>
      </c>
      <c r="H3951" s="1" t="str">
        <f t="shared" si="7886"/>
        <v>0</v>
      </c>
      <c r="I3951" s="1" t="str">
        <f t="shared" si="7886"/>
        <v>0</v>
      </c>
      <c r="J3951" s="1" t="str">
        <f t="shared" si="7886"/>
        <v>0</v>
      </c>
      <c r="K3951" s="1" t="str">
        <f t="shared" si="7886"/>
        <v>0</v>
      </c>
      <c r="L3951" s="1" t="str">
        <f t="shared" si="7886"/>
        <v>0</v>
      </c>
      <c r="M3951" s="1" t="str">
        <f t="shared" si="7886"/>
        <v>0</v>
      </c>
      <c r="N3951" s="1" t="str">
        <f t="shared" si="7886"/>
        <v>0</v>
      </c>
      <c r="O3951" s="1" t="str">
        <f t="shared" si="7886"/>
        <v>0</v>
      </c>
      <c r="P3951" s="1" t="str">
        <f t="shared" si="7886"/>
        <v>0</v>
      </c>
      <c r="Q3951" s="1" t="str">
        <f t="shared" si="7827"/>
        <v>0.0070</v>
      </c>
      <c r="R3951" s="1" t="s">
        <v>25</v>
      </c>
      <c r="T3951" s="1" t="str">
        <f t="shared" si="7828"/>
        <v>0</v>
      </c>
      <c r="U3951" s="1" t="str">
        <f t="shared" si="7877"/>
        <v>0.0070</v>
      </c>
    </row>
    <row r="3952" s="1" customFormat="1" spans="1:21">
      <c r="A3952" s="1" t="str">
        <f>"4601992081778"</f>
        <v>4601992081778</v>
      </c>
      <c r="B3952" s="1" t="s">
        <v>3975</v>
      </c>
      <c r="C3952" s="1" t="s">
        <v>24</v>
      </c>
      <c r="D3952" s="1" t="str">
        <f t="shared" si="7825"/>
        <v>2021</v>
      </c>
      <c r="E3952" s="1" t="str">
        <f t="shared" ref="E3952:P3952" si="7887">"0"</f>
        <v>0</v>
      </c>
      <c r="F3952" s="1" t="str">
        <f t="shared" si="7887"/>
        <v>0</v>
      </c>
      <c r="G3952" s="1" t="str">
        <f t="shared" si="7887"/>
        <v>0</v>
      </c>
      <c r="H3952" s="1" t="str">
        <f t="shared" si="7887"/>
        <v>0</v>
      </c>
      <c r="I3952" s="1" t="str">
        <f t="shared" si="7887"/>
        <v>0</v>
      </c>
      <c r="J3952" s="1" t="str">
        <f t="shared" si="7887"/>
        <v>0</v>
      </c>
      <c r="K3952" s="1" t="str">
        <f t="shared" si="7887"/>
        <v>0</v>
      </c>
      <c r="L3952" s="1" t="str">
        <f t="shared" si="7887"/>
        <v>0</v>
      </c>
      <c r="M3952" s="1" t="str">
        <f t="shared" si="7887"/>
        <v>0</v>
      </c>
      <c r="N3952" s="1" t="str">
        <f t="shared" si="7887"/>
        <v>0</v>
      </c>
      <c r="O3952" s="1" t="str">
        <f t="shared" si="7887"/>
        <v>0</v>
      </c>
      <c r="P3952" s="1" t="str">
        <f t="shared" si="7887"/>
        <v>0</v>
      </c>
      <c r="Q3952" s="1" t="str">
        <f t="shared" si="7827"/>
        <v>0.0070</v>
      </c>
      <c r="R3952" s="1" t="s">
        <v>25</v>
      </c>
      <c r="T3952" s="1" t="str">
        <f t="shared" si="7828"/>
        <v>0</v>
      </c>
      <c r="U3952" s="1" t="str">
        <f t="shared" si="7877"/>
        <v>0.0070</v>
      </c>
    </row>
    <row r="3953" s="1" customFormat="1" spans="1:21">
      <c r="A3953" s="1" t="str">
        <f>"4601992081830"</f>
        <v>4601992081830</v>
      </c>
      <c r="B3953" s="1" t="s">
        <v>3976</v>
      </c>
      <c r="C3953" s="1" t="s">
        <v>24</v>
      </c>
      <c r="D3953" s="1" t="str">
        <f t="shared" si="7825"/>
        <v>2021</v>
      </c>
      <c r="E3953" s="1" t="str">
        <f t="shared" ref="E3953:P3953" si="7888">"0"</f>
        <v>0</v>
      </c>
      <c r="F3953" s="1" t="str">
        <f t="shared" si="7888"/>
        <v>0</v>
      </c>
      <c r="G3953" s="1" t="str">
        <f t="shared" si="7888"/>
        <v>0</v>
      </c>
      <c r="H3953" s="1" t="str">
        <f t="shared" si="7888"/>
        <v>0</v>
      </c>
      <c r="I3953" s="1" t="str">
        <f t="shared" si="7888"/>
        <v>0</v>
      </c>
      <c r="J3953" s="1" t="str">
        <f t="shared" si="7888"/>
        <v>0</v>
      </c>
      <c r="K3953" s="1" t="str">
        <f t="shared" si="7888"/>
        <v>0</v>
      </c>
      <c r="L3953" s="1" t="str">
        <f t="shared" si="7888"/>
        <v>0</v>
      </c>
      <c r="M3953" s="1" t="str">
        <f t="shared" si="7888"/>
        <v>0</v>
      </c>
      <c r="N3953" s="1" t="str">
        <f t="shared" si="7888"/>
        <v>0</v>
      </c>
      <c r="O3953" s="1" t="str">
        <f t="shared" si="7888"/>
        <v>0</v>
      </c>
      <c r="P3953" s="1" t="str">
        <f t="shared" si="7888"/>
        <v>0</v>
      </c>
      <c r="Q3953" s="1" t="str">
        <f t="shared" si="7827"/>
        <v>0.0070</v>
      </c>
      <c r="R3953" s="1" t="s">
        <v>25</v>
      </c>
      <c r="T3953" s="1" t="str">
        <f t="shared" si="7828"/>
        <v>0</v>
      </c>
      <c r="U3953" s="1" t="str">
        <f t="shared" si="7877"/>
        <v>0.0070</v>
      </c>
    </row>
    <row r="3954" s="1" customFormat="1" spans="1:21">
      <c r="A3954" s="1" t="str">
        <f>"4601992081872"</f>
        <v>4601992081872</v>
      </c>
      <c r="B3954" s="1" t="s">
        <v>3977</v>
      </c>
      <c r="C3954" s="1" t="s">
        <v>24</v>
      </c>
      <c r="D3954" s="1" t="str">
        <f t="shared" si="7825"/>
        <v>2021</v>
      </c>
      <c r="E3954" s="1" t="str">
        <f t="shared" ref="E3954:P3954" si="7889">"0"</f>
        <v>0</v>
      </c>
      <c r="F3954" s="1" t="str">
        <f t="shared" si="7889"/>
        <v>0</v>
      </c>
      <c r="G3954" s="1" t="str">
        <f t="shared" si="7889"/>
        <v>0</v>
      </c>
      <c r="H3954" s="1" t="str">
        <f t="shared" si="7889"/>
        <v>0</v>
      </c>
      <c r="I3954" s="1" t="str">
        <f t="shared" si="7889"/>
        <v>0</v>
      </c>
      <c r="J3954" s="1" t="str">
        <f t="shared" si="7889"/>
        <v>0</v>
      </c>
      <c r="K3954" s="1" t="str">
        <f t="shared" si="7889"/>
        <v>0</v>
      </c>
      <c r="L3954" s="1" t="str">
        <f t="shared" si="7889"/>
        <v>0</v>
      </c>
      <c r="M3954" s="1" t="str">
        <f t="shared" si="7889"/>
        <v>0</v>
      </c>
      <c r="N3954" s="1" t="str">
        <f t="shared" si="7889"/>
        <v>0</v>
      </c>
      <c r="O3954" s="1" t="str">
        <f t="shared" si="7889"/>
        <v>0</v>
      </c>
      <c r="P3954" s="1" t="str">
        <f t="shared" si="7889"/>
        <v>0</v>
      </c>
      <c r="Q3954" s="1" t="str">
        <f t="shared" si="7827"/>
        <v>0.0070</v>
      </c>
      <c r="R3954" s="1" t="s">
        <v>25</v>
      </c>
      <c r="T3954" s="1" t="str">
        <f t="shared" si="7828"/>
        <v>0</v>
      </c>
      <c r="U3954" s="1" t="str">
        <f t="shared" si="7877"/>
        <v>0.0070</v>
      </c>
    </row>
    <row r="3955" s="1" customFormat="1" spans="1:21">
      <c r="A3955" s="1" t="str">
        <f>"4601992081892"</f>
        <v>4601992081892</v>
      </c>
      <c r="B3955" s="1" t="s">
        <v>3978</v>
      </c>
      <c r="C3955" s="1" t="s">
        <v>24</v>
      </c>
      <c r="D3955" s="1" t="str">
        <f t="shared" si="7825"/>
        <v>2021</v>
      </c>
      <c r="E3955" s="1" t="str">
        <f t="shared" ref="E3955:P3955" si="7890">"0"</f>
        <v>0</v>
      </c>
      <c r="F3955" s="1" t="str">
        <f t="shared" si="7890"/>
        <v>0</v>
      </c>
      <c r="G3955" s="1" t="str">
        <f t="shared" si="7890"/>
        <v>0</v>
      </c>
      <c r="H3955" s="1" t="str">
        <f t="shared" si="7890"/>
        <v>0</v>
      </c>
      <c r="I3955" s="1" t="str">
        <f t="shared" si="7890"/>
        <v>0</v>
      </c>
      <c r="J3955" s="1" t="str">
        <f t="shared" si="7890"/>
        <v>0</v>
      </c>
      <c r="K3955" s="1" t="str">
        <f t="shared" si="7890"/>
        <v>0</v>
      </c>
      <c r="L3955" s="1" t="str">
        <f t="shared" si="7890"/>
        <v>0</v>
      </c>
      <c r="M3955" s="1" t="str">
        <f t="shared" si="7890"/>
        <v>0</v>
      </c>
      <c r="N3955" s="1" t="str">
        <f t="shared" si="7890"/>
        <v>0</v>
      </c>
      <c r="O3955" s="1" t="str">
        <f t="shared" si="7890"/>
        <v>0</v>
      </c>
      <c r="P3955" s="1" t="str">
        <f t="shared" si="7890"/>
        <v>0</v>
      </c>
      <c r="Q3955" s="1" t="str">
        <f t="shared" si="7827"/>
        <v>0.0070</v>
      </c>
      <c r="R3955" s="1" t="s">
        <v>25</v>
      </c>
      <c r="T3955" s="1" t="str">
        <f t="shared" si="7828"/>
        <v>0</v>
      </c>
      <c r="U3955" s="1" t="str">
        <f t="shared" si="7877"/>
        <v>0.0070</v>
      </c>
    </row>
    <row r="3956" s="1" customFormat="1" spans="1:21">
      <c r="A3956" s="1" t="str">
        <f>"4601992081956"</f>
        <v>4601992081956</v>
      </c>
      <c r="B3956" s="1" t="s">
        <v>3979</v>
      </c>
      <c r="C3956" s="1" t="s">
        <v>24</v>
      </c>
      <c r="D3956" s="1" t="str">
        <f t="shared" si="7825"/>
        <v>2021</v>
      </c>
      <c r="E3956" s="1" t="str">
        <f t="shared" ref="E3956:P3956" si="7891">"0"</f>
        <v>0</v>
      </c>
      <c r="F3956" s="1" t="str">
        <f t="shared" si="7891"/>
        <v>0</v>
      </c>
      <c r="G3956" s="1" t="str">
        <f t="shared" si="7891"/>
        <v>0</v>
      </c>
      <c r="H3956" s="1" t="str">
        <f t="shared" si="7891"/>
        <v>0</v>
      </c>
      <c r="I3956" s="1" t="str">
        <f t="shared" si="7891"/>
        <v>0</v>
      </c>
      <c r="J3956" s="1" t="str">
        <f t="shared" si="7891"/>
        <v>0</v>
      </c>
      <c r="K3956" s="1" t="str">
        <f t="shared" si="7891"/>
        <v>0</v>
      </c>
      <c r="L3956" s="1" t="str">
        <f t="shared" si="7891"/>
        <v>0</v>
      </c>
      <c r="M3956" s="1" t="str">
        <f t="shared" si="7891"/>
        <v>0</v>
      </c>
      <c r="N3956" s="1" t="str">
        <f t="shared" si="7891"/>
        <v>0</v>
      </c>
      <c r="O3956" s="1" t="str">
        <f t="shared" si="7891"/>
        <v>0</v>
      </c>
      <c r="P3956" s="1" t="str">
        <f t="shared" si="7891"/>
        <v>0</v>
      </c>
      <c r="Q3956" s="1" t="str">
        <f t="shared" si="7827"/>
        <v>0.0070</v>
      </c>
      <c r="R3956" s="1" t="s">
        <v>25</v>
      </c>
      <c r="T3956" s="1" t="str">
        <f t="shared" si="7828"/>
        <v>0</v>
      </c>
      <c r="U3956" s="1" t="str">
        <f t="shared" si="7877"/>
        <v>0.0070</v>
      </c>
    </row>
    <row r="3957" s="1" customFormat="1" spans="1:21">
      <c r="A3957" s="1" t="str">
        <f>"4601992082045"</f>
        <v>4601992082045</v>
      </c>
      <c r="B3957" s="1" t="s">
        <v>3980</v>
      </c>
      <c r="C3957" s="1" t="s">
        <v>24</v>
      </c>
      <c r="D3957" s="1" t="str">
        <f t="shared" si="7825"/>
        <v>2021</v>
      </c>
      <c r="E3957" s="1" t="str">
        <f t="shared" ref="E3957:P3957" si="7892">"0"</f>
        <v>0</v>
      </c>
      <c r="F3957" s="1" t="str">
        <f t="shared" si="7892"/>
        <v>0</v>
      </c>
      <c r="G3957" s="1" t="str">
        <f t="shared" si="7892"/>
        <v>0</v>
      </c>
      <c r="H3957" s="1" t="str">
        <f t="shared" si="7892"/>
        <v>0</v>
      </c>
      <c r="I3957" s="1" t="str">
        <f t="shared" si="7892"/>
        <v>0</v>
      </c>
      <c r="J3957" s="1" t="str">
        <f t="shared" si="7892"/>
        <v>0</v>
      </c>
      <c r="K3957" s="1" t="str">
        <f t="shared" si="7892"/>
        <v>0</v>
      </c>
      <c r="L3957" s="1" t="str">
        <f t="shared" si="7892"/>
        <v>0</v>
      </c>
      <c r="M3957" s="1" t="str">
        <f t="shared" si="7892"/>
        <v>0</v>
      </c>
      <c r="N3957" s="1" t="str">
        <f t="shared" si="7892"/>
        <v>0</v>
      </c>
      <c r="O3957" s="1" t="str">
        <f t="shared" si="7892"/>
        <v>0</v>
      </c>
      <c r="P3957" s="1" t="str">
        <f t="shared" si="7892"/>
        <v>0</v>
      </c>
      <c r="Q3957" s="1" t="str">
        <f t="shared" si="7827"/>
        <v>0.0070</v>
      </c>
      <c r="R3957" s="1" t="s">
        <v>25</v>
      </c>
      <c r="T3957" s="1" t="str">
        <f t="shared" si="7828"/>
        <v>0</v>
      </c>
      <c r="U3957" s="1" t="str">
        <f t="shared" si="7877"/>
        <v>0.0070</v>
      </c>
    </row>
    <row r="3958" s="1" customFormat="1" spans="1:21">
      <c r="A3958" s="1" t="str">
        <f>"4601992082077"</f>
        <v>4601992082077</v>
      </c>
      <c r="B3958" s="1" t="s">
        <v>3981</v>
      </c>
      <c r="C3958" s="1" t="s">
        <v>24</v>
      </c>
      <c r="D3958" s="1" t="str">
        <f t="shared" si="7825"/>
        <v>2021</v>
      </c>
      <c r="E3958" s="1" t="str">
        <f t="shared" ref="E3958:P3958" si="7893">"0"</f>
        <v>0</v>
      </c>
      <c r="F3958" s="1" t="str">
        <f t="shared" si="7893"/>
        <v>0</v>
      </c>
      <c r="G3958" s="1" t="str">
        <f t="shared" si="7893"/>
        <v>0</v>
      </c>
      <c r="H3958" s="1" t="str">
        <f t="shared" si="7893"/>
        <v>0</v>
      </c>
      <c r="I3958" s="1" t="str">
        <f t="shared" si="7893"/>
        <v>0</v>
      </c>
      <c r="J3958" s="1" t="str">
        <f t="shared" si="7893"/>
        <v>0</v>
      </c>
      <c r="K3958" s="1" t="str">
        <f t="shared" si="7893"/>
        <v>0</v>
      </c>
      <c r="L3958" s="1" t="str">
        <f t="shared" si="7893"/>
        <v>0</v>
      </c>
      <c r="M3958" s="1" t="str">
        <f t="shared" si="7893"/>
        <v>0</v>
      </c>
      <c r="N3958" s="1" t="str">
        <f t="shared" si="7893"/>
        <v>0</v>
      </c>
      <c r="O3958" s="1" t="str">
        <f t="shared" si="7893"/>
        <v>0</v>
      </c>
      <c r="P3958" s="1" t="str">
        <f t="shared" si="7893"/>
        <v>0</v>
      </c>
      <c r="Q3958" s="1" t="str">
        <f t="shared" si="7827"/>
        <v>0.0070</v>
      </c>
      <c r="R3958" s="1" t="s">
        <v>25</v>
      </c>
      <c r="T3958" s="1" t="str">
        <f t="shared" si="7828"/>
        <v>0</v>
      </c>
      <c r="U3958" s="1" t="str">
        <f t="shared" si="7877"/>
        <v>0.0070</v>
      </c>
    </row>
    <row r="3959" s="1" customFormat="1" spans="1:21">
      <c r="A3959" s="1" t="str">
        <f>"4601992082111"</f>
        <v>4601992082111</v>
      </c>
      <c r="B3959" s="1" t="s">
        <v>3982</v>
      </c>
      <c r="C3959" s="1" t="s">
        <v>24</v>
      </c>
      <c r="D3959" s="1" t="str">
        <f t="shared" si="7825"/>
        <v>2021</v>
      </c>
      <c r="E3959" s="1" t="str">
        <f t="shared" ref="E3959:P3959" si="7894">"0"</f>
        <v>0</v>
      </c>
      <c r="F3959" s="1" t="str">
        <f t="shared" si="7894"/>
        <v>0</v>
      </c>
      <c r="G3959" s="1" t="str">
        <f t="shared" si="7894"/>
        <v>0</v>
      </c>
      <c r="H3959" s="1" t="str">
        <f t="shared" si="7894"/>
        <v>0</v>
      </c>
      <c r="I3959" s="1" t="str">
        <f t="shared" si="7894"/>
        <v>0</v>
      </c>
      <c r="J3959" s="1" t="str">
        <f t="shared" si="7894"/>
        <v>0</v>
      </c>
      <c r="K3959" s="1" t="str">
        <f t="shared" si="7894"/>
        <v>0</v>
      </c>
      <c r="L3959" s="1" t="str">
        <f t="shared" si="7894"/>
        <v>0</v>
      </c>
      <c r="M3959" s="1" t="str">
        <f t="shared" si="7894"/>
        <v>0</v>
      </c>
      <c r="N3959" s="1" t="str">
        <f t="shared" si="7894"/>
        <v>0</v>
      </c>
      <c r="O3959" s="1" t="str">
        <f t="shared" si="7894"/>
        <v>0</v>
      </c>
      <c r="P3959" s="1" t="str">
        <f t="shared" si="7894"/>
        <v>0</v>
      </c>
      <c r="Q3959" s="1" t="str">
        <f t="shared" si="7827"/>
        <v>0.0070</v>
      </c>
      <c r="R3959" s="1" t="s">
        <v>25</v>
      </c>
      <c r="T3959" s="1" t="str">
        <f t="shared" si="7828"/>
        <v>0</v>
      </c>
      <c r="U3959" s="1" t="str">
        <f t="shared" si="7877"/>
        <v>0.0070</v>
      </c>
    </row>
    <row r="3960" s="1" customFormat="1" spans="1:21">
      <c r="A3960" s="1" t="str">
        <f>"4601992082137"</f>
        <v>4601992082137</v>
      </c>
      <c r="B3960" s="1" t="s">
        <v>3983</v>
      </c>
      <c r="C3960" s="1" t="s">
        <v>24</v>
      </c>
      <c r="D3960" s="1" t="str">
        <f t="shared" si="7825"/>
        <v>2021</v>
      </c>
      <c r="E3960" s="1" t="str">
        <f t="shared" ref="E3960:P3960" si="7895">"0"</f>
        <v>0</v>
      </c>
      <c r="F3960" s="1" t="str">
        <f t="shared" si="7895"/>
        <v>0</v>
      </c>
      <c r="G3960" s="1" t="str">
        <f t="shared" si="7895"/>
        <v>0</v>
      </c>
      <c r="H3960" s="1" t="str">
        <f t="shared" si="7895"/>
        <v>0</v>
      </c>
      <c r="I3960" s="1" t="str">
        <f t="shared" si="7895"/>
        <v>0</v>
      </c>
      <c r="J3960" s="1" t="str">
        <f t="shared" si="7895"/>
        <v>0</v>
      </c>
      <c r="K3960" s="1" t="str">
        <f t="shared" si="7895"/>
        <v>0</v>
      </c>
      <c r="L3960" s="1" t="str">
        <f t="shared" si="7895"/>
        <v>0</v>
      </c>
      <c r="M3960" s="1" t="str">
        <f t="shared" si="7895"/>
        <v>0</v>
      </c>
      <c r="N3960" s="1" t="str">
        <f t="shared" si="7895"/>
        <v>0</v>
      </c>
      <c r="O3960" s="1" t="str">
        <f t="shared" si="7895"/>
        <v>0</v>
      </c>
      <c r="P3960" s="1" t="str">
        <f t="shared" si="7895"/>
        <v>0</v>
      </c>
      <c r="Q3960" s="1" t="str">
        <f t="shared" si="7827"/>
        <v>0.0070</v>
      </c>
      <c r="R3960" s="1" t="s">
        <v>25</v>
      </c>
      <c r="T3960" s="1" t="str">
        <f t="shared" si="7828"/>
        <v>0</v>
      </c>
      <c r="U3960" s="1" t="str">
        <f t="shared" si="7877"/>
        <v>0.0070</v>
      </c>
    </row>
    <row r="3961" s="1" customFormat="1" spans="1:21">
      <c r="A3961" s="1" t="str">
        <f>"4601992082156"</f>
        <v>4601992082156</v>
      </c>
      <c r="B3961" s="1" t="s">
        <v>3984</v>
      </c>
      <c r="C3961" s="1" t="s">
        <v>24</v>
      </c>
      <c r="D3961" s="1" t="str">
        <f t="shared" si="7825"/>
        <v>2021</v>
      </c>
      <c r="E3961" s="1" t="str">
        <f t="shared" ref="E3961:P3961" si="7896">"0"</f>
        <v>0</v>
      </c>
      <c r="F3961" s="1" t="str">
        <f t="shared" si="7896"/>
        <v>0</v>
      </c>
      <c r="G3961" s="1" t="str">
        <f t="shared" si="7896"/>
        <v>0</v>
      </c>
      <c r="H3961" s="1" t="str">
        <f t="shared" si="7896"/>
        <v>0</v>
      </c>
      <c r="I3961" s="1" t="str">
        <f t="shared" si="7896"/>
        <v>0</v>
      </c>
      <c r="J3961" s="1" t="str">
        <f t="shared" si="7896"/>
        <v>0</v>
      </c>
      <c r="K3961" s="1" t="str">
        <f t="shared" si="7896"/>
        <v>0</v>
      </c>
      <c r="L3961" s="1" t="str">
        <f t="shared" si="7896"/>
        <v>0</v>
      </c>
      <c r="M3961" s="1" t="str">
        <f t="shared" si="7896"/>
        <v>0</v>
      </c>
      <c r="N3961" s="1" t="str">
        <f t="shared" si="7896"/>
        <v>0</v>
      </c>
      <c r="O3961" s="1" t="str">
        <f t="shared" si="7896"/>
        <v>0</v>
      </c>
      <c r="P3961" s="1" t="str">
        <f t="shared" si="7896"/>
        <v>0</v>
      </c>
      <c r="Q3961" s="1" t="str">
        <f t="shared" si="7827"/>
        <v>0.0070</v>
      </c>
      <c r="R3961" s="1" t="s">
        <v>25</v>
      </c>
      <c r="T3961" s="1" t="str">
        <f t="shared" si="7828"/>
        <v>0</v>
      </c>
      <c r="U3961" s="1" t="str">
        <f t="shared" si="7877"/>
        <v>0.0070</v>
      </c>
    </row>
    <row r="3962" s="1" customFormat="1" spans="1:21">
      <c r="A3962" s="1" t="str">
        <f>"4601992082321"</f>
        <v>4601992082321</v>
      </c>
      <c r="B3962" s="1" t="s">
        <v>3985</v>
      </c>
      <c r="C3962" s="1" t="s">
        <v>24</v>
      </c>
      <c r="D3962" s="1" t="str">
        <f t="shared" si="7825"/>
        <v>2021</v>
      </c>
      <c r="E3962" s="1" t="str">
        <f t="shared" ref="E3962:P3962" si="7897">"0"</f>
        <v>0</v>
      </c>
      <c r="F3962" s="1" t="str">
        <f t="shared" si="7897"/>
        <v>0</v>
      </c>
      <c r="G3962" s="1" t="str">
        <f t="shared" si="7897"/>
        <v>0</v>
      </c>
      <c r="H3962" s="1" t="str">
        <f t="shared" si="7897"/>
        <v>0</v>
      </c>
      <c r="I3962" s="1" t="str">
        <f t="shared" si="7897"/>
        <v>0</v>
      </c>
      <c r="J3962" s="1" t="str">
        <f t="shared" si="7897"/>
        <v>0</v>
      </c>
      <c r="K3962" s="1" t="str">
        <f t="shared" si="7897"/>
        <v>0</v>
      </c>
      <c r="L3962" s="1" t="str">
        <f t="shared" si="7897"/>
        <v>0</v>
      </c>
      <c r="M3962" s="1" t="str">
        <f t="shared" si="7897"/>
        <v>0</v>
      </c>
      <c r="N3962" s="1" t="str">
        <f t="shared" si="7897"/>
        <v>0</v>
      </c>
      <c r="O3962" s="1" t="str">
        <f t="shared" si="7897"/>
        <v>0</v>
      </c>
      <c r="P3962" s="1" t="str">
        <f t="shared" si="7897"/>
        <v>0</v>
      </c>
      <c r="Q3962" s="1" t="str">
        <f t="shared" si="7827"/>
        <v>0.0070</v>
      </c>
      <c r="R3962" s="1" t="s">
        <v>25</v>
      </c>
      <c r="T3962" s="1" t="str">
        <f t="shared" si="7828"/>
        <v>0</v>
      </c>
      <c r="U3962" s="1" t="str">
        <f t="shared" si="7877"/>
        <v>0.0070</v>
      </c>
    </row>
    <row r="3963" s="1" customFormat="1" spans="1:21">
      <c r="A3963" s="1" t="str">
        <f>"4601992082223"</f>
        <v>4601992082223</v>
      </c>
      <c r="B3963" s="1" t="s">
        <v>3986</v>
      </c>
      <c r="C3963" s="1" t="s">
        <v>24</v>
      </c>
      <c r="D3963" s="1" t="str">
        <f t="shared" si="7825"/>
        <v>2021</v>
      </c>
      <c r="E3963" s="1" t="str">
        <f t="shared" ref="E3963:P3963" si="7898">"0"</f>
        <v>0</v>
      </c>
      <c r="F3963" s="1" t="str">
        <f t="shared" si="7898"/>
        <v>0</v>
      </c>
      <c r="G3963" s="1" t="str">
        <f t="shared" si="7898"/>
        <v>0</v>
      </c>
      <c r="H3963" s="1" t="str">
        <f t="shared" si="7898"/>
        <v>0</v>
      </c>
      <c r="I3963" s="1" t="str">
        <f t="shared" si="7898"/>
        <v>0</v>
      </c>
      <c r="J3963" s="1" t="str">
        <f t="shared" si="7898"/>
        <v>0</v>
      </c>
      <c r="K3963" s="1" t="str">
        <f t="shared" si="7898"/>
        <v>0</v>
      </c>
      <c r="L3963" s="1" t="str">
        <f t="shared" si="7898"/>
        <v>0</v>
      </c>
      <c r="M3963" s="1" t="str">
        <f t="shared" si="7898"/>
        <v>0</v>
      </c>
      <c r="N3963" s="1" t="str">
        <f t="shared" si="7898"/>
        <v>0</v>
      </c>
      <c r="O3963" s="1" t="str">
        <f t="shared" si="7898"/>
        <v>0</v>
      </c>
      <c r="P3963" s="1" t="str">
        <f t="shared" si="7898"/>
        <v>0</v>
      </c>
      <c r="Q3963" s="1" t="str">
        <f t="shared" si="7827"/>
        <v>0.0070</v>
      </c>
      <c r="R3963" s="1" t="s">
        <v>25</v>
      </c>
      <c r="T3963" s="1" t="str">
        <f t="shared" si="7828"/>
        <v>0</v>
      </c>
      <c r="U3963" s="1" t="str">
        <f t="shared" si="7877"/>
        <v>0.0070</v>
      </c>
    </row>
    <row r="3964" s="1" customFormat="1" spans="1:21">
      <c r="A3964" s="1" t="str">
        <f>"4601992082351"</f>
        <v>4601992082351</v>
      </c>
      <c r="B3964" s="1" t="s">
        <v>3987</v>
      </c>
      <c r="C3964" s="1" t="s">
        <v>24</v>
      </c>
      <c r="D3964" s="1" t="str">
        <f t="shared" si="7825"/>
        <v>2021</v>
      </c>
      <c r="E3964" s="1" t="str">
        <f t="shared" ref="E3964:P3964" si="7899">"0"</f>
        <v>0</v>
      </c>
      <c r="F3964" s="1" t="str">
        <f t="shared" si="7899"/>
        <v>0</v>
      </c>
      <c r="G3964" s="1" t="str">
        <f t="shared" si="7899"/>
        <v>0</v>
      </c>
      <c r="H3964" s="1" t="str">
        <f t="shared" si="7899"/>
        <v>0</v>
      </c>
      <c r="I3964" s="1" t="str">
        <f t="shared" si="7899"/>
        <v>0</v>
      </c>
      <c r="J3964" s="1" t="str">
        <f t="shared" si="7899"/>
        <v>0</v>
      </c>
      <c r="K3964" s="1" t="str">
        <f t="shared" si="7899"/>
        <v>0</v>
      </c>
      <c r="L3964" s="1" t="str">
        <f t="shared" si="7899"/>
        <v>0</v>
      </c>
      <c r="M3964" s="1" t="str">
        <f t="shared" si="7899"/>
        <v>0</v>
      </c>
      <c r="N3964" s="1" t="str">
        <f t="shared" si="7899"/>
        <v>0</v>
      </c>
      <c r="O3964" s="1" t="str">
        <f t="shared" si="7899"/>
        <v>0</v>
      </c>
      <c r="P3964" s="1" t="str">
        <f t="shared" si="7899"/>
        <v>0</v>
      </c>
      <c r="Q3964" s="1" t="str">
        <f t="shared" si="7827"/>
        <v>0.0070</v>
      </c>
      <c r="R3964" s="1" t="s">
        <v>25</v>
      </c>
      <c r="T3964" s="1" t="str">
        <f t="shared" si="7828"/>
        <v>0</v>
      </c>
      <c r="U3964" s="1" t="str">
        <f t="shared" si="7877"/>
        <v>0.0070</v>
      </c>
    </row>
    <row r="3965" s="1" customFormat="1" spans="1:21">
      <c r="A3965" s="1" t="str">
        <f>"4601992082287"</f>
        <v>4601992082287</v>
      </c>
      <c r="B3965" s="1" t="s">
        <v>3988</v>
      </c>
      <c r="C3965" s="1" t="s">
        <v>24</v>
      </c>
      <c r="D3965" s="1" t="str">
        <f t="shared" si="7825"/>
        <v>2021</v>
      </c>
      <c r="E3965" s="1" t="str">
        <f t="shared" ref="E3965:I3965" si="7900">"0"</f>
        <v>0</v>
      </c>
      <c r="F3965" s="1" t="str">
        <f t="shared" si="7900"/>
        <v>0</v>
      </c>
      <c r="G3965" s="1" t="str">
        <f t="shared" si="7900"/>
        <v>0</v>
      </c>
      <c r="H3965" s="1" t="str">
        <f t="shared" si="7900"/>
        <v>0</v>
      </c>
      <c r="I3965" s="1" t="str">
        <f t="shared" si="7900"/>
        <v>0</v>
      </c>
      <c r="J3965" s="1" t="str">
        <f>"2"</f>
        <v>2</v>
      </c>
      <c r="K3965" s="1" t="str">
        <f t="shared" ref="K3965:P3965" si="7901">"0"</f>
        <v>0</v>
      </c>
      <c r="L3965" s="1" t="str">
        <f t="shared" si="7901"/>
        <v>0</v>
      </c>
      <c r="M3965" s="1" t="str">
        <f t="shared" si="7901"/>
        <v>0</v>
      </c>
      <c r="N3965" s="1" t="str">
        <f t="shared" si="7901"/>
        <v>0</v>
      </c>
      <c r="O3965" s="1" t="str">
        <f t="shared" si="7901"/>
        <v>0</v>
      </c>
      <c r="P3965" s="1" t="str">
        <f t="shared" si="7901"/>
        <v>0</v>
      </c>
      <c r="Q3965" s="1" t="str">
        <f t="shared" si="7827"/>
        <v>0.0070</v>
      </c>
      <c r="R3965" s="1" t="s">
        <v>25</v>
      </c>
      <c r="T3965" s="1" t="str">
        <f t="shared" si="7828"/>
        <v>0</v>
      </c>
      <c r="U3965" s="1" t="str">
        <f t="shared" si="7877"/>
        <v>0.0070</v>
      </c>
    </row>
    <row r="3966" s="1" customFormat="1" spans="1:21">
      <c r="A3966" s="1" t="str">
        <f>"4601992082361"</f>
        <v>4601992082361</v>
      </c>
      <c r="B3966" s="1" t="s">
        <v>3989</v>
      </c>
      <c r="C3966" s="1" t="s">
        <v>24</v>
      </c>
      <c r="D3966" s="1" t="str">
        <f t="shared" si="7825"/>
        <v>2021</v>
      </c>
      <c r="E3966" s="1" t="str">
        <f t="shared" ref="E3966:P3966" si="7902">"0"</f>
        <v>0</v>
      </c>
      <c r="F3966" s="1" t="str">
        <f t="shared" si="7902"/>
        <v>0</v>
      </c>
      <c r="G3966" s="1" t="str">
        <f t="shared" si="7902"/>
        <v>0</v>
      </c>
      <c r="H3966" s="1" t="str">
        <f t="shared" si="7902"/>
        <v>0</v>
      </c>
      <c r="I3966" s="1" t="str">
        <f t="shared" si="7902"/>
        <v>0</v>
      </c>
      <c r="J3966" s="1" t="str">
        <f t="shared" si="7902"/>
        <v>0</v>
      </c>
      <c r="K3966" s="1" t="str">
        <f t="shared" si="7902"/>
        <v>0</v>
      </c>
      <c r="L3966" s="1" t="str">
        <f t="shared" si="7902"/>
        <v>0</v>
      </c>
      <c r="M3966" s="1" t="str">
        <f t="shared" si="7902"/>
        <v>0</v>
      </c>
      <c r="N3966" s="1" t="str">
        <f t="shared" si="7902"/>
        <v>0</v>
      </c>
      <c r="O3966" s="1" t="str">
        <f t="shared" si="7902"/>
        <v>0</v>
      </c>
      <c r="P3966" s="1" t="str">
        <f t="shared" si="7902"/>
        <v>0</v>
      </c>
      <c r="Q3966" s="1" t="str">
        <f t="shared" si="7827"/>
        <v>0.0070</v>
      </c>
      <c r="R3966" s="1" t="s">
        <v>25</v>
      </c>
      <c r="T3966" s="1" t="str">
        <f t="shared" si="7828"/>
        <v>0</v>
      </c>
      <c r="U3966" s="1" t="str">
        <f t="shared" si="7877"/>
        <v>0.0070</v>
      </c>
    </row>
    <row r="3967" s="1" customFormat="1" spans="1:21">
      <c r="A3967" s="1" t="str">
        <f>"4601992082428"</f>
        <v>4601992082428</v>
      </c>
      <c r="B3967" s="1" t="s">
        <v>3990</v>
      </c>
      <c r="C3967" s="1" t="s">
        <v>24</v>
      </c>
      <c r="D3967" s="1" t="str">
        <f t="shared" si="7825"/>
        <v>2021</v>
      </c>
      <c r="E3967" s="1" t="str">
        <f t="shared" ref="E3967:P3967" si="7903">"0"</f>
        <v>0</v>
      </c>
      <c r="F3967" s="1" t="str">
        <f t="shared" si="7903"/>
        <v>0</v>
      </c>
      <c r="G3967" s="1" t="str">
        <f t="shared" si="7903"/>
        <v>0</v>
      </c>
      <c r="H3967" s="1" t="str">
        <f t="shared" si="7903"/>
        <v>0</v>
      </c>
      <c r="I3967" s="1" t="str">
        <f t="shared" si="7903"/>
        <v>0</v>
      </c>
      <c r="J3967" s="1" t="str">
        <f t="shared" si="7903"/>
        <v>0</v>
      </c>
      <c r="K3967" s="1" t="str">
        <f t="shared" si="7903"/>
        <v>0</v>
      </c>
      <c r="L3967" s="1" t="str">
        <f t="shared" si="7903"/>
        <v>0</v>
      </c>
      <c r="M3967" s="1" t="str">
        <f t="shared" si="7903"/>
        <v>0</v>
      </c>
      <c r="N3967" s="1" t="str">
        <f t="shared" si="7903"/>
        <v>0</v>
      </c>
      <c r="O3967" s="1" t="str">
        <f t="shared" si="7903"/>
        <v>0</v>
      </c>
      <c r="P3967" s="1" t="str">
        <f t="shared" si="7903"/>
        <v>0</v>
      </c>
      <c r="Q3967" s="1" t="str">
        <f t="shared" si="7827"/>
        <v>0.0070</v>
      </c>
      <c r="R3967" s="1" t="s">
        <v>25</v>
      </c>
      <c r="T3967" s="1" t="str">
        <f t="shared" si="7828"/>
        <v>0</v>
      </c>
      <c r="U3967" s="1" t="str">
        <f t="shared" si="7877"/>
        <v>0.0070</v>
      </c>
    </row>
    <row r="3968" s="1" customFormat="1" spans="1:21">
      <c r="A3968" s="1" t="str">
        <f>"4601992082439"</f>
        <v>4601992082439</v>
      </c>
      <c r="B3968" s="1" t="s">
        <v>3991</v>
      </c>
      <c r="C3968" s="1" t="s">
        <v>24</v>
      </c>
      <c r="D3968" s="1" t="str">
        <f t="shared" si="7825"/>
        <v>2021</v>
      </c>
      <c r="E3968" s="1" t="str">
        <f t="shared" ref="E3968:P3968" si="7904">"0"</f>
        <v>0</v>
      </c>
      <c r="F3968" s="1" t="str">
        <f t="shared" si="7904"/>
        <v>0</v>
      </c>
      <c r="G3968" s="1" t="str">
        <f t="shared" si="7904"/>
        <v>0</v>
      </c>
      <c r="H3968" s="1" t="str">
        <f t="shared" si="7904"/>
        <v>0</v>
      </c>
      <c r="I3968" s="1" t="str">
        <f t="shared" si="7904"/>
        <v>0</v>
      </c>
      <c r="J3968" s="1" t="str">
        <f t="shared" si="7904"/>
        <v>0</v>
      </c>
      <c r="K3968" s="1" t="str">
        <f t="shared" si="7904"/>
        <v>0</v>
      </c>
      <c r="L3968" s="1" t="str">
        <f t="shared" si="7904"/>
        <v>0</v>
      </c>
      <c r="M3968" s="1" t="str">
        <f t="shared" si="7904"/>
        <v>0</v>
      </c>
      <c r="N3968" s="1" t="str">
        <f t="shared" si="7904"/>
        <v>0</v>
      </c>
      <c r="O3968" s="1" t="str">
        <f t="shared" si="7904"/>
        <v>0</v>
      </c>
      <c r="P3968" s="1" t="str">
        <f t="shared" si="7904"/>
        <v>0</v>
      </c>
      <c r="Q3968" s="1" t="str">
        <f t="shared" si="7827"/>
        <v>0.0070</v>
      </c>
      <c r="R3968" s="1" t="s">
        <v>25</v>
      </c>
      <c r="T3968" s="1" t="str">
        <f t="shared" si="7828"/>
        <v>0</v>
      </c>
      <c r="U3968" s="1" t="str">
        <f t="shared" si="7877"/>
        <v>0.0070</v>
      </c>
    </row>
    <row r="3969" s="1" customFormat="1" spans="1:21">
      <c r="A3969" s="1" t="str">
        <f>"4601992082524"</f>
        <v>4601992082524</v>
      </c>
      <c r="B3969" s="1" t="s">
        <v>3992</v>
      </c>
      <c r="C3969" s="1" t="s">
        <v>24</v>
      </c>
      <c r="D3969" s="1" t="str">
        <f t="shared" si="7825"/>
        <v>2021</v>
      </c>
      <c r="E3969" s="1" t="str">
        <f t="shared" ref="E3969:P3969" si="7905">"0"</f>
        <v>0</v>
      </c>
      <c r="F3969" s="1" t="str">
        <f t="shared" si="7905"/>
        <v>0</v>
      </c>
      <c r="G3969" s="1" t="str">
        <f t="shared" si="7905"/>
        <v>0</v>
      </c>
      <c r="H3969" s="1" t="str">
        <f t="shared" si="7905"/>
        <v>0</v>
      </c>
      <c r="I3969" s="1" t="str">
        <f t="shared" si="7905"/>
        <v>0</v>
      </c>
      <c r="J3969" s="1" t="str">
        <f t="shared" si="7905"/>
        <v>0</v>
      </c>
      <c r="K3969" s="1" t="str">
        <f t="shared" si="7905"/>
        <v>0</v>
      </c>
      <c r="L3969" s="1" t="str">
        <f t="shared" si="7905"/>
        <v>0</v>
      </c>
      <c r="M3969" s="1" t="str">
        <f t="shared" si="7905"/>
        <v>0</v>
      </c>
      <c r="N3969" s="1" t="str">
        <f t="shared" si="7905"/>
        <v>0</v>
      </c>
      <c r="O3969" s="1" t="str">
        <f t="shared" si="7905"/>
        <v>0</v>
      </c>
      <c r="P3969" s="1" t="str">
        <f t="shared" si="7905"/>
        <v>0</v>
      </c>
      <c r="Q3969" s="1" t="str">
        <f t="shared" si="7827"/>
        <v>0.0070</v>
      </c>
      <c r="R3969" s="1" t="s">
        <v>25</v>
      </c>
      <c r="T3969" s="1" t="str">
        <f t="shared" si="7828"/>
        <v>0</v>
      </c>
      <c r="U3969" s="1" t="str">
        <f t="shared" si="7877"/>
        <v>0.0070</v>
      </c>
    </row>
    <row r="3970" s="1" customFormat="1" spans="1:21">
      <c r="A3970" s="1" t="str">
        <f>"4601992082476"</f>
        <v>4601992082476</v>
      </c>
      <c r="B3970" s="1" t="s">
        <v>3993</v>
      </c>
      <c r="C3970" s="1" t="s">
        <v>24</v>
      </c>
      <c r="D3970" s="1" t="str">
        <f t="shared" si="7825"/>
        <v>2021</v>
      </c>
      <c r="E3970" s="1" t="str">
        <f t="shared" ref="E3970:P3970" si="7906">"0"</f>
        <v>0</v>
      </c>
      <c r="F3970" s="1" t="str">
        <f t="shared" si="7906"/>
        <v>0</v>
      </c>
      <c r="G3970" s="1" t="str">
        <f t="shared" si="7906"/>
        <v>0</v>
      </c>
      <c r="H3970" s="1" t="str">
        <f t="shared" si="7906"/>
        <v>0</v>
      </c>
      <c r="I3970" s="1" t="str">
        <f t="shared" si="7906"/>
        <v>0</v>
      </c>
      <c r="J3970" s="1" t="str">
        <f t="shared" si="7906"/>
        <v>0</v>
      </c>
      <c r="K3970" s="1" t="str">
        <f t="shared" si="7906"/>
        <v>0</v>
      </c>
      <c r="L3970" s="1" t="str">
        <f t="shared" si="7906"/>
        <v>0</v>
      </c>
      <c r="M3970" s="1" t="str">
        <f t="shared" si="7906"/>
        <v>0</v>
      </c>
      <c r="N3970" s="1" t="str">
        <f t="shared" si="7906"/>
        <v>0</v>
      </c>
      <c r="O3970" s="1" t="str">
        <f t="shared" si="7906"/>
        <v>0</v>
      </c>
      <c r="P3970" s="1" t="str">
        <f t="shared" si="7906"/>
        <v>0</v>
      </c>
      <c r="Q3970" s="1" t="str">
        <f t="shared" si="7827"/>
        <v>0.0070</v>
      </c>
      <c r="R3970" s="1" t="s">
        <v>25</v>
      </c>
      <c r="T3970" s="1" t="str">
        <f t="shared" si="7828"/>
        <v>0</v>
      </c>
      <c r="U3970" s="1" t="str">
        <f t="shared" si="7877"/>
        <v>0.0070</v>
      </c>
    </row>
    <row r="3971" s="1" customFormat="1" spans="1:21">
      <c r="A3971" s="1" t="str">
        <f>"4601992082632"</f>
        <v>4601992082632</v>
      </c>
      <c r="B3971" s="1" t="s">
        <v>3994</v>
      </c>
      <c r="C3971" s="1" t="s">
        <v>24</v>
      </c>
      <c r="D3971" s="1" t="str">
        <f t="shared" ref="D3971:D4034" si="7907">"2021"</f>
        <v>2021</v>
      </c>
      <c r="E3971" s="1" t="str">
        <f t="shared" ref="E3971:P3971" si="7908">"0"</f>
        <v>0</v>
      </c>
      <c r="F3971" s="1" t="str">
        <f t="shared" si="7908"/>
        <v>0</v>
      </c>
      <c r="G3971" s="1" t="str">
        <f t="shared" si="7908"/>
        <v>0</v>
      </c>
      <c r="H3971" s="1" t="str">
        <f t="shared" si="7908"/>
        <v>0</v>
      </c>
      <c r="I3971" s="1" t="str">
        <f t="shared" si="7908"/>
        <v>0</v>
      </c>
      <c r="J3971" s="1" t="str">
        <f t="shared" si="7908"/>
        <v>0</v>
      </c>
      <c r="K3971" s="1" t="str">
        <f t="shared" si="7908"/>
        <v>0</v>
      </c>
      <c r="L3971" s="1" t="str">
        <f t="shared" si="7908"/>
        <v>0</v>
      </c>
      <c r="M3971" s="1" t="str">
        <f t="shared" si="7908"/>
        <v>0</v>
      </c>
      <c r="N3971" s="1" t="str">
        <f t="shared" si="7908"/>
        <v>0</v>
      </c>
      <c r="O3971" s="1" t="str">
        <f t="shared" si="7908"/>
        <v>0</v>
      </c>
      <c r="P3971" s="1" t="str">
        <f t="shared" si="7908"/>
        <v>0</v>
      </c>
      <c r="Q3971" s="1" t="str">
        <f t="shared" ref="Q3971:Q4034" si="7909">"0.0070"</f>
        <v>0.0070</v>
      </c>
      <c r="R3971" s="1" t="s">
        <v>25</v>
      </c>
      <c r="T3971" s="1" t="str">
        <f t="shared" ref="T3971:T4034" si="7910">"0"</f>
        <v>0</v>
      </c>
      <c r="U3971" s="1" t="str">
        <f t="shared" si="7877"/>
        <v>0.0070</v>
      </c>
    </row>
    <row r="3972" s="1" customFormat="1" spans="1:21">
      <c r="A3972" s="1" t="str">
        <f>"4601992082652"</f>
        <v>4601992082652</v>
      </c>
      <c r="B3972" s="1" t="s">
        <v>3995</v>
      </c>
      <c r="C3972" s="1" t="s">
        <v>24</v>
      </c>
      <c r="D3972" s="1" t="str">
        <f t="shared" si="7907"/>
        <v>2021</v>
      </c>
      <c r="E3972" s="1" t="str">
        <f t="shared" ref="E3972:P3972" si="7911">"0"</f>
        <v>0</v>
      </c>
      <c r="F3972" s="1" t="str">
        <f t="shared" si="7911"/>
        <v>0</v>
      </c>
      <c r="G3972" s="1" t="str">
        <f t="shared" si="7911"/>
        <v>0</v>
      </c>
      <c r="H3972" s="1" t="str">
        <f t="shared" si="7911"/>
        <v>0</v>
      </c>
      <c r="I3972" s="1" t="str">
        <f t="shared" si="7911"/>
        <v>0</v>
      </c>
      <c r="J3972" s="1" t="str">
        <f t="shared" si="7911"/>
        <v>0</v>
      </c>
      <c r="K3972" s="1" t="str">
        <f t="shared" si="7911"/>
        <v>0</v>
      </c>
      <c r="L3972" s="1" t="str">
        <f t="shared" si="7911"/>
        <v>0</v>
      </c>
      <c r="M3972" s="1" t="str">
        <f t="shared" si="7911"/>
        <v>0</v>
      </c>
      <c r="N3972" s="1" t="str">
        <f t="shared" si="7911"/>
        <v>0</v>
      </c>
      <c r="O3972" s="1" t="str">
        <f t="shared" si="7911"/>
        <v>0</v>
      </c>
      <c r="P3972" s="1" t="str">
        <f t="shared" si="7911"/>
        <v>0</v>
      </c>
      <c r="Q3972" s="1" t="str">
        <f t="shared" si="7909"/>
        <v>0.0070</v>
      </c>
      <c r="R3972" s="1" t="s">
        <v>25</v>
      </c>
      <c r="T3972" s="1" t="str">
        <f t="shared" si="7910"/>
        <v>0</v>
      </c>
      <c r="U3972" s="1" t="str">
        <f t="shared" si="7877"/>
        <v>0.0070</v>
      </c>
    </row>
    <row r="3973" s="1" customFormat="1" spans="1:21">
      <c r="A3973" s="1" t="str">
        <f>"4601992082774"</f>
        <v>4601992082774</v>
      </c>
      <c r="B3973" s="1" t="s">
        <v>3996</v>
      </c>
      <c r="C3973" s="1" t="s">
        <v>24</v>
      </c>
      <c r="D3973" s="1" t="str">
        <f t="shared" si="7907"/>
        <v>2021</v>
      </c>
      <c r="E3973" s="1" t="str">
        <f t="shared" ref="E3973:P3973" si="7912">"0"</f>
        <v>0</v>
      </c>
      <c r="F3973" s="1" t="str">
        <f t="shared" si="7912"/>
        <v>0</v>
      </c>
      <c r="G3973" s="1" t="str">
        <f t="shared" si="7912"/>
        <v>0</v>
      </c>
      <c r="H3973" s="1" t="str">
        <f t="shared" si="7912"/>
        <v>0</v>
      </c>
      <c r="I3973" s="1" t="str">
        <f t="shared" si="7912"/>
        <v>0</v>
      </c>
      <c r="J3973" s="1" t="str">
        <f t="shared" si="7912"/>
        <v>0</v>
      </c>
      <c r="K3973" s="1" t="str">
        <f t="shared" si="7912"/>
        <v>0</v>
      </c>
      <c r="L3973" s="1" t="str">
        <f t="shared" si="7912"/>
        <v>0</v>
      </c>
      <c r="M3973" s="1" t="str">
        <f t="shared" si="7912"/>
        <v>0</v>
      </c>
      <c r="N3973" s="1" t="str">
        <f t="shared" si="7912"/>
        <v>0</v>
      </c>
      <c r="O3973" s="1" t="str">
        <f t="shared" si="7912"/>
        <v>0</v>
      </c>
      <c r="P3973" s="1" t="str">
        <f t="shared" si="7912"/>
        <v>0</v>
      </c>
      <c r="Q3973" s="1" t="str">
        <f t="shared" si="7909"/>
        <v>0.0070</v>
      </c>
      <c r="R3973" s="1" t="s">
        <v>25</v>
      </c>
      <c r="T3973" s="1" t="str">
        <f t="shared" si="7910"/>
        <v>0</v>
      </c>
      <c r="U3973" s="1" t="str">
        <f t="shared" si="7877"/>
        <v>0.0070</v>
      </c>
    </row>
    <row r="3974" s="1" customFormat="1" spans="1:21">
      <c r="A3974" s="1" t="str">
        <f>"4601992082737"</f>
        <v>4601992082737</v>
      </c>
      <c r="B3974" s="1" t="s">
        <v>3997</v>
      </c>
      <c r="C3974" s="1" t="s">
        <v>24</v>
      </c>
      <c r="D3974" s="1" t="str">
        <f t="shared" si="7907"/>
        <v>2021</v>
      </c>
      <c r="E3974" s="1" t="str">
        <f t="shared" ref="E3974:P3974" si="7913">"0"</f>
        <v>0</v>
      </c>
      <c r="F3974" s="1" t="str">
        <f t="shared" si="7913"/>
        <v>0</v>
      </c>
      <c r="G3974" s="1" t="str">
        <f t="shared" si="7913"/>
        <v>0</v>
      </c>
      <c r="H3974" s="1" t="str">
        <f t="shared" si="7913"/>
        <v>0</v>
      </c>
      <c r="I3974" s="1" t="str">
        <f t="shared" si="7913"/>
        <v>0</v>
      </c>
      <c r="J3974" s="1" t="str">
        <f t="shared" si="7913"/>
        <v>0</v>
      </c>
      <c r="K3974" s="1" t="str">
        <f t="shared" si="7913"/>
        <v>0</v>
      </c>
      <c r="L3974" s="1" t="str">
        <f t="shared" si="7913"/>
        <v>0</v>
      </c>
      <c r="M3974" s="1" t="str">
        <f t="shared" si="7913"/>
        <v>0</v>
      </c>
      <c r="N3974" s="1" t="str">
        <f t="shared" si="7913"/>
        <v>0</v>
      </c>
      <c r="O3974" s="1" t="str">
        <f t="shared" si="7913"/>
        <v>0</v>
      </c>
      <c r="P3974" s="1" t="str">
        <f t="shared" si="7913"/>
        <v>0</v>
      </c>
      <c r="Q3974" s="1" t="str">
        <f t="shared" si="7909"/>
        <v>0.0070</v>
      </c>
      <c r="R3974" s="1" t="s">
        <v>25</v>
      </c>
      <c r="T3974" s="1" t="str">
        <f t="shared" si="7910"/>
        <v>0</v>
      </c>
      <c r="U3974" s="1" t="str">
        <f t="shared" si="7877"/>
        <v>0.0070</v>
      </c>
    </row>
    <row r="3975" s="1" customFormat="1" spans="1:21">
      <c r="A3975" s="1" t="str">
        <f>"4601992082805"</f>
        <v>4601992082805</v>
      </c>
      <c r="B3975" s="1" t="s">
        <v>3998</v>
      </c>
      <c r="C3975" s="1" t="s">
        <v>24</v>
      </c>
      <c r="D3975" s="1" t="str">
        <f t="shared" si="7907"/>
        <v>2021</v>
      </c>
      <c r="E3975" s="1" t="str">
        <f t="shared" ref="E3975:P3975" si="7914">"0"</f>
        <v>0</v>
      </c>
      <c r="F3975" s="1" t="str">
        <f t="shared" si="7914"/>
        <v>0</v>
      </c>
      <c r="G3975" s="1" t="str">
        <f t="shared" si="7914"/>
        <v>0</v>
      </c>
      <c r="H3975" s="1" t="str">
        <f t="shared" si="7914"/>
        <v>0</v>
      </c>
      <c r="I3975" s="1" t="str">
        <f t="shared" si="7914"/>
        <v>0</v>
      </c>
      <c r="J3975" s="1" t="str">
        <f t="shared" si="7914"/>
        <v>0</v>
      </c>
      <c r="K3975" s="1" t="str">
        <f t="shared" si="7914"/>
        <v>0</v>
      </c>
      <c r="L3975" s="1" t="str">
        <f t="shared" si="7914"/>
        <v>0</v>
      </c>
      <c r="M3975" s="1" t="str">
        <f t="shared" si="7914"/>
        <v>0</v>
      </c>
      <c r="N3975" s="1" t="str">
        <f t="shared" si="7914"/>
        <v>0</v>
      </c>
      <c r="O3975" s="1" t="str">
        <f t="shared" si="7914"/>
        <v>0</v>
      </c>
      <c r="P3975" s="1" t="str">
        <f t="shared" si="7914"/>
        <v>0</v>
      </c>
      <c r="Q3975" s="1" t="str">
        <f t="shared" si="7909"/>
        <v>0.0070</v>
      </c>
      <c r="R3975" s="1" t="s">
        <v>25</v>
      </c>
      <c r="T3975" s="1" t="str">
        <f t="shared" si="7910"/>
        <v>0</v>
      </c>
      <c r="U3975" s="1" t="str">
        <f t="shared" si="7877"/>
        <v>0.0070</v>
      </c>
    </row>
    <row r="3976" s="1" customFormat="1" spans="1:21">
      <c r="A3976" s="1" t="str">
        <f>"4601992082830"</f>
        <v>4601992082830</v>
      </c>
      <c r="B3976" s="1" t="s">
        <v>3999</v>
      </c>
      <c r="C3976" s="1" t="s">
        <v>24</v>
      </c>
      <c r="D3976" s="1" t="str">
        <f t="shared" si="7907"/>
        <v>2021</v>
      </c>
      <c r="E3976" s="1" t="str">
        <f t="shared" ref="E3976:P3976" si="7915">"0"</f>
        <v>0</v>
      </c>
      <c r="F3976" s="1" t="str">
        <f t="shared" si="7915"/>
        <v>0</v>
      </c>
      <c r="G3976" s="1" t="str">
        <f t="shared" si="7915"/>
        <v>0</v>
      </c>
      <c r="H3976" s="1" t="str">
        <f t="shared" si="7915"/>
        <v>0</v>
      </c>
      <c r="I3976" s="1" t="str">
        <f t="shared" si="7915"/>
        <v>0</v>
      </c>
      <c r="J3976" s="1" t="str">
        <f t="shared" si="7915"/>
        <v>0</v>
      </c>
      <c r="K3976" s="1" t="str">
        <f t="shared" si="7915"/>
        <v>0</v>
      </c>
      <c r="L3976" s="1" t="str">
        <f t="shared" si="7915"/>
        <v>0</v>
      </c>
      <c r="M3976" s="1" t="str">
        <f t="shared" si="7915"/>
        <v>0</v>
      </c>
      <c r="N3976" s="1" t="str">
        <f t="shared" si="7915"/>
        <v>0</v>
      </c>
      <c r="O3976" s="1" t="str">
        <f t="shared" si="7915"/>
        <v>0</v>
      </c>
      <c r="P3976" s="1" t="str">
        <f t="shared" si="7915"/>
        <v>0</v>
      </c>
      <c r="Q3976" s="1" t="str">
        <f t="shared" si="7909"/>
        <v>0.0070</v>
      </c>
      <c r="R3976" s="1" t="s">
        <v>25</v>
      </c>
      <c r="T3976" s="1" t="str">
        <f t="shared" si="7910"/>
        <v>0</v>
      </c>
      <c r="U3976" s="1" t="str">
        <f t="shared" si="7877"/>
        <v>0.0070</v>
      </c>
    </row>
    <row r="3977" s="1" customFormat="1" spans="1:21">
      <c r="A3977" s="1" t="str">
        <f>"4601992082991"</f>
        <v>4601992082991</v>
      </c>
      <c r="B3977" s="1" t="s">
        <v>4000</v>
      </c>
      <c r="C3977" s="1" t="s">
        <v>24</v>
      </c>
      <c r="D3977" s="1" t="str">
        <f t="shared" si="7907"/>
        <v>2021</v>
      </c>
      <c r="E3977" s="1" t="str">
        <f t="shared" ref="E3977:P3977" si="7916">"0"</f>
        <v>0</v>
      </c>
      <c r="F3977" s="1" t="str">
        <f t="shared" si="7916"/>
        <v>0</v>
      </c>
      <c r="G3977" s="1" t="str">
        <f t="shared" si="7916"/>
        <v>0</v>
      </c>
      <c r="H3977" s="1" t="str">
        <f t="shared" si="7916"/>
        <v>0</v>
      </c>
      <c r="I3977" s="1" t="str">
        <f t="shared" si="7916"/>
        <v>0</v>
      </c>
      <c r="J3977" s="1" t="str">
        <f t="shared" si="7916"/>
        <v>0</v>
      </c>
      <c r="K3977" s="1" t="str">
        <f t="shared" si="7916"/>
        <v>0</v>
      </c>
      <c r="L3977" s="1" t="str">
        <f t="shared" si="7916"/>
        <v>0</v>
      </c>
      <c r="M3977" s="1" t="str">
        <f t="shared" si="7916"/>
        <v>0</v>
      </c>
      <c r="N3977" s="1" t="str">
        <f t="shared" si="7916"/>
        <v>0</v>
      </c>
      <c r="O3977" s="1" t="str">
        <f t="shared" si="7916"/>
        <v>0</v>
      </c>
      <c r="P3977" s="1" t="str">
        <f t="shared" si="7916"/>
        <v>0</v>
      </c>
      <c r="Q3977" s="1" t="str">
        <f t="shared" si="7909"/>
        <v>0.0070</v>
      </c>
      <c r="R3977" s="1" t="s">
        <v>25</v>
      </c>
      <c r="T3977" s="1" t="str">
        <f t="shared" si="7910"/>
        <v>0</v>
      </c>
      <c r="U3977" s="1" t="str">
        <f t="shared" si="7877"/>
        <v>0.0070</v>
      </c>
    </row>
    <row r="3978" s="1" customFormat="1" spans="1:21">
      <c r="A3978" s="1" t="str">
        <f>"4601992082684"</f>
        <v>4601992082684</v>
      </c>
      <c r="B3978" s="1" t="s">
        <v>4001</v>
      </c>
      <c r="C3978" s="1" t="s">
        <v>24</v>
      </c>
      <c r="D3978" s="1" t="str">
        <f t="shared" si="7907"/>
        <v>2021</v>
      </c>
      <c r="E3978" s="1" t="str">
        <f>"24.18"</f>
        <v>24.18</v>
      </c>
      <c r="F3978" s="1" t="str">
        <f t="shared" ref="F3978:I3978" si="7917">"0"</f>
        <v>0</v>
      </c>
      <c r="G3978" s="1" t="str">
        <f t="shared" si="7917"/>
        <v>0</v>
      </c>
      <c r="H3978" s="1" t="str">
        <f t="shared" si="7917"/>
        <v>0</v>
      </c>
      <c r="I3978" s="1" t="str">
        <f t="shared" si="7917"/>
        <v>0</v>
      </c>
      <c r="J3978" s="1" t="str">
        <f>"2"</f>
        <v>2</v>
      </c>
      <c r="K3978" s="1" t="str">
        <f t="shared" ref="K3978:P3978" si="7918">"0"</f>
        <v>0</v>
      </c>
      <c r="L3978" s="1" t="str">
        <f t="shared" si="7918"/>
        <v>0</v>
      </c>
      <c r="M3978" s="1" t="str">
        <f t="shared" si="7918"/>
        <v>0</v>
      </c>
      <c r="N3978" s="1" t="str">
        <f t="shared" si="7918"/>
        <v>0</v>
      </c>
      <c r="O3978" s="1" t="str">
        <f t="shared" si="7918"/>
        <v>0</v>
      </c>
      <c r="P3978" s="1" t="str">
        <f t="shared" si="7918"/>
        <v>0</v>
      </c>
      <c r="Q3978" s="1" t="str">
        <f t="shared" si="7909"/>
        <v>0.0070</v>
      </c>
      <c r="R3978" s="1" t="s">
        <v>29</v>
      </c>
      <c r="S3978" s="1">
        <v>-0.0014</v>
      </c>
      <c r="T3978" s="1" t="str">
        <f t="shared" si="7910"/>
        <v>0</v>
      </c>
      <c r="U3978" s="1" t="str">
        <f>"0.0056"</f>
        <v>0.0056</v>
      </c>
    </row>
    <row r="3979" s="1" customFormat="1" spans="1:21">
      <c r="A3979" s="1" t="str">
        <f>"4601992083037"</f>
        <v>4601992083037</v>
      </c>
      <c r="B3979" s="1" t="s">
        <v>4002</v>
      </c>
      <c r="C3979" s="1" t="s">
        <v>24</v>
      </c>
      <c r="D3979" s="1" t="str">
        <f t="shared" si="7907"/>
        <v>2021</v>
      </c>
      <c r="E3979" s="1" t="str">
        <f t="shared" ref="E3979:P3979" si="7919">"0"</f>
        <v>0</v>
      </c>
      <c r="F3979" s="1" t="str">
        <f t="shared" si="7919"/>
        <v>0</v>
      </c>
      <c r="G3979" s="1" t="str">
        <f t="shared" si="7919"/>
        <v>0</v>
      </c>
      <c r="H3979" s="1" t="str">
        <f t="shared" si="7919"/>
        <v>0</v>
      </c>
      <c r="I3979" s="1" t="str">
        <f t="shared" si="7919"/>
        <v>0</v>
      </c>
      <c r="J3979" s="1" t="str">
        <f t="shared" si="7919"/>
        <v>0</v>
      </c>
      <c r="K3979" s="1" t="str">
        <f t="shared" si="7919"/>
        <v>0</v>
      </c>
      <c r="L3979" s="1" t="str">
        <f t="shared" si="7919"/>
        <v>0</v>
      </c>
      <c r="M3979" s="1" t="str">
        <f t="shared" si="7919"/>
        <v>0</v>
      </c>
      <c r="N3979" s="1" t="str">
        <f t="shared" si="7919"/>
        <v>0</v>
      </c>
      <c r="O3979" s="1" t="str">
        <f t="shared" si="7919"/>
        <v>0</v>
      </c>
      <c r="P3979" s="1" t="str">
        <f t="shared" si="7919"/>
        <v>0</v>
      </c>
      <c r="Q3979" s="1" t="str">
        <f t="shared" si="7909"/>
        <v>0.0070</v>
      </c>
      <c r="R3979" s="1" t="s">
        <v>25</v>
      </c>
      <c r="T3979" s="1" t="str">
        <f t="shared" si="7910"/>
        <v>0</v>
      </c>
      <c r="U3979" s="1" t="str">
        <f t="shared" ref="U3979:U3987" si="7920">"0.0070"</f>
        <v>0.0070</v>
      </c>
    </row>
    <row r="3980" s="1" customFormat="1" spans="1:21">
      <c r="A3980" s="1" t="str">
        <f>"4601992083041"</f>
        <v>4601992083041</v>
      </c>
      <c r="B3980" s="1" t="s">
        <v>4003</v>
      </c>
      <c r="C3980" s="1" t="s">
        <v>24</v>
      </c>
      <c r="D3980" s="1" t="str">
        <f t="shared" si="7907"/>
        <v>2021</v>
      </c>
      <c r="E3980" s="1" t="str">
        <f t="shared" ref="E3980:P3980" si="7921">"0"</f>
        <v>0</v>
      </c>
      <c r="F3980" s="1" t="str">
        <f t="shared" si="7921"/>
        <v>0</v>
      </c>
      <c r="G3980" s="1" t="str">
        <f t="shared" si="7921"/>
        <v>0</v>
      </c>
      <c r="H3980" s="1" t="str">
        <f t="shared" si="7921"/>
        <v>0</v>
      </c>
      <c r="I3980" s="1" t="str">
        <f t="shared" si="7921"/>
        <v>0</v>
      </c>
      <c r="J3980" s="1" t="str">
        <f t="shared" si="7921"/>
        <v>0</v>
      </c>
      <c r="K3980" s="1" t="str">
        <f t="shared" si="7921"/>
        <v>0</v>
      </c>
      <c r="L3980" s="1" t="str">
        <f t="shared" si="7921"/>
        <v>0</v>
      </c>
      <c r="M3980" s="1" t="str">
        <f t="shared" si="7921"/>
        <v>0</v>
      </c>
      <c r="N3980" s="1" t="str">
        <f t="shared" si="7921"/>
        <v>0</v>
      </c>
      <c r="O3980" s="1" t="str">
        <f t="shared" si="7921"/>
        <v>0</v>
      </c>
      <c r="P3980" s="1" t="str">
        <f t="shared" si="7921"/>
        <v>0</v>
      </c>
      <c r="Q3980" s="1" t="str">
        <f t="shared" si="7909"/>
        <v>0.0070</v>
      </c>
      <c r="R3980" s="1" t="s">
        <v>25</v>
      </c>
      <c r="T3980" s="1" t="str">
        <f t="shared" si="7910"/>
        <v>0</v>
      </c>
      <c r="U3980" s="1" t="str">
        <f t="shared" si="7920"/>
        <v>0.0070</v>
      </c>
    </row>
    <row r="3981" s="1" customFormat="1" spans="1:21">
      <c r="A3981" s="1" t="str">
        <f>"4601992083124"</f>
        <v>4601992083124</v>
      </c>
      <c r="B3981" s="1" t="s">
        <v>4004</v>
      </c>
      <c r="C3981" s="1" t="s">
        <v>24</v>
      </c>
      <c r="D3981" s="1" t="str">
        <f t="shared" si="7907"/>
        <v>2021</v>
      </c>
      <c r="E3981" s="1" t="str">
        <f t="shared" ref="E3981:P3981" si="7922">"0"</f>
        <v>0</v>
      </c>
      <c r="F3981" s="1" t="str">
        <f t="shared" si="7922"/>
        <v>0</v>
      </c>
      <c r="G3981" s="1" t="str">
        <f t="shared" si="7922"/>
        <v>0</v>
      </c>
      <c r="H3981" s="1" t="str">
        <f t="shared" si="7922"/>
        <v>0</v>
      </c>
      <c r="I3981" s="1" t="str">
        <f t="shared" si="7922"/>
        <v>0</v>
      </c>
      <c r="J3981" s="1" t="str">
        <f t="shared" si="7922"/>
        <v>0</v>
      </c>
      <c r="K3981" s="1" t="str">
        <f t="shared" si="7922"/>
        <v>0</v>
      </c>
      <c r="L3981" s="1" t="str">
        <f t="shared" si="7922"/>
        <v>0</v>
      </c>
      <c r="M3981" s="1" t="str">
        <f t="shared" si="7922"/>
        <v>0</v>
      </c>
      <c r="N3981" s="1" t="str">
        <f t="shared" si="7922"/>
        <v>0</v>
      </c>
      <c r="O3981" s="1" t="str">
        <f t="shared" si="7922"/>
        <v>0</v>
      </c>
      <c r="P3981" s="1" t="str">
        <f t="shared" si="7922"/>
        <v>0</v>
      </c>
      <c r="Q3981" s="1" t="str">
        <f t="shared" si="7909"/>
        <v>0.0070</v>
      </c>
      <c r="R3981" s="1" t="s">
        <v>25</v>
      </c>
      <c r="T3981" s="1" t="str">
        <f t="shared" si="7910"/>
        <v>0</v>
      </c>
      <c r="U3981" s="1" t="str">
        <f t="shared" si="7920"/>
        <v>0.0070</v>
      </c>
    </row>
    <row r="3982" s="1" customFormat="1" spans="1:21">
      <c r="A3982" s="1" t="str">
        <f>"4601992083179"</f>
        <v>4601992083179</v>
      </c>
      <c r="B3982" s="1" t="s">
        <v>4005</v>
      </c>
      <c r="C3982" s="1" t="s">
        <v>24</v>
      </c>
      <c r="D3982" s="1" t="str">
        <f t="shared" si="7907"/>
        <v>2021</v>
      </c>
      <c r="E3982" s="1" t="str">
        <f t="shared" ref="E3982:P3982" si="7923">"0"</f>
        <v>0</v>
      </c>
      <c r="F3982" s="1" t="str">
        <f t="shared" si="7923"/>
        <v>0</v>
      </c>
      <c r="G3982" s="1" t="str">
        <f t="shared" si="7923"/>
        <v>0</v>
      </c>
      <c r="H3982" s="1" t="str">
        <f t="shared" si="7923"/>
        <v>0</v>
      </c>
      <c r="I3982" s="1" t="str">
        <f t="shared" si="7923"/>
        <v>0</v>
      </c>
      <c r="J3982" s="1" t="str">
        <f t="shared" si="7923"/>
        <v>0</v>
      </c>
      <c r="K3982" s="1" t="str">
        <f t="shared" si="7923"/>
        <v>0</v>
      </c>
      <c r="L3982" s="1" t="str">
        <f t="shared" si="7923"/>
        <v>0</v>
      </c>
      <c r="M3982" s="1" t="str">
        <f t="shared" si="7923"/>
        <v>0</v>
      </c>
      <c r="N3982" s="1" t="str">
        <f t="shared" si="7923"/>
        <v>0</v>
      </c>
      <c r="O3982" s="1" t="str">
        <f t="shared" si="7923"/>
        <v>0</v>
      </c>
      <c r="P3982" s="1" t="str">
        <f t="shared" si="7923"/>
        <v>0</v>
      </c>
      <c r="Q3982" s="1" t="str">
        <f t="shared" si="7909"/>
        <v>0.0070</v>
      </c>
      <c r="R3982" s="1" t="s">
        <v>25</v>
      </c>
      <c r="T3982" s="1" t="str">
        <f t="shared" si="7910"/>
        <v>0</v>
      </c>
      <c r="U3982" s="1" t="str">
        <f t="shared" si="7920"/>
        <v>0.0070</v>
      </c>
    </row>
    <row r="3983" s="1" customFormat="1" spans="1:21">
      <c r="A3983" s="1" t="str">
        <f>"4601992083192"</f>
        <v>4601992083192</v>
      </c>
      <c r="B3983" s="1" t="s">
        <v>4006</v>
      </c>
      <c r="C3983" s="1" t="s">
        <v>24</v>
      </c>
      <c r="D3983" s="1" t="str">
        <f t="shared" si="7907"/>
        <v>2021</v>
      </c>
      <c r="E3983" s="1" t="str">
        <f t="shared" ref="E3983:P3983" si="7924">"0"</f>
        <v>0</v>
      </c>
      <c r="F3983" s="1" t="str">
        <f t="shared" si="7924"/>
        <v>0</v>
      </c>
      <c r="G3983" s="1" t="str">
        <f t="shared" si="7924"/>
        <v>0</v>
      </c>
      <c r="H3983" s="1" t="str">
        <f t="shared" si="7924"/>
        <v>0</v>
      </c>
      <c r="I3983" s="1" t="str">
        <f t="shared" si="7924"/>
        <v>0</v>
      </c>
      <c r="J3983" s="1" t="str">
        <f t="shared" si="7924"/>
        <v>0</v>
      </c>
      <c r="K3983" s="1" t="str">
        <f t="shared" si="7924"/>
        <v>0</v>
      </c>
      <c r="L3983" s="1" t="str">
        <f t="shared" si="7924"/>
        <v>0</v>
      </c>
      <c r="M3983" s="1" t="str">
        <f t="shared" si="7924"/>
        <v>0</v>
      </c>
      <c r="N3983" s="1" t="str">
        <f t="shared" si="7924"/>
        <v>0</v>
      </c>
      <c r="O3983" s="1" t="str">
        <f t="shared" si="7924"/>
        <v>0</v>
      </c>
      <c r="P3983" s="1" t="str">
        <f t="shared" si="7924"/>
        <v>0</v>
      </c>
      <c r="Q3983" s="1" t="str">
        <f t="shared" si="7909"/>
        <v>0.0070</v>
      </c>
      <c r="R3983" s="1" t="s">
        <v>25</v>
      </c>
      <c r="T3983" s="1" t="str">
        <f t="shared" si="7910"/>
        <v>0</v>
      </c>
      <c r="U3983" s="1" t="str">
        <f t="shared" si="7920"/>
        <v>0.0070</v>
      </c>
    </row>
    <row r="3984" s="1" customFormat="1" spans="1:21">
      <c r="A3984" s="1" t="str">
        <f>"4601992083055"</f>
        <v>4601992083055</v>
      </c>
      <c r="B3984" s="1" t="s">
        <v>4007</v>
      </c>
      <c r="C3984" s="1" t="s">
        <v>24</v>
      </c>
      <c r="D3984" s="1" t="str">
        <f t="shared" si="7907"/>
        <v>2021</v>
      </c>
      <c r="E3984" s="1" t="str">
        <f t="shared" ref="E3984:I3984" si="7925">"0"</f>
        <v>0</v>
      </c>
      <c r="F3984" s="1" t="str">
        <f t="shared" si="7925"/>
        <v>0</v>
      </c>
      <c r="G3984" s="1" t="str">
        <f t="shared" si="7925"/>
        <v>0</v>
      </c>
      <c r="H3984" s="1" t="str">
        <f t="shared" si="7925"/>
        <v>0</v>
      </c>
      <c r="I3984" s="1" t="str">
        <f t="shared" si="7925"/>
        <v>0</v>
      </c>
      <c r="J3984" s="1" t="str">
        <f>"1"</f>
        <v>1</v>
      </c>
      <c r="K3984" s="1" t="str">
        <f t="shared" ref="K3984:P3984" si="7926">"0"</f>
        <v>0</v>
      </c>
      <c r="L3984" s="1" t="str">
        <f t="shared" si="7926"/>
        <v>0</v>
      </c>
      <c r="M3984" s="1" t="str">
        <f t="shared" si="7926"/>
        <v>0</v>
      </c>
      <c r="N3984" s="1" t="str">
        <f t="shared" si="7926"/>
        <v>0</v>
      </c>
      <c r="O3984" s="1" t="str">
        <f t="shared" si="7926"/>
        <v>0</v>
      </c>
      <c r="P3984" s="1" t="str">
        <f t="shared" si="7926"/>
        <v>0</v>
      </c>
      <c r="Q3984" s="1" t="str">
        <f t="shared" si="7909"/>
        <v>0.0070</v>
      </c>
      <c r="R3984" s="1" t="s">
        <v>25</v>
      </c>
      <c r="T3984" s="1" t="str">
        <f t="shared" si="7910"/>
        <v>0</v>
      </c>
      <c r="U3984" s="1" t="str">
        <f t="shared" si="7920"/>
        <v>0.0070</v>
      </c>
    </row>
    <row r="3985" s="1" customFormat="1" spans="1:21">
      <c r="A3985" s="1" t="str">
        <f>"4601992083235"</f>
        <v>4601992083235</v>
      </c>
      <c r="B3985" s="1" t="s">
        <v>4008</v>
      </c>
      <c r="C3985" s="1" t="s">
        <v>24</v>
      </c>
      <c r="D3985" s="1" t="str">
        <f t="shared" si="7907"/>
        <v>2021</v>
      </c>
      <c r="E3985" s="1" t="str">
        <f t="shared" ref="E3985:P3985" si="7927">"0"</f>
        <v>0</v>
      </c>
      <c r="F3985" s="1" t="str">
        <f t="shared" si="7927"/>
        <v>0</v>
      </c>
      <c r="G3985" s="1" t="str">
        <f t="shared" si="7927"/>
        <v>0</v>
      </c>
      <c r="H3985" s="1" t="str">
        <f t="shared" si="7927"/>
        <v>0</v>
      </c>
      <c r="I3985" s="1" t="str">
        <f t="shared" si="7927"/>
        <v>0</v>
      </c>
      <c r="J3985" s="1" t="str">
        <f t="shared" si="7927"/>
        <v>0</v>
      </c>
      <c r="K3985" s="1" t="str">
        <f t="shared" si="7927"/>
        <v>0</v>
      </c>
      <c r="L3985" s="1" t="str">
        <f t="shared" si="7927"/>
        <v>0</v>
      </c>
      <c r="M3985" s="1" t="str">
        <f t="shared" si="7927"/>
        <v>0</v>
      </c>
      <c r="N3985" s="1" t="str">
        <f t="shared" si="7927"/>
        <v>0</v>
      </c>
      <c r="O3985" s="1" t="str">
        <f t="shared" si="7927"/>
        <v>0</v>
      </c>
      <c r="P3985" s="1" t="str">
        <f t="shared" si="7927"/>
        <v>0</v>
      </c>
      <c r="Q3985" s="1" t="str">
        <f t="shared" si="7909"/>
        <v>0.0070</v>
      </c>
      <c r="R3985" s="1" t="s">
        <v>25</v>
      </c>
      <c r="T3985" s="1" t="str">
        <f t="shared" si="7910"/>
        <v>0</v>
      </c>
      <c r="U3985" s="1" t="str">
        <f t="shared" si="7920"/>
        <v>0.0070</v>
      </c>
    </row>
    <row r="3986" s="1" customFormat="1" spans="1:21">
      <c r="A3986" s="1" t="str">
        <f>"4601992083277"</f>
        <v>4601992083277</v>
      </c>
      <c r="B3986" s="1" t="s">
        <v>4009</v>
      </c>
      <c r="C3986" s="1" t="s">
        <v>24</v>
      </c>
      <c r="D3986" s="1" t="str">
        <f t="shared" si="7907"/>
        <v>2021</v>
      </c>
      <c r="E3986" s="1" t="str">
        <f t="shared" ref="E3986:P3986" si="7928">"0"</f>
        <v>0</v>
      </c>
      <c r="F3986" s="1" t="str">
        <f t="shared" si="7928"/>
        <v>0</v>
      </c>
      <c r="G3986" s="1" t="str">
        <f t="shared" si="7928"/>
        <v>0</v>
      </c>
      <c r="H3986" s="1" t="str">
        <f t="shared" si="7928"/>
        <v>0</v>
      </c>
      <c r="I3986" s="1" t="str">
        <f t="shared" si="7928"/>
        <v>0</v>
      </c>
      <c r="J3986" s="1" t="str">
        <f t="shared" si="7928"/>
        <v>0</v>
      </c>
      <c r="K3986" s="1" t="str">
        <f t="shared" si="7928"/>
        <v>0</v>
      </c>
      <c r="L3986" s="1" t="str">
        <f t="shared" si="7928"/>
        <v>0</v>
      </c>
      <c r="M3986" s="1" t="str">
        <f t="shared" si="7928"/>
        <v>0</v>
      </c>
      <c r="N3986" s="1" t="str">
        <f t="shared" si="7928"/>
        <v>0</v>
      </c>
      <c r="O3986" s="1" t="str">
        <f t="shared" si="7928"/>
        <v>0</v>
      </c>
      <c r="P3986" s="1" t="str">
        <f t="shared" si="7928"/>
        <v>0</v>
      </c>
      <c r="Q3986" s="1" t="str">
        <f t="shared" si="7909"/>
        <v>0.0070</v>
      </c>
      <c r="R3986" s="1" t="s">
        <v>25</v>
      </c>
      <c r="T3986" s="1" t="str">
        <f t="shared" si="7910"/>
        <v>0</v>
      </c>
      <c r="U3986" s="1" t="str">
        <f t="shared" si="7920"/>
        <v>0.0070</v>
      </c>
    </row>
    <row r="3987" s="1" customFormat="1" spans="1:21">
      <c r="A3987" s="1" t="str">
        <f>"4601992083313"</f>
        <v>4601992083313</v>
      </c>
      <c r="B3987" s="1" t="s">
        <v>4010</v>
      </c>
      <c r="C3987" s="1" t="s">
        <v>24</v>
      </c>
      <c r="D3987" s="1" t="str">
        <f t="shared" si="7907"/>
        <v>2021</v>
      </c>
      <c r="E3987" s="1" t="str">
        <f t="shared" ref="E3987:P3987" si="7929">"0"</f>
        <v>0</v>
      </c>
      <c r="F3987" s="1" t="str">
        <f t="shared" si="7929"/>
        <v>0</v>
      </c>
      <c r="G3987" s="1" t="str">
        <f t="shared" si="7929"/>
        <v>0</v>
      </c>
      <c r="H3987" s="1" t="str">
        <f t="shared" si="7929"/>
        <v>0</v>
      </c>
      <c r="I3987" s="1" t="str">
        <f t="shared" si="7929"/>
        <v>0</v>
      </c>
      <c r="J3987" s="1" t="str">
        <f t="shared" si="7929"/>
        <v>0</v>
      </c>
      <c r="K3987" s="1" t="str">
        <f t="shared" si="7929"/>
        <v>0</v>
      </c>
      <c r="L3987" s="1" t="str">
        <f t="shared" si="7929"/>
        <v>0</v>
      </c>
      <c r="M3987" s="1" t="str">
        <f t="shared" si="7929"/>
        <v>0</v>
      </c>
      <c r="N3987" s="1" t="str">
        <f t="shared" si="7929"/>
        <v>0</v>
      </c>
      <c r="O3987" s="1" t="str">
        <f t="shared" si="7929"/>
        <v>0</v>
      </c>
      <c r="P3987" s="1" t="str">
        <f t="shared" si="7929"/>
        <v>0</v>
      </c>
      <c r="Q3987" s="1" t="str">
        <f t="shared" si="7909"/>
        <v>0.0070</v>
      </c>
      <c r="R3987" s="1" t="s">
        <v>25</v>
      </c>
      <c r="T3987" s="1" t="str">
        <f t="shared" si="7910"/>
        <v>0</v>
      </c>
      <c r="U3987" s="1" t="str">
        <f t="shared" si="7920"/>
        <v>0.0070</v>
      </c>
    </row>
    <row r="3988" s="1" customFormat="1" spans="1:21">
      <c r="A3988" s="1" t="str">
        <f>"4601992083198"</f>
        <v>4601992083198</v>
      </c>
      <c r="B3988" s="1" t="s">
        <v>4011</v>
      </c>
      <c r="C3988" s="1" t="s">
        <v>24</v>
      </c>
      <c r="D3988" s="1" t="str">
        <f t="shared" si="7907"/>
        <v>2021</v>
      </c>
      <c r="E3988" s="1" t="str">
        <f>"11.98"</f>
        <v>11.98</v>
      </c>
      <c r="F3988" s="1" t="str">
        <f t="shared" ref="F3988:I3988" si="7930">"0"</f>
        <v>0</v>
      </c>
      <c r="G3988" s="1" t="str">
        <f t="shared" si="7930"/>
        <v>0</v>
      </c>
      <c r="H3988" s="1" t="str">
        <f t="shared" si="7930"/>
        <v>0</v>
      </c>
      <c r="I3988" s="1" t="str">
        <f t="shared" si="7930"/>
        <v>0</v>
      </c>
      <c r="J3988" s="1" t="str">
        <f>"1"</f>
        <v>1</v>
      </c>
      <c r="K3988" s="1" t="str">
        <f t="shared" ref="K3988:P3988" si="7931">"0"</f>
        <v>0</v>
      </c>
      <c r="L3988" s="1" t="str">
        <f t="shared" si="7931"/>
        <v>0</v>
      </c>
      <c r="M3988" s="1" t="str">
        <f t="shared" si="7931"/>
        <v>0</v>
      </c>
      <c r="N3988" s="1" t="str">
        <f t="shared" si="7931"/>
        <v>0</v>
      </c>
      <c r="O3988" s="1" t="str">
        <f t="shared" si="7931"/>
        <v>0</v>
      </c>
      <c r="P3988" s="1" t="str">
        <f t="shared" si="7931"/>
        <v>0</v>
      </c>
      <c r="Q3988" s="1" t="str">
        <f t="shared" si="7909"/>
        <v>0.0070</v>
      </c>
      <c r="R3988" s="1" t="s">
        <v>29</v>
      </c>
      <c r="S3988" s="1">
        <v>-0.0014</v>
      </c>
      <c r="T3988" s="1" t="str">
        <f t="shared" si="7910"/>
        <v>0</v>
      </c>
      <c r="U3988" s="1" t="str">
        <f>"0.0056"</f>
        <v>0.0056</v>
      </c>
    </row>
    <row r="3989" s="1" customFormat="1" spans="1:21">
      <c r="A3989" s="1" t="str">
        <f>"4601992083382"</f>
        <v>4601992083382</v>
      </c>
      <c r="B3989" s="1" t="s">
        <v>4012</v>
      </c>
      <c r="C3989" s="1" t="s">
        <v>24</v>
      </c>
      <c r="D3989" s="1" t="str">
        <f t="shared" si="7907"/>
        <v>2021</v>
      </c>
      <c r="E3989" s="1" t="str">
        <f t="shared" ref="E3989:P3989" si="7932">"0"</f>
        <v>0</v>
      </c>
      <c r="F3989" s="1" t="str">
        <f t="shared" si="7932"/>
        <v>0</v>
      </c>
      <c r="G3989" s="1" t="str">
        <f t="shared" si="7932"/>
        <v>0</v>
      </c>
      <c r="H3989" s="1" t="str">
        <f t="shared" si="7932"/>
        <v>0</v>
      </c>
      <c r="I3989" s="1" t="str">
        <f t="shared" si="7932"/>
        <v>0</v>
      </c>
      <c r="J3989" s="1" t="str">
        <f t="shared" si="7932"/>
        <v>0</v>
      </c>
      <c r="K3989" s="1" t="str">
        <f t="shared" si="7932"/>
        <v>0</v>
      </c>
      <c r="L3989" s="1" t="str">
        <f t="shared" si="7932"/>
        <v>0</v>
      </c>
      <c r="M3989" s="1" t="str">
        <f t="shared" si="7932"/>
        <v>0</v>
      </c>
      <c r="N3989" s="1" t="str">
        <f t="shared" si="7932"/>
        <v>0</v>
      </c>
      <c r="O3989" s="1" t="str">
        <f t="shared" si="7932"/>
        <v>0</v>
      </c>
      <c r="P3989" s="1" t="str">
        <f t="shared" si="7932"/>
        <v>0</v>
      </c>
      <c r="Q3989" s="1" t="str">
        <f t="shared" si="7909"/>
        <v>0.0070</v>
      </c>
      <c r="R3989" s="1" t="s">
        <v>25</v>
      </c>
      <c r="T3989" s="1" t="str">
        <f t="shared" si="7910"/>
        <v>0</v>
      </c>
      <c r="U3989" s="1" t="str">
        <f t="shared" ref="U3989:U3991" si="7933">"0.0070"</f>
        <v>0.0070</v>
      </c>
    </row>
    <row r="3990" s="1" customFormat="1" spans="1:21">
      <c r="A3990" s="1" t="str">
        <f>"4601992083437"</f>
        <v>4601992083437</v>
      </c>
      <c r="B3990" s="1" t="s">
        <v>4013</v>
      </c>
      <c r="C3990" s="1" t="s">
        <v>24</v>
      </c>
      <c r="D3990" s="1" t="str">
        <f t="shared" si="7907"/>
        <v>2021</v>
      </c>
      <c r="E3990" s="1" t="str">
        <f t="shared" ref="E3990:P3990" si="7934">"0"</f>
        <v>0</v>
      </c>
      <c r="F3990" s="1" t="str">
        <f t="shared" si="7934"/>
        <v>0</v>
      </c>
      <c r="G3990" s="1" t="str">
        <f t="shared" si="7934"/>
        <v>0</v>
      </c>
      <c r="H3990" s="1" t="str">
        <f t="shared" si="7934"/>
        <v>0</v>
      </c>
      <c r="I3990" s="1" t="str">
        <f t="shared" si="7934"/>
        <v>0</v>
      </c>
      <c r="J3990" s="1" t="str">
        <f t="shared" si="7934"/>
        <v>0</v>
      </c>
      <c r="K3990" s="1" t="str">
        <f t="shared" si="7934"/>
        <v>0</v>
      </c>
      <c r="L3990" s="1" t="str">
        <f t="shared" si="7934"/>
        <v>0</v>
      </c>
      <c r="M3990" s="1" t="str">
        <f t="shared" si="7934"/>
        <v>0</v>
      </c>
      <c r="N3990" s="1" t="str">
        <f t="shared" si="7934"/>
        <v>0</v>
      </c>
      <c r="O3990" s="1" t="str">
        <f t="shared" si="7934"/>
        <v>0</v>
      </c>
      <c r="P3990" s="1" t="str">
        <f t="shared" si="7934"/>
        <v>0</v>
      </c>
      <c r="Q3990" s="1" t="str">
        <f t="shared" si="7909"/>
        <v>0.0070</v>
      </c>
      <c r="R3990" s="1" t="s">
        <v>25</v>
      </c>
      <c r="T3990" s="1" t="str">
        <f t="shared" si="7910"/>
        <v>0</v>
      </c>
      <c r="U3990" s="1" t="str">
        <f t="shared" si="7933"/>
        <v>0.0070</v>
      </c>
    </row>
    <row r="3991" s="1" customFormat="1" spans="1:21">
      <c r="A3991" s="1" t="str">
        <f>"4601992083454"</f>
        <v>4601992083454</v>
      </c>
      <c r="B3991" s="1" t="s">
        <v>4014</v>
      </c>
      <c r="C3991" s="1" t="s">
        <v>24</v>
      </c>
      <c r="D3991" s="1" t="str">
        <f t="shared" si="7907"/>
        <v>2021</v>
      </c>
      <c r="E3991" s="1" t="str">
        <f t="shared" ref="E3991:P3991" si="7935">"0"</f>
        <v>0</v>
      </c>
      <c r="F3991" s="1" t="str">
        <f t="shared" si="7935"/>
        <v>0</v>
      </c>
      <c r="G3991" s="1" t="str">
        <f t="shared" si="7935"/>
        <v>0</v>
      </c>
      <c r="H3991" s="1" t="str">
        <f t="shared" si="7935"/>
        <v>0</v>
      </c>
      <c r="I3991" s="1" t="str">
        <f t="shared" si="7935"/>
        <v>0</v>
      </c>
      <c r="J3991" s="1" t="str">
        <f t="shared" si="7935"/>
        <v>0</v>
      </c>
      <c r="K3991" s="1" t="str">
        <f t="shared" si="7935"/>
        <v>0</v>
      </c>
      <c r="L3991" s="1" t="str">
        <f t="shared" si="7935"/>
        <v>0</v>
      </c>
      <c r="M3991" s="1" t="str">
        <f t="shared" si="7935"/>
        <v>0</v>
      </c>
      <c r="N3991" s="1" t="str">
        <f t="shared" si="7935"/>
        <v>0</v>
      </c>
      <c r="O3991" s="1" t="str">
        <f t="shared" si="7935"/>
        <v>0</v>
      </c>
      <c r="P3991" s="1" t="str">
        <f t="shared" si="7935"/>
        <v>0</v>
      </c>
      <c r="Q3991" s="1" t="str">
        <f t="shared" si="7909"/>
        <v>0.0070</v>
      </c>
      <c r="R3991" s="1" t="s">
        <v>25</v>
      </c>
      <c r="T3991" s="1" t="str">
        <f t="shared" si="7910"/>
        <v>0</v>
      </c>
      <c r="U3991" s="1" t="str">
        <f t="shared" si="7933"/>
        <v>0.0070</v>
      </c>
    </row>
    <row r="3992" s="1" customFormat="1" spans="1:21">
      <c r="A3992" s="1" t="str">
        <f>"4601992083433"</f>
        <v>4601992083433</v>
      </c>
      <c r="B3992" s="1" t="s">
        <v>4015</v>
      </c>
      <c r="C3992" s="1" t="s">
        <v>24</v>
      </c>
      <c r="D3992" s="1" t="str">
        <f t="shared" si="7907"/>
        <v>2021</v>
      </c>
      <c r="E3992" s="1" t="str">
        <f>"23.96"</f>
        <v>23.96</v>
      </c>
      <c r="F3992" s="1" t="str">
        <f t="shared" ref="F3992:I3992" si="7936">"0"</f>
        <v>0</v>
      </c>
      <c r="G3992" s="1" t="str">
        <f t="shared" si="7936"/>
        <v>0</v>
      </c>
      <c r="H3992" s="1" t="str">
        <f t="shared" si="7936"/>
        <v>0</v>
      </c>
      <c r="I3992" s="1" t="str">
        <f t="shared" si="7936"/>
        <v>0</v>
      </c>
      <c r="J3992" s="1" t="str">
        <f>"2"</f>
        <v>2</v>
      </c>
      <c r="K3992" s="1" t="str">
        <f t="shared" ref="K3992:P3992" si="7937">"0"</f>
        <v>0</v>
      </c>
      <c r="L3992" s="1" t="str">
        <f t="shared" si="7937"/>
        <v>0</v>
      </c>
      <c r="M3992" s="1" t="str">
        <f t="shared" si="7937"/>
        <v>0</v>
      </c>
      <c r="N3992" s="1" t="str">
        <f t="shared" si="7937"/>
        <v>0</v>
      </c>
      <c r="O3992" s="1" t="str">
        <f t="shared" si="7937"/>
        <v>0</v>
      </c>
      <c r="P3992" s="1" t="str">
        <f t="shared" si="7937"/>
        <v>0</v>
      </c>
      <c r="Q3992" s="1" t="str">
        <f t="shared" si="7909"/>
        <v>0.0070</v>
      </c>
      <c r="R3992" s="1" t="s">
        <v>29</v>
      </c>
      <c r="S3992" s="1">
        <v>-0.0014</v>
      </c>
      <c r="T3992" s="1" t="str">
        <f t="shared" si="7910"/>
        <v>0</v>
      </c>
      <c r="U3992" s="1" t="str">
        <f>"0.0056"</f>
        <v>0.0056</v>
      </c>
    </row>
    <row r="3993" s="1" customFormat="1" spans="1:21">
      <c r="A3993" s="1" t="str">
        <f>"4601992083474"</f>
        <v>4601992083474</v>
      </c>
      <c r="B3993" s="1" t="s">
        <v>4016</v>
      </c>
      <c r="C3993" s="1" t="s">
        <v>24</v>
      </c>
      <c r="D3993" s="1" t="str">
        <f t="shared" si="7907"/>
        <v>2021</v>
      </c>
      <c r="E3993" s="1" t="str">
        <f t="shared" ref="E3993:P3993" si="7938">"0"</f>
        <v>0</v>
      </c>
      <c r="F3993" s="1" t="str">
        <f t="shared" si="7938"/>
        <v>0</v>
      </c>
      <c r="G3993" s="1" t="str">
        <f t="shared" si="7938"/>
        <v>0</v>
      </c>
      <c r="H3993" s="1" t="str">
        <f t="shared" si="7938"/>
        <v>0</v>
      </c>
      <c r="I3993" s="1" t="str">
        <f t="shared" si="7938"/>
        <v>0</v>
      </c>
      <c r="J3993" s="1" t="str">
        <f t="shared" si="7938"/>
        <v>0</v>
      </c>
      <c r="K3993" s="1" t="str">
        <f t="shared" si="7938"/>
        <v>0</v>
      </c>
      <c r="L3993" s="1" t="str">
        <f t="shared" si="7938"/>
        <v>0</v>
      </c>
      <c r="M3993" s="1" t="str">
        <f t="shared" si="7938"/>
        <v>0</v>
      </c>
      <c r="N3993" s="1" t="str">
        <f t="shared" si="7938"/>
        <v>0</v>
      </c>
      <c r="O3993" s="1" t="str">
        <f t="shared" si="7938"/>
        <v>0</v>
      </c>
      <c r="P3993" s="1" t="str">
        <f t="shared" si="7938"/>
        <v>0</v>
      </c>
      <c r="Q3993" s="1" t="str">
        <f t="shared" si="7909"/>
        <v>0.0070</v>
      </c>
      <c r="R3993" s="1" t="s">
        <v>25</v>
      </c>
      <c r="T3993" s="1" t="str">
        <f t="shared" si="7910"/>
        <v>0</v>
      </c>
      <c r="U3993" s="1" t="str">
        <f t="shared" ref="U3993:U3998" si="7939">"0.0070"</f>
        <v>0.0070</v>
      </c>
    </row>
    <row r="3994" s="1" customFormat="1" spans="1:21">
      <c r="A3994" s="1" t="str">
        <f>"4601992083487"</f>
        <v>4601992083487</v>
      </c>
      <c r="B3994" s="1" t="s">
        <v>4017</v>
      </c>
      <c r="C3994" s="1" t="s">
        <v>24</v>
      </c>
      <c r="D3994" s="1" t="str">
        <f t="shared" si="7907"/>
        <v>2021</v>
      </c>
      <c r="E3994" s="1" t="str">
        <f t="shared" ref="E3994:P3994" si="7940">"0"</f>
        <v>0</v>
      </c>
      <c r="F3994" s="1" t="str">
        <f t="shared" si="7940"/>
        <v>0</v>
      </c>
      <c r="G3994" s="1" t="str">
        <f t="shared" si="7940"/>
        <v>0</v>
      </c>
      <c r="H3994" s="1" t="str">
        <f t="shared" si="7940"/>
        <v>0</v>
      </c>
      <c r="I3994" s="1" t="str">
        <f t="shared" si="7940"/>
        <v>0</v>
      </c>
      <c r="J3994" s="1" t="str">
        <f t="shared" si="7940"/>
        <v>0</v>
      </c>
      <c r="K3994" s="1" t="str">
        <f t="shared" si="7940"/>
        <v>0</v>
      </c>
      <c r="L3994" s="1" t="str">
        <f t="shared" si="7940"/>
        <v>0</v>
      </c>
      <c r="M3994" s="1" t="str">
        <f t="shared" si="7940"/>
        <v>0</v>
      </c>
      <c r="N3994" s="1" t="str">
        <f t="shared" si="7940"/>
        <v>0</v>
      </c>
      <c r="O3994" s="1" t="str">
        <f t="shared" si="7940"/>
        <v>0</v>
      </c>
      <c r="P3994" s="1" t="str">
        <f t="shared" si="7940"/>
        <v>0</v>
      </c>
      <c r="Q3994" s="1" t="str">
        <f t="shared" si="7909"/>
        <v>0.0070</v>
      </c>
      <c r="R3994" s="1" t="s">
        <v>25</v>
      </c>
      <c r="T3994" s="1" t="str">
        <f t="shared" si="7910"/>
        <v>0</v>
      </c>
      <c r="U3994" s="1" t="str">
        <f t="shared" si="7939"/>
        <v>0.0070</v>
      </c>
    </row>
    <row r="3995" s="1" customFormat="1" spans="1:21">
      <c r="A3995" s="1" t="str">
        <f>"4601992083492"</f>
        <v>4601992083492</v>
      </c>
      <c r="B3995" s="1" t="s">
        <v>4018</v>
      </c>
      <c r="C3995" s="1" t="s">
        <v>24</v>
      </c>
      <c r="D3995" s="1" t="str">
        <f t="shared" si="7907"/>
        <v>2021</v>
      </c>
      <c r="E3995" s="1" t="str">
        <f t="shared" ref="E3995:P3995" si="7941">"0"</f>
        <v>0</v>
      </c>
      <c r="F3995" s="1" t="str">
        <f t="shared" si="7941"/>
        <v>0</v>
      </c>
      <c r="G3995" s="1" t="str">
        <f t="shared" si="7941"/>
        <v>0</v>
      </c>
      <c r="H3995" s="1" t="str">
        <f t="shared" si="7941"/>
        <v>0</v>
      </c>
      <c r="I3995" s="1" t="str">
        <f t="shared" si="7941"/>
        <v>0</v>
      </c>
      <c r="J3995" s="1" t="str">
        <f t="shared" si="7941"/>
        <v>0</v>
      </c>
      <c r="K3995" s="1" t="str">
        <f t="shared" si="7941"/>
        <v>0</v>
      </c>
      <c r="L3995" s="1" t="str">
        <f t="shared" si="7941"/>
        <v>0</v>
      </c>
      <c r="M3995" s="1" t="str">
        <f t="shared" si="7941"/>
        <v>0</v>
      </c>
      <c r="N3995" s="1" t="str">
        <f t="shared" si="7941"/>
        <v>0</v>
      </c>
      <c r="O3995" s="1" t="str">
        <f t="shared" si="7941"/>
        <v>0</v>
      </c>
      <c r="P3995" s="1" t="str">
        <f t="shared" si="7941"/>
        <v>0</v>
      </c>
      <c r="Q3995" s="1" t="str">
        <f t="shared" si="7909"/>
        <v>0.0070</v>
      </c>
      <c r="R3995" s="1" t="s">
        <v>25</v>
      </c>
      <c r="T3995" s="1" t="str">
        <f t="shared" si="7910"/>
        <v>0</v>
      </c>
      <c r="U3995" s="1" t="str">
        <f t="shared" si="7939"/>
        <v>0.0070</v>
      </c>
    </row>
    <row r="3996" s="1" customFormat="1" spans="1:21">
      <c r="A3996" s="1" t="str">
        <f>"4601992083552"</f>
        <v>4601992083552</v>
      </c>
      <c r="B3996" s="1" t="s">
        <v>4019</v>
      </c>
      <c r="C3996" s="1" t="s">
        <v>24</v>
      </c>
      <c r="D3996" s="1" t="str">
        <f t="shared" si="7907"/>
        <v>2021</v>
      </c>
      <c r="E3996" s="1" t="str">
        <f t="shared" ref="E3996:P3996" si="7942">"0"</f>
        <v>0</v>
      </c>
      <c r="F3996" s="1" t="str">
        <f t="shared" si="7942"/>
        <v>0</v>
      </c>
      <c r="G3996" s="1" t="str">
        <f t="shared" si="7942"/>
        <v>0</v>
      </c>
      <c r="H3996" s="1" t="str">
        <f t="shared" si="7942"/>
        <v>0</v>
      </c>
      <c r="I3996" s="1" t="str">
        <f t="shared" si="7942"/>
        <v>0</v>
      </c>
      <c r="J3996" s="1" t="str">
        <f t="shared" si="7942"/>
        <v>0</v>
      </c>
      <c r="K3996" s="1" t="str">
        <f t="shared" si="7942"/>
        <v>0</v>
      </c>
      <c r="L3996" s="1" t="str">
        <f t="shared" si="7942"/>
        <v>0</v>
      </c>
      <c r="M3996" s="1" t="str">
        <f t="shared" si="7942"/>
        <v>0</v>
      </c>
      <c r="N3996" s="1" t="str">
        <f t="shared" si="7942"/>
        <v>0</v>
      </c>
      <c r="O3996" s="1" t="str">
        <f t="shared" si="7942"/>
        <v>0</v>
      </c>
      <c r="P3996" s="1" t="str">
        <f t="shared" si="7942"/>
        <v>0</v>
      </c>
      <c r="Q3996" s="1" t="str">
        <f t="shared" si="7909"/>
        <v>0.0070</v>
      </c>
      <c r="R3996" s="1" t="s">
        <v>25</v>
      </c>
      <c r="T3996" s="1" t="str">
        <f t="shared" si="7910"/>
        <v>0</v>
      </c>
      <c r="U3996" s="1" t="str">
        <f t="shared" si="7939"/>
        <v>0.0070</v>
      </c>
    </row>
    <row r="3997" s="1" customFormat="1" spans="1:21">
      <c r="A3997" s="1" t="str">
        <f>"4601992083488"</f>
        <v>4601992083488</v>
      </c>
      <c r="B3997" s="1" t="s">
        <v>4020</v>
      </c>
      <c r="C3997" s="1" t="s">
        <v>24</v>
      </c>
      <c r="D3997" s="1" t="str">
        <f t="shared" si="7907"/>
        <v>2021</v>
      </c>
      <c r="E3997" s="1" t="str">
        <f t="shared" ref="E3997:I3997" si="7943">"0"</f>
        <v>0</v>
      </c>
      <c r="F3997" s="1" t="str">
        <f t="shared" si="7943"/>
        <v>0</v>
      </c>
      <c r="G3997" s="1" t="str">
        <f t="shared" si="7943"/>
        <v>0</v>
      </c>
      <c r="H3997" s="1" t="str">
        <f t="shared" si="7943"/>
        <v>0</v>
      </c>
      <c r="I3997" s="1" t="str">
        <f t="shared" si="7943"/>
        <v>0</v>
      </c>
      <c r="J3997" s="1" t="str">
        <f>"2"</f>
        <v>2</v>
      </c>
      <c r="K3997" s="1" t="str">
        <f t="shared" ref="K3997:P3997" si="7944">"0"</f>
        <v>0</v>
      </c>
      <c r="L3997" s="1" t="str">
        <f t="shared" si="7944"/>
        <v>0</v>
      </c>
      <c r="M3997" s="1" t="str">
        <f t="shared" si="7944"/>
        <v>0</v>
      </c>
      <c r="N3997" s="1" t="str">
        <f t="shared" si="7944"/>
        <v>0</v>
      </c>
      <c r="O3997" s="1" t="str">
        <f t="shared" si="7944"/>
        <v>0</v>
      </c>
      <c r="P3997" s="1" t="str">
        <f t="shared" si="7944"/>
        <v>0</v>
      </c>
      <c r="Q3997" s="1" t="str">
        <f t="shared" si="7909"/>
        <v>0.0070</v>
      </c>
      <c r="R3997" s="1" t="s">
        <v>25</v>
      </c>
      <c r="T3997" s="1" t="str">
        <f t="shared" si="7910"/>
        <v>0</v>
      </c>
      <c r="U3997" s="1" t="str">
        <f t="shared" si="7939"/>
        <v>0.0070</v>
      </c>
    </row>
    <row r="3998" s="1" customFormat="1" spans="1:21">
      <c r="A3998" s="1" t="str">
        <f>"4601992083544"</f>
        <v>4601992083544</v>
      </c>
      <c r="B3998" s="1" t="s">
        <v>4021</v>
      </c>
      <c r="C3998" s="1" t="s">
        <v>24</v>
      </c>
      <c r="D3998" s="1" t="str">
        <f t="shared" si="7907"/>
        <v>2021</v>
      </c>
      <c r="E3998" s="1" t="str">
        <f t="shared" ref="E3998:I3998" si="7945">"0"</f>
        <v>0</v>
      </c>
      <c r="F3998" s="1" t="str">
        <f t="shared" si="7945"/>
        <v>0</v>
      </c>
      <c r="G3998" s="1" t="str">
        <f t="shared" si="7945"/>
        <v>0</v>
      </c>
      <c r="H3998" s="1" t="str">
        <f t="shared" si="7945"/>
        <v>0</v>
      </c>
      <c r="I3998" s="1" t="str">
        <f t="shared" si="7945"/>
        <v>0</v>
      </c>
      <c r="J3998" s="1" t="str">
        <f>"2"</f>
        <v>2</v>
      </c>
      <c r="K3998" s="1" t="str">
        <f t="shared" ref="K3998:P3998" si="7946">"0"</f>
        <v>0</v>
      </c>
      <c r="L3998" s="1" t="str">
        <f t="shared" si="7946"/>
        <v>0</v>
      </c>
      <c r="M3998" s="1" t="str">
        <f t="shared" si="7946"/>
        <v>0</v>
      </c>
      <c r="N3998" s="1" t="str">
        <f t="shared" si="7946"/>
        <v>0</v>
      </c>
      <c r="O3998" s="1" t="str">
        <f t="shared" si="7946"/>
        <v>0</v>
      </c>
      <c r="P3998" s="1" t="str">
        <f t="shared" si="7946"/>
        <v>0</v>
      </c>
      <c r="Q3998" s="1" t="str">
        <f t="shared" si="7909"/>
        <v>0.0070</v>
      </c>
      <c r="R3998" s="1" t="s">
        <v>25</v>
      </c>
      <c r="T3998" s="1" t="str">
        <f t="shared" si="7910"/>
        <v>0</v>
      </c>
      <c r="U3998" s="1" t="str">
        <f t="shared" si="7939"/>
        <v>0.0070</v>
      </c>
    </row>
    <row r="3999" s="1" customFormat="1" spans="1:21">
      <c r="A3999" s="1" t="str">
        <f>"4601992083560"</f>
        <v>4601992083560</v>
      </c>
      <c r="B3999" s="1" t="s">
        <v>4022</v>
      </c>
      <c r="C3999" s="1" t="s">
        <v>24</v>
      </c>
      <c r="D3999" s="1" t="str">
        <f t="shared" si="7907"/>
        <v>2021</v>
      </c>
      <c r="E3999" s="1" t="str">
        <f>"11.98"</f>
        <v>11.98</v>
      </c>
      <c r="F3999" s="1" t="str">
        <f t="shared" ref="F3999:I3999" si="7947">"0"</f>
        <v>0</v>
      </c>
      <c r="G3999" s="1" t="str">
        <f t="shared" si="7947"/>
        <v>0</v>
      </c>
      <c r="H3999" s="1" t="str">
        <f t="shared" si="7947"/>
        <v>0</v>
      </c>
      <c r="I3999" s="1" t="str">
        <f t="shared" si="7947"/>
        <v>0</v>
      </c>
      <c r="J3999" s="1" t="str">
        <f>"1"</f>
        <v>1</v>
      </c>
      <c r="K3999" s="1" t="str">
        <f t="shared" ref="K3999:P3999" si="7948">"0"</f>
        <v>0</v>
      </c>
      <c r="L3999" s="1" t="str">
        <f t="shared" si="7948"/>
        <v>0</v>
      </c>
      <c r="M3999" s="1" t="str">
        <f t="shared" si="7948"/>
        <v>0</v>
      </c>
      <c r="N3999" s="1" t="str">
        <f t="shared" si="7948"/>
        <v>0</v>
      </c>
      <c r="O3999" s="1" t="str">
        <f t="shared" si="7948"/>
        <v>0</v>
      </c>
      <c r="P3999" s="1" t="str">
        <f t="shared" si="7948"/>
        <v>0</v>
      </c>
      <c r="Q3999" s="1" t="str">
        <f t="shared" si="7909"/>
        <v>0.0070</v>
      </c>
      <c r="R3999" s="1" t="s">
        <v>29</v>
      </c>
      <c r="S3999" s="1">
        <v>-0.0014</v>
      </c>
      <c r="T3999" s="1" t="str">
        <f t="shared" si="7910"/>
        <v>0</v>
      </c>
      <c r="U3999" s="1" t="str">
        <f>"0.0056"</f>
        <v>0.0056</v>
      </c>
    </row>
    <row r="4000" s="1" customFormat="1" spans="1:21">
      <c r="A4000" s="1" t="str">
        <f>"4601992083691"</f>
        <v>4601992083691</v>
      </c>
      <c r="B4000" s="1" t="s">
        <v>4023</v>
      </c>
      <c r="C4000" s="1" t="s">
        <v>24</v>
      </c>
      <c r="D4000" s="1" t="str">
        <f t="shared" si="7907"/>
        <v>2021</v>
      </c>
      <c r="E4000" s="1" t="str">
        <f t="shared" ref="E4000:P4000" si="7949">"0"</f>
        <v>0</v>
      </c>
      <c r="F4000" s="1" t="str">
        <f t="shared" si="7949"/>
        <v>0</v>
      </c>
      <c r="G4000" s="1" t="str">
        <f t="shared" si="7949"/>
        <v>0</v>
      </c>
      <c r="H4000" s="1" t="str">
        <f t="shared" si="7949"/>
        <v>0</v>
      </c>
      <c r="I4000" s="1" t="str">
        <f t="shared" si="7949"/>
        <v>0</v>
      </c>
      <c r="J4000" s="1" t="str">
        <f t="shared" si="7949"/>
        <v>0</v>
      </c>
      <c r="K4000" s="1" t="str">
        <f t="shared" si="7949"/>
        <v>0</v>
      </c>
      <c r="L4000" s="1" t="str">
        <f t="shared" si="7949"/>
        <v>0</v>
      </c>
      <c r="M4000" s="1" t="str">
        <f t="shared" si="7949"/>
        <v>0</v>
      </c>
      <c r="N4000" s="1" t="str">
        <f t="shared" si="7949"/>
        <v>0</v>
      </c>
      <c r="O4000" s="1" t="str">
        <f t="shared" si="7949"/>
        <v>0</v>
      </c>
      <c r="P4000" s="1" t="str">
        <f t="shared" si="7949"/>
        <v>0</v>
      </c>
      <c r="Q4000" s="1" t="str">
        <f t="shared" si="7909"/>
        <v>0.0070</v>
      </c>
      <c r="R4000" s="1" t="s">
        <v>25</v>
      </c>
      <c r="T4000" s="1" t="str">
        <f t="shared" si="7910"/>
        <v>0</v>
      </c>
      <c r="U4000" s="1" t="str">
        <f t="shared" ref="U4000:U4030" si="7950">"0.0070"</f>
        <v>0.0070</v>
      </c>
    </row>
    <row r="4001" s="1" customFormat="1" spans="1:21">
      <c r="A4001" s="1" t="str">
        <f>"4601992083747"</f>
        <v>4601992083747</v>
      </c>
      <c r="B4001" s="1" t="s">
        <v>4024</v>
      </c>
      <c r="C4001" s="1" t="s">
        <v>24</v>
      </c>
      <c r="D4001" s="1" t="str">
        <f t="shared" si="7907"/>
        <v>2021</v>
      </c>
      <c r="E4001" s="1" t="str">
        <f t="shared" ref="E4001:P4001" si="7951">"0"</f>
        <v>0</v>
      </c>
      <c r="F4001" s="1" t="str">
        <f t="shared" si="7951"/>
        <v>0</v>
      </c>
      <c r="G4001" s="1" t="str">
        <f t="shared" si="7951"/>
        <v>0</v>
      </c>
      <c r="H4001" s="1" t="str">
        <f t="shared" si="7951"/>
        <v>0</v>
      </c>
      <c r="I4001" s="1" t="str">
        <f t="shared" si="7951"/>
        <v>0</v>
      </c>
      <c r="J4001" s="1" t="str">
        <f t="shared" si="7951"/>
        <v>0</v>
      </c>
      <c r="K4001" s="1" t="str">
        <f t="shared" si="7951"/>
        <v>0</v>
      </c>
      <c r="L4001" s="1" t="str">
        <f t="shared" si="7951"/>
        <v>0</v>
      </c>
      <c r="M4001" s="1" t="str">
        <f t="shared" si="7951"/>
        <v>0</v>
      </c>
      <c r="N4001" s="1" t="str">
        <f t="shared" si="7951"/>
        <v>0</v>
      </c>
      <c r="O4001" s="1" t="str">
        <f t="shared" si="7951"/>
        <v>0</v>
      </c>
      <c r="P4001" s="1" t="str">
        <f t="shared" si="7951"/>
        <v>0</v>
      </c>
      <c r="Q4001" s="1" t="str">
        <f t="shared" si="7909"/>
        <v>0.0070</v>
      </c>
      <c r="R4001" s="1" t="s">
        <v>25</v>
      </c>
      <c r="T4001" s="1" t="str">
        <f t="shared" si="7910"/>
        <v>0</v>
      </c>
      <c r="U4001" s="1" t="str">
        <f t="shared" si="7950"/>
        <v>0.0070</v>
      </c>
    </row>
    <row r="4002" s="1" customFormat="1" spans="1:21">
      <c r="A4002" s="1" t="str">
        <f>"4601992083620"</f>
        <v>4601992083620</v>
      </c>
      <c r="B4002" s="1" t="s">
        <v>4025</v>
      </c>
      <c r="C4002" s="1" t="s">
        <v>24</v>
      </c>
      <c r="D4002" s="1" t="str">
        <f t="shared" si="7907"/>
        <v>2021</v>
      </c>
      <c r="E4002" s="1" t="str">
        <f t="shared" ref="E4002:I4002" si="7952">"0"</f>
        <v>0</v>
      </c>
      <c r="F4002" s="1" t="str">
        <f t="shared" si="7952"/>
        <v>0</v>
      </c>
      <c r="G4002" s="1" t="str">
        <f t="shared" si="7952"/>
        <v>0</v>
      </c>
      <c r="H4002" s="1" t="str">
        <f t="shared" si="7952"/>
        <v>0</v>
      </c>
      <c r="I4002" s="1" t="str">
        <f t="shared" si="7952"/>
        <v>0</v>
      </c>
      <c r="J4002" s="1" t="str">
        <f>"1"</f>
        <v>1</v>
      </c>
      <c r="K4002" s="1" t="str">
        <f t="shared" ref="K4002:P4002" si="7953">"0"</f>
        <v>0</v>
      </c>
      <c r="L4002" s="1" t="str">
        <f t="shared" si="7953"/>
        <v>0</v>
      </c>
      <c r="M4002" s="1" t="str">
        <f t="shared" si="7953"/>
        <v>0</v>
      </c>
      <c r="N4002" s="1" t="str">
        <f t="shared" si="7953"/>
        <v>0</v>
      </c>
      <c r="O4002" s="1" t="str">
        <f t="shared" si="7953"/>
        <v>0</v>
      </c>
      <c r="P4002" s="1" t="str">
        <f t="shared" si="7953"/>
        <v>0</v>
      </c>
      <c r="Q4002" s="1" t="str">
        <f t="shared" si="7909"/>
        <v>0.0070</v>
      </c>
      <c r="R4002" s="1" t="s">
        <v>25</v>
      </c>
      <c r="T4002" s="1" t="str">
        <f t="shared" si="7910"/>
        <v>0</v>
      </c>
      <c r="U4002" s="1" t="str">
        <f t="shared" si="7950"/>
        <v>0.0070</v>
      </c>
    </row>
    <row r="4003" s="1" customFormat="1" spans="1:21">
      <c r="A4003" s="1" t="str">
        <f>"4601992083767"</f>
        <v>4601992083767</v>
      </c>
      <c r="B4003" s="1" t="s">
        <v>4026</v>
      </c>
      <c r="C4003" s="1" t="s">
        <v>24</v>
      </c>
      <c r="D4003" s="1" t="str">
        <f t="shared" si="7907"/>
        <v>2021</v>
      </c>
      <c r="E4003" s="1" t="str">
        <f t="shared" ref="E4003:P4003" si="7954">"0"</f>
        <v>0</v>
      </c>
      <c r="F4003" s="1" t="str">
        <f t="shared" si="7954"/>
        <v>0</v>
      </c>
      <c r="G4003" s="1" t="str">
        <f t="shared" si="7954"/>
        <v>0</v>
      </c>
      <c r="H4003" s="1" t="str">
        <f t="shared" si="7954"/>
        <v>0</v>
      </c>
      <c r="I4003" s="1" t="str">
        <f t="shared" si="7954"/>
        <v>0</v>
      </c>
      <c r="J4003" s="1" t="str">
        <f t="shared" si="7954"/>
        <v>0</v>
      </c>
      <c r="K4003" s="1" t="str">
        <f t="shared" si="7954"/>
        <v>0</v>
      </c>
      <c r="L4003" s="1" t="str">
        <f t="shared" si="7954"/>
        <v>0</v>
      </c>
      <c r="M4003" s="1" t="str">
        <f t="shared" si="7954"/>
        <v>0</v>
      </c>
      <c r="N4003" s="1" t="str">
        <f t="shared" si="7954"/>
        <v>0</v>
      </c>
      <c r="O4003" s="1" t="str">
        <f t="shared" si="7954"/>
        <v>0</v>
      </c>
      <c r="P4003" s="1" t="str">
        <f t="shared" si="7954"/>
        <v>0</v>
      </c>
      <c r="Q4003" s="1" t="str">
        <f t="shared" si="7909"/>
        <v>0.0070</v>
      </c>
      <c r="R4003" s="1" t="s">
        <v>25</v>
      </c>
      <c r="T4003" s="1" t="str">
        <f t="shared" si="7910"/>
        <v>0</v>
      </c>
      <c r="U4003" s="1" t="str">
        <f t="shared" si="7950"/>
        <v>0.0070</v>
      </c>
    </row>
    <row r="4004" s="1" customFormat="1" spans="1:21">
      <c r="A4004" s="1" t="str">
        <f>"4601992083855"</f>
        <v>4601992083855</v>
      </c>
      <c r="B4004" s="1" t="s">
        <v>4027</v>
      </c>
      <c r="C4004" s="1" t="s">
        <v>24</v>
      </c>
      <c r="D4004" s="1" t="str">
        <f t="shared" si="7907"/>
        <v>2021</v>
      </c>
      <c r="E4004" s="1" t="str">
        <f t="shared" ref="E4004:P4004" si="7955">"0"</f>
        <v>0</v>
      </c>
      <c r="F4004" s="1" t="str">
        <f t="shared" si="7955"/>
        <v>0</v>
      </c>
      <c r="G4004" s="1" t="str">
        <f t="shared" si="7955"/>
        <v>0</v>
      </c>
      <c r="H4004" s="1" t="str">
        <f t="shared" si="7955"/>
        <v>0</v>
      </c>
      <c r="I4004" s="1" t="str">
        <f t="shared" si="7955"/>
        <v>0</v>
      </c>
      <c r="J4004" s="1" t="str">
        <f t="shared" si="7955"/>
        <v>0</v>
      </c>
      <c r="K4004" s="1" t="str">
        <f t="shared" si="7955"/>
        <v>0</v>
      </c>
      <c r="L4004" s="1" t="str">
        <f t="shared" si="7955"/>
        <v>0</v>
      </c>
      <c r="M4004" s="1" t="str">
        <f t="shared" si="7955"/>
        <v>0</v>
      </c>
      <c r="N4004" s="1" t="str">
        <f t="shared" si="7955"/>
        <v>0</v>
      </c>
      <c r="O4004" s="1" t="str">
        <f t="shared" si="7955"/>
        <v>0</v>
      </c>
      <c r="P4004" s="1" t="str">
        <f t="shared" si="7955"/>
        <v>0</v>
      </c>
      <c r="Q4004" s="1" t="str">
        <f t="shared" si="7909"/>
        <v>0.0070</v>
      </c>
      <c r="R4004" s="1" t="s">
        <v>25</v>
      </c>
      <c r="T4004" s="1" t="str">
        <f t="shared" si="7910"/>
        <v>0</v>
      </c>
      <c r="U4004" s="1" t="str">
        <f t="shared" si="7950"/>
        <v>0.0070</v>
      </c>
    </row>
    <row r="4005" s="1" customFormat="1" spans="1:21">
      <c r="A4005" s="1" t="str">
        <f>"4601992084097"</f>
        <v>4601992084097</v>
      </c>
      <c r="B4005" s="1" t="s">
        <v>4028</v>
      </c>
      <c r="C4005" s="1" t="s">
        <v>24</v>
      </c>
      <c r="D4005" s="1" t="str">
        <f t="shared" si="7907"/>
        <v>2021</v>
      </c>
      <c r="E4005" s="1" t="str">
        <f t="shared" ref="E4005:P4005" si="7956">"0"</f>
        <v>0</v>
      </c>
      <c r="F4005" s="1" t="str">
        <f t="shared" si="7956"/>
        <v>0</v>
      </c>
      <c r="G4005" s="1" t="str">
        <f t="shared" si="7956"/>
        <v>0</v>
      </c>
      <c r="H4005" s="1" t="str">
        <f t="shared" si="7956"/>
        <v>0</v>
      </c>
      <c r="I4005" s="1" t="str">
        <f t="shared" si="7956"/>
        <v>0</v>
      </c>
      <c r="J4005" s="1" t="str">
        <f t="shared" si="7956"/>
        <v>0</v>
      </c>
      <c r="K4005" s="1" t="str">
        <f t="shared" si="7956"/>
        <v>0</v>
      </c>
      <c r="L4005" s="1" t="str">
        <f t="shared" si="7956"/>
        <v>0</v>
      </c>
      <c r="M4005" s="1" t="str">
        <f t="shared" si="7956"/>
        <v>0</v>
      </c>
      <c r="N4005" s="1" t="str">
        <f t="shared" si="7956"/>
        <v>0</v>
      </c>
      <c r="O4005" s="1" t="str">
        <f t="shared" si="7956"/>
        <v>0</v>
      </c>
      <c r="P4005" s="1" t="str">
        <f t="shared" si="7956"/>
        <v>0</v>
      </c>
      <c r="Q4005" s="1" t="str">
        <f t="shared" si="7909"/>
        <v>0.0070</v>
      </c>
      <c r="R4005" s="1" t="s">
        <v>25</v>
      </c>
      <c r="T4005" s="1" t="str">
        <f t="shared" si="7910"/>
        <v>0</v>
      </c>
      <c r="U4005" s="1" t="str">
        <f t="shared" si="7950"/>
        <v>0.0070</v>
      </c>
    </row>
    <row r="4006" s="1" customFormat="1" spans="1:21">
      <c r="A4006" s="1" t="str">
        <f>"4601992084089"</f>
        <v>4601992084089</v>
      </c>
      <c r="B4006" s="1" t="s">
        <v>4029</v>
      </c>
      <c r="C4006" s="1" t="s">
        <v>24</v>
      </c>
      <c r="D4006" s="1" t="str">
        <f t="shared" si="7907"/>
        <v>2021</v>
      </c>
      <c r="E4006" s="1" t="str">
        <f t="shared" ref="E4006:P4006" si="7957">"0"</f>
        <v>0</v>
      </c>
      <c r="F4006" s="1" t="str">
        <f t="shared" si="7957"/>
        <v>0</v>
      </c>
      <c r="G4006" s="1" t="str">
        <f t="shared" si="7957"/>
        <v>0</v>
      </c>
      <c r="H4006" s="1" t="str">
        <f t="shared" si="7957"/>
        <v>0</v>
      </c>
      <c r="I4006" s="1" t="str">
        <f t="shared" si="7957"/>
        <v>0</v>
      </c>
      <c r="J4006" s="1" t="str">
        <f t="shared" si="7957"/>
        <v>0</v>
      </c>
      <c r="K4006" s="1" t="str">
        <f t="shared" si="7957"/>
        <v>0</v>
      </c>
      <c r="L4006" s="1" t="str">
        <f t="shared" si="7957"/>
        <v>0</v>
      </c>
      <c r="M4006" s="1" t="str">
        <f t="shared" si="7957"/>
        <v>0</v>
      </c>
      <c r="N4006" s="1" t="str">
        <f t="shared" si="7957"/>
        <v>0</v>
      </c>
      <c r="O4006" s="1" t="str">
        <f t="shared" si="7957"/>
        <v>0</v>
      </c>
      <c r="P4006" s="1" t="str">
        <f t="shared" si="7957"/>
        <v>0</v>
      </c>
      <c r="Q4006" s="1" t="str">
        <f t="shared" si="7909"/>
        <v>0.0070</v>
      </c>
      <c r="R4006" s="1" t="s">
        <v>25</v>
      </c>
      <c r="T4006" s="1" t="str">
        <f t="shared" si="7910"/>
        <v>0</v>
      </c>
      <c r="U4006" s="1" t="str">
        <f t="shared" si="7950"/>
        <v>0.0070</v>
      </c>
    </row>
    <row r="4007" s="1" customFormat="1" spans="1:21">
      <c r="A4007" s="1" t="str">
        <f>"4601992084123"</f>
        <v>4601992084123</v>
      </c>
      <c r="B4007" s="1" t="s">
        <v>4030</v>
      </c>
      <c r="C4007" s="1" t="s">
        <v>24</v>
      </c>
      <c r="D4007" s="1" t="str">
        <f t="shared" si="7907"/>
        <v>2021</v>
      </c>
      <c r="E4007" s="1" t="str">
        <f t="shared" ref="E4007:P4007" si="7958">"0"</f>
        <v>0</v>
      </c>
      <c r="F4007" s="1" t="str">
        <f t="shared" si="7958"/>
        <v>0</v>
      </c>
      <c r="G4007" s="1" t="str">
        <f t="shared" si="7958"/>
        <v>0</v>
      </c>
      <c r="H4007" s="1" t="str">
        <f t="shared" si="7958"/>
        <v>0</v>
      </c>
      <c r="I4007" s="1" t="str">
        <f t="shared" si="7958"/>
        <v>0</v>
      </c>
      <c r="J4007" s="1" t="str">
        <f t="shared" si="7958"/>
        <v>0</v>
      </c>
      <c r="K4007" s="1" t="str">
        <f t="shared" si="7958"/>
        <v>0</v>
      </c>
      <c r="L4007" s="1" t="str">
        <f t="shared" si="7958"/>
        <v>0</v>
      </c>
      <c r="M4007" s="1" t="str">
        <f t="shared" si="7958"/>
        <v>0</v>
      </c>
      <c r="N4007" s="1" t="str">
        <f t="shared" si="7958"/>
        <v>0</v>
      </c>
      <c r="O4007" s="1" t="str">
        <f t="shared" si="7958"/>
        <v>0</v>
      </c>
      <c r="P4007" s="1" t="str">
        <f t="shared" si="7958"/>
        <v>0</v>
      </c>
      <c r="Q4007" s="1" t="str">
        <f t="shared" si="7909"/>
        <v>0.0070</v>
      </c>
      <c r="R4007" s="1" t="s">
        <v>25</v>
      </c>
      <c r="T4007" s="1" t="str">
        <f t="shared" si="7910"/>
        <v>0</v>
      </c>
      <c r="U4007" s="1" t="str">
        <f t="shared" si="7950"/>
        <v>0.0070</v>
      </c>
    </row>
    <row r="4008" s="1" customFormat="1" spans="1:21">
      <c r="A4008" s="1" t="str">
        <f>"4601992084484"</f>
        <v>4601992084484</v>
      </c>
      <c r="B4008" s="1" t="s">
        <v>4031</v>
      </c>
      <c r="C4008" s="1" t="s">
        <v>24</v>
      </c>
      <c r="D4008" s="1" t="str">
        <f t="shared" si="7907"/>
        <v>2021</v>
      </c>
      <c r="E4008" s="1" t="str">
        <f t="shared" ref="E4008:P4008" si="7959">"0"</f>
        <v>0</v>
      </c>
      <c r="F4008" s="1" t="str">
        <f t="shared" si="7959"/>
        <v>0</v>
      </c>
      <c r="G4008" s="1" t="str">
        <f t="shared" si="7959"/>
        <v>0</v>
      </c>
      <c r="H4008" s="1" t="str">
        <f t="shared" si="7959"/>
        <v>0</v>
      </c>
      <c r="I4008" s="1" t="str">
        <f t="shared" si="7959"/>
        <v>0</v>
      </c>
      <c r="J4008" s="1" t="str">
        <f t="shared" si="7959"/>
        <v>0</v>
      </c>
      <c r="K4008" s="1" t="str">
        <f t="shared" si="7959"/>
        <v>0</v>
      </c>
      <c r="L4008" s="1" t="str">
        <f t="shared" si="7959"/>
        <v>0</v>
      </c>
      <c r="M4008" s="1" t="str">
        <f t="shared" si="7959"/>
        <v>0</v>
      </c>
      <c r="N4008" s="1" t="str">
        <f t="shared" si="7959"/>
        <v>0</v>
      </c>
      <c r="O4008" s="1" t="str">
        <f t="shared" si="7959"/>
        <v>0</v>
      </c>
      <c r="P4008" s="1" t="str">
        <f t="shared" si="7959"/>
        <v>0</v>
      </c>
      <c r="Q4008" s="1" t="str">
        <f t="shared" si="7909"/>
        <v>0.0070</v>
      </c>
      <c r="R4008" s="1" t="s">
        <v>25</v>
      </c>
      <c r="T4008" s="1" t="str">
        <f t="shared" si="7910"/>
        <v>0</v>
      </c>
      <c r="U4008" s="1" t="str">
        <f t="shared" si="7950"/>
        <v>0.0070</v>
      </c>
    </row>
    <row r="4009" s="1" customFormat="1" spans="1:21">
      <c r="A4009" s="1" t="str">
        <f>"4601992084430"</f>
        <v>4601992084430</v>
      </c>
      <c r="B4009" s="1" t="s">
        <v>4032</v>
      </c>
      <c r="C4009" s="1" t="s">
        <v>24</v>
      </c>
      <c r="D4009" s="1" t="str">
        <f t="shared" si="7907"/>
        <v>2021</v>
      </c>
      <c r="E4009" s="1" t="str">
        <f t="shared" ref="E4009:P4009" si="7960">"0"</f>
        <v>0</v>
      </c>
      <c r="F4009" s="1" t="str">
        <f t="shared" si="7960"/>
        <v>0</v>
      </c>
      <c r="G4009" s="1" t="str">
        <f t="shared" si="7960"/>
        <v>0</v>
      </c>
      <c r="H4009" s="1" t="str">
        <f t="shared" si="7960"/>
        <v>0</v>
      </c>
      <c r="I4009" s="1" t="str">
        <f t="shared" si="7960"/>
        <v>0</v>
      </c>
      <c r="J4009" s="1" t="str">
        <f t="shared" si="7960"/>
        <v>0</v>
      </c>
      <c r="K4009" s="1" t="str">
        <f t="shared" si="7960"/>
        <v>0</v>
      </c>
      <c r="L4009" s="1" t="str">
        <f t="shared" si="7960"/>
        <v>0</v>
      </c>
      <c r="M4009" s="1" t="str">
        <f t="shared" si="7960"/>
        <v>0</v>
      </c>
      <c r="N4009" s="1" t="str">
        <f t="shared" si="7960"/>
        <v>0</v>
      </c>
      <c r="O4009" s="1" t="str">
        <f t="shared" si="7960"/>
        <v>0</v>
      </c>
      <c r="P4009" s="1" t="str">
        <f t="shared" si="7960"/>
        <v>0</v>
      </c>
      <c r="Q4009" s="1" t="str">
        <f t="shared" si="7909"/>
        <v>0.0070</v>
      </c>
      <c r="R4009" s="1" t="s">
        <v>25</v>
      </c>
      <c r="T4009" s="1" t="str">
        <f t="shared" si="7910"/>
        <v>0</v>
      </c>
      <c r="U4009" s="1" t="str">
        <f t="shared" si="7950"/>
        <v>0.0070</v>
      </c>
    </row>
    <row r="4010" s="1" customFormat="1" spans="1:21">
      <c r="A4010" s="1" t="str">
        <f>"4601992084239"</f>
        <v>4601992084239</v>
      </c>
      <c r="B4010" s="1" t="s">
        <v>4033</v>
      </c>
      <c r="C4010" s="1" t="s">
        <v>24</v>
      </c>
      <c r="D4010" s="1" t="str">
        <f t="shared" si="7907"/>
        <v>2021</v>
      </c>
      <c r="E4010" s="1" t="str">
        <f t="shared" ref="E4010:I4010" si="7961">"0"</f>
        <v>0</v>
      </c>
      <c r="F4010" s="1" t="str">
        <f t="shared" si="7961"/>
        <v>0</v>
      </c>
      <c r="G4010" s="1" t="str">
        <f t="shared" si="7961"/>
        <v>0</v>
      </c>
      <c r="H4010" s="1" t="str">
        <f t="shared" si="7961"/>
        <v>0</v>
      </c>
      <c r="I4010" s="1" t="str">
        <f t="shared" si="7961"/>
        <v>0</v>
      </c>
      <c r="J4010" s="1" t="str">
        <f>"2"</f>
        <v>2</v>
      </c>
      <c r="K4010" s="1" t="str">
        <f t="shared" ref="K4010:P4010" si="7962">"0"</f>
        <v>0</v>
      </c>
      <c r="L4010" s="1" t="str">
        <f t="shared" si="7962"/>
        <v>0</v>
      </c>
      <c r="M4010" s="1" t="str">
        <f t="shared" si="7962"/>
        <v>0</v>
      </c>
      <c r="N4010" s="1" t="str">
        <f t="shared" si="7962"/>
        <v>0</v>
      </c>
      <c r="O4010" s="1" t="str">
        <f t="shared" si="7962"/>
        <v>0</v>
      </c>
      <c r="P4010" s="1" t="str">
        <f t="shared" si="7962"/>
        <v>0</v>
      </c>
      <c r="Q4010" s="1" t="str">
        <f t="shared" si="7909"/>
        <v>0.0070</v>
      </c>
      <c r="R4010" s="1" t="s">
        <v>25</v>
      </c>
      <c r="T4010" s="1" t="str">
        <f t="shared" si="7910"/>
        <v>0</v>
      </c>
      <c r="U4010" s="1" t="str">
        <f t="shared" si="7950"/>
        <v>0.0070</v>
      </c>
    </row>
    <row r="4011" s="1" customFormat="1" spans="1:21">
      <c r="A4011" s="1" t="str">
        <f>"4601992084720"</f>
        <v>4601992084720</v>
      </c>
      <c r="B4011" s="1" t="s">
        <v>4034</v>
      </c>
      <c r="C4011" s="1" t="s">
        <v>24</v>
      </c>
      <c r="D4011" s="1" t="str">
        <f t="shared" si="7907"/>
        <v>2021</v>
      </c>
      <c r="E4011" s="1" t="str">
        <f t="shared" ref="E4011:P4011" si="7963">"0"</f>
        <v>0</v>
      </c>
      <c r="F4011" s="1" t="str">
        <f t="shared" si="7963"/>
        <v>0</v>
      </c>
      <c r="G4011" s="1" t="str">
        <f t="shared" si="7963"/>
        <v>0</v>
      </c>
      <c r="H4011" s="1" t="str">
        <f t="shared" si="7963"/>
        <v>0</v>
      </c>
      <c r="I4011" s="1" t="str">
        <f t="shared" si="7963"/>
        <v>0</v>
      </c>
      <c r="J4011" s="1" t="str">
        <f t="shared" si="7963"/>
        <v>0</v>
      </c>
      <c r="K4011" s="1" t="str">
        <f t="shared" si="7963"/>
        <v>0</v>
      </c>
      <c r="L4011" s="1" t="str">
        <f t="shared" si="7963"/>
        <v>0</v>
      </c>
      <c r="M4011" s="1" t="str">
        <f t="shared" si="7963"/>
        <v>0</v>
      </c>
      <c r="N4011" s="1" t="str">
        <f t="shared" si="7963"/>
        <v>0</v>
      </c>
      <c r="O4011" s="1" t="str">
        <f t="shared" si="7963"/>
        <v>0</v>
      </c>
      <c r="P4011" s="1" t="str">
        <f t="shared" si="7963"/>
        <v>0</v>
      </c>
      <c r="Q4011" s="1" t="str">
        <f t="shared" si="7909"/>
        <v>0.0070</v>
      </c>
      <c r="R4011" s="1" t="s">
        <v>25</v>
      </c>
      <c r="T4011" s="1" t="str">
        <f t="shared" si="7910"/>
        <v>0</v>
      </c>
      <c r="U4011" s="1" t="str">
        <f t="shared" si="7950"/>
        <v>0.0070</v>
      </c>
    </row>
    <row r="4012" s="1" customFormat="1" spans="1:21">
      <c r="A4012" s="1" t="str">
        <f>"4601992084818"</f>
        <v>4601992084818</v>
      </c>
      <c r="B4012" s="1" t="s">
        <v>4035</v>
      </c>
      <c r="C4012" s="1" t="s">
        <v>24</v>
      </c>
      <c r="D4012" s="1" t="str">
        <f t="shared" si="7907"/>
        <v>2021</v>
      </c>
      <c r="E4012" s="1" t="str">
        <f t="shared" ref="E4012:P4012" si="7964">"0"</f>
        <v>0</v>
      </c>
      <c r="F4012" s="1" t="str">
        <f t="shared" si="7964"/>
        <v>0</v>
      </c>
      <c r="G4012" s="1" t="str">
        <f t="shared" si="7964"/>
        <v>0</v>
      </c>
      <c r="H4012" s="1" t="str">
        <f t="shared" si="7964"/>
        <v>0</v>
      </c>
      <c r="I4012" s="1" t="str">
        <f t="shared" si="7964"/>
        <v>0</v>
      </c>
      <c r="J4012" s="1" t="str">
        <f t="shared" si="7964"/>
        <v>0</v>
      </c>
      <c r="K4012" s="1" t="str">
        <f t="shared" si="7964"/>
        <v>0</v>
      </c>
      <c r="L4012" s="1" t="str">
        <f t="shared" si="7964"/>
        <v>0</v>
      </c>
      <c r="M4012" s="1" t="str">
        <f t="shared" si="7964"/>
        <v>0</v>
      </c>
      <c r="N4012" s="1" t="str">
        <f t="shared" si="7964"/>
        <v>0</v>
      </c>
      <c r="O4012" s="1" t="str">
        <f t="shared" si="7964"/>
        <v>0</v>
      </c>
      <c r="P4012" s="1" t="str">
        <f t="shared" si="7964"/>
        <v>0</v>
      </c>
      <c r="Q4012" s="1" t="str">
        <f t="shared" si="7909"/>
        <v>0.0070</v>
      </c>
      <c r="R4012" s="1" t="s">
        <v>25</v>
      </c>
      <c r="T4012" s="1" t="str">
        <f t="shared" si="7910"/>
        <v>0</v>
      </c>
      <c r="U4012" s="1" t="str">
        <f t="shared" si="7950"/>
        <v>0.0070</v>
      </c>
    </row>
    <row r="4013" s="1" customFormat="1" spans="1:21">
      <c r="A4013" s="1" t="str">
        <f>"4601992084861"</f>
        <v>4601992084861</v>
      </c>
      <c r="B4013" s="1" t="s">
        <v>4036</v>
      </c>
      <c r="C4013" s="1" t="s">
        <v>24</v>
      </c>
      <c r="D4013" s="1" t="str">
        <f t="shared" si="7907"/>
        <v>2021</v>
      </c>
      <c r="E4013" s="1" t="str">
        <f t="shared" ref="E4013:P4013" si="7965">"0"</f>
        <v>0</v>
      </c>
      <c r="F4013" s="1" t="str">
        <f t="shared" si="7965"/>
        <v>0</v>
      </c>
      <c r="G4013" s="1" t="str">
        <f t="shared" si="7965"/>
        <v>0</v>
      </c>
      <c r="H4013" s="1" t="str">
        <f t="shared" si="7965"/>
        <v>0</v>
      </c>
      <c r="I4013" s="1" t="str">
        <f t="shared" si="7965"/>
        <v>0</v>
      </c>
      <c r="J4013" s="1" t="str">
        <f t="shared" si="7965"/>
        <v>0</v>
      </c>
      <c r="K4013" s="1" t="str">
        <f t="shared" si="7965"/>
        <v>0</v>
      </c>
      <c r="L4013" s="1" t="str">
        <f t="shared" si="7965"/>
        <v>0</v>
      </c>
      <c r="M4013" s="1" t="str">
        <f t="shared" si="7965"/>
        <v>0</v>
      </c>
      <c r="N4013" s="1" t="str">
        <f t="shared" si="7965"/>
        <v>0</v>
      </c>
      <c r="O4013" s="1" t="str">
        <f t="shared" si="7965"/>
        <v>0</v>
      </c>
      <c r="P4013" s="1" t="str">
        <f t="shared" si="7965"/>
        <v>0</v>
      </c>
      <c r="Q4013" s="1" t="str">
        <f t="shared" si="7909"/>
        <v>0.0070</v>
      </c>
      <c r="R4013" s="1" t="s">
        <v>25</v>
      </c>
      <c r="T4013" s="1" t="str">
        <f t="shared" si="7910"/>
        <v>0</v>
      </c>
      <c r="U4013" s="1" t="str">
        <f t="shared" si="7950"/>
        <v>0.0070</v>
      </c>
    </row>
    <row r="4014" s="1" customFormat="1" spans="1:21">
      <c r="A4014" s="1" t="str">
        <f>"4601992084888"</f>
        <v>4601992084888</v>
      </c>
      <c r="B4014" s="1" t="s">
        <v>4037</v>
      </c>
      <c r="C4014" s="1" t="s">
        <v>24</v>
      </c>
      <c r="D4014" s="1" t="str">
        <f t="shared" si="7907"/>
        <v>2021</v>
      </c>
      <c r="E4014" s="1" t="str">
        <f t="shared" ref="E4014:P4014" si="7966">"0"</f>
        <v>0</v>
      </c>
      <c r="F4014" s="1" t="str">
        <f t="shared" si="7966"/>
        <v>0</v>
      </c>
      <c r="G4014" s="1" t="str">
        <f t="shared" si="7966"/>
        <v>0</v>
      </c>
      <c r="H4014" s="1" t="str">
        <f t="shared" si="7966"/>
        <v>0</v>
      </c>
      <c r="I4014" s="1" t="str">
        <f t="shared" si="7966"/>
        <v>0</v>
      </c>
      <c r="J4014" s="1" t="str">
        <f t="shared" si="7966"/>
        <v>0</v>
      </c>
      <c r="K4014" s="1" t="str">
        <f t="shared" si="7966"/>
        <v>0</v>
      </c>
      <c r="L4014" s="1" t="str">
        <f t="shared" si="7966"/>
        <v>0</v>
      </c>
      <c r="M4014" s="1" t="str">
        <f t="shared" si="7966"/>
        <v>0</v>
      </c>
      <c r="N4014" s="1" t="str">
        <f t="shared" si="7966"/>
        <v>0</v>
      </c>
      <c r="O4014" s="1" t="str">
        <f t="shared" si="7966"/>
        <v>0</v>
      </c>
      <c r="P4014" s="1" t="str">
        <f t="shared" si="7966"/>
        <v>0</v>
      </c>
      <c r="Q4014" s="1" t="str">
        <f t="shared" si="7909"/>
        <v>0.0070</v>
      </c>
      <c r="R4014" s="1" t="s">
        <v>25</v>
      </c>
      <c r="T4014" s="1" t="str">
        <f t="shared" si="7910"/>
        <v>0</v>
      </c>
      <c r="U4014" s="1" t="str">
        <f t="shared" si="7950"/>
        <v>0.0070</v>
      </c>
    </row>
    <row r="4015" s="1" customFormat="1" spans="1:21">
      <c r="A4015" s="1" t="str">
        <f>"4601992085025"</f>
        <v>4601992085025</v>
      </c>
      <c r="B4015" s="1" t="s">
        <v>4038</v>
      </c>
      <c r="C4015" s="1" t="s">
        <v>24</v>
      </c>
      <c r="D4015" s="1" t="str">
        <f t="shared" si="7907"/>
        <v>2021</v>
      </c>
      <c r="E4015" s="1" t="str">
        <f t="shared" ref="E4015:P4015" si="7967">"0"</f>
        <v>0</v>
      </c>
      <c r="F4015" s="1" t="str">
        <f t="shared" si="7967"/>
        <v>0</v>
      </c>
      <c r="G4015" s="1" t="str">
        <f t="shared" si="7967"/>
        <v>0</v>
      </c>
      <c r="H4015" s="1" t="str">
        <f t="shared" si="7967"/>
        <v>0</v>
      </c>
      <c r="I4015" s="1" t="str">
        <f t="shared" si="7967"/>
        <v>0</v>
      </c>
      <c r="J4015" s="1" t="str">
        <f t="shared" si="7967"/>
        <v>0</v>
      </c>
      <c r="K4015" s="1" t="str">
        <f t="shared" si="7967"/>
        <v>0</v>
      </c>
      <c r="L4015" s="1" t="str">
        <f t="shared" si="7967"/>
        <v>0</v>
      </c>
      <c r="M4015" s="1" t="str">
        <f t="shared" si="7967"/>
        <v>0</v>
      </c>
      <c r="N4015" s="1" t="str">
        <f t="shared" si="7967"/>
        <v>0</v>
      </c>
      <c r="O4015" s="1" t="str">
        <f t="shared" si="7967"/>
        <v>0</v>
      </c>
      <c r="P4015" s="1" t="str">
        <f t="shared" si="7967"/>
        <v>0</v>
      </c>
      <c r="Q4015" s="1" t="str">
        <f t="shared" si="7909"/>
        <v>0.0070</v>
      </c>
      <c r="R4015" s="1" t="s">
        <v>25</v>
      </c>
      <c r="T4015" s="1" t="str">
        <f t="shared" si="7910"/>
        <v>0</v>
      </c>
      <c r="U4015" s="1" t="str">
        <f t="shared" si="7950"/>
        <v>0.0070</v>
      </c>
    </row>
    <row r="4016" s="1" customFormat="1" spans="1:21">
      <c r="A4016" s="1" t="str">
        <f>"4601992085051"</f>
        <v>4601992085051</v>
      </c>
      <c r="B4016" s="1" t="s">
        <v>4039</v>
      </c>
      <c r="C4016" s="1" t="s">
        <v>24</v>
      </c>
      <c r="D4016" s="1" t="str">
        <f t="shared" si="7907"/>
        <v>2021</v>
      </c>
      <c r="E4016" s="1" t="str">
        <f t="shared" ref="E4016:P4016" si="7968">"0"</f>
        <v>0</v>
      </c>
      <c r="F4016" s="1" t="str">
        <f t="shared" si="7968"/>
        <v>0</v>
      </c>
      <c r="G4016" s="1" t="str">
        <f t="shared" si="7968"/>
        <v>0</v>
      </c>
      <c r="H4016" s="1" t="str">
        <f t="shared" si="7968"/>
        <v>0</v>
      </c>
      <c r="I4016" s="1" t="str">
        <f t="shared" si="7968"/>
        <v>0</v>
      </c>
      <c r="J4016" s="1" t="str">
        <f t="shared" si="7968"/>
        <v>0</v>
      </c>
      <c r="K4016" s="1" t="str">
        <f t="shared" si="7968"/>
        <v>0</v>
      </c>
      <c r="L4016" s="1" t="str">
        <f t="shared" si="7968"/>
        <v>0</v>
      </c>
      <c r="M4016" s="1" t="str">
        <f t="shared" si="7968"/>
        <v>0</v>
      </c>
      <c r="N4016" s="1" t="str">
        <f t="shared" si="7968"/>
        <v>0</v>
      </c>
      <c r="O4016" s="1" t="str">
        <f t="shared" si="7968"/>
        <v>0</v>
      </c>
      <c r="P4016" s="1" t="str">
        <f t="shared" si="7968"/>
        <v>0</v>
      </c>
      <c r="Q4016" s="1" t="str">
        <f t="shared" si="7909"/>
        <v>0.0070</v>
      </c>
      <c r="R4016" s="1" t="s">
        <v>25</v>
      </c>
      <c r="T4016" s="1" t="str">
        <f t="shared" si="7910"/>
        <v>0</v>
      </c>
      <c r="U4016" s="1" t="str">
        <f t="shared" si="7950"/>
        <v>0.0070</v>
      </c>
    </row>
    <row r="4017" s="1" customFormat="1" spans="1:21">
      <c r="A4017" s="1" t="str">
        <f>"4601992085067"</f>
        <v>4601992085067</v>
      </c>
      <c r="B4017" s="1" t="s">
        <v>4040</v>
      </c>
      <c r="C4017" s="1" t="s">
        <v>24</v>
      </c>
      <c r="D4017" s="1" t="str">
        <f t="shared" si="7907"/>
        <v>2021</v>
      </c>
      <c r="E4017" s="1" t="str">
        <f t="shared" ref="E4017:P4017" si="7969">"0"</f>
        <v>0</v>
      </c>
      <c r="F4017" s="1" t="str">
        <f t="shared" si="7969"/>
        <v>0</v>
      </c>
      <c r="G4017" s="1" t="str">
        <f t="shared" si="7969"/>
        <v>0</v>
      </c>
      <c r="H4017" s="1" t="str">
        <f t="shared" si="7969"/>
        <v>0</v>
      </c>
      <c r="I4017" s="1" t="str">
        <f t="shared" si="7969"/>
        <v>0</v>
      </c>
      <c r="J4017" s="1" t="str">
        <f t="shared" si="7969"/>
        <v>0</v>
      </c>
      <c r="K4017" s="1" t="str">
        <f t="shared" si="7969"/>
        <v>0</v>
      </c>
      <c r="L4017" s="1" t="str">
        <f t="shared" si="7969"/>
        <v>0</v>
      </c>
      <c r="M4017" s="1" t="str">
        <f t="shared" si="7969"/>
        <v>0</v>
      </c>
      <c r="N4017" s="1" t="str">
        <f t="shared" si="7969"/>
        <v>0</v>
      </c>
      <c r="O4017" s="1" t="str">
        <f t="shared" si="7969"/>
        <v>0</v>
      </c>
      <c r="P4017" s="1" t="str">
        <f t="shared" si="7969"/>
        <v>0</v>
      </c>
      <c r="Q4017" s="1" t="str">
        <f t="shared" si="7909"/>
        <v>0.0070</v>
      </c>
      <c r="R4017" s="1" t="s">
        <v>25</v>
      </c>
      <c r="T4017" s="1" t="str">
        <f t="shared" si="7910"/>
        <v>0</v>
      </c>
      <c r="U4017" s="1" t="str">
        <f t="shared" si="7950"/>
        <v>0.0070</v>
      </c>
    </row>
    <row r="4018" s="1" customFormat="1" spans="1:21">
      <c r="A4018" s="1" t="str">
        <f>"4601992085062"</f>
        <v>4601992085062</v>
      </c>
      <c r="B4018" s="1" t="s">
        <v>4041</v>
      </c>
      <c r="C4018" s="1" t="s">
        <v>24</v>
      </c>
      <c r="D4018" s="1" t="str">
        <f t="shared" si="7907"/>
        <v>2021</v>
      </c>
      <c r="E4018" s="1" t="str">
        <f t="shared" ref="E4018:P4018" si="7970">"0"</f>
        <v>0</v>
      </c>
      <c r="F4018" s="1" t="str">
        <f t="shared" si="7970"/>
        <v>0</v>
      </c>
      <c r="G4018" s="1" t="str">
        <f t="shared" si="7970"/>
        <v>0</v>
      </c>
      <c r="H4018" s="1" t="str">
        <f t="shared" si="7970"/>
        <v>0</v>
      </c>
      <c r="I4018" s="1" t="str">
        <f t="shared" si="7970"/>
        <v>0</v>
      </c>
      <c r="J4018" s="1" t="str">
        <f t="shared" si="7970"/>
        <v>0</v>
      </c>
      <c r="K4018" s="1" t="str">
        <f t="shared" si="7970"/>
        <v>0</v>
      </c>
      <c r="L4018" s="1" t="str">
        <f t="shared" si="7970"/>
        <v>0</v>
      </c>
      <c r="M4018" s="1" t="str">
        <f t="shared" si="7970"/>
        <v>0</v>
      </c>
      <c r="N4018" s="1" t="str">
        <f t="shared" si="7970"/>
        <v>0</v>
      </c>
      <c r="O4018" s="1" t="str">
        <f t="shared" si="7970"/>
        <v>0</v>
      </c>
      <c r="P4018" s="1" t="str">
        <f t="shared" si="7970"/>
        <v>0</v>
      </c>
      <c r="Q4018" s="1" t="str">
        <f t="shared" si="7909"/>
        <v>0.0070</v>
      </c>
      <c r="R4018" s="1" t="s">
        <v>25</v>
      </c>
      <c r="T4018" s="1" t="str">
        <f t="shared" si="7910"/>
        <v>0</v>
      </c>
      <c r="U4018" s="1" t="str">
        <f t="shared" si="7950"/>
        <v>0.0070</v>
      </c>
    </row>
    <row r="4019" s="1" customFormat="1" spans="1:21">
      <c r="A4019" s="1" t="str">
        <f>"4601992084978"</f>
        <v>4601992084978</v>
      </c>
      <c r="B4019" s="1" t="s">
        <v>4042</v>
      </c>
      <c r="C4019" s="1" t="s">
        <v>24</v>
      </c>
      <c r="D4019" s="1" t="str">
        <f t="shared" si="7907"/>
        <v>2021</v>
      </c>
      <c r="E4019" s="1" t="str">
        <f t="shared" ref="E4019:I4019" si="7971">"0"</f>
        <v>0</v>
      </c>
      <c r="F4019" s="1" t="str">
        <f t="shared" si="7971"/>
        <v>0</v>
      </c>
      <c r="G4019" s="1" t="str">
        <f t="shared" si="7971"/>
        <v>0</v>
      </c>
      <c r="H4019" s="1" t="str">
        <f t="shared" si="7971"/>
        <v>0</v>
      </c>
      <c r="I4019" s="1" t="str">
        <f t="shared" si="7971"/>
        <v>0</v>
      </c>
      <c r="J4019" s="1" t="str">
        <f>"3"</f>
        <v>3</v>
      </c>
      <c r="K4019" s="1" t="str">
        <f t="shared" ref="K4019:P4019" si="7972">"0"</f>
        <v>0</v>
      </c>
      <c r="L4019" s="1" t="str">
        <f t="shared" si="7972"/>
        <v>0</v>
      </c>
      <c r="M4019" s="1" t="str">
        <f t="shared" si="7972"/>
        <v>0</v>
      </c>
      <c r="N4019" s="1" t="str">
        <f t="shared" si="7972"/>
        <v>0</v>
      </c>
      <c r="O4019" s="1" t="str">
        <f t="shared" si="7972"/>
        <v>0</v>
      </c>
      <c r="P4019" s="1" t="str">
        <f t="shared" si="7972"/>
        <v>0</v>
      </c>
      <c r="Q4019" s="1" t="str">
        <f t="shared" si="7909"/>
        <v>0.0070</v>
      </c>
      <c r="R4019" s="1" t="s">
        <v>25</v>
      </c>
      <c r="T4019" s="1" t="str">
        <f t="shared" si="7910"/>
        <v>0</v>
      </c>
      <c r="U4019" s="1" t="str">
        <f t="shared" si="7950"/>
        <v>0.0070</v>
      </c>
    </row>
    <row r="4020" s="1" customFormat="1" spans="1:21">
      <c r="A4020" s="1" t="str">
        <f>"4601992085113"</f>
        <v>4601992085113</v>
      </c>
      <c r="B4020" s="1" t="s">
        <v>4043</v>
      </c>
      <c r="C4020" s="1" t="s">
        <v>24</v>
      </c>
      <c r="D4020" s="1" t="str">
        <f t="shared" si="7907"/>
        <v>2021</v>
      </c>
      <c r="E4020" s="1" t="str">
        <f t="shared" ref="E4020:P4020" si="7973">"0"</f>
        <v>0</v>
      </c>
      <c r="F4020" s="1" t="str">
        <f t="shared" si="7973"/>
        <v>0</v>
      </c>
      <c r="G4020" s="1" t="str">
        <f t="shared" si="7973"/>
        <v>0</v>
      </c>
      <c r="H4020" s="1" t="str">
        <f t="shared" si="7973"/>
        <v>0</v>
      </c>
      <c r="I4020" s="1" t="str">
        <f t="shared" si="7973"/>
        <v>0</v>
      </c>
      <c r="J4020" s="1" t="str">
        <f t="shared" si="7973"/>
        <v>0</v>
      </c>
      <c r="K4020" s="1" t="str">
        <f t="shared" si="7973"/>
        <v>0</v>
      </c>
      <c r="L4020" s="1" t="str">
        <f t="shared" si="7973"/>
        <v>0</v>
      </c>
      <c r="M4020" s="1" t="str">
        <f t="shared" si="7973"/>
        <v>0</v>
      </c>
      <c r="N4020" s="1" t="str">
        <f t="shared" si="7973"/>
        <v>0</v>
      </c>
      <c r="O4020" s="1" t="str">
        <f t="shared" si="7973"/>
        <v>0</v>
      </c>
      <c r="P4020" s="1" t="str">
        <f t="shared" si="7973"/>
        <v>0</v>
      </c>
      <c r="Q4020" s="1" t="str">
        <f t="shared" si="7909"/>
        <v>0.0070</v>
      </c>
      <c r="R4020" s="1" t="s">
        <v>25</v>
      </c>
      <c r="T4020" s="1" t="str">
        <f t="shared" si="7910"/>
        <v>0</v>
      </c>
      <c r="U4020" s="1" t="str">
        <f t="shared" si="7950"/>
        <v>0.0070</v>
      </c>
    </row>
    <row r="4021" s="1" customFormat="1" spans="1:21">
      <c r="A4021" s="1" t="str">
        <f>"4601992085183"</f>
        <v>4601992085183</v>
      </c>
      <c r="B4021" s="1" t="s">
        <v>4044</v>
      </c>
      <c r="C4021" s="1" t="s">
        <v>24</v>
      </c>
      <c r="D4021" s="1" t="str">
        <f t="shared" si="7907"/>
        <v>2021</v>
      </c>
      <c r="E4021" s="1" t="str">
        <f t="shared" ref="E4021:P4021" si="7974">"0"</f>
        <v>0</v>
      </c>
      <c r="F4021" s="1" t="str">
        <f t="shared" si="7974"/>
        <v>0</v>
      </c>
      <c r="G4021" s="1" t="str">
        <f t="shared" si="7974"/>
        <v>0</v>
      </c>
      <c r="H4021" s="1" t="str">
        <f t="shared" si="7974"/>
        <v>0</v>
      </c>
      <c r="I4021" s="1" t="str">
        <f t="shared" si="7974"/>
        <v>0</v>
      </c>
      <c r="J4021" s="1" t="str">
        <f t="shared" si="7974"/>
        <v>0</v>
      </c>
      <c r="K4021" s="1" t="str">
        <f t="shared" si="7974"/>
        <v>0</v>
      </c>
      <c r="L4021" s="1" t="str">
        <f t="shared" si="7974"/>
        <v>0</v>
      </c>
      <c r="M4021" s="1" t="str">
        <f t="shared" si="7974"/>
        <v>0</v>
      </c>
      <c r="N4021" s="1" t="str">
        <f t="shared" si="7974"/>
        <v>0</v>
      </c>
      <c r="O4021" s="1" t="str">
        <f t="shared" si="7974"/>
        <v>0</v>
      </c>
      <c r="P4021" s="1" t="str">
        <f t="shared" si="7974"/>
        <v>0</v>
      </c>
      <c r="Q4021" s="1" t="str">
        <f t="shared" si="7909"/>
        <v>0.0070</v>
      </c>
      <c r="R4021" s="1" t="s">
        <v>25</v>
      </c>
      <c r="T4021" s="1" t="str">
        <f t="shared" si="7910"/>
        <v>0</v>
      </c>
      <c r="U4021" s="1" t="str">
        <f t="shared" si="7950"/>
        <v>0.0070</v>
      </c>
    </row>
    <row r="4022" s="1" customFormat="1" spans="1:21">
      <c r="A4022" s="1" t="str">
        <f>"4601992085212"</f>
        <v>4601992085212</v>
      </c>
      <c r="B4022" s="1" t="s">
        <v>4045</v>
      </c>
      <c r="C4022" s="1" t="s">
        <v>24</v>
      </c>
      <c r="D4022" s="1" t="str">
        <f t="shared" si="7907"/>
        <v>2021</v>
      </c>
      <c r="E4022" s="1" t="str">
        <f t="shared" ref="E4022:P4022" si="7975">"0"</f>
        <v>0</v>
      </c>
      <c r="F4022" s="1" t="str">
        <f t="shared" si="7975"/>
        <v>0</v>
      </c>
      <c r="G4022" s="1" t="str">
        <f t="shared" si="7975"/>
        <v>0</v>
      </c>
      <c r="H4022" s="1" t="str">
        <f t="shared" si="7975"/>
        <v>0</v>
      </c>
      <c r="I4022" s="1" t="str">
        <f t="shared" si="7975"/>
        <v>0</v>
      </c>
      <c r="J4022" s="1" t="str">
        <f t="shared" si="7975"/>
        <v>0</v>
      </c>
      <c r="K4022" s="1" t="str">
        <f t="shared" si="7975"/>
        <v>0</v>
      </c>
      <c r="L4022" s="1" t="str">
        <f t="shared" si="7975"/>
        <v>0</v>
      </c>
      <c r="M4022" s="1" t="str">
        <f t="shared" si="7975"/>
        <v>0</v>
      </c>
      <c r="N4022" s="1" t="str">
        <f t="shared" si="7975"/>
        <v>0</v>
      </c>
      <c r="O4022" s="1" t="str">
        <f t="shared" si="7975"/>
        <v>0</v>
      </c>
      <c r="P4022" s="1" t="str">
        <f t="shared" si="7975"/>
        <v>0</v>
      </c>
      <c r="Q4022" s="1" t="str">
        <f t="shared" si="7909"/>
        <v>0.0070</v>
      </c>
      <c r="R4022" s="1" t="s">
        <v>25</v>
      </c>
      <c r="T4022" s="1" t="str">
        <f t="shared" si="7910"/>
        <v>0</v>
      </c>
      <c r="U4022" s="1" t="str">
        <f t="shared" si="7950"/>
        <v>0.0070</v>
      </c>
    </row>
    <row r="4023" s="1" customFormat="1" spans="1:21">
      <c r="A4023" s="1" t="str">
        <f>"4601992085261"</f>
        <v>4601992085261</v>
      </c>
      <c r="B4023" s="1" t="s">
        <v>4046</v>
      </c>
      <c r="C4023" s="1" t="s">
        <v>24</v>
      </c>
      <c r="D4023" s="1" t="str">
        <f t="shared" si="7907"/>
        <v>2021</v>
      </c>
      <c r="E4023" s="1" t="str">
        <f t="shared" ref="E4023:P4023" si="7976">"0"</f>
        <v>0</v>
      </c>
      <c r="F4023" s="1" t="str">
        <f t="shared" si="7976"/>
        <v>0</v>
      </c>
      <c r="G4023" s="1" t="str">
        <f t="shared" si="7976"/>
        <v>0</v>
      </c>
      <c r="H4023" s="1" t="str">
        <f t="shared" si="7976"/>
        <v>0</v>
      </c>
      <c r="I4023" s="1" t="str">
        <f t="shared" si="7976"/>
        <v>0</v>
      </c>
      <c r="J4023" s="1" t="str">
        <f t="shared" si="7976"/>
        <v>0</v>
      </c>
      <c r="K4023" s="1" t="str">
        <f t="shared" si="7976"/>
        <v>0</v>
      </c>
      <c r="L4023" s="1" t="str">
        <f t="shared" si="7976"/>
        <v>0</v>
      </c>
      <c r="M4023" s="1" t="str">
        <f t="shared" si="7976"/>
        <v>0</v>
      </c>
      <c r="N4023" s="1" t="str">
        <f t="shared" si="7976"/>
        <v>0</v>
      </c>
      <c r="O4023" s="1" t="str">
        <f t="shared" si="7976"/>
        <v>0</v>
      </c>
      <c r="P4023" s="1" t="str">
        <f t="shared" si="7976"/>
        <v>0</v>
      </c>
      <c r="Q4023" s="1" t="str">
        <f t="shared" si="7909"/>
        <v>0.0070</v>
      </c>
      <c r="R4023" s="1" t="s">
        <v>25</v>
      </c>
      <c r="T4023" s="1" t="str">
        <f t="shared" si="7910"/>
        <v>0</v>
      </c>
      <c r="U4023" s="1" t="str">
        <f t="shared" si="7950"/>
        <v>0.0070</v>
      </c>
    </row>
    <row r="4024" s="1" customFormat="1" spans="1:21">
      <c r="A4024" s="1" t="str">
        <f>"4601992085312"</f>
        <v>4601992085312</v>
      </c>
      <c r="B4024" s="1" t="s">
        <v>4047</v>
      </c>
      <c r="C4024" s="1" t="s">
        <v>24</v>
      </c>
      <c r="D4024" s="1" t="str">
        <f t="shared" si="7907"/>
        <v>2021</v>
      </c>
      <c r="E4024" s="1" t="str">
        <f t="shared" ref="E4024:P4024" si="7977">"0"</f>
        <v>0</v>
      </c>
      <c r="F4024" s="1" t="str">
        <f t="shared" si="7977"/>
        <v>0</v>
      </c>
      <c r="G4024" s="1" t="str">
        <f t="shared" si="7977"/>
        <v>0</v>
      </c>
      <c r="H4024" s="1" t="str">
        <f t="shared" si="7977"/>
        <v>0</v>
      </c>
      <c r="I4024" s="1" t="str">
        <f t="shared" si="7977"/>
        <v>0</v>
      </c>
      <c r="J4024" s="1" t="str">
        <f t="shared" si="7977"/>
        <v>0</v>
      </c>
      <c r="K4024" s="1" t="str">
        <f t="shared" si="7977"/>
        <v>0</v>
      </c>
      <c r="L4024" s="1" t="str">
        <f t="shared" si="7977"/>
        <v>0</v>
      </c>
      <c r="M4024" s="1" t="str">
        <f t="shared" si="7977"/>
        <v>0</v>
      </c>
      <c r="N4024" s="1" t="str">
        <f t="shared" si="7977"/>
        <v>0</v>
      </c>
      <c r="O4024" s="1" t="str">
        <f t="shared" si="7977"/>
        <v>0</v>
      </c>
      <c r="P4024" s="1" t="str">
        <f t="shared" si="7977"/>
        <v>0</v>
      </c>
      <c r="Q4024" s="1" t="str">
        <f t="shared" si="7909"/>
        <v>0.0070</v>
      </c>
      <c r="R4024" s="1" t="s">
        <v>25</v>
      </c>
      <c r="T4024" s="1" t="str">
        <f t="shared" si="7910"/>
        <v>0</v>
      </c>
      <c r="U4024" s="1" t="str">
        <f t="shared" si="7950"/>
        <v>0.0070</v>
      </c>
    </row>
    <row r="4025" s="1" customFormat="1" spans="1:21">
      <c r="A4025" s="1" t="str">
        <f>"4601992085323"</f>
        <v>4601992085323</v>
      </c>
      <c r="B4025" s="1" t="s">
        <v>4048</v>
      </c>
      <c r="C4025" s="1" t="s">
        <v>24</v>
      </c>
      <c r="D4025" s="1" t="str">
        <f t="shared" si="7907"/>
        <v>2021</v>
      </c>
      <c r="E4025" s="1" t="str">
        <f t="shared" ref="E4025:P4025" si="7978">"0"</f>
        <v>0</v>
      </c>
      <c r="F4025" s="1" t="str">
        <f t="shared" si="7978"/>
        <v>0</v>
      </c>
      <c r="G4025" s="1" t="str">
        <f t="shared" si="7978"/>
        <v>0</v>
      </c>
      <c r="H4025" s="1" t="str">
        <f t="shared" si="7978"/>
        <v>0</v>
      </c>
      <c r="I4025" s="1" t="str">
        <f t="shared" si="7978"/>
        <v>0</v>
      </c>
      <c r="J4025" s="1" t="str">
        <f t="shared" si="7978"/>
        <v>0</v>
      </c>
      <c r="K4025" s="1" t="str">
        <f t="shared" si="7978"/>
        <v>0</v>
      </c>
      <c r="L4025" s="1" t="str">
        <f t="shared" si="7978"/>
        <v>0</v>
      </c>
      <c r="M4025" s="1" t="str">
        <f t="shared" si="7978"/>
        <v>0</v>
      </c>
      <c r="N4025" s="1" t="str">
        <f t="shared" si="7978"/>
        <v>0</v>
      </c>
      <c r="O4025" s="1" t="str">
        <f t="shared" si="7978"/>
        <v>0</v>
      </c>
      <c r="P4025" s="1" t="str">
        <f t="shared" si="7978"/>
        <v>0</v>
      </c>
      <c r="Q4025" s="1" t="str">
        <f t="shared" si="7909"/>
        <v>0.0070</v>
      </c>
      <c r="R4025" s="1" t="s">
        <v>25</v>
      </c>
      <c r="T4025" s="1" t="str">
        <f t="shared" si="7910"/>
        <v>0</v>
      </c>
      <c r="U4025" s="1" t="str">
        <f t="shared" si="7950"/>
        <v>0.0070</v>
      </c>
    </row>
    <row r="4026" s="1" customFormat="1" spans="1:21">
      <c r="A4026" s="1" t="str">
        <f>"4601992085342"</f>
        <v>4601992085342</v>
      </c>
      <c r="B4026" s="1" t="s">
        <v>4049</v>
      </c>
      <c r="C4026" s="1" t="s">
        <v>24</v>
      </c>
      <c r="D4026" s="1" t="str">
        <f t="shared" si="7907"/>
        <v>2021</v>
      </c>
      <c r="E4026" s="1" t="str">
        <f t="shared" ref="E4026:P4026" si="7979">"0"</f>
        <v>0</v>
      </c>
      <c r="F4026" s="1" t="str">
        <f t="shared" si="7979"/>
        <v>0</v>
      </c>
      <c r="G4026" s="1" t="str">
        <f t="shared" si="7979"/>
        <v>0</v>
      </c>
      <c r="H4026" s="1" t="str">
        <f t="shared" si="7979"/>
        <v>0</v>
      </c>
      <c r="I4026" s="1" t="str">
        <f t="shared" si="7979"/>
        <v>0</v>
      </c>
      <c r="J4026" s="1" t="str">
        <f t="shared" si="7979"/>
        <v>0</v>
      </c>
      <c r="K4026" s="1" t="str">
        <f t="shared" si="7979"/>
        <v>0</v>
      </c>
      <c r="L4026" s="1" t="str">
        <f t="shared" si="7979"/>
        <v>0</v>
      </c>
      <c r="M4026" s="1" t="str">
        <f t="shared" si="7979"/>
        <v>0</v>
      </c>
      <c r="N4026" s="1" t="str">
        <f t="shared" si="7979"/>
        <v>0</v>
      </c>
      <c r="O4026" s="1" t="str">
        <f t="shared" si="7979"/>
        <v>0</v>
      </c>
      <c r="P4026" s="1" t="str">
        <f t="shared" si="7979"/>
        <v>0</v>
      </c>
      <c r="Q4026" s="1" t="str">
        <f t="shared" si="7909"/>
        <v>0.0070</v>
      </c>
      <c r="R4026" s="1" t="s">
        <v>25</v>
      </c>
      <c r="T4026" s="1" t="str">
        <f t="shared" si="7910"/>
        <v>0</v>
      </c>
      <c r="U4026" s="1" t="str">
        <f t="shared" si="7950"/>
        <v>0.0070</v>
      </c>
    </row>
    <row r="4027" s="1" customFormat="1" spans="1:21">
      <c r="A4027" s="1" t="str">
        <f>"4601992085675"</f>
        <v>4601992085675</v>
      </c>
      <c r="B4027" s="1" t="s">
        <v>4050</v>
      </c>
      <c r="C4027" s="1" t="s">
        <v>24</v>
      </c>
      <c r="D4027" s="1" t="str">
        <f t="shared" si="7907"/>
        <v>2021</v>
      </c>
      <c r="E4027" s="1" t="str">
        <f t="shared" ref="E4027:P4027" si="7980">"0"</f>
        <v>0</v>
      </c>
      <c r="F4027" s="1" t="str">
        <f t="shared" si="7980"/>
        <v>0</v>
      </c>
      <c r="G4027" s="1" t="str">
        <f t="shared" si="7980"/>
        <v>0</v>
      </c>
      <c r="H4027" s="1" t="str">
        <f t="shared" si="7980"/>
        <v>0</v>
      </c>
      <c r="I4027" s="1" t="str">
        <f t="shared" si="7980"/>
        <v>0</v>
      </c>
      <c r="J4027" s="1" t="str">
        <f t="shared" si="7980"/>
        <v>0</v>
      </c>
      <c r="K4027" s="1" t="str">
        <f t="shared" si="7980"/>
        <v>0</v>
      </c>
      <c r="L4027" s="1" t="str">
        <f t="shared" si="7980"/>
        <v>0</v>
      </c>
      <c r="M4027" s="1" t="str">
        <f t="shared" si="7980"/>
        <v>0</v>
      </c>
      <c r="N4027" s="1" t="str">
        <f t="shared" si="7980"/>
        <v>0</v>
      </c>
      <c r="O4027" s="1" t="str">
        <f t="shared" si="7980"/>
        <v>0</v>
      </c>
      <c r="P4027" s="1" t="str">
        <f t="shared" si="7980"/>
        <v>0</v>
      </c>
      <c r="Q4027" s="1" t="str">
        <f t="shared" si="7909"/>
        <v>0.0070</v>
      </c>
      <c r="R4027" s="1" t="s">
        <v>25</v>
      </c>
      <c r="T4027" s="1" t="str">
        <f t="shared" si="7910"/>
        <v>0</v>
      </c>
      <c r="U4027" s="1" t="str">
        <f t="shared" si="7950"/>
        <v>0.0070</v>
      </c>
    </row>
    <row r="4028" s="1" customFormat="1" spans="1:21">
      <c r="A4028" s="1" t="str">
        <f>"4601992085479"</f>
        <v>4601992085479</v>
      </c>
      <c r="B4028" s="1" t="s">
        <v>4051</v>
      </c>
      <c r="C4028" s="1" t="s">
        <v>24</v>
      </c>
      <c r="D4028" s="1" t="str">
        <f t="shared" si="7907"/>
        <v>2021</v>
      </c>
      <c r="E4028" s="1" t="str">
        <f t="shared" ref="E4028:P4028" si="7981">"0"</f>
        <v>0</v>
      </c>
      <c r="F4028" s="1" t="str">
        <f t="shared" si="7981"/>
        <v>0</v>
      </c>
      <c r="G4028" s="1" t="str">
        <f t="shared" si="7981"/>
        <v>0</v>
      </c>
      <c r="H4028" s="1" t="str">
        <f t="shared" si="7981"/>
        <v>0</v>
      </c>
      <c r="I4028" s="1" t="str">
        <f t="shared" si="7981"/>
        <v>0</v>
      </c>
      <c r="J4028" s="1" t="str">
        <f t="shared" si="7981"/>
        <v>0</v>
      </c>
      <c r="K4028" s="1" t="str">
        <f t="shared" si="7981"/>
        <v>0</v>
      </c>
      <c r="L4028" s="1" t="str">
        <f t="shared" si="7981"/>
        <v>0</v>
      </c>
      <c r="M4028" s="1" t="str">
        <f t="shared" si="7981"/>
        <v>0</v>
      </c>
      <c r="N4028" s="1" t="str">
        <f t="shared" si="7981"/>
        <v>0</v>
      </c>
      <c r="O4028" s="1" t="str">
        <f t="shared" si="7981"/>
        <v>0</v>
      </c>
      <c r="P4028" s="1" t="str">
        <f t="shared" si="7981"/>
        <v>0</v>
      </c>
      <c r="Q4028" s="1" t="str">
        <f t="shared" si="7909"/>
        <v>0.0070</v>
      </c>
      <c r="R4028" s="1" t="s">
        <v>25</v>
      </c>
      <c r="T4028" s="1" t="str">
        <f t="shared" si="7910"/>
        <v>0</v>
      </c>
      <c r="U4028" s="1" t="str">
        <f t="shared" si="7950"/>
        <v>0.0070</v>
      </c>
    </row>
    <row r="4029" s="1" customFormat="1" spans="1:21">
      <c r="A4029" s="1" t="str">
        <f>"4601992085954"</f>
        <v>4601992085954</v>
      </c>
      <c r="B4029" s="1" t="s">
        <v>4052</v>
      </c>
      <c r="C4029" s="1" t="s">
        <v>24</v>
      </c>
      <c r="D4029" s="1" t="str">
        <f t="shared" si="7907"/>
        <v>2021</v>
      </c>
      <c r="E4029" s="1" t="str">
        <f t="shared" ref="E4029:P4029" si="7982">"0"</f>
        <v>0</v>
      </c>
      <c r="F4029" s="1" t="str">
        <f t="shared" si="7982"/>
        <v>0</v>
      </c>
      <c r="G4029" s="1" t="str">
        <f t="shared" si="7982"/>
        <v>0</v>
      </c>
      <c r="H4029" s="1" t="str">
        <f t="shared" si="7982"/>
        <v>0</v>
      </c>
      <c r="I4029" s="1" t="str">
        <f t="shared" si="7982"/>
        <v>0</v>
      </c>
      <c r="J4029" s="1" t="str">
        <f t="shared" si="7982"/>
        <v>0</v>
      </c>
      <c r="K4029" s="1" t="str">
        <f t="shared" si="7982"/>
        <v>0</v>
      </c>
      <c r="L4029" s="1" t="str">
        <f t="shared" si="7982"/>
        <v>0</v>
      </c>
      <c r="M4029" s="1" t="str">
        <f t="shared" si="7982"/>
        <v>0</v>
      </c>
      <c r="N4029" s="1" t="str">
        <f t="shared" si="7982"/>
        <v>0</v>
      </c>
      <c r="O4029" s="1" t="str">
        <f t="shared" si="7982"/>
        <v>0</v>
      </c>
      <c r="P4029" s="1" t="str">
        <f t="shared" si="7982"/>
        <v>0</v>
      </c>
      <c r="Q4029" s="1" t="str">
        <f t="shared" si="7909"/>
        <v>0.0070</v>
      </c>
      <c r="R4029" s="1" t="s">
        <v>25</v>
      </c>
      <c r="T4029" s="1" t="str">
        <f t="shared" si="7910"/>
        <v>0</v>
      </c>
      <c r="U4029" s="1" t="str">
        <f t="shared" si="7950"/>
        <v>0.0070</v>
      </c>
    </row>
    <row r="4030" s="1" customFormat="1" spans="1:21">
      <c r="A4030" s="1" t="str">
        <f>"4601992085812"</f>
        <v>4601992085812</v>
      </c>
      <c r="B4030" s="1" t="s">
        <v>4053</v>
      </c>
      <c r="C4030" s="1" t="s">
        <v>24</v>
      </c>
      <c r="D4030" s="1" t="str">
        <f t="shared" si="7907"/>
        <v>2021</v>
      </c>
      <c r="E4030" s="1" t="str">
        <f t="shared" ref="E4030:P4030" si="7983">"0"</f>
        <v>0</v>
      </c>
      <c r="F4030" s="1" t="str">
        <f t="shared" si="7983"/>
        <v>0</v>
      </c>
      <c r="G4030" s="1" t="str">
        <f t="shared" si="7983"/>
        <v>0</v>
      </c>
      <c r="H4030" s="1" t="str">
        <f t="shared" si="7983"/>
        <v>0</v>
      </c>
      <c r="I4030" s="1" t="str">
        <f t="shared" si="7983"/>
        <v>0</v>
      </c>
      <c r="J4030" s="1" t="str">
        <f t="shared" si="7983"/>
        <v>0</v>
      </c>
      <c r="K4030" s="1" t="str">
        <f t="shared" si="7983"/>
        <v>0</v>
      </c>
      <c r="L4030" s="1" t="str">
        <f t="shared" si="7983"/>
        <v>0</v>
      </c>
      <c r="M4030" s="1" t="str">
        <f t="shared" si="7983"/>
        <v>0</v>
      </c>
      <c r="N4030" s="1" t="str">
        <f t="shared" si="7983"/>
        <v>0</v>
      </c>
      <c r="O4030" s="1" t="str">
        <f t="shared" si="7983"/>
        <v>0</v>
      </c>
      <c r="P4030" s="1" t="str">
        <f t="shared" si="7983"/>
        <v>0</v>
      </c>
      <c r="Q4030" s="1" t="str">
        <f t="shared" si="7909"/>
        <v>0.0070</v>
      </c>
      <c r="R4030" s="1" t="s">
        <v>25</v>
      </c>
      <c r="T4030" s="1" t="str">
        <f t="shared" si="7910"/>
        <v>0</v>
      </c>
      <c r="U4030" s="1" t="str">
        <f t="shared" si="7950"/>
        <v>0.0070</v>
      </c>
    </row>
    <row r="4031" s="1" customFormat="1" spans="1:21">
      <c r="A4031" s="1" t="str">
        <f>"4601992085794"</f>
        <v>4601992085794</v>
      </c>
      <c r="B4031" s="1" t="s">
        <v>4054</v>
      </c>
      <c r="C4031" s="1" t="s">
        <v>24</v>
      </c>
      <c r="D4031" s="1" t="str">
        <f t="shared" si="7907"/>
        <v>2021</v>
      </c>
      <c r="E4031" s="1" t="str">
        <f>"24.71"</f>
        <v>24.71</v>
      </c>
      <c r="F4031" s="1" t="str">
        <f t="shared" ref="F4031:I4031" si="7984">"0"</f>
        <v>0</v>
      </c>
      <c r="G4031" s="1" t="str">
        <f t="shared" si="7984"/>
        <v>0</v>
      </c>
      <c r="H4031" s="1" t="str">
        <f t="shared" si="7984"/>
        <v>0</v>
      </c>
      <c r="I4031" s="1" t="str">
        <f t="shared" si="7984"/>
        <v>0</v>
      </c>
      <c r="J4031" s="1" t="str">
        <f>"2"</f>
        <v>2</v>
      </c>
      <c r="K4031" s="1" t="str">
        <f t="shared" ref="K4031:P4031" si="7985">"0"</f>
        <v>0</v>
      </c>
      <c r="L4031" s="1" t="str">
        <f t="shared" si="7985"/>
        <v>0</v>
      </c>
      <c r="M4031" s="1" t="str">
        <f t="shared" si="7985"/>
        <v>0</v>
      </c>
      <c r="N4031" s="1" t="str">
        <f t="shared" si="7985"/>
        <v>0</v>
      </c>
      <c r="O4031" s="1" t="str">
        <f t="shared" si="7985"/>
        <v>0</v>
      </c>
      <c r="P4031" s="1" t="str">
        <f t="shared" si="7985"/>
        <v>0</v>
      </c>
      <c r="Q4031" s="1" t="str">
        <f t="shared" si="7909"/>
        <v>0.0070</v>
      </c>
      <c r="R4031" s="1" t="s">
        <v>29</v>
      </c>
      <c r="S4031" s="1">
        <v>-0.0014</v>
      </c>
      <c r="T4031" s="1" t="str">
        <f t="shared" si="7910"/>
        <v>0</v>
      </c>
      <c r="U4031" s="1" t="str">
        <f>"0.0056"</f>
        <v>0.0056</v>
      </c>
    </row>
    <row r="4032" s="1" customFormat="1" spans="1:21">
      <c r="A4032" s="1" t="str">
        <f>"4601992086059"</f>
        <v>4601992086059</v>
      </c>
      <c r="B4032" s="1" t="s">
        <v>4055</v>
      </c>
      <c r="C4032" s="1" t="s">
        <v>24</v>
      </c>
      <c r="D4032" s="1" t="str">
        <f t="shared" si="7907"/>
        <v>2021</v>
      </c>
      <c r="E4032" s="1" t="str">
        <f t="shared" ref="E4032:P4032" si="7986">"0"</f>
        <v>0</v>
      </c>
      <c r="F4032" s="1" t="str">
        <f t="shared" si="7986"/>
        <v>0</v>
      </c>
      <c r="G4032" s="1" t="str">
        <f t="shared" si="7986"/>
        <v>0</v>
      </c>
      <c r="H4032" s="1" t="str">
        <f t="shared" si="7986"/>
        <v>0</v>
      </c>
      <c r="I4032" s="1" t="str">
        <f t="shared" si="7986"/>
        <v>0</v>
      </c>
      <c r="J4032" s="1" t="str">
        <f t="shared" si="7986"/>
        <v>0</v>
      </c>
      <c r="K4032" s="1" t="str">
        <f t="shared" si="7986"/>
        <v>0</v>
      </c>
      <c r="L4032" s="1" t="str">
        <f t="shared" si="7986"/>
        <v>0</v>
      </c>
      <c r="M4032" s="1" t="str">
        <f t="shared" si="7986"/>
        <v>0</v>
      </c>
      <c r="N4032" s="1" t="str">
        <f t="shared" si="7986"/>
        <v>0</v>
      </c>
      <c r="O4032" s="1" t="str">
        <f t="shared" si="7986"/>
        <v>0</v>
      </c>
      <c r="P4032" s="1" t="str">
        <f t="shared" si="7986"/>
        <v>0</v>
      </c>
      <c r="Q4032" s="1" t="str">
        <f t="shared" si="7909"/>
        <v>0.0070</v>
      </c>
      <c r="R4032" s="1" t="s">
        <v>25</v>
      </c>
      <c r="T4032" s="1" t="str">
        <f t="shared" si="7910"/>
        <v>0</v>
      </c>
      <c r="U4032" s="1" t="str">
        <f t="shared" ref="U4032:U4044" si="7987">"0.0070"</f>
        <v>0.0070</v>
      </c>
    </row>
    <row r="4033" s="1" customFormat="1" spans="1:21">
      <c r="A4033" s="1" t="str">
        <f>"4601992085680"</f>
        <v>4601992085680</v>
      </c>
      <c r="B4033" s="1" t="s">
        <v>4056</v>
      </c>
      <c r="C4033" s="1" t="s">
        <v>24</v>
      </c>
      <c r="D4033" s="1" t="str">
        <f t="shared" si="7907"/>
        <v>2021</v>
      </c>
      <c r="E4033" s="1" t="str">
        <f t="shared" ref="E4033:I4033" si="7988">"0"</f>
        <v>0</v>
      </c>
      <c r="F4033" s="1" t="str">
        <f t="shared" si="7988"/>
        <v>0</v>
      </c>
      <c r="G4033" s="1" t="str">
        <f t="shared" si="7988"/>
        <v>0</v>
      </c>
      <c r="H4033" s="1" t="str">
        <f t="shared" si="7988"/>
        <v>0</v>
      </c>
      <c r="I4033" s="1" t="str">
        <f t="shared" si="7988"/>
        <v>0</v>
      </c>
      <c r="J4033" s="1" t="str">
        <f>"2"</f>
        <v>2</v>
      </c>
      <c r="K4033" s="1" t="str">
        <f t="shared" ref="K4033:P4033" si="7989">"0"</f>
        <v>0</v>
      </c>
      <c r="L4033" s="1" t="str">
        <f t="shared" si="7989"/>
        <v>0</v>
      </c>
      <c r="M4033" s="1" t="str">
        <f t="shared" si="7989"/>
        <v>0</v>
      </c>
      <c r="N4033" s="1" t="str">
        <f t="shared" si="7989"/>
        <v>0</v>
      </c>
      <c r="O4033" s="1" t="str">
        <f t="shared" si="7989"/>
        <v>0</v>
      </c>
      <c r="P4033" s="1" t="str">
        <f t="shared" si="7989"/>
        <v>0</v>
      </c>
      <c r="Q4033" s="1" t="str">
        <f t="shared" si="7909"/>
        <v>0.0070</v>
      </c>
      <c r="R4033" s="1" t="s">
        <v>25</v>
      </c>
      <c r="T4033" s="1" t="str">
        <f t="shared" si="7910"/>
        <v>0</v>
      </c>
      <c r="U4033" s="1" t="str">
        <f t="shared" si="7987"/>
        <v>0.0070</v>
      </c>
    </row>
    <row r="4034" s="1" customFormat="1" spans="1:21">
      <c r="A4034" s="1" t="str">
        <f>"4601992086113"</f>
        <v>4601992086113</v>
      </c>
      <c r="B4034" s="1" t="s">
        <v>4057</v>
      </c>
      <c r="C4034" s="1" t="s">
        <v>24</v>
      </c>
      <c r="D4034" s="1" t="str">
        <f t="shared" si="7907"/>
        <v>2021</v>
      </c>
      <c r="E4034" s="1" t="str">
        <f t="shared" ref="E4034:P4034" si="7990">"0"</f>
        <v>0</v>
      </c>
      <c r="F4034" s="1" t="str">
        <f t="shared" si="7990"/>
        <v>0</v>
      </c>
      <c r="G4034" s="1" t="str">
        <f t="shared" si="7990"/>
        <v>0</v>
      </c>
      <c r="H4034" s="1" t="str">
        <f t="shared" si="7990"/>
        <v>0</v>
      </c>
      <c r="I4034" s="1" t="str">
        <f t="shared" si="7990"/>
        <v>0</v>
      </c>
      <c r="J4034" s="1" t="str">
        <f t="shared" si="7990"/>
        <v>0</v>
      </c>
      <c r="K4034" s="1" t="str">
        <f t="shared" si="7990"/>
        <v>0</v>
      </c>
      <c r="L4034" s="1" t="str">
        <f t="shared" si="7990"/>
        <v>0</v>
      </c>
      <c r="M4034" s="1" t="str">
        <f t="shared" si="7990"/>
        <v>0</v>
      </c>
      <c r="N4034" s="1" t="str">
        <f t="shared" si="7990"/>
        <v>0</v>
      </c>
      <c r="O4034" s="1" t="str">
        <f t="shared" si="7990"/>
        <v>0</v>
      </c>
      <c r="P4034" s="1" t="str">
        <f t="shared" si="7990"/>
        <v>0</v>
      </c>
      <c r="Q4034" s="1" t="str">
        <f t="shared" si="7909"/>
        <v>0.0070</v>
      </c>
      <c r="R4034" s="1" t="s">
        <v>25</v>
      </c>
      <c r="T4034" s="1" t="str">
        <f t="shared" si="7910"/>
        <v>0</v>
      </c>
      <c r="U4034" s="1" t="str">
        <f t="shared" si="7987"/>
        <v>0.0070</v>
      </c>
    </row>
    <row r="4035" s="1" customFormat="1" spans="1:21">
      <c r="A4035" s="1" t="str">
        <f>"4601992086018"</f>
        <v>4601992086018</v>
      </c>
      <c r="B4035" s="1" t="s">
        <v>4058</v>
      </c>
      <c r="C4035" s="1" t="s">
        <v>24</v>
      </c>
      <c r="D4035" s="1" t="str">
        <f t="shared" ref="D4035:D4098" si="7991">"2021"</f>
        <v>2021</v>
      </c>
      <c r="E4035" s="1" t="str">
        <f t="shared" ref="E4035:I4035" si="7992">"0"</f>
        <v>0</v>
      </c>
      <c r="F4035" s="1" t="str">
        <f t="shared" si="7992"/>
        <v>0</v>
      </c>
      <c r="G4035" s="1" t="str">
        <f t="shared" si="7992"/>
        <v>0</v>
      </c>
      <c r="H4035" s="1" t="str">
        <f t="shared" si="7992"/>
        <v>0</v>
      </c>
      <c r="I4035" s="1" t="str">
        <f t="shared" si="7992"/>
        <v>0</v>
      </c>
      <c r="J4035" s="1" t="str">
        <f>"1"</f>
        <v>1</v>
      </c>
      <c r="K4035" s="1" t="str">
        <f t="shared" ref="K4035:P4035" si="7993">"0"</f>
        <v>0</v>
      </c>
      <c r="L4035" s="1" t="str">
        <f t="shared" si="7993"/>
        <v>0</v>
      </c>
      <c r="M4035" s="1" t="str">
        <f t="shared" si="7993"/>
        <v>0</v>
      </c>
      <c r="N4035" s="1" t="str">
        <f t="shared" si="7993"/>
        <v>0</v>
      </c>
      <c r="O4035" s="1" t="str">
        <f t="shared" si="7993"/>
        <v>0</v>
      </c>
      <c r="P4035" s="1" t="str">
        <f t="shared" si="7993"/>
        <v>0</v>
      </c>
      <c r="Q4035" s="1" t="str">
        <f t="shared" ref="Q4035:Q4098" si="7994">"0.0070"</f>
        <v>0.0070</v>
      </c>
      <c r="R4035" s="1" t="s">
        <v>25</v>
      </c>
      <c r="T4035" s="1" t="str">
        <f t="shared" ref="T4035:T4098" si="7995">"0"</f>
        <v>0</v>
      </c>
      <c r="U4035" s="1" t="str">
        <f t="shared" si="7987"/>
        <v>0.0070</v>
      </c>
    </row>
    <row r="4036" s="1" customFormat="1" spans="1:21">
      <c r="A4036" s="1" t="str">
        <f>"4601992086244"</f>
        <v>4601992086244</v>
      </c>
      <c r="B4036" s="1" t="s">
        <v>4059</v>
      </c>
      <c r="C4036" s="1" t="s">
        <v>24</v>
      </c>
      <c r="D4036" s="1" t="str">
        <f t="shared" si="7991"/>
        <v>2021</v>
      </c>
      <c r="E4036" s="1" t="str">
        <f t="shared" ref="E4036:P4036" si="7996">"0"</f>
        <v>0</v>
      </c>
      <c r="F4036" s="1" t="str">
        <f t="shared" si="7996"/>
        <v>0</v>
      </c>
      <c r="G4036" s="1" t="str">
        <f t="shared" si="7996"/>
        <v>0</v>
      </c>
      <c r="H4036" s="1" t="str">
        <f t="shared" si="7996"/>
        <v>0</v>
      </c>
      <c r="I4036" s="1" t="str">
        <f t="shared" si="7996"/>
        <v>0</v>
      </c>
      <c r="J4036" s="1" t="str">
        <f t="shared" si="7996"/>
        <v>0</v>
      </c>
      <c r="K4036" s="1" t="str">
        <f t="shared" si="7996"/>
        <v>0</v>
      </c>
      <c r="L4036" s="1" t="str">
        <f t="shared" si="7996"/>
        <v>0</v>
      </c>
      <c r="M4036" s="1" t="str">
        <f t="shared" si="7996"/>
        <v>0</v>
      </c>
      <c r="N4036" s="1" t="str">
        <f t="shared" si="7996"/>
        <v>0</v>
      </c>
      <c r="O4036" s="1" t="str">
        <f t="shared" si="7996"/>
        <v>0</v>
      </c>
      <c r="P4036" s="1" t="str">
        <f t="shared" si="7996"/>
        <v>0</v>
      </c>
      <c r="Q4036" s="1" t="str">
        <f t="shared" si="7994"/>
        <v>0.0070</v>
      </c>
      <c r="R4036" s="1" t="s">
        <v>25</v>
      </c>
      <c r="T4036" s="1" t="str">
        <f t="shared" si="7995"/>
        <v>0</v>
      </c>
      <c r="U4036" s="1" t="str">
        <f t="shared" si="7987"/>
        <v>0.0070</v>
      </c>
    </row>
    <row r="4037" s="1" customFormat="1" spans="1:21">
      <c r="A4037" s="1" t="str">
        <f>"4601992086302"</f>
        <v>4601992086302</v>
      </c>
      <c r="B4037" s="1" t="s">
        <v>4060</v>
      </c>
      <c r="C4037" s="1" t="s">
        <v>24</v>
      </c>
      <c r="D4037" s="1" t="str">
        <f t="shared" si="7991"/>
        <v>2021</v>
      </c>
      <c r="E4037" s="1" t="str">
        <f t="shared" ref="E4037:P4037" si="7997">"0"</f>
        <v>0</v>
      </c>
      <c r="F4037" s="1" t="str">
        <f t="shared" si="7997"/>
        <v>0</v>
      </c>
      <c r="G4037" s="1" t="str">
        <f t="shared" si="7997"/>
        <v>0</v>
      </c>
      <c r="H4037" s="1" t="str">
        <f t="shared" si="7997"/>
        <v>0</v>
      </c>
      <c r="I4037" s="1" t="str">
        <f t="shared" si="7997"/>
        <v>0</v>
      </c>
      <c r="J4037" s="1" t="str">
        <f t="shared" si="7997"/>
        <v>0</v>
      </c>
      <c r="K4037" s="1" t="str">
        <f t="shared" si="7997"/>
        <v>0</v>
      </c>
      <c r="L4037" s="1" t="str">
        <f t="shared" si="7997"/>
        <v>0</v>
      </c>
      <c r="M4037" s="1" t="str">
        <f t="shared" si="7997"/>
        <v>0</v>
      </c>
      <c r="N4037" s="1" t="str">
        <f t="shared" si="7997"/>
        <v>0</v>
      </c>
      <c r="O4037" s="1" t="str">
        <f t="shared" si="7997"/>
        <v>0</v>
      </c>
      <c r="P4037" s="1" t="str">
        <f t="shared" si="7997"/>
        <v>0</v>
      </c>
      <c r="Q4037" s="1" t="str">
        <f t="shared" si="7994"/>
        <v>0.0070</v>
      </c>
      <c r="R4037" s="1" t="s">
        <v>25</v>
      </c>
      <c r="T4037" s="1" t="str">
        <f t="shared" si="7995"/>
        <v>0</v>
      </c>
      <c r="U4037" s="1" t="str">
        <f t="shared" si="7987"/>
        <v>0.0070</v>
      </c>
    </row>
    <row r="4038" s="1" customFormat="1" spans="1:21">
      <c r="A4038" s="1" t="str">
        <f>"4601992086364"</f>
        <v>4601992086364</v>
      </c>
      <c r="B4038" s="1" t="s">
        <v>4061</v>
      </c>
      <c r="C4038" s="1" t="s">
        <v>24</v>
      </c>
      <c r="D4038" s="1" t="str">
        <f t="shared" si="7991"/>
        <v>2021</v>
      </c>
      <c r="E4038" s="1" t="str">
        <f t="shared" ref="E4038:P4038" si="7998">"0"</f>
        <v>0</v>
      </c>
      <c r="F4038" s="1" t="str">
        <f t="shared" si="7998"/>
        <v>0</v>
      </c>
      <c r="G4038" s="1" t="str">
        <f t="shared" si="7998"/>
        <v>0</v>
      </c>
      <c r="H4038" s="1" t="str">
        <f t="shared" si="7998"/>
        <v>0</v>
      </c>
      <c r="I4038" s="1" t="str">
        <f t="shared" si="7998"/>
        <v>0</v>
      </c>
      <c r="J4038" s="1" t="str">
        <f t="shared" si="7998"/>
        <v>0</v>
      </c>
      <c r="K4038" s="1" t="str">
        <f t="shared" si="7998"/>
        <v>0</v>
      </c>
      <c r="L4038" s="1" t="str">
        <f t="shared" si="7998"/>
        <v>0</v>
      </c>
      <c r="M4038" s="1" t="str">
        <f t="shared" si="7998"/>
        <v>0</v>
      </c>
      <c r="N4038" s="1" t="str">
        <f t="shared" si="7998"/>
        <v>0</v>
      </c>
      <c r="O4038" s="1" t="str">
        <f t="shared" si="7998"/>
        <v>0</v>
      </c>
      <c r="P4038" s="1" t="str">
        <f t="shared" si="7998"/>
        <v>0</v>
      </c>
      <c r="Q4038" s="1" t="str">
        <f t="shared" si="7994"/>
        <v>0.0070</v>
      </c>
      <c r="R4038" s="1" t="s">
        <v>25</v>
      </c>
      <c r="T4038" s="1" t="str">
        <f t="shared" si="7995"/>
        <v>0</v>
      </c>
      <c r="U4038" s="1" t="str">
        <f t="shared" si="7987"/>
        <v>0.0070</v>
      </c>
    </row>
    <row r="4039" s="1" customFormat="1" spans="1:21">
      <c r="A4039" s="1" t="str">
        <f>"4601992086387"</f>
        <v>4601992086387</v>
      </c>
      <c r="B4039" s="1" t="s">
        <v>4062</v>
      </c>
      <c r="C4039" s="1" t="s">
        <v>24</v>
      </c>
      <c r="D4039" s="1" t="str">
        <f t="shared" si="7991"/>
        <v>2021</v>
      </c>
      <c r="E4039" s="1" t="str">
        <f t="shared" ref="E4039:P4039" si="7999">"0"</f>
        <v>0</v>
      </c>
      <c r="F4039" s="1" t="str">
        <f t="shared" si="7999"/>
        <v>0</v>
      </c>
      <c r="G4039" s="1" t="str">
        <f t="shared" si="7999"/>
        <v>0</v>
      </c>
      <c r="H4039" s="1" t="str">
        <f t="shared" si="7999"/>
        <v>0</v>
      </c>
      <c r="I4039" s="1" t="str">
        <f t="shared" si="7999"/>
        <v>0</v>
      </c>
      <c r="J4039" s="1" t="str">
        <f t="shared" si="7999"/>
        <v>0</v>
      </c>
      <c r="K4039" s="1" t="str">
        <f t="shared" si="7999"/>
        <v>0</v>
      </c>
      <c r="L4039" s="1" t="str">
        <f t="shared" si="7999"/>
        <v>0</v>
      </c>
      <c r="M4039" s="1" t="str">
        <f t="shared" si="7999"/>
        <v>0</v>
      </c>
      <c r="N4039" s="1" t="str">
        <f t="shared" si="7999"/>
        <v>0</v>
      </c>
      <c r="O4039" s="1" t="str">
        <f t="shared" si="7999"/>
        <v>0</v>
      </c>
      <c r="P4039" s="1" t="str">
        <f t="shared" si="7999"/>
        <v>0</v>
      </c>
      <c r="Q4039" s="1" t="str">
        <f t="shared" si="7994"/>
        <v>0.0070</v>
      </c>
      <c r="R4039" s="1" t="s">
        <v>25</v>
      </c>
      <c r="T4039" s="1" t="str">
        <f t="shared" si="7995"/>
        <v>0</v>
      </c>
      <c r="U4039" s="1" t="str">
        <f t="shared" si="7987"/>
        <v>0.0070</v>
      </c>
    </row>
    <row r="4040" s="1" customFormat="1" spans="1:21">
      <c r="A4040" s="1" t="str">
        <f>"4601992086383"</f>
        <v>4601992086383</v>
      </c>
      <c r="B4040" s="1" t="s">
        <v>4063</v>
      </c>
      <c r="C4040" s="1" t="s">
        <v>24</v>
      </c>
      <c r="D4040" s="1" t="str">
        <f t="shared" si="7991"/>
        <v>2021</v>
      </c>
      <c r="E4040" s="1" t="str">
        <f t="shared" ref="E4040:P4040" si="8000">"0"</f>
        <v>0</v>
      </c>
      <c r="F4040" s="1" t="str">
        <f t="shared" si="8000"/>
        <v>0</v>
      </c>
      <c r="G4040" s="1" t="str">
        <f t="shared" si="8000"/>
        <v>0</v>
      </c>
      <c r="H4040" s="1" t="str">
        <f t="shared" si="8000"/>
        <v>0</v>
      </c>
      <c r="I4040" s="1" t="str">
        <f t="shared" si="8000"/>
        <v>0</v>
      </c>
      <c r="J4040" s="1" t="str">
        <f t="shared" si="8000"/>
        <v>0</v>
      </c>
      <c r="K4040" s="1" t="str">
        <f t="shared" si="8000"/>
        <v>0</v>
      </c>
      <c r="L4040" s="1" t="str">
        <f t="shared" si="8000"/>
        <v>0</v>
      </c>
      <c r="M4040" s="1" t="str">
        <f t="shared" si="8000"/>
        <v>0</v>
      </c>
      <c r="N4040" s="1" t="str">
        <f t="shared" si="8000"/>
        <v>0</v>
      </c>
      <c r="O4040" s="1" t="str">
        <f t="shared" si="8000"/>
        <v>0</v>
      </c>
      <c r="P4040" s="1" t="str">
        <f t="shared" si="8000"/>
        <v>0</v>
      </c>
      <c r="Q4040" s="1" t="str">
        <f t="shared" si="7994"/>
        <v>0.0070</v>
      </c>
      <c r="R4040" s="1" t="s">
        <v>25</v>
      </c>
      <c r="T4040" s="1" t="str">
        <f t="shared" si="7995"/>
        <v>0</v>
      </c>
      <c r="U4040" s="1" t="str">
        <f t="shared" si="7987"/>
        <v>0.0070</v>
      </c>
    </row>
    <row r="4041" s="1" customFormat="1" spans="1:21">
      <c r="A4041" s="1" t="str">
        <f>"4601992086678"</f>
        <v>4601992086678</v>
      </c>
      <c r="B4041" s="1" t="s">
        <v>4064</v>
      </c>
      <c r="C4041" s="1" t="s">
        <v>24</v>
      </c>
      <c r="D4041" s="1" t="str">
        <f t="shared" si="7991"/>
        <v>2021</v>
      </c>
      <c r="E4041" s="1" t="str">
        <f t="shared" ref="E4041:P4041" si="8001">"0"</f>
        <v>0</v>
      </c>
      <c r="F4041" s="1" t="str">
        <f t="shared" si="8001"/>
        <v>0</v>
      </c>
      <c r="G4041" s="1" t="str">
        <f t="shared" si="8001"/>
        <v>0</v>
      </c>
      <c r="H4041" s="1" t="str">
        <f t="shared" si="8001"/>
        <v>0</v>
      </c>
      <c r="I4041" s="1" t="str">
        <f t="shared" si="8001"/>
        <v>0</v>
      </c>
      <c r="J4041" s="1" t="str">
        <f t="shared" si="8001"/>
        <v>0</v>
      </c>
      <c r="K4041" s="1" t="str">
        <f t="shared" si="8001"/>
        <v>0</v>
      </c>
      <c r="L4041" s="1" t="str">
        <f t="shared" si="8001"/>
        <v>0</v>
      </c>
      <c r="M4041" s="1" t="str">
        <f t="shared" si="8001"/>
        <v>0</v>
      </c>
      <c r="N4041" s="1" t="str">
        <f t="shared" si="8001"/>
        <v>0</v>
      </c>
      <c r="O4041" s="1" t="str">
        <f t="shared" si="8001"/>
        <v>0</v>
      </c>
      <c r="P4041" s="1" t="str">
        <f t="shared" si="8001"/>
        <v>0</v>
      </c>
      <c r="Q4041" s="1" t="str">
        <f t="shared" si="7994"/>
        <v>0.0070</v>
      </c>
      <c r="R4041" s="1" t="s">
        <v>25</v>
      </c>
      <c r="T4041" s="1" t="str">
        <f t="shared" si="7995"/>
        <v>0</v>
      </c>
      <c r="U4041" s="1" t="str">
        <f t="shared" si="7987"/>
        <v>0.0070</v>
      </c>
    </row>
    <row r="4042" s="1" customFormat="1" spans="1:21">
      <c r="A4042" s="1" t="str">
        <f>"4601992086853"</f>
        <v>4601992086853</v>
      </c>
      <c r="B4042" s="1" t="s">
        <v>4065</v>
      </c>
      <c r="C4042" s="1" t="s">
        <v>24</v>
      </c>
      <c r="D4042" s="1" t="str">
        <f t="shared" si="7991"/>
        <v>2021</v>
      </c>
      <c r="E4042" s="1" t="str">
        <f t="shared" ref="E4042:P4042" si="8002">"0"</f>
        <v>0</v>
      </c>
      <c r="F4042" s="1" t="str">
        <f t="shared" si="8002"/>
        <v>0</v>
      </c>
      <c r="G4042" s="1" t="str">
        <f t="shared" si="8002"/>
        <v>0</v>
      </c>
      <c r="H4042" s="1" t="str">
        <f t="shared" si="8002"/>
        <v>0</v>
      </c>
      <c r="I4042" s="1" t="str">
        <f t="shared" si="8002"/>
        <v>0</v>
      </c>
      <c r="J4042" s="1" t="str">
        <f t="shared" si="8002"/>
        <v>0</v>
      </c>
      <c r="K4042" s="1" t="str">
        <f t="shared" si="8002"/>
        <v>0</v>
      </c>
      <c r="L4042" s="1" t="str">
        <f t="shared" si="8002"/>
        <v>0</v>
      </c>
      <c r="M4042" s="1" t="str">
        <f t="shared" si="8002"/>
        <v>0</v>
      </c>
      <c r="N4042" s="1" t="str">
        <f t="shared" si="8002"/>
        <v>0</v>
      </c>
      <c r="O4042" s="1" t="str">
        <f t="shared" si="8002"/>
        <v>0</v>
      </c>
      <c r="P4042" s="1" t="str">
        <f t="shared" si="8002"/>
        <v>0</v>
      </c>
      <c r="Q4042" s="1" t="str">
        <f t="shared" si="7994"/>
        <v>0.0070</v>
      </c>
      <c r="R4042" s="1" t="s">
        <v>25</v>
      </c>
      <c r="T4042" s="1" t="str">
        <f t="shared" si="7995"/>
        <v>0</v>
      </c>
      <c r="U4042" s="1" t="str">
        <f t="shared" si="7987"/>
        <v>0.0070</v>
      </c>
    </row>
    <row r="4043" s="1" customFormat="1" spans="1:21">
      <c r="A4043" s="1" t="str">
        <f>"4601992086909"</f>
        <v>4601992086909</v>
      </c>
      <c r="B4043" s="1" t="s">
        <v>4066</v>
      </c>
      <c r="C4043" s="1" t="s">
        <v>24</v>
      </c>
      <c r="D4043" s="1" t="str">
        <f t="shared" si="7991"/>
        <v>2021</v>
      </c>
      <c r="E4043" s="1" t="str">
        <f t="shared" ref="E4043:P4043" si="8003">"0"</f>
        <v>0</v>
      </c>
      <c r="F4043" s="1" t="str">
        <f t="shared" si="8003"/>
        <v>0</v>
      </c>
      <c r="G4043" s="1" t="str">
        <f t="shared" si="8003"/>
        <v>0</v>
      </c>
      <c r="H4043" s="1" t="str">
        <f t="shared" si="8003"/>
        <v>0</v>
      </c>
      <c r="I4043" s="1" t="str">
        <f t="shared" si="8003"/>
        <v>0</v>
      </c>
      <c r="J4043" s="1" t="str">
        <f t="shared" si="8003"/>
        <v>0</v>
      </c>
      <c r="K4043" s="1" t="str">
        <f t="shared" si="8003"/>
        <v>0</v>
      </c>
      <c r="L4043" s="1" t="str">
        <f t="shared" si="8003"/>
        <v>0</v>
      </c>
      <c r="M4043" s="1" t="str">
        <f t="shared" si="8003"/>
        <v>0</v>
      </c>
      <c r="N4043" s="1" t="str">
        <f t="shared" si="8003"/>
        <v>0</v>
      </c>
      <c r="O4043" s="1" t="str">
        <f t="shared" si="8003"/>
        <v>0</v>
      </c>
      <c r="P4043" s="1" t="str">
        <f t="shared" si="8003"/>
        <v>0</v>
      </c>
      <c r="Q4043" s="1" t="str">
        <f t="shared" si="7994"/>
        <v>0.0070</v>
      </c>
      <c r="R4043" s="1" t="s">
        <v>25</v>
      </c>
      <c r="T4043" s="1" t="str">
        <f t="shared" si="7995"/>
        <v>0</v>
      </c>
      <c r="U4043" s="1" t="str">
        <f t="shared" si="7987"/>
        <v>0.0070</v>
      </c>
    </row>
    <row r="4044" s="1" customFormat="1" spans="1:21">
      <c r="A4044" s="1" t="str">
        <f>"4601992086964"</f>
        <v>4601992086964</v>
      </c>
      <c r="B4044" s="1" t="s">
        <v>4067</v>
      </c>
      <c r="C4044" s="1" t="s">
        <v>24</v>
      </c>
      <c r="D4044" s="1" t="str">
        <f t="shared" si="7991"/>
        <v>2021</v>
      </c>
      <c r="E4044" s="1" t="str">
        <f t="shared" ref="E4044:P4044" si="8004">"0"</f>
        <v>0</v>
      </c>
      <c r="F4044" s="1" t="str">
        <f t="shared" si="8004"/>
        <v>0</v>
      </c>
      <c r="G4044" s="1" t="str">
        <f t="shared" si="8004"/>
        <v>0</v>
      </c>
      <c r="H4044" s="1" t="str">
        <f t="shared" si="8004"/>
        <v>0</v>
      </c>
      <c r="I4044" s="1" t="str">
        <f t="shared" si="8004"/>
        <v>0</v>
      </c>
      <c r="J4044" s="1" t="str">
        <f t="shared" si="8004"/>
        <v>0</v>
      </c>
      <c r="K4044" s="1" t="str">
        <f t="shared" si="8004"/>
        <v>0</v>
      </c>
      <c r="L4044" s="1" t="str">
        <f t="shared" si="8004"/>
        <v>0</v>
      </c>
      <c r="M4044" s="1" t="str">
        <f t="shared" si="8004"/>
        <v>0</v>
      </c>
      <c r="N4044" s="1" t="str">
        <f t="shared" si="8004"/>
        <v>0</v>
      </c>
      <c r="O4044" s="1" t="str">
        <f t="shared" si="8004"/>
        <v>0</v>
      </c>
      <c r="P4044" s="1" t="str">
        <f t="shared" si="8004"/>
        <v>0</v>
      </c>
      <c r="Q4044" s="1" t="str">
        <f t="shared" si="7994"/>
        <v>0.0070</v>
      </c>
      <c r="R4044" s="1" t="s">
        <v>25</v>
      </c>
      <c r="T4044" s="1" t="str">
        <f t="shared" si="7995"/>
        <v>0</v>
      </c>
      <c r="U4044" s="1" t="str">
        <f t="shared" si="7987"/>
        <v>0.0070</v>
      </c>
    </row>
    <row r="4045" s="1" customFormat="1" spans="1:21">
      <c r="A4045" s="1" t="str">
        <f>"4601992086943"</f>
        <v>4601992086943</v>
      </c>
      <c r="B4045" s="1" t="s">
        <v>4068</v>
      </c>
      <c r="C4045" s="1" t="s">
        <v>24</v>
      </c>
      <c r="D4045" s="1" t="str">
        <f t="shared" si="7991"/>
        <v>2021</v>
      </c>
      <c r="E4045" s="1" t="str">
        <f>"11.98"</f>
        <v>11.98</v>
      </c>
      <c r="F4045" s="1" t="str">
        <f t="shared" ref="F4045:I4045" si="8005">"0"</f>
        <v>0</v>
      </c>
      <c r="G4045" s="1" t="str">
        <f t="shared" si="8005"/>
        <v>0</v>
      </c>
      <c r="H4045" s="1" t="str">
        <f t="shared" si="8005"/>
        <v>0</v>
      </c>
      <c r="I4045" s="1" t="str">
        <f t="shared" si="8005"/>
        <v>0</v>
      </c>
      <c r="J4045" s="1" t="str">
        <f>"1"</f>
        <v>1</v>
      </c>
      <c r="K4045" s="1" t="str">
        <f t="shared" ref="K4045:P4045" si="8006">"0"</f>
        <v>0</v>
      </c>
      <c r="L4045" s="1" t="str">
        <f t="shared" si="8006"/>
        <v>0</v>
      </c>
      <c r="M4045" s="1" t="str">
        <f t="shared" si="8006"/>
        <v>0</v>
      </c>
      <c r="N4045" s="1" t="str">
        <f t="shared" si="8006"/>
        <v>0</v>
      </c>
      <c r="O4045" s="1" t="str">
        <f t="shared" si="8006"/>
        <v>0</v>
      </c>
      <c r="P4045" s="1" t="str">
        <f t="shared" si="8006"/>
        <v>0</v>
      </c>
      <c r="Q4045" s="1" t="str">
        <f t="shared" si="7994"/>
        <v>0.0070</v>
      </c>
      <c r="R4045" s="1" t="s">
        <v>29</v>
      </c>
      <c r="S4045" s="1">
        <v>-0.0014</v>
      </c>
      <c r="T4045" s="1" t="str">
        <f t="shared" si="7995"/>
        <v>0</v>
      </c>
      <c r="U4045" s="1" t="str">
        <f>"0.0056"</f>
        <v>0.0056</v>
      </c>
    </row>
    <row r="4046" s="1" customFormat="1" spans="1:21">
      <c r="A4046" s="1" t="str">
        <f>"4601992086998"</f>
        <v>4601992086998</v>
      </c>
      <c r="B4046" s="1" t="s">
        <v>4069</v>
      </c>
      <c r="C4046" s="1" t="s">
        <v>24</v>
      </c>
      <c r="D4046" s="1" t="str">
        <f t="shared" si="7991"/>
        <v>2021</v>
      </c>
      <c r="E4046" s="1" t="str">
        <f t="shared" ref="E4046:P4046" si="8007">"0"</f>
        <v>0</v>
      </c>
      <c r="F4046" s="1" t="str">
        <f t="shared" si="8007"/>
        <v>0</v>
      </c>
      <c r="G4046" s="1" t="str">
        <f t="shared" si="8007"/>
        <v>0</v>
      </c>
      <c r="H4046" s="1" t="str">
        <f t="shared" si="8007"/>
        <v>0</v>
      </c>
      <c r="I4046" s="1" t="str">
        <f t="shared" si="8007"/>
        <v>0</v>
      </c>
      <c r="J4046" s="1" t="str">
        <f t="shared" si="8007"/>
        <v>0</v>
      </c>
      <c r="K4046" s="1" t="str">
        <f t="shared" si="8007"/>
        <v>0</v>
      </c>
      <c r="L4046" s="1" t="str">
        <f t="shared" si="8007"/>
        <v>0</v>
      </c>
      <c r="M4046" s="1" t="str">
        <f t="shared" si="8007"/>
        <v>0</v>
      </c>
      <c r="N4046" s="1" t="str">
        <f t="shared" si="8007"/>
        <v>0</v>
      </c>
      <c r="O4046" s="1" t="str">
        <f t="shared" si="8007"/>
        <v>0</v>
      </c>
      <c r="P4046" s="1" t="str">
        <f t="shared" si="8007"/>
        <v>0</v>
      </c>
      <c r="Q4046" s="1" t="str">
        <f t="shared" si="7994"/>
        <v>0.0070</v>
      </c>
      <c r="R4046" s="1" t="s">
        <v>25</v>
      </c>
      <c r="T4046" s="1" t="str">
        <f t="shared" si="7995"/>
        <v>0</v>
      </c>
      <c r="U4046" s="1" t="str">
        <f t="shared" ref="U4046:U4048" si="8008">"0.0070"</f>
        <v>0.0070</v>
      </c>
    </row>
    <row r="4047" s="1" customFormat="1" spans="1:21">
      <c r="A4047" s="1" t="str">
        <f>"4601992087024"</f>
        <v>4601992087024</v>
      </c>
      <c r="B4047" s="1" t="s">
        <v>4070</v>
      </c>
      <c r="C4047" s="1" t="s">
        <v>24</v>
      </c>
      <c r="D4047" s="1" t="str">
        <f t="shared" si="7991"/>
        <v>2021</v>
      </c>
      <c r="E4047" s="1" t="str">
        <f t="shared" ref="E4047:P4047" si="8009">"0"</f>
        <v>0</v>
      </c>
      <c r="F4047" s="1" t="str">
        <f t="shared" si="8009"/>
        <v>0</v>
      </c>
      <c r="G4047" s="1" t="str">
        <f t="shared" si="8009"/>
        <v>0</v>
      </c>
      <c r="H4047" s="1" t="str">
        <f t="shared" si="8009"/>
        <v>0</v>
      </c>
      <c r="I4047" s="1" t="str">
        <f t="shared" si="8009"/>
        <v>0</v>
      </c>
      <c r="J4047" s="1" t="str">
        <f t="shared" si="8009"/>
        <v>0</v>
      </c>
      <c r="K4047" s="1" t="str">
        <f t="shared" si="8009"/>
        <v>0</v>
      </c>
      <c r="L4047" s="1" t="str">
        <f t="shared" si="8009"/>
        <v>0</v>
      </c>
      <c r="M4047" s="1" t="str">
        <f t="shared" si="8009"/>
        <v>0</v>
      </c>
      <c r="N4047" s="1" t="str">
        <f t="shared" si="8009"/>
        <v>0</v>
      </c>
      <c r="O4047" s="1" t="str">
        <f t="shared" si="8009"/>
        <v>0</v>
      </c>
      <c r="P4047" s="1" t="str">
        <f t="shared" si="8009"/>
        <v>0</v>
      </c>
      <c r="Q4047" s="1" t="str">
        <f t="shared" si="7994"/>
        <v>0.0070</v>
      </c>
      <c r="R4047" s="1" t="s">
        <v>25</v>
      </c>
      <c r="T4047" s="1" t="str">
        <f t="shared" si="7995"/>
        <v>0</v>
      </c>
      <c r="U4047" s="1" t="str">
        <f t="shared" si="8008"/>
        <v>0.0070</v>
      </c>
    </row>
    <row r="4048" s="1" customFormat="1" spans="1:21">
      <c r="A4048" s="1" t="str">
        <f>"4601992087088"</f>
        <v>4601992087088</v>
      </c>
      <c r="B4048" s="1" t="s">
        <v>4071</v>
      </c>
      <c r="C4048" s="1" t="s">
        <v>24</v>
      </c>
      <c r="D4048" s="1" t="str">
        <f t="shared" si="7991"/>
        <v>2021</v>
      </c>
      <c r="E4048" s="1" t="str">
        <f t="shared" ref="E4048:P4048" si="8010">"0"</f>
        <v>0</v>
      </c>
      <c r="F4048" s="1" t="str">
        <f t="shared" si="8010"/>
        <v>0</v>
      </c>
      <c r="G4048" s="1" t="str">
        <f t="shared" si="8010"/>
        <v>0</v>
      </c>
      <c r="H4048" s="1" t="str">
        <f t="shared" si="8010"/>
        <v>0</v>
      </c>
      <c r="I4048" s="1" t="str">
        <f t="shared" si="8010"/>
        <v>0</v>
      </c>
      <c r="J4048" s="1" t="str">
        <f t="shared" si="8010"/>
        <v>0</v>
      </c>
      <c r="K4048" s="1" t="str">
        <f t="shared" si="8010"/>
        <v>0</v>
      </c>
      <c r="L4048" s="1" t="str">
        <f t="shared" si="8010"/>
        <v>0</v>
      </c>
      <c r="M4048" s="1" t="str">
        <f t="shared" si="8010"/>
        <v>0</v>
      </c>
      <c r="N4048" s="1" t="str">
        <f t="shared" si="8010"/>
        <v>0</v>
      </c>
      <c r="O4048" s="1" t="str">
        <f t="shared" si="8010"/>
        <v>0</v>
      </c>
      <c r="P4048" s="1" t="str">
        <f t="shared" si="8010"/>
        <v>0</v>
      </c>
      <c r="Q4048" s="1" t="str">
        <f t="shared" si="7994"/>
        <v>0.0070</v>
      </c>
      <c r="R4048" s="1" t="s">
        <v>25</v>
      </c>
      <c r="T4048" s="1" t="str">
        <f t="shared" si="7995"/>
        <v>0</v>
      </c>
      <c r="U4048" s="1" t="str">
        <f t="shared" si="8008"/>
        <v>0.0070</v>
      </c>
    </row>
    <row r="4049" s="1" customFormat="1" spans="1:21">
      <c r="A4049" s="1" t="str">
        <f>"4601992086817"</f>
        <v>4601992086817</v>
      </c>
      <c r="B4049" s="1" t="s">
        <v>4072</v>
      </c>
      <c r="C4049" s="1" t="s">
        <v>24</v>
      </c>
      <c r="D4049" s="1" t="str">
        <f t="shared" si="7991"/>
        <v>2021</v>
      </c>
      <c r="E4049" s="1" t="str">
        <f>"12.09"</f>
        <v>12.09</v>
      </c>
      <c r="F4049" s="1" t="str">
        <f t="shared" ref="F4049:I4049" si="8011">"0"</f>
        <v>0</v>
      </c>
      <c r="G4049" s="1" t="str">
        <f t="shared" si="8011"/>
        <v>0</v>
      </c>
      <c r="H4049" s="1" t="str">
        <f t="shared" si="8011"/>
        <v>0</v>
      </c>
      <c r="I4049" s="1" t="str">
        <f t="shared" si="8011"/>
        <v>0</v>
      </c>
      <c r="J4049" s="1" t="str">
        <f>"2"</f>
        <v>2</v>
      </c>
      <c r="K4049" s="1" t="str">
        <f t="shared" ref="K4049:P4049" si="8012">"0"</f>
        <v>0</v>
      </c>
      <c r="L4049" s="1" t="str">
        <f t="shared" si="8012"/>
        <v>0</v>
      </c>
      <c r="M4049" s="1" t="str">
        <f t="shared" si="8012"/>
        <v>0</v>
      </c>
      <c r="N4049" s="1" t="str">
        <f t="shared" si="8012"/>
        <v>0</v>
      </c>
      <c r="O4049" s="1" t="str">
        <f t="shared" si="8012"/>
        <v>0</v>
      </c>
      <c r="P4049" s="1" t="str">
        <f t="shared" si="8012"/>
        <v>0</v>
      </c>
      <c r="Q4049" s="1" t="str">
        <f t="shared" si="7994"/>
        <v>0.0070</v>
      </c>
      <c r="R4049" s="1" t="s">
        <v>29</v>
      </c>
      <c r="S4049" s="1">
        <v>-0.0014</v>
      </c>
      <c r="T4049" s="1" t="str">
        <f t="shared" si="7995"/>
        <v>0</v>
      </c>
      <c r="U4049" s="1" t="str">
        <f>"0.0056"</f>
        <v>0.0056</v>
      </c>
    </row>
    <row r="4050" s="1" customFormat="1" spans="1:21">
      <c r="A4050" s="1" t="str">
        <f>"4601992087195"</f>
        <v>4601992087195</v>
      </c>
      <c r="B4050" s="1" t="s">
        <v>4073</v>
      </c>
      <c r="C4050" s="1" t="s">
        <v>24</v>
      </c>
      <c r="D4050" s="1" t="str">
        <f t="shared" si="7991"/>
        <v>2021</v>
      </c>
      <c r="E4050" s="1" t="str">
        <f t="shared" ref="E4050:P4050" si="8013">"0"</f>
        <v>0</v>
      </c>
      <c r="F4050" s="1" t="str">
        <f t="shared" si="8013"/>
        <v>0</v>
      </c>
      <c r="G4050" s="1" t="str">
        <f t="shared" si="8013"/>
        <v>0</v>
      </c>
      <c r="H4050" s="1" t="str">
        <f t="shared" si="8013"/>
        <v>0</v>
      </c>
      <c r="I4050" s="1" t="str">
        <f t="shared" si="8013"/>
        <v>0</v>
      </c>
      <c r="J4050" s="1" t="str">
        <f t="shared" si="8013"/>
        <v>0</v>
      </c>
      <c r="K4050" s="1" t="str">
        <f t="shared" si="8013"/>
        <v>0</v>
      </c>
      <c r="L4050" s="1" t="str">
        <f t="shared" si="8013"/>
        <v>0</v>
      </c>
      <c r="M4050" s="1" t="str">
        <f t="shared" si="8013"/>
        <v>0</v>
      </c>
      <c r="N4050" s="1" t="str">
        <f t="shared" si="8013"/>
        <v>0</v>
      </c>
      <c r="O4050" s="1" t="str">
        <f t="shared" si="8013"/>
        <v>0</v>
      </c>
      <c r="P4050" s="1" t="str">
        <f t="shared" si="8013"/>
        <v>0</v>
      </c>
      <c r="Q4050" s="1" t="str">
        <f t="shared" si="7994"/>
        <v>0.0070</v>
      </c>
      <c r="R4050" s="1" t="s">
        <v>25</v>
      </c>
      <c r="T4050" s="1" t="str">
        <f t="shared" si="7995"/>
        <v>0</v>
      </c>
      <c r="U4050" s="1" t="str">
        <f t="shared" ref="U4050:U4068" si="8014">"0.0070"</f>
        <v>0.0070</v>
      </c>
    </row>
    <row r="4051" s="1" customFormat="1" spans="1:21">
      <c r="A4051" s="1" t="str">
        <f>"4601992087218"</f>
        <v>4601992087218</v>
      </c>
      <c r="B4051" s="1" t="s">
        <v>4074</v>
      </c>
      <c r="C4051" s="1" t="s">
        <v>24</v>
      </c>
      <c r="D4051" s="1" t="str">
        <f t="shared" si="7991"/>
        <v>2021</v>
      </c>
      <c r="E4051" s="1" t="str">
        <f t="shared" ref="E4051:P4051" si="8015">"0"</f>
        <v>0</v>
      </c>
      <c r="F4051" s="1" t="str">
        <f t="shared" si="8015"/>
        <v>0</v>
      </c>
      <c r="G4051" s="1" t="str">
        <f t="shared" si="8015"/>
        <v>0</v>
      </c>
      <c r="H4051" s="1" t="str">
        <f t="shared" si="8015"/>
        <v>0</v>
      </c>
      <c r="I4051" s="1" t="str">
        <f t="shared" si="8015"/>
        <v>0</v>
      </c>
      <c r="J4051" s="1" t="str">
        <f t="shared" si="8015"/>
        <v>0</v>
      </c>
      <c r="K4051" s="1" t="str">
        <f t="shared" si="8015"/>
        <v>0</v>
      </c>
      <c r="L4051" s="1" t="str">
        <f t="shared" si="8015"/>
        <v>0</v>
      </c>
      <c r="M4051" s="1" t="str">
        <f t="shared" si="8015"/>
        <v>0</v>
      </c>
      <c r="N4051" s="1" t="str">
        <f t="shared" si="8015"/>
        <v>0</v>
      </c>
      <c r="O4051" s="1" t="str">
        <f t="shared" si="8015"/>
        <v>0</v>
      </c>
      <c r="P4051" s="1" t="str">
        <f t="shared" si="8015"/>
        <v>0</v>
      </c>
      <c r="Q4051" s="1" t="str">
        <f t="shared" si="7994"/>
        <v>0.0070</v>
      </c>
      <c r="R4051" s="1" t="s">
        <v>25</v>
      </c>
      <c r="T4051" s="1" t="str">
        <f t="shared" si="7995"/>
        <v>0</v>
      </c>
      <c r="U4051" s="1" t="str">
        <f t="shared" si="8014"/>
        <v>0.0070</v>
      </c>
    </row>
    <row r="4052" s="1" customFormat="1" spans="1:21">
      <c r="A4052" s="1" t="str">
        <f>"4601992087291"</f>
        <v>4601992087291</v>
      </c>
      <c r="B4052" s="1" t="s">
        <v>4075</v>
      </c>
      <c r="C4052" s="1" t="s">
        <v>24</v>
      </c>
      <c r="D4052" s="1" t="str">
        <f t="shared" si="7991"/>
        <v>2021</v>
      </c>
      <c r="E4052" s="1" t="str">
        <f t="shared" ref="E4052:P4052" si="8016">"0"</f>
        <v>0</v>
      </c>
      <c r="F4052" s="1" t="str">
        <f t="shared" si="8016"/>
        <v>0</v>
      </c>
      <c r="G4052" s="1" t="str">
        <f t="shared" si="8016"/>
        <v>0</v>
      </c>
      <c r="H4052" s="1" t="str">
        <f t="shared" si="8016"/>
        <v>0</v>
      </c>
      <c r="I4052" s="1" t="str">
        <f t="shared" si="8016"/>
        <v>0</v>
      </c>
      <c r="J4052" s="1" t="str">
        <f t="shared" si="8016"/>
        <v>0</v>
      </c>
      <c r="K4052" s="1" t="str">
        <f t="shared" si="8016"/>
        <v>0</v>
      </c>
      <c r="L4052" s="1" t="str">
        <f t="shared" si="8016"/>
        <v>0</v>
      </c>
      <c r="M4052" s="1" t="str">
        <f t="shared" si="8016"/>
        <v>0</v>
      </c>
      <c r="N4052" s="1" t="str">
        <f t="shared" si="8016"/>
        <v>0</v>
      </c>
      <c r="O4052" s="1" t="str">
        <f t="shared" si="8016"/>
        <v>0</v>
      </c>
      <c r="P4052" s="1" t="str">
        <f t="shared" si="8016"/>
        <v>0</v>
      </c>
      <c r="Q4052" s="1" t="str">
        <f t="shared" si="7994"/>
        <v>0.0070</v>
      </c>
      <c r="R4052" s="1" t="s">
        <v>25</v>
      </c>
      <c r="T4052" s="1" t="str">
        <f t="shared" si="7995"/>
        <v>0</v>
      </c>
      <c r="U4052" s="1" t="str">
        <f t="shared" si="8014"/>
        <v>0.0070</v>
      </c>
    </row>
    <row r="4053" s="1" customFormat="1" spans="1:21">
      <c r="A4053" s="1" t="str">
        <f>"4601992087343"</f>
        <v>4601992087343</v>
      </c>
      <c r="B4053" s="1" t="s">
        <v>4076</v>
      </c>
      <c r="C4053" s="1" t="s">
        <v>24</v>
      </c>
      <c r="D4053" s="1" t="str">
        <f t="shared" si="7991"/>
        <v>2021</v>
      </c>
      <c r="E4053" s="1" t="str">
        <f t="shared" ref="E4053:P4053" si="8017">"0"</f>
        <v>0</v>
      </c>
      <c r="F4053" s="1" t="str">
        <f t="shared" si="8017"/>
        <v>0</v>
      </c>
      <c r="G4053" s="1" t="str">
        <f t="shared" si="8017"/>
        <v>0</v>
      </c>
      <c r="H4053" s="1" t="str">
        <f t="shared" si="8017"/>
        <v>0</v>
      </c>
      <c r="I4053" s="1" t="str">
        <f t="shared" si="8017"/>
        <v>0</v>
      </c>
      <c r="J4053" s="1" t="str">
        <f t="shared" si="8017"/>
        <v>0</v>
      </c>
      <c r="K4053" s="1" t="str">
        <f t="shared" si="8017"/>
        <v>0</v>
      </c>
      <c r="L4053" s="1" t="str">
        <f t="shared" si="8017"/>
        <v>0</v>
      </c>
      <c r="M4053" s="1" t="str">
        <f t="shared" si="8017"/>
        <v>0</v>
      </c>
      <c r="N4053" s="1" t="str">
        <f t="shared" si="8017"/>
        <v>0</v>
      </c>
      <c r="O4053" s="1" t="str">
        <f t="shared" si="8017"/>
        <v>0</v>
      </c>
      <c r="P4053" s="1" t="str">
        <f t="shared" si="8017"/>
        <v>0</v>
      </c>
      <c r="Q4053" s="1" t="str">
        <f t="shared" si="7994"/>
        <v>0.0070</v>
      </c>
      <c r="R4053" s="1" t="s">
        <v>25</v>
      </c>
      <c r="T4053" s="1" t="str">
        <f t="shared" si="7995"/>
        <v>0</v>
      </c>
      <c r="U4053" s="1" t="str">
        <f t="shared" si="8014"/>
        <v>0.0070</v>
      </c>
    </row>
    <row r="4054" s="1" customFormat="1" spans="1:21">
      <c r="A4054" s="1" t="str">
        <f>"4601992087354"</f>
        <v>4601992087354</v>
      </c>
      <c r="B4054" s="1" t="s">
        <v>4077</v>
      </c>
      <c r="C4054" s="1" t="s">
        <v>24</v>
      </c>
      <c r="D4054" s="1" t="str">
        <f t="shared" si="7991"/>
        <v>2021</v>
      </c>
      <c r="E4054" s="1" t="str">
        <f t="shared" ref="E4054:P4054" si="8018">"0"</f>
        <v>0</v>
      </c>
      <c r="F4054" s="1" t="str">
        <f t="shared" si="8018"/>
        <v>0</v>
      </c>
      <c r="G4054" s="1" t="str">
        <f t="shared" si="8018"/>
        <v>0</v>
      </c>
      <c r="H4054" s="1" t="str">
        <f t="shared" si="8018"/>
        <v>0</v>
      </c>
      <c r="I4054" s="1" t="str">
        <f t="shared" si="8018"/>
        <v>0</v>
      </c>
      <c r="J4054" s="1" t="str">
        <f t="shared" si="8018"/>
        <v>0</v>
      </c>
      <c r="K4054" s="1" t="str">
        <f t="shared" si="8018"/>
        <v>0</v>
      </c>
      <c r="L4054" s="1" t="str">
        <f t="shared" si="8018"/>
        <v>0</v>
      </c>
      <c r="M4054" s="1" t="str">
        <f t="shared" si="8018"/>
        <v>0</v>
      </c>
      <c r="N4054" s="1" t="str">
        <f t="shared" si="8018"/>
        <v>0</v>
      </c>
      <c r="O4054" s="1" t="str">
        <f t="shared" si="8018"/>
        <v>0</v>
      </c>
      <c r="P4054" s="1" t="str">
        <f t="shared" si="8018"/>
        <v>0</v>
      </c>
      <c r="Q4054" s="1" t="str">
        <f t="shared" si="7994"/>
        <v>0.0070</v>
      </c>
      <c r="R4054" s="1" t="s">
        <v>25</v>
      </c>
      <c r="T4054" s="1" t="str">
        <f t="shared" si="7995"/>
        <v>0</v>
      </c>
      <c r="U4054" s="1" t="str">
        <f t="shared" si="8014"/>
        <v>0.0070</v>
      </c>
    </row>
    <row r="4055" s="1" customFormat="1" spans="1:21">
      <c r="A4055" s="1" t="str">
        <f>"4601992087356"</f>
        <v>4601992087356</v>
      </c>
      <c r="B4055" s="1" t="s">
        <v>4078</v>
      </c>
      <c r="C4055" s="1" t="s">
        <v>24</v>
      </c>
      <c r="D4055" s="1" t="str">
        <f t="shared" si="7991"/>
        <v>2021</v>
      </c>
      <c r="E4055" s="1" t="str">
        <f t="shared" ref="E4055:P4055" si="8019">"0"</f>
        <v>0</v>
      </c>
      <c r="F4055" s="1" t="str">
        <f t="shared" si="8019"/>
        <v>0</v>
      </c>
      <c r="G4055" s="1" t="str">
        <f t="shared" si="8019"/>
        <v>0</v>
      </c>
      <c r="H4055" s="1" t="str">
        <f t="shared" si="8019"/>
        <v>0</v>
      </c>
      <c r="I4055" s="1" t="str">
        <f t="shared" si="8019"/>
        <v>0</v>
      </c>
      <c r="J4055" s="1" t="str">
        <f t="shared" si="8019"/>
        <v>0</v>
      </c>
      <c r="K4055" s="1" t="str">
        <f t="shared" si="8019"/>
        <v>0</v>
      </c>
      <c r="L4055" s="1" t="str">
        <f t="shared" si="8019"/>
        <v>0</v>
      </c>
      <c r="M4055" s="1" t="str">
        <f t="shared" si="8019"/>
        <v>0</v>
      </c>
      <c r="N4055" s="1" t="str">
        <f t="shared" si="8019"/>
        <v>0</v>
      </c>
      <c r="O4055" s="1" t="str">
        <f t="shared" si="8019"/>
        <v>0</v>
      </c>
      <c r="P4055" s="1" t="str">
        <f t="shared" si="8019"/>
        <v>0</v>
      </c>
      <c r="Q4055" s="1" t="str">
        <f t="shared" si="7994"/>
        <v>0.0070</v>
      </c>
      <c r="R4055" s="1" t="s">
        <v>25</v>
      </c>
      <c r="T4055" s="1" t="str">
        <f t="shared" si="7995"/>
        <v>0</v>
      </c>
      <c r="U4055" s="1" t="str">
        <f t="shared" si="8014"/>
        <v>0.0070</v>
      </c>
    </row>
    <row r="4056" s="1" customFormat="1" spans="1:21">
      <c r="A4056" s="1" t="str">
        <f>"4601992087421"</f>
        <v>4601992087421</v>
      </c>
      <c r="B4056" s="1" t="s">
        <v>4079</v>
      </c>
      <c r="C4056" s="1" t="s">
        <v>24</v>
      </c>
      <c r="D4056" s="1" t="str">
        <f t="shared" si="7991"/>
        <v>2021</v>
      </c>
      <c r="E4056" s="1" t="str">
        <f t="shared" ref="E4056:P4056" si="8020">"0"</f>
        <v>0</v>
      </c>
      <c r="F4056" s="1" t="str">
        <f t="shared" si="8020"/>
        <v>0</v>
      </c>
      <c r="G4056" s="1" t="str">
        <f t="shared" si="8020"/>
        <v>0</v>
      </c>
      <c r="H4056" s="1" t="str">
        <f t="shared" si="8020"/>
        <v>0</v>
      </c>
      <c r="I4056" s="1" t="str">
        <f t="shared" si="8020"/>
        <v>0</v>
      </c>
      <c r="J4056" s="1" t="str">
        <f t="shared" si="8020"/>
        <v>0</v>
      </c>
      <c r="K4056" s="1" t="str">
        <f t="shared" si="8020"/>
        <v>0</v>
      </c>
      <c r="L4056" s="1" t="str">
        <f t="shared" si="8020"/>
        <v>0</v>
      </c>
      <c r="M4056" s="1" t="str">
        <f t="shared" si="8020"/>
        <v>0</v>
      </c>
      <c r="N4056" s="1" t="str">
        <f t="shared" si="8020"/>
        <v>0</v>
      </c>
      <c r="O4056" s="1" t="str">
        <f t="shared" si="8020"/>
        <v>0</v>
      </c>
      <c r="P4056" s="1" t="str">
        <f t="shared" si="8020"/>
        <v>0</v>
      </c>
      <c r="Q4056" s="1" t="str">
        <f t="shared" si="7994"/>
        <v>0.0070</v>
      </c>
      <c r="R4056" s="1" t="s">
        <v>25</v>
      </c>
      <c r="T4056" s="1" t="str">
        <f t="shared" si="7995"/>
        <v>0</v>
      </c>
      <c r="U4056" s="1" t="str">
        <f t="shared" si="8014"/>
        <v>0.0070</v>
      </c>
    </row>
    <row r="4057" s="1" customFormat="1" spans="1:21">
      <c r="A4057" s="1" t="str">
        <f>"4601992087427"</f>
        <v>4601992087427</v>
      </c>
      <c r="B4057" s="1" t="s">
        <v>4080</v>
      </c>
      <c r="C4057" s="1" t="s">
        <v>24</v>
      </c>
      <c r="D4057" s="1" t="str">
        <f t="shared" si="7991"/>
        <v>2021</v>
      </c>
      <c r="E4057" s="1" t="str">
        <f t="shared" ref="E4057:P4057" si="8021">"0"</f>
        <v>0</v>
      </c>
      <c r="F4057" s="1" t="str">
        <f t="shared" si="8021"/>
        <v>0</v>
      </c>
      <c r="G4057" s="1" t="str">
        <f t="shared" si="8021"/>
        <v>0</v>
      </c>
      <c r="H4057" s="1" t="str">
        <f t="shared" si="8021"/>
        <v>0</v>
      </c>
      <c r="I4057" s="1" t="str">
        <f t="shared" si="8021"/>
        <v>0</v>
      </c>
      <c r="J4057" s="1" t="str">
        <f t="shared" si="8021"/>
        <v>0</v>
      </c>
      <c r="K4057" s="1" t="str">
        <f t="shared" si="8021"/>
        <v>0</v>
      </c>
      <c r="L4057" s="1" t="str">
        <f t="shared" si="8021"/>
        <v>0</v>
      </c>
      <c r="M4057" s="1" t="str">
        <f t="shared" si="8021"/>
        <v>0</v>
      </c>
      <c r="N4057" s="1" t="str">
        <f t="shared" si="8021"/>
        <v>0</v>
      </c>
      <c r="O4057" s="1" t="str">
        <f t="shared" si="8021"/>
        <v>0</v>
      </c>
      <c r="P4057" s="1" t="str">
        <f t="shared" si="8021"/>
        <v>0</v>
      </c>
      <c r="Q4057" s="1" t="str">
        <f t="shared" si="7994"/>
        <v>0.0070</v>
      </c>
      <c r="R4057" s="1" t="s">
        <v>25</v>
      </c>
      <c r="T4057" s="1" t="str">
        <f t="shared" si="7995"/>
        <v>0</v>
      </c>
      <c r="U4057" s="1" t="str">
        <f t="shared" si="8014"/>
        <v>0.0070</v>
      </c>
    </row>
    <row r="4058" s="1" customFormat="1" spans="1:21">
      <c r="A4058" s="1" t="str">
        <f>"4601992087512"</f>
        <v>4601992087512</v>
      </c>
      <c r="B4058" s="1" t="s">
        <v>4081</v>
      </c>
      <c r="C4058" s="1" t="s">
        <v>24</v>
      </c>
      <c r="D4058" s="1" t="str">
        <f t="shared" si="7991"/>
        <v>2021</v>
      </c>
      <c r="E4058" s="1" t="str">
        <f t="shared" ref="E4058:P4058" si="8022">"0"</f>
        <v>0</v>
      </c>
      <c r="F4058" s="1" t="str">
        <f t="shared" si="8022"/>
        <v>0</v>
      </c>
      <c r="G4058" s="1" t="str">
        <f t="shared" si="8022"/>
        <v>0</v>
      </c>
      <c r="H4058" s="1" t="str">
        <f t="shared" si="8022"/>
        <v>0</v>
      </c>
      <c r="I4058" s="1" t="str">
        <f t="shared" si="8022"/>
        <v>0</v>
      </c>
      <c r="J4058" s="1" t="str">
        <f t="shared" si="8022"/>
        <v>0</v>
      </c>
      <c r="K4058" s="1" t="str">
        <f t="shared" si="8022"/>
        <v>0</v>
      </c>
      <c r="L4058" s="1" t="str">
        <f t="shared" si="8022"/>
        <v>0</v>
      </c>
      <c r="M4058" s="1" t="str">
        <f t="shared" si="8022"/>
        <v>0</v>
      </c>
      <c r="N4058" s="1" t="str">
        <f t="shared" si="8022"/>
        <v>0</v>
      </c>
      <c r="O4058" s="1" t="str">
        <f t="shared" si="8022"/>
        <v>0</v>
      </c>
      <c r="P4058" s="1" t="str">
        <f t="shared" si="8022"/>
        <v>0</v>
      </c>
      <c r="Q4058" s="1" t="str">
        <f t="shared" si="7994"/>
        <v>0.0070</v>
      </c>
      <c r="R4058" s="1" t="s">
        <v>25</v>
      </c>
      <c r="T4058" s="1" t="str">
        <f t="shared" si="7995"/>
        <v>0</v>
      </c>
      <c r="U4058" s="1" t="str">
        <f t="shared" si="8014"/>
        <v>0.0070</v>
      </c>
    </row>
    <row r="4059" s="1" customFormat="1" spans="1:21">
      <c r="A4059" s="1" t="str">
        <f>"4601992087564"</f>
        <v>4601992087564</v>
      </c>
      <c r="B4059" s="1" t="s">
        <v>4082</v>
      </c>
      <c r="C4059" s="1" t="s">
        <v>24</v>
      </c>
      <c r="D4059" s="1" t="str">
        <f t="shared" si="7991"/>
        <v>2021</v>
      </c>
      <c r="E4059" s="1" t="str">
        <f t="shared" ref="E4059:P4059" si="8023">"0"</f>
        <v>0</v>
      </c>
      <c r="F4059" s="1" t="str">
        <f t="shared" si="8023"/>
        <v>0</v>
      </c>
      <c r="G4059" s="1" t="str">
        <f t="shared" si="8023"/>
        <v>0</v>
      </c>
      <c r="H4059" s="1" t="str">
        <f t="shared" si="8023"/>
        <v>0</v>
      </c>
      <c r="I4059" s="1" t="str">
        <f t="shared" si="8023"/>
        <v>0</v>
      </c>
      <c r="J4059" s="1" t="str">
        <f t="shared" si="8023"/>
        <v>0</v>
      </c>
      <c r="K4059" s="1" t="str">
        <f t="shared" si="8023"/>
        <v>0</v>
      </c>
      <c r="L4059" s="1" t="str">
        <f t="shared" si="8023"/>
        <v>0</v>
      </c>
      <c r="M4059" s="1" t="str">
        <f t="shared" si="8023"/>
        <v>0</v>
      </c>
      <c r="N4059" s="1" t="str">
        <f t="shared" si="8023"/>
        <v>0</v>
      </c>
      <c r="O4059" s="1" t="str">
        <f t="shared" si="8023"/>
        <v>0</v>
      </c>
      <c r="P4059" s="1" t="str">
        <f t="shared" si="8023"/>
        <v>0</v>
      </c>
      <c r="Q4059" s="1" t="str">
        <f t="shared" si="7994"/>
        <v>0.0070</v>
      </c>
      <c r="R4059" s="1" t="s">
        <v>25</v>
      </c>
      <c r="T4059" s="1" t="str">
        <f t="shared" si="7995"/>
        <v>0</v>
      </c>
      <c r="U4059" s="1" t="str">
        <f t="shared" si="8014"/>
        <v>0.0070</v>
      </c>
    </row>
    <row r="4060" s="1" customFormat="1" spans="1:21">
      <c r="A4060" s="1" t="str">
        <f>"4601992087675"</f>
        <v>4601992087675</v>
      </c>
      <c r="B4060" s="1" t="s">
        <v>4083</v>
      </c>
      <c r="C4060" s="1" t="s">
        <v>24</v>
      </c>
      <c r="D4060" s="1" t="str">
        <f t="shared" si="7991"/>
        <v>2021</v>
      </c>
      <c r="E4060" s="1" t="str">
        <f t="shared" ref="E4060:P4060" si="8024">"0"</f>
        <v>0</v>
      </c>
      <c r="F4060" s="1" t="str">
        <f t="shared" si="8024"/>
        <v>0</v>
      </c>
      <c r="G4060" s="1" t="str">
        <f t="shared" si="8024"/>
        <v>0</v>
      </c>
      <c r="H4060" s="1" t="str">
        <f t="shared" si="8024"/>
        <v>0</v>
      </c>
      <c r="I4060" s="1" t="str">
        <f t="shared" si="8024"/>
        <v>0</v>
      </c>
      <c r="J4060" s="1" t="str">
        <f t="shared" si="8024"/>
        <v>0</v>
      </c>
      <c r="K4060" s="1" t="str">
        <f t="shared" si="8024"/>
        <v>0</v>
      </c>
      <c r="L4060" s="1" t="str">
        <f t="shared" si="8024"/>
        <v>0</v>
      </c>
      <c r="M4060" s="1" t="str">
        <f t="shared" si="8024"/>
        <v>0</v>
      </c>
      <c r="N4060" s="1" t="str">
        <f t="shared" si="8024"/>
        <v>0</v>
      </c>
      <c r="O4060" s="1" t="str">
        <f t="shared" si="8024"/>
        <v>0</v>
      </c>
      <c r="P4060" s="1" t="str">
        <f t="shared" si="8024"/>
        <v>0</v>
      </c>
      <c r="Q4060" s="1" t="str">
        <f t="shared" si="7994"/>
        <v>0.0070</v>
      </c>
      <c r="R4060" s="1" t="s">
        <v>25</v>
      </c>
      <c r="T4060" s="1" t="str">
        <f t="shared" si="7995"/>
        <v>0</v>
      </c>
      <c r="U4060" s="1" t="str">
        <f t="shared" si="8014"/>
        <v>0.0070</v>
      </c>
    </row>
    <row r="4061" s="1" customFormat="1" spans="1:21">
      <c r="A4061" s="1" t="str">
        <f>"4601992087769"</f>
        <v>4601992087769</v>
      </c>
      <c r="B4061" s="1" t="s">
        <v>4084</v>
      </c>
      <c r="C4061" s="1" t="s">
        <v>24</v>
      </c>
      <c r="D4061" s="1" t="str">
        <f t="shared" si="7991"/>
        <v>2021</v>
      </c>
      <c r="E4061" s="1" t="str">
        <f t="shared" ref="E4061:P4061" si="8025">"0"</f>
        <v>0</v>
      </c>
      <c r="F4061" s="1" t="str">
        <f t="shared" si="8025"/>
        <v>0</v>
      </c>
      <c r="G4061" s="1" t="str">
        <f t="shared" si="8025"/>
        <v>0</v>
      </c>
      <c r="H4061" s="1" t="str">
        <f t="shared" si="8025"/>
        <v>0</v>
      </c>
      <c r="I4061" s="1" t="str">
        <f t="shared" si="8025"/>
        <v>0</v>
      </c>
      <c r="J4061" s="1" t="str">
        <f t="shared" si="8025"/>
        <v>0</v>
      </c>
      <c r="K4061" s="1" t="str">
        <f t="shared" si="8025"/>
        <v>0</v>
      </c>
      <c r="L4061" s="1" t="str">
        <f t="shared" si="8025"/>
        <v>0</v>
      </c>
      <c r="M4061" s="1" t="str">
        <f t="shared" si="8025"/>
        <v>0</v>
      </c>
      <c r="N4061" s="1" t="str">
        <f t="shared" si="8025"/>
        <v>0</v>
      </c>
      <c r="O4061" s="1" t="str">
        <f t="shared" si="8025"/>
        <v>0</v>
      </c>
      <c r="P4061" s="1" t="str">
        <f t="shared" si="8025"/>
        <v>0</v>
      </c>
      <c r="Q4061" s="1" t="str">
        <f t="shared" si="7994"/>
        <v>0.0070</v>
      </c>
      <c r="R4061" s="1" t="s">
        <v>25</v>
      </c>
      <c r="T4061" s="1" t="str">
        <f t="shared" si="7995"/>
        <v>0</v>
      </c>
      <c r="U4061" s="1" t="str">
        <f t="shared" si="8014"/>
        <v>0.0070</v>
      </c>
    </row>
    <row r="4062" s="1" customFormat="1" spans="1:21">
      <c r="A4062" s="1" t="str">
        <f>"4601992087784"</f>
        <v>4601992087784</v>
      </c>
      <c r="B4062" s="1" t="s">
        <v>4085</v>
      </c>
      <c r="C4062" s="1" t="s">
        <v>24</v>
      </c>
      <c r="D4062" s="1" t="str">
        <f t="shared" si="7991"/>
        <v>2021</v>
      </c>
      <c r="E4062" s="1" t="str">
        <f t="shared" ref="E4062:P4062" si="8026">"0"</f>
        <v>0</v>
      </c>
      <c r="F4062" s="1" t="str">
        <f t="shared" si="8026"/>
        <v>0</v>
      </c>
      <c r="G4062" s="1" t="str">
        <f t="shared" si="8026"/>
        <v>0</v>
      </c>
      <c r="H4062" s="1" t="str">
        <f t="shared" si="8026"/>
        <v>0</v>
      </c>
      <c r="I4062" s="1" t="str">
        <f t="shared" si="8026"/>
        <v>0</v>
      </c>
      <c r="J4062" s="1" t="str">
        <f t="shared" si="8026"/>
        <v>0</v>
      </c>
      <c r="K4062" s="1" t="str">
        <f t="shared" si="8026"/>
        <v>0</v>
      </c>
      <c r="L4062" s="1" t="str">
        <f t="shared" si="8026"/>
        <v>0</v>
      </c>
      <c r="M4062" s="1" t="str">
        <f t="shared" si="8026"/>
        <v>0</v>
      </c>
      <c r="N4062" s="1" t="str">
        <f t="shared" si="8026"/>
        <v>0</v>
      </c>
      <c r="O4062" s="1" t="str">
        <f t="shared" si="8026"/>
        <v>0</v>
      </c>
      <c r="P4062" s="1" t="str">
        <f t="shared" si="8026"/>
        <v>0</v>
      </c>
      <c r="Q4062" s="1" t="str">
        <f t="shared" si="7994"/>
        <v>0.0070</v>
      </c>
      <c r="R4062" s="1" t="s">
        <v>25</v>
      </c>
      <c r="T4062" s="1" t="str">
        <f t="shared" si="7995"/>
        <v>0</v>
      </c>
      <c r="U4062" s="1" t="str">
        <f t="shared" si="8014"/>
        <v>0.0070</v>
      </c>
    </row>
    <row r="4063" s="1" customFormat="1" spans="1:21">
      <c r="A4063" s="1" t="str">
        <f>"4601992087856"</f>
        <v>4601992087856</v>
      </c>
      <c r="B4063" s="1" t="s">
        <v>4086</v>
      </c>
      <c r="C4063" s="1" t="s">
        <v>24</v>
      </c>
      <c r="D4063" s="1" t="str">
        <f t="shared" si="7991"/>
        <v>2021</v>
      </c>
      <c r="E4063" s="1" t="str">
        <f t="shared" ref="E4063:P4063" si="8027">"0"</f>
        <v>0</v>
      </c>
      <c r="F4063" s="1" t="str">
        <f t="shared" si="8027"/>
        <v>0</v>
      </c>
      <c r="G4063" s="1" t="str">
        <f t="shared" si="8027"/>
        <v>0</v>
      </c>
      <c r="H4063" s="1" t="str">
        <f t="shared" si="8027"/>
        <v>0</v>
      </c>
      <c r="I4063" s="1" t="str">
        <f t="shared" si="8027"/>
        <v>0</v>
      </c>
      <c r="J4063" s="1" t="str">
        <f t="shared" si="8027"/>
        <v>0</v>
      </c>
      <c r="K4063" s="1" t="str">
        <f t="shared" si="8027"/>
        <v>0</v>
      </c>
      <c r="L4063" s="1" t="str">
        <f t="shared" si="8027"/>
        <v>0</v>
      </c>
      <c r="M4063" s="1" t="str">
        <f t="shared" si="8027"/>
        <v>0</v>
      </c>
      <c r="N4063" s="1" t="str">
        <f t="shared" si="8027"/>
        <v>0</v>
      </c>
      <c r="O4063" s="1" t="str">
        <f t="shared" si="8027"/>
        <v>0</v>
      </c>
      <c r="P4063" s="1" t="str">
        <f t="shared" si="8027"/>
        <v>0</v>
      </c>
      <c r="Q4063" s="1" t="str">
        <f t="shared" si="7994"/>
        <v>0.0070</v>
      </c>
      <c r="R4063" s="1" t="s">
        <v>25</v>
      </c>
      <c r="T4063" s="1" t="str">
        <f t="shared" si="7995"/>
        <v>0</v>
      </c>
      <c r="U4063" s="1" t="str">
        <f t="shared" si="8014"/>
        <v>0.0070</v>
      </c>
    </row>
    <row r="4064" s="1" customFormat="1" spans="1:21">
      <c r="A4064" s="1" t="str">
        <f>"4601992087879"</f>
        <v>4601992087879</v>
      </c>
      <c r="B4064" s="1" t="s">
        <v>4087</v>
      </c>
      <c r="C4064" s="1" t="s">
        <v>24</v>
      </c>
      <c r="D4064" s="1" t="str">
        <f t="shared" si="7991"/>
        <v>2021</v>
      </c>
      <c r="E4064" s="1" t="str">
        <f t="shared" ref="E4064:P4064" si="8028">"0"</f>
        <v>0</v>
      </c>
      <c r="F4064" s="1" t="str">
        <f t="shared" si="8028"/>
        <v>0</v>
      </c>
      <c r="G4064" s="1" t="str">
        <f t="shared" si="8028"/>
        <v>0</v>
      </c>
      <c r="H4064" s="1" t="str">
        <f t="shared" si="8028"/>
        <v>0</v>
      </c>
      <c r="I4064" s="1" t="str">
        <f t="shared" si="8028"/>
        <v>0</v>
      </c>
      <c r="J4064" s="1" t="str">
        <f t="shared" si="8028"/>
        <v>0</v>
      </c>
      <c r="K4064" s="1" t="str">
        <f t="shared" si="8028"/>
        <v>0</v>
      </c>
      <c r="L4064" s="1" t="str">
        <f t="shared" si="8028"/>
        <v>0</v>
      </c>
      <c r="M4064" s="1" t="str">
        <f t="shared" si="8028"/>
        <v>0</v>
      </c>
      <c r="N4064" s="1" t="str">
        <f t="shared" si="8028"/>
        <v>0</v>
      </c>
      <c r="O4064" s="1" t="str">
        <f t="shared" si="8028"/>
        <v>0</v>
      </c>
      <c r="P4064" s="1" t="str">
        <f t="shared" si="8028"/>
        <v>0</v>
      </c>
      <c r="Q4064" s="1" t="str">
        <f t="shared" si="7994"/>
        <v>0.0070</v>
      </c>
      <c r="R4064" s="1" t="s">
        <v>25</v>
      </c>
      <c r="T4064" s="1" t="str">
        <f t="shared" si="7995"/>
        <v>0</v>
      </c>
      <c r="U4064" s="1" t="str">
        <f t="shared" si="8014"/>
        <v>0.0070</v>
      </c>
    </row>
    <row r="4065" s="1" customFormat="1" spans="1:21">
      <c r="A4065" s="1" t="str">
        <f>"4601992087967"</f>
        <v>4601992087967</v>
      </c>
      <c r="B4065" s="1" t="s">
        <v>4088</v>
      </c>
      <c r="C4065" s="1" t="s">
        <v>24</v>
      </c>
      <c r="D4065" s="1" t="str">
        <f t="shared" si="7991"/>
        <v>2021</v>
      </c>
      <c r="E4065" s="1" t="str">
        <f t="shared" ref="E4065:P4065" si="8029">"0"</f>
        <v>0</v>
      </c>
      <c r="F4065" s="1" t="str">
        <f t="shared" si="8029"/>
        <v>0</v>
      </c>
      <c r="G4065" s="1" t="str">
        <f t="shared" si="8029"/>
        <v>0</v>
      </c>
      <c r="H4065" s="1" t="str">
        <f t="shared" si="8029"/>
        <v>0</v>
      </c>
      <c r="I4065" s="1" t="str">
        <f t="shared" si="8029"/>
        <v>0</v>
      </c>
      <c r="J4065" s="1" t="str">
        <f t="shared" si="8029"/>
        <v>0</v>
      </c>
      <c r="K4065" s="1" t="str">
        <f t="shared" si="8029"/>
        <v>0</v>
      </c>
      <c r="L4065" s="1" t="str">
        <f t="shared" si="8029"/>
        <v>0</v>
      </c>
      <c r="M4065" s="1" t="str">
        <f t="shared" si="8029"/>
        <v>0</v>
      </c>
      <c r="N4065" s="1" t="str">
        <f t="shared" si="8029"/>
        <v>0</v>
      </c>
      <c r="O4065" s="1" t="str">
        <f t="shared" si="8029"/>
        <v>0</v>
      </c>
      <c r="P4065" s="1" t="str">
        <f t="shared" si="8029"/>
        <v>0</v>
      </c>
      <c r="Q4065" s="1" t="str">
        <f t="shared" si="7994"/>
        <v>0.0070</v>
      </c>
      <c r="R4065" s="1" t="s">
        <v>25</v>
      </c>
      <c r="T4065" s="1" t="str">
        <f t="shared" si="7995"/>
        <v>0</v>
      </c>
      <c r="U4065" s="1" t="str">
        <f t="shared" si="8014"/>
        <v>0.0070</v>
      </c>
    </row>
    <row r="4066" s="1" customFormat="1" spans="1:21">
      <c r="A4066" s="1" t="str">
        <f>"4601992088098"</f>
        <v>4601992088098</v>
      </c>
      <c r="B4066" s="1" t="s">
        <v>4089</v>
      </c>
      <c r="C4066" s="1" t="s">
        <v>24</v>
      </c>
      <c r="D4066" s="1" t="str">
        <f t="shared" si="7991"/>
        <v>2021</v>
      </c>
      <c r="E4066" s="1" t="str">
        <f t="shared" ref="E4066:P4066" si="8030">"0"</f>
        <v>0</v>
      </c>
      <c r="F4066" s="1" t="str">
        <f t="shared" si="8030"/>
        <v>0</v>
      </c>
      <c r="G4066" s="1" t="str">
        <f t="shared" si="8030"/>
        <v>0</v>
      </c>
      <c r="H4066" s="1" t="str">
        <f t="shared" si="8030"/>
        <v>0</v>
      </c>
      <c r="I4066" s="1" t="str">
        <f t="shared" si="8030"/>
        <v>0</v>
      </c>
      <c r="J4066" s="1" t="str">
        <f t="shared" si="8030"/>
        <v>0</v>
      </c>
      <c r="K4066" s="1" t="str">
        <f t="shared" si="8030"/>
        <v>0</v>
      </c>
      <c r="L4066" s="1" t="str">
        <f t="shared" si="8030"/>
        <v>0</v>
      </c>
      <c r="M4066" s="1" t="str">
        <f t="shared" si="8030"/>
        <v>0</v>
      </c>
      <c r="N4066" s="1" t="str">
        <f t="shared" si="8030"/>
        <v>0</v>
      </c>
      <c r="O4066" s="1" t="str">
        <f t="shared" si="8030"/>
        <v>0</v>
      </c>
      <c r="P4066" s="1" t="str">
        <f t="shared" si="8030"/>
        <v>0</v>
      </c>
      <c r="Q4066" s="1" t="str">
        <f t="shared" si="7994"/>
        <v>0.0070</v>
      </c>
      <c r="R4066" s="1" t="s">
        <v>25</v>
      </c>
      <c r="T4066" s="1" t="str">
        <f t="shared" si="7995"/>
        <v>0</v>
      </c>
      <c r="U4066" s="1" t="str">
        <f t="shared" si="8014"/>
        <v>0.0070</v>
      </c>
    </row>
    <row r="4067" s="1" customFormat="1" spans="1:21">
      <c r="A4067" s="1" t="str">
        <f>"4601992088195"</f>
        <v>4601992088195</v>
      </c>
      <c r="B4067" s="1" t="s">
        <v>4090</v>
      </c>
      <c r="C4067" s="1" t="s">
        <v>24</v>
      </c>
      <c r="D4067" s="1" t="str">
        <f t="shared" si="7991"/>
        <v>2021</v>
      </c>
      <c r="E4067" s="1" t="str">
        <f t="shared" ref="E4067:P4067" si="8031">"0"</f>
        <v>0</v>
      </c>
      <c r="F4067" s="1" t="str">
        <f t="shared" si="8031"/>
        <v>0</v>
      </c>
      <c r="G4067" s="1" t="str">
        <f t="shared" si="8031"/>
        <v>0</v>
      </c>
      <c r="H4067" s="1" t="str">
        <f t="shared" si="8031"/>
        <v>0</v>
      </c>
      <c r="I4067" s="1" t="str">
        <f t="shared" si="8031"/>
        <v>0</v>
      </c>
      <c r="J4067" s="1" t="str">
        <f t="shared" si="8031"/>
        <v>0</v>
      </c>
      <c r="K4067" s="1" t="str">
        <f t="shared" si="8031"/>
        <v>0</v>
      </c>
      <c r="L4067" s="1" t="str">
        <f t="shared" si="8031"/>
        <v>0</v>
      </c>
      <c r="M4067" s="1" t="str">
        <f t="shared" si="8031"/>
        <v>0</v>
      </c>
      <c r="N4067" s="1" t="str">
        <f t="shared" si="8031"/>
        <v>0</v>
      </c>
      <c r="O4067" s="1" t="str">
        <f t="shared" si="8031"/>
        <v>0</v>
      </c>
      <c r="P4067" s="1" t="str">
        <f t="shared" si="8031"/>
        <v>0</v>
      </c>
      <c r="Q4067" s="1" t="str">
        <f t="shared" si="7994"/>
        <v>0.0070</v>
      </c>
      <c r="R4067" s="1" t="s">
        <v>25</v>
      </c>
      <c r="T4067" s="1" t="str">
        <f t="shared" si="7995"/>
        <v>0</v>
      </c>
      <c r="U4067" s="1" t="str">
        <f t="shared" si="8014"/>
        <v>0.0070</v>
      </c>
    </row>
    <row r="4068" s="1" customFormat="1" spans="1:21">
      <c r="A4068" s="1" t="str">
        <f>"4601992088146"</f>
        <v>4601992088146</v>
      </c>
      <c r="B4068" s="1" t="s">
        <v>4091</v>
      </c>
      <c r="C4068" s="1" t="s">
        <v>24</v>
      </c>
      <c r="D4068" s="1" t="str">
        <f t="shared" si="7991"/>
        <v>2021</v>
      </c>
      <c r="E4068" s="1" t="str">
        <f t="shared" ref="E4068:P4068" si="8032">"0"</f>
        <v>0</v>
      </c>
      <c r="F4068" s="1" t="str">
        <f t="shared" si="8032"/>
        <v>0</v>
      </c>
      <c r="G4068" s="1" t="str">
        <f t="shared" si="8032"/>
        <v>0</v>
      </c>
      <c r="H4068" s="1" t="str">
        <f t="shared" si="8032"/>
        <v>0</v>
      </c>
      <c r="I4068" s="1" t="str">
        <f t="shared" si="8032"/>
        <v>0</v>
      </c>
      <c r="J4068" s="1" t="str">
        <f t="shared" si="8032"/>
        <v>0</v>
      </c>
      <c r="K4068" s="1" t="str">
        <f t="shared" si="8032"/>
        <v>0</v>
      </c>
      <c r="L4068" s="1" t="str">
        <f t="shared" si="8032"/>
        <v>0</v>
      </c>
      <c r="M4068" s="1" t="str">
        <f t="shared" si="8032"/>
        <v>0</v>
      </c>
      <c r="N4068" s="1" t="str">
        <f t="shared" si="8032"/>
        <v>0</v>
      </c>
      <c r="O4068" s="1" t="str">
        <f t="shared" si="8032"/>
        <v>0</v>
      </c>
      <c r="P4068" s="1" t="str">
        <f t="shared" si="8032"/>
        <v>0</v>
      </c>
      <c r="Q4068" s="1" t="str">
        <f t="shared" si="7994"/>
        <v>0.0070</v>
      </c>
      <c r="R4068" s="1" t="s">
        <v>25</v>
      </c>
      <c r="T4068" s="1" t="str">
        <f t="shared" si="7995"/>
        <v>0</v>
      </c>
      <c r="U4068" s="1" t="str">
        <f t="shared" si="8014"/>
        <v>0.0070</v>
      </c>
    </row>
    <row r="4069" s="1" customFormat="1" spans="1:21">
      <c r="A4069" s="1" t="str">
        <f>"4601992088029"</f>
        <v>4601992088029</v>
      </c>
      <c r="B4069" s="1" t="s">
        <v>4092</v>
      </c>
      <c r="C4069" s="1" t="s">
        <v>24</v>
      </c>
      <c r="D4069" s="1" t="str">
        <f t="shared" si="7991"/>
        <v>2021</v>
      </c>
      <c r="E4069" s="1" t="str">
        <f>"11.98"</f>
        <v>11.98</v>
      </c>
      <c r="F4069" s="1" t="str">
        <f t="shared" ref="F4069:I4069" si="8033">"0"</f>
        <v>0</v>
      </c>
      <c r="G4069" s="1" t="str">
        <f t="shared" si="8033"/>
        <v>0</v>
      </c>
      <c r="H4069" s="1" t="str">
        <f t="shared" si="8033"/>
        <v>0</v>
      </c>
      <c r="I4069" s="1" t="str">
        <f t="shared" si="8033"/>
        <v>0</v>
      </c>
      <c r="J4069" s="1" t="str">
        <f>"1"</f>
        <v>1</v>
      </c>
      <c r="K4069" s="1" t="str">
        <f t="shared" ref="K4069:P4069" si="8034">"0"</f>
        <v>0</v>
      </c>
      <c r="L4069" s="1" t="str">
        <f t="shared" si="8034"/>
        <v>0</v>
      </c>
      <c r="M4069" s="1" t="str">
        <f t="shared" si="8034"/>
        <v>0</v>
      </c>
      <c r="N4069" s="1" t="str">
        <f t="shared" si="8034"/>
        <v>0</v>
      </c>
      <c r="O4069" s="1" t="str">
        <f t="shared" si="8034"/>
        <v>0</v>
      </c>
      <c r="P4069" s="1" t="str">
        <f t="shared" si="8034"/>
        <v>0</v>
      </c>
      <c r="Q4069" s="1" t="str">
        <f t="shared" si="7994"/>
        <v>0.0070</v>
      </c>
      <c r="R4069" s="1" t="s">
        <v>29</v>
      </c>
      <c r="S4069" s="1">
        <v>-0.0014</v>
      </c>
      <c r="T4069" s="1" t="str">
        <f t="shared" si="7995"/>
        <v>0</v>
      </c>
      <c r="U4069" s="1" t="str">
        <f>"0.0056"</f>
        <v>0.0056</v>
      </c>
    </row>
    <row r="4070" s="1" customFormat="1" spans="1:21">
      <c r="A4070" s="1" t="str">
        <f>"4601992088217"</f>
        <v>4601992088217</v>
      </c>
      <c r="B4070" s="1" t="s">
        <v>4093</v>
      </c>
      <c r="C4070" s="1" t="s">
        <v>24</v>
      </c>
      <c r="D4070" s="1" t="str">
        <f t="shared" si="7991"/>
        <v>2021</v>
      </c>
      <c r="E4070" s="1" t="str">
        <f t="shared" ref="E4070:P4070" si="8035">"0"</f>
        <v>0</v>
      </c>
      <c r="F4070" s="1" t="str">
        <f t="shared" si="8035"/>
        <v>0</v>
      </c>
      <c r="G4070" s="1" t="str">
        <f t="shared" si="8035"/>
        <v>0</v>
      </c>
      <c r="H4070" s="1" t="str">
        <f t="shared" si="8035"/>
        <v>0</v>
      </c>
      <c r="I4070" s="1" t="str">
        <f t="shared" si="8035"/>
        <v>0</v>
      </c>
      <c r="J4070" s="1" t="str">
        <f t="shared" si="8035"/>
        <v>0</v>
      </c>
      <c r="K4070" s="1" t="str">
        <f t="shared" si="8035"/>
        <v>0</v>
      </c>
      <c r="L4070" s="1" t="str">
        <f t="shared" si="8035"/>
        <v>0</v>
      </c>
      <c r="M4070" s="1" t="str">
        <f t="shared" si="8035"/>
        <v>0</v>
      </c>
      <c r="N4070" s="1" t="str">
        <f t="shared" si="8035"/>
        <v>0</v>
      </c>
      <c r="O4070" s="1" t="str">
        <f t="shared" si="8035"/>
        <v>0</v>
      </c>
      <c r="P4070" s="1" t="str">
        <f t="shared" si="8035"/>
        <v>0</v>
      </c>
      <c r="Q4070" s="1" t="str">
        <f t="shared" si="7994"/>
        <v>0.0070</v>
      </c>
      <c r="R4070" s="1" t="s">
        <v>25</v>
      </c>
      <c r="T4070" s="1" t="str">
        <f t="shared" si="7995"/>
        <v>0</v>
      </c>
      <c r="U4070" s="1" t="str">
        <f t="shared" ref="U4070:U4075" si="8036">"0.0070"</f>
        <v>0.0070</v>
      </c>
    </row>
    <row r="4071" s="1" customFormat="1" spans="1:21">
      <c r="A4071" s="1" t="str">
        <f>"4601992088255"</f>
        <v>4601992088255</v>
      </c>
      <c r="B4071" s="1" t="s">
        <v>4094</v>
      </c>
      <c r="C4071" s="1" t="s">
        <v>24</v>
      </c>
      <c r="D4071" s="1" t="str">
        <f t="shared" si="7991"/>
        <v>2021</v>
      </c>
      <c r="E4071" s="1" t="str">
        <f t="shared" ref="E4071:P4071" si="8037">"0"</f>
        <v>0</v>
      </c>
      <c r="F4071" s="1" t="str">
        <f t="shared" si="8037"/>
        <v>0</v>
      </c>
      <c r="G4071" s="1" t="str">
        <f t="shared" si="8037"/>
        <v>0</v>
      </c>
      <c r="H4071" s="1" t="str">
        <f t="shared" si="8037"/>
        <v>0</v>
      </c>
      <c r="I4071" s="1" t="str">
        <f t="shared" si="8037"/>
        <v>0</v>
      </c>
      <c r="J4071" s="1" t="str">
        <f t="shared" si="8037"/>
        <v>0</v>
      </c>
      <c r="K4071" s="1" t="str">
        <f t="shared" si="8037"/>
        <v>0</v>
      </c>
      <c r="L4071" s="1" t="str">
        <f t="shared" si="8037"/>
        <v>0</v>
      </c>
      <c r="M4071" s="1" t="str">
        <f t="shared" si="8037"/>
        <v>0</v>
      </c>
      <c r="N4071" s="1" t="str">
        <f t="shared" si="8037"/>
        <v>0</v>
      </c>
      <c r="O4071" s="1" t="str">
        <f t="shared" si="8037"/>
        <v>0</v>
      </c>
      <c r="P4071" s="1" t="str">
        <f t="shared" si="8037"/>
        <v>0</v>
      </c>
      <c r="Q4071" s="1" t="str">
        <f t="shared" si="7994"/>
        <v>0.0070</v>
      </c>
      <c r="R4071" s="1" t="s">
        <v>25</v>
      </c>
      <c r="T4071" s="1" t="str">
        <f t="shared" si="7995"/>
        <v>0</v>
      </c>
      <c r="U4071" s="1" t="str">
        <f t="shared" si="8036"/>
        <v>0.0070</v>
      </c>
    </row>
    <row r="4072" s="1" customFormat="1" spans="1:21">
      <c r="A4072" s="1" t="str">
        <f>"4601992088260"</f>
        <v>4601992088260</v>
      </c>
      <c r="B4072" s="1" t="s">
        <v>4095</v>
      </c>
      <c r="C4072" s="1" t="s">
        <v>24</v>
      </c>
      <c r="D4072" s="1" t="str">
        <f t="shared" si="7991"/>
        <v>2021</v>
      </c>
      <c r="E4072" s="1" t="str">
        <f t="shared" ref="E4072:P4072" si="8038">"0"</f>
        <v>0</v>
      </c>
      <c r="F4072" s="1" t="str">
        <f t="shared" si="8038"/>
        <v>0</v>
      </c>
      <c r="G4072" s="1" t="str">
        <f t="shared" si="8038"/>
        <v>0</v>
      </c>
      <c r="H4072" s="1" t="str">
        <f t="shared" si="8038"/>
        <v>0</v>
      </c>
      <c r="I4072" s="1" t="str">
        <f t="shared" si="8038"/>
        <v>0</v>
      </c>
      <c r="J4072" s="1" t="str">
        <f t="shared" si="8038"/>
        <v>0</v>
      </c>
      <c r="K4072" s="1" t="str">
        <f t="shared" si="8038"/>
        <v>0</v>
      </c>
      <c r="L4072" s="1" t="str">
        <f t="shared" si="8038"/>
        <v>0</v>
      </c>
      <c r="M4072" s="1" t="str">
        <f t="shared" si="8038"/>
        <v>0</v>
      </c>
      <c r="N4072" s="1" t="str">
        <f t="shared" si="8038"/>
        <v>0</v>
      </c>
      <c r="O4072" s="1" t="str">
        <f t="shared" si="8038"/>
        <v>0</v>
      </c>
      <c r="P4072" s="1" t="str">
        <f t="shared" si="8038"/>
        <v>0</v>
      </c>
      <c r="Q4072" s="1" t="str">
        <f t="shared" si="7994"/>
        <v>0.0070</v>
      </c>
      <c r="R4072" s="1" t="s">
        <v>25</v>
      </c>
      <c r="T4072" s="1" t="str">
        <f t="shared" si="7995"/>
        <v>0</v>
      </c>
      <c r="U4072" s="1" t="str">
        <f t="shared" si="8036"/>
        <v>0.0070</v>
      </c>
    </row>
    <row r="4073" s="1" customFormat="1" spans="1:21">
      <c r="A4073" s="1" t="str">
        <f>"4601992088263"</f>
        <v>4601992088263</v>
      </c>
      <c r="B4073" s="1" t="s">
        <v>4096</v>
      </c>
      <c r="C4073" s="1" t="s">
        <v>24</v>
      </c>
      <c r="D4073" s="1" t="str">
        <f t="shared" si="7991"/>
        <v>2021</v>
      </c>
      <c r="E4073" s="1" t="str">
        <f t="shared" ref="E4073:P4073" si="8039">"0"</f>
        <v>0</v>
      </c>
      <c r="F4073" s="1" t="str">
        <f t="shared" si="8039"/>
        <v>0</v>
      </c>
      <c r="G4073" s="1" t="str">
        <f t="shared" si="8039"/>
        <v>0</v>
      </c>
      <c r="H4073" s="1" t="str">
        <f t="shared" si="8039"/>
        <v>0</v>
      </c>
      <c r="I4073" s="1" t="str">
        <f t="shared" si="8039"/>
        <v>0</v>
      </c>
      <c r="J4073" s="1" t="str">
        <f t="shared" si="8039"/>
        <v>0</v>
      </c>
      <c r="K4073" s="1" t="str">
        <f t="shared" si="8039"/>
        <v>0</v>
      </c>
      <c r="L4073" s="1" t="str">
        <f t="shared" si="8039"/>
        <v>0</v>
      </c>
      <c r="M4073" s="1" t="str">
        <f t="shared" si="8039"/>
        <v>0</v>
      </c>
      <c r="N4073" s="1" t="str">
        <f t="shared" si="8039"/>
        <v>0</v>
      </c>
      <c r="O4073" s="1" t="str">
        <f t="shared" si="8039"/>
        <v>0</v>
      </c>
      <c r="P4073" s="1" t="str">
        <f t="shared" si="8039"/>
        <v>0</v>
      </c>
      <c r="Q4073" s="1" t="str">
        <f t="shared" si="7994"/>
        <v>0.0070</v>
      </c>
      <c r="R4073" s="1" t="s">
        <v>25</v>
      </c>
      <c r="T4073" s="1" t="str">
        <f t="shared" si="7995"/>
        <v>0</v>
      </c>
      <c r="U4073" s="1" t="str">
        <f t="shared" si="8036"/>
        <v>0.0070</v>
      </c>
    </row>
    <row r="4074" s="1" customFormat="1" spans="1:21">
      <c r="A4074" s="1" t="str">
        <f>"4601992088349"</f>
        <v>4601992088349</v>
      </c>
      <c r="B4074" s="1" t="s">
        <v>4097</v>
      </c>
      <c r="C4074" s="1" t="s">
        <v>24</v>
      </c>
      <c r="D4074" s="1" t="str">
        <f t="shared" si="7991"/>
        <v>2021</v>
      </c>
      <c r="E4074" s="1" t="str">
        <f t="shared" ref="E4074:P4074" si="8040">"0"</f>
        <v>0</v>
      </c>
      <c r="F4074" s="1" t="str">
        <f t="shared" si="8040"/>
        <v>0</v>
      </c>
      <c r="G4074" s="1" t="str">
        <f t="shared" si="8040"/>
        <v>0</v>
      </c>
      <c r="H4074" s="1" t="str">
        <f t="shared" si="8040"/>
        <v>0</v>
      </c>
      <c r="I4074" s="1" t="str">
        <f t="shared" si="8040"/>
        <v>0</v>
      </c>
      <c r="J4074" s="1" t="str">
        <f t="shared" si="8040"/>
        <v>0</v>
      </c>
      <c r="K4074" s="1" t="str">
        <f t="shared" si="8040"/>
        <v>0</v>
      </c>
      <c r="L4074" s="1" t="str">
        <f t="shared" si="8040"/>
        <v>0</v>
      </c>
      <c r="M4074" s="1" t="str">
        <f t="shared" si="8040"/>
        <v>0</v>
      </c>
      <c r="N4074" s="1" t="str">
        <f t="shared" si="8040"/>
        <v>0</v>
      </c>
      <c r="O4074" s="1" t="str">
        <f t="shared" si="8040"/>
        <v>0</v>
      </c>
      <c r="P4074" s="1" t="str">
        <f t="shared" si="8040"/>
        <v>0</v>
      </c>
      <c r="Q4074" s="1" t="str">
        <f t="shared" si="7994"/>
        <v>0.0070</v>
      </c>
      <c r="R4074" s="1" t="s">
        <v>25</v>
      </c>
      <c r="T4074" s="1" t="str">
        <f t="shared" si="7995"/>
        <v>0</v>
      </c>
      <c r="U4074" s="1" t="str">
        <f t="shared" si="8036"/>
        <v>0.0070</v>
      </c>
    </row>
    <row r="4075" s="1" customFormat="1" spans="1:21">
      <c r="A4075" s="1" t="str">
        <f>"4601992088437"</f>
        <v>4601992088437</v>
      </c>
      <c r="B4075" s="1" t="s">
        <v>4098</v>
      </c>
      <c r="C4075" s="1" t="s">
        <v>24</v>
      </c>
      <c r="D4075" s="1" t="str">
        <f t="shared" si="7991"/>
        <v>2021</v>
      </c>
      <c r="E4075" s="1" t="str">
        <f t="shared" ref="E4075:P4075" si="8041">"0"</f>
        <v>0</v>
      </c>
      <c r="F4075" s="1" t="str">
        <f t="shared" si="8041"/>
        <v>0</v>
      </c>
      <c r="G4075" s="1" t="str">
        <f t="shared" si="8041"/>
        <v>0</v>
      </c>
      <c r="H4075" s="1" t="str">
        <f t="shared" si="8041"/>
        <v>0</v>
      </c>
      <c r="I4075" s="1" t="str">
        <f t="shared" si="8041"/>
        <v>0</v>
      </c>
      <c r="J4075" s="1" t="str">
        <f t="shared" si="8041"/>
        <v>0</v>
      </c>
      <c r="K4075" s="1" t="str">
        <f t="shared" si="8041"/>
        <v>0</v>
      </c>
      <c r="L4075" s="1" t="str">
        <f t="shared" si="8041"/>
        <v>0</v>
      </c>
      <c r="M4075" s="1" t="str">
        <f t="shared" si="8041"/>
        <v>0</v>
      </c>
      <c r="N4075" s="1" t="str">
        <f t="shared" si="8041"/>
        <v>0</v>
      </c>
      <c r="O4075" s="1" t="str">
        <f t="shared" si="8041"/>
        <v>0</v>
      </c>
      <c r="P4075" s="1" t="str">
        <f t="shared" si="8041"/>
        <v>0</v>
      </c>
      <c r="Q4075" s="1" t="str">
        <f t="shared" si="7994"/>
        <v>0.0070</v>
      </c>
      <c r="R4075" s="1" t="s">
        <v>25</v>
      </c>
      <c r="T4075" s="1" t="str">
        <f t="shared" si="7995"/>
        <v>0</v>
      </c>
      <c r="U4075" s="1" t="str">
        <f t="shared" si="8036"/>
        <v>0.0070</v>
      </c>
    </row>
    <row r="4076" s="1" customFormat="1" spans="1:21">
      <c r="A4076" s="1" t="str">
        <f>"4601992088374"</f>
        <v>4601992088374</v>
      </c>
      <c r="B4076" s="1" t="s">
        <v>4099</v>
      </c>
      <c r="C4076" s="1" t="s">
        <v>24</v>
      </c>
      <c r="D4076" s="1" t="str">
        <f t="shared" si="7991"/>
        <v>2021</v>
      </c>
      <c r="E4076" s="1" t="str">
        <f>"23.96"</f>
        <v>23.96</v>
      </c>
      <c r="F4076" s="1" t="str">
        <f t="shared" ref="F4076:I4076" si="8042">"0"</f>
        <v>0</v>
      </c>
      <c r="G4076" s="1" t="str">
        <f t="shared" si="8042"/>
        <v>0</v>
      </c>
      <c r="H4076" s="1" t="str">
        <f t="shared" si="8042"/>
        <v>0</v>
      </c>
      <c r="I4076" s="1" t="str">
        <f t="shared" si="8042"/>
        <v>0</v>
      </c>
      <c r="J4076" s="1" t="str">
        <f>"2"</f>
        <v>2</v>
      </c>
      <c r="K4076" s="1" t="str">
        <f t="shared" ref="K4076:P4076" si="8043">"0"</f>
        <v>0</v>
      </c>
      <c r="L4076" s="1" t="str">
        <f t="shared" si="8043"/>
        <v>0</v>
      </c>
      <c r="M4076" s="1" t="str">
        <f t="shared" si="8043"/>
        <v>0</v>
      </c>
      <c r="N4076" s="1" t="str">
        <f t="shared" si="8043"/>
        <v>0</v>
      </c>
      <c r="O4076" s="1" t="str">
        <f t="shared" si="8043"/>
        <v>0</v>
      </c>
      <c r="P4076" s="1" t="str">
        <f t="shared" si="8043"/>
        <v>0</v>
      </c>
      <c r="Q4076" s="1" t="str">
        <f t="shared" si="7994"/>
        <v>0.0070</v>
      </c>
      <c r="R4076" s="1" t="s">
        <v>29</v>
      </c>
      <c r="S4076" s="1">
        <v>-0.0014</v>
      </c>
      <c r="T4076" s="1" t="str">
        <f t="shared" si="7995"/>
        <v>0</v>
      </c>
      <c r="U4076" s="1" t="str">
        <f>"0.0056"</f>
        <v>0.0056</v>
      </c>
    </row>
    <row r="4077" s="1" customFormat="1" spans="1:21">
      <c r="A4077" s="1" t="str">
        <f>"4601992088480"</f>
        <v>4601992088480</v>
      </c>
      <c r="B4077" s="1" t="s">
        <v>4100</v>
      </c>
      <c r="C4077" s="1" t="s">
        <v>24</v>
      </c>
      <c r="D4077" s="1" t="str">
        <f t="shared" si="7991"/>
        <v>2021</v>
      </c>
      <c r="E4077" s="1" t="str">
        <f t="shared" ref="E4077:P4077" si="8044">"0"</f>
        <v>0</v>
      </c>
      <c r="F4077" s="1" t="str">
        <f t="shared" si="8044"/>
        <v>0</v>
      </c>
      <c r="G4077" s="1" t="str">
        <f t="shared" si="8044"/>
        <v>0</v>
      </c>
      <c r="H4077" s="1" t="str">
        <f t="shared" si="8044"/>
        <v>0</v>
      </c>
      <c r="I4077" s="1" t="str">
        <f t="shared" si="8044"/>
        <v>0</v>
      </c>
      <c r="J4077" s="1" t="str">
        <f t="shared" si="8044"/>
        <v>0</v>
      </c>
      <c r="K4077" s="1" t="str">
        <f t="shared" si="8044"/>
        <v>0</v>
      </c>
      <c r="L4077" s="1" t="str">
        <f t="shared" si="8044"/>
        <v>0</v>
      </c>
      <c r="M4077" s="1" t="str">
        <f t="shared" si="8044"/>
        <v>0</v>
      </c>
      <c r="N4077" s="1" t="str">
        <f t="shared" si="8044"/>
        <v>0</v>
      </c>
      <c r="O4077" s="1" t="str">
        <f t="shared" si="8044"/>
        <v>0</v>
      </c>
      <c r="P4077" s="1" t="str">
        <f t="shared" si="8044"/>
        <v>0</v>
      </c>
      <c r="Q4077" s="1" t="str">
        <f t="shared" si="7994"/>
        <v>0.0070</v>
      </c>
      <c r="R4077" s="1" t="s">
        <v>25</v>
      </c>
      <c r="T4077" s="1" t="str">
        <f t="shared" si="7995"/>
        <v>0</v>
      </c>
      <c r="U4077" s="1" t="str">
        <f t="shared" ref="U4077:U4086" si="8045">"0.0070"</f>
        <v>0.0070</v>
      </c>
    </row>
    <row r="4078" s="1" customFormat="1" spans="1:21">
      <c r="A4078" s="1" t="str">
        <f>"4601992088543"</f>
        <v>4601992088543</v>
      </c>
      <c r="B4078" s="1" t="s">
        <v>4101</v>
      </c>
      <c r="C4078" s="1" t="s">
        <v>24</v>
      </c>
      <c r="D4078" s="1" t="str">
        <f t="shared" si="7991"/>
        <v>2021</v>
      </c>
      <c r="E4078" s="1" t="str">
        <f t="shared" ref="E4078:P4078" si="8046">"0"</f>
        <v>0</v>
      </c>
      <c r="F4078" s="1" t="str">
        <f t="shared" si="8046"/>
        <v>0</v>
      </c>
      <c r="G4078" s="1" t="str">
        <f t="shared" si="8046"/>
        <v>0</v>
      </c>
      <c r="H4078" s="1" t="str">
        <f t="shared" si="8046"/>
        <v>0</v>
      </c>
      <c r="I4078" s="1" t="str">
        <f t="shared" si="8046"/>
        <v>0</v>
      </c>
      <c r="J4078" s="1" t="str">
        <f t="shared" si="8046"/>
        <v>0</v>
      </c>
      <c r="K4078" s="1" t="str">
        <f t="shared" si="8046"/>
        <v>0</v>
      </c>
      <c r="L4078" s="1" t="str">
        <f t="shared" si="8046"/>
        <v>0</v>
      </c>
      <c r="M4078" s="1" t="str">
        <f t="shared" si="8046"/>
        <v>0</v>
      </c>
      <c r="N4078" s="1" t="str">
        <f t="shared" si="8046"/>
        <v>0</v>
      </c>
      <c r="O4078" s="1" t="str">
        <f t="shared" si="8046"/>
        <v>0</v>
      </c>
      <c r="P4078" s="1" t="str">
        <f t="shared" si="8046"/>
        <v>0</v>
      </c>
      <c r="Q4078" s="1" t="str">
        <f t="shared" si="7994"/>
        <v>0.0070</v>
      </c>
      <c r="R4078" s="1" t="s">
        <v>25</v>
      </c>
      <c r="T4078" s="1" t="str">
        <f t="shared" si="7995"/>
        <v>0</v>
      </c>
      <c r="U4078" s="1" t="str">
        <f t="shared" si="8045"/>
        <v>0.0070</v>
      </c>
    </row>
    <row r="4079" s="1" customFormat="1" spans="1:21">
      <c r="A4079" s="1" t="str">
        <f>"4601992088473"</f>
        <v>4601992088473</v>
      </c>
      <c r="B4079" s="1" t="s">
        <v>4102</v>
      </c>
      <c r="C4079" s="1" t="s">
        <v>24</v>
      </c>
      <c r="D4079" s="1" t="str">
        <f t="shared" si="7991"/>
        <v>2021</v>
      </c>
      <c r="E4079" s="1" t="str">
        <f t="shared" ref="E4079:I4079" si="8047">"0"</f>
        <v>0</v>
      </c>
      <c r="F4079" s="1" t="str">
        <f t="shared" si="8047"/>
        <v>0</v>
      </c>
      <c r="G4079" s="1" t="str">
        <f t="shared" si="8047"/>
        <v>0</v>
      </c>
      <c r="H4079" s="1" t="str">
        <f t="shared" si="8047"/>
        <v>0</v>
      </c>
      <c r="I4079" s="1" t="str">
        <f t="shared" si="8047"/>
        <v>0</v>
      </c>
      <c r="J4079" s="1" t="str">
        <f>"2"</f>
        <v>2</v>
      </c>
      <c r="K4079" s="1" t="str">
        <f t="shared" ref="K4079:P4079" si="8048">"0"</f>
        <v>0</v>
      </c>
      <c r="L4079" s="1" t="str">
        <f t="shared" si="8048"/>
        <v>0</v>
      </c>
      <c r="M4079" s="1" t="str">
        <f t="shared" si="8048"/>
        <v>0</v>
      </c>
      <c r="N4079" s="1" t="str">
        <f t="shared" si="8048"/>
        <v>0</v>
      </c>
      <c r="O4079" s="1" t="str">
        <f t="shared" si="8048"/>
        <v>0</v>
      </c>
      <c r="P4079" s="1" t="str">
        <f t="shared" si="8048"/>
        <v>0</v>
      </c>
      <c r="Q4079" s="1" t="str">
        <f t="shared" si="7994"/>
        <v>0.0070</v>
      </c>
      <c r="R4079" s="1" t="s">
        <v>25</v>
      </c>
      <c r="T4079" s="1" t="str">
        <f t="shared" si="7995"/>
        <v>0</v>
      </c>
      <c r="U4079" s="1" t="str">
        <f t="shared" si="8045"/>
        <v>0.0070</v>
      </c>
    </row>
    <row r="4080" s="1" customFormat="1" spans="1:21">
      <c r="A4080" s="1" t="str">
        <f>"4601992088550"</f>
        <v>4601992088550</v>
      </c>
      <c r="B4080" s="1" t="s">
        <v>4103</v>
      </c>
      <c r="C4080" s="1" t="s">
        <v>24</v>
      </c>
      <c r="D4080" s="1" t="str">
        <f t="shared" si="7991"/>
        <v>2021</v>
      </c>
      <c r="E4080" s="1" t="str">
        <f t="shared" ref="E4080:P4080" si="8049">"0"</f>
        <v>0</v>
      </c>
      <c r="F4080" s="1" t="str">
        <f t="shared" si="8049"/>
        <v>0</v>
      </c>
      <c r="G4080" s="1" t="str">
        <f t="shared" si="8049"/>
        <v>0</v>
      </c>
      <c r="H4080" s="1" t="str">
        <f t="shared" si="8049"/>
        <v>0</v>
      </c>
      <c r="I4080" s="1" t="str">
        <f t="shared" si="8049"/>
        <v>0</v>
      </c>
      <c r="J4080" s="1" t="str">
        <f t="shared" si="8049"/>
        <v>0</v>
      </c>
      <c r="K4080" s="1" t="str">
        <f t="shared" si="8049"/>
        <v>0</v>
      </c>
      <c r="L4080" s="1" t="str">
        <f t="shared" si="8049"/>
        <v>0</v>
      </c>
      <c r="M4080" s="1" t="str">
        <f t="shared" si="8049"/>
        <v>0</v>
      </c>
      <c r="N4080" s="1" t="str">
        <f t="shared" si="8049"/>
        <v>0</v>
      </c>
      <c r="O4080" s="1" t="str">
        <f t="shared" si="8049"/>
        <v>0</v>
      </c>
      <c r="P4080" s="1" t="str">
        <f t="shared" si="8049"/>
        <v>0</v>
      </c>
      <c r="Q4080" s="1" t="str">
        <f t="shared" si="7994"/>
        <v>0.0070</v>
      </c>
      <c r="R4080" s="1" t="s">
        <v>25</v>
      </c>
      <c r="T4080" s="1" t="str">
        <f t="shared" si="7995"/>
        <v>0</v>
      </c>
      <c r="U4080" s="1" t="str">
        <f t="shared" si="8045"/>
        <v>0.0070</v>
      </c>
    </row>
    <row r="4081" s="1" customFormat="1" spans="1:21">
      <c r="A4081" s="1" t="str">
        <f>"4601992088582"</f>
        <v>4601992088582</v>
      </c>
      <c r="B4081" s="1" t="s">
        <v>4104</v>
      </c>
      <c r="C4081" s="1" t="s">
        <v>24</v>
      </c>
      <c r="D4081" s="1" t="str">
        <f t="shared" si="7991"/>
        <v>2021</v>
      </c>
      <c r="E4081" s="1" t="str">
        <f t="shared" ref="E4081:P4081" si="8050">"0"</f>
        <v>0</v>
      </c>
      <c r="F4081" s="1" t="str">
        <f t="shared" si="8050"/>
        <v>0</v>
      </c>
      <c r="G4081" s="1" t="str">
        <f t="shared" si="8050"/>
        <v>0</v>
      </c>
      <c r="H4081" s="1" t="str">
        <f t="shared" si="8050"/>
        <v>0</v>
      </c>
      <c r="I4081" s="1" t="str">
        <f t="shared" si="8050"/>
        <v>0</v>
      </c>
      <c r="J4081" s="1" t="str">
        <f t="shared" si="8050"/>
        <v>0</v>
      </c>
      <c r="K4081" s="1" t="str">
        <f t="shared" si="8050"/>
        <v>0</v>
      </c>
      <c r="L4081" s="1" t="str">
        <f t="shared" si="8050"/>
        <v>0</v>
      </c>
      <c r="M4081" s="1" t="str">
        <f t="shared" si="8050"/>
        <v>0</v>
      </c>
      <c r="N4081" s="1" t="str">
        <f t="shared" si="8050"/>
        <v>0</v>
      </c>
      <c r="O4081" s="1" t="str">
        <f t="shared" si="8050"/>
        <v>0</v>
      </c>
      <c r="P4081" s="1" t="str">
        <f t="shared" si="8050"/>
        <v>0</v>
      </c>
      <c r="Q4081" s="1" t="str">
        <f t="shared" si="7994"/>
        <v>0.0070</v>
      </c>
      <c r="R4081" s="1" t="s">
        <v>25</v>
      </c>
      <c r="T4081" s="1" t="str">
        <f t="shared" si="7995"/>
        <v>0</v>
      </c>
      <c r="U4081" s="1" t="str">
        <f t="shared" si="8045"/>
        <v>0.0070</v>
      </c>
    </row>
    <row r="4082" s="1" customFormat="1" spans="1:21">
      <c r="A4082" s="1" t="str">
        <f>"4601992088583"</f>
        <v>4601992088583</v>
      </c>
      <c r="B4082" s="1" t="s">
        <v>4105</v>
      </c>
      <c r="C4082" s="1" t="s">
        <v>24</v>
      </c>
      <c r="D4082" s="1" t="str">
        <f t="shared" si="7991"/>
        <v>2021</v>
      </c>
      <c r="E4082" s="1" t="str">
        <f t="shared" ref="E4082:P4082" si="8051">"0"</f>
        <v>0</v>
      </c>
      <c r="F4082" s="1" t="str">
        <f t="shared" si="8051"/>
        <v>0</v>
      </c>
      <c r="G4082" s="1" t="str">
        <f t="shared" si="8051"/>
        <v>0</v>
      </c>
      <c r="H4082" s="1" t="str">
        <f t="shared" si="8051"/>
        <v>0</v>
      </c>
      <c r="I4082" s="1" t="str">
        <f t="shared" si="8051"/>
        <v>0</v>
      </c>
      <c r="J4082" s="1" t="str">
        <f t="shared" si="8051"/>
        <v>0</v>
      </c>
      <c r="K4082" s="1" t="str">
        <f t="shared" si="8051"/>
        <v>0</v>
      </c>
      <c r="L4082" s="1" t="str">
        <f t="shared" si="8051"/>
        <v>0</v>
      </c>
      <c r="M4082" s="1" t="str">
        <f t="shared" si="8051"/>
        <v>0</v>
      </c>
      <c r="N4082" s="1" t="str">
        <f t="shared" si="8051"/>
        <v>0</v>
      </c>
      <c r="O4082" s="1" t="str">
        <f t="shared" si="8051"/>
        <v>0</v>
      </c>
      <c r="P4082" s="1" t="str">
        <f t="shared" si="8051"/>
        <v>0</v>
      </c>
      <c r="Q4082" s="1" t="str">
        <f t="shared" si="7994"/>
        <v>0.0070</v>
      </c>
      <c r="R4082" s="1" t="s">
        <v>25</v>
      </c>
      <c r="T4082" s="1" t="str">
        <f t="shared" si="7995"/>
        <v>0</v>
      </c>
      <c r="U4082" s="1" t="str">
        <f t="shared" si="8045"/>
        <v>0.0070</v>
      </c>
    </row>
    <row r="4083" s="1" customFormat="1" spans="1:21">
      <c r="A4083" s="1" t="str">
        <f>"4601992088617"</f>
        <v>4601992088617</v>
      </c>
      <c r="B4083" s="1" t="s">
        <v>4106</v>
      </c>
      <c r="C4083" s="1" t="s">
        <v>24</v>
      </c>
      <c r="D4083" s="1" t="str">
        <f t="shared" si="7991"/>
        <v>2021</v>
      </c>
      <c r="E4083" s="1" t="str">
        <f t="shared" ref="E4083:P4083" si="8052">"0"</f>
        <v>0</v>
      </c>
      <c r="F4083" s="1" t="str">
        <f t="shared" si="8052"/>
        <v>0</v>
      </c>
      <c r="G4083" s="1" t="str">
        <f t="shared" si="8052"/>
        <v>0</v>
      </c>
      <c r="H4083" s="1" t="str">
        <f t="shared" si="8052"/>
        <v>0</v>
      </c>
      <c r="I4083" s="1" t="str">
        <f t="shared" si="8052"/>
        <v>0</v>
      </c>
      <c r="J4083" s="1" t="str">
        <f t="shared" si="8052"/>
        <v>0</v>
      </c>
      <c r="K4083" s="1" t="str">
        <f t="shared" si="8052"/>
        <v>0</v>
      </c>
      <c r="L4083" s="1" t="str">
        <f t="shared" si="8052"/>
        <v>0</v>
      </c>
      <c r="M4083" s="1" t="str">
        <f t="shared" si="8052"/>
        <v>0</v>
      </c>
      <c r="N4083" s="1" t="str">
        <f t="shared" si="8052"/>
        <v>0</v>
      </c>
      <c r="O4083" s="1" t="str">
        <f t="shared" si="8052"/>
        <v>0</v>
      </c>
      <c r="P4083" s="1" t="str">
        <f t="shared" si="8052"/>
        <v>0</v>
      </c>
      <c r="Q4083" s="1" t="str">
        <f t="shared" si="7994"/>
        <v>0.0070</v>
      </c>
      <c r="R4083" s="1" t="s">
        <v>25</v>
      </c>
      <c r="T4083" s="1" t="str">
        <f t="shared" si="7995"/>
        <v>0</v>
      </c>
      <c r="U4083" s="1" t="str">
        <f t="shared" si="8045"/>
        <v>0.0070</v>
      </c>
    </row>
    <row r="4084" s="1" customFormat="1" spans="1:21">
      <c r="A4084" s="1" t="str">
        <f>"4601992088654"</f>
        <v>4601992088654</v>
      </c>
      <c r="B4084" s="1" t="s">
        <v>4107</v>
      </c>
      <c r="C4084" s="1" t="s">
        <v>24</v>
      </c>
      <c r="D4084" s="1" t="str">
        <f t="shared" si="7991"/>
        <v>2021</v>
      </c>
      <c r="E4084" s="1" t="str">
        <f t="shared" ref="E4084:P4084" si="8053">"0"</f>
        <v>0</v>
      </c>
      <c r="F4084" s="1" t="str">
        <f t="shared" si="8053"/>
        <v>0</v>
      </c>
      <c r="G4084" s="1" t="str">
        <f t="shared" si="8053"/>
        <v>0</v>
      </c>
      <c r="H4084" s="1" t="str">
        <f t="shared" si="8053"/>
        <v>0</v>
      </c>
      <c r="I4084" s="1" t="str">
        <f t="shared" si="8053"/>
        <v>0</v>
      </c>
      <c r="J4084" s="1" t="str">
        <f t="shared" si="8053"/>
        <v>0</v>
      </c>
      <c r="K4084" s="1" t="str">
        <f t="shared" si="8053"/>
        <v>0</v>
      </c>
      <c r="L4084" s="1" t="str">
        <f t="shared" si="8053"/>
        <v>0</v>
      </c>
      <c r="M4084" s="1" t="str">
        <f t="shared" si="8053"/>
        <v>0</v>
      </c>
      <c r="N4084" s="1" t="str">
        <f t="shared" si="8053"/>
        <v>0</v>
      </c>
      <c r="O4084" s="1" t="str">
        <f t="shared" si="8053"/>
        <v>0</v>
      </c>
      <c r="P4084" s="1" t="str">
        <f t="shared" si="8053"/>
        <v>0</v>
      </c>
      <c r="Q4084" s="1" t="str">
        <f t="shared" si="7994"/>
        <v>0.0070</v>
      </c>
      <c r="R4084" s="1" t="s">
        <v>25</v>
      </c>
      <c r="T4084" s="1" t="str">
        <f t="shared" si="7995"/>
        <v>0</v>
      </c>
      <c r="U4084" s="1" t="str">
        <f t="shared" si="8045"/>
        <v>0.0070</v>
      </c>
    </row>
    <row r="4085" s="1" customFormat="1" spans="1:21">
      <c r="A4085" s="1" t="str">
        <f>"4601992088642"</f>
        <v>4601992088642</v>
      </c>
      <c r="B4085" s="1" t="s">
        <v>4108</v>
      </c>
      <c r="C4085" s="1" t="s">
        <v>24</v>
      </c>
      <c r="D4085" s="1" t="str">
        <f t="shared" si="7991"/>
        <v>2021</v>
      </c>
      <c r="E4085" s="1" t="str">
        <f t="shared" ref="E4085:P4085" si="8054">"0"</f>
        <v>0</v>
      </c>
      <c r="F4085" s="1" t="str">
        <f t="shared" si="8054"/>
        <v>0</v>
      </c>
      <c r="G4085" s="1" t="str">
        <f t="shared" si="8054"/>
        <v>0</v>
      </c>
      <c r="H4085" s="1" t="str">
        <f t="shared" si="8054"/>
        <v>0</v>
      </c>
      <c r="I4085" s="1" t="str">
        <f t="shared" si="8054"/>
        <v>0</v>
      </c>
      <c r="J4085" s="1" t="str">
        <f t="shared" si="8054"/>
        <v>0</v>
      </c>
      <c r="K4085" s="1" t="str">
        <f t="shared" si="8054"/>
        <v>0</v>
      </c>
      <c r="L4085" s="1" t="str">
        <f t="shared" si="8054"/>
        <v>0</v>
      </c>
      <c r="M4085" s="1" t="str">
        <f t="shared" si="8054"/>
        <v>0</v>
      </c>
      <c r="N4085" s="1" t="str">
        <f t="shared" si="8054"/>
        <v>0</v>
      </c>
      <c r="O4085" s="1" t="str">
        <f t="shared" si="8054"/>
        <v>0</v>
      </c>
      <c r="P4085" s="1" t="str">
        <f t="shared" si="8054"/>
        <v>0</v>
      </c>
      <c r="Q4085" s="1" t="str">
        <f t="shared" si="7994"/>
        <v>0.0070</v>
      </c>
      <c r="R4085" s="1" t="s">
        <v>25</v>
      </c>
      <c r="T4085" s="1" t="str">
        <f t="shared" si="7995"/>
        <v>0</v>
      </c>
      <c r="U4085" s="1" t="str">
        <f t="shared" si="8045"/>
        <v>0.0070</v>
      </c>
    </row>
    <row r="4086" s="1" customFormat="1" spans="1:21">
      <c r="A4086" s="1" t="str">
        <f>"4601992088690"</f>
        <v>4601992088690</v>
      </c>
      <c r="B4086" s="1" t="s">
        <v>4109</v>
      </c>
      <c r="C4086" s="1" t="s">
        <v>24</v>
      </c>
      <c r="D4086" s="1" t="str">
        <f t="shared" si="7991"/>
        <v>2021</v>
      </c>
      <c r="E4086" s="1" t="str">
        <f t="shared" ref="E4086:P4086" si="8055">"0"</f>
        <v>0</v>
      </c>
      <c r="F4086" s="1" t="str">
        <f t="shared" si="8055"/>
        <v>0</v>
      </c>
      <c r="G4086" s="1" t="str">
        <f t="shared" si="8055"/>
        <v>0</v>
      </c>
      <c r="H4086" s="1" t="str">
        <f t="shared" si="8055"/>
        <v>0</v>
      </c>
      <c r="I4086" s="1" t="str">
        <f t="shared" si="8055"/>
        <v>0</v>
      </c>
      <c r="J4086" s="1" t="str">
        <f t="shared" si="8055"/>
        <v>0</v>
      </c>
      <c r="K4086" s="1" t="str">
        <f t="shared" si="8055"/>
        <v>0</v>
      </c>
      <c r="L4086" s="1" t="str">
        <f t="shared" si="8055"/>
        <v>0</v>
      </c>
      <c r="M4086" s="1" t="str">
        <f t="shared" si="8055"/>
        <v>0</v>
      </c>
      <c r="N4086" s="1" t="str">
        <f t="shared" si="8055"/>
        <v>0</v>
      </c>
      <c r="O4086" s="1" t="str">
        <f t="shared" si="8055"/>
        <v>0</v>
      </c>
      <c r="P4086" s="1" t="str">
        <f t="shared" si="8055"/>
        <v>0</v>
      </c>
      <c r="Q4086" s="1" t="str">
        <f t="shared" si="7994"/>
        <v>0.0070</v>
      </c>
      <c r="R4086" s="1" t="s">
        <v>25</v>
      </c>
      <c r="T4086" s="1" t="str">
        <f t="shared" si="7995"/>
        <v>0</v>
      </c>
      <c r="U4086" s="1" t="str">
        <f t="shared" si="8045"/>
        <v>0.0070</v>
      </c>
    </row>
    <row r="4087" s="1" customFormat="1" spans="1:21">
      <c r="A4087" s="1" t="str">
        <f>"4601992088639"</f>
        <v>4601992088639</v>
      </c>
      <c r="B4087" s="1" t="s">
        <v>4110</v>
      </c>
      <c r="C4087" s="1" t="s">
        <v>24</v>
      </c>
      <c r="D4087" s="1" t="str">
        <f t="shared" si="7991"/>
        <v>2021</v>
      </c>
      <c r="E4087" s="1" t="str">
        <f>"11.98"</f>
        <v>11.98</v>
      </c>
      <c r="F4087" s="1" t="str">
        <f t="shared" ref="F4087:I4087" si="8056">"0"</f>
        <v>0</v>
      </c>
      <c r="G4087" s="1" t="str">
        <f t="shared" si="8056"/>
        <v>0</v>
      </c>
      <c r="H4087" s="1" t="str">
        <f t="shared" si="8056"/>
        <v>0</v>
      </c>
      <c r="I4087" s="1" t="str">
        <f t="shared" si="8056"/>
        <v>0</v>
      </c>
      <c r="J4087" s="1" t="str">
        <f>"1"</f>
        <v>1</v>
      </c>
      <c r="K4087" s="1" t="str">
        <f t="shared" ref="K4087:P4087" si="8057">"0"</f>
        <v>0</v>
      </c>
      <c r="L4087" s="1" t="str">
        <f t="shared" si="8057"/>
        <v>0</v>
      </c>
      <c r="M4087" s="1" t="str">
        <f t="shared" si="8057"/>
        <v>0</v>
      </c>
      <c r="N4087" s="1" t="str">
        <f t="shared" si="8057"/>
        <v>0</v>
      </c>
      <c r="O4087" s="1" t="str">
        <f t="shared" si="8057"/>
        <v>0</v>
      </c>
      <c r="P4087" s="1" t="str">
        <f t="shared" si="8057"/>
        <v>0</v>
      </c>
      <c r="Q4087" s="1" t="str">
        <f t="shared" si="7994"/>
        <v>0.0070</v>
      </c>
      <c r="R4087" s="1" t="s">
        <v>29</v>
      </c>
      <c r="S4087" s="1">
        <v>-0.0014</v>
      </c>
      <c r="T4087" s="1" t="str">
        <f t="shared" si="7995"/>
        <v>0</v>
      </c>
      <c r="U4087" s="1" t="str">
        <f>"0.0056"</f>
        <v>0.0056</v>
      </c>
    </row>
    <row r="4088" s="1" customFormat="1" spans="1:21">
      <c r="A4088" s="1" t="str">
        <f>"4601992088731"</f>
        <v>4601992088731</v>
      </c>
      <c r="B4088" s="1" t="s">
        <v>4111</v>
      </c>
      <c r="C4088" s="1" t="s">
        <v>24</v>
      </c>
      <c r="D4088" s="1" t="str">
        <f t="shared" si="7991"/>
        <v>2021</v>
      </c>
      <c r="E4088" s="1" t="str">
        <f t="shared" ref="E4088:P4088" si="8058">"0"</f>
        <v>0</v>
      </c>
      <c r="F4088" s="1" t="str">
        <f t="shared" si="8058"/>
        <v>0</v>
      </c>
      <c r="G4088" s="1" t="str">
        <f t="shared" si="8058"/>
        <v>0</v>
      </c>
      <c r="H4088" s="1" t="str">
        <f t="shared" si="8058"/>
        <v>0</v>
      </c>
      <c r="I4088" s="1" t="str">
        <f t="shared" si="8058"/>
        <v>0</v>
      </c>
      <c r="J4088" s="1" t="str">
        <f t="shared" si="8058"/>
        <v>0</v>
      </c>
      <c r="K4088" s="1" t="str">
        <f t="shared" si="8058"/>
        <v>0</v>
      </c>
      <c r="L4088" s="1" t="str">
        <f t="shared" si="8058"/>
        <v>0</v>
      </c>
      <c r="M4088" s="1" t="str">
        <f t="shared" si="8058"/>
        <v>0</v>
      </c>
      <c r="N4088" s="1" t="str">
        <f t="shared" si="8058"/>
        <v>0</v>
      </c>
      <c r="O4088" s="1" t="str">
        <f t="shared" si="8058"/>
        <v>0</v>
      </c>
      <c r="P4088" s="1" t="str">
        <f t="shared" si="8058"/>
        <v>0</v>
      </c>
      <c r="Q4088" s="1" t="str">
        <f t="shared" si="7994"/>
        <v>0.0070</v>
      </c>
      <c r="R4088" s="1" t="s">
        <v>25</v>
      </c>
      <c r="T4088" s="1" t="str">
        <f t="shared" si="7995"/>
        <v>0</v>
      </c>
      <c r="U4088" s="1" t="str">
        <f t="shared" ref="U4088:U4099" si="8059">"0.0070"</f>
        <v>0.0070</v>
      </c>
    </row>
    <row r="4089" s="1" customFormat="1" spans="1:21">
      <c r="A4089" s="1" t="str">
        <f>"4601992088692"</f>
        <v>4601992088692</v>
      </c>
      <c r="B4089" s="1" t="s">
        <v>4112</v>
      </c>
      <c r="C4089" s="1" t="s">
        <v>24</v>
      </c>
      <c r="D4089" s="1" t="str">
        <f t="shared" si="7991"/>
        <v>2021</v>
      </c>
      <c r="E4089" s="1" t="str">
        <f t="shared" ref="E4089:P4089" si="8060">"0"</f>
        <v>0</v>
      </c>
      <c r="F4089" s="1" t="str">
        <f t="shared" si="8060"/>
        <v>0</v>
      </c>
      <c r="G4089" s="1" t="str">
        <f t="shared" si="8060"/>
        <v>0</v>
      </c>
      <c r="H4089" s="1" t="str">
        <f t="shared" si="8060"/>
        <v>0</v>
      </c>
      <c r="I4089" s="1" t="str">
        <f t="shared" si="8060"/>
        <v>0</v>
      </c>
      <c r="J4089" s="1" t="str">
        <f t="shared" si="8060"/>
        <v>0</v>
      </c>
      <c r="K4089" s="1" t="str">
        <f t="shared" si="8060"/>
        <v>0</v>
      </c>
      <c r="L4089" s="1" t="str">
        <f t="shared" si="8060"/>
        <v>0</v>
      </c>
      <c r="M4089" s="1" t="str">
        <f t="shared" si="8060"/>
        <v>0</v>
      </c>
      <c r="N4089" s="1" t="str">
        <f t="shared" si="8060"/>
        <v>0</v>
      </c>
      <c r="O4089" s="1" t="str">
        <f t="shared" si="8060"/>
        <v>0</v>
      </c>
      <c r="P4089" s="1" t="str">
        <f t="shared" si="8060"/>
        <v>0</v>
      </c>
      <c r="Q4089" s="1" t="str">
        <f t="shared" si="7994"/>
        <v>0.0070</v>
      </c>
      <c r="R4089" s="1" t="s">
        <v>25</v>
      </c>
      <c r="T4089" s="1" t="str">
        <f t="shared" si="7995"/>
        <v>0</v>
      </c>
      <c r="U4089" s="1" t="str">
        <f t="shared" si="8059"/>
        <v>0.0070</v>
      </c>
    </row>
    <row r="4090" s="1" customFormat="1" spans="1:21">
      <c r="A4090" s="1" t="str">
        <f>"4601992088748"</f>
        <v>4601992088748</v>
      </c>
      <c r="B4090" s="1" t="s">
        <v>4113</v>
      </c>
      <c r="C4090" s="1" t="s">
        <v>24</v>
      </c>
      <c r="D4090" s="1" t="str">
        <f t="shared" si="7991"/>
        <v>2021</v>
      </c>
      <c r="E4090" s="1" t="str">
        <f t="shared" ref="E4090:P4090" si="8061">"0"</f>
        <v>0</v>
      </c>
      <c r="F4090" s="1" t="str">
        <f t="shared" si="8061"/>
        <v>0</v>
      </c>
      <c r="G4090" s="1" t="str">
        <f t="shared" si="8061"/>
        <v>0</v>
      </c>
      <c r="H4090" s="1" t="str">
        <f t="shared" si="8061"/>
        <v>0</v>
      </c>
      <c r="I4090" s="1" t="str">
        <f t="shared" si="8061"/>
        <v>0</v>
      </c>
      <c r="J4090" s="1" t="str">
        <f t="shared" si="8061"/>
        <v>0</v>
      </c>
      <c r="K4090" s="1" t="str">
        <f t="shared" si="8061"/>
        <v>0</v>
      </c>
      <c r="L4090" s="1" t="str">
        <f t="shared" si="8061"/>
        <v>0</v>
      </c>
      <c r="M4090" s="1" t="str">
        <f t="shared" si="8061"/>
        <v>0</v>
      </c>
      <c r="N4090" s="1" t="str">
        <f t="shared" si="8061"/>
        <v>0</v>
      </c>
      <c r="O4090" s="1" t="str">
        <f t="shared" si="8061"/>
        <v>0</v>
      </c>
      <c r="P4090" s="1" t="str">
        <f t="shared" si="8061"/>
        <v>0</v>
      </c>
      <c r="Q4090" s="1" t="str">
        <f t="shared" si="7994"/>
        <v>0.0070</v>
      </c>
      <c r="R4090" s="1" t="s">
        <v>25</v>
      </c>
      <c r="T4090" s="1" t="str">
        <f t="shared" si="7995"/>
        <v>0</v>
      </c>
      <c r="U4090" s="1" t="str">
        <f t="shared" si="8059"/>
        <v>0.0070</v>
      </c>
    </row>
    <row r="4091" s="1" customFormat="1" spans="1:21">
      <c r="A4091" s="1" t="str">
        <f>"4601992088784"</f>
        <v>4601992088784</v>
      </c>
      <c r="B4091" s="1" t="s">
        <v>4114</v>
      </c>
      <c r="C4091" s="1" t="s">
        <v>24</v>
      </c>
      <c r="D4091" s="1" t="str">
        <f t="shared" si="7991"/>
        <v>2021</v>
      </c>
      <c r="E4091" s="1" t="str">
        <f t="shared" ref="E4091:P4091" si="8062">"0"</f>
        <v>0</v>
      </c>
      <c r="F4091" s="1" t="str">
        <f t="shared" si="8062"/>
        <v>0</v>
      </c>
      <c r="G4091" s="1" t="str">
        <f t="shared" si="8062"/>
        <v>0</v>
      </c>
      <c r="H4091" s="1" t="str">
        <f t="shared" si="8062"/>
        <v>0</v>
      </c>
      <c r="I4091" s="1" t="str">
        <f t="shared" si="8062"/>
        <v>0</v>
      </c>
      <c r="J4091" s="1" t="str">
        <f t="shared" si="8062"/>
        <v>0</v>
      </c>
      <c r="K4091" s="1" t="str">
        <f t="shared" si="8062"/>
        <v>0</v>
      </c>
      <c r="L4091" s="1" t="str">
        <f t="shared" si="8062"/>
        <v>0</v>
      </c>
      <c r="M4091" s="1" t="str">
        <f t="shared" si="8062"/>
        <v>0</v>
      </c>
      <c r="N4091" s="1" t="str">
        <f t="shared" si="8062"/>
        <v>0</v>
      </c>
      <c r="O4091" s="1" t="str">
        <f t="shared" si="8062"/>
        <v>0</v>
      </c>
      <c r="P4091" s="1" t="str">
        <f t="shared" si="8062"/>
        <v>0</v>
      </c>
      <c r="Q4091" s="1" t="str">
        <f t="shared" si="7994"/>
        <v>0.0070</v>
      </c>
      <c r="R4091" s="1" t="s">
        <v>25</v>
      </c>
      <c r="T4091" s="1" t="str">
        <f t="shared" si="7995"/>
        <v>0</v>
      </c>
      <c r="U4091" s="1" t="str">
        <f t="shared" si="8059"/>
        <v>0.0070</v>
      </c>
    </row>
    <row r="4092" s="1" customFormat="1" spans="1:21">
      <c r="A4092" s="1" t="str">
        <f>"4601992088826"</f>
        <v>4601992088826</v>
      </c>
      <c r="B4092" s="1" t="s">
        <v>4115</v>
      </c>
      <c r="C4092" s="1" t="s">
        <v>24</v>
      </c>
      <c r="D4092" s="1" t="str">
        <f t="shared" si="7991"/>
        <v>2021</v>
      </c>
      <c r="E4092" s="1" t="str">
        <f t="shared" ref="E4092:P4092" si="8063">"0"</f>
        <v>0</v>
      </c>
      <c r="F4092" s="1" t="str">
        <f t="shared" si="8063"/>
        <v>0</v>
      </c>
      <c r="G4092" s="1" t="str">
        <f t="shared" si="8063"/>
        <v>0</v>
      </c>
      <c r="H4092" s="1" t="str">
        <f t="shared" si="8063"/>
        <v>0</v>
      </c>
      <c r="I4092" s="1" t="str">
        <f t="shared" si="8063"/>
        <v>0</v>
      </c>
      <c r="J4092" s="1" t="str">
        <f t="shared" si="8063"/>
        <v>0</v>
      </c>
      <c r="K4092" s="1" t="str">
        <f t="shared" si="8063"/>
        <v>0</v>
      </c>
      <c r="L4092" s="1" t="str">
        <f t="shared" si="8063"/>
        <v>0</v>
      </c>
      <c r="M4092" s="1" t="str">
        <f t="shared" si="8063"/>
        <v>0</v>
      </c>
      <c r="N4092" s="1" t="str">
        <f t="shared" si="8063"/>
        <v>0</v>
      </c>
      <c r="O4092" s="1" t="str">
        <f t="shared" si="8063"/>
        <v>0</v>
      </c>
      <c r="P4092" s="1" t="str">
        <f t="shared" si="8063"/>
        <v>0</v>
      </c>
      <c r="Q4092" s="1" t="str">
        <f t="shared" si="7994"/>
        <v>0.0070</v>
      </c>
      <c r="R4092" s="1" t="s">
        <v>25</v>
      </c>
      <c r="T4092" s="1" t="str">
        <f t="shared" si="7995"/>
        <v>0</v>
      </c>
      <c r="U4092" s="1" t="str">
        <f t="shared" si="8059"/>
        <v>0.0070</v>
      </c>
    </row>
    <row r="4093" s="1" customFormat="1" spans="1:21">
      <c r="A4093" s="1" t="str">
        <f>"4601992088816"</f>
        <v>4601992088816</v>
      </c>
      <c r="B4093" s="1" t="s">
        <v>4116</v>
      </c>
      <c r="C4093" s="1" t="s">
        <v>24</v>
      </c>
      <c r="D4093" s="1" t="str">
        <f t="shared" si="7991"/>
        <v>2021</v>
      </c>
      <c r="E4093" s="1" t="str">
        <f t="shared" ref="E4093:P4093" si="8064">"0"</f>
        <v>0</v>
      </c>
      <c r="F4093" s="1" t="str">
        <f t="shared" si="8064"/>
        <v>0</v>
      </c>
      <c r="G4093" s="1" t="str">
        <f t="shared" si="8064"/>
        <v>0</v>
      </c>
      <c r="H4093" s="1" t="str">
        <f t="shared" si="8064"/>
        <v>0</v>
      </c>
      <c r="I4093" s="1" t="str">
        <f t="shared" si="8064"/>
        <v>0</v>
      </c>
      <c r="J4093" s="1" t="str">
        <f t="shared" si="8064"/>
        <v>0</v>
      </c>
      <c r="K4093" s="1" t="str">
        <f t="shared" si="8064"/>
        <v>0</v>
      </c>
      <c r="L4093" s="1" t="str">
        <f t="shared" si="8064"/>
        <v>0</v>
      </c>
      <c r="M4093" s="1" t="str">
        <f t="shared" si="8064"/>
        <v>0</v>
      </c>
      <c r="N4093" s="1" t="str">
        <f t="shared" si="8064"/>
        <v>0</v>
      </c>
      <c r="O4093" s="1" t="str">
        <f t="shared" si="8064"/>
        <v>0</v>
      </c>
      <c r="P4093" s="1" t="str">
        <f t="shared" si="8064"/>
        <v>0</v>
      </c>
      <c r="Q4093" s="1" t="str">
        <f t="shared" si="7994"/>
        <v>0.0070</v>
      </c>
      <c r="R4093" s="1" t="s">
        <v>25</v>
      </c>
      <c r="T4093" s="1" t="str">
        <f t="shared" si="7995"/>
        <v>0</v>
      </c>
      <c r="U4093" s="1" t="str">
        <f t="shared" si="8059"/>
        <v>0.0070</v>
      </c>
    </row>
    <row r="4094" s="1" customFormat="1" spans="1:21">
      <c r="A4094" s="1" t="str">
        <f>"4601992088845"</f>
        <v>4601992088845</v>
      </c>
      <c r="B4094" s="1" t="s">
        <v>4117</v>
      </c>
      <c r="C4094" s="1" t="s">
        <v>24</v>
      </c>
      <c r="D4094" s="1" t="str">
        <f t="shared" si="7991"/>
        <v>2021</v>
      </c>
      <c r="E4094" s="1" t="str">
        <f t="shared" ref="E4094:P4094" si="8065">"0"</f>
        <v>0</v>
      </c>
      <c r="F4094" s="1" t="str">
        <f t="shared" si="8065"/>
        <v>0</v>
      </c>
      <c r="G4094" s="1" t="str">
        <f t="shared" si="8065"/>
        <v>0</v>
      </c>
      <c r="H4094" s="1" t="str">
        <f t="shared" si="8065"/>
        <v>0</v>
      </c>
      <c r="I4094" s="1" t="str">
        <f t="shared" si="8065"/>
        <v>0</v>
      </c>
      <c r="J4094" s="1" t="str">
        <f t="shared" si="8065"/>
        <v>0</v>
      </c>
      <c r="K4094" s="1" t="str">
        <f t="shared" si="8065"/>
        <v>0</v>
      </c>
      <c r="L4094" s="1" t="str">
        <f t="shared" si="8065"/>
        <v>0</v>
      </c>
      <c r="M4094" s="1" t="str">
        <f t="shared" si="8065"/>
        <v>0</v>
      </c>
      <c r="N4094" s="1" t="str">
        <f t="shared" si="8065"/>
        <v>0</v>
      </c>
      <c r="O4094" s="1" t="str">
        <f t="shared" si="8065"/>
        <v>0</v>
      </c>
      <c r="P4094" s="1" t="str">
        <f t="shared" si="8065"/>
        <v>0</v>
      </c>
      <c r="Q4094" s="1" t="str">
        <f t="shared" si="7994"/>
        <v>0.0070</v>
      </c>
      <c r="R4094" s="1" t="s">
        <v>25</v>
      </c>
      <c r="T4094" s="1" t="str">
        <f t="shared" si="7995"/>
        <v>0</v>
      </c>
      <c r="U4094" s="1" t="str">
        <f t="shared" si="8059"/>
        <v>0.0070</v>
      </c>
    </row>
    <row r="4095" s="1" customFormat="1" spans="1:21">
      <c r="A4095" s="1" t="str">
        <f>"4601992088851"</f>
        <v>4601992088851</v>
      </c>
      <c r="B4095" s="1" t="s">
        <v>4118</v>
      </c>
      <c r="C4095" s="1" t="s">
        <v>24</v>
      </c>
      <c r="D4095" s="1" t="str">
        <f t="shared" si="7991"/>
        <v>2021</v>
      </c>
      <c r="E4095" s="1" t="str">
        <f t="shared" ref="E4095:P4095" si="8066">"0"</f>
        <v>0</v>
      </c>
      <c r="F4095" s="1" t="str">
        <f t="shared" si="8066"/>
        <v>0</v>
      </c>
      <c r="G4095" s="1" t="str">
        <f t="shared" si="8066"/>
        <v>0</v>
      </c>
      <c r="H4095" s="1" t="str">
        <f t="shared" si="8066"/>
        <v>0</v>
      </c>
      <c r="I4095" s="1" t="str">
        <f t="shared" si="8066"/>
        <v>0</v>
      </c>
      <c r="J4095" s="1" t="str">
        <f t="shared" si="8066"/>
        <v>0</v>
      </c>
      <c r="K4095" s="1" t="str">
        <f t="shared" si="8066"/>
        <v>0</v>
      </c>
      <c r="L4095" s="1" t="str">
        <f t="shared" si="8066"/>
        <v>0</v>
      </c>
      <c r="M4095" s="1" t="str">
        <f t="shared" si="8066"/>
        <v>0</v>
      </c>
      <c r="N4095" s="1" t="str">
        <f t="shared" si="8066"/>
        <v>0</v>
      </c>
      <c r="O4095" s="1" t="str">
        <f t="shared" si="8066"/>
        <v>0</v>
      </c>
      <c r="P4095" s="1" t="str">
        <f t="shared" si="8066"/>
        <v>0</v>
      </c>
      <c r="Q4095" s="1" t="str">
        <f t="shared" si="7994"/>
        <v>0.0070</v>
      </c>
      <c r="R4095" s="1" t="s">
        <v>25</v>
      </c>
      <c r="T4095" s="1" t="str">
        <f t="shared" si="7995"/>
        <v>0</v>
      </c>
      <c r="U4095" s="1" t="str">
        <f t="shared" si="8059"/>
        <v>0.0070</v>
      </c>
    </row>
    <row r="4096" s="1" customFormat="1" spans="1:21">
      <c r="A4096" s="1" t="str">
        <f>"4601992088880"</f>
        <v>4601992088880</v>
      </c>
      <c r="B4096" s="1" t="s">
        <v>4119</v>
      </c>
      <c r="C4096" s="1" t="s">
        <v>24</v>
      </c>
      <c r="D4096" s="1" t="str">
        <f t="shared" si="7991"/>
        <v>2021</v>
      </c>
      <c r="E4096" s="1" t="str">
        <f t="shared" ref="E4096:P4096" si="8067">"0"</f>
        <v>0</v>
      </c>
      <c r="F4096" s="1" t="str">
        <f t="shared" si="8067"/>
        <v>0</v>
      </c>
      <c r="G4096" s="1" t="str">
        <f t="shared" si="8067"/>
        <v>0</v>
      </c>
      <c r="H4096" s="1" t="str">
        <f t="shared" si="8067"/>
        <v>0</v>
      </c>
      <c r="I4096" s="1" t="str">
        <f t="shared" si="8067"/>
        <v>0</v>
      </c>
      <c r="J4096" s="1" t="str">
        <f t="shared" si="8067"/>
        <v>0</v>
      </c>
      <c r="K4096" s="1" t="str">
        <f t="shared" si="8067"/>
        <v>0</v>
      </c>
      <c r="L4096" s="1" t="str">
        <f t="shared" si="8067"/>
        <v>0</v>
      </c>
      <c r="M4096" s="1" t="str">
        <f t="shared" si="8067"/>
        <v>0</v>
      </c>
      <c r="N4096" s="1" t="str">
        <f t="shared" si="8067"/>
        <v>0</v>
      </c>
      <c r="O4096" s="1" t="str">
        <f t="shared" si="8067"/>
        <v>0</v>
      </c>
      <c r="P4096" s="1" t="str">
        <f t="shared" si="8067"/>
        <v>0</v>
      </c>
      <c r="Q4096" s="1" t="str">
        <f t="shared" si="7994"/>
        <v>0.0070</v>
      </c>
      <c r="R4096" s="1" t="s">
        <v>25</v>
      </c>
      <c r="T4096" s="1" t="str">
        <f t="shared" si="7995"/>
        <v>0</v>
      </c>
      <c r="U4096" s="1" t="str">
        <f t="shared" si="8059"/>
        <v>0.0070</v>
      </c>
    </row>
    <row r="4097" s="1" customFormat="1" spans="1:21">
      <c r="A4097" s="1" t="str">
        <f>"4601992088818"</f>
        <v>4601992088818</v>
      </c>
      <c r="B4097" s="1" t="s">
        <v>4120</v>
      </c>
      <c r="C4097" s="1" t="s">
        <v>24</v>
      </c>
      <c r="D4097" s="1" t="str">
        <f t="shared" si="7991"/>
        <v>2021</v>
      </c>
      <c r="E4097" s="1" t="str">
        <f t="shared" ref="E4097:I4097" si="8068">"0"</f>
        <v>0</v>
      </c>
      <c r="F4097" s="1" t="str">
        <f t="shared" si="8068"/>
        <v>0</v>
      </c>
      <c r="G4097" s="1" t="str">
        <f t="shared" si="8068"/>
        <v>0</v>
      </c>
      <c r="H4097" s="1" t="str">
        <f t="shared" si="8068"/>
        <v>0</v>
      </c>
      <c r="I4097" s="1" t="str">
        <f t="shared" si="8068"/>
        <v>0</v>
      </c>
      <c r="J4097" s="1" t="str">
        <f>"1"</f>
        <v>1</v>
      </c>
      <c r="K4097" s="1" t="str">
        <f t="shared" ref="K4097:P4097" si="8069">"0"</f>
        <v>0</v>
      </c>
      <c r="L4097" s="1" t="str">
        <f t="shared" si="8069"/>
        <v>0</v>
      </c>
      <c r="M4097" s="1" t="str">
        <f t="shared" si="8069"/>
        <v>0</v>
      </c>
      <c r="N4097" s="1" t="str">
        <f t="shared" si="8069"/>
        <v>0</v>
      </c>
      <c r="O4097" s="1" t="str">
        <f t="shared" si="8069"/>
        <v>0</v>
      </c>
      <c r="P4097" s="1" t="str">
        <f t="shared" si="8069"/>
        <v>0</v>
      </c>
      <c r="Q4097" s="1" t="str">
        <f t="shared" si="7994"/>
        <v>0.0070</v>
      </c>
      <c r="R4097" s="1" t="s">
        <v>25</v>
      </c>
      <c r="T4097" s="1" t="str">
        <f t="shared" si="7995"/>
        <v>0</v>
      </c>
      <c r="U4097" s="1" t="str">
        <f t="shared" si="8059"/>
        <v>0.0070</v>
      </c>
    </row>
    <row r="4098" s="1" customFormat="1" spans="1:21">
      <c r="A4098" s="1" t="str">
        <f>"4601992088978"</f>
        <v>4601992088978</v>
      </c>
      <c r="B4098" s="1" t="s">
        <v>4121</v>
      </c>
      <c r="C4098" s="1" t="s">
        <v>24</v>
      </c>
      <c r="D4098" s="1" t="str">
        <f t="shared" si="7991"/>
        <v>2021</v>
      </c>
      <c r="E4098" s="1" t="str">
        <f t="shared" ref="E4098:P4098" si="8070">"0"</f>
        <v>0</v>
      </c>
      <c r="F4098" s="1" t="str">
        <f t="shared" si="8070"/>
        <v>0</v>
      </c>
      <c r="G4098" s="1" t="str">
        <f t="shared" si="8070"/>
        <v>0</v>
      </c>
      <c r="H4098" s="1" t="str">
        <f t="shared" si="8070"/>
        <v>0</v>
      </c>
      <c r="I4098" s="1" t="str">
        <f t="shared" si="8070"/>
        <v>0</v>
      </c>
      <c r="J4098" s="1" t="str">
        <f t="shared" si="8070"/>
        <v>0</v>
      </c>
      <c r="K4098" s="1" t="str">
        <f t="shared" si="8070"/>
        <v>0</v>
      </c>
      <c r="L4098" s="1" t="str">
        <f t="shared" si="8070"/>
        <v>0</v>
      </c>
      <c r="M4098" s="1" t="str">
        <f t="shared" si="8070"/>
        <v>0</v>
      </c>
      <c r="N4098" s="1" t="str">
        <f t="shared" si="8070"/>
        <v>0</v>
      </c>
      <c r="O4098" s="1" t="str">
        <f t="shared" si="8070"/>
        <v>0</v>
      </c>
      <c r="P4098" s="1" t="str">
        <f t="shared" si="8070"/>
        <v>0</v>
      </c>
      <c r="Q4098" s="1" t="str">
        <f t="shared" si="7994"/>
        <v>0.0070</v>
      </c>
      <c r="R4098" s="1" t="s">
        <v>25</v>
      </c>
      <c r="T4098" s="1" t="str">
        <f t="shared" si="7995"/>
        <v>0</v>
      </c>
      <c r="U4098" s="1" t="str">
        <f t="shared" si="8059"/>
        <v>0.0070</v>
      </c>
    </row>
    <row r="4099" s="1" customFormat="1" spans="1:21">
      <c r="A4099" s="1" t="str">
        <f>"4601992088996"</f>
        <v>4601992088996</v>
      </c>
      <c r="B4099" s="1" t="s">
        <v>4122</v>
      </c>
      <c r="C4099" s="1" t="s">
        <v>24</v>
      </c>
      <c r="D4099" s="1" t="str">
        <f t="shared" ref="D4099:D4162" si="8071">"2021"</f>
        <v>2021</v>
      </c>
      <c r="E4099" s="1" t="str">
        <f t="shared" ref="E4099:P4099" si="8072">"0"</f>
        <v>0</v>
      </c>
      <c r="F4099" s="1" t="str">
        <f t="shared" si="8072"/>
        <v>0</v>
      </c>
      <c r="G4099" s="1" t="str">
        <f t="shared" si="8072"/>
        <v>0</v>
      </c>
      <c r="H4099" s="1" t="str">
        <f t="shared" si="8072"/>
        <v>0</v>
      </c>
      <c r="I4099" s="1" t="str">
        <f t="shared" si="8072"/>
        <v>0</v>
      </c>
      <c r="J4099" s="1" t="str">
        <f t="shared" si="8072"/>
        <v>0</v>
      </c>
      <c r="K4099" s="1" t="str">
        <f t="shared" si="8072"/>
        <v>0</v>
      </c>
      <c r="L4099" s="1" t="str">
        <f t="shared" si="8072"/>
        <v>0</v>
      </c>
      <c r="M4099" s="1" t="str">
        <f t="shared" si="8072"/>
        <v>0</v>
      </c>
      <c r="N4099" s="1" t="str">
        <f t="shared" si="8072"/>
        <v>0</v>
      </c>
      <c r="O4099" s="1" t="str">
        <f t="shared" si="8072"/>
        <v>0</v>
      </c>
      <c r="P4099" s="1" t="str">
        <f t="shared" si="8072"/>
        <v>0</v>
      </c>
      <c r="Q4099" s="1" t="str">
        <f t="shared" ref="Q4099:Q4162" si="8073">"0.0070"</f>
        <v>0.0070</v>
      </c>
      <c r="R4099" s="1" t="s">
        <v>25</v>
      </c>
      <c r="T4099" s="1" t="str">
        <f t="shared" ref="T4099:T4162" si="8074">"0"</f>
        <v>0</v>
      </c>
      <c r="U4099" s="1" t="str">
        <f t="shared" si="8059"/>
        <v>0.0070</v>
      </c>
    </row>
    <row r="4100" s="1" customFormat="1" spans="1:21">
      <c r="A4100" s="1" t="str">
        <f>"4601992088852"</f>
        <v>4601992088852</v>
      </c>
      <c r="B4100" s="1" t="s">
        <v>4123</v>
      </c>
      <c r="C4100" s="1" t="s">
        <v>24</v>
      </c>
      <c r="D4100" s="1" t="str">
        <f t="shared" si="8071"/>
        <v>2021</v>
      </c>
      <c r="E4100" s="1" t="str">
        <f>"24.50"</f>
        <v>24.50</v>
      </c>
      <c r="F4100" s="1" t="str">
        <f t="shared" ref="F4100:I4100" si="8075">"0"</f>
        <v>0</v>
      </c>
      <c r="G4100" s="1" t="str">
        <f t="shared" si="8075"/>
        <v>0</v>
      </c>
      <c r="H4100" s="1" t="str">
        <f t="shared" si="8075"/>
        <v>0</v>
      </c>
      <c r="I4100" s="1" t="str">
        <f t="shared" si="8075"/>
        <v>0</v>
      </c>
      <c r="J4100" s="1" t="str">
        <f>"2"</f>
        <v>2</v>
      </c>
      <c r="K4100" s="1" t="str">
        <f t="shared" ref="K4100:P4100" si="8076">"0"</f>
        <v>0</v>
      </c>
      <c r="L4100" s="1" t="str">
        <f t="shared" si="8076"/>
        <v>0</v>
      </c>
      <c r="M4100" s="1" t="str">
        <f t="shared" si="8076"/>
        <v>0</v>
      </c>
      <c r="N4100" s="1" t="str">
        <f t="shared" si="8076"/>
        <v>0</v>
      </c>
      <c r="O4100" s="1" t="str">
        <f t="shared" si="8076"/>
        <v>0</v>
      </c>
      <c r="P4100" s="1" t="str">
        <f t="shared" si="8076"/>
        <v>0</v>
      </c>
      <c r="Q4100" s="1" t="str">
        <f t="shared" si="8073"/>
        <v>0.0070</v>
      </c>
      <c r="R4100" s="1" t="s">
        <v>29</v>
      </c>
      <c r="S4100" s="1">
        <v>-0.0014</v>
      </c>
      <c r="T4100" s="1" t="str">
        <f t="shared" si="8074"/>
        <v>0</v>
      </c>
      <c r="U4100" s="1" t="str">
        <f>"0.0056"</f>
        <v>0.0056</v>
      </c>
    </row>
    <row r="4101" s="1" customFormat="1" spans="1:21">
      <c r="A4101" s="1" t="str">
        <f>"4601992089010"</f>
        <v>4601992089010</v>
      </c>
      <c r="B4101" s="1" t="s">
        <v>4124</v>
      </c>
      <c r="C4101" s="1" t="s">
        <v>24</v>
      </c>
      <c r="D4101" s="1" t="str">
        <f t="shared" si="8071"/>
        <v>2021</v>
      </c>
      <c r="E4101" s="1" t="str">
        <f t="shared" ref="E4101:P4101" si="8077">"0"</f>
        <v>0</v>
      </c>
      <c r="F4101" s="1" t="str">
        <f t="shared" si="8077"/>
        <v>0</v>
      </c>
      <c r="G4101" s="1" t="str">
        <f t="shared" si="8077"/>
        <v>0</v>
      </c>
      <c r="H4101" s="1" t="str">
        <f t="shared" si="8077"/>
        <v>0</v>
      </c>
      <c r="I4101" s="1" t="str">
        <f t="shared" si="8077"/>
        <v>0</v>
      </c>
      <c r="J4101" s="1" t="str">
        <f t="shared" si="8077"/>
        <v>0</v>
      </c>
      <c r="K4101" s="1" t="str">
        <f t="shared" si="8077"/>
        <v>0</v>
      </c>
      <c r="L4101" s="1" t="str">
        <f t="shared" si="8077"/>
        <v>0</v>
      </c>
      <c r="M4101" s="1" t="str">
        <f t="shared" si="8077"/>
        <v>0</v>
      </c>
      <c r="N4101" s="1" t="str">
        <f t="shared" si="8077"/>
        <v>0</v>
      </c>
      <c r="O4101" s="1" t="str">
        <f t="shared" si="8077"/>
        <v>0</v>
      </c>
      <c r="P4101" s="1" t="str">
        <f t="shared" si="8077"/>
        <v>0</v>
      </c>
      <c r="Q4101" s="1" t="str">
        <f t="shared" si="8073"/>
        <v>0.0070</v>
      </c>
      <c r="R4101" s="1" t="s">
        <v>25</v>
      </c>
      <c r="T4101" s="1" t="str">
        <f t="shared" si="8074"/>
        <v>0</v>
      </c>
      <c r="U4101" s="1" t="str">
        <f t="shared" ref="U4101:U4106" si="8078">"0.0070"</f>
        <v>0.0070</v>
      </c>
    </row>
    <row r="4102" s="1" customFormat="1" spans="1:21">
      <c r="A4102" s="1" t="str">
        <f>"4601992089029"</f>
        <v>4601992089029</v>
      </c>
      <c r="B4102" s="1" t="s">
        <v>4125</v>
      </c>
      <c r="C4102" s="1" t="s">
        <v>24</v>
      </c>
      <c r="D4102" s="1" t="str">
        <f t="shared" si="8071"/>
        <v>2021</v>
      </c>
      <c r="E4102" s="1" t="str">
        <f t="shared" ref="E4102:P4102" si="8079">"0"</f>
        <v>0</v>
      </c>
      <c r="F4102" s="1" t="str">
        <f t="shared" si="8079"/>
        <v>0</v>
      </c>
      <c r="G4102" s="1" t="str">
        <f t="shared" si="8079"/>
        <v>0</v>
      </c>
      <c r="H4102" s="1" t="str">
        <f t="shared" si="8079"/>
        <v>0</v>
      </c>
      <c r="I4102" s="1" t="str">
        <f t="shared" si="8079"/>
        <v>0</v>
      </c>
      <c r="J4102" s="1" t="str">
        <f t="shared" si="8079"/>
        <v>0</v>
      </c>
      <c r="K4102" s="1" t="str">
        <f t="shared" si="8079"/>
        <v>0</v>
      </c>
      <c r="L4102" s="1" t="str">
        <f t="shared" si="8079"/>
        <v>0</v>
      </c>
      <c r="M4102" s="1" t="str">
        <f t="shared" si="8079"/>
        <v>0</v>
      </c>
      <c r="N4102" s="1" t="str">
        <f t="shared" si="8079"/>
        <v>0</v>
      </c>
      <c r="O4102" s="1" t="str">
        <f t="shared" si="8079"/>
        <v>0</v>
      </c>
      <c r="P4102" s="1" t="str">
        <f t="shared" si="8079"/>
        <v>0</v>
      </c>
      <c r="Q4102" s="1" t="str">
        <f t="shared" si="8073"/>
        <v>0.0070</v>
      </c>
      <c r="R4102" s="1" t="s">
        <v>25</v>
      </c>
      <c r="T4102" s="1" t="str">
        <f t="shared" si="8074"/>
        <v>0</v>
      </c>
      <c r="U4102" s="1" t="str">
        <f t="shared" si="8078"/>
        <v>0.0070</v>
      </c>
    </row>
    <row r="4103" s="1" customFormat="1" spans="1:21">
      <c r="A4103" s="1" t="str">
        <f>"4601992089164"</f>
        <v>4601992089164</v>
      </c>
      <c r="B4103" s="1" t="s">
        <v>4126</v>
      </c>
      <c r="C4103" s="1" t="s">
        <v>24</v>
      </c>
      <c r="D4103" s="1" t="str">
        <f t="shared" si="8071"/>
        <v>2021</v>
      </c>
      <c r="E4103" s="1" t="str">
        <f t="shared" ref="E4103:P4103" si="8080">"0"</f>
        <v>0</v>
      </c>
      <c r="F4103" s="1" t="str">
        <f t="shared" si="8080"/>
        <v>0</v>
      </c>
      <c r="G4103" s="1" t="str">
        <f t="shared" si="8080"/>
        <v>0</v>
      </c>
      <c r="H4103" s="1" t="str">
        <f t="shared" si="8080"/>
        <v>0</v>
      </c>
      <c r="I4103" s="1" t="str">
        <f t="shared" si="8080"/>
        <v>0</v>
      </c>
      <c r="J4103" s="1" t="str">
        <f t="shared" si="8080"/>
        <v>0</v>
      </c>
      <c r="K4103" s="1" t="str">
        <f t="shared" si="8080"/>
        <v>0</v>
      </c>
      <c r="L4103" s="1" t="str">
        <f t="shared" si="8080"/>
        <v>0</v>
      </c>
      <c r="M4103" s="1" t="str">
        <f t="shared" si="8080"/>
        <v>0</v>
      </c>
      <c r="N4103" s="1" t="str">
        <f t="shared" si="8080"/>
        <v>0</v>
      </c>
      <c r="O4103" s="1" t="str">
        <f t="shared" si="8080"/>
        <v>0</v>
      </c>
      <c r="P4103" s="1" t="str">
        <f t="shared" si="8080"/>
        <v>0</v>
      </c>
      <c r="Q4103" s="1" t="str">
        <f t="shared" si="8073"/>
        <v>0.0070</v>
      </c>
      <c r="R4103" s="1" t="s">
        <v>25</v>
      </c>
      <c r="T4103" s="1" t="str">
        <f t="shared" si="8074"/>
        <v>0</v>
      </c>
      <c r="U4103" s="1" t="str">
        <f t="shared" si="8078"/>
        <v>0.0070</v>
      </c>
    </row>
    <row r="4104" s="1" customFormat="1" spans="1:21">
      <c r="A4104" s="1" t="str">
        <f>"4601992089372"</f>
        <v>4601992089372</v>
      </c>
      <c r="B4104" s="1" t="s">
        <v>4127</v>
      </c>
      <c r="C4104" s="1" t="s">
        <v>24</v>
      </c>
      <c r="D4104" s="1" t="str">
        <f t="shared" si="8071"/>
        <v>2021</v>
      </c>
      <c r="E4104" s="1" t="str">
        <f t="shared" ref="E4104:P4104" si="8081">"0"</f>
        <v>0</v>
      </c>
      <c r="F4104" s="1" t="str">
        <f t="shared" si="8081"/>
        <v>0</v>
      </c>
      <c r="G4104" s="1" t="str">
        <f t="shared" si="8081"/>
        <v>0</v>
      </c>
      <c r="H4104" s="1" t="str">
        <f t="shared" si="8081"/>
        <v>0</v>
      </c>
      <c r="I4104" s="1" t="str">
        <f t="shared" si="8081"/>
        <v>0</v>
      </c>
      <c r="J4104" s="1" t="str">
        <f t="shared" si="8081"/>
        <v>0</v>
      </c>
      <c r="K4104" s="1" t="str">
        <f t="shared" si="8081"/>
        <v>0</v>
      </c>
      <c r="L4104" s="1" t="str">
        <f t="shared" si="8081"/>
        <v>0</v>
      </c>
      <c r="M4104" s="1" t="str">
        <f t="shared" si="8081"/>
        <v>0</v>
      </c>
      <c r="N4104" s="1" t="str">
        <f t="shared" si="8081"/>
        <v>0</v>
      </c>
      <c r="O4104" s="1" t="str">
        <f t="shared" si="8081"/>
        <v>0</v>
      </c>
      <c r="P4104" s="1" t="str">
        <f t="shared" si="8081"/>
        <v>0</v>
      </c>
      <c r="Q4104" s="1" t="str">
        <f t="shared" si="8073"/>
        <v>0.0070</v>
      </c>
      <c r="R4104" s="1" t="s">
        <v>25</v>
      </c>
      <c r="T4104" s="1" t="str">
        <f t="shared" si="8074"/>
        <v>0</v>
      </c>
      <c r="U4104" s="1" t="str">
        <f t="shared" si="8078"/>
        <v>0.0070</v>
      </c>
    </row>
    <row r="4105" s="1" customFormat="1" spans="1:21">
      <c r="A4105" s="1" t="str">
        <f>"4601992089424"</f>
        <v>4601992089424</v>
      </c>
      <c r="B4105" s="1" t="s">
        <v>4128</v>
      </c>
      <c r="C4105" s="1" t="s">
        <v>24</v>
      </c>
      <c r="D4105" s="1" t="str">
        <f t="shared" si="8071"/>
        <v>2021</v>
      </c>
      <c r="E4105" s="1" t="str">
        <f t="shared" ref="E4105:P4105" si="8082">"0"</f>
        <v>0</v>
      </c>
      <c r="F4105" s="1" t="str">
        <f t="shared" si="8082"/>
        <v>0</v>
      </c>
      <c r="G4105" s="1" t="str">
        <f t="shared" si="8082"/>
        <v>0</v>
      </c>
      <c r="H4105" s="1" t="str">
        <f t="shared" si="8082"/>
        <v>0</v>
      </c>
      <c r="I4105" s="1" t="str">
        <f t="shared" si="8082"/>
        <v>0</v>
      </c>
      <c r="J4105" s="1" t="str">
        <f t="shared" si="8082"/>
        <v>0</v>
      </c>
      <c r="K4105" s="1" t="str">
        <f t="shared" si="8082"/>
        <v>0</v>
      </c>
      <c r="L4105" s="1" t="str">
        <f t="shared" si="8082"/>
        <v>0</v>
      </c>
      <c r="M4105" s="1" t="str">
        <f t="shared" si="8082"/>
        <v>0</v>
      </c>
      <c r="N4105" s="1" t="str">
        <f t="shared" si="8082"/>
        <v>0</v>
      </c>
      <c r="O4105" s="1" t="str">
        <f t="shared" si="8082"/>
        <v>0</v>
      </c>
      <c r="P4105" s="1" t="str">
        <f t="shared" si="8082"/>
        <v>0</v>
      </c>
      <c r="Q4105" s="1" t="str">
        <f t="shared" si="8073"/>
        <v>0.0070</v>
      </c>
      <c r="R4105" s="1" t="s">
        <v>25</v>
      </c>
      <c r="T4105" s="1" t="str">
        <f t="shared" si="8074"/>
        <v>0</v>
      </c>
      <c r="U4105" s="1" t="str">
        <f t="shared" si="8078"/>
        <v>0.0070</v>
      </c>
    </row>
    <row r="4106" s="1" customFormat="1" spans="1:21">
      <c r="A4106" s="1" t="str">
        <f>"4601992089042"</f>
        <v>4601992089042</v>
      </c>
      <c r="B4106" s="1" t="s">
        <v>4129</v>
      </c>
      <c r="C4106" s="1" t="s">
        <v>24</v>
      </c>
      <c r="D4106" s="1" t="str">
        <f t="shared" si="8071"/>
        <v>2021</v>
      </c>
      <c r="E4106" s="1" t="str">
        <f t="shared" ref="E4106:I4106" si="8083">"0"</f>
        <v>0</v>
      </c>
      <c r="F4106" s="1" t="str">
        <f t="shared" si="8083"/>
        <v>0</v>
      </c>
      <c r="G4106" s="1" t="str">
        <f t="shared" si="8083"/>
        <v>0</v>
      </c>
      <c r="H4106" s="1" t="str">
        <f t="shared" si="8083"/>
        <v>0</v>
      </c>
      <c r="I4106" s="1" t="str">
        <f t="shared" si="8083"/>
        <v>0</v>
      </c>
      <c r="J4106" s="1" t="str">
        <f>"1"</f>
        <v>1</v>
      </c>
      <c r="K4106" s="1" t="str">
        <f t="shared" ref="K4106:P4106" si="8084">"0"</f>
        <v>0</v>
      </c>
      <c r="L4106" s="1" t="str">
        <f t="shared" si="8084"/>
        <v>0</v>
      </c>
      <c r="M4106" s="1" t="str">
        <f t="shared" si="8084"/>
        <v>0</v>
      </c>
      <c r="N4106" s="1" t="str">
        <f t="shared" si="8084"/>
        <v>0</v>
      </c>
      <c r="O4106" s="1" t="str">
        <f t="shared" si="8084"/>
        <v>0</v>
      </c>
      <c r="P4106" s="1" t="str">
        <f t="shared" si="8084"/>
        <v>0</v>
      </c>
      <c r="Q4106" s="1" t="str">
        <f t="shared" si="8073"/>
        <v>0.0070</v>
      </c>
      <c r="R4106" s="1" t="s">
        <v>25</v>
      </c>
      <c r="T4106" s="1" t="str">
        <f t="shared" si="8074"/>
        <v>0</v>
      </c>
      <c r="U4106" s="1" t="str">
        <f t="shared" si="8078"/>
        <v>0.0070</v>
      </c>
    </row>
    <row r="4107" s="1" customFormat="1" spans="1:21">
      <c r="A4107" s="1" t="str">
        <f>"4601992089292"</f>
        <v>4601992089292</v>
      </c>
      <c r="B4107" s="1" t="s">
        <v>4130</v>
      </c>
      <c r="C4107" s="1" t="s">
        <v>24</v>
      </c>
      <c r="D4107" s="1" t="str">
        <f t="shared" si="8071"/>
        <v>2021</v>
      </c>
      <c r="E4107" s="1" t="str">
        <f>"11.98"</f>
        <v>11.98</v>
      </c>
      <c r="F4107" s="1" t="str">
        <f t="shared" ref="F4107:I4107" si="8085">"0"</f>
        <v>0</v>
      </c>
      <c r="G4107" s="1" t="str">
        <f t="shared" si="8085"/>
        <v>0</v>
      </c>
      <c r="H4107" s="1" t="str">
        <f t="shared" si="8085"/>
        <v>0</v>
      </c>
      <c r="I4107" s="1" t="str">
        <f t="shared" si="8085"/>
        <v>0</v>
      </c>
      <c r="J4107" s="1" t="str">
        <f>"1"</f>
        <v>1</v>
      </c>
      <c r="K4107" s="1" t="str">
        <f t="shared" ref="K4107:P4107" si="8086">"0"</f>
        <v>0</v>
      </c>
      <c r="L4107" s="1" t="str">
        <f t="shared" si="8086"/>
        <v>0</v>
      </c>
      <c r="M4107" s="1" t="str">
        <f t="shared" si="8086"/>
        <v>0</v>
      </c>
      <c r="N4107" s="1" t="str">
        <f t="shared" si="8086"/>
        <v>0</v>
      </c>
      <c r="O4107" s="1" t="str">
        <f t="shared" si="8086"/>
        <v>0</v>
      </c>
      <c r="P4107" s="1" t="str">
        <f t="shared" si="8086"/>
        <v>0</v>
      </c>
      <c r="Q4107" s="1" t="str">
        <f t="shared" si="8073"/>
        <v>0.0070</v>
      </c>
      <c r="R4107" s="1" t="s">
        <v>29</v>
      </c>
      <c r="S4107" s="1">
        <v>-0.0014</v>
      </c>
      <c r="T4107" s="1" t="str">
        <f t="shared" si="8074"/>
        <v>0</v>
      </c>
      <c r="U4107" s="1" t="str">
        <f>"0.0056"</f>
        <v>0.0056</v>
      </c>
    </row>
    <row r="4108" s="1" customFormat="1" spans="1:21">
      <c r="A4108" s="1" t="str">
        <f>"4601992089500"</f>
        <v>4601992089500</v>
      </c>
      <c r="B4108" s="1" t="s">
        <v>4131</v>
      </c>
      <c r="C4108" s="1" t="s">
        <v>24</v>
      </c>
      <c r="D4108" s="1" t="str">
        <f t="shared" si="8071"/>
        <v>2021</v>
      </c>
      <c r="E4108" s="1" t="str">
        <f t="shared" ref="E4108:P4108" si="8087">"0"</f>
        <v>0</v>
      </c>
      <c r="F4108" s="1" t="str">
        <f t="shared" si="8087"/>
        <v>0</v>
      </c>
      <c r="G4108" s="1" t="str">
        <f t="shared" si="8087"/>
        <v>0</v>
      </c>
      <c r="H4108" s="1" t="str">
        <f t="shared" si="8087"/>
        <v>0</v>
      </c>
      <c r="I4108" s="1" t="str">
        <f t="shared" si="8087"/>
        <v>0</v>
      </c>
      <c r="J4108" s="1" t="str">
        <f t="shared" si="8087"/>
        <v>0</v>
      </c>
      <c r="K4108" s="1" t="str">
        <f t="shared" si="8087"/>
        <v>0</v>
      </c>
      <c r="L4108" s="1" t="str">
        <f t="shared" si="8087"/>
        <v>0</v>
      </c>
      <c r="M4108" s="1" t="str">
        <f t="shared" si="8087"/>
        <v>0</v>
      </c>
      <c r="N4108" s="1" t="str">
        <f t="shared" si="8087"/>
        <v>0</v>
      </c>
      <c r="O4108" s="1" t="str">
        <f t="shared" si="8087"/>
        <v>0</v>
      </c>
      <c r="P4108" s="1" t="str">
        <f t="shared" si="8087"/>
        <v>0</v>
      </c>
      <c r="Q4108" s="1" t="str">
        <f t="shared" si="8073"/>
        <v>0.0070</v>
      </c>
      <c r="R4108" s="1" t="s">
        <v>25</v>
      </c>
      <c r="T4108" s="1" t="str">
        <f t="shared" si="8074"/>
        <v>0</v>
      </c>
      <c r="U4108" s="1" t="str">
        <f t="shared" ref="U4108:U4112" si="8088">"0.0070"</f>
        <v>0.0070</v>
      </c>
    </row>
    <row r="4109" s="1" customFormat="1" spans="1:21">
      <c r="A4109" s="1" t="str">
        <f>"4601992089744"</f>
        <v>4601992089744</v>
      </c>
      <c r="B4109" s="1" t="s">
        <v>4132</v>
      </c>
      <c r="C4109" s="1" t="s">
        <v>24</v>
      </c>
      <c r="D4109" s="1" t="str">
        <f t="shared" si="8071"/>
        <v>2021</v>
      </c>
      <c r="E4109" s="1" t="str">
        <f t="shared" ref="E4109:P4109" si="8089">"0"</f>
        <v>0</v>
      </c>
      <c r="F4109" s="1" t="str">
        <f t="shared" si="8089"/>
        <v>0</v>
      </c>
      <c r="G4109" s="1" t="str">
        <f t="shared" si="8089"/>
        <v>0</v>
      </c>
      <c r="H4109" s="1" t="str">
        <f t="shared" si="8089"/>
        <v>0</v>
      </c>
      <c r="I4109" s="1" t="str">
        <f t="shared" si="8089"/>
        <v>0</v>
      </c>
      <c r="J4109" s="1" t="str">
        <f t="shared" si="8089"/>
        <v>0</v>
      </c>
      <c r="K4109" s="1" t="str">
        <f t="shared" si="8089"/>
        <v>0</v>
      </c>
      <c r="L4109" s="1" t="str">
        <f t="shared" si="8089"/>
        <v>0</v>
      </c>
      <c r="M4109" s="1" t="str">
        <f t="shared" si="8089"/>
        <v>0</v>
      </c>
      <c r="N4109" s="1" t="str">
        <f t="shared" si="8089"/>
        <v>0</v>
      </c>
      <c r="O4109" s="1" t="str">
        <f t="shared" si="8089"/>
        <v>0</v>
      </c>
      <c r="P4109" s="1" t="str">
        <f t="shared" si="8089"/>
        <v>0</v>
      </c>
      <c r="Q4109" s="1" t="str">
        <f t="shared" si="8073"/>
        <v>0.0070</v>
      </c>
      <c r="R4109" s="1" t="s">
        <v>25</v>
      </c>
      <c r="T4109" s="1" t="str">
        <f t="shared" si="8074"/>
        <v>0</v>
      </c>
      <c r="U4109" s="1" t="str">
        <f t="shared" si="8088"/>
        <v>0.0070</v>
      </c>
    </row>
    <row r="4110" s="1" customFormat="1" spans="1:21">
      <c r="A4110" s="1" t="str">
        <f>"4601992089877"</f>
        <v>4601992089877</v>
      </c>
      <c r="B4110" s="1" t="s">
        <v>4133</v>
      </c>
      <c r="C4110" s="1" t="s">
        <v>24</v>
      </c>
      <c r="D4110" s="1" t="str">
        <f t="shared" si="8071"/>
        <v>2021</v>
      </c>
      <c r="E4110" s="1" t="str">
        <f t="shared" ref="E4110:P4110" si="8090">"0"</f>
        <v>0</v>
      </c>
      <c r="F4110" s="1" t="str">
        <f t="shared" si="8090"/>
        <v>0</v>
      </c>
      <c r="G4110" s="1" t="str">
        <f t="shared" si="8090"/>
        <v>0</v>
      </c>
      <c r="H4110" s="1" t="str">
        <f t="shared" si="8090"/>
        <v>0</v>
      </c>
      <c r="I4110" s="1" t="str">
        <f t="shared" si="8090"/>
        <v>0</v>
      </c>
      <c r="J4110" s="1" t="str">
        <f t="shared" si="8090"/>
        <v>0</v>
      </c>
      <c r="K4110" s="1" t="str">
        <f t="shared" si="8090"/>
        <v>0</v>
      </c>
      <c r="L4110" s="1" t="str">
        <f t="shared" si="8090"/>
        <v>0</v>
      </c>
      <c r="M4110" s="1" t="str">
        <f t="shared" si="8090"/>
        <v>0</v>
      </c>
      <c r="N4110" s="1" t="str">
        <f t="shared" si="8090"/>
        <v>0</v>
      </c>
      <c r="O4110" s="1" t="str">
        <f t="shared" si="8090"/>
        <v>0</v>
      </c>
      <c r="P4110" s="1" t="str">
        <f t="shared" si="8090"/>
        <v>0</v>
      </c>
      <c r="Q4110" s="1" t="str">
        <f t="shared" si="8073"/>
        <v>0.0070</v>
      </c>
      <c r="R4110" s="1" t="s">
        <v>25</v>
      </c>
      <c r="T4110" s="1" t="str">
        <f t="shared" si="8074"/>
        <v>0</v>
      </c>
      <c r="U4110" s="1" t="str">
        <f t="shared" si="8088"/>
        <v>0.0070</v>
      </c>
    </row>
    <row r="4111" s="1" customFormat="1" spans="1:21">
      <c r="A4111" s="1" t="str">
        <f>"4601992089879"</f>
        <v>4601992089879</v>
      </c>
      <c r="B4111" s="1" t="s">
        <v>4134</v>
      </c>
      <c r="C4111" s="1" t="s">
        <v>24</v>
      </c>
      <c r="D4111" s="1" t="str">
        <f t="shared" si="8071"/>
        <v>2021</v>
      </c>
      <c r="E4111" s="1" t="str">
        <f t="shared" ref="E4111:P4111" si="8091">"0"</f>
        <v>0</v>
      </c>
      <c r="F4111" s="1" t="str">
        <f t="shared" si="8091"/>
        <v>0</v>
      </c>
      <c r="G4111" s="1" t="str">
        <f t="shared" si="8091"/>
        <v>0</v>
      </c>
      <c r="H4111" s="1" t="str">
        <f t="shared" si="8091"/>
        <v>0</v>
      </c>
      <c r="I4111" s="1" t="str">
        <f t="shared" si="8091"/>
        <v>0</v>
      </c>
      <c r="J4111" s="1" t="str">
        <f t="shared" si="8091"/>
        <v>0</v>
      </c>
      <c r="K4111" s="1" t="str">
        <f t="shared" si="8091"/>
        <v>0</v>
      </c>
      <c r="L4111" s="1" t="str">
        <f t="shared" si="8091"/>
        <v>0</v>
      </c>
      <c r="M4111" s="1" t="str">
        <f t="shared" si="8091"/>
        <v>0</v>
      </c>
      <c r="N4111" s="1" t="str">
        <f t="shared" si="8091"/>
        <v>0</v>
      </c>
      <c r="O4111" s="1" t="str">
        <f t="shared" si="8091"/>
        <v>0</v>
      </c>
      <c r="P4111" s="1" t="str">
        <f t="shared" si="8091"/>
        <v>0</v>
      </c>
      <c r="Q4111" s="1" t="str">
        <f t="shared" si="8073"/>
        <v>0.0070</v>
      </c>
      <c r="R4111" s="1" t="s">
        <v>25</v>
      </c>
      <c r="T4111" s="1" t="str">
        <f t="shared" si="8074"/>
        <v>0</v>
      </c>
      <c r="U4111" s="1" t="str">
        <f t="shared" si="8088"/>
        <v>0.0070</v>
      </c>
    </row>
    <row r="4112" s="1" customFormat="1" spans="1:21">
      <c r="A4112" s="1" t="str">
        <f>"4601992089960"</f>
        <v>4601992089960</v>
      </c>
      <c r="B4112" s="1" t="s">
        <v>4135</v>
      </c>
      <c r="C4112" s="1" t="s">
        <v>24</v>
      </c>
      <c r="D4112" s="1" t="str">
        <f t="shared" si="8071"/>
        <v>2021</v>
      </c>
      <c r="E4112" s="1" t="str">
        <f t="shared" ref="E4112:P4112" si="8092">"0"</f>
        <v>0</v>
      </c>
      <c r="F4112" s="1" t="str">
        <f t="shared" si="8092"/>
        <v>0</v>
      </c>
      <c r="G4112" s="1" t="str">
        <f t="shared" si="8092"/>
        <v>0</v>
      </c>
      <c r="H4112" s="1" t="str">
        <f t="shared" si="8092"/>
        <v>0</v>
      </c>
      <c r="I4112" s="1" t="str">
        <f t="shared" si="8092"/>
        <v>0</v>
      </c>
      <c r="J4112" s="1" t="str">
        <f t="shared" si="8092"/>
        <v>0</v>
      </c>
      <c r="K4112" s="1" t="str">
        <f t="shared" si="8092"/>
        <v>0</v>
      </c>
      <c r="L4112" s="1" t="str">
        <f t="shared" si="8092"/>
        <v>0</v>
      </c>
      <c r="M4112" s="1" t="str">
        <f t="shared" si="8092"/>
        <v>0</v>
      </c>
      <c r="N4112" s="1" t="str">
        <f t="shared" si="8092"/>
        <v>0</v>
      </c>
      <c r="O4112" s="1" t="str">
        <f t="shared" si="8092"/>
        <v>0</v>
      </c>
      <c r="P4112" s="1" t="str">
        <f t="shared" si="8092"/>
        <v>0</v>
      </c>
      <c r="Q4112" s="1" t="str">
        <f t="shared" si="8073"/>
        <v>0.0070</v>
      </c>
      <c r="R4112" s="1" t="s">
        <v>25</v>
      </c>
      <c r="T4112" s="1" t="str">
        <f t="shared" si="8074"/>
        <v>0</v>
      </c>
      <c r="U4112" s="1" t="str">
        <f t="shared" si="8088"/>
        <v>0.0070</v>
      </c>
    </row>
    <row r="4113" s="1" customFormat="1" spans="1:21">
      <c r="A4113" s="1" t="str">
        <f>"4601992089834"</f>
        <v>4601992089834</v>
      </c>
      <c r="B4113" s="1" t="s">
        <v>4136</v>
      </c>
      <c r="C4113" s="1" t="s">
        <v>24</v>
      </c>
      <c r="D4113" s="1" t="str">
        <f t="shared" si="8071"/>
        <v>2021</v>
      </c>
      <c r="E4113" s="1" t="str">
        <f>"35.94"</f>
        <v>35.94</v>
      </c>
      <c r="F4113" s="1" t="str">
        <f t="shared" ref="F4113:I4113" si="8093">"0"</f>
        <v>0</v>
      </c>
      <c r="G4113" s="1" t="str">
        <f t="shared" si="8093"/>
        <v>0</v>
      </c>
      <c r="H4113" s="1" t="str">
        <f t="shared" si="8093"/>
        <v>0</v>
      </c>
      <c r="I4113" s="1" t="str">
        <f t="shared" si="8093"/>
        <v>0</v>
      </c>
      <c r="J4113" s="1" t="str">
        <f>"8"</f>
        <v>8</v>
      </c>
      <c r="K4113" s="1" t="str">
        <f t="shared" ref="K4113:P4113" si="8094">"0"</f>
        <v>0</v>
      </c>
      <c r="L4113" s="1" t="str">
        <f t="shared" si="8094"/>
        <v>0</v>
      </c>
      <c r="M4113" s="1" t="str">
        <f t="shared" si="8094"/>
        <v>0</v>
      </c>
      <c r="N4113" s="1" t="str">
        <f t="shared" si="8094"/>
        <v>0</v>
      </c>
      <c r="O4113" s="1" t="str">
        <f t="shared" si="8094"/>
        <v>0</v>
      </c>
      <c r="P4113" s="1" t="str">
        <f t="shared" si="8094"/>
        <v>0</v>
      </c>
      <c r="Q4113" s="1" t="str">
        <f t="shared" si="8073"/>
        <v>0.0070</v>
      </c>
      <c r="R4113" s="1" t="s">
        <v>29</v>
      </c>
      <c r="S4113" s="1">
        <v>-0.0014</v>
      </c>
      <c r="T4113" s="1" t="str">
        <f t="shared" si="8074"/>
        <v>0</v>
      </c>
      <c r="U4113" s="1" t="str">
        <f>"0.0056"</f>
        <v>0.0056</v>
      </c>
    </row>
    <row r="4114" s="1" customFormat="1" spans="1:21">
      <c r="A4114" s="1" t="str">
        <f>"4601992090055"</f>
        <v>4601992090055</v>
      </c>
      <c r="B4114" s="1" t="s">
        <v>4137</v>
      </c>
      <c r="C4114" s="1" t="s">
        <v>24</v>
      </c>
      <c r="D4114" s="1" t="str">
        <f t="shared" si="8071"/>
        <v>2021</v>
      </c>
      <c r="E4114" s="1" t="str">
        <f t="shared" ref="E4114:P4114" si="8095">"0"</f>
        <v>0</v>
      </c>
      <c r="F4114" s="1" t="str">
        <f t="shared" si="8095"/>
        <v>0</v>
      </c>
      <c r="G4114" s="1" t="str">
        <f t="shared" si="8095"/>
        <v>0</v>
      </c>
      <c r="H4114" s="1" t="str">
        <f t="shared" si="8095"/>
        <v>0</v>
      </c>
      <c r="I4114" s="1" t="str">
        <f t="shared" si="8095"/>
        <v>0</v>
      </c>
      <c r="J4114" s="1" t="str">
        <f t="shared" si="8095"/>
        <v>0</v>
      </c>
      <c r="K4114" s="1" t="str">
        <f t="shared" si="8095"/>
        <v>0</v>
      </c>
      <c r="L4114" s="1" t="str">
        <f t="shared" si="8095"/>
        <v>0</v>
      </c>
      <c r="M4114" s="1" t="str">
        <f t="shared" si="8095"/>
        <v>0</v>
      </c>
      <c r="N4114" s="1" t="str">
        <f t="shared" si="8095"/>
        <v>0</v>
      </c>
      <c r="O4114" s="1" t="str">
        <f t="shared" si="8095"/>
        <v>0</v>
      </c>
      <c r="P4114" s="1" t="str">
        <f t="shared" si="8095"/>
        <v>0</v>
      </c>
      <c r="Q4114" s="1" t="str">
        <f t="shared" si="8073"/>
        <v>0.0070</v>
      </c>
      <c r="R4114" s="1" t="s">
        <v>25</v>
      </c>
      <c r="T4114" s="1" t="str">
        <f t="shared" si="8074"/>
        <v>0</v>
      </c>
      <c r="U4114" s="1" t="str">
        <f t="shared" ref="U4114:U4126" si="8096">"0.0070"</f>
        <v>0.0070</v>
      </c>
    </row>
    <row r="4115" s="1" customFormat="1" spans="1:21">
      <c r="A4115" s="1" t="str">
        <f>"4601992090144"</f>
        <v>4601992090144</v>
      </c>
      <c r="B4115" s="1" t="s">
        <v>4138</v>
      </c>
      <c r="C4115" s="1" t="s">
        <v>24</v>
      </c>
      <c r="D4115" s="1" t="str">
        <f t="shared" si="8071"/>
        <v>2021</v>
      </c>
      <c r="E4115" s="1" t="str">
        <f t="shared" ref="E4115:P4115" si="8097">"0"</f>
        <v>0</v>
      </c>
      <c r="F4115" s="1" t="str">
        <f t="shared" si="8097"/>
        <v>0</v>
      </c>
      <c r="G4115" s="1" t="str">
        <f t="shared" si="8097"/>
        <v>0</v>
      </c>
      <c r="H4115" s="1" t="str">
        <f t="shared" si="8097"/>
        <v>0</v>
      </c>
      <c r="I4115" s="1" t="str">
        <f t="shared" si="8097"/>
        <v>0</v>
      </c>
      <c r="J4115" s="1" t="str">
        <f t="shared" si="8097"/>
        <v>0</v>
      </c>
      <c r="K4115" s="1" t="str">
        <f t="shared" si="8097"/>
        <v>0</v>
      </c>
      <c r="L4115" s="1" t="str">
        <f t="shared" si="8097"/>
        <v>0</v>
      </c>
      <c r="M4115" s="1" t="str">
        <f t="shared" si="8097"/>
        <v>0</v>
      </c>
      <c r="N4115" s="1" t="str">
        <f t="shared" si="8097"/>
        <v>0</v>
      </c>
      <c r="O4115" s="1" t="str">
        <f t="shared" si="8097"/>
        <v>0</v>
      </c>
      <c r="P4115" s="1" t="str">
        <f t="shared" si="8097"/>
        <v>0</v>
      </c>
      <c r="Q4115" s="1" t="str">
        <f t="shared" si="8073"/>
        <v>0.0070</v>
      </c>
      <c r="R4115" s="1" t="s">
        <v>25</v>
      </c>
      <c r="T4115" s="1" t="str">
        <f t="shared" si="8074"/>
        <v>0</v>
      </c>
      <c r="U4115" s="1" t="str">
        <f t="shared" si="8096"/>
        <v>0.0070</v>
      </c>
    </row>
    <row r="4116" s="1" customFormat="1" spans="1:21">
      <c r="A4116" s="1" t="str">
        <f>"4601992090203"</f>
        <v>4601992090203</v>
      </c>
      <c r="B4116" s="1" t="s">
        <v>4139</v>
      </c>
      <c r="C4116" s="1" t="s">
        <v>24</v>
      </c>
      <c r="D4116" s="1" t="str">
        <f t="shared" si="8071"/>
        <v>2021</v>
      </c>
      <c r="E4116" s="1" t="str">
        <f t="shared" ref="E4116:P4116" si="8098">"0"</f>
        <v>0</v>
      </c>
      <c r="F4116" s="1" t="str">
        <f t="shared" si="8098"/>
        <v>0</v>
      </c>
      <c r="G4116" s="1" t="str">
        <f t="shared" si="8098"/>
        <v>0</v>
      </c>
      <c r="H4116" s="1" t="str">
        <f t="shared" si="8098"/>
        <v>0</v>
      </c>
      <c r="I4116" s="1" t="str">
        <f t="shared" si="8098"/>
        <v>0</v>
      </c>
      <c r="J4116" s="1" t="str">
        <f t="shared" si="8098"/>
        <v>0</v>
      </c>
      <c r="K4116" s="1" t="str">
        <f t="shared" si="8098"/>
        <v>0</v>
      </c>
      <c r="L4116" s="1" t="str">
        <f t="shared" si="8098"/>
        <v>0</v>
      </c>
      <c r="M4116" s="1" t="str">
        <f t="shared" si="8098"/>
        <v>0</v>
      </c>
      <c r="N4116" s="1" t="str">
        <f t="shared" si="8098"/>
        <v>0</v>
      </c>
      <c r="O4116" s="1" t="str">
        <f t="shared" si="8098"/>
        <v>0</v>
      </c>
      <c r="P4116" s="1" t="str">
        <f t="shared" si="8098"/>
        <v>0</v>
      </c>
      <c r="Q4116" s="1" t="str">
        <f t="shared" si="8073"/>
        <v>0.0070</v>
      </c>
      <c r="R4116" s="1" t="s">
        <v>25</v>
      </c>
      <c r="T4116" s="1" t="str">
        <f t="shared" si="8074"/>
        <v>0</v>
      </c>
      <c r="U4116" s="1" t="str">
        <f t="shared" si="8096"/>
        <v>0.0070</v>
      </c>
    </row>
    <row r="4117" s="1" customFormat="1" spans="1:21">
      <c r="A4117" s="1" t="str">
        <f>"4601992090463"</f>
        <v>4601992090463</v>
      </c>
      <c r="B4117" s="1" t="s">
        <v>4140</v>
      </c>
      <c r="C4117" s="1" t="s">
        <v>24</v>
      </c>
      <c r="D4117" s="1" t="str">
        <f t="shared" si="8071"/>
        <v>2021</v>
      </c>
      <c r="E4117" s="1" t="str">
        <f t="shared" ref="E4117:P4117" si="8099">"0"</f>
        <v>0</v>
      </c>
      <c r="F4117" s="1" t="str">
        <f t="shared" si="8099"/>
        <v>0</v>
      </c>
      <c r="G4117" s="1" t="str">
        <f t="shared" si="8099"/>
        <v>0</v>
      </c>
      <c r="H4117" s="1" t="str">
        <f t="shared" si="8099"/>
        <v>0</v>
      </c>
      <c r="I4117" s="1" t="str">
        <f t="shared" si="8099"/>
        <v>0</v>
      </c>
      <c r="J4117" s="1" t="str">
        <f t="shared" si="8099"/>
        <v>0</v>
      </c>
      <c r="K4117" s="1" t="str">
        <f t="shared" si="8099"/>
        <v>0</v>
      </c>
      <c r="L4117" s="1" t="str">
        <f t="shared" si="8099"/>
        <v>0</v>
      </c>
      <c r="M4117" s="1" t="str">
        <f t="shared" si="8099"/>
        <v>0</v>
      </c>
      <c r="N4117" s="1" t="str">
        <f t="shared" si="8099"/>
        <v>0</v>
      </c>
      <c r="O4117" s="1" t="str">
        <f t="shared" si="8099"/>
        <v>0</v>
      </c>
      <c r="P4117" s="1" t="str">
        <f t="shared" si="8099"/>
        <v>0</v>
      </c>
      <c r="Q4117" s="1" t="str">
        <f t="shared" si="8073"/>
        <v>0.0070</v>
      </c>
      <c r="R4117" s="1" t="s">
        <v>25</v>
      </c>
      <c r="T4117" s="1" t="str">
        <f t="shared" si="8074"/>
        <v>0</v>
      </c>
      <c r="U4117" s="1" t="str">
        <f t="shared" si="8096"/>
        <v>0.0070</v>
      </c>
    </row>
    <row r="4118" s="1" customFormat="1" spans="1:21">
      <c r="A4118" s="1" t="str">
        <f>"4601992090412"</f>
        <v>4601992090412</v>
      </c>
      <c r="B4118" s="1" t="s">
        <v>4141</v>
      </c>
      <c r="C4118" s="1" t="s">
        <v>24</v>
      </c>
      <c r="D4118" s="1" t="str">
        <f t="shared" si="8071"/>
        <v>2021</v>
      </c>
      <c r="E4118" s="1" t="str">
        <f t="shared" ref="E4118:P4118" si="8100">"0"</f>
        <v>0</v>
      </c>
      <c r="F4118" s="1" t="str">
        <f t="shared" si="8100"/>
        <v>0</v>
      </c>
      <c r="G4118" s="1" t="str">
        <f t="shared" si="8100"/>
        <v>0</v>
      </c>
      <c r="H4118" s="1" t="str">
        <f t="shared" si="8100"/>
        <v>0</v>
      </c>
      <c r="I4118" s="1" t="str">
        <f t="shared" si="8100"/>
        <v>0</v>
      </c>
      <c r="J4118" s="1" t="str">
        <f t="shared" si="8100"/>
        <v>0</v>
      </c>
      <c r="K4118" s="1" t="str">
        <f t="shared" si="8100"/>
        <v>0</v>
      </c>
      <c r="L4118" s="1" t="str">
        <f t="shared" si="8100"/>
        <v>0</v>
      </c>
      <c r="M4118" s="1" t="str">
        <f t="shared" si="8100"/>
        <v>0</v>
      </c>
      <c r="N4118" s="1" t="str">
        <f t="shared" si="8100"/>
        <v>0</v>
      </c>
      <c r="O4118" s="1" t="str">
        <f t="shared" si="8100"/>
        <v>0</v>
      </c>
      <c r="P4118" s="1" t="str">
        <f t="shared" si="8100"/>
        <v>0</v>
      </c>
      <c r="Q4118" s="1" t="str">
        <f t="shared" si="8073"/>
        <v>0.0070</v>
      </c>
      <c r="R4118" s="1" t="s">
        <v>25</v>
      </c>
      <c r="T4118" s="1" t="str">
        <f t="shared" si="8074"/>
        <v>0</v>
      </c>
      <c r="U4118" s="1" t="str">
        <f t="shared" si="8096"/>
        <v>0.0070</v>
      </c>
    </row>
    <row r="4119" s="1" customFormat="1" spans="1:21">
      <c r="A4119" s="1" t="str">
        <f>"4601992090473"</f>
        <v>4601992090473</v>
      </c>
      <c r="B4119" s="1" t="s">
        <v>4142</v>
      </c>
      <c r="C4119" s="1" t="s">
        <v>24</v>
      </c>
      <c r="D4119" s="1" t="str">
        <f t="shared" si="8071"/>
        <v>2021</v>
      </c>
      <c r="E4119" s="1" t="str">
        <f t="shared" ref="E4119:P4119" si="8101">"0"</f>
        <v>0</v>
      </c>
      <c r="F4119" s="1" t="str">
        <f t="shared" si="8101"/>
        <v>0</v>
      </c>
      <c r="G4119" s="1" t="str">
        <f t="shared" si="8101"/>
        <v>0</v>
      </c>
      <c r="H4119" s="1" t="str">
        <f t="shared" si="8101"/>
        <v>0</v>
      </c>
      <c r="I4119" s="1" t="str">
        <f t="shared" si="8101"/>
        <v>0</v>
      </c>
      <c r="J4119" s="1" t="str">
        <f t="shared" si="8101"/>
        <v>0</v>
      </c>
      <c r="K4119" s="1" t="str">
        <f t="shared" si="8101"/>
        <v>0</v>
      </c>
      <c r="L4119" s="1" t="str">
        <f t="shared" si="8101"/>
        <v>0</v>
      </c>
      <c r="M4119" s="1" t="str">
        <f t="shared" si="8101"/>
        <v>0</v>
      </c>
      <c r="N4119" s="1" t="str">
        <f t="shared" si="8101"/>
        <v>0</v>
      </c>
      <c r="O4119" s="1" t="str">
        <f t="shared" si="8101"/>
        <v>0</v>
      </c>
      <c r="P4119" s="1" t="str">
        <f t="shared" si="8101"/>
        <v>0</v>
      </c>
      <c r="Q4119" s="1" t="str">
        <f t="shared" si="8073"/>
        <v>0.0070</v>
      </c>
      <c r="R4119" s="1" t="s">
        <v>25</v>
      </c>
      <c r="T4119" s="1" t="str">
        <f t="shared" si="8074"/>
        <v>0</v>
      </c>
      <c r="U4119" s="1" t="str">
        <f t="shared" si="8096"/>
        <v>0.0070</v>
      </c>
    </row>
    <row r="4120" s="1" customFormat="1" spans="1:21">
      <c r="A4120" s="1" t="str">
        <f>"4601992090554"</f>
        <v>4601992090554</v>
      </c>
      <c r="B4120" s="1" t="s">
        <v>4143</v>
      </c>
      <c r="C4120" s="1" t="s">
        <v>24</v>
      </c>
      <c r="D4120" s="1" t="str">
        <f t="shared" si="8071"/>
        <v>2021</v>
      </c>
      <c r="E4120" s="1" t="str">
        <f t="shared" ref="E4120:P4120" si="8102">"0"</f>
        <v>0</v>
      </c>
      <c r="F4120" s="1" t="str">
        <f t="shared" si="8102"/>
        <v>0</v>
      </c>
      <c r="G4120" s="1" t="str">
        <f t="shared" si="8102"/>
        <v>0</v>
      </c>
      <c r="H4120" s="1" t="str">
        <f t="shared" si="8102"/>
        <v>0</v>
      </c>
      <c r="I4120" s="1" t="str">
        <f t="shared" si="8102"/>
        <v>0</v>
      </c>
      <c r="J4120" s="1" t="str">
        <f t="shared" si="8102"/>
        <v>0</v>
      </c>
      <c r="K4120" s="1" t="str">
        <f t="shared" si="8102"/>
        <v>0</v>
      </c>
      <c r="L4120" s="1" t="str">
        <f t="shared" si="8102"/>
        <v>0</v>
      </c>
      <c r="M4120" s="1" t="str">
        <f t="shared" si="8102"/>
        <v>0</v>
      </c>
      <c r="N4120" s="1" t="str">
        <f t="shared" si="8102"/>
        <v>0</v>
      </c>
      <c r="O4120" s="1" t="str">
        <f t="shared" si="8102"/>
        <v>0</v>
      </c>
      <c r="P4120" s="1" t="str">
        <f t="shared" si="8102"/>
        <v>0</v>
      </c>
      <c r="Q4120" s="1" t="str">
        <f t="shared" si="8073"/>
        <v>0.0070</v>
      </c>
      <c r="R4120" s="1" t="s">
        <v>25</v>
      </c>
      <c r="T4120" s="1" t="str">
        <f t="shared" si="8074"/>
        <v>0</v>
      </c>
      <c r="U4120" s="1" t="str">
        <f t="shared" si="8096"/>
        <v>0.0070</v>
      </c>
    </row>
    <row r="4121" s="1" customFormat="1" spans="1:21">
      <c r="A4121" s="1" t="str">
        <f>"4601992090505"</f>
        <v>4601992090505</v>
      </c>
      <c r="B4121" s="1" t="s">
        <v>4144</v>
      </c>
      <c r="C4121" s="1" t="s">
        <v>24</v>
      </c>
      <c r="D4121" s="1" t="str">
        <f t="shared" si="8071"/>
        <v>2021</v>
      </c>
      <c r="E4121" s="1" t="str">
        <f t="shared" ref="E4121:P4121" si="8103">"0"</f>
        <v>0</v>
      </c>
      <c r="F4121" s="1" t="str">
        <f t="shared" si="8103"/>
        <v>0</v>
      </c>
      <c r="G4121" s="1" t="str">
        <f t="shared" si="8103"/>
        <v>0</v>
      </c>
      <c r="H4121" s="1" t="str">
        <f t="shared" si="8103"/>
        <v>0</v>
      </c>
      <c r="I4121" s="1" t="str">
        <f t="shared" si="8103"/>
        <v>0</v>
      </c>
      <c r="J4121" s="1" t="str">
        <f t="shared" si="8103"/>
        <v>0</v>
      </c>
      <c r="K4121" s="1" t="str">
        <f t="shared" si="8103"/>
        <v>0</v>
      </c>
      <c r="L4121" s="1" t="str">
        <f t="shared" si="8103"/>
        <v>0</v>
      </c>
      <c r="M4121" s="1" t="str">
        <f t="shared" si="8103"/>
        <v>0</v>
      </c>
      <c r="N4121" s="1" t="str">
        <f t="shared" si="8103"/>
        <v>0</v>
      </c>
      <c r="O4121" s="1" t="str">
        <f t="shared" si="8103"/>
        <v>0</v>
      </c>
      <c r="P4121" s="1" t="str">
        <f t="shared" si="8103"/>
        <v>0</v>
      </c>
      <c r="Q4121" s="1" t="str">
        <f t="shared" si="8073"/>
        <v>0.0070</v>
      </c>
      <c r="R4121" s="1" t="s">
        <v>25</v>
      </c>
      <c r="T4121" s="1" t="str">
        <f t="shared" si="8074"/>
        <v>0</v>
      </c>
      <c r="U4121" s="1" t="str">
        <f t="shared" si="8096"/>
        <v>0.0070</v>
      </c>
    </row>
    <row r="4122" s="1" customFormat="1" spans="1:21">
      <c r="A4122" s="1" t="str">
        <f>"4601992090562"</f>
        <v>4601992090562</v>
      </c>
      <c r="B4122" s="1" t="s">
        <v>4145</v>
      </c>
      <c r="C4122" s="1" t="s">
        <v>24</v>
      </c>
      <c r="D4122" s="1" t="str">
        <f t="shared" si="8071"/>
        <v>2021</v>
      </c>
      <c r="E4122" s="1" t="str">
        <f t="shared" ref="E4122:P4122" si="8104">"0"</f>
        <v>0</v>
      </c>
      <c r="F4122" s="1" t="str">
        <f t="shared" si="8104"/>
        <v>0</v>
      </c>
      <c r="G4122" s="1" t="str">
        <f t="shared" si="8104"/>
        <v>0</v>
      </c>
      <c r="H4122" s="1" t="str">
        <f t="shared" si="8104"/>
        <v>0</v>
      </c>
      <c r="I4122" s="1" t="str">
        <f t="shared" si="8104"/>
        <v>0</v>
      </c>
      <c r="J4122" s="1" t="str">
        <f t="shared" si="8104"/>
        <v>0</v>
      </c>
      <c r="K4122" s="1" t="str">
        <f t="shared" si="8104"/>
        <v>0</v>
      </c>
      <c r="L4122" s="1" t="str">
        <f t="shared" si="8104"/>
        <v>0</v>
      </c>
      <c r="M4122" s="1" t="str">
        <f t="shared" si="8104"/>
        <v>0</v>
      </c>
      <c r="N4122" s="1" t="str">
        <f t="shared" si="8104"/>
        <v>0</v>
      </c>
      <c r="O4122" s="1" t="str">
        <f t="shared" si="8104"/>
        <v>0</v>
      </c>
      <c r="P4122" s="1" t="str">
        <f t="shared" si="8104"/>
        <v>0</v>
      </c>
      <c r="Q4122" s="1" t="str">
        <f t="shared" si="8073"/>
        <v>0.0070</v>
      </c>
      <c r="R4122" s="1" t="s">
        <v>25</v>
      </c>
      <c r="T4122" s="1" t="str">
        <f t="shared" si="8074"/>
        <v>0</v>
      </c>
      <c r="U4122" s="1" t="str">
        <f t="shared" si="8096"/>
        <v>0.0070</v>
      </c>
    </row>
    <row r="4123" s="1" customFormat="1" spans="1:21">
      <c r="A4123" s="1" t="str">
        <f>"4601992090615"</f>
        <v>4601992090615</v>
      </c>
      <c r="B4123" s="1" t="s">
        <v>4146</v>
      </c>
      <c r="C4123" s="1" t="s">
        <v>24</v>
      </c>
      <c r="D4123" s="1" t="str">
        <f t="shared" si="8071"/>
        <v>2021</v>
      </c>
      <c r="E4123" s="1" t="str">
        <f t="shared" ref="E4123:P4123" si="8105">"0"</f>
        <v>0</v>
      </c>
      <c r="F4123" s="1" t="str">
        <f t="shared" si="8105"/>
        <v>0</v>
      </c>
      <c r="G4123" s="1" t="str">
        <f t="shared" si="8105"/>
        <v>0</v>
      </c>
      <c r="H4123" s="1" t="str">
        <f t="shared" si="8105"/>
        <v>0</v>
      </c>
      <c r="I4123" s="1" t="str">
        <f t="shared" si="8105"/>
        <v>0</v>
      </c>
      <c r="J4123" s="1" t="str">
        <f t="shared" si="8105"/>
        <v>0</v>
      </c>
      <c r="K4123" s="1" t="str">
        <f t="shared" si="8105"/>
        <v>0</v>
      </c>
      <c r="L4123" s="1" t="str">
        <f t="shared" si="8105"/>
        <v>0</v>
      </c>
      <c r="M4123" s="1" t="str">
        <f t="shared" si="8105"/>
        <v>0</v>
      </c>
      <c r="N4123" s="1" t="str">
        <f t="shared" si="8105"/>
        <v>0</v>
      </c>
      <c r="O4123" s="1" t="str">
        <f t="shared" si="8105"/>
        <v>0</v>
      </c>
      <c r="P4123" s="1" t="str">
        <f t="shared" si="8105"/>
        <v>0</v>
      </c>
      <c r="Q4123" s="1" t="str">
        <f t="shared" si="8073"/>
        <v>0.0070</v>
      </c>
      <c r="R4123" s="1" t="s">
        <v>25</v>
      </c>
      <c r="T4123" s="1" t="str">
        <f t="shared" si="8074"/>
        <v>0</v>
      </c>
      <c r="U4123" s="1" t="str">
        <f t="shared" si="8096"/>
        <v>0.0070</v>
      </c>
    </row>
    <row r="4124" s="1" customFormat="1" spans="1:21">
      <c r="A4124" s="1" t="str">
        <f>"4601992090660"</f>
        <v>4601992090660</v>
      </c>
      <c r="B4124" s="1" t="s">
        <v>4147</v>
      </c>
      <c r="C4124" s="1" t="s">
        <v>24</v>
      </c>
      <c r="D4124" s="1" t="str">
        <f t="shared" si="8071"/>
        <v>2021</v>
      </c>
      <c r="E4124" s="1" t="str">
        <f t="shared" ref="E4124:P4124" si="8106">"0"</f>
        <v>0</v>
      </c>
      <c r="F4124" s="1" t="str">
        <f t="shared" si="8106"/>
        <v>0</v>
      </c>
      <c r="G4124" s="1" t="str">
        <f t="shared" si="8106"/>
        <v>0</v>
      </c>
      <c r="H4124" s="1" t="str">
        <f t="shared" si="8106"/>
        <v>0</v>
      </c>
      <c r="I4124" s="1" t="str">
        <f t="shared" si="8106"/>
        <v>0</v>
      </c>
      <c r="J4124" s="1" t="str">
        <f t="shared" si="8106"/>
        <v>0</v>
      </c>
      <c r="K4124" s="1" t="str">
        <f t="shared" si="8106"/>
        <v>0</v>
      </c>
      <c r="L4124" s="1" t="str">
        <f t="shared" si="8106"/>
        <v>0</v>
      </c>
      <c r="M4124" s="1" t="str">
        <f t="shared" si="8106"/>
        <v>0</v>
      </c>
      <c r="N4124" s="1" t="str">
        <f t="shared" si="8106"/>
        <v>0</v>
      </c>
      <c r="O4124" s="1" t="str">
        <f t="shared" si="8106"/>
        <v>0</v>
      </c>
      <c r="P4124" s="1" t="str">
        <f t="shared" si="8106"/>
        <v>0</v>
      </c>
      <c r="Q4124" s="1" t="str">
        <f t="shared" si="8073"/>
        <v>0.0070</v>
      </c>
      <c r="R4124" s="1" t="s">
        <v>25</v>
      </c>
      <c r="T4124" s="1" t="str">
        <f t="shared" si="8074"/>
        <v>0</v>
      </c>
      <c r="U4124" s="1" t="str">
        <f t="shared" si="8096"/>
        <v>0.0070</v>
      </c>
    </row>
    <row r="4125" s="1" customFormat="1" spans="1:21">
      <c r="A4125" s="1" t="str">
        <f>"4601992090621"</f>
        <v>4601992090621</v>
      </c>
      <c r="B4125" s="1" t="s">
        <v>4148</v>
      </c>
      <c r="C4125" s="1" t="s">
        <v>24</v>
      </c>
      <c r="D4125" s="1" t="str">
        <f t="shared" si="8071"/>
        <v>2021</v>
      </c>
      <c r="E4125" s="1" t="str">
        <f t="shared" ref="E4125:P4125" si="8107">"0"</f>
        <v>0</v>
      </c>
      <c r="F4125" s="1" t="str">
        <f t="shared" si="8107"/>
        <v>0</v>
      </c>
      <c r="G4125" s="1" t="str">
        <f t="shared" si="8107"/>
        <v>0</v>
      </c>
      <c r="H4125" s="1" t="str">
        <f t="shared" si="8107"/>
        <v>0</v>
      </c>
      <c r="I4125" s="1" t="str">
        <f t="shared" si="8107"/>
        <v>0</v>
      </c>
      <c r="J4125" s="1" t="str">
        <f t="shared" si="8107"/>
        <v>0</v>
      </c>
      <c r="K4125" s="1" t="str">
        <f t="shared" si="8107"/>
        <v>0</v>
      </c>
      <c r="L4125" s="1" t="str">
        <f t="shared" si="8107"/>
        <v>0</v>
      </c>
      <c r="M4125" s="1" t="str">
        <f t="shared" si="8107"/>
        <v>0</v>
      </c>
      <c r="N4125" s="1" t="str">
        <f t="shared" si="8107"/>
        <v>0</v>
      </c>
      <c r="O4125" s="1" t="str">
        <f t="shared" si="8107"/>
        <v>0</v>
      </c>
      <c r="P4125" s="1" t="str">
        <f t="shared" si="8107"/>
        <v>0</v>
      </c>
      <c r="Q4125" s="1" t="str">
        <f t="shared" si="8073"/>
        <v>0.0070</v>
      </c>
      <c r="R4125" s="1" t="s">
        <v>25</v>
      </c>
      <c r="T4125" s="1" t="str">
        <f t="shared" si="8074"/>
        <v>0</v>
      </c>
      <c r="U4125" s="1" t="str">
        <f t="shared" si="8096"/>
        <v>0.0070</v>
      </c>
    </row>
    <row r="4126" s="1" customFormat="1" spans="1:21">
      <c r="A4126" s="1" t="str">
        <f>"4601992090670"</f>
        <v>4601992090670</v>
      </c>
      <c r="B4126" s="1" t="s">
        <v>4149</v>
      </c>
      <c r="C4126" s="1" t="s">
        <v>24</v>
      </c>
      <c r="D4126" s="1" t="str">
        <f t="shared" si="8071"/>
        <v>2021</v>
      </c>
      <c r="E4126" s="1" t="str">
        <f t="shared" ref="E4126:P4126" si="8108">"0"</f>
        <v>0</v>
      </c>
      <c r="F4126" s="1" t="str">
        <f t="shared" si="8108"/>
        <v>0</v>
      </c>
      <c r="G4126" s="1" t="str">
        <f t="shared" si="8108"/>
        <v>0</v>
      </c>
      <c r="H4126" s="1" t="str">
        <f t="shared" si="8108"/>
        <v>0</v>
      </c>
      <c r="I4126" s="1" t="str">
        <f t="shared" si="8108"/>
        <v>0</v>
      </c>
      <c r="J4126" s="1" t="str">
        <f t="shared" si="8108"/>
        <v>0</v>
      </c>
      <c r="K4126" s="1" t="str">
        <f t="shared" si="8108"/>
        <v>0</v>
      </c>
      <c r="L4126" s="1" t="str">
        <f t="shared" si="8108"/>
        <v>0</v>
      </c>
      <c r="M4126" s="1" t="str">
        <f t="shared" si="8108"/>
        <v>0</v>
      </c>
      <c r="N4126" s="1" t="str">
        <f t="shared" si="8108"/>
        <v>0</v>
      </c>
      <c r="O4126" s="1" t="str">
        <f t="shared" si="8108"/>
        <v>0</v>
      </c>
      <c r="P4126" s="1" t="str">
        <f t="shared" si="8108"/>
        <v>0</v>
      </c>
      <c r="Q4126" s="1" t="str">
        <f t="shared" si="8073"/>
        <v>0.0070</v>
      </c>
      <c r="R4126" s="1" t="s">
        <v>25</v>
      </c>
      <c r="T4126" s="1" t="str">
        <f t="shared" si="8074"/>
        <v>0</v>
      </c>
      <c r="U4126" s="1" t="str">
        <f t="shared" si="8096"/>
        <v>0.0070</v>
      </c>
    </row>
    <row r="4127" s="1" customFormat="1" spans="1:21">
      <c r="A4127" s="1" t="str">
        <f>"4601992090637"</f>
        <v>4601992090637</v>
      </c>
      <c r="B4127" s="1" t="s">
        <v>4150</v>
      </c>
      <c r="C4127" s="1" t="s">
        <v>24</v>
      </c>
      <c r="D4127" s="1" t="str">
        <f t="shared" si="8071"/>
        <v>2021</v>
      </c>
      <c r="E4127" s="1" t="str">
        <f>"23.96"</f>
        <v>23.96</v>
      </c>
      <c r="F4127" s="1" t="str">
        <f t="shared" ref="F4127:I4127" si="8109">"0"</f>
        <v>0</v>
      </c>
      <c r="G4127" s="1" t="str">
        <f t="shared" si="8109"/>
        <v>0</v>
      </c>
      <c r="H4127" s="1" t="str">
        <f t="shared" si="8109"/>
        <v>0</v>
      </c>
      <c r="I4127" s="1" t="str">
        <f t="shared" si="8109"/>
        <v>0</v>
      </c>
      <c r="J4127" s="1" t="str">
        <f>"2"</f>
        <v>2</v>
      </c>
      <c r="K4127" s="1" t="str">
        <f t="shared" ref="K4127:P4127" si="8110">"0"</f>
        <v>0</v>
      </c>
      <c r="L4127" s="1" t="str">
        <f t="shared" si="8110"/>
        <v>0</v>
      </c>
      <c r="M4127" s="1" t="str">
        <f t="shared" si="8110"/>
        <v>0</v>
      </c>
      <c r="N4127" s="1" t="str">
        <f t="shared" si="8110"/>
        <v>0</v>
      </c>
      <c r="O4127" s="1" t="str">
        <f t="shared" si="8110"/>
        <v>0</v>
      </c>
      <c r="P4127" s="1" t="str">
        <f t="shared" si="8110"/>
        <v>0</v>
      </c>
      <c r="Q4127" s="1" t="str">
        <f t="shared" si="8073"/>
        <v>0.0070</v>
      </c>
      <c r="R4127" s="1" t="s">
        <v>29</v>
      </c>
      <c r="S4127" s="1">
        <v>-0.0014</v>
      </c>
      <c r="T4127" s="1" t="str">
        <f t="shared" si="8074"/>
        <v>0</v>
      </c>
      <c r="U4127" s="1" t="str">
        <f>"0.0056"</f>
        <v>0.0056</v>
      </c>
    </row>
    <row r="4128" s="1" customFormat="1" spans="1:21">
      <c r="A4128" s="1" t="str">
        <f>"4601992090814"</f>
        <v>4601992090814</v>
      </c>
      <c r="B4128" s="1" t="s">
        <v>4151</v>
      </c>
      <c r="C4128" s="1" t="s">
        <v>24</v>
      </c>
      <c r="D4128" s="1" t="str">
        <f t="shared" si="8071"/>
        <v>2021</v>
      </c>
      <c r="E4128" s="1" t="str">
        <f t="shared" ref="E4128:P4128" si="8111">"0"</f>
        <v>0</v>
      </c>
      <c r="F4128" s="1" t="str">
        <f t="shared" si="8111"/>
        <v>0</v>
      </c>
      <c r="G4128" s="1" t="str">
        <f t="shared" si="8111"/>
        <v>0</v>
      </c>
      <c r="H4128" s="1" t="str">
        <f t="shared" si="8111"/>
        <v>0</v>
      </c>
      <c r="I4128" s="1" t="str">
        <f t="shared" si="8111"/>
        <v>0</v>
      </c>
      <c r="J4128" s="1" t="str">
        <f t="shared" si="8111"/>
        <v>0</v>
      </c>
      <c r="K4128" s="1" t="str">
        <f t="shared" si="8111"/>
        <v>0</v>
      </c>
      <c r="L4128" s="1" t="str">
        <f t="shared" si="8111"/>
        <v>0</v>
      </c>
      <c r="M4128" s="1" t="str">
        <f t="shared" si="8111"/>
        <v>0</v>
      </c>
      <c r="N4128" s="1" t="str">
        <f t="shared" si="8111"/>
        <v>0</v>
      </c>
      <c r="O4128" s="1" t="str">
        <f t="shared" si="8111"/>
        <v>0</v>
      </c>
      <c r="P4128" s="1" t="str">
        <f t="shared" si="8111"/>
        <v>0</v>
      </c>
      <c r="Q4128" s="1" t="str">
        <f t="shared" si="8073"/>
        <v>0.0070</v>
      </c>
      <c r="R4128" s="1" t="s">
        <v>25</v>
      </c>
      <c r="T4128" s="1" t="str">
        <f t="shared" si="8074"/>
        <v>0</v>
      </c>
      <c r="U4128" s="1" t="str">
        <f t="shared" ref="U4128:U4138" si="8112">"0.0070"</f>
        <v>0.0070</v>
      </c>
    </row>
    <row r="4129" s="1" customFormat="1" spans="1:21">
      <c r="A4129" s="1" t="str">
        <f>"4601992090682"</f>
        <v>4601992090682</v>
      </c>
      <c r="B4129" s="1" t="s">
        <v>4152</v>
      </c>
      <c r="C4129" s="1" t="s">
        <v>24</v>
      </c>
      <c r="D4129" s="1" t="str">
        <f t="shared" si="8071"/>
        <v>2021</v>
      </c>
      <c r="E4129" s="1" t="str">
        <f t="shared" ref="E4129:P4129" si="8113">"0"</f>
        <v>0</v>
      </c>
      <c r="F4129" s="1" t="str">
        <f t="shared" si="8113"/>
        <v>0</v>
      </c>
      <c r="G4129" s="1" t="str">
        <f t="shared" si="8113"/>
        <v>0</v>
      </c>
      <c r="H4129" s="1" t="str">
        <f t="shared" si="8113"/>
        <v>0</v>
      </c>
      <c r="I4129" s="1" t="str">
        <f t="shared" si="8113"/>
        <v>0</v>
      </c>
      <c r="J4129" s="1" t="str">
        <f t="shared" si="8113"/>
        <v>0</v>
      </c>
      <c r="K4129" s="1" t="str">
        <f t="shared" si="8113"/>
        <v>0</v>
      </c>
      <c r="L4129" s="1" t="str">
        <f t="shared" si="8113"/>
        <v>0</v>
      </c>
      <c r="M4129" s="1" t="str">
        <f t="shared" si="8113"/>
        <v>0</v>
      </c>
      <c r="N4129" s="1" t="str">
        <f t="shared" si="8113"/>
        <v>0</v>
      </c>
      <c r="O4129" s="1" t="str">
        <f t="shared" si="8113"/>
        <v>0</v>
      </c>
      <c r="P4129" s="1" t="str">
        <f t="shared" si="8113"/>
        <v>0</v>
      </c>
      <c r="Q4129" s="1" t="str">
        <f t="shared" si="8073"/>
        <v>0.0070</v>
      </c>
      <c r="R4129" s="1" t="s">
        <v>25</v>
      </c>
      <c r="T4129" s="1" t="str">
        <f t="shared" si="8074"/>
        <v>0</v>
      </c>
      <c r="U4129" s="1" t="str">
        <f t="shared" si="8112"/>
        <v>0.0070</v>
      </c>
    </row>
    <row r="4130" s="1" customFormat="1" spans="1:21">
      <c r="A4130" s="1" t="str">
        <f>"4601992090723"</f>
        <v>4601992090723</v>
      </c>
      <c r="B4130" s="1" t="s">
        <v>4153</v>
      </c>
      <c r="C4130" s="1" t="s">
        <v>24</v>
      </c>
      <c r="D4130" s="1" t="str">
        <f t="shared" si="8071"/>
        <v>2021</v>
      </c>
      <c r="E4130" s="1" t="str">
        <f t="shared" ref="E4130:P4130" si="8114">"0"</f>
        <v>0</v>
      </c>
      <c r="F4130" s="1" t="str">
        <f t="shared" si="8114"/>
        <v>0</v>
      </c>
      <c r="G4130" s="1" t="str">
        <f t="shared" si="8114"/>
        <v>0</v>
      </c>
      <c r="H4130" s="1" t="str">
        <f t="shared" si="8114"/>
        <v>0</v>
      </c>
      <c r="I4130" s="1" t="str">
        <f t="shared" si="8114"/>
        <v>0</v>
      </c>
      <c r="J4130" s="1" t="str">
        <f t="shared" si="8114"/>
        <v>0</v>
      </c>
      <c r="K4130" s="1" t="str">
        <f t="shared" si="8114"/>
        <v>0</v>
      </c>
      <c r="L4130" s="1" t="str">
        <f t="shared" si="8114"/>
        <v>0</v>
      </c>
      <c r="M4130" s="1" t="str">
        <f t="shared" si="8114"/>
        <v>0</v>
      </c>
      <c r="N4130" s="1" t="str">
        <f t="shared" si="8114"/>
        <v>0</v>
      </c>
      <c r="O4130" s="1" t="str">
        <f t="shared" si="8114"/>
        <v>0</v>
      </c>
      <c r="P4130" s="1" t="str">
        <f t="shared" si="8114"/>
        <v>0</v>
      </c>
      <c r="Q4130" s="1" t="str">
        <f t="shared" si="8073"/>
        <v>0.0070</v>
      </c>
      <c r="R4130" s="1" t="s">
        <v>25</v>
      </c>
      <c r="T4130" s="1" t="str">
        <f t="shared" si="8074"/>
        <v>0</v>
      </c>
      <c r="U4130" s="1" t="str">
        <f t="shared" si="8112"/>
        <v>0.0070</v>
      </c>
    </row>
    <row r="4131" s="1" customFormat="1" spans="1:21">
      <c r="A4131" s="1" t="str">
        <f>"4601992090892"</f>
        <v>4601992090892</v>
      </c>
      <c r="B4131" s="1" t="s">
        <v>4154</v>
      </c>
      <c r="C4131" s="1" t="s">
        <v>24</v>
      </c>
      <c r="D4131" s="1" t="str">
        <f t="shared" si="8071"/>
        <v>2021</v>
      </c>
      <c r="E4131" s="1" t="str">
        <f t="shared" ref="E4131:P4131" si="8115">"0"</f>
        <v>0</v>
      </c>
      <c r="F4131" s="1" t="str">
        <f t="shared" si="8115"/>
        <v>0</v>
      </c>
      <c r="G4131" s="1" t="str">
        <f t="shared" si="8115"/>
        <v>0</v>
      </c>
      <c r="H4131" s="1" t="str">
        <f t="shared" si="8115"/>
        <v>0</v>
      </c>
      <c r="I4131" s="1" t="str">
        <f t="shared" si="8115"/>
        <v>0</v>
      </c>
      <c r="J4131" s="1" t="str">
        <f t="shared" si="8115"/>
        <v>0</v>
      </c>
      <c r="K4131" s="1" t="str">
        <f t="shared" si="8115"/>
        <v>0</v>
      </c>
      <c r="L4131" s="1" t="str">
        <f t="shared" si="8115"/>
        <v>0</v>
      </c>
      <c r="M4131" s="1" t="str">
        <f t="shared" si="8115"/>
        <v>0</v>
      </c>
      <c r="N4131" s="1" t="str">
        <f t="shared" si="8115"/>
        <v>0</v>
      </c>
      <c r="O4131" s="1" t="str">
        <f t="shared" si="8115"/>
        <v>0</v>
      </c>
      <c r="P4131" s="1" t="str">
        <f t="shared" si="8115"/>
        <v>0</v>
      </c>
      <c r="Q4131" s="1" t="str">
        <f t="shared" si="8073"/>
        <v>0.0070</v>
      </c>
      <c r="R4131" s="1" t="s">
        <v>25</v>
      </c>
      <c r="T4131" s="1" t="str">
        <f t="shared" si="8074"/>
        <v>0</v>
      </c>
      <c r="U4131" s="1" t="str">
        <f t="shared" si="8112"/>
        <v>0.0070</v>
      </c>
    </row>
    <row r="4132" s="1" customFormat="1" spans="1:21">
      <c r="A4132" s="1" t="str">
        <f>"4601992090929"</f>
        <v>4601992090929</v>
      </c>
      <c r="B4132" s="1" t="s">
        <v>4155</v>
      </c>
      <c r="C4132" s="1" t="s">
        <v>24</v>
      </c>
      <c r="D4132" s="1" t="str">
        <f t="shared" si="8071"/>
        <v>2021</v>
      </c>
      <c r="E4132" s="1" t="str">
        <f t="shared" ref="E4132:P4132" si="8116">"0"</f>
        <v>0</v>
      </c>
      <c r="F4132" s="1" t="str">
        <f t="shared" si="8116"/>
        <v>0</v>
      </c>
      <c r="G4132" s="1" t="str">
        <f t="shared" si="8116"/>
        <v>0</v>
      </c>
      <c r="H4132" s="1" t="str">
        <f t="shared" si="8116"/>
        <v>0</v>
      </c>
      <c r="I4132" s="1" t="str">
        <f t="shared" si="8116"/>
        <v>0</v>
      </c>
      <c r="J4132" s="1" t="str">
        <f t="shared" si="8116"/>
        <v>0</v>
      </c>
      <c r="K4132" s="1" t="str">
        <f t="shared" si="8116"/>
        <v>0</v>
      </c>
      <c r="L4132" s="1" t="str">
        <f t="shared" si="8116"/>
        <v>0</v>
      </c>
      <c r="M4132" s="1" t="str">
        <f t="shared" si="8116"/>
        <v>0</v>
      </c>
      <c r="N4132" s="1" t="str">
        <f t="shared" si="8116"/>
        <v>0</v>
      </c>
      <c r="O4132" s="1" t="str">
        <f t="shared" si="8116"/>
        <v>0</v>
      </c>
      <c r="P4132" s="1" t="str">
        <f t="shared" si="8116"/>
        <v>0</v>
      </c>
      <c r="Q4132" s="1" t="str">
        <f t="shared" si="8073"/>
        <v>0.0070</v>
      </c>
      <c r="R4132" s="1" t="s">
        <v>25</v>
      </c>
      <c r="T4132" s="1" t="str">
        <f t="shared" si="8074"/>
        <v>0</v>
      </c>
      <c r="U4132" s="1" t="str">
        <f t="shared" si="8112"/>
        <v>0.0070</v>
      </c>
    </row>
    <row r="4133" s="1" customFormat="1" spans="1:21">
      <c r="A4133" s="1" t="str">
        <f>"4601992090951"</f>
        <v>4601992090951</v>
      </c>
      <c r="B4133" s="1" t="s">
        <v>4156</v>
      </c>
      <c r="C4133" s="1" t="s">
        <v>24</v>
      </c>
      <c r="D4133" s="1" t="str">
        <f t="shared" si="8071"/>
        <v>2021</v>
      </c>
      <c r="E4133" s="1" t="str">
        <f t="shared" ref="E4133:P4133" si="8117">"0"</f>
        <v>0</v>
      </c>
      <c r="F4133" s="1" t="str">
        <f t="shared" si="8117"/>
        <v>0</v>
      </c>
      <c r="G4133" s="1" t="str">
        <f t="shared" si="8117"/>
        <v>0</v>
      </c>
      <c r="H4133" s="1" t="str">
        <f t="shared" si="8117"/>
        <v>0</v>
      </c>
      <c r="I4133" s="1" t="str">
        <f t="shared" si="8117"/>
        <v>0</v>
      </c>
      <c r="J4133" s="1" t="str">
        <f t="shared" si="8117"/>
        <v>0</v>
      </c>
      <c r="K4133" s="1" t="str">
        <f t="shared" si="8117"/>
        <v>0</v>
      </c>
      <c r="L4133" s="1" t="str">
        <f t="shared" si="8117"/>
        <v>0</v>
      </c>
      <c r="M4133" s="1" t="str">
        <f t="shared" si="8117"/>
        <v>0</v>
      </c>
      <c r="N4133" s="1" t="str">
        <f t="shared" si="8117"/>
        <v>0</v>
      </c>
      <c r="O4133" s="1" t="str">
        <f t="shared" si="8117"/>
        <v>0</v>
      </c>
      <c r="P4133" s="1" t="str">
        <f t="shared" si="8117"/>
        <v>0</v>
      </c>
      <c r="Q4133" s="1" t="str">
        <f t="shared" si="8073"/>
        <v>0.0070</v>
      </c>
      <c r="R4133" s="1" t="s">
        <v>25</v>
      </c>
      <c r="T4133" s="1" t="str">
        <f t="shared" si="8074"/>
        <v>0</v>
      </c>
      <c r="U4133" s="1" t="str">
        <f t="shared" si="8112"/>
        <v>0.0070</v>
      </c>
    </row>
    <row r="4134" s="1" customFormat="1" spans="1:21">
      <c r="A4134" s="1" t="str">
        <f>"4601992090947"</f>
        <v>4601992090947</v>
      </c>
      <c r="B4134" s="1" t="s">
        <v>4157</v>
      </c>
      <c r="C4134" s="1" t="s">
        <v>24</v>
      </c>
      <c r="D4134" s="1" t="str">
        <f t="shared" si="8071"/>
        <v>2021</v>
      </c>
      <c r="E4134" s="1" t="str">
        <f t="shared" ref="E4134:P4134" si="8118">"0"</f>
        <v>0</v>
      </c>
      <c r="F4134" s="1" t="str">
        <f t="shared" si="8118"/>
        <v>0</v>
      </c>
      <c r="G4134" s="1" t="str">
        <f t="shared" si="8118"/>
        <v>0</v>
      </c>
      <c r="H4134" s="1" t="str">
        <f t="shared" si="8118"/>
        <v>0</v>
      </c>
      <c r="I4134" s="1" t="str">
        <f t="shared" si="8118"/>
        <v>0</v>
      </c>
      <c r="J4134" s="1" t="str">
        <f t="shared" si="8118"/>
        <v>0</v>
      </c>
      <c r="K4134" s="1" t="str">
        <f t="shared" si="8118"/>
        <v>0</v>
      </c>
      <c r="L4134" s="1" t="str">
        <f t="shared" si="8118"/>
        <v>0</v>
      </c>
      <c r="M4134" s="1" t="str">
        <f t="shared" si="8118"/>
        <v>0</v>
      </c>
      <c r="N4134" s="1" t="str">
        <f t="shared" si="8118"/>
        <v>0</v>
      </c>
      <c r="O4134" s="1" t="str">
        <f t="shared" si="8118"/>
        <v>0</v>
      </c>
      <c r="P4134" s="1" t="str">
        <f t="shared" si="8118"/>
        <v>0</v>
      </c>
      <c r="Q4134" s="1" t="str">
        <f t="shared" si="8073"/>
        <v>0.0070</v>
      </c>
      <c r="R4134" s="1" t="s">
        <v>25</v>
      </c>
      <c r="T4134" s="1" t="str">
        <f t="shared" si="8074"/>
        <v>0</v>
      </c>
      <c r="U4134" s="1" t="str">
        <f t="shared" si="8112"/>
        <v>0.0070</v>
      </c>
    </row>
    <row r="4135" s="1" customFormat="1" spans="1:21">
      <c r="A4135" s="1" t="str">
        <f>"4601992091133"</f>
        <v>4601992091133</v>
      </c>
      <c r="B4135" s="1" t="s">
        <v>4158</v>
      </c>
      <c r="C4135" s="1" t="s">
        <v>24</v>
      </c>
      <c r="D4135" s="1" t="str">
        <f t="shared" si="8071"/>
        <v>2021</v>
      </c>
      <c r="E4135" s="1" t="str">
        <f t="shared" ref="E4135:P4135" si="8119">"0"</f>
        <v>0</v>
      </c>
      <c r="F4135" s="1" t="str">
        <f t="shared" si="8119"/>
        <v>0</v>
      </c>
      <c r="G4135" s="1" t="str">
        <f t="shared" si="8119"/>
        <v>0</v>
      </c>
      <c r="H4135" s="1" t="str">
        <f t="shared" si="8119"/>
        <v>0</v>
      </c>
      <c r="I4135" s="1" t="str">
        <f t="shared" si="8119"/>
        <v>0</v>
      </c>
      <c r="J4135" s="1" t="str">
        <f t="shared" si="8119"/>
        <v>0</v>
      </c>
      <c r="K4135" s="1" t="str">
        <f t="shared" si="8119"/>
        <v>0</v>
      </c>
      <c r="L4135" s="1" t="str">
        <f t="shared" si="8119"/>
        <v>0</v>
      </c>
      <c r="M4135" s="1" t="str">
        <f t="shared" si="8119"/>
        <v>0</v>
      </c>
      <c r="N4135" s="1" t="str">
        <f t="shared" si="8119"/>
        <v>0</v>
      </c>
      <c r="O4135" s="1" t="str">
        <f t="shared" si="8119"/>
        <v>0</v>
      </c>
      <c r="P4135" s="1" t="str">
        <f t="shared" si="8119"/>
        <v>0</v>
      </c>
      <c r="Q4135" s="1" t="str">
        <f t="shared" si="8073"/>
        <v>0.0070</v>
      </c>
      <c r="R4135" s="1" t="s">
        <v>25</v>
      </c>
      <c r="T4135" s="1" t="str">
        <f t="shared" si="8074"/>
        <v>0</v>
      </c>
      <c r="U4135" s="1" t="str">
        <f t="shared" si="8112"/>
        <v>0.0070</v>
      </c>
    </row>
    <row r="4136" s="1" customFormat="1" spans="1:21">
      <c r="A4136" s="1" t="str">
        <f>"4601992091045"</f>
        <v>4601992091045</v>
      </c>
      <c r="B4136" s="1" t="s">
        <v>4159</v>
      </c>
      <c r="C4136" s="1" t="s">
        <v>24</v>
      </c>
      <c r="D4136" s="1" t="str">
        <f t="shared" si="8071"/>
        <v>2021</v>
      </c>
      <c r="E4136" s="1" t="str">
        <f t="shared" ref="E4136:P4136" si="8120">"0"</f>
        <v>0</v>
      </c>
      <c r="F4136" s="1" t="str">
        <f t="shared" si="8120"/>
        <v>0</v>
      </c>
      <c r="G4136" s="1" t="str">
        <f t="shared" si="8120"/>
        <v>0</v>
      </c>
      <c r="H4136" s="1" t="str">
        <f t="shared" si="8120"/>
        <v>0</v>
      </c>
      <c r="I4136" s="1" t="str">
        <f t="shared" si="8120"/>
        <v>0</v>
      </c>
      <c r="J4136" s="1" t="str">
        <f t="shared" si="8120"/>
        <v>0</v>
      </c>
      <c r="K4136" s="1" t="str">
        <f t="shared" si="8120"/>
        <v>0</v>
      </c>
      <c r="L4136" s="1" t="str">
        <f t="shared" si="8120"/>
        <v>0</v>
      </c>
      <c r="M4136" s="1" t="str">
        <f t="shared" si="8120"/>
        <v>0</v>
      </c>
      <c r="N4136" s="1" t="str">
        <f t="shared" si="8120"/>
        <v>0</v>
      </c>
      <c r="O4136" s="1" t="str">
        <f t="shared" si="8120"/>
        <v>0</v>
      </c>
      <c r="P4136" s="1" t="str">
        <f t="shared" si="8120"/>
        <v>0</v>
      </c>
      <c r="Q4136" s="1" t="str">
        <f t="shared" si="8073"/>
        <v>0.0070</v>
      </c>
      <c r="R4136" s="1" t="s">
        <v>25</v>
      </c>
      <c r="T4136" s="1" t="str">
        <f t="shared" si="8074"/>
        <v>0</v>
      </c>
      <c r="U4136" s="1" t="str">
        <f t="shared" si="8112"/>
        <v>0.0070</v>
      </c>
    </row>
    <row r="4137" s="1" customFormat="1" spans="1:21">
      <c r="A4137" s="1" t="str">
        <f>"4601992091079"</f>
        <v>4601992091079</v>
      </c>
      <c r="B4137" s="1" t="s">
        <v>4160</v>
      </c>
      <c r="C4137" s="1" t="s">
        <v>24</v>
      </c>
      <c r="D4137" s="1" t="str">
        <f t="shared" si="8071"/>
        <v>2021</v>
      </c>
      <c r="E4137" s="1" t="str">
        <f t="shared" ref="E4137:P4137" si="8121">"0"</f>
        <v>0</v>
      </c>
      <c r="F4137" s="1" t="str">
        <f t="shared" si="8121"/>
        <v>0</v>
      </c>
      <c r="G4137" s="1" t="str">
        <f t="shared" si="8121"/>
        <v>0</v>
      </c>
      <c r="H4137" s="1" t="str">
        <f t="shared" si="8121"/>
        <v>0</v>
      </c>
      <c r="I4137" s="1" t="str">
        <f t="shared" si="8121"/>
        <v>0</v>
      </c>
      <c r="J4137" s="1" t="str">
        <f t="shared" si="8121"/>
        <v>0</v>
      </c>
      <c r="K4137" s="1" t="str">
        <f t="shared" si="8121"/>
        <v>0</v>
      </c>
      <c r="L4137" s="1" t="str">
        <f t="shared" si="8121"/>
        <v>0</v>
      </c>
      <c r="M4137" s="1" t="str">
        <f t="shared" si="8121"/>
        <v>0</v>
      </c>
      <c r="N4137" s="1" t="str">
        <f t="shared" si="8121"/>
        <v>0</v>
      </c>
      <c r="O4137" s="1" t="str">
        <f t="shared" si="8121"/>
        <v>0</v>
      </c>
      <c r="P4137" s="1" t="str">
        <f t="shared" si="8121"/>
        <v>0</v>
      </c>
      <c r="Q4137" s="1" t="str">
        <f t="shared" si="8073"/>
        <v>0.0070</v>
      </c>
      <c r="R4137" s="1" t="s">
        <v>25</v>
      </c>
      <c r="T4137" s="1" t="str">
        <f t="shared" si="8074"/>
        <v>0</v>
      </c>
      <c r="U4137" s="1" t="str">
        <f t="shared" si="8112"/>
        <v>0.0070</v>
      </c>
    </row>
    <row r="4138" s="1" customFormat="1" spans="1:21">
      <c r="A4138" s="1" t="str">
        <f>"4601992091144"</f>
        <v>4601992091144</v>
      </c>
      <c r="B4138" s="1" t="s">
        <v>4161</v>
      </c>
      <c r="C4138" s="1" t="s">
        <v>24</v>
      </c>
      <c r="D4138" s="1" t="str">
        <f t="shared" si="8071"/>
        <v>2021</v>
      </c>
      <c r="E4138" s="1" t="str">
        <f t="shared" ref="E4138:P4138" si="8122">"0"</f>
        <v>0</v>
      </c>
      <c r="F4138" s="1" t="str">
        <f t="shared" si="8122"/>
        <v>0</v>
      </c>
      <c r="G4138" s="1" t="str">
        <f t="shared" si="8122"/>
        <v>0</v>
      </c>
      <c r="H4138" s="1" t="str">
        <f t="shared" si="8122"/>
        <v>0</v>
      </c>
      <c r="I4138" s="1" t="str">
        <f t="shared" si="8122"/>
        <v>0</v>
      </c>
      <c r="J4138" s="1" t="str">
        <f t="shared" si="8122"/>
        <v>0</v>
      </c>
      <c r="K4138" s="1" t="str">
        <f t="shared" si="8122"/>
        <v>0</v>
      </c>
      <c r="L4138" s="1" t="str">
        <f t="shared" si="8122"/>
        <v>0</v>
      </c>
      <c r="M4138" s="1" t="str">
        <f t="shared" si="8122"/>
        <v>0</v>
      </c>
      <c r="N4138" s="1" t="str">
        <f t="shared" si="8122"/>
        <v>0</v>
      </c>
      <c r="O4138" s="1" t="str">
        <f t="shared" si="8122"/>
        <v>0</v>
      </c>
      <c r="P4138" s="1" t="str">
        <f t="shared" si="8122"/>
        <v>0</v>
      </c>
      <c r="Q4138" s="1" t="str">
        <f t="shared" si="8073"/>
        <v>0.0070</v>
      </c>
      <c r="R4138" s="1" t="s">
        <v>25</v>
      </c>
      <c r="T4138" s="1" t="str">
        <f t="shared" si="8074"/>
        <v>0</v>
      </c>
      <c r="U4138" s="1" t="str">
        <f t="shared" si="8112"/>
        <v>0.0070</v>
      </c>
    </row>
    <row r="4139" s="1" customFormat="1" spans="1:21">
      <c r="A4139" s="1" t="str">
        <f>"4601992091119"</f>
        <v>4601992091119</v>
      </c>
      <c r="B4139" s="1" t="s">
        <v>4162</v>
      </c>
      <c r="C4139" s="1" t="s">
        <v>24</v>
      </c>
      <c r="D4139" s="1" t="str">
        <f t="shared" si="8071"/>
        <v>2021</v>
      </c>
      <c r="E4139" s="1" t="str">
        <f>"24.30"</f>
        <v>24.30</v>
      </c>
      <c r="F4139" s="1" t="str">
        <f t="shared" ref="F4139:I4139" si="8123">"0"</f>
        <v>0</v>
      </c>
      <c r="G4139" s="1" t="str">
        <f t="shared" si="8123"/>
        <v>0</v>
      </c>
      <c r="H4139" s="1" t="str">
        <f t="shared" si="8123"/>
        <v>0</v>
      </c>
      <c r="I4139" s="1" t="str">
        <f t="shared" si="8123"/>
        <v>0</v>
      </c>
      <c r="J4139" s="1" t="str">
        <f>"2"</f>
        <v>2</v>
      </c>
      <c r="K4139" s="1" t="str">
        <f t="shared" ref="K4139:P4139" si="8124">"0"</f>
        <v>0</v>
      </c>
      <c r="L4139" s="1" t="str">
        <f t="shared" si="8124"/>
        <v>0</v>
      </c>
      <c r="M4139" s="1" t="str">
        <f t="shared" si="8124"/>
        <v>0</v>
      </c>
      <c r="N4139" s="1" t="str">
        <f t="shared" si="8124"/>
        <v>0</v>
      </c>
      <c r="O4139" s="1" t="str">
        <f t="shared" si="8124"/>
        <v>0</v>
      </c>
      <c r="P4139" s="1" t="str">
        <f t="shared" si="8124"/>
        <v>0</v>
      </c>
      <c r="Q4139" s="1" t="str">
        <f t="shared" si="8073"/>
        <v>0.0070</v>
      </c>
      <c r="R4139" s="1" t="s">
        <v>29</v>
      </c>
      <c r="S4139" s="1">
        <v>-0.0014</v>
      </c>
      <c r="T4139" s="1" t="str">
        <f t="shared" si="8074"/>
        <v>0</v>
      </c>
      <c r="U4139" s="1" t="str">
        <f>"0.0056"</f>
        <v>0.0056</v>
      </c>
    </row>
    <row r="4140" s="1" customFormat="1" spans="1:21">
      <c r="A4140" s="1" t="str">
        <f>"4601992091212"</f>
        <v>4601992091212</v>
      </c>
      <c r="B4140" s="1" t="s">
        <v>4163</v>
      </c>
      <c r="C4140" s="1" t="s">
        <v>24</v>
      </c>
      <c r="D4140" s="1" t="str">
        <f t="shared" si="8071"/>
        <v>2021</v>
      </c>
      <c r="E4140" s="1" t="str">
        <f t="shared" ref="E4140:P4140" si="8125">"0"</f>
        <v>0</v>
      </c>
      <c r="F4140" s="1" t="str">
        <f t="shared" si="8125"/>
        <v>0</v>
      </c>
      <c r="G4140" s="1" t="str">
        <f t="shared" si="8125"/>
        <v>0</v>
      </c>
      <c r="H4140" s="1" t="str">
        <f t="shared" si="8125"/>
        <v>0</v>
      </c>
      <c r="I4140" s="1" t="str">
        <f t="shared" si="8125"/>
        <v>0</v>
      </c>
      <c r="J4140" s="1" t="str">
        <f t="shared" si="8125"/>
        <v>0</v>
      </c>
      <c r="K4140" s="1" t="str">
        <f t="shared" si="8125"/>
        <v>0</v>
      </c>
      <c r="L4140" s="1" t="str">
        <f t="shared" si="8125"/>
        <v>0</v>
      </c>
      <c r="M4140" s="1" t="str">
        <f t="shared" si="8125"/>
        <v>0</v>
      </c>
      <c r="N4140" s="1" t="str">
        <f t="shared" si="8125"/>
        <v>0</v>
      </c>
      <c r="O4140" s="1" t="str">
        <f t="shared" si="8125"/>
        <v>0</v>
      </c>
      <c r="P4140" s="1" t="str">
        <f t="shared" si="8125"/>
        <v>0</v>
      </c>
      <c r="Q4140" s="1" t="str">
        <f t="shared" si="8073"/>
        <v>0.0070</v>
      </c>
      <c r="R4140" s="1" t="s">
        <v>25</v>
      </c>
      <c r="T4140" s="1" t="str">
        <f t="shared" si="8074"/>
        <v>0</v>
      </c>
      <c r="U4140" s="1" t="str">
        <f t="shared" ref="U4140:U4145" si="8126">"0.0070"</f>
        <v>0.0070</v>
      </c>
    </row>
    <row r="4141" s="1" customFormat="1" spans="1:21">
      <c r="A4141" s="1" t="str">
        <f>"4601992091210"</f>
        <v>4601992091210</v>
      </c>
      <c r="B4141" s="1" t="s">
        <v>4164</v>
      </c>
      <c r="C4141" s="1" t="s">
        <v>24</v>
      </c>
      <c r="D4141" s="1" t="str">
        <f t="shared" si="8071"/>
        <v>2021</v>
      </c>
      <c r="E4141" s="1" t="str">
        <f t="shared" ref="E4141:P4141" si="8127">"0"</f>
        <v>0</v>
      </c>
      <c r="F4141" s="1" t="str">
        <f t="shared" si="8127"/>
        <v>0</v>
      </c>
      <c r="G4141" s="1" t="str">
        <f t="shared" si="8127"/>
        <v>0</v>
      </c>
      <c r="H4141" s="1" t="str">
        <f t="shared" si="8127"/>
        <v>0</v>
      </c>
      <c r="I4141" s="1" t="str">
        <f t="shared" si="8127"/>
        <v>0</v>
      </c>
      <c r="J4141" s="1" t="str">
        <f t="shared" si="8127"/>
        <v>0</v>
      </c>
      <c r="K4141" s="1" t="str">
        <f t="shared" si="8127"/>
        <v>0</v>
      </c>
      <c r="L4141" s="1" t="str">
        <f t="shared" si="8127"/>
        <v>0</v>
      </c>
      <c r="M4141" s="1" t="str">
        <f t="shared" si="8127"/>
        <v>0</v>
      </c>
      <c r="N4141" s="1" t="str">
        <f t="shared" si="8127"/>
        <v>0</v>
      </c>
      <c r="O4141" s="1" t="str">
        <f t="shared" si="8127"/>
        <v>0</v>
      </c>
      <c r="P4141" s="1" t="str">
        <f t="shared" si="8127"/>
        <v>0</v>
      </c>
      <c r="Q4141" s="1" t="str">
        <f t="shared" si="8073"/>
        <v>0.0070</v>
      </c>
      <c r="R4141" s="1" t="s">
        <v>25</v>
      </c>
      <c r="T4141" s="1" t="str">
        <f t="shared" si="8074"/>
        <v>0</v>
      </c>
      <c r="U4141" s="1" t="str">
        <f t="shared" si="8126"/>
        <v>0.0070</v>
      </c>
    </row>
    <row r="4142" s="1" customFormat="1" spans="1:21">
      <c r="A4142" s="1" t="str">
        <f>"4601992091242"</f>
        <v>4601992091242</v>
      </c>
      <c r="B4142" s="1" t="s">
        <v>4165</v>
      </c>
      <c r="C4142" s="1" t="s">
        <v>24</v>
      </c>
      <c r="D4142" s="1" t="str">
        <f t="shared" si="8071"/>
        <v>2021</v>
      </c>
      <c r="E4142" s="1" t="str">
        <f t="shared" ref="E4142:P4142" si="8128">"0"</f>
        <v>0</v>
      </c>
      <c r="F4142" s="1" t="str">
        <f t="shared" si="8128"/>
        <v>0</v>
      </c>
      <c r="G4142" s="1" t="str">
        <f t="shared" si="8128"/>
        <v>0</v>
      </c>
      <c r="H4142" s="1" t="str">
        <f t="shared" si="8128"/>
        <v>0</v>
      </c>
      <c r="I4142" s="1" t="str">
        <f t="shared" si="8128"/>
        <v>0</v>
      </c>
      <c r="J4142" s="1" t="str">
        <f t="shared" si="8128"/>
        <v>0</v>
      </c>
      <c r="K4142" s="1" t="str">
        <f t="shared" si="8128"/>
        <v>0</v>
      </c>
      <c r="L4142" s="1" t="str">
        <f t="shared" si="8128"/>
        <v>0</v>
      </c>
      <c r="M4142" s="1" t="str">
        <f t="shared" si="8128"/>
        <v>0</v>
      </c>
      <c r="N4142" s="1" t="str">
        <f t="shared" si="8128"/>
        <v>0</v>
      </c>
      <c r="O4142" s="1" t="str">
        <f t="shared" si="8128"/>
        <v>0</v>
      </c>
      <c r="P4142" s="1" t="str">
        <f t="shared" si="8128"/>
        <v>0</v>
      </c>
      <c r="Q4142" s="1" t="str">
        <f t="shared" si="8073"/>
        <v>0.0070</v>
      </c>
      <c r="R4142" s="1" t="s">
        <v>25</v>
      </c>
      <c r="T4142" s="1" t="str">
        <f t="shared" si="8074"/>
        <v>0</v>
      </c>
      <c r="U4142" s="1" t="str">
        <f t="shared" si="8126"/>
        <v>0.0070</v>
      </c>
    </row>
    <row r="4143" s="1" customFormat="1" spans="1:21">
      <c r="A4143" s="1" t="str">
        <f>"4601992091343"</f>
        <v>4601992091343</v>
      </c>
      <c r="B4143" s="1" t="s">
        <v>4166</v>
      </c>
      <c r="C4143" s="1" t="s">
        <v>24</v>
      </c>
      <c r="D4143" s="1" t="str">
        <f t="shared" si="8071"/>
        <v>2021</v>
      </c>
      <c r="E4143" s="1" t="str">
        <f t="shared" ref="E4143:P4143" si="8129">"0"</f>
        <v>0</v>
      </c>
      <c r="F4143" s="1" t="str">
        <f t="shared" si="8129"/>
        <v>0</v>
      </c>
      <c r="G4143" s="1" t="str">
        <f t="shared" si="8129"/>
        <v>0</v>
      </c>
      <c r="H4143" s="1" t="str">
        <f t="shared" si="8129"/>
        <v>0</v>
      </c>
      <c r="I4143" s="1" t="str">
        <f t="shared" si="8129"/>
        <v>0</v>
      </c>
      <c r="J4143" s="1" t="str">
        <f t="shared" si="8129"/>
        <v>0</v>
      </c>
      <c r="K4143" s="1" t="str">
        <f t="shared" si="8129"/>
        <v>0</v>
      </c>
      <c r="L4143" s="1" t="str">
        <f t="shared" si="8129"/>
        <v>0</v>
      </c>
      <c r="M4143" s="1" t="str">
        <f t="shared" si="8129"/>
        <v>0</v>
      </c>
      <c r="N4143" s="1" t="str">
        <f t="shared" si="8129"/>
        <v>0</v>
      </c>
      <c r="O4143" s="1" t="str">
        <f t="shared" si="8129"/>
        <v>0</v>
      </c>
      <c r="P4143" s="1" t="str">
        <f t="shared" si="8129"/>
        <v>0</v>
      </c>
      <c r="Q4143" s="1" t="str">
        <f t="shared" si="8073"/>
        <v>0.0070</v>
      </c>
      <c r="R4143" s="1" t="s">
        <v>25</v>
      </c>
      <c r="T4143" s="1" t="str">
        <f t="shared" si="8074"/>
        <v>0</v>
      </c>
      <c r="U4143" s="1" t="str">
        <f t="shared" si="8126"/>
        <v>0.0070</v>
      </c>
    </row>
    <row r="4144" s="1" customFormat="1" spans="1:21">
      <c r="A4144" s="1" t="str">
        <f>"4601992091366"</f>
        <v>4601992091366</v>
      </c>
      <c r="B4144" s="1" t="s">
        <v>4167</v>
      </c>
      <c r="C4144" s="1" t="s">
        <v>24</v>
      </c>
      <c r="D4144" s="1" t="str">
        <f t="shared" si="8071"/>
        <v>2021</v>
      </c>
      <c r="E4144" s="1" t="str">
        <f t="shared" ref="E4144:P4144" si="8130">"0"</f>
        <v>0</v>
      </c>
      <c r="F4144" s="1" t="str">
        <f t="shared" si="8130"/>
        <v>0</v>
      </c>
      <c r="G4144" s="1" t="str">
        <f t="shared" si="8130"/>
        <v>0</v>
      </c>
      <c r="H4144" s="1" t="str">
        <f t="shared" si="8130"/>
        <v>0</v>
      </c>
      <c r="I4144" s="1" t="str">
        <f t="shared" si="8130"/>
        <v>0</v>
      </c>
      <c r="J4144" s="1" t="str">
        <f t="shared" si="8130"/>
        <v>0</v>
      </c>
      <c r="K4144" s="1" t="str">
        <f t="shared" si="8130"/>
        <v>0</v>
      </c>
      <c r="L4144" s="1" t="str">
        <f t="shared" si="8130"/>
        <v>0</v>
      </c>
      <c r="M4144" s="1" t="str">
        <f t="shared" si="8130"/>
        <v>0</v>
      </c>
      <c r="N4144" s="1" t="str">
        <f t="shared" si="8130"/>
        <v>0</v>
      </c>
      <c r="O4144" s="1" t="str">
        <f t="shared" si="8130"/>
        <v>0</v>
      </c>
      <c r="P4144" s="1" t="str">
        <f t="shared" si="8130"/>
        <v>0</v>
      </c>
      <c r="Q4144" s="1" t="str">
        <f t="shared" si="8073"/>
        <v>0.0070</v>
      </c>
      <c r="R4144" s="1" t="s">
        <v>25</v>
      </c>
      <c r="T4144" s="1" t="str">
        <f t="shared" si="8074"/>
        <v>0</v>
      </c>
      <c r="U4144" s="1" t="str">
        <f t="shared" si="8126"/>
        <v>0.0070</v>
      </c>
    </row>
    <row r="4145" s="1" customFormat="1" spans="1:21">
      <c r="A4145" s="1" t="str">
        <f>"4601992091464"</f>
        <v>4601992091464</v>
      </c>
      <c r="B4145" s="1" t="s">
        <v>4168</v>
      </c>
      <c r="C4145" s="1" t="s">
        <v>24</v>
      </c>
      <c r="D4145" s="1" t="str">
        <f t="shared" si="8071"/>
        <v>2021</v>
      </c>
      <c r="E4145" s="1" t="str">
        <f t="shared" ref="E4145:P4145" si="8131">"0"</f>
        <v>0</v>
      </c>
      <c r="F4145" s="1" t="str">
        <f t="shared" si="8131"/>
        <v>0</v>
      </c>
      <c r="G4145" s="1" t="str">
        <f t="shared" si="8131"/>
        <v>0</v>
      </c>
      <c r="H4145" s="1" t="str">
        <f t="shared" si="8131"/>
        <v>0</v>
      </c>
      <c r="I4145" s="1" t="str">
        <f t="shared" si="8131"/>
        <v>0</v>
      </c>
      <c r="J4145" s="1" t="str">
        <f t="shared" si="8131"/>
        <v>0</v>
      </c>
      <c r="K4145" s="1" t="str">
        <f t="shared" si="8131"/>
        <v>0</v>
      </c>
      <c r="L4145" s="1" t="str">
        <f t="shared" si="8131"/>
        <v>0</v>
      </c>
      <c r="M4145" s="1" t="str">
        <f t="shared" si="8131"/>
        <v>0</v>
      </c>
      <c r="N4145" s="1" t="str">
        <f t="shared" si="8131"/>
        <v>0</v>
      </c>
      <c r="O4145" s="1" t="str">
        <f t="shared" si="8131"/>
        <v>0</v>
      </c>
      <c r="P4145" s="1" t="str">
        <f t="shared" si="8131"/>
        <v>0</v>
      </c>
      <c r="Q4145" s="1" t="str">
        <f t="shared" si="8073"/>
        <v>0.0070</v>
      </c>
      <c r="R4145" s="1" t="s">
        <v>25</v>
      </c>
      <c r="T4145" s="1" t="str">
        <f t="shared" si="8074"/>
        <v>0</v>
      </c>
      <c r="U4145" s="1" t="str">
        <f t="shared" si="8126"/>
        <v>0.0070</v>
      </c>
    </row>
    <row r="4146" s="1" customFormat="1" spans="1:21">
      <c r="A4146" s="1" t="str">
        <f>"4601992091353"</f>
        <v>4601992091353</v>
      </c>
      <c r="B4146" s="1" t="s">
        <v>4169</v>
      </c>
      <c r="C4146" s="1" t="s">
        <v>24</v>
      </c>
      <c r="D4146" s="1" t="str">
        <f t="shared" si="8071"/>
        <v>2021</v>
      </c>
      <c r="E4146" s="1" t="str">
        <f>"24.18"</f>
        <v>24.18</v>
      </c>
      <c r="F4146" s="1" t="str">
        <f t="shared" ref="F4146:I4146" si="8132">"0"</f>
        <v>0</v>
      </c>
      <c r="G4146" s="1" t="str">
        <f t="shared" si="8132"/>
        <v>0</v>
      </c>
      <c r="H4146" s="1" t="str">
        <f t="shared" si="8132"/>
        <v>0</v>
      </c>
      <c r="I4146" s="1" t="str">
        <f t="shared" si="8132"/>
        <v>0</v>
      </c>
      <c r="J4146" s="1" t="str">
        <f>"3"</f>
        <v>3</v>
      </c>
      <c r="K4146" s="1" t="str">
        <f t="shared" ref="K4146:P4146" si="8133">"0"</f>
        <v>0</v>
      </c>
      <c r="L4146" s="1" t="str">
        <f t="shared" si="8133"/>
        <v>0</v>
      </c>
      <c r="M4146" s="1" t="str">
        <f t="shared" si="8133"/>
        <v>0</v>
      </c>
      <c r="N4146" s="1" t="str">
        <f t="shared" si="8133"/>
        <v>0</v>
      </c>
      <c r="O4146" s="1" t="str">
        <f t="shared" si="8133"/>
        <v>0</v>
      </c>
      <c r="P4146" s="1" t="str">
        <f t="shared" si="8133"/>
        <v>0</v>
      </c>
      <c r="Q4146" s="1" t="str">
        <f t="shared" si="8073"/>
        <v>0.0070</v>
      </c>
      <c r="R4146" s="1" t="s">
        <v>29</v>
      </c>
      <c r="S4146" s="1">
        <v>-0.0014</v>
      </c>
      <c r="T4146" s="1" t="str">
        <f t="shared" si="8074"/>
        <v>0</v>
      </c>
      <c r="U4146" s="1" t="str">
        <f>"0.0056"</f>
        <v>0.0056</v>
      </c>
    </row>
    <row r="4147" s="1" customFormat="1" spans="1:21">
      <c r="A4147" s="1" t="str">
        <f>"4601992091414"</f>
        <v>4601992091414</v>
      </c>
      <c r="B4147" s="1" t="s">
        <v>4170</v>
      </c>
      <c r="C4147" s="1" t="s">
        <v>24</v>
      </c>
      <c r="D4147" s="1" t="str">
        <f t="shared" si="8071"/>
        <v>2021</v>
      </c>
      <c r="E4147" s="1" t="str">
        <f>"60.47"</f>
        <v>60.47</v>
      </c>
      <c r="F4147" s="1" t="str">
        <f t="shared" ref="F4147:I4147" si="8134">"0"</f>
        <v>0</v>
      </c>
      <c r="G4147" s="1" t="str">
        <f t="shared" si="8134"/>
        <v>0</v>
      </c>
      <c r="H4147" s="1" t="str">
        <f t="shared" si="8134"/>
        <v>0</v>
      </c>
      <c r="I4147" s="1" t="str">
        <f t="shared" si="8134"/>
        <v>0</v>
      </c>
      <c r="J4147" s="1" t="str">
        <f>"8"</f>
        <v>8</v>
      </c>
      <c r="K4147" s="1" t="str">
        <f t="shared" ref="K4147:P4147" si="8135">"0"</f>
        <v>0</v>
      </c>
      <c r="L4147" s="1" t="str">
        <f t="shared" si="8135"/>
        <v>0</v>
      </c>
      <c r="M4147" s="1" t="str">
        <f t="shared" si="8135"/>
        <v>0</v>
      </c>
      <c r="N4147" s="1" t="str">
        <f t="shared" si="8135"/>
        <v>0</v>
      </c>
      <c r="O4147" s="1" t="str">
        <f t="shared" si="8135"/>
        <v>0</v>
      </c>
      <c r="P4147" s="1" t="str">
        <f t="shared" si="8135"/>
        <v>0</v>
      </c>
      <c r="Q4147" s="1" t="str">
        <f t="shared" si="8073"/>
        <v>0.0070</v>
      </c>
      <c r="R4147" s="1" t="s">
        <v>29</v>
      </c>
      <c r="S4147" s="1">
        <v>-0.0014</v>
      </c>
      <c r="T4147" s="1" t="str">
        <f t="shared" si="8074"/>
        <v>0</v>
      </c>
      <c r="U4147" s="1" t="str">
        <f>"0.0056"</f>
        <v>0.0056</v>
      </c>
    </row>
    <row r="4148" s="1" customFormat="1" spans="1:21">
      <c r="A4148" s="1" t="str">
        <f>"4601992091740"</f>
        <v>4601992091740</v>
      </c>
      <c r="B4148" s="1" t="s">
        <v>4171</v>
      </c>
      <c r="C4148" s="1" t="s">
        <v>24</v>
      </c>
      <c r="D4148" s="1" t="str">
        <f t="shared" si="8071"/>
        <v>2021</v>
      </c>
      <c r="E4148" s="1" t="str">
        <f t="shared" ref="E4148:P4148" si="8136">"0"</f>
        <v>0</v>
      </c>
      <c r="F4148" s="1" t="str">
        <f t="shared" si="8136"/>
        <v>0</v>
      </c>
      <c r="G4148" s="1" t="str">
        <f t="shared" si="8136"/>
        <v>0</v>
      </c>
      <c r="H4148" s="1" t="str">
        <f t="shared" si="8136"/>
        <v>0</v>
      </c>
      <c r="I4148" s="1" t="str">
        <f t="shared" si="8136"/>
        <v>0</v>
      </c>
      <c r="J4148" s="1" t="str">
        <f t="shared" si="8136"/>
        <v>0</v>
      </c>
      <c r="K4148" s="1" t="str">
        <f t="shared" si="8136"/>
        <v>0</v>
      </c>
      <c r="L4148" s="1" t="str">
        <f t="shared" si="8136"/>
        <v>0</v>
      </c>
      <c r="M4148" s="1" t="str">
        <f t="shared" si="8136"/>
        <v>0</v>
      </c>
      <c r="N4148" s="1" t="str">
        <f t="shared" si="8136"/>
        <v>0</v>
      </c>
      <c r="O4148" s="1" t="str">
        <f t="shared" si="8136"/>
        <v>0</v>
      </c>
      <c r="P4148" s="1" t="str">
        <f t="shared" si="8136"/>
        <v>0</v>
      </c>
      <c r="Q4148" s="1" t="str">
        <f t="shared" si="8073"/>
        <v>0.0070</v>
      </c>
      <c r="R4148" s="1" t="s">
        <v>25</v>
      </c>
      <c r="T4148" s="1" t="str">
        <f t="shared" si="8074"/>
        <v>0</v>
      </c>
      <c r="U4148" s="1" t="str">
        <f t="shared" ref="U4148:U4161" si="8137">"0.0070"</f>
        <v>0.0070</v>
      </c>
    </row>
    <row r="4149" s="1" customFormat="1" spans="1:21">
      <c r="A4149" s="1" t="str">
        <f>"4601992091397"</f>
        <v>4601992091397</v>
      </c>
      <c r="B4149" s="1" t="s">
        <v>4172</v>
      </c>
      <c r="C4149" s="1" t="s">
        <v>24</v>
      </c>
      <c r="D4149" s="1" t="str">
        <f t="shared" si="8071"/>
        <v>2021</v>
      </c>
      <c r="E4149" s="1" t="str">
        <f t="shared" ref="E4149:I4149" si="8138">"0"</f>
        <v>0</v>
      </c>
      <c r="F4149" s="1" t="str">
        <f t="shared" si="8138"/>
        <v>0</v>
      </c>
      <c r="G4149" s="1" t="str">
        <f t="shared" si="8138"/>
        <v>0</v>
      </c>
      <c r="H4149" s="1" t="str">
        <f t="shared" si="8138"/>
        <v>0</v>
      </c>
      <c r="I4149" s="1" t="str">
        <f t="shared" si="8138"/>
        <v>0</v>
      </c>
      <c r="J4149" s="1" t="str">
        <f>"2"</f>
        <v>2</v>
      </c>
      <c r="K4149" s="1" t="str">
        <f t="shared" ref="K4149:P4149" si="8139">"0"</f>
        <v>0</v>
      </c>
      <c r="L4149" s="1" t="str">
        <f t="shared" si="8139"/>
        <v>0</v>
      </c>
      <c r="M4149" s="1" t="str">
        <f t="shared" si="8139"/>
        <v>0</v>
      </c>
      <c r="N4149" s="1" t="str">
        <f t="shared" si="8139"/>
        <v>0</v>
      </c>
      <c r="O4149" s="1" t="str">
        <f t="shared" si="8139"/>
        <v>0</v>
      </c>
      <c r="P4149" s="1" t="str">
        <f t="shared" si="8139"/>
        <v>0</v>
      </c>
      <c r="Q4149" s="1" t="str">
        <f t="shared" si="8073"/>
        <v>0.0070</v>
      </c>
      <c r="R4149" s="1" t="s">
        <v>25</v>
      </c>
      <c r="T4149" s="1" t="str">
        <f t="shared" si="8074"/>
        <v>0</v>
      </c>
      <c r="U4149" s="1" t="str">
        <f t="shared" si="8137"/>
        <v>0.0070</v>
      </c>
    </row>
    <row r="4150" s="1" customFormat="1" spans="1:21">
      <c r="A4150" s="1" t="str">
        <f>"4601992091799"</f>
        <v>4601992091799</v>
      </c>
      <c r="B4150" s="1" t="s">
        <v>4173</v>
      </c>
      <c r="C4150" s="1" t="s">
        <v>24</v>
      </c>
      <c r="D4150" s="1" t="str">
        <f t="shared" si="8071"/>
        <v>2021</v>
      </c>
      <c r="E4150" s="1" t="str">
        <f t="shared" ref="E4150:P4150" si="8140">"0"</f>
        <v>0</v>
      </c>
      <c r="F4150" s="1" t="str">
        <f t="shared" si="8140"/>
        <v>0</v>
      </c>
      <c r="G4150" s="1" t="str">
        <f t="shared" si="8140"/>
        <v>0</v>
      </c>
      <c r="H4150" s="1" t="str">
        <f t="shared" si="8140"/>
        <v>0</v>
      </c>
      <c r="I4150" s="1" t="str">
        <f t="shared" si="8140"/>
        <v>0</v>
      </c>
      <c r="J4150" s="1" t="str">
        <f t="shared" si="8140"/>
        <v>0</v>
      </c>
      <c r="K4150" s="1" t="str">
        <f t="shared" si="8140"/>
        <v>0</v>
      </c>
      <c r="L4150" s="1" t="str">
        <f t="shared" si="8140"/>
        <v>0</v>
      </c>
      <c r="M4150" s="1" t="str">
        <f t="shared" si="8140"/>
        <v>0</v>
      </c>
      <c r="N4150" s="1" t="str">
        <f t="shared" si="8140"/>
        <v>0</v>
      </c>
      <c r="O4150" s="1" t="str">
        <f t="shared" si="8140"/>
        <v>0</v>
      </c>
      <c r="P4150" s="1" t="str">
        <f t="shared" si="8140"/>
        <v>0</v>
      </c>
      <c r="Q4150" s="1" t="str">
        <f t="shared" si="8073"/>
        <v>0.0070</v>
      </c>
      <c r="R4150" s="1" t="s">
        <v>25</v>
      </c>
      <c r="T4150" s="1" t="str">
        <f t="shared" si="8074"/>
        <v>0</v>
      </c>
      <c r="U4150" s="1" t="str">
        <f t="shared" si="8137"/>
        <v>0.0070</v>
      </c>
    </row>
    <row r="4151" s="1" customFormat="1" spans="1:21">
      <c r="A4151" s="1" t="str">
        <f>"4601992091871"</f>
        <v>4601992091871</v>
      </c>
      <c r="B4151" s="1" t="s">
        <v>4174</v>
      </c>
      <c r="C4151" s="1" t="s">
        <v>24</v>
      </c>
      <c r="D4151" s="1" t="str">
        <f t="shared" si="8071"/>
        <v>2021</v>
      </c>
      <c r="E4151" s="1" t="str">
        <f t="shared" ref="E4151:P4151" si="8141">"0"</f>
        <v>0</v>
      </c>
      <c r="F4151" s="1" t="str">
        <f t="shared" si="8141"/>
        <v>0</v>
      </c>
      <c r="G4151" s="1" t="str">
        <f t="shared" si="8141"/>
        <v>0</v>
      </c>
      <c r="H4151" s="1" t="str">
        <f t="shared" si="8141"/>
        <v>0</v>
      </c>
      <c r="I4151" s="1" t="str">
        <f t="shared" si="8141"/>
        <v>0</v>
      </c>
      <c r="J4151" s="1" t="str">
        <f t="shared" si="8141"/>
        <v>0</v>
      </c>
      <c r="K4151" s="1" t="str">
        <f t="shared" si="8141"/>
        <v>0</v>
      </c>
      <c r="L4151" s="1" t="str">
        <f t="shared" si="8141"/>
        <v>0</v>
      </c>
      <c r="M4151" s="1" t="str">
        <f t="shared" si="8141"/>
        <v>0</v>
      </c>
      <c r="N4151" s="1" t="str">
        <f t="shared" si="8141"/>
        <v>0</v>
      </c>
      <c r="O4151" s="1" t="str">
        <f t="shared" si="8141"/>
        <v>0</v>
      </c>
      <c r="P4151" s="1" t="str">
        <f t="shared" si="8141"/>
        <v>0</v>
      </c>
      <c r="Q4151" s="1" t="str">
        <f t="shared" si="8073"/>
        <v>0.0070</v>
      </c>
      <c r="R4151" s="1" t="s">
        <v>25</v>
      </c>
      <c r="T4151" s="1" t="str">
        <f t="shared" si="8074"/>
        <v>0</v>
      </c>
      <c r="U4151" s="1" t="str">
        <f t="shared" si="8137"/>
        <v>0.0070</v>
      </c>
    </row>
    <row r="4152" s="1" customFormat="1" spans="1:21">
      <c r="A4152" s="1" t="str">
        <f>"4601992091947"</f>
        <v>4601992091947</v>
      </c>
      <c r="B4152" s="1" t="s">
        <v>4175</v>
      </c>
      <c r="C4152" s="1" t="s">
        <v>24</v>
      </c>
      <c r="D4152" s="1" t="str">
        <f t="shared" si="8071"/>
        <v>2021</v>
      </c>
      <c r="E4152" s="1" t="str">
        <f t="shared" ref="E4152:P4152" si="8142">"0"</f>
        <v>0</v>
      </c>
      <c r="F4152" s="1" t="str">
        <f t="shared" si="8142"/>
        <v>0</v>
      </c>
      <c r="G4152" s="1" t="str">
        <f t="shared" si="8142"/>
        <v>0</v>
      </c>
      <c r="H4152" s="1" t="str">
        <f t="shared" si="8142"/>
        <v>0</v>
      </c>
      <c r="I4152" s="1" t="str">
        <f t="shared" si="8142"/>
        <v>0</v>
      </c>
      <c r="J4152" s="1" t="str">
        <f t="shared" si="8142"/>
        <v>0</v>
      </c>
      <c r="K4152" s="1" t="str">
        <f t="shared" si="8142"/>
        <v>0</v>
      </c>
      <c r="L4152" s="1" t="str">
        <f t="shared" si="8142"/>
        <v>0</v>
      </c>
      <c r="M4152" s="1" t="str">
        <f t="shared" si="8142"/>
        <v>0</v>
      </c>
      <c r="N4152" s="1" t="str">
        <f t="shared" si="8142"/>
        <v>0</v>
      </c>
      <c r="O4152" s="1" t="str">
        <f t="shared" si="8142"/>
        <v>0</v>
      </c>
      <c r="P4152" s="1" t="str">
        <f t="shared" si="8142"/>
        <v>0</v>
      </c>
      <c r="Q4152" s="1" t="str">
        <f t="shared" si="8073"/>
        <v>0.0070</v>
      </c>
      <c r="R4152" s="1" t="s">
        <v>25</v>
      </c>
      <c r="T4152" s="1" t="str">
        <f t="shared" si="8074"/>
        <v>0</v>
      </c>
      <c r="U4152" s="1" t="str">
        <f t="shared" si="8137"/>
        <v>0.0070</v>
      </c>
    </row>
    <row r="4153" s="1" customFormat="1" spans="1:21">
      <c r="A4153" s="1" t="str">
        <f>"4601992092051"</f>
        <v>4601992092051</v>
      </c>
      <c r="B4153" s="1" t="s">
        <v>4176</v>
      </c>
      <c r="C4153" s="1" t="s">
        <v>24</v>
      </c>
      <c r="D4153" s="1" t="str">
        <f t="shared" si="8071"/>
        <v>2021</v>
      </c>
      <c r="E4153" s="1" t="str">
        <f t="shared" ref="E4153:P4153" si="8143">"0"</f>
        <v>0</v>
      </c>
      <c r="F4153" s="1" t="str">
        <f t="shared" si="8143"/>
        <v>0</v>
      </c>
      <c r="G4153" s="1" t="str">
        <f t="shared" si="8143"/>
        <v>0</v>
      </c>
      <c r="H4153" s="1" t="str">
        <f t="shared" si="8143"/>
        <v>0</v>
      </c>
      <c r="I4153" s="1" t="str">
        <f t="shared" si="8143"/>
        <v>0</v>
      </c>
      <c r="J4153" s="1" t="str">
        <f t="shared" si="8143"/>
        <v>0</v>
      </c>
      <c r="K4153" s="1" t="str">
        <f t="shared" si="8143"/>
        <v>0</v>
      </c>
      <c r="L4153" s="1" t="str">
        <f t="shared" si="8143"/>
        <v>0</v>
      </c>
      <c r="M4153" s="1" t="str">
        <f t="shared" si="8143"/>
        <v>0</v>
      </c>
      <c r="N4153" s="1" t="str">
        <f t="shared" si="8143"/>
        <v>0</v>
      </c>
      <c r="O4153" s="1" t="str">
        <f t="shared" si="8143"/>
        <v>0</v>
      </c>
      <c r="P4153" s="1" t="str">
        <f t="shared" si="8143"/>
        <v>0</v>
      </c>
      <c r="Q4153" s="1" t="str">
        <f t="shared" si="8073"/>
        <v>0.0070</v>
      </c>
      <c r="R4153" s="1" t="s">
        <v>25</v>
      </c>
      <c r="T4153" s="1" t="str">
        <f t="shared" si="8074"/>
        <v>0</v>
      </c>
      <c r="U4153" s="1" t="str">
        <f t="shared" si="8137"/>
        <v>0.0070</v>
      </c>
    </row>
    <row r="4154" s="1" customFormat="1" spans="1:21">
      <c r="A4154" s="1" t="str">
        <f>"4601992091964"</f>
        <v>4601992091964</v>
      </c>
      <c r="B4154" s="1" t="s">
        <v>4177</v>
      </c>
      <c r="C4154" s="1" t="s">
        <v>24</v>
      </c>
      <c r="D4154" s="1" t="str">
        <f t="shared" si="8071"/>
        <v>2021</v>
      </c>
      <c r="E4154" s="1" t="str">
        <f t="shared" ref="E4154:P4154" si="8144">"0"</f>
        <v>0</v>
      </c>
      <c r="F4154" s="1" t="str">
        <f t="shared" si="8144"/>
        <v>0</v>
      </c>
      <c r="G4154" s="1" t="str">
        <f t="shared" si="8144"/>
        <v>0</v>
      </c>
      <c r="H4154" s="1" t="str">
        <f t="shared" si="8144"/>
        <v>0</v>
      </c>
      <c r="I4154" s="1" t="str">
        <f t="shared" si="8144"/>
        <v>0</v>
      </c>
      <c r="J4154" s="1" t="str">
        <f t="shared" si="8144"/>
        <v>0</v>
      </c>
      <c r="K4154" s="1" t="str">
        <f t="shared" si="8144"/>
        <v>0</v>
      </c>
      <c r="L4154" s="1" t="str">
        <f t="shared" si="8144"/>
        <v>0</v>
      </c>
      <c r="M4154" s="1" t="str">
        <f t="shared" si="8144"/>
        <v>0</v>
      </c>
      <c r="N4154" s="1" t="str">
        <f t="shared" si="8144"/>
        <v>0</v>
      </c>
      <c r="O4154" s="1" t="str">
        <f t="shared" si="8144"/>
        <v>0</v>
      </c>
      <c r="P4154" s="1" t="str">
        <f t="shared" si="8144"/>
        <v>0</v>
      </c>
      <c r="Q4154" s="1" t="str">
        <f t="shared" si="8073"/>
        <v>0.0070</v>
      </c>
      <c r="R4154" s="1" t="s">
        <v>25</v>
      </c>
      <c r="T4154" s="1" t="str">
        <f t="shared" si="8074"/>
        <v>0</v>
      </c>
      <c r="U4154" s="1" t="str">
        <f t="shared" si="8137"/>
        <v>0.0070</v>
      </c>
    </row>
    <row r="4155" s="1" customFormat="1" spans="1:21">
      <c r="A4155" s="1" t="str">
        <f>"4601992092052"</f>
        <v>4601992092052</v>
      </c>
      <c r="B4155" s="1" t="s">
        <v>4178</v>
      </c>
      <c r="C4155" s="1" t="s">
        <v>24</v>
      </c>
      <c r="D4155" s="1" t="str">
        <f t="shared" si="8071"/>
        <v>2021</v>
      </c>
      <c r="E4155" s="1" t="str">
        <f t="shared" ref="E4155:P4155" si="8145">"0"</f>
        <v>0</v>
      </c>
      <c r="F4155" s="1" t="str">
        <f t="shared" si="8145"/>
        <v>0</v>
      </c>
      <c r="G4155" s="1" t="str">
        <f t="shared" si="8145"/>
        <v>0</v>
      </c>
      <c r="H4155" s="1" t="str">
        <f t="shared" si="8145"/>
        <v>0</v>
      </c>
      <c r="I4155" s="1" t="str">
        <f t="shared" si="8145"/>
        <v>0</v>
      </c>
      <c r="J4155" s="1" t="str">
        <f t="shared" si="8145"/>
        <v>0</v>
      </c>
      <c r="K4155" s="1" t="str">
        <f t="shared" si="8145"/>
        <v>0</v>
      </c>
      <c r="L4155" s="1" t="str">
        <f t="shared" si="8145"/>
        <v>0</v>
      </c>
      <c r="M4155" s="1" t="str">
        <f t="shared" si="8145"/>
        <v>0</v>
      </c>
      <c r="N4155" s="1" t="str">
        <f t="shared" si="8145"/>
        <v>0</v>
      </c>
      <c r="O4155" s="1" t="str">
        <f t="shared" si="8145"/>
        <v>0</v>
      </c>
      <c r="P4155" s="1" t="str">
        <f t="shared" si="8145"/>
        <v>0</v>
      </c>
      <c r="Q4155" s="1" t="str">
        <f t="shared" si="8073"/>
        <v>0.0070</v>
      </c>
      <c r="R4155" s="1" t="s">
        <v>25</v>
      </c>
      <c r="T4155" s="1" t="str">
        <f t="shared" si="8074"/>
        <v>0</v>
      </c>
      <c r="U4155" s="1" t="str">
        <f t="shared" si="8137"/>
        <v>0.0070</v>
      </c>
    </row>
    <row r="4156" s="1" customFormat="1" spans="1:21">
      <c r="A4156" s="1" t="str">
        <f>"4601992092066"</f>
        <v>4601992092066</v>
      </c>
      <c r="B4156" s="1" t="s">
        <v>4179</v>
      </c>
      <c r="C4156" s="1" t="s">
        <v>24</v>
      </c>
      <c r="D4156" s="1" t="str">
        <f t="shared" si="8071"/>
        <v>2021</v>
      </c>
      <c r="E4156" s="1" t="str">
        <f t="shared" ref="E4156:P4156" si="8146">"0"</f>
        <v>0</v>
      </c>
      <c r="F4156" s="1" t="str">
        <f t="shared" si="8146"/>
        <v>0</v>
      </c>
      <c r="G4156" s="1" t="str">
        <f t="shared" si="8146"/>
        <v>0</v>
      </c>
      <c r="H4156" s="1" t="str">
        <f t="shared" si="8146"/>
        <v>0</v>
      </c>
      <c r="I4156" s="1" t="str">
        <f t="shared" si="8146"/>
        <v>0</v>
      </c>
      <c r="J4156" s="1" t="str">
        <f t="shared" si="8146"/>
        <v>0</v>
      </c>
      <c r="K4156" s="1" t="str">
        <f t="shared" si="8146"/>
        <v>0</v>
      </c>
      <c r="L4156" s="1" t="str">
        <f t="shared" si="8146"/>
        <v>0</v>
      </c>
      <c r="M4156" s="1" t="str">
        <f t="shared" si="8146"/>
        <v>0</v>
      </c>
      <c r="N4156" s="1" t="str">
        <f t="shared" si="8146"/>
        <v>0</v>
      </c>
      <c r="O4156" s="1" t="str">
        <f t="shared" si="8146"/>
        <v>0</v>
      </c>
      <c r="P4156" s="1" t="str">
        <f t="shared" si="8146"/>
        <v>0</v>
      </c>
      <c r="Q4156" s="1" t="str">
        <f t="shared" si="8073"/>
        <v>0.0070</v>
      </c>
      <c r="R4156" s="1" t="s">
        <v>25</v>
      </c>
      <c r="T4156" s="1" t="str">
        <f t="shared" si="8074"/>
        <v>0</v>
      </c>
      <c r="U4156" s="1" t="str">
        <f t="shared" si="8137"/>
        <v>0.0070</v>
      </c>
    </row>
    <row r="4157" s="1" customFormat="1" spans="1:21">
      <c r="A4157" s="1" t="str">
        <f>"4601992092125"</f>
        <v>4601992092125</v>
      </c>
      <c r="B4157" s="1" t="s">
        <v>4180</v>
      </c>
      <c r="C4157" s="1" t="s">
        <v>24</v>
      </c>
      <c r="D4157" s="1" t="str">
        <f t="shared" si="8071"/>
        <v>2021</v>
      </c>
      <c r="E4157" s="1" t="str">
        <f t="shared" ref="E4157:P4157" si="8147">"0"</f>
        <v>0</v>
      </c>
      <c r="F4157" s="1" t="str">
        <f t="shared" si="8147"/>
        <v>0</v>
      </c>
      <c r="G4157" s="1" t="str">
        <f t="shared" si="8147"/>
        <v>0</v>
      </c>
      <c r="H4157" s="1" t="str">
        <f t="shared" si="8147"/>
        <v>0</v>
      </c>
      <c r="I4157" s="1" t="str">
        <f t="shared" si="8147"/>
        <v>0</v>
      </c>
      <c r="J4157" s="1" t="str">
        <f t="shared" si="8147"/>
        <v>0</v>
      </c>
      <c r="K4157" s="1" t="str">
        <f t="shared" si="8147"/>
        <v>0</v>
      </c>
      <c r="L4157" s="1" t="str">
        <f t="shared" si="8147"/>
        <v>0</v>
      </c>
      <c r="M4157" s="1" t="str">
        <f t="shared" si="8147"/>
        <v>0</v>
      </c>
      <c r="N4157" s="1" t="str">
        <f t="shared" si="8147"/>
        <v>0</v>
      </c>
      <c r="O4157" s="1" t="str">
        <f t="shared" si="8147"/>
        <v>0</v>
      </c>
      <c r="P4157" s="1" t="str">
        <f t="shared" si="8147"/>
        <v>0</v>
      </c>
      <c r="Q4157" s="1" t="str">
        <f t="shared" si="8073"/>
        <v>0.0070</v>
      </c>
      <c r="R4157" s="1" t="s">
        <v>25</v>
      </c>
      <c r="T4157" s="1" t="str">
        <f t="shared" si="8074"/>
        <v>0</v>
      </c>
      <c r="U4157" s="1" t="str">
        <f t="shared" si="8137"/>
        <v>0.0070</v>
      </c>
    </row>
    <row r="4158" s="1" customFormat="1" spans="1:21">
      <c r="A4158" s="1" t="str">
        <f>"4601992092250"</f>
        <v>4601992092250</v>
      </c>
      <c r="B4158" s="1" t="s">
        <v>4181</v>
      </c>
      <c r="C4158" s="1" t="s">
        <v>24</v>
      </c>
      <c r="D4158" s="1" t="str">
        <f t="shared" si="8071"/>
        <v>2021</v>
      </c>
      <c r="E4158" s="1" t="str">
        <f t="shared" ref="E4158:P4158" si="8148">"0"</f>
        <v>0</v>
      </c>
      <c r="F4158" s="1" t="str">
        <f t="shared" si="8148"/>
        <v>0</v>
      </c>
      <c r="G4158" s="1" t="str">
        <f t="shared" si="8148"/>
        <v>0</v>
      </c>
      <c r="H4158" s="1" t="str">
        <f t="shared" si="8148"/>
        <v>0</v>
      </c>
      <c r="I4158" s="1" t="str">
        <f t="shared" si="8148"/>
        <v>0</v>
      </c>
      <c r="J4158" s="1" t="str">
        <f t="shared" si="8148"/>
        <v>0</v>
      </c>
      <c r="K4158" s="1" t="str">
        <f t="shared" si="8148"/>
        <v>0</v>
      </c>
      <c r="L4158" s="1" t="str">
        <f t="shared" si="8148"/>
        <v>0</v>
      </c>
      <c r="M4158" s="1" t="str">
        <f t="shared" si="8148"/>
        <v>0</v>
      </c>
      <c r="N4158" s="1" t="str">
        <f t="shared" si="8148"/>
        <v>0</v>
      </c>
      <c r="O4158" s="1" t="str">
        <f t="shared" si="8148"/>
        <v>0</v>
      </c>
      <c r="P4158" s="1" t="str">
        <f t="shared" si="8148"/>
        <v>0</v>
      </c>
      <c r="Q4158" s="1" t="str">
        <f t="shared" si="8073"/>
        <v>0.0070</v>
      </c>
      <c r="R4158" s="1" t="s">
        <v>25</v>
      </c>
      <c r="T4158" s="1" t="str">
        <f t="shared" si="8074"/>
        <v>0</v>
      </c>
      <c r="U4158" s="1" t="str">
        <f t="shared" si="8137"/>
        <v>0.0070</v>
      </c>
    </row>
    <row r="4159" s="1" customFormat="1" spans="1:21">
      <c r="A4159" s="1" t="str">
        <f>"4601992092348"</f>
        <v>4601992092348</v>
      </c>
      <c r="B4159" s="1" t="s">
        <v>4182</v>
      </c>
      <c r="C4159" s="1" t="s">
        <v>24</v>
      </c>
      <c r="D4159" s="1" t="str">
        <f t="shared" si="8071"/>
        <v>2021</v>
      </c>
      <c r="E4159" s="1" t="str">
        <f t="shared" ref="E4159:P4159" si="8149">"0"</f>
        <v>0</v>
      </c>
      <c r="F4159" s="1" t="str">
        <f t="shared" si="8149"/>
        <v>0</v>
      </c>
      <c r="G4159" s="1" t="str">
        <f t="shared" si="8149"/>
        <v>0</v>
      </c>
      <c r="H4159" s="1" t="str">
        <f t="shared" si="8149"/>
        <v>0</v>
      </c>
      <c r="I4159" s="1" t="str">
        <f t="shared" si="8149"/>
        <v>0</v>
      </c>
      <c r="J4159" s="1" t="str">
        <f t="shared" si="8149"/>
        <v>0</v>
      </c>
      <c r="K4159" s="1" t="str">
        <f t="shared" si="8149"/>
        <v>0</v>
      </c>
      <c r="L4159" s="1" t="str">
        <f t="shared" si="8149"/>
        <v>0</v>
      </c>
      <c r="M4159" s="1" t="str">
        <f t="shared" si="8149"/>
        <v>0</v>
      </c>
      <c r="N4159" s="1" t="str">
        <f t="shared" si="8149"/>
        <v>0</v>
      </c>
      <c r="O4159" s="1" t="str">
        <f t="shared" si="8149"/>
        <v>0</v>
      </c>
      <c r="P4159" s="1" t="str">
        <f t="shared" si="8149"/>
        <v>0</v>
      </c>
      <c r="Q4159" s="1" t="str">
        <f t="shared" si="8073"/>
        <v>0.0070</v>
      </c>
      <c r="R4159" s="1" t="s">
        <v>25</v>
      </c>
      <c r="T4159" s="1" t="str">
        <f t="shared" si="8074"/>
        <v>0</v>
      </c>
      <c r="U4159" s="1" t="str">
        <f t="shared" si="8137"/>
        <v>0.0070</v>
      </c>
    </row>
    <row r="4160" s="1" customFormat="1" spans="1:21">
      <c r="A4160" s="1" t="str">
        <f>"4601992092406"</f>
        <v>4601992092406</v>
      </c>
      <c r="B4160" s="1" t="s">
        <v>4183</v>
      </c>
      <c r="C4160" s="1" t="s">
        <v>24</v>
      </c>
      <c r="D4160" s="1" t="str">
        <f t="shared" si="8071"/>
        <v>2021</v>
      </c>
      <c r="E4160" s="1" t="str">
        <f t="shared" ref="E4160:P4160" si="8150">"0"</f>
        <v>0</v>
      </c>
      <c r="F4160" s="1" t="str">
        <f t="shared" si="8150"/>
        <v>0</v>
      </c>
      <c r="G4160" s="1" t="str">
        <f t="shared" si="8150"/>
        <v>0</v>
      </c>
      <c r="H4160" s="1" t="str">
        <f t="shared" si="8150"/>
        <v>0</v>
      </c>
      <c r="I4160" s="1" t="str">
        <f t="shared" si="8150"/>
        <v>0</v>
      </c>
      <c r="J4160" s="1" t="str">
        <f t="shared" si="8150"/>
        <v>0</v>
      </c>
      <c r="K4160" s="1" t="str">
        <f t="shared" si="8150"/>
        <v>0</v>
      </c>
      <c r="L4160" s="1" t="str">
        <f t="shared" si="8150"/>
        <v>0</v>
      </c>
      <c r="M4160" s="1" t="str">
        <f t="shared" si="8150"/>
        <v>0</v>
      </c>
      <c r="N4160" s="1" t="str">
        <f t="shared" si="8150"/>
        <v>0</v>
      </c>
      <c r="O4160" s="1" t="str">
        <f t="shared" si="8150"/>
        <v>0</v>
      </c>
      <c r="P4160" s="1" t="str">
        <f t="shared" si="8150"/>
        <v>0</v>
      </c>
      <c r="Q4160" s="1" t="str">
        <f t="shared" si="8073"/>
        <v>0.0070</v>
      </c>
      <c r="R4160" s="1" t="s">
        <v>25</v>
      </c>
      <c r="T4160" s="1" t="str">
        <f t="shared" si="8074"/>
        <v>0</v>
      </c>
      <c r="U4160" s="1" t="str">
        <f t="shared" si="8137"/>
        <v>0.0070</v>
      </c>
    </row>
    <row r="4161" s="1" customFormat="1" spans="1:21">
      <c r="A4161" s="1" t="str">
        <f>"4601992092433"</f>
        <v>4601992092433</v>
      </c>
      <c r="B4161" s="1" t="s">
        <v>4184</v>
      </c>
      <c r="C4161" s="1" t="s">
        <v>24</v>
      </c>
      <c r="D4161" s="1" t="str">
        <f t="shared" si="8071"/>
        <v>2021</v>
      </c>
      <c r="E4161" s="1" t="str">
        <f t="shared" ref="E4161:P4161" si="8151">"0"</f>
        <v>0</v>
      </c>
      <c r="F4161" s="1" t="str">
        <f t="shared" si="8151"/>
        <v>0</v>
      </c>
      <c r="G4161" s="1" t="str">
        <f t="shared" si="8151"/>
        <v>0</v>
      </c>
      <c r="H4161" s="1" t="str">
        <f t="shared" si="8151"/>
        <v>0</v>
      </c>
      <c r="I4161" s="1" t="str">
        <f t="shared" si="8151"/>
        <v>0</v>
      </c>
      <c r="J4161" s="1" t="str">
        <f t="shared" si="8151"/>
        <v>0</v>
      </c>
      <c r="K4161" s="1" t="str">
        <f t="shared" si="8151"/>
        <v>0</v>
      </c>
      <c r="L4161" s="1" t="str">
        <f t="shared" si="8151"/>
        <v>0</v>
      </c>
      <c r="M4161" s="1" t="str">
        <f t="shared" si="8151"/>
        <v>0</v>
      </c>
      <c r="N4161" s="1" t="str">
        <f t="shared" si="8151"/>
        <v>0</v>
      </c>
      <c r="O4161" s="1" t="str">
        <f t="shared" si="8151"/>
        <v>0</v>
      </c>
      <c r="P4161" s="1" t="str">
        <f t="shared" si="8151"/>
        <v>0</v>
      </c>
      <c r="Q4161" s="1" t="str">
        <f t="shared" si="8073"/>
        <v>0.0070</v>
      </c>
      <c r="R4161" s="1" t="s">
        <v>25</v>
      </c>
      <c r="T4161" s="1" t="str">
        <f t="shared" si="8074"/>
        <v>0</v>
      </c>
      <c r="U4161" s="1" t="str">
        <f t="shared" si="8137"/>
        <v>0.0070</v>
      </c>
    </row>
    <row r="4162" s="1" customFormat="1" spans="1:21">
      <c r="A4162" s="1" t="str">
        <f>"4601992092333"</f>
        <v>4601992092333</v>
      </c>
      <c r="B4162" s="1" t="s">
        <v>4185</v>
      </c>
      <c r="C4162" s="1" t="s">
        <v>24</v>
      </c>
      <c r="D4162" s="1" t="str">
        <f t="shared" si="8071"/>
        <v>2021</v>
      </c>
      <c r="E4162" s="1" t="str">
        <f>"11.98"</f>
        <v>11.98</v>
      </c>
      <c r="F4162" s="1" t="str">
        <f t="shared" ref="F4162:I4162" si="8152">"0"</f>
        <v>0</v>
      </c>
      <c r="G4162" s="1" t="str">
        <f t="shared" si="8152"/>
        <v>0</v>
      </c>
      <c r="H4162" s="1" t="str">
        <f t="shared" si="8152"/>
        <v>0</v>
      </c>
      <c r="I4162" s="1" t="str">
        <f t="shared" si="8152"/>
        <v>0</v>
      </c>
      <c r="J4162" s="1" t="str">
        <f>"1"</f>
        <v>1</v>
      </c>
      <c r="K4162" s="1" t="str">
        <f t="shared" ref="K4162:P4162" si="8153">"0"</f>
        <v>0</v>
      </c>
      <c r="L4162" s="1" t="str">
        <f t="shared" si="8153"/>
        <v>0</v>
      </c>
      <c r="M4162" s="1" t="str">
        <f t="shared" si="8153"/>
        <v>0</v>
      </c>
      <c r="N4162" s="1" t="str">
        <f t="shared" si="8153"/>
        <v>0</v>
      </c>
      <c r="O4162" s="1" t="str">
        <f t="shared" si="8153"/>
        <v>0</v>
      </c>
      <c r="P4162" s="1" t="str">
        <f t="shared" si="8153"/>
        <v>0</v>
      </c>
      <c r="Q4162" s="1" t="str">
        <f t="shared" si="8073"/>
        <v>0.0070</v>
      </c>
      <c r="R4162" s="1" t="s">
        <v>29</v>
      </c>
      <c r="S4162" s="1">
        <v>-0.0014</v>
      </c>
      <c r="T4162" s="1" t="str">
        <f t="shared" si="8074"/>
        <v>0</v>
      </c>
      <c r="U4162" s="1" t="str">
        <f>"0.0056"</f>
        <v>0.0056</v>
      </c>
    </row>
    <row r="4163" s="1" customFormat="1" spans="1:21">
      <c r="A4163" s="1" t="str">
        <f>"4601992092462"</f>
        <v>4601992092462</v>
      </c>
      <c r="B4163" s="1" t="s">
        <v>4186</v>
      </c>
      <c r="C4163" s="1" t="s">
        <v>24</v>
      </c>
      <c r="D4163" s="1" t="str">
        <f t="shared" ref="D4163:D4226" si="8154">"2021"</f>
        <v>2021</v>
      </c>
      <c r="E4163" s="1" t="str">
        <f t="shared" ref="E4163:P4163" si="8155">"0"</f>
        <v>0</v>
      </c>
      <c r="F4163" s="1" t="str">
        <f t="shared" si="8155"/>
        <v>0</v>
      </c>
      <c r="G4163" s="1" t="str">
        <f t="shared" si="8155"/>
        <v>0</v>
      </c>
      <c r="H4163" s="1" t="str">
        <f t="shared" si="8155"/>
        <v>0</v>
      </c>
      <c r="I4163" s="1" t="str">
        <f t="shared" si="8155"/>
        <v>0</v>
      </c>
      <c r="J4163" s="1" t="str">
        <f t="shared" si="8155"/>
        <v>0</v>
      </c>
      <c r="K4163" s="1" t="str">
        <f t="shared" si="8155"/>
        <v>0</v>
      </c>
      <c r="L4163" s="1" t="str">
        <f t="shared" si="8155"/>
        <v>0</v>
      </c>
      <c r="M4163" s="1" t="str">
        <f t="shared" si="8155"/>
        <v>0</v>
      </c>
      <c r="N4163" s="1" t="str">
        <f t="shared" si="8155"/>
        <v>0</v>
      </c>
      <c r="O4163" s="1" t="str">
        <f t="shared" si="8155"/>
        <v>0</v>
      </c>
      <c r="P4163" s="1" t="str">
        <f t="shared" si="8155"/>
        <v>0</v>
      </c>
      <c r="Q4163" s="1" t="str">
        <f t="shared" ref="Q4163:Q4226" si="8156">"0.0070"</f>
        <v>0.0070</v>
      </c>
      <c r="R4163" s="1" t="s">
        <v>25</v>
      </c>
      <c r="T4163" s="1" t="str">
        <f t="shared" ref="T4163:T4226" si="8157">"0"</f>
        <v>0</v>
      </c>
      <c r="U4163" s="1" t="str">
        <f t="shared" ref="U4163:U4171" si="8158">"0.0070"</f>
        <v>0.0070</v>
      </c>
    </row>
    <row r="4164" s="1" customFormat="1" spans="1:21">
      <c r="A4164" s="1" t="str">
        <f>"4601992092471"</f>
        <v>4601992092471</v>
      </c>
      <c r="B4164" s="1" t="s">
        <v>4187</v>
      </c>
      <c r="C4164" s="1" t="s">
        <v>24</v>
      </c>
      <c r="D4164" s="1" t="str">
        <f t="shared" si="8154"/>
        <v>2021</v>
      </c>
      <c r="E4164" s="1" t="str">
        <f t="shared" ref="E4164:P4164" si="8159">"0"</f>
        <v>0</v>
      </c>
      <c r="F4164" s="1" t="str">
        <f t="shared" si="8159"/>
        <v>0</v>
      </c>
      <c r="G4164" s="1" t="str">
        <f t="shared" si="8159"/>
        <v>0</v>
      </c>
      <c r="H4164" s="1" t="str">
        <f t="shared" si="8159"/>
        <v>0</v>
      </c>
      <c r="I4164" s="1" t="str">
        <f t="shared" si="8159"/>
        <v>0</v>
      </c>
      <c r="J4164" s="1" t="str">
        <f t="shared" si="8159"/>
        <v>0</v>
      </c>
      <c r="K4164" s="1" t="str">
        <f t="shared" si="8159"/>
        <v>0</v>
      </c>
      <c r="L4164" s="1" t="str">
        <f t="shared" si="8159"/>
        <v>0</v>
      </c>
      <c r="M4164" s="1" t="str">
        <f t="shared" si="8159"/>
        <v>0</v>
      </c>
      <c r="N4164" s="1" t="str">
        <f t="shared" si="8159"/>
        <v>0</v>
      </c>
      <c r="O4164" s="1" t="str">
        <f t="shared" si="8159"/>
        <v>0</v>
      </c>
      <c r="P4164" s="1" t="str">
        <f t="shared" si="8159"/>
        <v>0</v>
      </c>
      <c r="Q4164" s="1" t="str">
        <f t="shared" si="8156"/>
        <v>0.0070</v>
      </c>
      <c r="R4164" s="1" t="s">
        <v>25</v>
      </c>
      <c r="T4164" s="1" t="str">
        <f t="shared" si="8157"/>
        <v>0</v>
      </c>
      <c r="U4164" s="1" t="str">
        <f t="shared" si="8158"/>
        <v>0.0070</v>
      </c>
    </row>
    <row r="4165" s="1" customFormat="1" spans="1:21">
      <c r="A4165" s="1" t="str">
        <f>"4601992092510"</f>
        <v>4601992092510</v>
      </c>
      <c r="B4165" s="1" t="s">
        <v>4188</v>
      </c>
      <c r="C4165" s="1" t="s">
        <v>24</v>
      </c>
      <c r="D4165" s="1" t="str">
        <f t="shared" si="8154"/>
        <v>2021</v>
      </c>
      <c r="E4165" s="1" t="str">
        <f t="shared" ref="E4165:P4165" si="8160">"0"</f>
        <v>0</v>
      </c>
      <c r="F4165" s="1" t="str">
        <f t="shared" si="8160"/>
        <v>0</v>
      </c>
      <c r="G4165" s="1" t="str">
        <f t="shared" si="8160"/>
        <v>0</v>
      </c>
      <c r="H4165" s="1" t="str">
        <f t="shared" si="8160"/>
        <v>0</v>
      </c>
      <c r="I4165" s="1" t="str">
        <f t="shared" si="8160"/>
        <v>0</v>
      </c>
      <c r="J4165" s="1" t="str">
        <f t="shared" si="8160"/>
        <v>0</v>
      </c>
      <c r="K4165" s="1" t="str">
        <f t="shared" si="8160"/>
        <v>0</v>
      </c>
      <c r="L4165" s="1" t="str">
        <f t="shared" si="8160"/>
        <v>0</v>
      </c>
      <c r="M4165" s="1" t="str">
        <f t="shared" si="8160"/>
        <v>0</v>
      </c>
      <c r="N4165" s="1" t="str">
        <f t="shared" si="8160"/>
        <v>0</v>
      </c>
      <c r="O4165" s="1" t="str">
        <f t="shared" si="8160"/>
        <v>0</v>
      </c>
      <c r="P4165" s="1" t="str">
        <f t="shared" si="8160"/>
        <v>0</v>
      </c>
      <c r="Q4165" s="1" t="str">
        <f t="shared" si="8156"/>
        <v>0.0070</v>
      </c>
      <c r="R4165" s="1" t="s">
        <v>25</v>
      </c>
      <c r="T4165" s="1" t="str">
        <f t="shared" si="8157"/>
        <v>0</v>
      </c>
      <c r="U4165" s="1" t="str">
        <f t="shared" si="8158"/>
        <v>0.0070</v>
      </c>
    </row>
    <row r="4166" s="1" customFormat="1" spans="1:21">
      <c r="A4166" s="1" t="str">
        <f>"4601992092643"</f>
        <v>4601992092643</v>
      </c>
      <c r="B4166" s="1" t="s">
        <v>4189</v>
      </c>
      <c r="C4166" s="1" t="s">
        <v>24</v>
      </c>
      <c r="D4166" s="1" t="str">
        <f t="shared" si="8154"/>
        <v>2021</v>
      </c>
      <c r="E4166" s="1" t="str">
        <f t="shared" ref="E4166:P4166" si="8161">"0"</f>
        <v>0</v>
      </c>
      <c r="F4166" s="1" t="str">
        <f t="shared" si="8161"/>
        <v>0</v>
      </c>
      <c r="G4166" s="1" t="str">
        <f t="shared" si="8161"/>
        <v>0</v>
      </c>
      <c r="H4166" s="1" t="str">
        <f t="shared" si="8161"/>
        <v>0</v>
      </c>
      <c r="I4166" s="1" t="str">
        <f t="shared" si="8161"/>
        <v>0</v>
      </c>
      <c r="J4166" s="1" t="str">
        <f t="shared" si="8161"/>
        <v>0</v>
      </c>
      <c r="K4166" s="1" t="str">
        <f t="shared" si="8161"/>
        <v>0</v>
      </c>
      <c r="L4166" s="1" t="str">
        <f t="shared" si="8161"/>
        <v>0</v>
      </c>
      <c r="M4166" s="1" t="str">
        <f t="shared" si="8161"/>
        <v>0</v>
      </c>
      <c r="N4166" s="1" t="str">
        <f t="shared" si="8161"/>
        <v>0</v>
      </c>
      <c r="O4166" s="1" t="str">
        <f t="shared" si="8161"/>
        <v>0</v>
      </c>
      <c r="P4166" s="1" t="str">
        <f t="shared" si="8161"/>
        <v>0</v>
      </c>
      <c r="Q4166" s="1" t="str">
        <f t="shared" si="8156"/>
        <v>0.0070</v>
      </c>
      <c r="R4166" s="1" t="s">
        <v>25</v>
      </c>
      <c r="T4166" s="1" t="str">
        <f t="shared" si="8157"/>
        <v>0</v>
      </c>
      <c r="U4166" s="1" t="str">
        <f t="shared" si="8158"/>
        <v>0.0070</v>
      </c>
    </row>
    <row r="4167" s="1" customFormat="1" spans="1:21">
      <c r="A4167" s="1" t="str">
        <f>"4601992092599"</f>
        <v>4601992092599</v>
      </c>
      <c r="B4167" s="1" t="s">
        <v>4190</v>
      </c>
      <c r="C4167" s="1" t="s">
        <v>24</v>
      </c>
      <c r="D4167" s="1" t="str">
        <f t="shared" si="8154"/>
        <v>2021</v>
      </c>
      <c r="E4167" s="1" t="str">
        <f t="shared" ref="E4167:P4167" si="8162">"0"</f>
        <v>0</v>
      </c>
      <c r="F4167" s="1" t="str">
        <f t="shared" si="8162"/>
        <v>0</v>
      </c>
      <c r="G4167" s="1" t="str">
        <f t="shared" si="8162"/>
        <v>0</v>
      </c>
      <c r="H4167" s="1" t="str">
        <f t="shared" si="8162"/>
        <v>0</v>
      </c>
      <c r="I4167" s="1" t="str">
        <f t="shared" si="8162"/>
        <v>0</v>
      </c>
      <c r="J4167" s="1" t="str">
        <f t="shared" si="8162"/>
        <v>0</v>
      </c>
      <c r="K4167" s="1" t="str">
        <f t="shared" si="8162"/>
        <v>0</v>
      </c>
      <c r="L4167" s="1" t="str">
        <f t="shared" si="8162"/>
        <v>0</v>
      </c>
      <c r="M4167" s="1" t="str">
        <f t="shared" si="8162"/>
        <v>0</v>
      </c>
      <c r="N4167" s="1" t="str">
        <f t="shared" si="8162"/>
        <v>0</v>
      </c>
      <c r="O4167" s="1" t="str">
        <f t="shared" si="8162"/>
        <v>0</v>
      </c>
      <c r="P4167" s="1" t="str">
        <f t="shared" si="8162"/>
        <v>0</v>
      </c>
      <c r="Q4167" s="1" t="str">
        <f t="shared" si="8156"/>
        <v>0.0070</v>
      </c>
      <c r="R4167" s="1" t="s">
        <v>25</v>
      </c>
      <c r="T4167" s="1" t="str">
        <f t="shared" si="8157"/>
        <v>0</v>
      </c>
      <c r="U4167" s="1" t="str">
        <f t="shared" si="8158"/>
        <v>0.0070</v>
      </c>
    </row>
    <row r="4168" s="1" customFormat="1" spans="1:21">
      <c r="A4168" s="1" t="str">
        <f>"4601992092680"</f>
        <v>4601992092680</v>
      </c>
      <c r="B4168" s="1" t="s">
        <v>4191</v>
      </c>
      <c r="C4168" s="1" t="s">
        <v>24</v>
      </c>
      <c r="D4168" s="1" t="str">
        <f t="shared" si="8154"/>
        <v>2021</v>
      </c>
      <c r="E4168" s="1" t="str">
        <f t="shared" ref="E4168:P4168" si="8163">"0"</f>
        <v>0</v>
      </c>
      <c r="F4168" s="1" t="str">
        <f t="shared" si="8163"/>
        <v>0</v>
      </c>
      <c r="G4168" s="1" t="str">
        <f t="shared" si="8163"/>
        <v>0</v>
      </c>
      <c r="H4168" s="1" t="str">
        <f t="shared" si="8163"/>
        <v>0</v>
      </c>
      <c r="I4168" s="1" t="str">
        <f t="shared" si="8163"/>
        <v>0</v>
      </c>
      <c r="J4168" s="1" t="str">
        <f t="shared" si="8163"/>
        <v>0</v>
      </c>
      <c r="K4168" s="1" t="str">
        <f t="shared" si="8163"/>
        <v>0</v>
      </c>
      <c r="L4168" s="1" t="str">
        <f t="shared" si="8163"/>
        <v>0</v>
      </c>
      <c r="M4168" s="1" t="str">
        <f t="shared" si="8163"/>
        <v>0</v>
      </c>
      <c r="N4168" s="1" t="str">
        <f t="shared" si="8163"/>
        <v>0</v>
      </c>
      <c r="O4168" s="1" t="str">
        <f t="shared" si="8163"/>
        <v>0</v>
      </c>
      <c r="P4168" s="1" t="str">
        <f t="shared" si="8163"/>
        <v>0</v>
      </c>
      <c r="Q4168" s="1" t="str">
        <f t="shared" si="8156"/>
        <v>0.0070</v>
      </c>
      <c r="R4168" s="1" t="s">
        <v>25</v>
      </c>
      <c r="T4168" s="1" t="str">
        <f t="shared" si="8157"/>
        <v>0</v>
      </c>
      <c r="U4168" s="1" t="str">
        <f t="shared" si="8158"/>
        <v>0.0070</v>
      </c>
    </row>
    <row r="4169" s="1" customFormat="1" spans="1:21">
      <c r="A4169" s="1" t="str">
        <f>"4601992092715"</f>
        <v>4601992092715</v>
      </c>
      <c r="B4169" s="1" t="s">
        <v>4192</v>
      </c>
      <c r="C4169" s="1" t="s">
        <v>24</v>
      </c>
      <c r="D4169" s="1" t="str">
        <f t="shared" si="8154"/>
        <v>2021</v>
      </c>
      <c r="E4169" s="1" t="str">
        <f t="shared" ref="E4169:P4169" si="8164">"0"</f>
        <v>0</v>
      </c>
      <c r="F4169" s="1" t="str">
        <f t="shared" si="8164"/>
        <v>0</v>
      </c>
      <c r="G4169" s="1" t="str">
        <f t="shared" si="8164"/>
        <v>0</v>
      </c>
      <c r="H4169" s="1" t="str">
        <f t="shared" si="8164"/>
        <v>0</v>
      </c>
      <c r="I4169" s="1" t="str">
        <f t="shared" si="8164"/>
        <v>0</v>
      </c>
      <c r="J4169" s="1" t="str">
        <f t="shared" si="8164"/>
        <v>0</v>
      </c>
      <c r="K4169" s="1" t="str">
        <f t="shared" si="8164"/>
        <v>0</v>
      </c>
      <c r="L4169" s="1" t="str">
        <f t="shared" si="8164"/>
        <v>0</v>
      </c>
      <c r="M4169" s="1" t="str">
        <f t="shared" si="8164"/>
        <v>0</v>
      </c>
      <c r="N4169" s="1" t="str">
        <f t="shared" si="8164"/>
        <v>0</v>
      </c>
      <c r="O4169" s="1" t="str">
        <f t="shared" si="8164"/>
        <v>0</v>
      </c>
      <c r="P4169" s="1" t="str">
        <f t="shared" si="8164"/>
        <v>0</v>
      </c>
      <c r="Q4169" s="1" t="str">
        <f t="shared" si="8156"/>
        <v>0.0070</v>
      </c>
      <c r="R4169" s="1" t="s">
        <v>25</v>
      </c>
      <c r="T4169" s="1" t="str">
        <f t="shared" si="8157"/>
        <v>0</v>
      </c>
      <c r="U4169" s="1" t="str">
        <f t="shared" si="8158"/>
        <v>0.0070</v>
      </c>
    </row>
    <row r="4170" s="1" customFormat="1" spans="1:21">
      <c r="A4170" s="1" t="str">
        <f>"4601992092751"</f>
        <v>4601992092751</v>
      </c>
      <c r="B4170" s="1" t="s">
        <v>4193</v>
      </c>
      <c r="C4170" s="1" t="s">
        <v>24</v>
      </c>
      <c r="D4170" s="1" t="str">
        <f t="shared" si="8154"/>
        <v>2021</v>
      </c>
      <c r="E4170" s="1" t="str">
        <f t="shared" ref="E4170:P4170" si="8165">"0"</f>
        <v>0</v>
      </c>
      <c r="F4170" s="1" t="str">
        <f t="shared" si="8165"/>
        <v>0</v>
      </c>
      <c r="G4170" s="1" t="str">
        <f t="shared" si="8165"/>
        <v>0</v>
      </c>
      <c r="H4170" s="1" t="str">
        <f t="shared" si="8165"/>
        <v>0</v>
      </c>
      <c r="I4170" s="1" t="str">
        <f t="shared" si="8165"/>
        <v>0</v>
      </c>
      <c r="J4170" s="1" t="str">
        <f t="shared" si="8165"/>
        <v>0</v>
      </c>
      <c r="K4170" s="1" t="str">
        <f t="shared" si="8165"/>
        <v>0</v>
      </c>
      <c r="L4170" s="1" t="str">
        <f t="shared" si="8165"/>
        <v>0</v>
      </c>
      <c r="M4170" s="1" t="str">
        <f t="shared" si="8165"/>
        <v>0</v>
      </c>
      <c r="N4170" s="1" t="str">
        <f t="shared" si="8165"/>
        <v>0</v>
      </c>
      <c r="O4170" s="1" t="str">
        <f t="shared" si="8165"/>
        <v>0</v>
      </c>
      <c r="P4170" s="1" t="str">
        <f t="shared" si="8165"/>
        <v>0</v>
      </c>
      <c r="Q4170" s="1" t="str">
        <f t="shared" si="8156"/>
        <v>0.0070</v>
      </c>
      <c r="R4170" s="1" t="s">
        <v>25</v>
      </c>
      <c r="T4170" s="1" t="str">
        <f t="shared" si="8157"/>
        <v>0</v>
      </c>
      <c r="U4170" s="1" t="str">
        <f t="shared" si="8158"/>
        <v>0.0070</v>
      </c>
    </row>
    <row r="4171" s="1" customFormat="1" spans="1:21">
      <c r="A4171" s="1" t="str">
        <f>"4601992092943"</f>
        <v>4601992092943</v>
      </c>
      <c r="B4171" s="1" t="s">
        <v>4194</v>
      </c>
      <c r="C4171" s="1" t="s">
        <v>24</v>
      </c>
      <c r="D4171" s="1" t="str">
        <f t="shared" si="8154"/>
        <v>2021</v>
      </c>
      <c r="E4171" s="1" t="str">
        <f t="shared" ref="E4171:P4171" si="8166">"0"</f>
        <v>0</v>
      </c>
      <c r="F4171" s="1" t="str">
        <f t="shared" si="8166"/>
        <v>0</v>
      </c>
      <c r="G4171" s="1" t="str">
        <f t="shared" si="8166"/>
        <v>0</v>
      </c>
      <c r="H4171" s="1" t="str">
        <f t="shared" si="8166"/>
        <v>0</v>
      </c>
      <c r="I4171" s="1" t="str">
        <f t="shared" si="8166"/>
        <v>0</v>
      </c>
      <c r="J4171" s="1" t="str">
        <f t="shared" si="8166"/>
        <v>0</v>
      </c>
      <c r="K4171" s="1" t="str">
        <f t="shared" si="8166"/>
        <v>0</v>
      </c>
      <c r="L4171" s="1" t="str">
        <f t="shared" si="8166"/>
        <v>0</v>
      </c>
      <c r="M4171" s="1" t="str">
        <f t="shared" si="8166"/>
        <v>0</v>
      </c>
      <c r="N4171" s="1" t="str">
        <f t="shared" si="8166"/>
        <v>0</v>
      </c>
      <c r="O4171" s="1" t="str">
        <f t="shared" si="8166"/>
        <v>0</v>
      </c>
      <c r="P4171" s="1" t="str">
        <f t="shared" si="8166"/>
        <v>0</v>
      </c>
      <c r="Q4171" s="1" t="str">
        <f t="shared" si="8156"/>
        <v>0.0070</v>
      </c>
      <c r="R4171" s="1" t="s">
        <v>25</v>
      </c>
      <c r="T4171" s="1" t="str">
        <f t="shared" si="8157"/>
        <v>0</v>
      </c>
      <c r="U4171" s="1" t="str">
        <f t="shared" si="8158"/>
        <v>0.0070</v>
      </c>
    </row>
    <row r="4172" s="1" customFormat="1" spans="1:21">
      <c r="A4172" s="1" t="str">
        <f>"4601992092523"</f>
        <v>4601992092523</v>
      </c>
      <c r="B4172" s="1" t="s">
        <v>4195</v>
      </c>
      <c r="C4172" s="1" t="s">
        <v>24</v>
      </c>
      <c r="D4172" s="1" t="str">
        <f t="shared" si="8154"/>
        <v>2021</v>
      </c>
      <c r="E4172" s="1" t="str">
        <f>"11.98"</f>
        <v>11.98</v>
      </c>
      <c r="F4172" s="1" t="str">
        <f t="shared" ref="F4172:I4172" si="8167">"0"</f>
        <v>0</v>
      </c>
      <c r="G4172" s="1" t="str">
        <f t="shared" si="8167"/>
        <v>0</v>
      </c>
      <c r="H4172" s="1" t="str">
        <f t="shared" si="8167"/>
        <v>0</v>
      </c>
      <c r="I4172" s="1" t="str">
        <f t="shared" si="8167"/>
        <v>0</v>
      </c>
      <c r="J4172" s="1" t="str">
        <f>"1"</f>
        <v>1</v>
      </c>
      <c r="K4172" s="1" t="str">
        <f t="shared" ref="K4172:P4172" si="8168">"0"</f>
        <v>0</v>
      </c>
      <c r="L4172" s="1" t="str">
        <f t="shared" si="8168"/>
        <v>0</v>
      </c>
      <c r="M4172" s="1" t="str">
        <f t="shared" si="8168"/>
        <v>0</v>
      </c>
      <c r="N4172" s="1" t="str">
        <f t="shared" si="8168"/>
        <v>0</v>
      </c>
      <c r="O4172" s="1" t="str">
        <f t="shared" si="8168"/>
        <v>0</v>
      </c>
      <c r="P4172" s="1" t="str">
        <f t="shared" si="8168"/>
        <v>0</v>
      </c>
      <c r="Q4172" s="1" t="str">
        <f t="shared" si="8156"/>
        <v>0.0070</v>
      </c>
      <c r="R4172" s="1" t="s">
        <v>29</v>
      </c>
      <c r="S4172" s="1">
        <v>-0.0014</v>
      </c>
      <c r="T4172" s="1" t="str">
        <f t="shared" si="8157"/>
        <v>0</v>
      </c>
      <c r="U4172" s="1" t="str">
        <f>"0.0056"</f>
        <v>0.0056</v>
      </c>
    </row>
    <row r="4173" s="1" customFormat="1" spans="1:21">
      <c r="A4173" s="1" t="str">
        <f>"4601992092836"</f>
        <v>4601992092836</v>
      </c>
      <c r="B4173" s="1" t="s">
        <v>4196</v>
      </c>
      <c r="C4173" s="1" t="s">
        <v>24</v>
      </c>
      <c r="D4173" s="1" t="str">
        <f t="shared" si="8154"/>
        <v>2021</v>
      </c>
      <c r="E4173" s="1" t="str">
        <f t="shared" ref="E4173:I4173" si="8169">"0"</f>
        <v>0</v>
      </c>
      <c r="F4173" s="1" t="str">
        <f t="shared" si="8169"/>
        <v>0</v>
      </c>
      <c r="G4173" s="1" t="str">
        <f t="shared" si="8169"/>
        <v>0</v>
      </c>
      <c r="H4173" s="1" t="str">
        <f t="shared" si="8169"/>
        <v>0</v>
      </c>
      <c r="I4173" s="1" t="str">
        <f t="shared" si="8169"/>
        <v>0</v>
      </c>
      <c r="J4173" s="1" t="str">
        <f>"1"</f>
        <v>1</v>
      </c>
      <c r="K4173" s="1" t="str">
        <f t="shared" ref="K4173:P4173" si="8170">"0"</f>
        <v>0</v>
      </c>
      <c r="L4173" s="1" t="str">
        <f t="shared" si="8170"/>
        <v>0</v>
      </c>
      <c r="M4173" s="1" t="str">
        <f t="shared" si="8170"/>
        <v>0</v>
      </c>
      <c r="N4173" s="1" t="str">
        <f t="shared" si="8170"/>
        <v>0</v>
      </c>
      <c r="O4173" s="1" t="str">
        <f t="shared" si="8170"/>
        <v>0</v>
      </c>
      <c r="P4173" s="1" t="str">
        <f t="shared" si="8170"/>
        <v>0</v>
      </c>
      <c r="Q4173" s="1" t="str">
        <f t="shared" si="8156"/>
        <v>0.0070</v>
      </c>
      <c r="R4173" s="1" t="s">
        <v>25</v>
      </c>
      <c r="T4173" s="1" t="str">
        <f t="shared" si="8157"/>
        <v>0</v>
      </c>
      <c r="U4173" s="1" t="str">
        <f t="shared" ref="U4173:U4188" si="8171">"0.0070"</f>
        <v>0.0070</v>
      </c>
    </row>
    <row r="4174" s="1" customFormat="1" spans="1:21">
      <c r="A4174" s="1" t="str">
        <f>"4601992092964"</f>
        <v>4601992092964</v>
      </c>
      <c r="B4174" s="1" t="s">
        <v>4197</v>
      </c>
      <c r="C4174" s="1" t="s">
        <v>24</v>
      </c>
      <c r="D4174" s="1" t="str">
        <f t="shared" si="8154"/>
        <v>2021</v>
      </c>
      <c r="E4174" s="1" t="str">
        <f t="shared" ref="E4174:P4174" si="8172">"0"</f>
        <v>0</v>
      </c>
      <c r="F4174" s="1" t="str">
        <f t="shared" si="8172"/>
        <v>0</v>
      </c>
      <c r="G4174" s="1" t="str">
        <f t="shared" si="8172"/>
        <v>0</v>
      </c>
      <c r="H4174" s="1" t="str">
        <f t="shared" si="8172"/>
        <v>0</v>
      </c>
      <c r="I4174" s="1" t="str">
        <f t="shared" si="8172"/>
        <v>0</v>
      </c>
      <c r="J4174" s="1" t="str">
        <f t="shared" si="8172"/>
        <v>0</v>
      </c>
      <c r="K4174" s="1" t="str">
        <f t="shared" si="8172"/>
        <v>0</v>
      </c>
      <c r="L4174" s="1" t="str">
        <f t="shared" si="8172"/>
        <v>0</v>
      </c>
      <c r="M4174" s="1" t="str">
        <f t="shared" si="8172"/>
        <v>0</v>
      </c>
      <c r="N4174" s="1" t="str">
        <f t="shared" si="8172"/>
        <v>0</v>
      </c>
      <c r="O4174" s="1" t="str">
        <f t="shared" si="8172"/>
        <v>0</v>
      </c>
      <c r="P4174" s="1" t="str">
        <f t="shared" si="8172"/>
        <v>0</v>
      </c>
      <c r="Q4174" s="1" t="str">
        <f t="shared" si="8156"/>
        <v>0.0070</v>
      </c>
      <c r="R4174" s="1" t="s">
        <v>25</v>
      </c>
      <c r="T4174" s="1" t="str">
        <f t="shared" si="8157"/>
        <v>0</v>
      </c>
      <c r="U4174" s="1" t="str">
        <f t="shared" si="8171"/>
        <v>0.0070</v>
      </c>
    </row>
    <row r="4175" s="1" customFormat="1" spans="1:21">
      <c r="A4175" s="1" t="str">
        <f>"4601992092842"</f>
        <v>4601992092842</v>
      </c>
      <c r="B4175" s="1" t="s">
        <v>4198</v>
      </c>
      <c r="C4175" s="1" t="s">
        <v>24</v>
      </c>
      <c r="D4175" s="1" t="str">
        <f t="shared" si="8154"/>
        <v>2021</v>
      </c>
      <c r="E4175" s="1" t="str">
        <f t="shared" ref="E4175:I4175" si="8173">"0"</f>
        <v>0</v>
      </c>
      <c r="F4175" s="1" t="str">
        <f t="shared" si="8173"/>
        <v>0</v>
      </c>
      <c r="G4175" s="1" t="str">
        <f t="shared" si="8173"/>
        <v>0</v>
      </c>
      <c r="H4175" s="1" t="str">
        <f t="shared" si="8173"/>
        <v>0</v>
      </c>
      <c r="I4175" s="1" t="str">
        <f t="shared" si="8173"/>
        <v>0</v>
      </c>
      <c r="J4175" s="1" t="str">
        <f>"2"</f>
        <v>2</v>
      </c>
      <c r="K4175" s="1" t="str">
        <f t="shared" ref="K4175:P4175" si="8174">"0"</f>
        <v>0</v>
      </c>
      <c r="L4175" s="1" t="str">
        <f t="shared" si="8174"/>
        <v>0</v>
      </c>
      <c r="M4175" s="1" t="str">
        <f t="shared" si="8174"/>
        <v>0</v>
      </c>
      <c r="N4175" s="1" t="str">
        <f t="shared" si="8174"/>
        <v>0</v>
      </c>
      <c r="O4175" s="1" t="str">
        <f t="shared" si="8174"/>
        <v>0</v>
      </c>
      <c r="P4175" s="1" t="str">
        <f t="shared" si="8174"/>
        <v>0</v>
      </c>
      <c r="Q4175" s="1" t="str">
        <f t="shared" si="8156"/>
        <v>0.0070</v>
      </c>
      <c r="R4175" s="1" t="s">
        <v>25</v>
      </c>
      <c r="T4175" s="1" t="str">
        <f t="shared" si="8157"/>
        <v>0</v>
      </c>
      <c r="U4175" s="1" t="str">
        <f t="shared" si="8171"/>
        <v>0.0070</v>
      </c>
    </row>
    <row r="4176" s="1" customFormat="1" spans="1:21">
      <c r="A4176" s="1" t="str">
        <f>"4601992093075"</f>
        <v>4601992093075</v>
      </c>
      <c r="B4176" s="1" t="s">
        <v>4199</v>
      </c>
      <c r="C4176" s="1" t="s">
        <v>24</v>
      </c>
      <c r="D4176" s="1" t="str">
        <f t="shared" si="8154"/>
        <v>2021</v>
      </c>
      <c r="E4176" s="1" t="str">
        <f t="shared" ref="E4176:P4176" si="8175">"0"</f>
        <v>0</v>
      </c>
      <c r="F4176" s="1" t="str">
        <f t="shared" si="8175"/>
        <v>0</v>
      </c>
      <c r="G4176" s="1" t="str">
        <f t="shared" si="8175"/>
        <v>0</v>
      </c>
      <c r="H4176" s="1" t="str">
        <f t="shared" si="8175"/>
        <v>0</v>
      </c>
      <c r="I4176" s="1" t="str">
        <f t="shared" si="8175"/>
        <v>0</v>
      </c>
      <c r="J4176" s="1" t="str">
        <f t="shared" si="8175"/>
        <v>0</v>
      </c>
      <c r="K4176" s="1" t="str">
        <f t="shared" si="8175"/>
        <v>0</v>
      </c>
      <c r="L4176" s="1" t="str">
        <f t="shared" si="8175"/>
        <v>0</v>
      </c>
      <c r="M4176" s="1" t="str">
        <f t="shared" si="8175"/>
        <v>0</v>
      </c>
      <c r="N4176" s="1" t="str">
        <f t="shared" si="8175"/>
        <v>0</v>
      </c>
      <c r="O4176" s="1" t="str">
        <f t="shared" si="8175"/>
        <v>0</v>
      </c>
      <c r="P4176" s="1" t="str">
        <f t="shared" si="8175"/>
        <v>0</v>
      </c>
      <c r="Q4176" s="1" t="str">
        <f t="shared" si="8156"/>
        <v>0.0070</v>
      </c>
      <c r="R4176" s="1" t="s">
        <v>25</v>
      </c>
      <c r="T4176" s="1" t="str">
        <f t="shared" si="8157"/>
        <v>0</v>
      </c>
      <c r="U4176" s="1" t="str">
        <f t="shared" si="8171"/>
        <v>0.0070</v>
      </c>
    </row>
    <row r="4177" s="1" customFormat="1" spans="1:21">
      <c r="A4177" s="1" t="str">
        <f>"4601992092967"</f>
        <v>4601992092967</v>
      </c>
      <c r="B4177" s="1" t="s">
        <v>4200</v>
      </c>
      <c r="C4177" s="1" t="s">
        <v>24</v>
      </c>
      <c r="D4177" s="1" t="str">
        <f t="shared" si="8154"/>
        <v>2021</v>
      </c>
      <c r="E4177" s="1" t="str">
        <f t="shared" ref="E4177:P4177" si="8176">"0"</f>
        <v>0</v>
      </c>
      <c r="F4177" s="1" t="str">
        <f t="shared" si="8176"/>
        <v>0</v>
      </c>
      <c r="G4177" s="1" t="str">
        <f t="shared" si="8176"/>
        <v>0</v>
      </c>
      <c r="H4177" s="1" t="str">
        <f t="shared" si="8176"/>
        <v>0</v>
      </c>
      <c r="I4177" s="1" t="str">
        <f t="shared" si="8176"/>
        <v>0</v>
      </c>
      <c r="J4177" s="1" t="str">
        <f t="shared" si="8176"/>
        <v>0</v>
      </c>
      <c r="K4177" s="1" t="str">
        <f t="shared" si="8176"/>
        <v>0</v>
      </c>
      <c r="L4177" s="1" t="str">
        <f t="shared" si="8176"/>
        <v>0</v>
      </c>
      <c r="M4177" s="1" t="str">
        <f t="shared" si="8176"/>
        <v>0</v>
      </c>
      <c r="N4177" s="1" t="str">
        <f t="shared" si="8176"/>
        <v>0</v>
      </c>
      <c r="O4177" s="1" t="str">
        <f t="shared" si="8176"/>
        <v>0</v>
      </c>
      <c r="P4177" s="1" t="str">
        <f t="shared" si="8176"/>
        <v>0</v>
      </c>
      <c r="Q4177" s="1" t="str">
        <f t="shared" si="8156"/>
        <v>0.0070</v>
      </c>
      <c r="R4177" s="1" t="s">
        <v>25</v>
      </c>
      <c r="T4177" s="1" t="str">
        <f t="shared" si="8157"/>
        <v>0</v>
      </c>
      <c r="U4177" s="1" t="str">
        <f t="shared" si="8171"/>
        <v>0.0070</v>
      </c>
    </row>
    <row r="4178" s="1" customFormat="1" spans="1:21">
      <c r="A4178" s="1" t="str">
        <f>"4601992093112"</f>
        <v>4601992093112</v>
      </c>
      <c r="B4178" s="1" t="s">
        <v>4201</v>
      </c>
      <c r="C4178" s="1" t="s">
        <v>24</v>
      </c>
      <c r="D4178" s="1" t="str">
        <f t="shared" si="8154"/>
        <v>2021</v>
      </c>
      <c r="E4178" s="1" t="str">
        <f t="shared" ref="E4178:P4178" si="8177">"0"</f>
        <v>0</v>
      </c>
      <c r="F4178" s="1" t="str">
        <f t="shared" si="8177"/>
        <v>0</v>
      </c>
      <c r="G4178" s="1" t="str">
        <f t="shared" si="8177"/>
        <v>0</v>
      </c>
      <c r="H4178" s="1" t="str">
        <f t="shared" si="8177"/>
        <v>0</v>
      </c>
      <c r="I4178" s="1" t="str">
        <f t="shared" si="8177"/>
        <v>0</v>
      </c>
      <c r="J4178" s="1" t="str">
        <f t="shared" si="8177"/>
        <v>0</v>
      </c>
      <c r="K4178" s="1" t="str">
        <f t="shared" si="8177"/>
        <v>0</v>
      </c>
      <c r="L4178" s="1" t="str">
        <f t="shared" si="8177"/>
        <v>0</v>
      </c>
      <c r="M4178" s="1" t="str">
        <f t="shared" si="8177"/>
        <v>0</v>
      </c>
      <c r="N4178" s="1" t="str">
        <f t="shared" si="8177"/>
        <v>0</v>
      </c>
      <c r="O4178" s="1" t="str">
        <f t="shared" si="8177"/>
        <v>0</v>
      </c>
      <c r="P4178" s="1" t="str">
        <f t="shared" si="8177"/>
        <v>0</v>
      </c>
      <c r="Q4178" s="1" t="str">
        <f t="shared" si="8156"/>
        <v>0.0070</v>
      </c>
      <c r="R4178" s="1" t="s">
        <v>25</v>
      </c>
      <c r="T4178" s="1" t="str">
        <f t="shared" si="8157"/>
        <v>0</v>
      </c>
      <c r="U4178" s="1" t="str">
        <f t="shared" si="8171"/>
        <v>0.0070</v>
      </c>
    </row>
    <row r="4179" s="1" customFormat="1" spans="1:21">
      <c r="A4179" s="1" t="str">
        <f>"4601992093176"</f>
        <v>4601992093176</v>
      </c>
      <c r="B4179" s="1" t="s">
        <v>4202</v>
      </c>
      <c r="C4179" s="1" t="s">
        <v>24</v>
      </c>
      <c r="D4179" s="1" t="str">
        <f t="shared" si="8154"/>
        <v>2021</v>
      </c>
      <c r="E4179" s="1" t="str">
        <f t="shared" ref="E4179:P4179" si="8178">"0"</f>
        <v>0</v>
      </c>
      <c r="F4179" s="1" t="str">
        <f t="shared" si="8178"/>
        <v>0</v>
      </c>
      <c r="G4179" s="1" t="str">
        <f t="shared" si="8178"/>
        <v>0</v>
      </c>
      <c r="H4179" s="1" t="str">
        <f t="shared" si="8178"/>
        <v>0</v>
      </c>
      <c r="I4179" s="1" t="str">
        <f t="shared" si="8178"/>
        <v>0</v>
      </c>
      <c r="J4179" s="1" t="str">
        <f t="shared" si="8178"/>
        <v>0</v>
      </c>
      <c r="K4179" s="1" t="str">
        <f t="shared" si="8178"/>
        <v>0</v>
      </c>
      <c r="L4179" s="1" t="str">
        <f t="shared" si="8178"/>
        <v>0</v>
      </c>
      <c r="M4179" s="1" t="str">
        <f t="shared" si="8178"/>
        <v>0</v>
      </c>
      <c r="N4179" s="1" t="str">
        <f t="shared" si="8178"/>
        <v>0</v>
      </c>
      <c r="O4179" s="1" t="str">
        <f t="shared" si="8178"/>
        <v>0</v>
      </c>
      <c r="P4179" s="1" t="str">
        <f t="shared" si="8178"/>
        <v>0</v>
      </c>
      <c r="Q4179" s="1" t="str">
        <f t="shared" si="8156"/>
        <v>0.0070</v>
      </c>
      <c r="R4179" s="1" t="s">
        <v>25</v>
      </c>
      <c r="T4179" s="1" t="str">
        <f t="shared" si="8157"/>
        <v>0</v>
      </c>
      <c r="U4179" s="1" t="str">
        <f t="shared" si="8171"/>
        <v>0.0070</v>
      </c>
    </row>
    <row r="4180" s="1" customFormat="1" spans="1:21">
      <c r="A4180" s="1" t="str">
        <f>"4601992093302"</f>
        <v>4601992093302</v>
      </c>
      <c r="B4180" s="1" t="s">
        <v>4203</v>
      </c>
      <c r="C4180" s="1" t="s">
        <v>24</v>
      </c>
      <c r="D4180" s="1" t="str">
        <f t="shared" si="8154"/>
        <v>2021</v>
      </c>
      <c r="E4180" s="1" t="str">
        <f t="shared" ref="E4180:P4180" si="8179">"0"</f>
        <v>0</v>
      </c>
      <c r="F4180" s="1" t="str">
        <f t="shared" si="8179"/>
        <v>0</v>
      </c>
      <c r="G4180" s="1" t="str">
        <f t="shared" si="8179"/>
        <v>0</v>
      </c>
      <c r="H4180" s="1" t="str">
        <f t="shared" si="8179"/>
        <v>0</v>
      </c>
      <c r="I4180" s="1" t="str">
        <f t="shared" si="8179"/>
        <v>0</v>
      </c>
      <c r="J4180" s="1" t="str">
        <f t="shared" si="8179"/>
        <v>0</v>
      </c>
      <c r="K4180" s="1" t="str">
        <f t="shared" si="8179"/>
        <v>0</v>
      </c>
      <c r="L4180" s="1" t="str">
        <f t="shared" si="8179"/>
        <v>0</v>
      </c>
      <c r="M4180" s="1" t="str">
        <f t="shared" si="8179"/>
        <v>0</v>
      </c>
      <c r="N4180" s="1" t="str">
        <f t="shared" si="8179"/>
        <v>0</v>
      </c>
      <c r="O4180" s="1" t="str">
        <f t="shared" si="8179"/>
        <v>0</v>
      </c>
      <c r="P4180" s="1" t="str">
        <f t="shared" si="8179"/>
        <v>0</v>
      </c>
      <c r="Q4180" s="1" t="str">
        <f t="shared" si="8156"/>
        <v>0.0070</v>
      </c>
      <c r="R4180" s="1" t="s">
        <v>25</v>
      </c>
      <c r="T4180" s="1" t="str">
        <f t="shared" si="8157"/>
        <v>0</v>
      </c>
      <c r="U4180" s="1" t="str">
        <f t="shared" si="8171"/>
        <v>0.0070</v>
      </c>
    </row>
    <row r="4181" s="1" customFormat="1" spans="1:21">
      <c r="A4181" s="1" t="str">
        <f>"4601992093246"</f>
        <v>4601992093246</v>
      </c>
      <c r="B4181" s="1" t="s">
        <v>4204</v>
      </c>
      <c r="C4181" s="1" t="s">
        <v>24</v>
      </c>
      <c r="D4181" s="1" t="str">
        <f t="shared" si="8154"/>
        <v>2021</v>
      </c>
      <c r="E4181" s="1" t="str">
        <f t="shared" ref="E4181:P4181" si="8180">"0"</f>
        <v>0</v>
      </c>
      <c r="F4181" s="1" t="str">
        <f t="shared" si="8180"/>
        <v>0</v>
      </c>
      <c r="G4181" s="1" t="str">
        <f t="shared" si="8180"/>
        <v>0</v>
      </c>
      <c r="H4181" s="1" t="str">
        <f t="shared" si="8180"/>
        <v>0</v>
      </c>
      <c r="I4181" s="1" t="str">
        <f t="shared" si="8180"/>
        <v>0</v>
      </c>
      <c r="J4181" s="1" t="str">
        <f t="shared" si="8180"/>
        <v>0</v>
      </c>
      <c r="K4181" s="1" t="str">
        <f t="shared" si="8180"/>
        <v>0</v>
      </c>
      <c r="L4181" s="1" t="str">
        <f t="shared" si="8180"/>
        <v>0</v>
      </c>
      <c r="M4181" s="1" t="str">
        <f t="shared" si="8180"/>
        <v>0</v>
      </c>
      <c r="N4181" s="1" t="str">
        <f t="shared" si="8180"/>
        <v>0</v>
      </c>
      <c r="O4181" s="1" t="str">
        <f t="shared" si="8180"/>
        <v>0</v>
      </c>
      <c r="P4181" s="1" t="str">
        <f t="shared" si="8180"/>
        <v>0</v>
      </c>
      <c r="Q4181" s="1" t="str">
        <f t="shared" si="8156"/>
        <v>0.0070</v>
      </c>
      <c r="R4181" s="1" t="s">
        <v>25</v>
      </c>
      <c r="T4181" s="1" t="str">
        <f t="shared" si="8157"/>
        <v>0</v>
      </c>
      <c r="U4181" s="1" t="str">
        <f t="shared" si="8171"/>
        <v>0.0070</v>
      </c>
    </row>
    <row r="4182" s="1" customFormat="1" spans="1:21">
      <c r="A4182" s="1" t="str">
        <f>"4601992093392"</f>
        <v>4601992093392</v>
      </c>
      <c r="B4182" s="1" t="s">
        <v>4205</v>
      </c>
      <c r="C4182" s="1" t="s">
        <v>24</v>
      </c>
      <c r="D4182" s="1" t="str">
        <f t="shared" si="8154"/>
        <v>2021</v>
      </c>
      <c r="E4182" s="1" t="str">
        <f t="shared" ref="E4182:P4182" si="8181">"0"</f>
        <v>0</v>
      </c>
      <c r="F4182" s="1" t="str">
        <f t="shared" si="8181"/>
        <v>0</v>
      </c>
      <c r="G4182" s="1" t="str">
        <f t="shared" si="8181"/>
        <v>0</v>
      </c>
      <c r="H4182" s="1" t="str">
        <f t="shared" si="8181"/>
        <v>0</v>
      </c>
      <c r="I4182" s="1" t="str">
        <f t="shared" si="8181"/>
        <v>0</v>
      </c>
      <c r="J4182" s="1" t="str">
        <f t="shared" si="8181"/>
        <v>0</v>
      </c>
      <c r="K4182" s="1" t="str">
        <f t="shared" si="8181"/>
        <v>0</v>
      </c>
      <c r="L4182" s="1" t="str">
        <f t="shared" si="8181"/>
        <v>0</v>
      </c>
      <c r="M4182" s="1" t="str">
        <f t="shared" si="8181"/>
        <v>0</v>
      </c>
      <c r="N4182" s="1" t="str">
        <f t="shared" si="8181"/>
        <v>0</v>
      </c>
      <c r="O4182" s="1" t="str">
        <f t="shared" si="8181"/>
        <v>0</v>
      </c>
      <c r="P4182" s="1" t="str">
        <f t="shared" si="8181"/>
        <v>0</v>
      </c>
      <c r="Q4182" s="1" t="str">
        <f t="shared" si="8156"/>
        <v>0.0070</v>
      </c>
      <c r="R4182" s="1" t="s">
        <v>25</v>
      </c>
      <c r="T4182" s="1" t="str">
        <f t="shared" si="8157"/>
        <v>0</v>
      </c>
      <c r="U4182" s="1" t="str">
        <f t="shared" si="8171"/>
        <v>0.0070</v>
      </c>
    </row>
    <row r="4183" s="1" customFormat="1" spans="1:21">
      <c r="A4183" s="1" t="str">
        <f>"4601992093395"</f>
        <v>4601992093395</v>
      </c>
      <c r="B4183" s="1" t="s">
        <v>4206</v>
      </c>
      <c r="C4183" s="1" t="s">
        <v>24</v>
      </c>
      <c r="D4183" s="1" t="str">
        <f t="shared" si="8154"/>
        <v>2021</v>
      </c>
      <c r="E4183" s="1" t="str">
        <f t="shared" ref="E4183:P4183" si="8182">"0"</f>
        <v>0</v>
      </c>
      <c r="F4183" s="1" t="str">
        <f t="shared" si="8182"/>
        <v>0</v>
      </c>
      <c r="G4183" s="1" t="str">
        <f t="shared" si="8182"/>
        <v>0</v>
      </c>
      <c r="H4183" s="1" t="str">
        <f t="shared" si="8182"/>
        <v>0</v>
      </c>
      <c r="I4183" s="1" t="str">
        <f t="shared" si="8182"/>
        <v>0</v>
      </c>
      <c r="J4183" s="1" t="str">
        <f t="shared" si="8182"/>
        <v>0</v>
      </c>
      <c r="K4183" s="1" t="str">
        <f t="shared" si="8182"/>
        <v>0</v>
      </c>
      <c r="L4183" s="1" t="str">
        <f t="shared" si="8182"/>
        <v>0</v>
      </c>
      <c r="M4183" s="1" t="str">
        <f t="shared" si="8182"/>
        <v>0</v>
      </c>
      <c r="N4183" s="1" t="str">
        <f t="shared" si="8182"/>
        <v>0</v>
      </c>
      <c r="O4183" s="1" t="str">
        <f t="shared" si="8182"/>
        <v>0</v>
      </c>
      <c r="P4183" s="1" t="str">
        <f t="shared" si="8182"/>
        <v>0</v>
      </c>
      <c r="Q4183" s="1" t="str">
        <f t="shared" si="8156"/>
        <v>0.0070</v>
      </c>
      <c r="R4183" s="1" t="s">
        <v>25</v>
      </c>
      <c r="T4183" s="1" t="str">
        <f t="shared" si="8157"/>
        <v>0</v>
      </c>
      <c r="U4183" s="1" t="str">
        <f t="shared" si="8171"/>
        <v>0.0070</v>
      </c>
    </row>
    <row r="4184" s="1" customFormat="1" spans="1:21">
      <c r="A4184" s="1" t="str">
        <f>"4601992093479"</f>
        <v>4601992093479</v>
      </c>
      <c r="B4184" s="1" t="s">
        <v>4207</v>
      </c>
      <c r="C4184" s="1" t="s">
        <v>24</v>
      </c>
      <c r="D4184" s="1" t="str">
        <f t="shared" si="8154"/>
        <v>2021</v>
      </c>
      <c r="E4184" s="1" t="str">
        <f t="shared" ref="E4184:P4184" si="8183">"0"</f>
        <v>0</v>
      </c>
      <c r="F4184" s="1" t="str">
        <f t="shared" si="8183"/>
        <v>0</v>
      </c>
      <c r="G4184" s="1" t="str">
        <f t="shared" si="8183"/>
        <v>0</v>
      </c>
      <c r="H4184" s="1" t="str">
        <f t="shared" si="8183"/>
        <v>0</v>
      </c>
      <c r="I4184" s="1" t="str">
        <f t="shared" si="8183"/>
        <v>0</v>
      </c>
      <c r="J4184" s="1" t="str">
        <f t="shared" si="8183"/>
        <v>0</v>
      </c>
      <c r="K4184" s="1" t="str">
        <f t="shared" si="8183"/>
        <v>0</v>
      </c>
      <c r="L4184" s="1" t="str">
        <f t="shared" si="8183"/>
        <v>0</v>
      </c>
      <c r="M4184" s="1" t="str">
        <f t="shared" si="8183"/>
        <v>0</v>
      </c>
      <c r="N4184" s="1" t="str">
        <f t="shared" si="8183"/>
        <v>0</v>
      </c>
      <c r="O4184" s="1" t="str">
        <f t="shared" si="8183"/>
        <v>0</v>
      </c>
      <c r="P4184" s="1" t="str">
        <f t="shared" si="8183"/>
        <v>0</v>
      </c>
      <c r="Q4184" s="1" t="str">
        <f t="shared" si="8156"/>
        <v>0.0070</v>
      </c>
      <c r="R4184" s="1" t="s">
        <v>25</v>
      </c>
      <c r="T4184" s="1" t="str">
        <f t="shared" si="8157"/>
        <v>0</v>
      </c>
      <c r="U4184" s="1" t="str">
        <f t="shared" si="8171"/>
        <v>0.0070</v>
      </c>
    </row>
    <row r="4185" s="1" customFormat="1" spans="1:21">
      <c r="A4185" s="1" t="str">
        <f>"4601992093416"</f>
        <v>4601992093416</v>
      </c>
      <c r="B4185" s="1" t="s">
        <v>4208</v>
      </c>
      <c r="C4185" s="1" t="s">
        <v>24</v>
      </c>
      <c r="D4185" s="1" t="str">
        <f t="shared" si="8154"/>
        <v>2021</v>
      </c>
      <c r="E4185" s="1" t="str">
        <f t="shared" ref="E4185:P4185" si="8184">"0"</f>
        <v>0</v>
      </c>
      <c r="F4185" s="1" t="str">
        <f t="shared" si="8184"/>
        <v>0</v>
      </c>
      <c r="G4185" s="1" t="str">
        <f t="shared" si="8184"/>
        <v>0</v>
      </c>
      <c r="H4185" s="1" t="str">
        <f t="shared" si="8184"/>
        <v>0</v>
      </c>
      <c r="I4185" s="1" t="str">
        <f t="shared" si="8184"/>
        <v>0</v>
      </c>
      <c r="J4185" s="1" t="str">
        <f t="shared" si="8184"/>
        <v>0</v>
      </c>
      <c r="K4185" s="1" t="str">
        <f t="shared" si="8184"/>
        <v>0</v>
      </c>
      <c r="L4185" s="1" t="str">
        <f t="shared" si="8184"/>
        <v>0</v>
      </c>
      <c r="M4185" s="1" t="str">
        <f t="shared" si="8184"/>
        <v>0</v>
      </c>
      <c r="N4185" s="1" t="str">
        <f t="shared" si="8184"/>
        <v>0</v>
      </c>
      <c r="O4185" s="1" t="str">
        <f t="shared" si="8184"/>
        <v>0</v>
      </c>
      <c r="P4185" s="1" t="str">
        <f t="shared" si="8184"/>
        <v>0</v>
      </c>
      <c r="Q4185" s="1" t="str">
        <f t="shared" si="8156"/>
        <v>0.0070</v>
      </c>
      <c r="R4185" s="1" t="s">
        <v>25</v>
      </c>
      <c r="T4185" s="1" t="str">
        <f t="shared" si="8157"/>
        <v>0</v>
      </c>
      <c r="U4185" s="1" t="str">
        <f t="shared" si="8171"/>
        <v>0.0070</v>
      </c>
    </row>
    <row r="4186" s="1" customFormat="1" spans="1:21">
      <c r="A4186" s="1" t="str">
        <f>"4601992093510"</f>
        <v>4601992093510</v>
      </c>
      <c r="B4186" s="1" t="s">
        <v>4209</v>
      </c>
      <c r="C4186" s="1" t="s">
        <v>24</v>
      </c>
      <c r="D4186" s="1" t="str">
        <f t="shared" si="8154"/>
        <v>2021</v>
      </c>
      <c r="E4186" s="1" t="str">
        <f t="shared" ref="E4186:P4186" si="8185">"0"</f>
        <v>0</v>
      </c>
      <c r="F4186" s="1" t="str">
        <f t="shared" si="8185"/>
        <v>0</v>
      </c>
      <c r="G4186" s="1" t="str">
        <f t="shared" si="8185"/>
        <v>0</v>
      </c>
      <c r="H4186" s="1" t="str">
        <f t="shared" si="8185"/>
        <v>0</v>
      </c>
      <c r="I4186" s="1" t="str">
        <f t="shared" si="8185"/>
        <v>0</v>
      </c>
      <c r="J4186" s="1" t="str">
        <f t="shared" si="8185"/>
        <v>0</v>
      </c>
      <c r="K4186" s="1" t="str">
        <f t="shared" si="8185"/>
        <v>0</v>
      </c>
      <c r="L4186" s="1" t="str">
        <f t="shared" si="8185"/>
        <v>0</v>
      </c>
      <c r="M4186" s="1" t="str">
        <f t="shared" si="8185"/>
        <v>0</v>
      </c>
      <c r="N4186" s="1" t="str">
        <f t="shared" si="8185"/>
        <v>0</v>
      </c>
      <c r="O4186" s="1" t="str">
        <f t="shared" si="8185"/>
        <v>0</v>
      </c>
      <c r="P4186" s="1" t="str">
        <f t="shared" si="8185"/>
        <v>0</v>
      </c>
      <c r="Q4186" s="1" t="str">
        <f t="shared" si="8156"/>
        <v>0.0070</v>
      </c>
      <c r="R4186" s="1" t="s">
        <v>25</v>
      </c>
      <c r="T4186" s="1" t="str">
        <f t="shared" si="8157"/>
        <v>0</v>
      </c>
      <c r="U4186" s="1" t="str">
        <f t="shared" si="8171"/>
        <v>0.0070</v>
      </c>
    </row>
    <row r="4187" s="1" customFormat="1" spans="1:21">
      <c r="A4187" s="1" t="str">
        <f>"4601992093589"</f>
        <v>4601992093589</v>
      </c>
      <c r="B4187" s="1" t="s">
        <v>4210</v>
      </c>
      <c r="C4187" s="1" t="s">
        <v>24</v>
      </c>
      <c r="D4187" s="1" t="str">
        <f t="shared" si="8154"/>
        <v>2021</v>
      </c>
      <c r="E4187" s="1" t="str">
        <f t="shared" ref="E4187:P4187" si="8186">"0"</f>
        <v>0</v>
      </c>
      <c r="F4187" s="1" t="str">
        <f t="shared" si="8186"/>
        <v>0</v>
      </c>
      <c r="G4187" s="1" t="str">
        <f t="shared" si="8186"/>
        <v>0</v>
      </c>
      <c r="H4187" s="1" t="str">
        <f t="shared" si="8186"/>
        <v>0</v>
      </c>
      <c r="I4187" s="1" t="str">
        <f t="shared" si="8186"/>
        <v>0</v>
      </c>
      <c r="J4187" s="1" t="str">
        <f t="shared" si="8186"/>
        <v>0</v>
      </c>
      <c r="K4187" s="1" t="str">
        <f t="shared" si="8186"/>
        <v>0</v>
      </c>
      <c r="L4187" s="1" t="str">
        <f t="shared" si="8186"/>
        <v>0</v>
      </c>
      <c r="M4187" s="1" t="str">
        <f t="shared" si="8186"/>
        <v>0</v>
      </c>
      <c r="N4187" s="1" t="str">
        <f t="shared" si="8186"/>
        <v>0</v>
      </c>
      <c r="O4187" s="1" t="str">
        <f t="shared" si="8186"/>
        <v>0</v>
      </c>
      <c r="P4187" s="1" t="str">
        <f t="shared" si="8186"/>
        <v>0</v>
      </c>
      <c r="Q4187" s="1" t="str">
        <f t="shared" si="8156"/>
        <v>0.0070</v>
      </c>
      <c r="R4187" s="1" t="s">
        <v>25</v>
      </c>
      <c r="T4187" s="1" t="str">
        <f t="shared" si="8157"/>
        <v>0</v>
      </c>
      <c r="U4187" s="1" t="str">
        <f t="shared" si="8171"/>
        <v>0.0070</v>
      </c>
    </row>
    <row r="4188" s="1" customFormat="1" spans="1:21">
      <c r="A4188" s="1" t="str">
        <f>"4601992093612"</f>
        <v>4601992093612</v>
      </c>
      <c r="B4188" s="1" t="s">
        <v>4211</v>
      </c>
      <c r="C4188" s="1" t="s">
        <v>24</v>
      </c>
      <c r="D4188" s="1" t="str">
        <f t="shared" si="8154"/>
        <v>2021</v>
      </c>
      <c r="E4188" s="1" t="str">
        <f t="shared" ref="E4188:P4188" si="8187">"0"</f>
        <v>0</v>
      </c>
      <c r="F4188" s="1" t="str">
        <f t="shared" si="8187"/>
        <v>0</v>
      </c>
      <c r="G4188" s="1" t="str">
        <f t="shared" si="8187"/>
        <v>0</v>
      </c>
      <c r="H4188" s="1" t="str">
        <f t="shared" si="8187"/>
        <v>0</v>
      </c>
      <c r="I4188" s="1" t="str">
        <f t="shared" si="8187"/>
        <v>0</v>
      </c>
      <c r="J4188" s="1" t="str">
        <f t="shared" si="8187"/>
        <v>0</v>
      </c>
      <c r="K4188" s="1" t="str">
        <f t="shared" si="8187"/>
        <v>0</v>
      </c>
      <c r="L4188" s="1" t="str">
        <f t="shared" si="8187"/>
        <v>0</v>
      </c>
      <c r="M4188" s="1" t="str">
        <f t="shared" si="8187"/>
        <v>0</v>
      </c>
      <c r="N4188" s="1" t="str">
        <f t="shared" si="8187"/>
        <v>0</v>
      </c>
      <c r="O4188" s="1" t="str">
        <f t="shared" si="8187"/>
        <v>0</v>
      </c>
      <c r="P4188" s="1" t="str">
        <f t="shared" si="8187"/>
        <v>0</v>
      </c>
      <c r="Q4188" s="1" t="str">
        <f t="shared" si="8156"/>
        <v>0.0070</v>
      </c>
      <c r="R4188" s="1" t="s">
        <v>25</v>
      </c>
      <c r="T4188" s="1" t="str">
        <f t="shared" si="8157"/>
        <v>0</v>
      </c>
      <c r="U4188" s="1" t="str">
        <f t="shared" si="8171"/>
        <v>0.0070</v>
      </c>
    </row>
    <row r="4189" s="1" customFormat="1" spans="1:21">
      <c r="A4189" s="1" t="str">
        <f>"4601992093540"</f>
        <v>4601992093540</v>
      </c>
      <c r="B4189" s="1" t="s">
        <v>4212</v>
      </c>
      <c r="C4189" s="1" t="s">
        <v>24</v>
      </c>
      <c r="D4189" s="1" t="str">
        <f t="shared" si="8154"/>
        <v>2021</v>
      </c>
      <c r="E4189" s="1" t="str">
        <f>"23.96"</f>
        <v>23.96</v>
      </c>
      <c r="F4189" s="1" t="str">
        <f t="shared" ref="F4189:I4189" si="8188">"0"</f>
        <v>0</v>
      </c>
      <c r="G4189" s="1" t="str">
        <f t="shared" si="8188"/>
        <v>0</v>
      </c>
      <c r="H4189" s="1" t="str">
        <f t="shared" si="8188"/>
        <v>0</v>
      </c>
      <c r="I4189" s="1" t="str">
        <f t="shared" si="8188"/>
        <v>0</v>
      </c>
      <c r="J4189" s="1" t="str">
        <f>"2"</f>
        <v>2</v>
      </c>
      <c r="K4189" s="1" t="str">
        <f t="shared" ref="K4189:P4189" si="8189">"0"</f>
        <v>0</v>
      </c>
      <c r="L4189" s="1" t="str">
        <f t="shared" si="8189"/>
        <v>0</v>
      </c>
      <c r="M4189" s="1" t="str">
        <f t="shared" si="8189"/>
        <v>0</v>
      </c>
      <c r="N4189" s="1" t="str">
        <f t="shared" si="8189"/>
        <v>0</v>
      </c>
      <c r="O4189" s="1" t="str">
        <f t="shared" si="8189"/>
        <v>0</v>
      </c>
      <c r="P4189" s="1" t="str">
        <f t="shared" si="8189"/>
        <v>0</v>
      </c>
      <c r="Q4189" s="1" t="str">
        <f t="shared" si="8156"/>
        <v>0.0070</v>
      </c>
      <c r="R4189" s="1" t="s">
        <v>29</v>
      </c>
      <c r="S4189" s="1">
        <v>-0.0014</v>
      </c>
      <c r="T4189" s="1" t="str">
        <f t="shared" si="8157"/>
        <v>0</v>
      </c>
      <c r="U4189" s="1" t="str">
        <f>"0.0056"</f>
        <v>0.0056</v>
      </c>
    </row>
    <row r="4190" s="1" customFormat="1" spans="1:21">
      <c r="A4190" s="1" t="str">
        <f>"4601992093678"</f>
        <v>4601992093678</v>
      </c>
      <c r="B4190" s="1" t="s">
        <v>4213</v>
      </c>
      <c r="C4190" s="1" t="s">
        <v>24</v>
      </c>
      <c r="D4190" s="1" t="str">
        <f t="shared" si="8154"/>
        <v>2021</v>
      </c>
      <c r="E4190" s="1" t="str">
        <f t="shared" ref="E4190:P4190" si="8190">"0"</f>
        <v>0</v>
      </c>
      <c r="F4190" s="1" t="str">
        <f t="shared" si="8190"/>
        <v>0</v>
      </c>
      <c r="G4190" s="1" t="str">
        <f t="shared" si="8190"/>
        <v>0</v>
      </c>
      <c r="H4190" s="1" t="str">
        <f t="shared" si="8190"/>
        <v>0</v>
      </c>
      <c r="I4190" s="1" t="str">
        <f t="shared" si="8190"/>
        <v>0</v>
      </c>
      <c r="J4190" s="1" t="str">
        <f t="shared" si="8190"/>
        <v>0</v>
      </c>
      <c r="K4190" s="1" t="str">
        <f t="shared" si="8190"/>
        <v>0</v>
      </c>
      <c r="L4190" s="1" t="str">
        <f t="shared" si="8190"/>
        <v>0</v>
      </c>
      <c r="M4190" s="1" t="str">
        <f t="shared" si="8190"/>
        <v>0</v>
      </c>
      <c r="N4190" s="1" t="str">
        <f t="shared" si="8190"/>
        <v>0</v>
      </c>
      <c r="O4190" s="1" t="str">
        <f t="shared" si="8190"/>
        <v>0</v>
      </c>
      <c r="P4190" s="1" t="str">
        <f t="shared" si="8190"/>
        <v>0</v>
      </c>
      <c r="Q4190" s="1" t="str">
        <f t="shared" si="8156"/>
        <v>0.0070</v>
      </c>
      <c r="R4190" s="1" t="s">
        <v>25</v>
      </c>
      <c r="T4190" s="1" t="str">
        <f t="shared" si="8157"/>
        <v>0</v>
      </c>
      <c r="U4190" s="1" t="str">
        <f t="shared" ref="U4190:U4205" si="8191">"0.0070"</f>
        <v>0.0070</v>
      </c>
    </row>
    <row r="4191" s="1" customFormat="1" spans="1:21">
      <c r="A4191" s="1" t="str">
        <f>"4601992093758"</f>
        <v>4601992093758</v>
      </c>
      <c r="B4191" s="1" t="s">
        <v>4214</v>
      </c>
      <c r="C4191" s="1" t="s">
        <v>24</v>
      </c>
      <c r="D4191" s="1" t="str">
        <f t="shared" si="8154"/>
        <v>2021</v>
      </c>
      <c r="E4191" s="1" t="str">
        <f t="shared" ref="E4191:P4191" si="8192">"0"</f>
        <v>0</v>
      </c>
      <c r="F4191" s="1" t="str">
        <f t="shared" si="8192"/>
        <v>0</v>
      </c>
      <c r="G4191" s="1" t="str">
        <f t="shared" si="8192"/>
        <v>0</v>
      </c>
      <c r="H4191" s="1" t="str">
        <f t="shared" si="8192"/>
        <v>0</v>
      </c>
      <c r="I4191" s="1" t="str">
        <f t="shared" si="8192"/>
        <v>0</v>
      </c>
      <c r="J4191" s="1" t="str">
        <f t="shared" si="8192"/>
        <v>0</v>
      </c>
      <c r="K4191" s="1" t="str">
        <f t="shared" si="8192"/>
        <v>0</v>
      </c>
      <c r="L4191" s="1" t="str">
        <f t="shared" si="8192"/>
        <v>0</v>
      </c>
      <c r="M4191" s="1" t="str">
        <f t="shared" si="8192"/>
        <v>0</v>
      </c>
      <c r="N4191" s="1" t="str">
        <f t="shared" si="8192"/>
        <v>0</v>
      </c>
      <c r="O4191" s="1" t="str">
        <f t="shared" si="8192"/>
        <v>0</v>
      </c>
      <c r="P4191" s="1" t="str">
        <f t="shared" si="8192"/>
        <v>0</v>
      </c>
      <c r="Q4191" s="1" t="str">
        <f t="shared" si="8156"/>
        <v>0.0070</v>
      </c>
      <c r="R4191" s="1" t="s">
        <v>25</v>
      </c>
      <c r="T4191" s="1" t="str">
        <f t="shared" si="8157"/>
        <v>0</v>
      </c>
      <c r="U4191" s="1" t="str">
        <f t="shared" si="8191"/>
        <v>0.0070</v>
      </c>
    </row>
    <row r="4192" s="1" customFormat="1" spans="1:21">
      <c r="A4192" s="1" t="str">
        <f>"4601992093818"</f>
        <v>4601992093818</v>
      </c>
      <c r="B4192" s="1" t="s">
        <v>4215</v>
      </c>
      <c r="C4192" s="1" t="s">
        <v>24</v>
      </c>
      <c r="D4192" s="1" t="str">
        <f t="shared" si="8154"/>
        <v>2021</v>
      </c>
      <c r="E4192" s="1" t="str">
        <f t="shared" ref="E4192:P4192" si="8193">"0"</f>
        <v>0</v>
      </c>
      <c r="F4192" s="1" t="str">
        <f t="shared" si="8193"/>
        <v>0</v>
      </c>
      <c r="G4192" s="1" t="str">
        <f t="shared" si="8193"/>
        <v>0</v>
      </c>
      <c r="H4192" s="1" t="str">
        <f t="shared" si="8193"/>
        <v>0</v>
      </c>
      <c r="I4192" s="1" t="str">
        <f t="shared" si="8193"/>
        <v>0</v>
      </c>
      <c r="J4192" s="1" t="str">
        <f t="shared" si="8193"/>
        <v>0</v>
      </c>
      <c r="K4192" s="1" t="str">
        <f t="shared" si="8193"/>
        <v>0</v>
      </c>
      <c r="L4192" s="1" t="str">
        <f t="shared" si="8193"/>
        <v>0</v>
      </c>
      <c r="M4192" s="1" t="str">
        <f t="shared" si="8193"/>
        <v>0</v>
      </c>
      <c r="N4192" s="1" t="str">
        <f t="shared" si="8193"/>
        <v>0</v>
      </c>
      <c r="O4192" s="1" t="str">
        <f t="shared" si="8193"/>
        <v>0</v>
      </c>
      <c r="P4192" s="1" t="str">
        <f t="shared" si="8193"/>
        <v>0</v>
      </c>
      <c r="Q4192" s="1" t="str">
        <f t="shared" si="8156"/>
        <v>0.0070</v>
      </c>
      <c r="R4192" s="1" t="s">
        <v>25</v>
      </c>
      <c r="T4192" s="1" t="str">
        <f t="shared" si="8157"/>
        <v>0</v>
      </c>
      <c r="U4192" s="1" t="str">
        <f t="shared" si="8191"/>
        <v>0.0070</v>
      </c>
    </row>
    <row r="4193" s="1" customFormat="1" spans="1:21">
      <c r="A4193" s="1" t="str">
        <f>"4601992094009"</f>
        <v>4601992094009</v>
      </c>
      <c r="B4193" s="1" t="s">
        <v>4216</v>
      </c>
      <c r="C4193" s="1" t="s">
        <v>24</v>
      </c>
      <c r="D4193" s="1" t="str">
        <f t="shared" si="8154"/>
        <v>2021</v>
      </c>
      <c r="E4193" s="1" t="str">
        <f t="shared" ref="E4193:P4193" si="8194">"0"</f>
        <v>0</v>
      </c>
      <c r="F4193" s="1" t="str">
        <f t="shared" si="8194"/>
        <v>0</v>
      </c>
      <c r="G4193" s="1" t="str">
        <f t="shared" si="8194"/>
        <v>0</v>
      </c>
      <c r="H4193" s="1" t="str">
        <f t="shared" si="8194"/>
        <v>0</v>
      </c>
      <c r="I4193" s="1" t="str">
        <f t="shared" si="8194"/>
        <v>0</v>
      </c>
      <c r="J4193" s="1" t="str">
        <f t="shared" si="8194"/>
        <v>0</v>
      </c>
      <c r="K4193" s="1" t="str">
        <f t="shared" si="8194"/>
        <v>0</v>
      </c>
      <c r="L4193" s="1" t="str">
        <f t="shared" si="8194"/>
        <v>0</v>
      </c>
      <c r="M4193" s="1" t="str">
        <f t="shared" si="8194"/>
        <v>0</v>
      </c>
      <c r="N4193" s="1" t="str">
        <f t="shared" si="8194"/>
        <v>0</v>
      </c>
      <c r="O4193" s="1" t="str">
        <f t="shared" si="8194"/>
        <v>0</v>
      </c>
      <c r="P4193" s="1" t="str">
        <f t="shared" si="8194"/>
        <v>0</v>
      </c>
      <c r="Q4193" s="1" t="str">
        <f t="shared" si="8156"/>
        <v>0.0070</v>
      </c>
      <c r="R4193" s="1" t="s">
        <v>25</v>
      </c>
      <c r="T4193" s="1" t="str">
        <f t="shared" si="8157"/>
        <v>0</v>
      </c>
      <c r="U4193" s="1" t="str">
        <f t="shared" si="8191"/>
        <v>0.0070</v>
      </c>
    </row>
    <row r="4194" s="1" customFormat="1" spans="1:21">
      <c r="A4194" s="1" t="str">
        <f>"4601992094027"</f>
        <v>4601992094027</v>
      </c>
      <c r="B4194" s="1" t="s">
        <v>4217</v>
      </c>
      <c r="C4194" s="1" t="s">
        <v>24</v>
      </c>
      <c r="D4194" s="1" t="str">
        <f t="shared" si="8154"/>
        <v>2021</v>
      </c>
      <c r="E4194" s="1" t="str">
        <f t="shared" ref="E4194:P4194" si="8195">"0"</f>
        <v>0</v>
      </c>
      <c r="F4194" s="1" t="str">
        <f t="shared" si="8195"/>
        <v>0</v>
      </c>
      <c r="G4194" s="1" t="str">
        <f t="shared" si="8195"/>
        <v>0</v>
      </c>
      <c r="H4194" s="1" t="str">
        <f t="shared" si="8195"/>
        <v>0</v>
      </c>
      <c r="I4194" s="1" t="str">
        <f t="shared" si="8195"/>
        <v>0</v>
      </c>
      <c r="J4194" s="1" t="str">
        <f t="shared" si="8195"/>
        <v>0</v>
      </c>
      <c r="K4194" s="1" t="str">
        <f t="shared" si="8195"/>
        <v>0</v>
      </c>
      <c r="L4194" s="1" t="str">
        <f t="shared" si="8195"/>
        <v>0</v>
      </c>
      <c r="M4194" s="1" t="str">
        <f t="shared" si="8195"/>
        <v>0</v>
      </c>
      <c r="N4194" s="1" t="str">
        <f t="shared" si="8195"/>
        <v>0</v>
      </c>
      <c r="O4194" s="1" t="str">
        <f t="shared" si="8195"/>
        <v>0</v>
      </c>
      <c r="P4194" s="1" t="str">
        <f t="shared" si="8195"/>
        <v>0</v>
      </c>
      <c r="Q4194" s="1" t="str">
        <f t="shared" si="8156"/>
        <v>0.0070</v>
      </c>
      <c r="R4194" s="1" t="s">
        <v>25</v>
      </c>
      <c r="T4194" s="1" t="str">
        <f t="shared" si="8157"/>
        <v>0</v>
      </c>
      <c r="U4194" s="1" t="str">
        <f t="shared" si="8191"/>
        <v>0.0070</v>
      </c>
    </row>
    <row r="4195" s="1" customFormat="1" spans="1:21">
      <c r="A4195" s="1" t="str">
        <f>"4601992094022"</f>
        <v>4601992094022</v>
      </c>
      <c r="B4195" s="1" t="s">
        <v>4218</v>
      </c>
      <c r="C4195" s="1" t="s">
        <v>24</v>
      </c>
      <c r="D4195" s="1" t="str">
        <f t="shared" si="8154"/>
        <v>2021</v>
      </c>
      <c r="E4195" s="1" t="str">
        <f t="shared" ref="E4195:P4195" si="8196">"0"</f>
        <v>0</v>
      </c>
      <c r="F4195" s="1" t="str">
        <f t="shared" si="8196"/>
        <v>0</v>
      </c>
      <c r="G4195" s="1" t="str">
        <f t="shared" si="8196"/>
        <v>0</v>
      </c>
      <c r="H4195" s="1" t="str">
        <f t="shared" si="8196"/>
        <v>0</v>
      </c>
      <c r="I4195" s="1" t="str">
        <f t="shared" si="8196"/>
        <v>0</v>
      </c>
      <c r="J4195" s="1" t="str">
        <f t="shared" si="8196"/>
        <v>0</v>
      </c>
      <c r="K4195" s="1" t="str">
        <f t="shared" si="8196"/>
        <v>0</v>
      </c>
      <c r="L4195" s="1" t="str">
        <f t="shared" si="8196"/>
        <v>0</v>
      </c>
      <c r="M4195" s="1" t="str">
        <f t="shared" si="8196"/>
        <v>0</v>
      </c>
      <c r="N4195" s="1" t="str">
        <f t="shared" si="8196"/>
        <v>0</v>
      </c>
      <c r="O4195" s="1" t="str">
        <f t="shared" si="8196"/>
        <v>0</v>
      </c>
      <c r="P4195" s="1" t="str">
        <f t="shared" si="8196"/>
        <v>0</v>
      </c>
      <c r="Q4195" s="1" t="str">
        <f t="shared" si="8156"/>
        <v>0.0070</v>
      </c>
      <c r="R4195" s="1" t="s">
        <v>25</v>
      </c>
      <c r="T4195" s="1" t="str">
        <f t="shared" si="8157"/>
        <v>0</v>
      </c>
      <c r="U4195" s="1" t="str">
        <f t="shared" si="8191"/>
        <v>0.0070</v>
      </c>
    </row>
    <row r="4196" s="1" customFormat="1" spans="1:21">
      <c r="A4196" s="1" t="str">
        <f>"4601992093882"</f>
        <v>4601992093882</v>
      </c>
      <c r="B4196" s="1" t="s">
        <v>4219</v>
      </c>
      <c r="C4196" s="1" t="s">
        <v>24</v>
      </c>
      <c r="D4196" s="1" t="str">
        <f t="shared" si="8154"/>
        <v>2021</v>
      </c>
      <c r="E4196" s="1" t="str">
        <f t="shared" ref="E4196:I4196" si="8197">"0"</f>
        <v>0</v>
      </c>
      <c r="F4196" s="1" t="str">
        <f t="shared" si="8197"/>
        <v>0</v>
      </c>
      <c r="G4196" s="1" t="str">
        <f t="shared" si="8197"/>
        <v>0</v>
      </c>
      <c r="H4196" s="1" t="str">
        <f t="shared" si="8197"/>
        <v>0</v>
      </c>
      <c r="I4196" s="1" t="str">
        <f t="shared" si="8197"/>
        <v>0</v>
      </c>
      <c r="J4196" s="1" t="str">
        <f>"1"</f>
        <v>1</v>
      </c>
      <c r="K4196" s="1" t="str">
        <f t="shared" ref="K4196:P4196" si="8198">"0"</f>
        <v>0</v>
      </c>
      <c r="L4196" s="1" t="str">
        <f t="shared" si="8198"/>
        <v>0</v>
      </c>
      <c r="M4196" s="1" t="str">
        <f t="shared" si="8198"/>
        <v>0</v>
      </c>
      <c r="N4196" s="1" t="str">
        <f t="shared" si="8198"/>
        <v>0</v>
      </c>
      <c r="O4196" s="1" t="str">
        <f t="shared" si="8198"/>
        <v>0</v>
      </c>
      <c r="P4196" s="1" t="str">
        <f t="shared" si="8198"/>
        <v>0</v>
      </c>
      <c r="Q4196" s="1" t="str">
        <f t="shared" si="8156"/>
        <v>0.0070</v>
      </c>
      <c r="R4196" s="1" t="s">
        <v>25</v>
      </c>
      <c r="T4196" s="1" t="str">
        <f t="shared" si="8157"/>
        <v>0</v>
      </c>
      <c r="U4196" s="1" t="str">
        <f t="shared" si="8191"/>
        <v>0.0070</v>
      </c>
    </row>
    <row r="4197" s="1" customFormat="1" spans="1:21">
      <c r="A4197" s="1" t="str">
        <f>"4601992094028"</f>
        <v>4601992094028</v>
      </c>
      <c r="B4197" s="1" t="s">
        <v>4220</v>
      </c>
      <c r="C4197" s="1" t="s">
        <v>24</v>
      </c>
      <c r="D4197" s="1" t="str">
        <f t="shared" si="8154"/>
        <v>2021</v>
      </c>
      <c r="E4197" s="1" t="str">
        <f t="shared" ref="E4197:P4197" si="8199">"0"</f>
        <v>0</v>
      </c>
      <c r="F4197" s="1" t="str">
        <f t="shared" si="8199"/>
        <v>0</v>
      </c>
      <c r="G4197" s="1" t="str">
        <f t="shared" si="8199"/>
        <v>0</v>
      </c>
      <c r="H4197" s="1" t="str">
        <f t="shared" si="8199"/>
        <v>0</v>
      </c>
      <c r="I4197" s="1" t="str">
        <f t="shared" si="8199"/>
        <v>0</v>
      </c>
      <c r="J4197" s="1" t="str">
        <f t="shared" si="8199"/>
        <v>0</v>
      </c>
      <c r="K4197" s="1" t="str">
        <f t="shared" si="8199"/>
        <v>0</v>
      </c>
      <c r="L4197" s="1" t="str">
        <f t="shared" si="8199"/>
        <v>0</v>
      </c>
      <c r="M4197" s="1" t="str">
        <f t="shared" si="8199"/>
        <v>0</v>
      </c>
      <c r="N4197" s="1" t="str">
        <f t="shared" si="8199"/>
        <v>0</v>
      </c>
      <c r="O4197" s="1" t="str">
        <f t="shared" si="8199"/>
        <v>0</v>
      </c>
      <c r="P4197" s="1" t="str">
        <f t="shared" si="8199"/>
        <v>0</v>
      </c>
      <c r="Q4197" s="1" t="str">
        <f t="shared" si="8156"/>
        <v>0.0070</v>
      </c>
      <c r="R4197" s="1" t="s">
        <v>25</v>
      </c>
      <c r="T4197" s="1" t="str">
        <f t="shared" si="8157"/>
        <v>0</v>
      </c>
      <c r="U4197" s="1" t="str">
        <f t="shared" si="8191"/>
        <v>0.0070</v>
      </c>
    </row>
    <row r="4198" s="1" customFormat="1" spans="1:21">
      <c r="A4198" s="1" t="str">
        <f>"4601992094135"</f>
        <v>4601992094135</v>
      </c>
      <c r="B4198" s="1" t="s">
        <v>4221</v>
      </c>
      <c r="C4198" s="1" t="s">
        <v>24</v>
      </c>
      <c r="D4198" s="1" t="str">
        <f t="shared" si="8154"/>
        <v>2021</v>
      </c>
      <c r="E4198" s="1" t="str">
        <f t="shared" ref="E4198:P4198" si="8200">"0"</f>
        <v>0</v>
      </c>
      <c r="F4198" s="1" t="str">
        <f t="shared" si="8200"/>
        <v>0</v>
      </c>
      <c r="G4198" s="1" t="str">
        <f t="shared" si="8200"/>
        <v>0</v>
      </c>
      <c r="H4198" s="1" t="str">
        <f t="shared" si="8200"/>
        <v>0</v>
      </c>
      <c r="I4198" s="1" t="str">
        <f t="shared" si="8200"/>
        <v>0</v>
      </c>
      <c r="J4198" s="1" t="str">
        <f t="shared" si="8200"/>
        <v>0</v>
      </c>
      <c r="K4198" s="1" t="str">
        <f t="shared" si="8200"/>
        <v>0</v>
      </c>
      <c r="L4198" s="1" t="str">
        <f t="shared" si="8200"/>
        <v>0</v>
      </c>
      <c r="M4198" s="1" t="str">
        <f t="shared" si="8200"/>
        <v>0</v>
      </c>
      <c r="N4198" s="1" t="str">
        <f t="shared" si="8200"/>
        <v>0</v>
      </c>
      <c r="O4198" s="1" t="str">
        <f t="shared" si="8200"/>
        <v>0</v>
      </c>
      <c r="P4198" s="1" t="str">
        <f t="shared" si="8200"/>
        <v>0</v>
      </c>
      <c r="Q4198" s="1" t="str">
        <f t="shared" si="8156"/>
        <v>0.0070</v>
      </c>
      <c r="R4198" s="1" t="s">
        <v>25</v>
      </c>
      <c r="T4198" s="1" t="str">
        <f t="shared" si="8157"/>
        <v>0</v>
      </c>
      <c r="U4198" s="1" t="str">
        <f t="shared" si="8191"/>
        <v>0.0070</v>
      </c>
    </row>
    <row r="4199" s="1" customFormat="1" spans="1:21">
      <c r="A4199" s="1" t="str">
        <f>"4601992094147"</f>
        <v>4601992094147</v>
      </c>
      <c r="B4199" s="1" t="s">
        <v>4222</v>
      </c>
      <c r="C4199" s="1" t="s">
        <v>24</v>
      </c>
      <c r="D4199" s="1" t="str">
        <f t="shared" si="8154"/>
        <v>2021</v>
      </c>
      <c r="E4199" s="1" t="str">
        <f t="shared" ref="E4199:P4199" si="8201">"0"</f>
        <v>0</v>
      </c>
      <c r="F4199" s="1" t="str">
        <f t="shared" si="8201"/>
        <v>0</v>
      </c>
      <c r="G4199" s="1" t="str">
        <f t="shared" si="8201"/>
        <v>0</v>
      </c>
      <c r="H4199" s="1" t="str">
        <f t="shared" si="8201"/>
        <v>0</v>
      </c>
      <c r="I4199" s="1" t="str">
        <f t="shared" si="8201"/>
        <v>0</v>
      </c>
      <c r="J4199" s="1" t="str">
        <f t="shared" si="8201"/>
        <v>0</v>
      </c>
      <c r="K4199" s="1" t="str">
        <f t="shared" si="8201"/>
        <v>0</v>
      </c>
      <c r="L4199" s="1" t="str">
        <f t="shared" si="8201"/>
        <v>0</v>
      </c>
      <c r="M4199" s="1" t="str">
        <f t="shared" si="8201"/>
        <v>0</v>
      </c>
      <c r="N4199" s="1" t="str">
        <f t="shared" si="8201"/>
        <v>0</v>
      </c>
      <c r="O4199" s="1" t="str">
        <f t="shared" si="8201"/>
        <v>0</v>
      </c>
      <c r="P4199" s="1" t="str">
        <f t="shared" si="8201"/>
        <v>0</v>
      </c>
      <c r="Q4199" s="1" t="str">
        <f t="shared" si="8156"/>
        <v>0.0070</v>
      </c>
      <c r="R4199" s="1" t="s">
        <v>25</v>
      </c>
      <c r="T4199" s="1" t="str">
        <f t="shared" si="8157"/>
        <v>0</v>
      </c>
      <c r="U4199" s="1" t="str">
        <f t="shared" si="8191"/>
        <v>0.0070</v>
      </c>
    </row>
    <row r="4200" s="1" customFormat="1" spans="1:21">
      <c r="A4200" s="1" t="str">
        <f>"4601992094209"</f>
        <v>4601992094209</v>
      </c>
      <c r="B4200" s="1" t="s">
        <v>4223</v>
      </c>
      <c r="C4200" s="1" t="s">
        <v>24</v>
      </c>
      <c r="D4200" s="1" t="str">
        <f t="shared" si="8154"/>
        <v>2021</v>
      </c>
      <c r="E4200" s="1" t="str">
        <f t="shared" ref="E4200:P4200" si="8202">"0"</f>
        <v>0</v>
      </c>
      <c r="F4200" s="1" t="str">
        <f t="shared" si="8202"/>
        <v>0</v>
      </c>
      <c r="G4200" s="1" t="str">
        <f t="shared" si="8202"/>
        <v>0</v>
      </c>
      <c r="H4200" s="1" t="str">
        <f t="shared" si="8202"/>
        <v>0</v>
      </c>
      <c r="I4200" s="1" t="str">
        <f t="shared" si="8202"/>
        <v>0</v>
      </c>
      <c r="J4200" s="1" t="str">
        <f t="shared" si="8202"/>
        <v>0</v>
      </c>
      <c r="K4200" s="1" t="str">
        <f t="shared" si="8202"/>
        <v>0</v>
      </c>
      <c r="L4200" s="1" t="str">
        <f t="shared" si="8202"/>
        <v>0</v>
      </c>
      <c r="M4200" s="1" t="str">
        <f t="shared" si="8202"/>
        <v>0</v>
      </c>
      <c r="N4200" s="1" t="str">
        <f t="shared" si="8202"/>
        <v>0</v>
      </c>
      <c r="O4200" s="1" t="str">
        <f t="shared" si="8202"/>
        <v>0</v>
      </c>
      <c r="P4200" s="1" t="str">
        <f t="shared" si="8202"/>
        <v>0</v>
      </c>
      <c r="Q4200" s="1" t="str">
        <f t="shared" si="8156"/>
        <v>0.0070</v>
      </c>
      <c r="R4200" s="1" t="s">
        <v>25</v>
      </c>
      <c r="T4200" s="1" t="str">
        <f t="shared" si="8157"/>
        <v>0</v>
      </c>
      <c r="U4200" s="1" t="str">
        <f t="shared" si="8191"/>
        <v>0.0070</v>
      </c>
    </row>
    <row r="4201" s="1" customFormat="1" spans="1:21">
      <c r="A4201" s="1" t="str">
        <f>"4601992094299"</f>
        <v>4601992094299</v>
      </c>
      <c r="B4201" s="1" t="s">
        <v>4224</v>
      </c>
      <c r="C4201" s="1" t="s">
        <v>24</v>
      </c>
      <c r="D4201" s="1" t="str">
        <f t="shared" si="8154"/>
        <v>2021</v>
      </c>
      <c r="E4201" s="1" t="str">
        <f t="shared" ref="E4201:P4201" si="8203">"0"</f>
        <v>0</v>
      </c>
      <c r="F4201" s="1" t="str">
        <f t="shared" si="8203"/>
        <v>0</v>
      </c>
      <c r="G4201" s="1" t="str">
        <f t="shared" si="8203"/>
        <v>0</v>
      </c>
      <c r="H4201" s="1" t="str">
        <f t="shared" si="8203"/>
        <v>0</v>
      </c>
      <c r="I4201" s="1" t="str">
        <f t="shared" si="8203"/>
        <v>0</v>
      </c>
      <c r="J4201" s="1" t="str">
        <f t="shared" si="8203"/>
        <v>0</v>
      </c>
      <c r="K4201" s="1" t="str">
        <f t="shared" si="8203"/>
        <v>0</v>
      </c>
      <c r="L4201" s="1" t="str">
        <f t="shared" si="8203"/>
        <v>0</v>
      </c>
      <c r="M4201" s="1" t="str">
        <f t="shared" si="8203"/>
        <v>0</v>
      </c>
      <c r="N4201" s="1" t="str">
        <f t="shared" si="8203"/>
        <v>0</v>
      </c>
      <c r="O4201" s="1" t="str">
        <f t="shared" si="8203"/>
        <v>0</v>
      </c>
      <c r="P4201" s="1" t="str">
        <f t="shared" si="8203"/>
        <v>0</v>
      </c>
      <c r="Q4201" s="1" t="str">
        <f t="shared" si="8156"/>
        <v>0.0070</v>
      </c>
      <c r="R4201" s="1" t="s">
        <v>25</v>
      </c>
      <c r="T4201" s="1" t="str">
        <f t="shared" si="8157"/>
        <v>0</v>
      </c>
      <c r="U4201" s="1" t="str">
        <f t="shared" si="8191"/>
        <v>0.0070</v>
      </c>
    </row>
    <row r="4202" s="1" customFormat="1" spans="1:21">
      <c r="A4202" s="1" t="str">
        <f>"4601992094428"</f>
        <v>4601992094428</v>
      </c>
      <c r="B4202" s="1" t="s">
        <v>4225</v>
      </c>
      <c r="C4202" s="1" t="s">
        <v>24</v>
      </c>
      <c r="D4202" s="1" t="str">
        <f t="shared" si="8154"/>
        <v>2021</v>
      </c>
      <c r="E4202" s="1" t="str">
        <f t="shared" ref="E4202:P4202" si="8204">"0"</f>
        <v>0</v>
      </c>
      <c r="F4202" s="1" t="str">
        <f t="shared" si="8204"/>
        <v>0</v>
      </c>
      <c r="G4202" s="1" t="str">
        <f t="shared" si="8204"/>
        <v>0</v>
      </c>
      <c r="H4202" s="1" t="str">
        <f t="shared" si="8204"/>
        <v>0</v>
      </c>
      <c r="I4202" s="1" t="str">
        <f t="shared" si="8204"/>
        <v>0</v>
      </c>
      <c r="J4202" s="1" t="str">
        <f t="shared" si="8204"/>
        <v>0</v>
      </c>
      <c r="K4202" s="1" t="str">
        <f t="shared" si="8204"/>
        <v>0</v>
      </c>
      <c r="L4202" s="1" t="str">
        <f t="shared" si="8204"/>
        <v>0</v>
      </c>
      <c r="M4202" s="1" t="str">
        <f t="shared" si="8204"/>
        <v>0</v>
      </c>
      <c r="N4202" s="1" t="str">
        <f t="shared" si="8204"/>
        <v>0</v>
      </c>
      <c r="O4202" s="1" t="str">
        <f t="shared" si="8204"/>
        <v>0</v>
      </c>
      <c r="P4202" s="1" t="str">
        <f t="shared" si="8204"/>
        <v>0</v>
      </c>
      <c r="Q4202" s="1" t="str">
        <f t="shared" si="8156"/>
        <v>0.0070</v>
      </c>
      <c r="R4202" s="1" t="s">
        <v>25</v>
      </c>
      <c r="T4202" s="1" t="str">
        <f t="shared" si="8157"/>
        <v>0</v>
      </c>
      <c r="U4202" s="1" t="str">
        <f t="shared" si="8191"/>
        <v>0.0070</v>
      </c>
    </row>
    <row r="4203" s="1" customFormat="1" spans="1:21">
      <c r="A4203" s="1" t="str">
        <f>"4601992094683"</f>
        <v>4601992094683</v>
      </c>
      <c r="B4203" s="1" t="s">
        <v>4226</v>
      </c>
      <c r="C4203" s="1" t="s">
        <v>24</v>
      </c>
      <c r="D4203" s="1" t="str">
        <f t="shared" si="8154"/>
        <v>2021</v>
      </c>
      <c r="E4203" s="1" t="str">
        <f t="shared" ref="E4203:G4203" si="8205">"0"</f>
        <v>0</v>
      </c>
      <c r="F4203" s="1" t="str">
        <f t="shared" si="8205"/>
        <v>0</v>
      </c>
      <c r="G4203" s="1" t="str">
        <f t="shared" si="8205"/>
        <v>0</v>
      </c>
      <c r="H4203" s="1" t="str">
        <f>"23.96"</f>
        <v>23.96</v>
      </c>
      <c r="I4203" s="1" t="str">
        <f t="shared" ref="I4203:P4203" si="8206">"0"</f>
        <v>0</v>
      </c>
      <c r="J4203" s="1" t="str">
        <f t="shared" si="8206"/>
        <v>0</v>
      </c>
      <c r="K4203" s="1" t="str">
        <f t="shared" si="8206"/>
        <v>0</v>
      </c>
      <c r="L4203" s="1" t="str">
        <f t="shared" si="8206"/>
        <v>0</v>
      </c>
      <c r="M4203" s="1" t="str">
        <f t="shared" si="8206"/>
        <v>0</v>
      </c>
      <c r="N4203" s="1" t="str">
        <f t="shared" si="8206"/>
        <v>0</v>
      </c>
      <c r="O4203" s="1" t="str">
        <f t="shared" si="8206"/>
        <v>0</v>
      </c>
      <c r="P4203" s="1" t="str">
        <f t="shared" si="8206"/>
        <v>0</v>
      </c>
      <c r="Q4203" s="1" t="str">
        <f t="shared" si="8156"/>
        <v>0.0070</v>
      </c>
      <c r="R4203" s="1" t="s">
        <v>25</v>
      </c>
      <c r="T4203" s="1" t="str">
        <f t="shared" si="8157"/>
        <v>0</v>
      </c>
      <c r="U4203" s="1" t="str">
        <f t="shared" si="8191"/>
        <v>0.0070</v>
      </c>
    </row>
    <row r="4204" s="1" customFormat="1" spans="1:21">
      <c r="A4204" s="1" t="str">
        <f>"4601992094811"</f>
        <v>4601992094811</v>
      </c>
      <c r="B4204" s="1" t="s">
        <v>4227</v>
      </c>
      <c r="C4204" s="1" t="s">
        <v>24</v>
      </c>
      <c r="D4204" s="1" t="str">
        <f t="shared" si="8154"/>
        <v>2021</v>
      </c>
      <c r="E4204" s="1" t="str">
        <f t="shared" ref="E4204:P4204" si="8207">"0"</f>
        <v>0</v>
      </c>
      <c r="F4204" s="1" t="str">
        <f t="shared" si="8207"/>
        <v>0</v>
      </c>
      <c r="G4204" s="1" t="str">
        <f t="shared" si="8207"/>
        <v>0</v>
      </c>
      <c r="H4204" s="1" t="str">
        <f t="shared" si="8207"/>
        <v>0</v>
      </c>
      <c r="I4204" s="1" t="str">
        <f t="shared" si="8207"/>
        <v>0</v>
      </c>
      <c r="J4204" s="1" t="str">
        <f t="shared" si="8207"/>
        <v>0</v>
      </c>
      <c r="K4204" s="1" t="str">
        <f t="shared" si="8207"/>
        <v>0</v>
      </c>
      <c r="L4204" s="1" t="str">
        <f t="shared" si="8207"/>
        <v>0</v>
      </c>
      <c r="M4204" s="1" t="str">
        <f t="shared" si="8207"/>
        <v>0</v>
      </c>
      <c r="N4204" s="1" t="str">
        <f t="shared" si="8207"/>
        <v>0</v>
      </c>
      <c r="O4204" s="1" t="str">
        <f t="shared" si="8207"/>
        <v>0</v>
      </c>
      <c r="P4204" s="1" t="str">
        <f t="shared" si="8207"/>
        <v>0</v>
      </c>
      <c r="Q4204" s="1" t="str">
        <f t="shared" si="8156"/>
        <v>0.0070</v>
      </c>
      <c r="R4204" s="1" t="s">
        <v>25</v>
      </c>
      <c r="T4204" s="1" t="str">
        <f t="shared" si="8157"/>
        <v>0</v>
      </c>
      <c r="U4204" s="1" t="str">
        <f t="shared" si="8191"/>
        <v>0.0070</v>
      </c>
    </row>
    <row r="4205" s="1" customFormat="1" spans="1:21">
      <c r="A4205" s="1" t="str">
        <f>"4601992094815"</f>
        <v>4601992094815</v>
      </c>
      <c r="B4205" s="1" t="s">
        <v>4228</v>
      </c>
      <c r="C4205" s="1" t="s">
        <v>24</v>
      </c>
      <c r="D4205" s="1" t="str">
        <f t="shared" si="8154"/>
        <v>2021</v>
      </c>
      <c r="E4205" s="1" t="str">
        <f t="shared" ref="E4205:P4205" si="8208">"0"</f>
        <v>0</v>
      </c>
      <c r="F4205" s="1" t="str">
        <f t="shared" si="8208"/>
        <v>0</v>
      </c>
      <c r="G4205" s="1" t="str">
        <f t="shared" si="8208"/>
        <v>0</v>
      </c>
      <c r="H4205" s="1" t="str">
        <f t="shared" si="8208"/>
        <v>0</v>
      </c>
      <c r="I4205" s="1" t="str">
        <f t="shared" si="8208"/>
        <v>0</v>
      </c>
      <c r="J4205" s="1" t="str">
        <f t="shared" si="8208"/>
        <v>0</v>
      </c>
      <c r="K4205" s="1" t="str">
        <f t="shared" si="8208"/>
        <v>0</v>
      </c>
      <c r="L4205" s="1" t="str">
        <f t="shared" si="8208"/>
        <v>0</v>
      </c>
      <c r="M4205" s="1" t="str">
        <f t="shared" si="8208"/>
        <v>0</v>
      </c>
      <c r="N4205" s="1" t="str">
        <f t="shared" si="8208"/>
        <v>0</v>
      </c>
      <c r="O4205" s="1" t="str">
        <f t="shared" si="8208"/>
        <v>0</v>
      </c>
      <c r="P4205" s="1" t="str">
        <f t="shared" si="8208"/>
        <v>0</v>
      </c>
      <c r="Q4205" s="1" t="str">
        <f t="shared" si="8156"/>
        <v>0.0070</v>
      </c>
      <c r="R4205" s="1" t="s">
        <v>25</v>
      </c>
      <c r="T4205" s="1" t="str">
        <f t="shared" si="8157"/>
        <v>0</v>
      </c>
      <c r="U4205" s="1" t="str">
        <f t="shared" si="8191"/>
        <v>0.0070</v>
      </c>
    </row>
    <row r="4206" s="1" customFormat="1" spans="1:21">
      <c r="A4206" s="1" t="str">
        <f>"4601992094458"</f>
        <v>4601992094458</v>
      </c>
      <c r="B4206" s="1" t="s">
        <v>4229</v>
      </c>
      <c r="C4206" s="1" t="s">
        <v>24</v>
      </c>
      <c r="D4206" s="1" t="str">
        <f t="shared" si="8154"/>
        <v>2021</v>
      </c>
      <c r="E4206" s="1" t="str">
        <f>"11.98"</f>
        <v>11.98</v>
      </c>
      <c r="F4206" s="1" t="str">
        <f t="shared" ref="F4206:I4206" si="8209">"0"</f>
        <v>0</v>
      </c>
      <c r="G4206" s="1" t="str">
        <f t="shared" si="8209"/>
        <v>0</v>
      </c>
      <c r="H4206" s="1" t="str">
        <f t="shared" si="8209"/>
        <v>0</v>
      </c>
      <c r="I4206" s="1" t="str">
        <f t="shared" si="8209"/>
        <v>0</v>
      </c>
      <c r="J4206" s="1" t="str">
        <f>"1"</f>
        <v>1</v>
      </c>
      <c r="K4206" s="1" t="str">
        <f t="shared" ref="K4206:P4206" si="8210">"0"</f>
        <v>0</v>
      </c>
      <c r="L4206" s="1" t="str">
        <f t="shared" si="8210"/>
        <v>0</v>
      </c>
      <c r="M4206" s="1" t="str">
        <f t="shared" si="8210"/>
        <v>0</v>
      </c>
      <c r="N4206" s="1" t="str">
        <f t="shared" si="8210"/>
        <v>0</v>
      </c>
      <c r="O4206" s="1" t="str">
        <f t="shared" si="8210"/>
        <v>0</v>
      </c>
      <c r="P4206" s="1" t="str">
        <f t="shared" si="8210"/>
        <v>0</v>
      </c>
      <c r="Q4206" s="1" t="str">
        <f t="shared" si="8156"/>
        <v>0.0070</v>
      </c>
      <c r="R4206" s="1" t="s">
        <v>29</v>
      </c>
      <c r="S4206" s="1">
        <v>-0.0014</v>
      </c>
      <c r="T4206" s="1" t="str">
        <f t="shared" si="8157"/>
        <v>0</v>
      </c>
      <c r="U4206" s="1" t="str">
        <f>"0.0056"</f>
        <v>0.0056</v>
      </c>
    </row>
    <row r="4207" s="1" customFormat="1" spans="1:21">
      <c r="A4207" s="1" t="str">
        <f>"4601992094835"</f>
        <v>4601992094835</v>
      </c>
      <c r="B4207" s="1" t="s">
        <v>4230</v>
      </c>
      <c r="C4207" s="1" t="s">
        <v>24</v>
      </c>
      <c r="D4207" s="1" t="str">
        <f t="shared" si="8154"/>
        <v>2021</v>
      </c>
      <c r="E4207" s="1" t="str">
        <f t="shared" ref="E4207:P4207" si="8211">"0"</f>
        <v>0</v>
      </c>
      <c r="F4207" s="1" t="str">
        <f t="shared" si="8211"/>
        <v>0</v>
      </c>
      <c r="G4207" s="1" t="str">
        <f t="shared" si="8211"/>
        <v>0</v>
      </c>
      <c r="H4207" s="1" t="str">
        <f t="shared" si="8211"/>
        <v>0</v>
      </c>
      <c r="I4207" s="1" t="str">
        <f t="shared" si="8211"/>
        <v>0</v>
      </c>
      <c r="J4207" s="1" t="str">
        <f t="shared" si="8211"/>
        <v>0</v>
      </c>
      <c r="K4207" s="1" t="str">
        <f t="shared" si="8211"/>
        <v>0</v>
      </c>
      <c r="L4207" s="1" t="str">
        <f t="shared" si="8211"/>
        <v>0</v>
      </c>
      <c r="M4207" s="1" t="str">
        <f t="shared" si="8211"/>
        <v>0</v>
      </c>
      <c r="N4207" s="1" t="str">
        <f t="shared" si="8211"/>
        <v>0</v>
      </c>
      <c r="O4207" s="1" t="str">
        <f t="shared" si="8211"/>
        <v>0</v>
      </c>
      <c r="P4207" s="1" t="str">
        <f t="shared" si="8211"/>
        <v>0</v>
      </c>
      <c r="Q4207" s="1" t="str">
        <f t="shared" si="8156"/>
        <v>0.0070</v>
      </c>
      <c r="R4207" s="1" t="s">
        <v>25</v>
      </c>
      <c r="T4207" s="1" t="str">
        <f t="shared" si="8157"/>
        <v>0</v>
      </c>
      <c r="U4207" s="1" t="str">
        <f t="shared" ref="U4207:U4220" si="8212">"0.0070"</f>
        <v>0.0070</v>
      </c>
    </row>
    <row r="4208" s="1" customFormat="1" spans="1:21">
      <c r="A4208" s="1" t="str">
        <f>"4601992094982"</f>
        <v>4601992094982</v>
      </c>
      <c r="B4208" s="1" t="s">
        <v>4231</v>
      </c>
      <c r="C4208" s="1" t="s">
        <v>24</v>
      </c>
      <c r="D4208" s="1" t="str">
        <f t="shared" si="8154"/>
        <v>2021</v>
      </c>
      <c r="E4208" s="1" t="str">
        <f t="shared" ref="E4208:P4208" si="8213">"0"</f>
        <v>0</v>
      </c>
      <c r="F4208" s="1" t="str">
        <f t="shared" si="8213"/>
        <v>0</v>
      </c>
      <c r="G4208" s="1" t="str">
        <f t="shared" si="8213"/>
        <v>0</v>
      </c>
      <c r="H4208" s="1" t="str">
        <f t="shared" si="8213"/>
        <v>0</v>
      </c>
      <c r="I4208" s="1" t="str">
        <f t="shared" si="8213"/>
        <v>0</v>
      </c>
      <c r="J4208" s="1" t="str">
        <f t="shared" si="8213"/>
        <v>0</v>
      </c>
      <c r="K4208" s="1" t="str">
        <f t="shared" si="8213"/>
        <v>0</v>
      </c>
      <c r="L4208" s="1" t="str">
        <f t="shared" si="8213"/>
        <v>0</v>
      </c>
      <c r="M4208" s="1" t="str">
        <f t="shared" si="8213"/>
        <v>0</v>
      </c>
      <c r="N4208" s="1" t="str">
        <f t="shared" si="8213"/>
        <v>0</v>
      </c>
      <c r="O4208" s="1" t="str">
        <f t="shared" si="8213"/>
        <v>0</v>
      </c>
      <c r="P4208" s="1" t="str">
        <f t="shared" si="8213"/>
        <v>0</v>
      </c>
      <c r="Q4208" s="1" t="str">
        <f t="shared" si="8156"/>
        <v>0.0070</v>
      </c>
      <c r="R4208" s="1" t="s">
        <v>25</v>
      </c>
      <c r="T4208" s="1" t="str">
        <f t="shared" si="8157"/>
        <v>0</v>
      </c>
      <c r="U4208" s="1" t="str">
        <f t="shared" si="8212"/>
        <v>0.0070</v>
      </c>
    </row>
    <row r="4209" s="1" customFormat="1" spans="1:21">
      <c r="A4209" s="1" t="str">
        <f>"4601992094989"</f>
        <v>4601992094989</v>
      </c>
      <c r="B4209" s="1" t="s">
        <v>4232</v>
      </c>
      <c r="C4209" s="1" t="s">
        <v>24</v>
      </c>
      <c r="D4209" s="1" t="str">
        <f t="shared" si="8154"/>
        <v>2021</v>
      </c>
      <c r="E4209" s="1" t="str">
        <f t="shared" ref="E4209:P4209" si="8214">"0"</f>
        <v>0</v>
      </c>
      <c r="F4209" s="1" t="str">
        <f t="shared" si="8214"/>
        <v>0</v>
      </c>
      <c r="G4209" s="1" t="str">
        <f t="shared" si="8214"/>
        <v>0</v>
      </c>
      <c r="H4209" s="1" t="str">
        <f t="shared" si="8214"/>
        <v>0</v>
      </c>
      <c r="I4209" s="1" t="str">
        <f t="shared" si="8214"/>
        <v>0</v>
      </c>
      <c r="J4209" s="1" t="str">
        <f t="shared" si="8214"/>
        <v>0</v>
      </c>
      <c r="K4209" s="1" t="str">
        <f t="shared" si="8214"/>
        <v>0</v>
      </c>
      <c r="L4209" s="1" t="str">
        <f t="shared" si="8214"/>
        <v>0</v>
      </c>
      <c r="M4209" s="1" t="str">
        <f t="shared" si="8214"/>
        <v>0</v>
      </c>
      <c r="N4209" s="1" t="str">
        <f t="shared" si="8214"/>
        <v>0</v>
      </c>
      <c r="O4209" s="1" t="str">
        <f t="shared" si="8214"/>
        <v>0</v>
      </c>
      <c r="P4209" s="1" t="str">
        <f t="shared" si="8214"/>
        <v>0</v>
      </c>
      <c r="Q4209" s="1" t="str">
        <f t="shared" si="8156"/>
        <v>0.0070</v>
      </c>
      <c r="R4209" s="1" t="s">
        <v>25</v>
      </c>
      <c r="T4209" s="1" t="str">
        <f t="shared" si="8157"/>
        <v>0</v>
      </c>
      <c r="U4209" s="1" t="str">
        <f t="shared" si="8212"/>
        <v>0.0070</v>
      </c>
    </row>
    <row r="4210" s="1" customFormat="1" spans="1:21">
      <c r="A4210" s="1" t="str">
        <f>"4601992094996"</f>
        <v>4601992094996</v>
      </c>
      <c r="B4210" s="1" t="s">
        <v>4233</v>
      </c>
      <c r="C4210" s="1" t="s">
        <v>24</v>
      </c>
      <c r="D4210" s="1" t="str">
        <f t="shared" si="8154"/>
        <v>2021</v>
      </c>
      <c r="E4210" s="1" t="str">
        <f t="shared" ref="E4210:P4210" si="8215">"0"</f>
        <v>0</v>
      </c>
      <c r="F4210" s="1" t="str">
        <f t="shared" si="8215"/>
        <v>0</v>
      </c>
      <c r="G4210" s="1" t="str">
        <f t="shared" si="8215"/>
        <v>0</v>
      </c>
      <c r="H4210" s="1" t="str">
        <f t="shared" si="8215"/>
        <v>0</v>
      </c>
      <c r="I4210" s="1" t="str">
        <f t="shared" si="8215"/>
        <v>0</v>
      </c>
      <c r="J4210" s="1" t="str">
        <f t="shared" si="8215"/>
        <v>0</v>
      </c>
      <c r="K4210" s="1" t="str">
        <f t="shared" si="8215"/>
        <v>0</v>
      </c>
      <c r="L4210" s="1" t="str">
        <f t="shared" si="8215"/>
        <v>0</v>
      </c>
      <c r="M4210" s="1" t="str">
        <f t="shared" si="8215"/>
        <v>0</v>
      </c>
      <c r="N4210" s="1" t="str">
        <f t="shared" si="8215"/>
        <v>0</v>
      </c>
      <c r="O4210" s="1" t="str">
        <f t="shared" si="8215"/>
        <v>0</v>
      </c>
      <c r="P4210" s="1" t="str">
        <f t="shared" si="8215"/>
        <v>0</v>
      </c>
      <c r="Q4210" s="1" t="str">
        <f t="shared" si="8156"/>
        <v>0.0070</v>
      </c>
      <c r="R4210" s="1" t="s">
        <v>25</v>
      </c>
      <c r="T4210" s="1" t="str">
        <f t="shared" si="8157"/>
        <v>0</v>
      </c>
      <c r="U4210" s="1" t="str">
        <f t="shared" si="8212"/>
        <v>0.0070</v>
      </c>
    </row>
    <row r="4211" s="1" customFormat="1" spans="1:21">
      <c r="A4211" s="1" t="str">
        <f>"4601992095038"</f>
        <v>4601992095038</v>
      </c>
      <c r="B4211" s="1" t="s">
        <v>4234</v>
      </c>
      <c r="C4211" s="1" t="s">
        <v>24</v>
      </c>
      <c r="D4211" s="1" t="str">
        <f t="shared" si="8154"/>
        <v>2021</v>
      </c>
      <c r="E4211" s="1" t="str">
        <f t="shared" ref="E4211:P4211" si="8216">"0"</f>
        <v>0</v>
      </c>
      <c r="F4211" s="1" t="str">
        <f t="shared" si="8216"/>
        <v>0</v>
      </c>
      <c r="G4211" s="1" t="str">
        <f t="shared" si="8216"/>
        <v>0</v>
      </c>
      <c r="H4211" s="1" t="str">
        <f t="shared" si="8216"/>
        <v>0</v>
      </c>
      <c r="I4211" s="1" t="str">
        <f t="shared" si="8216"/>
        <v>0</v>
      </c>
      <c r="J4211" s="1" t="str">
        <f t="shared" si="8216"/>
        <v>0</v>
      </c>
      <c r="K4211" s="1" t="str">
        <f t="shared" si="8216"/>
        <v>0</v>
      </c>
      <c r="L4211" s="1" t="str">
        <f t="shared" si="8216"/>
        <v>0</v>
      </c>
      <c r="M4211" s="1" t="str">
        <f t="shared" si="8216"/>
        <v>0</v>
      </c>
      <c r="N4211" s="1" t="str">
        <f t="shared" si="8216"/>
        <v>0</v>
      </c>
      <c r="O4211" s="1" t="str">
        <f t="shared" si="8216"/>
        <v>0</v>
      </c>
      <c r="P4211" s="1" t="str">
        <f t="shared" si="8216"/>
        <v>0</v>
      </c>
      <c r="Q4211" s="1" t="str">
        <f t="shared" si="8156"/>
        <v>0.0070</v>
      </c>
      <c r="R4211" s="1" t="s">
        <v>25</v>
      </c>
      <c r="T4211" s="1" t="str">
        <f t="shared" si="8157"/>
        <v>0</v>
      </c>
      <c r="U4211" s="1" t="str">
        <f t="shared" si="8212"/>
        <v>0.0070</v>
      </c>
    </row>
    <row r="4212" s="1" customFormat="1" spans="1:21">
      <c r="A4212" s="1" t="str">
        <f>"4601992095064"</f>
        <v>4601992095064</v>
      </c>
      <c r="B4212" s="1" t="s">
        <v>4235</v>
      </c>
      <c r="C4212" s="1" t="s">
        <v>24</v>
      </c>
      <c r="D4212" s="1" t="str">
        <f t="shared" si="8154"/>
        <v>2021</v>
      </c>
      <c r="E4212" s="1" t="str">
        <f t="shared" ref="E4212:P4212" si="8217">"0"</f>
        <v>0</v>
      </c>
      <c r="F4212" s="1" t="str">
        <f t="shared" si="8217"/>
        <v>0</v>
      </c>
      <c r="G4212" s="1" t="str">
        <f t="shared" si="8217"/>
        <v>0</v>
      </c>
      <c r="H4212" s="1" t="str">
        <f t="shared" si="8217"/>
        <v>0</v>
      </c>
      <c r="I4212" s="1" t="str">
        <f t="shared" si="8217"/>
        <v>0</v>
      </c>
      <c r="J4212" s="1" t="str">
        <f t="shared" si="8217"/>
        <v>0</v>
      </c>
      <c r="K4212" s="1" t="str">
        <f t="shared" si="8217"/>
        <v>0</v>
      </c>
      <c r="L4212" s="1" t="str">
        <f t="shared" si="8217"/>
        <v>0</v>
      </c>
      <c r="M4212" s="1" t="str">
        <f t="shared" si="8217"/>
        <v>0</v>
      </c>
      <c r="N4212" s="1" t="str">
        <f t="shared" si="8217"/>
        <v>0</v>
      </c>
      <c r="O4212" s="1" t="str">
        <f t="shared" si="8217"/>
        <v>0</v>
      </c>
      <c r="P4212" s="1" t="str">
        <f t="shared" si="8217"/>
        <v>0</v>
      </c>
      <c r="Q4212" s="1" t="str">
        <f t="shared" si="8156"/>
        <v>0.0070</v>
      </c>
      <c r="R4212" s="1" t="s">
        <v>25</v>
      </c>
      <c r="T4212" s="1" t="str">
        <f t="shared" si="8157"/>
        <v>0</v>
      </c>
      <c r="U4212" s="1" t="str">
        <f t="shared" si="8212"/>
        <v>0.0070</v>
      </c>
    </row>
    <row r="4213" s="1" customFormat="1" spans="1:21">
      <c r="A4213" s="1" t="str">
        <f>"4601992095092"</f>
        <v>4601992095092</v>
      </c>
      <c r="B4213" s="1" t="s">
        <v>4236</v>
      </c>
      <c r="C4213" s="1" t="s">
        <v>24</v>
      </c>
      <c r="D4213" s="1" t="str">
        <f t="shared" si="8154"/>
        <v>2021</v>
      </c>
      <c r="E4213" s="1" t="str">
        <f t="shared" ref="E4213:P4213" si="8218">"0"</f>
        <v>0</v>
      </c>
      <c r="F4213" s="1" t="str">
        <f t="shared" si="8218"/>
        <v>0</v>
      </c>
      <c r="G4213" s="1" t="str">
        <f t="shared" si="8218"/>
        <v>0</v>
      </c>
      <c r="H4213" s="1" t="str">
        <f t="shared" si="8218"/>
        <v>0</v>
      </c>
      <c r="I4213" s="1" t="str">
        <f t="shared" si="8218"/>
        <v>0</v>
      </c>
      <c r="J4213" s="1" t="str">
        <f t="shared" si="8218"/>
        <v>0</v>
      </c>
      <c r="K4213" s="1" t="str">
        <f t="shared" si="8218"/>
        <v>0</v>
      </c>
      <c r="L4213" s="1" t="str">
        <f t="shared" si="8218"/>
        <v>0</v>
      </c>
      <c r="M4213" s="1" t="str">
        <f t="shared" si="8218"/>
        <v>0</v>
      </c>
      <c r="N4213" s="1" t="str">
        <f t="shared" si="8218"/>
        <v>0</v>
      </c>
      <c r="O4213" s="1" t="str">
        <f t="shared" si="8218"/>
        <v>0</v>
      </c>
      <c r="P4213" s="1" t="str">
        <f t="shared" si="8218"/>
        <v>0</v>
      </c>
      <c r="Q4213" s="1" t="str">
        <f t="shared" si="8156"/>
        <v>0.0070</v>
      </c>
      <c r="R4213" s="1" t="s">
        <v>25</v>
      </c>
      <c r="T4213" s="1" t="str">
        <f t="shared" si="8157"/>
        <v>0</v>
      </c>
      <c r="U4213" s="1" t="str">
        <f t="shared" si="8212"/>
        <v>0.0070</v>
      </c>
    </row>
    <row r="4214" s="1" customFormat="1" spans="1:21">
      <c r="A4214" s="1" t="str">
        <f>"4601992095091"</f>
        <v>4601992095091</v>
      </c>
      <c r="B4214" s="1" t="s">
        <v>4237</v>
      </c>
      <c r="C4214" s="1" t="s">
        <v>24</v>
      </c>
      <c r="D4214" s="1" t="str">
        <f t="shared" si="8154"/>
        <v>2021</v>
      </c>
      <c r="E4214" s="1" t="str">
        <f t="shared" ref="E4214:P4214" si="8219">"0"</f>
        <v>0</v>
      </c>
      <c r="F4214" s="1" t="str">
        <f t="shared" si="8219"/>
        <v>0</v>
      </c>
      <c r="G4214" s="1" t="str">
        <f t="shared" si="8219"/>
        <v>0</v>
      </c>
      <c r="H4214" s="1" t="str">
        <f t="shared" si="8219"/>
        <v>0</v>
      </c>
      <c r="I4214" s="1" t="str">
        <f t="shared" si="8219"/>
        <v>0</v>
      </c>
      <c r="J4214" s="1" t="str">
        <f t="shared" si="8219"/>
        <v>0</v>
      </c>
      <c r="K4214" s="1" t="str">
        <f t="shared" si="8219"/>
        <v>0</v>
      </c>
      <c r="L4214" s="1" t="str">
        <f t="shared" si="8219"/>
        <v>0</v>
      </c>
      <c r="M4214" s="1" t="str">
        <f t="shared" si="8219"/>
        <v>0</v>
      </c>
      <c r="N4214" s="1" t="str">
        <f t="shared" si="8219"/>
        <v>0</v>
      </c>
      <c r="O4214" s="1" t="str">
        <f t="shared" si="8219"/>
        <v>0</v>
      </c>
      <c r="P4214" s="1" t="str">
        <f t="shared" si="8219"/>
        <v>0</v>
      </c>
      <c r="Q4214" s="1" t="str">
        <f t="shared" si="8156"/>
        <v>0.0070</v>
      </c>
      <c r="R4214" s="1" t="s">
        <v>25</v>
      </c>
      <c r="T4214" s="1" t="str">
        <f t="shared" si="8157"/>
        <v>0</v>
      </c>
      <c r="U4214" s="1" t="str">
        <f t="shared" si="8212"/>
        <v>0.0070</v>
      </c>
    </row>
    <row r="4215" s="1" customFormat="1" spans="1:21">
      <c r="A4215" s="1" t="str">
        <f>"4601992095301"</f>
        <v>4601992095301</v>
      </c>
      <c r="B4215" s="1" t="s">
        <v>4238</v>
      </c>
      <c r="C4215" s="1" t="s">
        <v>24</v>
      </c>
      <c r="D4215" s="1" t="str">
        <f t="shared" si="8154"/>
        <v>2021</v>
      </c>
      <c r="E4215" s="1" t="str">
        <f t="shared" ref="E4215:P4215" si="8220">"0"</f>
        <v>0</v>
      </c>
      <c r="F4215" s="1" t="str">
        <f t="shared" si="8220"/>
        <v>0</v>
      </c>
      <c r="G4215" s="1" t="str">
        <f t="shared" si="8220"/>
        <v>0</v>
      </c>
      <c r="H4215" s="1" t="str">
        <f t="shared" si="8220"/>
        <v>0</v>
      </c>
      <c r="I4215" s="1" t="str">
        <f t="shared" si="8220"/>
        <v>0</v>
      </c>
      <c r="J4215" s="1" t="str">
        <f t="shared" si="8220"/>
        <v>0</v>
      </c>
      <c r="K4215" s="1" t="str">
        <f t="shared" si="8220"/>
        <v>0</v>
      </c>
      <c r="L4215" s="1" t="str">
        <f t="shared" si="8220"/>
        <v>0</v>
      </c>
      <c r="M4215" s="1" t="str">
        <f t="shared" si="8220"/>
        <v>0</v>
      </c>
      <c r="N4215" s="1" t="str">
        <f t="shared" si="8220"/>
        <v>0</v>
      </c>
      <c r="O4215" s="1" t="str">
        <f t="shared" si="8220"/>
        <v>0</v>
      </c>
      <c r="P4215" s="1" t="str">
        <f t="shared" si="8220"/>
        <v>0</v>
      </c>
      <c r="Q4215" s="1" t="str">
        <f t="shared" si="8156"/>
        <v>0.0070</v>
      </c>
      <c r="R4215" s="1" t="s">
        <v>25</v>
      </c>
      <c r="T4215" s="1" t="str">
        <f t="shared" si="8157"/>
        <v>0</v>
      </c>
      <c r="U4215" s="1" t="str">
        <f t="shared" si="8212"/>
        <v>0.0070</v>
      </c>
    </row>
    <row r="4216" s="1" customFormat="1" spans="1:21">
      <c r="A4216" s="1" t="str">
        <f>"4601992095334"</f>
        <v>4601992095334</v>
      </c>
      <c r="B4216" s="1" t="s">
        <v>4239</v>
      </c>
      <c r="C4216" s="1" t="s">
        <v>24</v>
      </c>
      <c r="D4216" s="1" t="str">
        <f t="shared" si="8154"/>
        <v>2021</v>
      </c>
      <c r="E4216" s="1" t="str">
        <f t="shared" ref="E4216:P4216" si="8221">"0"</f>
        <v>0</v>
      </c>
      <c r="F4216" s="1" t="str">
        <f t="shared" si="8221"/>
        <v>0</v>
      </c>
      <c r="G4216" s="1" t="str">
        <f t="shared" si="8221"/>
        <v>0</v>
      </c>
      <c r="H4216" s="1" t="str">
        <f t="shared" si="8221"/>
        <v>0</v>
      </c>
      <c r="I4216" s="1" t="str">
        <f t="shared" si="8221"/>
        <v>0</v>
      </c>
      <c r="J4216" s="1" t="str">
        <f t="shared" si="8221"/>
        <v>0</v>
      </c>
      <c r="K4216" s="1" t="str">
        <f t="shared" si="8221"/>
        <v>0</v>
      </c>
      <c r="L4216" s="1" t="str">
        <f t="shared" si="8221"/>
        <v>0</v>
      </c>
      <c r="M4216" s="1" t="str">
        <f t="shared" si="8221"/>
        <v>0</v>
      </c>
      <c r="N4216" s="1" t="str">
        <f t="shared" si="8221"/>
        <v>0</v>
      </c>
      <c r="O4216" s="1" t="str">
        <f t="shared" si="8221"/>
        <v>0</v>
      </c>
      <c r="P4216" s="1" t="str">
        <f t="shared" si="8221"/>
        <v>0</v>
      </c>
      <c r="Q4216" s="1" t="str">
        <f t="shared" si="8156"/>
        <v>0.0070</v>
      </c>
      <c r="R4216" s="1" t="s">
        <v>25</v>
      </c>
      <c r="T4216" s="1" t="str">
        <f t="shared" si="8157"/>
        <v>0</v>
      </c>
      <c r="U4216" s="1" t="str">
        <f t="shared" si="8212"/>
        <v>0.0070</v>
      </c>
    </row>
    <row r="4217" s="1" customFormat="1" spans="1:21">
      <c r="A4217" s="1" t="str">
        <f>"4601992095502"</f>
        <v>4601992095502</v>
      </c>
      <c r="B4217" s="1" t="s">
        <v>4240</v>
      </c>
      <c r="C4217" s="1" t="s">
        <v>24</v>
      </c>
      <c r="D4217" s="1" t="str">
        <f t="shared" si="8154"/>
        <v>2021</v>
      </c>
      <c r="E4217" s="1" t="str">
        <f t="shared" ref="E4217:P4217" si="8222">"0"</f>
        <v>0</v>
      </c>
      <c r="F4217" s="1" t="str">
        <f t="shared" si="8222"/>
        <v>0</v>
      </c>
      <c r="G4217" s="1" t="str">
        <f t="shared" si="8222"/>
        <v>0</v>
      </c>
      <c r="H4217" s="1" t="str">
        <f t="shared" si="8222"/>
        <v>0</v>
      </c>
      <c r="I4217" s="1" t="str">
        <f t="shared" si="8222"/>
        <v>0</v>
      </c>
      <c r="J4217" s="1" t="str">
        <f t="shared" si="8222"/>
        <v>0</v>
      </c>
      <c r="K4217" s="1" t="str">
        <f t="shared" si="8222"/>
        <v>0</v>
      </c>
      <c r="L4217" s="1" t="str">
        <f t="shared" si="8222"/>
        <v>0</v>
      </c>
      <c r="M4217" s="1" t="str">
        <f t="shared" si="8222"/>
        <v>0</v>
      </c>
      <c r="N4217" s="1" t="str">
        <f t="shared" si="8222"/>
        <v>0</v>
      </c>
      <c r="O4217" s="1" t="str">
        <f t="shared" si="8222"/>
        <v>0</v>
      </c>
      <c r="P4217" s="1" t="str">
        <f t="shared" si="8222"/>
        <v>0</v>
      </c>
      <c r="Q4217" s="1" t="str">
        <f t="shared" si="8156"/>
        <v>0.0070</v>
      </c>
      <c r="R4217" s="1" t="s">
        <v>25</v>
      </c>
      <c r="T4217" s="1" t="str">
        <f t="shared" si="8157"/>
        <v>0</v>
      </c>
      <c r="U4217" s="1" t="str">
        <f t="shared" si="8212"/>
        <v>0.0070</v>
      </c>
    </row>
    <row r="4218" s="1" customFormat="1" spans="1:21">
      <c r="A4218" s="1" t="str">
        <f>"4601992095652"</f>
        <v>4601992095652</v>
      </c>
      <c r="B4218" s="1" t="s">
        <v>4241</v>
      </c>
      <c r="C4218" s="1" t="s">
        <v>24</v>
      </c>
      <c r="D4218" s="1" t="str">
        <f t="shared" si="8154"/>
        <v>2021</v>
      </c>
      <c r="E4218" s="1" t="str">
        <f t="shared" ref="E4218:P4218" si="8223">"0"</f>
        <v>0</v>
      </c>
      <c r="F4218" s="1" t="str">
        <f t="shared" si="8223"/>
        <v>0</v>
      </c>
      <c r="G4218" s="1" t="str">
        <f t="shared" si="8223"/>
        <v>0</v>
      </c>
      <c r="H4218" s="1" t="str">
        <f t="shared" si="8223"/>
        <v>0</v>
      </c>
      <c r="I4218" s="1" t="str">
        <f t="shared" si="8223"/>
        <v>0</v>
      </c>
      <c r="J4218" s="1" t="str">
        <f t="shared" si="8223"/>
        <v>0</v>
      </c>
      <c r="K4218" s="1" t="str">
        <f t="shared" si="8223"/>
        <v>0</v>
      </c>
      <c r="L4218" s="1" t="str">
        <f t="shared" si="8223"/>
        <v>0</v>
      </c>
      <c r="M4218" s="1" t="str">
        <f t="shared" si="8223"/>
        <v>0</v>
      </c>
      <c r="N4218" s="1" t="str">
        <f t="shared" si="8223"/>
        <v>0</v>
      </c>
      <c r="O4218" s="1" t="str">
        <f t="shared" si="8223"/>
        <v>0</v>
      </c>
      <c r="P4218" s="1" t="str">
        <f t="shared" si="8223"/>
        <v>0</v>
      </c>
      <c r="Q4218" s="1" t="str">
        <f t="shared" si="8156"/>
        <v>0.0070</v>
      </c>
      <c r="R4218" s="1" t="s">
        <v>25</v>
      </c>
      <c r="T4218" s="1" t="str">
        <f t="shared" si="8157"/>
        <v>0</v>
      </c>
      <c r="U4218" s="1" t="str">
        <f t="shared" si="8212"/>
        <v>0.0070</v>
      </c>
    </row>
    <row r="4219" s="1" customFormat="1" spans="1:21">
      <c r="A4219" s="1" t="str">
        <f>"4601992095654"</f>
        <v>4601992095654</v>
      </c>
      <c r="B4219" s="1" t="s">
        <v>4242</v>
      </c>
      <c r="C4219" s="1" t="s">
        <v>24</v>
      </c>
      <c r="D4219" s="1" t="str">
        <f t="shared" si="8154"/>
        <v>2021</v>
      </c>
      <c r="E4219" s="1" t="str">
        <f t="shared" ref="E4219:P4219" si="8224">"0"</f>
        <v>0</v>
      </c>
      <c r="F4219" s="1" t="str">
        <f t="shared" si="8224"/>
        <v>0</v>
      </c>
      <c r="G4219" s="1" t="str">
        <f t="shared" si="8224"/>
        <v>0</v>
      </c>
      <c r="H4219" s="1" t="str">
        <f t="shared" si="8224"/>
        <v>0</v>
      </c>
      <c r="I4219" s="1" t="str">
        <f t="shared" si="8224"/>
        <v>0</v>
      </c>
      <c r="J4219" s="1" t="str">
        <f t="shared" si="8224"/>
        <v>0</v>
      </c>
      <c r="K4219" s="1" t="str">
        <f t="shared" si="8224"/>
        <v>0</v>
      </c>
      <c r="L4219" s="1" t="str">
        <f t="shared" si="8224"/>
        <v>0</v>
      </c>
      <c r="M4219" s="1" t="str">
        <f t="shared" si="8224"/>
        <v>0</v>
      </c>
      <c r="N4219" s="1" t="str">
        <f t="shared" si="8224"/>
        <v>0</v>
      </c>
      <c r="O4219" s="1" t="str">
        <f t="shared" si="8224"/>
        <v>0</v>
      </c>
      <c r="P4219" s="1" t="str">
        <f t="shared" si="8224"/>
        <v>0</v>
      </c>
      <c r="Q4219" s="1" t="str">
        <f t="shared" si="8156"/>
        <v>0.0070</v>
      </c>
      <c r="R4219" s="1" t="s">
        <v>25</v>
      </c>
      <c r="T4219" s="1" t="str">
        <f t="shared" si="8157"/>
        <v>0</v>
      </c>
      <c r="U4219" s="1" t="str">
        <f t="shared" si="8212"/>
        <v>0.0070</v>
      </c>
    </row>
    <row r="4220" s="1" customFormat="1" spans="1:21">
      <c r="A4220" s="1" t="str">
        <f>"4601992095658"</f>
        <v>4601992095658</v>
      </c>
      <c r="B4220" s="1" t="s">
        <v>4243</v>
      </c>
      <c r="C4220" s="1" t="s">
        <v>24</v>
      </c>
      <c r="D4220" s="1" t="str">
        <f t="shared" si="8154"/>
        <v>2021</v>
      </c>
      <c r="E4220" s="1" t="str">
        <f t="shared" ref="E4220:P4220" si="8225">"0"</f>
        <v>0</v>
      </c>
      <c r="F4220" s="1" t="str">
        <f t="shared" si="8225"/>
        <v>0</v>
      </c>
      <c r="G4220" s="1" t="str">
        <f t="shared" si="8225"/>
        <v>0</v>
      </c>
      <c r="H4220" s="1" t="str">
        <f t="shared" si="8225"/>
        <v>0</v>
      </c>
      <c r="I4220" s="1" t="str">
        <f t="shared" si="8225"/>
        <v>0</v>
      </c>
      <c r="J4220" s="1" t="str">
        <f t="shared" si="8225"/>
        <v>0</v>
      </c>
      <c r="K4220" s="1" t="str">
        <f t="shared" si="8225"/>
        <v>0</v>
      </c>
      <c r="L4220" s="1" t="str">
        <f t="shared" si="8225"/>
        <v>0</v>
      </c>
      <c r="M4220" s="1" t="str">
        <f t="shared" si="8225"/>
        <v>0</v>
      </c>
      <c r="N4220" s="1" t="str">
        <f t="shared" si="8225"/>
        <v>0</v>
      </c>
      <c r="O4220" s="1" t="str">
        <f t="shared" si="8225"/>
        <v>0</v>
      </c>
      <c r="P4220" s="1" t="str">
        <f t="shared" si="8225"/>
        <v>0</v>
      </c>
      <c r="Q4220" s="1" t="str">
        <f t="shared" si="8156"/>
        <v>0.0070</v>
      </c>
      <c r="R4220" s="1" t="s">
        <v>25</v>
      </c>
      <c r="T4220" s="1" t="str">
        <f t="shared" si="8157"/>
        <v>0</v>
      </c>
      <c r="U4220" s="1" t="str">
        <f t="shared" si="8212"/>
        <v>0.0070</v>
      </c>
    </row>
    <row r="4221" s="1" customFormat="1" spans="1:21">
      <c r="A4221" s="1" t="str">
        <f>"4601992095501"</f>
        <v>4601992095501</v>
      </c>
      <c r="B4221" s="1" t="s">
        <v>4244</v>
      </c>
      <c r="C4221" s="1" t="s">
        <v>24</v>
      </c>
      <c r="D4221" s="1" t="str">
        <f t="shared" si="8154"/>
        <v>2021</v>
      </c>
      <c r="E4221" s="1" t="str">
        <f>"12.09"</f>
        <v>12.09</v>
      </c>
      <c r="F4221" s="1" t="str">
        <f t="shared" ref="F4221:I4221" si="8226">"0"</f>
        <v>0</v>
      </c>
      <c r="G4221" s="1" t="str">
        <f t="shared" si="8226"/>
        <v>0</v>
      </c>
      <c r="H4221" s="1" t="str">
        <f t="shared" si="8226"/>
        <v>0</v>
      </c>
      <c r="I4221" s="1" t="str">
        <f t="shared" si="8226"/>
        <v>0</v>
      </c>
      <c r="J4221" s="1" t="str">
        <f>"1"</f>
        <v>1</v>
      </c>
      <c r="K4221" s="1" t="str">
        <f t="shared" ref="K4221:P4221" si="8227">"0"</f>
        <v>0</v>
      </c>
      <c r="L4221" s="1" t="str">
        <f t="shared" si="8227"/>
        <v>0</v>
      </c>
      <c r="M4221" s="1" t="str">
        <f t="shared" si="8227"/>
        <v>0</v>
      </c>
      <c r="N4221" s="1" t="str">
        <f t="shared" si="8227"/>
        <v>0</v>
      </c>
      <c r="O4221" s="1" t="str">
        <f t="shared" si="8227"/>
        <v>0</v>
      </c>
      <c r="P4221" s="1" t="str">
        <f t="shared" si="8227"/>
        <v>0</v>
      </c>
      <c r="Q4221" s="1" t="str">
        <f t="shared" si="8156"/>
        <v>0.0070</v>
      </c>
      <c r="R4221" s="1" t="s">
        <v>29</v>
      </c>
      <c r="S4221" s="1">
        <v>-0.0014</v>
      </c>
      <c r="T4221" s="1" t="str">
        <f t="shared" si="8157"/>
        <v>0</v>
      </c>
      <c r="U4221" s="1" t="str">
        <f>"0.0056"</f>
        <v>0.0056</v>
      </c>
    </row>
    <row r="4222" s="1" customFormat="1" spans="1:21">
      <c r="A4222" s="1" t="str">
        <f>"4601992095734"</f>
        <v>4601992095734</v>
      </c>
      <c r="B4222" s="1" t="s">
        <v>4245</v>
      </c>
      <c r="C4222" s="1" t="s">
        <v>24</v>
      </c>
      <c r="D4222" s="1" t="str">
        <f t="shared" si="8154"/>
        <v>2021</v>
      </c>
      <c r="E4222" s="1" t="str">
        <f t="shared" ref="E4222:P4222" si="8228">"0"</f>
        <v>0</v>
      </c>
      <c r="F4222" s="1" t="str">
        <f t="shared" si="8228"/>
        <v>0</v>
      </c>
      <c r="G4222" s="1" t="str">
        <f t="shared" si="8228"/>
        <v>0</v>
      </c>
      <c r="H4222" s="1" t="str">
        <f t="shared" si="8228"/>
        <v>0</v>
      </c>
      <c r="I4222" s="1" t="str">
        <f t="shared" si="8228"/>
        <v>0</v>
      </c>
      <c r="J4222" s="1" t="str">
        <f t="shared" si="8228"/>
        <v>0</v>
      </c>
      <c r="K4222" s="1" t="str">
        <f t="shared" si="8228"/>
        <v>0</v>
      </c>
      <c r="L4222" s="1" t="str">
        <f t="shared" si="8228"/>
        <v>0</v>
      </c>
      <c r="M4222" s="1" t="str">
        <f t="shared" si="8228"/>
        <v>0</v>
      </c>
      <c r="N4222" s="1" t="str">
        <f t="shared" si="8228"/>
        <v>0</v>
      </c>
      <c r="O4222" s="1" t="str">
        <f t="shared" si="8228"/>
        <v>0</v>
      </c>
      <c r="P4222" s="1" t="str">
        <f t="shared" si="8228"/>
        <v>0</v>
      </c>
      <c r="Q4222" s="1" t="str">
        <f t="shared" si="8156"/>
        <v>0.0070</v>
      </c>
      <c r="R4222" s="1" t="s">
        <v>25</v>
      </c>
      <c r="T4222" s="1" t="str">
        <f t="shared" si="8157"/>
        <v>0</v>
      </c>
      <c r="U4222" s="1" t="str">
        <f t="shared" ref="U4222:U4241" si="8229">"0.0070"</f>
        <v>0.0070</v>
      </c>
    </row>
    <row r="4223" s="1" customFormat="1" spans="1:21">
      <c r="A4223" s="1" t="str">
        <f>"4601992096053"</f>
        <v>4601992096053</v>
      </c>
      <c r="B4223" s="1" t="s">
        <v>4246</v>
      </c>
      <c r="C4223" s="1" t="s">
        <v>24</v>
      </c>
      <c r="D4223" s="1" t="str">
        <f t="shared" si="8154"/>
        <v>2021</v>
      </c>
      <c r="E4223" s="1" t="str">
        <f t="shared" ref="E4223:P4223" si="8230">"0"</f>
        <v>0</v>
      </c>
      <c r="F4223" s="1" t="str">
        <f t="shared" si="8230"/>
        <v>0</v>
      </c>
      <c r="G4223" s="1" t="str">
        <f t="shared" si="8230"/>
        <v>0</v>
      </c>
      <c r="H4223" s="1" t="str">
        <f t="shared" si="8230"/>
        <v>0</v>
      </c>
      <c r="I4223" s="1" t="str">
        <f t="shared" si="8230"/>
        <v>0</v>
      </c>
      <c r="J4223" s="1" t="str">
        <f t="shared" si="8230"/>
        <v>0</v>
      </c>
      <c r="K4223" s="1" t="str">
        <f t="shared" si="8230"/>
        <v>0</v>
      </c>
      <c r="L4223" s="1" t="str">
        <f t="shared" si="8230"/>
        <v>0</v>
      </c>
      <c r="M4223" s="1" t="str">
        <f t="shared" si="8230"/>
        <v>0</v>
      </c>
      <c r="N4223" s="1" t="str">
        <f t="shared" si="8230"/>
        <v>0</v>
      </c>
      <c r="O4223" s="1" t="str">
        <f t="shared" si="8230"/>
        <v>0</v>
      </c>
      <c r="P4223" s="1" t="str">
        <f t="shared" si="8230"/>
        <v>0</v>
      </c>
      <c r="Q4223" s="1" t="str">
        <f t="shared" si="8156"/>
        <v>0.0070</v>
      </c>
      <c r="R4223" s="1" t="s">
        <v>25</v>
      </c>
      <c r="T4223" s="1" t="str">
        <f t="shared" si="8157"/>
        <v>0</v>
      </c>
      <c r="U4223" s="1" t="str">
        <f t="shared" si="8229"/>
        <v>0.0070</v>
      </c>
    </row>
    <row r="4224" s="1" customFormat="1" spans="1:21">
      <c r="A4224" s="1" t="str">
        <f>"4601992095830"</f>
        <v>4601992095830</v>
      </c>
      <c r="B4224" s="1" t="s">
        <v>4247</v>
      </c>
      <c r="C4224" s="1" t="s">
        <v>24</v>
      </c>
      <c r="D4224" s="1" t="str">
        <f t="shared" si="8154"/>
        <v>2021</v>
      </c>
      <c r="E4224" s="1" t="str">
        <f t="shared" ref="E4224:P4224" si="8231">"0"</f>
        <v>0</v>
      </c>
      <c r="F4224" s="1" t="str">
        <f t="shared" si="8231"/>
        <v>0</v>
      </c>
      <c r="G4224" s="1" t="str">
        <f t="shared" si="8231"/>
        <v>0</v>
      </c>
      <c r="H4224" s="1" t="str">
        <f t="shared" si="8231"/>
        <v>0</v>
      </c>
      <c r="I4224" s="1" t="str">
        <f t="shared" si="8231"/>
        <v>0</v>
      </c>
      <c r="J4224" s="1" t="str">
        <f t="shared" si="8231"/>
        <v>0</v>
      </c>
      <c r="K4224" s="1" t="str">
        <f t="shared" si="8231"/>
        <v>0</v>
      </c>
      <c r="L4224" s="1" t="str">
        <f t="shared" si="8231"/>
        <v>0</v>
      </c>
      <c r="M4224" s="1" t="str">
        <f t="shared" si="8231"/>
        <v>0</v>
      </c>
      <c r="N4224" s="1" t="str">
        <f t="shared" si="8231"/>
        <v>0</v>
      </c>
      <c r="O4224" s="1" t="str">
        <f t="shared" si="8231"/>
        <v>0</v>
      </c>
      <c r="P4224" s="1" t="str">
        <f t="shared" si="8231"/>
        <v>0</v>
      </c>
      <c r="Q4224" s="1" t="str">
        <f t="shared" si="8156"/>
        <v>0.0070</v>
      </c>
      <c r="R4224" s="1" t="s">
        <v>25</v>
      </c>
      <c r="T4224" s="1" t="str">
        <f t="shared" si="8157"/>
        <v>0</v>
      </c>
      <c r="U4224" s="1" t="str">
        <f t="shared" si="8229"/>
        <v>0.0070</v>
      </c>
    </row>
    <row r="4225" s="1" customFormat="1" spans="1:21">
      <c r="A4225" s="1" t="str">
        <f>"4601992096116"</f>
        <v>4601992096116</v>
      </c>
      <c r="B4225" s="1" t="s">
        <v>4248</v>
      </c>
      <c r="C4225" s="1" t="s">
        <v>24</v>
      </c>
      <c r="D4225" s="1" t="str">
        <f t="shared" si="8154"/>
        <v>2021</v>
      </c>
      <c r="E4225" s="1" t="str">
        <f t="shared" ref="E4225:P4225" si="8232">"0"</f>
        <v>0</v>
      </c>
      <c r="F4225" s="1" t="str">
        <f t="shared" si="8232"/>
        <v>0</v>
      </c>
      <c r="G4225" s="1" t="str">
        <f t="shared" si="8232"/>
        <v>0</v>
      </c>
      <c r="H4225" s="1" t="str">
        <f t="shared" si="8232"/>
        <v>0</v>
      </c>
      <c r="I4225" s="1" t="str">
        <f t="shared" si="8232"/>
        <v>0</v>
      </c>
      <c r="J4225" s="1" t="str">
        <f t="shared" si="8232"/>
        <v>0</v>
      </c>
      <c r="K4225" s="1" t="str">
        <f t="shared" si="8232"/>
        <v>0</v>
      </c>
      <c r="L4225" s="1" t="str">
        <f t="shared" si="8232"/>
        <v>0</v>
      </c>
      <c r="M4225" s="1" t="str">
        <f t="shared" si="8232"/>
        <v>0</v>
      </c>
      <c r="N4225" s="1" t="str">
        <f t="shared" si="8232"/>
        <v>0</v>
      </c>
      <c r="O4225" s="1" t="str">
        <f t="shared" si="8232"/>
        <v>0</v>
      </c>
      <c r="P4225" s="1" t="str">
        <f t="shared" si="8232"/>
        <v>0</v>
      </c>
      <c r="Q4225" s="1" t="str">
        <f t="shared" si="8156"/>
        <v>0.0070</v>
      </c>
      <c r="R4225" s="1" t="s">
        <v>25</v>
      </c>
      <c r="T4225" s="1" t="str">
        <f t="shared" si="8157"/>
        <v>0</v>
      </c>
      <c r="U4225" s="1" t="str">
        <f t="shared" si="8229"/>
        <v>0.0070</v>
      </c>
    </row>
    <row r="4226" s="1" customFormat="1" spans="1:21">
      <c r="A4226" s="1" t="str">
        <f>"4601992096138"</f>
        <v>4601992096138</v>
      </c>
      <c r="B4226" s="1" t="s">
        <v>4249</v>
      </c>
      <c r="C4226" s="1" t="s">
        <v>24</v>
      </c>
      <c r="D4226" s="1" t="str">
        <f t="shared" si="8154"/>
        <v>2021</v>
      </c>
      <c r="E4226" s="1" t="str">
        <f t="shared" ref="E4226:P4226" si="8233">"0"</f>
        <v>0</v>
      </c>
      <c r="F4226" s="1" t="str">
        <f t="shared" si="8233"/>
        <v>0</v>
      </c>
      <c r="G4226" s="1" t="str">
        <f t="shared" si="8233"/>
        <v>0</v>
      </c>
      <c r="H4226" s="1" t="str">
        <f t="shared" si="8233"/>
        <v>0</v>
      </c>
      <c r="I4226" s="1" t="str">
        <f t="shared" si="8233"/>
        <v>0</v>
      </c>
      <c r="J4226" s="1" t="str">
        <f t="shared" si="8233"/>
        <v>0</v>
      </c>
      <c r="K4226" s="1" t="str">
        <f t="shared" si="8233"/>
        <v>0</v>
      </c>
      <c r="L4226" s="1" t="str">
        <f t="shared" si="8233"/>
        <v>0</v>
      </c>
      <c r="M4226" s="1" t="str">
        <f t="shared" si="8233"/>
        <v>0</v>
      </c>
      <c r="N4226" s="1" t="str">
        <f t="shared" si="8233"/>
        <v>0</v>
      </c>
      <c r="O4226" s="1" t="str">
        <f t="shared" si="8233"/>
        <v>0</v>
      </c>
      <c r="P4226" s="1" t="str">
        <f t="shared" si="8233"/>
        <v>0</v>
      </c>
      <c r="Q4226" s="1" t="str">
        <f t="shared" si="8156"/>
        <v>0.0070</v>
      </c>
      <c r="R4226" s="1" t="s">
        <v>25</v>
      </c>
      <c r="T4226" s="1" t="str">
        <f t="shared" si="8157"/>
        <v>0</v>
      </c>
      <c r="U4226" s="1" t="str">
        <f t="shared" si="8229"/>
        <v>0.0070</v>
      </c>
    </row>
    <row r="4227" s="1" customFormat="1" spans="1:21">
      <c r="A4227" s="1" t="str">
        <f>"4601992096155"</f>
        <v>4601992096155</v>
      </c>
      <c r="B4227" s="1" t="s">
        <v>4250</v>
      </c>
      <c r="C4227" s="1" t="s">
        <v>24</v>
      </c>
      <c r="D4227" s="1" t="str">
        <f t="shared" ref="D4227:D4290" si="8234">"2021"</f>
        <v>2021</v>
      </c>
      <c r="E4227" s="1" t="str">
        <f t="shared" ref="E4227:P4227" si="8235">"0"</f>
        <v>0</v>
      </c>
      <c r="F4227" s="1" t="str">
        <f t="shared" si="8235"/>
        <v>0</v>
      </c>
      <c r="G4227" s="1" t="str">
        <f t="shared" si="8235"/>
        <v>0</v>
      </c>
      <c r="H4227" s="1" t="str">
        <f t="shared" si="8235"/>
        <v>0</v>
      </c>
      <c r="I4227" s="1" t="str">
        <f t="shared" si="8235"/>
        <v>0</v>
      </c>
      <c r="J4227" s="1" t="str">
        <f t="shared" si="8235"/>
        <v>0</v>
      </c>
      <c r="K4227" s="1" t="str">
        <f t="shared" si="8235"/>
        <v>0</v>
      </c>
      <c r="L4227" s="1" t="str">
        <f t="shared" si="8235"/>
        <v>0</v>
      </c>
      <c r="M4227" s="1" t="str">
        <f t="shared" si="8235"/>
        <v>0</v>
      </c>
      <c r="N4227" s="1" t="str">
        <f t="shared" si="8235"/>
        <v>0</v>
      </c>
      <c r="O4227" s="1" t="str">
        <f t="shared" si="8235"/>
        <v>0</v>
      </c>
      <c r="P4227" s="1" t="str">
        <f t="shared" si="8235"/>
        <v>0</v>
      </c>
      <c r="Q4227" s="1" t="str">
        <f t="shared" ref="Q4227:Q4290" si="8236">"0.0070"</f>
        <v>0.0070</v>
      </c>
      <c r="R4227" s="1" t="s">
        <v>25</v>
      </c>
      <c r="T4227" s="1" t="str">
        <f t="shared" ref="T4227:T4290" si="8237">"0"</f>
        <v>0</v>
      </c>
      <c r="U4227" s="1" t="str">
        <f t="shared" si="8229"/>
        <v>0.0070</v>
      </c>
    </row>
    <row r="4228" s="1" customFormat="1" spans="1:21">
      <c r="A4228" s="1" t="str">
        <f>"4601992096183"</f>
        <v>4601992096183</v>
      </c>
      <c r="B4228" s="1" t="s">
        <v>4251</v>
      </c>
      <c r="C4228" s="1" t="s">
        <v>24</v>
      </c>
      <c r="D4228" s="1" t="str">
        <f t="shared" si="8234"/>
        <v>2021</v>
      </c>
      <c r="E4228" s="1" t="str">
        <f t="shared" ref="E4228:P4228" si="8238">"0"</f>
        <v>0</v>
      </c>
      <c r="F4228" s="1" t="str">
        <f t="shared" si="8238"/>
        <v>0</v>
      </c>
      <c r="G4228" s="1" t="str">
        <f t="shared" si="8238"/>
        <v>0</v>
      </c>
      <c r="H4228" s="1" t="str">
        <f t="shared" si="8238"/>
        <v>0</v>
      </c>
      <c r="I4228" s="1" t="str">
        <f t="shared" si="8238"/>
        <v>0</v>
      </c>
      <c r="J4228" s="1" t="str">
        <f t="shared" si="8238"/>
        <v>0</v>
      </c>
      <c r="K4228" s="1" t="str">
        <f t="shared" si="8238"/>
        <v>0</v>
      </c>
      <c r="L4228" s="1" t="str">
        <f t="shared" si="8238"/>
        <v>0</v>
      </c>
      <c r="M4228" s="1" t="str">
        <f t="shared" si="8238"/>
        <v>0</v>
      </c>
      <c r="N4228" s="1" t="str">
        <f t="shared" si="8238"/>
        <v>0</v>
      </c>
      <c r="O4228" s="1" t="str">
        <f t="shared" si="8238"/>
        <v>0</v>
      </c>
      <c r="P4228" s="1" t="str">
        <f t="shared" si="8238"/>
        <v>0</v>
      </c>
      <c r="Q4228" s="1" t="str">
        <f t="shared" si="8236"/>
        <v>0.0070</v>
      </c>
      <c r="R4228" s="1" t="s">
        <v>25</v>
      </c>
      <c r="T4228" s="1" t="str">
        <f t="shared" si="8237"/>
        <v>0</v>
      </c>
      <c r="U4228" s="1" t="str">
        <f t="shared" si="8229"/>
        <v>0.0070</v>
      </c>
    </row>
    <row r="4229" s="1" customFormat="1" spans="1:21">
      <c r="A4229" s="1" t="str">
        <f>"4601992096248"</f>
        <v>4601992096248</v>
      </c>
      <c r="B4229" s="1" t="s">
        <v>4252</v>
      </c>
      <c r="C4229" s="1" t="s">
        <v>24</v>
      </c>
      <c r="D4229" s="1" t="str">
        <f t="shared" si="8234"/>
        <v>2021</v>
      </c>
      <c r="E4229" s="1" t="str">
        <f t="shared" ref="E4229:P4229" si="8239">"0"</f>
        <v>0</v>
      </c>
      <c r="F4229" s="1" t="str">
        <f t="shared" si="8239"/>
        <v>0</v>
      </c>
      <c r="G4229" s="1" t="str">
        <f t="shared" si="8239"/>
        <v>0</v>
      </c>
      <c r="H4229" s="1" t="str">
        <f t="shared" si="8239"/>
        <v>0</v>
      </c>
      <c r="I4229" s="1" t="str">
        <f t="shared" si="8239"/>
        <v>0</v>
      </c>
      <c r="J4229" s="1" t="str">
        <f t="shared" si="8239"/>
        <v>0</v>
      </c>
      <c r="K4229" s="1" t="str">
        <f t="shared" si="8239"/>
        <v>0</v>
      </c>
      <c r="L4229" s="1" t="str">
        <f t="shared" si="8239"/>
        <v>0</v>
      </c>
      <c r="M4229" s="1" t="str">
        <f t="shared" si="8239"/>
        <v>0</v>
      </c>
      <c r="N4229" s="1" t="str">
        <f t="shared" si="8239"/>
        <v>0</v>
      </c>
      <c r="O4229" s="1" t="str">
        <f t="shared" si="8239"/>
        <v>0</v>
      </c>
      <c r="P4229" s="1" t="str">
        <f t="shared" si="8239"/>
        <v>0</v>
      </c>
      <c r="Q4229" s="1" t="str">
        <f t="shared" si="8236"/>
        <v>0.0070</v>
      </c>
      <c r="R4229" s="1" t="s">
        <v>25</v>
      </c>
      <c r="T4229" s="1" t="str">
        <f t="shared" si="8237"/>
        <v>0</v>
      </c>
      <c r="U4229" s="1" t="str">
        <f t="shared" si="8229"/>
        <v>0.0070</v>
      </c>
    </row>
    <row r="4230" s="1" customFormat="1" spans="1:21">
      <c r="A4230" s="1" t="str">
        <f>"4601992096259"</f>
        <v>4601992096259</v>
      </c>
      <c r="B4230" s="1" t="s">
        <v>4253</v>
      </c>
      <c r="C4230" s="1" t="s">
        <v>24</v>
      </c>
      <c r="D4230" s="1" t="str">
        <f t="shared" si="8234"/>
        <v>2021</v>
      </c>
      <c r="E4230" s="1" t="str">
        <f t="shared" ref="E4230:P4230" si="8240">"0"</f>
        <v>0</v>
      </c>
      <c r="F4230" s="1" t="str">
        <f t="shared" si="8240"/>
        <v>0</v>
      </c>
      <c r="G4230" s="1" t="str">
        <f t="shared" si="8240"/>
        <v>0</v>
      </c>
      <c r="H4230" s="1" t="str">
        <f t="shared" si="8240"/>
        <v>0</v>
      </c>
      <c r="I4230" s="1" t="str">
        <f t="shared" si="8240"/>
        <v>0</v>
      </c>
      <c r="J4230" s="1" t="str">
        <f t="shared" si="8240"/>
        <v>0</v>
      </c>
      <c r="K4230" s="1" t="str">
        <f t="shared" si="8240"/>
        <v>0</v>
      </c>
      <c r="L4230" s="1" t="str">
        <f t="shared" si="8240"/>
        <v>0</v>
      </c>
      <c r="M4230" s="1" t="str">
        <f t="shared" si="8240"/>
        <v>0</v>
      </c>
      <c r="N4230" s="1" t="str">
        <f t="shared" si="8240"/>
        <v>0</v>
      </c>
      <c r="O4230" s="1" t="str">
        <f t="shared" si="8240"/>
        <v>0</v>
      </c>
      <c r="P4230" s="1" t="str">
        <f t="shared" si="8240"/>
        <v>0</v>
      </c>
      <c r="Q4230" s="1" t="str">
        <f t="shared" si="8236"/>
        <v>0.0070</v>
      </c>
      <c r="R4230" s="1" t="s">
        <v>25</v>
      </c>
      <c r="T4230" s="1" t="str">
        <f t="shared" si="8237"/>
        <v>0</v>
      </c>
      <c r="U4230" s="1" t="str">
        <f t="shared" si="8229"/>
        <v>0.0070</v>
      </c>
    </row>
    <row r="4231" s="1" customFormat="1" spans="1:21">
      <c r="A4231" s="1" t="str">
        <f>"4601992096275"</f>
        <v>4601992096275</v>
      </c>
      <c r="B4231" s="1" t="s">
        <v>4254</v>
      </c>
      <c r="C4231" s="1" t="s">
        <v>24</v>
      </c>
      <c r="D4231" s="1" t="str">
        <f t="shared" si="8234"/>
        <v>2021</v>
      </c>
      <c r="E4231" s="1" t="str">
        <f t="shared" ref="E4231:P4231" si="8241">"0"</f>
        <v>0</v>
      </c>
      <c r="F4231" s="1" t="str">
        <f t="shared" si="8241"/>
        <v>0</v>
      </c>
      <c r="G4231" s="1" t="str">
        <f t="shared" si="8241"/>
        <v>0</v>
      </c>
      <c r="H4231" s="1" t="str">
        <f t="shared" si="8241"/>
        <v>0</v>
      </c>
      <c r="I4231" s="1" t="str">
        <f t="shared" si="8241"/>
        <v>0</v>
      </c>
      <c r="J4231" s="1" t="str">
        <f t="shared" si="8241"/>
        <v>0</v>
      </c>
      <c r="K4231" s="1" t="str">
        <f t="shared" si="8241"/>
        <v>0</v>
      </c>
      <c r="L4231" s="1" t="str">
        <f t="shared" si="8241"/>
        <v>0</v>
      </c>
      <c r="M4231" s="1" t="str">
        <f t="shared" si="8241"/>
        <v>0</v>
      </c>
      <c r="N4231" s="1" t="str">
        <f t="shared" si="8241"/>
        <v>0</v>
      </c>
      <c r="O4231" s="1" t="str">
        <f t="shared" si="8241"/>
        <v>0</v>
      </c>
      <c r="P4231" s="1" t="str">
        <f t="shared" si="8241"/>
        <v>0</v>
      </c>
      <c r="Q4231" s="1" t="str">
        <f t="shared" si="8236"/>
        <v>0.0070</v>
      </c>
      <c r="R4231" s="1" t="s">
        <v>25</v>
      </c>
      <c r="T4231" s="1" t="str">
        <f t="shared" si="8237"/>
        <v>0</v>
      </c>
      <c r="U4231" s="1" t="str">
        <f t="shared" si="8229"/>
        <v>0.0070</v>
      </c>
    </row>
    <row r="4232" s="1" customFormat="1" spans="1:21">
      <c r="A4232" s="1" t="str">
        <f>"4601992096302"</f>
        <v>4601992096302</v>
      </c>
      <c r="B4232" s="1" t="s">
        <v>4255</v>
      </c>
      <c r="C4232" s="1" t="s">
        <v>24</v>
      </c>
      <c r="D4232" s="1" t="str">
        <f t="shared" si="8234"/>
        <v>2021</v>
      </c>
      <c r="E4232" s="1" t="str">
        <f t="shared" ref="E4232:P4232" si="8242">"0"</f>
        <v>0</v>
      </c>
      <c r="F4232" s="1" t="str">
        <f t="shared" si="8242"/>
        <v>0</v>
      </c>
      <c r="G4232" s="1" t="str">
        <f t="shared" si="8242"/>
        <v>0</v>
      </c>
      <c r="H4232" s="1" t="str">
        <f t="shared" si="8242"/>
        <v>0</v>
      </c>
      <c r="I4232" s="1" t="str">
        <f t="shared" si="8242"/>
        <v>0</v>
      </c>
      <c r="J4232" s="1" t="str">
        <f t="shared" si="8242"/>
        <v>0</v>
      </c>
      <c r="K4232" s="1" t="str">
        <f t="shared" si="8242"/>
        <v>0</v>
      </c>
      <c r="L4232" s="1" t="str">
        <f t="shared" si="8242"/>
        <v>0</v>
      </c>
      <c r="M4232" s="1" t="str">
        <f t="shared" si="8242"/>
        <v>0</v>
      </c>
      <c r="N4232" s="1" t="str">
        <f t="shared" si="8242"/>
        <v>0</v>
      </c>
      <c r="O4232" s="1" t="str">
        <f t="shared" si="8242"/>
        <v>0</v>
      </c>
      <c r="P4232" s="1" t="str">
        <f t="shared" si="8242"/>
        <v>0</v>
      </c>
      <c r="Q4232" s="1" t="str">
        <f t="shared" si="8236"/>
        <v>0.0070</v>
      </c>
      <c r="R4232" s="1" t="s">
        <v>25</v>
      </c>
      <c r="T4232" s="1" t="str">
        <f t="shared" si="8237"/>
        <v>0</v>
      </c>
      <c r="U4232" s="1" t="str">
        <f t="shared" si="8229"/>
        <v>0.0070</v>
      </c>
    </row>
    <row r="4233" s="1" customFormat="1" spans="1:21">
      <c r="A4233" s="1" t="str">
        <f>"4601992096321"</f>
        <v>4601992096321</v>
      </c>
      <c r="B4233" s="1" t="s">
        <v>4256</v>
      </c>
      <c r="C4233" s="1" t="s">
        <v>24</v>
      </c>
      <c r="D4233" s="1" t="str">
        <f t="shared" si="8234"/>
        <v>2021</v>
      </c>
      <c r="E4233" s="1" t="str">
        <f t="shared" ref="E4233:P4233" si="8243">"0"</f>
        <v>0</v>
      </c>
      <c r="F4233" s="1" t="str">
        <f t="shared" si="8243"/>
        <v>0</v>
      </c>
      <c r="G4233" s="1" t="str">
        <f t="shared" si="8243"/>
        <v>0</v>
      </c>
      <c r="H4233" s="1" t="str">
        <f t="shared" si="8243"/>
        <v>0</v>
      </c>
      <c r="I4233" s="1" t="str">
        <f t="shared" si="8243"/>
        <v>0</v>
      </c>
      <c r="J4233" s="1" t="str">
        <f t="shared" si="8243"/>
        <v>0</v>
      </c>
      <c r="K4233" s="1" t="str">
        <f t="shared" si="8243"/>
        <v>0</v>
      </c>
      <c r="L4233" s="1" t="str">
        <f t="shared" si="8243"/>
        <v>0</v>
      </c>
      <c r="M4233" s="1" t="str">
        <f t="shared" si="8243"/>
        <v>0</v>
      </c>
      <c r="N4233" s="1" t="str">
        <f t="shared" si="8243"/>
        <v>0</v>
      </c>
      <c r="O4233" s="1" t="str">
        <f t="shared" si="8243"/>
        <v>0</v>
      </c>
      <c r="P4233" s="1" t="str">
        <f t="shared" si="8243"/>
        <v>0</v>
      </c>
      <c r="Q4233" s="1" t="str">
        <f t="shared" si="8236"/>
        <v>0.0070</v>
      </c>
      <c r="R4233" s="1" t="s">
        <v>25</v>
      </c>
      <c r="T4233" s="1" t="str">
        <f t="shared" si="8237"/>
        <v>0</v>
      </c>
      <c r="U4233" s="1" t="str">
        <f t="shared" si="8229"/>
        <v>0.0070</v>
      </c>
    </row>
    <row r="4234" s="1" customFormat="1" spans="1:21">
      <c r="A4234" s="1" t="str">
        <f>"4601992096406"</f>
        <v>4601992096406</v>
      </c>
      <c r="B4234" s="1" t="s">
        <v>4257</v>
      </c>
      <c r="C4234" s="1" t="s">
        <v>24</v>
      </c>
      <c r="D4234" s="1" t="str">
        <f t="shared" si="8234"/>
        <v>2021</v>
      </c>
      <c r="E4234" s="1" t="str">
        <f t="shared" ref="E4234:P4234" si="8244">"0"</f>
        <v>0</v>
      </c>
      <c r="F4234" s="1" t="str">
        <f t="shared" si="8244"/>
        <v>0</v>
      </c>
      <c r="G4234" s="1" t="str">
        <f t="shared" si="8244"/>
        <v>0</v>
      </c>
      <c r="H4234" s="1" t="str">
        <f t="shared" si="8244"/>
        <v>0</v>
      </c>
      <c r="I4234" s="1" t="str">
        <f t="shared" si="8244"/>
        <v>0</v>
      </c>
      <c r="J4234" s="1" t="str">
        <f t="shared" si="8244"/>
        <v>0</v>
      </c>
      <c r="K4234" s="1" t="str">
        <f t="shared" si="8244"/>
        <v>0</v>
      </c>
      <c r="L4234" s="1" t="str">
        <f t="shared" si="8244"/>
        <v>0</v>
      </c>
      <c r="M4234" s="1" t="str">
        <f t="shared" si="8244"/>
        <v>0</v>
      </c>
      <c r="N4234" s="1" t="str">
        <f t="shared" si="8244"/>
        <v>0</v>
      </c>
      <c r="O4234" s="1" t="str">
        <f t="shared" si="8244"/>
        <v>0</v>
      </c>
      <c r="P4234" s="1" t="str">
        <f t="shared" si="8244"/>
        <v>0</v>
      </c>
      <c r="Q4234" s="1" t="str">
        <f t="shared" si="8236"/>
        <v>0.0070</v>
      </c>
      <c r="R4234" s="1" t="s">
        <v>25</v>
      </c>
      <c r="T4234" s="1" t="str">
        <f t="shared" si="8237"/>
        <v>0</v>
      </c>
      <c r="U4234" s="1" t="str">
        <f t="shared" si="8229"/>
        <v>0.0070</v>
      </c>
    </row>
    <row r="4235" s="1" customFormat="1" spans="1:21">
      <c r="A4235" s="1" t="str">
        <f>"4601992096457"</f>
        <v>4601992096457</v>
      </c>
      <c r="B4235" s="1" t="s">
        <v>4258</v>
      </c>
      <c r="C4235" s="1" t="s">
        <v>24</v>
      </c>
      <c r="D4235" s="1" t="str">
        <f t="shared" si="8234"/>
        <v>2021</v>
      </c>
      <c r="E4235" s="1" t="str">
        <f t="shared" ref="E4235:P4235" si="8245">"0"</f>
        <v>0</v>
      </c>
      <c r="F4235" s="1" t="str">
        <f t="shared" si="8245"/>
        <v>0</v>
      </c>
      <c r="G4235" s="1" t="str">
        <f t="shared" si="8245"/>
        <v>0</v>
      </c>
      <c r="H4235" s="1" t="str">
        <f t="shared" si="8245"/>
        <v>0</v>
      </c>
      <c r="I4235" s="1" t="str">
        <f t="shared" si="8245"/>
        <v>0</v>
      </c>
      <c r="J4235" s="1" t="str">
        <f t="shared" si="8245"/>
        <v>0</v>
      </c>
      <c r="K4235" s="1" t="str">
        <f t="shared" si="8245"/>
        <v>0</v>
      </c>
      <c r="L4235" s="1" t="str">
        <f t="shared" si="8245"/>
        <v>0</v>
      </c>
      <c r="M4235" s="1" t="str">
        <f t="shared" si="8245"/>
        <v>0</v>
      </c>
      <c r="N4235" s="1" t="str">
        <f t="shared" si="8245"/>
        <v>0</v>
      </c>
      <c r="O4235" s="1" t="str">
        <f t="shared" si="8245"/>
        <v>0</v>
      </c>
      <c r="P4235" s="1" t="str">
        <f t="shared" si="8245"/>
        <v>0</v>
      </c>
      <c r="Q4235" s="1" t="str">
        <f t="shared" si="8236"/>
        <v>0.0070</v>
      </c>
      <c r="R4235" s="1" t="s">
        <v>25</v>
      </c>
      <c r="T4235" s="1" t="str">
        <f t="shared" si="8237"/>
        <v>0</v>
      </c>
      <c r="U4235" s="1" t="str">
        <f t="shared" si="8229"/>
        <v>0.0070</v>
      </c>
    </row>
    <row r="4236" s="1" customFormat="1" spans="1:21">
      <c r="A4236" s="1" t="str">
        <f>"4601992096475"</f>
        <v>4601992096475</v>
      </c>
      <c r="B4236" s="1" t="s">
        <v>4259</v>
      </c>
      <c r="C4236" s="1" t="s">
        <v>24</v>
      </c>
      <c r="D4236" s="1" t="str">
        <f t="shared" si="8234"/>
        <v>2021</v>
      </c>
      <c r="E4236" s="1" t="str">
        <f t="shared" ref="E4236:P4236" si="8246">"0"</f>
        <v>0</v>
      </c>
      <c r="F4236" s="1" t="str">
        <f t="shared" si="8246"/>
        <v>0</v>
      </c>
      <c r="G4236" s="1" t="str">
        <f t="shared" si="8246"/>
        <v>0</v>
      </c>
      <c r="H4236" s="1" t="str">
        <f t="shared" si="8246"/>
        <v>0</v>
      </c>
      <c r="I4236" s="1" t="str">
        <f t="shared" si="8246"/>
        <v>0</v>
      </c>
      <c r="J4236" s="1" t="str">
        <f t="shared" si="8246"/>
        <v>0</v>
      </c>
      <c r="K4236" s="1" t="str">
        <f t="shared" si="8246"/>
        <v>0</v>
      </c>
      <c r="L4236" s="1" t="str">
        <f t="shared" si="8246"/>
        <v>0</v>
      </c>
      <c r="M4236" s="1" t="str">
        <f t="shared" si="8246"/>
        <v>0</v>
      </c>
      <c r="N4236" s="1" t="str">
        <f t="shared" si="8246"/>
        <v>0</v>
      </c>
      <c r="O4236" s="1" t="str">
        <f t="shared" si="8246"/>
        <v>0</v>
      </c>
      <c r="P4236" s="1" t="str">
        <f t="shared" si="8246"/>
        <v>0</v>
      </c>
      <c r="Q4236" s="1" t="str">
        <f t="shared" si="8236"/>
        <v>0.0070</v>
      </c>
      <c r="R4236" s="1" t="s">
        <v>25</v>
      </c>
      <c r="T4236" s="1" t="str">
        <f t="shared" si="8237"/>
        <v>0</v>
      </c>
      <c r="U4236" s="1" t="str">
        <f t="shared" si="8229"/>
        <v>0.0070</v>
      </c>
    </row>
    <row r="4237" s="1" customFormat="1" spans="1:21">
      <c r="A4237" s="1" t="str">
        <f>"4601992096560"</f>
        <v>4601992096560</v>
      </c>
      <c r="B4237" s="1" t="s">
        <v>4260</v>
      </c>
      <c r="C4237" s="1" t="s">
        <v>24</v>
      </c>
      <c r="D4237" s="1" t="str">
        <f t="shared" si="8234"/>
        <v>2021</v>
      </c>
      <c r="E4237" s="1" t="str">
        <f t="shared" ref="E4237:P4237" si="8247">"0"</f>
        <v>0</v>
      </c>
      <c r="F4237" s="1" t="str">
        <f t="shared" si="8247"/>
        <v>0</v>
      </c>
      <c r="G4237" s="1" t="str">
        <f t="shared" si="8247"/>
        <v>0</v>
      </c>
      <c r="H4237" s="1" t="str">
        <f t="shared" si="8247"/>
        <v>0</v>
      </c>
      <c r="I4237" s="1" t="str">
        <f t="shared" si="8247"/>
        <v>0</v>
      </c>
      <c r="J4237" s="1" t="str">
        <f t="shared" si="8247"/>
        <v>0</v>
      </c>
      <c r="K4237" s="1" t="str">
        <f t="shared" si="8247"/>
        <v>0</v>
      </c>
      <c r="L4237" s="1" t="str">
        <f t="shared" si="8247"/>
        <v>0</v>
      </c>
      <c r="M4237" s="1" t="str">
        <f t="shared" si="8247"/>
        <v>0</v>
      </c>
      <c r="N4237" s="1" t="str">
        <f t="shared" si="8247"/>
        <v>0</v>
      </c>
      <c r="O4237" s="1" t="str">
        <f t="shared" si="8247"/>
        <v>0</v>
      </c>
      <c r="P4237" s="1" t="str">
        <f t="shared" si="8247"/>
        <v>0</v>
      </c>
      <c r="Q4237" s="1" t="str">
        <f t="shared" si="8236"/>
        <v>0.0070</v>
      </c>
      <c r="R4237" s="1" t="s">
        <v>25</v>
      </c>
      <c r="T4237" s="1" t="str">
        <f t="shared" si="8237"/>
        <v>0</v>
      </c>
      <c r="U4237" s="1" t="str">
        <f t="shared" si="8229"/>
        <v>0.0070</v>
      </c>
    </row>
    <row r="4238" s="1" customFormat="1" spans="1:21">
      <c r="A4238" s="1" t="str">
        <f>"4601992096717"</f>
        <v>4601992096717</v>
      </c>
      <c r="B4238" s="1" t="s">
        <v>4261</v>
      </c>
      <c r="C4238" s="1" t="s">
        <v>24</v>
      </c>
      <c r="D4238" s="1" t="str">
        <f t="shared" si="8234"/>
        <v>2021</v>
      </c>
      <c r="E4238" s="1" t="str">
        <f t="shared" ref="E4238:P4238" si="8248">"0"</f>
        <v>0</v>
      </c>
      <c r="F4238" s="1" t="str">
        <f t="shared" si="8248"/>
        <v>0</v>
      </c>
      <c r="G4238" s="1" t="str">
        <f t="shared" si="8248"/>
        <v>0</v>
      </c>
      <c r="H4238" s="1" t="str">
        <f t="shared" si="8248"/>
        <v>0</v>
      </c>
      <c r="I4238" s="1" t="str">
        <f t="shared" si="8248"/>
        <v>0</v>
      </c>
      <c r="J4238" s="1" t="str">
        <f t="shared" si="8248"/>
        <v>0</v>
      </c>
      <c r="K4238" s="1" t="str">
        <f t="shared" si="8248"/>
        <v>0</v>
      </c>
      <c r="L4238" s="1" t="str">
        <f t="shared" si="8248"/>
        <v>0</v>
      </c>
      <c r="M4238" s="1" t="str">
        <f t="shared" si="8248"/>
        <v>0</v>
      </c>
      <c r="N4238" s="1" t="str">
        <f t="shared" si="8248"/>
        <v>0</v>
      </c>
      <c r="O4238" s="1" t="str">
        <f t="shared" si="8248"/>
        <v>0</v>
      </c>
      <c r="P4238" s="1" t="str">
        <f t="shared" si="8248"/>
        <v>0</v>
      </c>
      <c r="Q4238" s="1" t="str">
        <f t="shared" si="8236"/>
        <v>0.0070</v>
      </c>
      <c r="R4238" s="1" t="s">
        <v>25</v>
      </c>
      <c r="T4238" s="1" t="str">
        <f t="shared" si="8237"/>
        <v>0</v>
      </c>
      <c r="U4238" s="1" t="str">
        <f t="shared" si="8229"/>
        <v>0.0070</v>
      </c>
    </row>
    <row r="4239" s="1" customFormat="1" spans="1:21">
      <c r="A4239" s="1" t="str">
        <f>"4601992096756"</f>
        <v>4601992096756</v>
      </c>
      <c r="B4239" s="1" t="s">
        <v>4262</v>
      </c>
      <c r="C4239" s="1" t="s">
        <v>24</v>
      </c>
      <c r="D4239" s="1" t="str">
        <f t="shared" si="8234"/>
        <v>2021</v>
      </c>
      <c r="E4239" s="1" t="str">
        <f t="shared" ref="E4239:P4239" si="8249">"0"</f>
        <v>0</v>
      </c>
      <c r="F4239" s="1" t="str">
        <f t="shared" si="8249"/>
        <v>0</v>
      </c>
      <c r="G4239" s="1" t="str">
        <f t="shared" si="8249"/>
        <v>0</v>
      </c>
      <c r="H4239" s="1" t="str">
        <f t="shared" si="8249"/>
        <v>0</v>
      </c>
      <c r="I4239" s="1" t="str">
        <f t="shared" si="8249"/>
        <v>0</v>
      </c>
      <c r="J4239" s="1" t="str">
        <f t="shared" si="8249"/>
        <v>0</v>
      </c>
      <c r="K4239" s="1" t="str">
        <f t="shared" si="8249"/>
        <v>0</v>
      </c>
      <c r="L4239" s="1" t="str">
        <f t="shared" si="8249"/>
        <v>0</v>
      </c>
      <c r="M4239" s="1" t="str">
        <f t="shared" si="8249"/>
        <v>0</v>
      </c>
      <c r="N4239" s="1" t="str">
        <f t="shared" si="8249"/>
        <v>0</v>
      </c>
      <c r="O4239" s="1" t="str">
        <f t="shared" si="8249"/>
        <v>0</v>
      </c>
      <c r="P4239" s="1" t="str">
        <f t="shared" si="8249"/>
        <v>0</v>
      </c>
      <c r="Q4239" s="1" t="str">
        <f t="shared" si="8236"/>
        <v>0.0070</v>
      </c>
      <c r="R4239" s="1" t="s">
        <v>25</v>
      </c>
      <c r="T4239" s="1" t="str">
        <f t="shared" si="8237"/>
        <v>0</v>
      </c>
      <c r="U4239" s="1" t="str">
        <f t="shared" si="8229"/>
        <v>0.0070</v>
      </c>
    </row>
    <row r="4240" s="1" customFormat="1" spans="1:21">
      <c r="A4240" s="1" t="str">
        <f>"4601992096830"</f>
        <v>4601992096830</v>
      </c>
      <c r="B4240" s="1" t="s">
        <v>4263</v>
      </c>
      <c r="C4240" s="1" t="s">
        <v>24</v>
      </c>
      <c r="D4240" s="1" t="str">
        <f t="shared" si="8234"/>
        <v>2021</v>
      </c>
      <c r="E4240" s="1" t="str">
        <f t="shared" ref="E4240:P4240" si="8250">"0"</f>
        <v>0</v>
      </c>
      <c r="F4240" s="1" t="str">
        <f t="shared" si="8250"/>
        <v>0</v>
      </c>
      <c r="G4240" s="1" t="str">
        <f t="shared" si="8250"/>
        <v>0</v>
      </c>
      <c r="H4240" s="1" t="str">
        <f t="shared" si="8250"/>
        <v>0</v>
      </c>
      <c r="I4240" s="1" t="str">
        <f t="shared" si="8250"/>
        <v>0</v>
      </c>
      <c r="J4240" s="1" t="str">
        <f t="shared" si="8250"/>
        <v>0</v>
      </c>
      <c r="K4240" s="1" t="str">
        <f t="shared" si="8250"/>
        <v>0</v>
      </c>
      <c r="L4240" s="1" t="str">
        <f t="shared" si="8250"/>
        <v>0</v>
      </c>
      <c r="M4240" s="1" t="str">
        <f t="shared" si="8250"/>
        <v>0</v>
      </c>
      <c r="N4240" s="1" t="str">
        <f t="shared" si="8250"/>
        <v>0</v>
      </c>
      <c r="O4240" s="1" t="str">
        <f t="shared" si="8250"/>
        <v>0</v>
      </c>
      <c r="P4240" s="1" t="str">
        <f t="shared" si="8250"/>
        <v>0</v>
      </c>
      <c r="Q4240" s="1" t="str">
        <f t="shared" si="8236"/>
        <v>0.0070</v>
      </c>
      <c r="R4240" s="1" t="s">
        <v>25</v>
      </c>
      <c r="T4240" s="1" t="str">
        <f t="shared" si="8237"/>
        <v>0</v>
      </c>
      <c r="U4240" s="1" t="str">
        <f t="shared" si="8229"/>
        <v>0.0070</v>
      </c>
    </row>
    <row r="4241" s="1" customFormat="1" spans="1:21">
      <c r="A4241" s="1" t="str">
        <f>"4601992096832"</f>
        <v>4601992096832</v>
      </c>
      <c r="B4241" s="1" t="s">
        <v>4264</v>
      </c>
      <c r="C4241" s="1" t="s">
        <v>24</v>
      </c>
      <c r="D4241" s="1" t="str">
        <f t="shared" si="8234"/>
        <v>2021</v>
      </c>
      <c r="E4241" s="1" t="str">
        <f t="shared" ref="E4241:P4241" si="8251">"0"</f>
        <v>0</v>
      </c>
      <c r="F4241" s="1" t="str">
        <f t="shared" si="8251"/>
        <v>0</v>
      </c>
      <c r="G4241" s="1" t="str">
        <f t="shared" si="8251"/>
        <v>0</v>
      </c>
      <c r="H4241" s="1" t="str">
        <f t="shared" si="8251"/>
        <v>0</v>
      </c>
      <c r="I4241" s="1" t="str">
        <f t="shared" si="8251"/>
        <v>0</v>
      </c>
      <c r="J4241" s="1" t="str">
        <f t="shared" si="8251"/>
        <v>0</v>
      </c>
      <c r="K4241" s="1" t="str">
        <f t="shared" si="8251"/>
        <v>0</v>
      </c>
      <c r="L4241" s="1" t="str">
        <f t="shared" si="8251"/>
        <v>0</v>
      </c>
      <c r="M4241" s="1" t="str">
        <f t="shared" si="8251"/>
        <v>0</v>
      </c>
      <c r="N4241" s="1" t="str">
        <f t="shared" si="8251"/>
        <v>0</v>
      </c>
      <c r="O4241" s="1" t="str">
        <f t="shared" si="8251"/>
        <v>0</v>
      </c>
      <c r="P4241" s="1" t="str">
        <f t="shared" si="8251"/>
        <v>0</v>
      </c>
      <c r="Q4241" s="1" t="str">
        <f t="shared" si="8236"/>
        <v>0.0070</v>
      </c>
      <c r="R4241" s="1" t="s">
        <v>25</v>
      </c>
      <c r="T4241" s="1" t="str">
        <f t="shared" si="8237"/>
        <v>0</v>
      </c>
      <c r="U4241" s="1" t="str">
        <f t="shared" si="8229"/>
        <v>0.0070</v>
      </c>
    </row>
    <row r="4242" s="1" customFormat="1" spans="1:21">
      <c r="A4242" s="1" t="str">
        <f>"4601992096785"</f>
        <v>4601992096785</v>
      </c>
      <c r="B4242" s="1" t="s">
        <v>4265</v>
      </c>
      <c r="C4242" s="1" t="s">
        <v>24</v>
      </c>
      <c r="D4242" s="1" t="str">
        <f t="shared" si="8234"/>
        <v>2021</v>
      </c>
      <c r="E4242" s="1" t="str">
        <f>"24.50"</f>
        <v>24.50</v>
      </c>
      <c r="F4242" s="1" t="str">
        <f t="shared" ref="F4242:I4242" si="8252">"0"</f>
        <v>0</v>
      </c>
      <c r="G4242" s="1" t="str">
        <f t="shared" si="8252"/>
        <v>0</v>
      </c>
      <c r="H4242" s="1" t="str">
        <f t="shared" si="8252"/>
        <v>0</v>
      </c>
      <c r="I4242" s="1" t="str">
        <f t="shared" si="8252"/>
        <v>0</v>
      </c>
      <c r="J4242" s="1" t="str">
        <f>"2"</f>
        <v>2</v>
      </c>
      <c r="K4242" s="1" t="str">
        <f t="shared" ref="K4242:P4242" si="8253">"0"</f>
        <v>0</v>
      </c>
      <c r="L4242" s="1" t="str">
        <f t="shared" si="8253"/>
        <v>0</v>
      </c>
      <c r="M4242" s="1" t="str">
        <f t="shared" si="8253"/>
        <v>0</v>
      </c>
      <c r="N4242" s="1" t="str">
        <f t="shared" si="8253"/>
        <v>0</v>
      </c>
      <c r="O4242" s="1" t="str">
        <f t="shared" si="8253"/>
        <v>0</v>
      </c>
      <c r="P4242" s="1" t="str">
        <f t="shared" si="8253"/>
        <v>0</v>
      </c>
      <c r="Q4242" s="1" t="str">
        <f t="shared" si="8236"/>
        <v>0.0070</v>
      </c>
      <c r="R4242" s="1" t="s">
        <v>29</v>
      </c>
      <c r="S4242" s="1">
        <v>-0.0014</v>
      </c>
      <c r="T4242" s="1" t="str">
        <f t="shared" si="8237"/>
        <v>0</v>
      </c>
      <c r="U4242" s="1" t="str">
        <f>"0.0056"</f>
        <v>0.0056</v>
      </c>
    </row>
    <row r="4243" s="1" customFormat="1" spans="1:21">
      <c r="A4243" s="1" t="str">
        <f>"4601992096811"</f>
        <v>4601992096811</v>
      </c>
      <c r="B4243" s="1" t="s">
        <v>4266</v>
      </c>
      <c r="C4243" s="1" t="s">
        <v>24</v>
      </c>
      <c r="D4243" s="1" t="str">
        <f t="shared" si="8234"/>
        <v>2021</v>
      </c>
      <c r="E4243" s="1" t="str">
        <f>"11.98"</f>
        <v>11.98</v>
      </c>
      <c r="F4243" s="1" t="str">
        <f t="shared" ref="F4243:I4243" si="8254">"0"</f>
        <v>0</v>
      </c>
      <c r="G4243" s="1" t="str">
        <f t="shared" si="8254"/>
        <v>0</v>
      </c>
      <c r="H4243" s="1" t="str">
        <f t="shared" si="8254"/>
        <v>0</v>
      </c>
      <c r="I4243" s="1" t="str">
        <f t="shared" si="8254"/>
        <v>0</v>
      </c>
      <c r="J4243" s="1" t="str">
        <f>"1"</f>
        <v>1</v>
      </c>
      <c r="K4243" s="1" t="str">
        <f t="shared" ref="K4243:P4243" si="8255">"0"</f>
        <v>0</v>
      </c>
      <c r="L4243" s="1" t="str">
        <f t="shared" si="8255"/>
        <v>0</v>
      </c>
      <c r="M4243" s="1" t="str">
        <f t="shared" si="8255"/>
        <v>0</v>
      </c>
      <c r="N4243" s="1" t="str">
        <f t="shared" si="8255"/>
        <v>0</v>
      </c>
      <c r="O4243" s="1" t="str">
        <f t="shared" si="8255"/>
        <v>0</v>
      </c>
      <c r="P4243" s="1" t="str">
        <f t="shared" si="8255"/>
        <v>0</v>
      </c>
      <c r="Q4243" s="1" t="str">
        <f t="shared" si="8236"/>
        <v>0.0070</v>
      </c>
      <c r="R4243" s="1" t="s">
        <v>25</v>
      </c>
      <c r="T4243" s="1" t="str">
        <f t="shared" si="8237"/>
        <v>0</v>
      </c>
      <c r="U4243" s="1" t="str">
        <f t="shared" ref="U4243:U4246" si="8256">"0.0070"</f>
        <v>0.0070</v>
      </c>
    </row>
    <row r="4244" s="1" customFormat="1" spans="1:21">
      <c r="A4244" s="1" t="str">
        <f>"4601992096921"</f>
        <v>4601992096921</v>
      </c>
      <c r="B4244" s="1" t="s">
        <v>4267</v>
      </c>
      <c r="C4244" s="1" t="s">
        <v>24</v>
      </c>
      <c r="D4244" s="1" t="str">
        <f t="shared" si="8234"/>
        <v>2021</v>
      </c>
      <c r="E4244" s="1" t="str">
        <f t="shared" ref="E4244:P4244" si="8257">"0"</f>
        <v>0</v>
      </c>
      <c r="F4244" s="1" t="str">
        <f t="shared" si="8257"/>
        <v>0</v>
      </c>
      <c r="G4244" s="1" t="str">
        <f t="shared" si="8257"/>
        <v>0</v>
      </c>
      <c r="H4244" s="1" t="str">
        <f t="shared" si="8257"/>
        <v>0</v>
      </c>
      <c r="I4244" s="1" t="str">
        <f t="shared" si="8257"/>
        <v>0</v>
      </c>
      <c r="J4244" s="1" t="str">
        <f t="shared" si="8257"/>
        <v>0</v>
      </c>
      <c r="K4244" s="1" t="str">
        <f t="shared" si="8257"/>
        <v>0</v>
      </c>
      <c r="L4244" s="1" t="str">
        <f t="shared" si="8257"/>
        <v>0</v>
      </c>
      <c r="M4244" s="1" t="str">
        <f t="shared" si="8257"/>
        <v>0</v>
      </c>
      <c r="N4244" s="1" t="str">
        <f t="shared" si="8257"/>
        <v>0</v>
      </c>
      <c r="O4244" s="1" t="str">
        <f t="shared" si="8257"/>
        <v>0</v>
      </c>
      <c r="P4244" s="1" t="str">
        <f t="shared" si="8257"/>
        <v>0</v>
      </c>
      <c r="Q4244" s="1" t="str">
        <f t="shared" si="8236"/>
        <v>0.0070</v>
      </c>
      <c r="R4244" s="1" t="s">
        <v>25</v>
      </c>
      <c r="T4244" s="1" t="str">
        <f t="shared" si="8237"/>
        <v>0</v>
      </c>
      <c r="U4244" s="1" t="str">
        <f t="shared" si="8256"/>
        <v>0.0070</v>
      </c>
    </row>
    <row r="4245" s="1" customFormat="1" spans="1:21">
      <c r="A4245" s="1" t="str">
        <f>"4601992096922"</f>
        <v>4601992096922</v>
      </c>
      <c r="B4245" s="1" t="s">
        <v>4268</v>
      </c>
      <c r="C4245" s="1" t="s">
        <v>24</v>
      </c>
      <c r="D4245" s="1" t="str">
        <f t="shared" si="8234"/>
        <v>2021</v>
      </c>
      <c r="E4245" s="1" t="str">
        <f t="shared" ref="E4245:P4245" si="8258">"0"</f>
        <v>0</v>
      </c>
      <c r="F4245" s="1" t="str">
        <f t="shared" si="8258"/>
        <v>0</v>
      </c>
      <c r="G4245" s="1" t="str">
        <f t="shared" si="8258"/>
        <v>0</v>
      </c>
      <c r="H4245" s="1" t="str">
        <f t="shared" si="8258"/>
        <v>0</v>
      </c>
      <c r="I4245" s="1" t="str">
        <f t="shared" si="8258"/>
        <v>0</v>
      </c>
      <c r="J4245" s="1" t="str">
        <f t="shared" si="8258"/>
        <v>0</v>
      </c>
      <c r="K4245" s="1" t="str">
        <f t="shared" si="8258"/>
        <v>0</v>
      </c>
      <c r="L4245" s="1" t="str">
        <f t="shared" si="8258"/>
        <v>0</v>
      </c>
      <c r="M4245" s="1" t="str">
        <f t="shared" si="8258"/>
        <v>0</v>
      </c>
      <c r="N4245" s="1" t="str">
        <f t="shared" si="8258"/>
        <v>0</v>
      </c>
      <c r="O4245" s="1" t="str">
        <f t="shared" si="8258"/>
        <v>0</v>
      </c>
      <c r="P4245" s="1" t="str">
        <f t="shared" si="8258"/>
        <v>0</v>
      </c>
      <c r="Q4245" s="1" t="str">
        <f t="shared" si="8236"/>
        <v>0.0070</v>
      </c>
      <c r="R4245" s="1" t="s">
        <v>25</v>
      </c>
      <c r="T4245" s="1" t="str">
        <f t="shared" si="8237"/>
        <v>0</v>
      </c>
      <c r="U4245" s="1" t="str">
        <f t="shared" si="8256"/>
        <v>0.0070</v>
      </c>
    </row>
    <row r="4246" s="1" customFormat="1" spans="1:21">
      <c r="A4246" s="1" t="str">
        <f>"4601992097032"</f>
        <v>4601992097032</v>
      </c>
      <c r="B4246" s="1" t="s">
        <v>4269</v>
      </c>
      <c r="C4246" s="1" t="s">
        <v>24</v>
      </c>
      <c r="D4246" s="1" t="str">
        <f t="shared" si="8234"/>
        <v>2021</v>
      </c>
      <c r="E4246" s="1" t="str">
        <f t="shared" ref="E4246:P4246" si="8259">"0"</f>
        <v>0</v>
      </c>
      <c r="F4246" s="1" t="str">
        <f t="shared" si="8259"/>
        <v>0</v>
      </c>
      <c r="G4246" s="1" t="str">
        <f t="shared" si="8259"/>
        <v>0</v>
      </c>
      <c r="H4246" s="1" t="str">
        <f t="shared" si="8259"/>
        <v>0</v>
      </c>
      <c r="I4246" s="1" t="str">
        <f t="shared" si="8259"/>
        <v>0</v>
      </c>
      <c r="J4246" s="1" t="str">
        <f t="shared" si="8259"/>
        <v>0</v>
      </c>
      <c r="K4246" s="1" t="str">
        <f t="shared" si="8259"/>
        <v>0</v>
      </c>
      <c r="L4246" s="1" t="str">
        <f t="shared" si="8259"/>
        <v>0</v>
      </c>
      <c r="M4246" s="1" t="str">
        <f t="shared" si="8259"/>
        <v>0</v>
      </c>
      <c r="N4246" s="1" t="str">
        <f t="shared" si="8259"/>
        <v>0</v>
      </c>
      <c r="O4246" s="1" t="str">
        <f t="shared" si="8259"/>
        <v>0</v>
      </c>
      <c r="P4246" s="1" t="str">
        <f t="shared" si="8259"/>
        <v>0</v>
      </c>
      <c r="Q4246" s="1" t="str">
        <f t="shared" si="8236"/>
        <v>0.0070</v>
      </c>
      <c r="R4246" s="1" t="s">
        <v>25</v>
      </c>
      <c r="T4246" s="1" t="str">
        <f t="shared" si="8237"/>
        <v>0</v>
      </c>
      <c r="U4246" s="1" t="str">
        <f t="shared" si="8256"/>
        <v>0.0070</v>
      </c>
    </row>
    <row r="4247" s="1" customFormat="1" spans="1:21">
      <c r="A4247" s="1" t="str">
        <f>"4601992096955"</f>
        <v>4601992096955</v>
      </c>
      <c r="B4247" s="1" t="s">
        <v>4270</v>
      </c>
      <c r="C4247" s="1" t="s">
        <v>24</v>
      </c>
      <c r="D4247" s="1" t="str">
        <f t="shared" si="8234"/>
        <v>2021</v>
      </c>
      <c r="E4247" s="1" t="str">
        <f>"11.98"</f>
        <v>11.98</v>
      </c>
      <c r="F4247" s="1" t="str">
        <f t="shared" ref="F4247:I4247" si="8260">"0"</f>
        <v>0</v>
      </c>
      <c r="G4247" s="1" t="str">
        <f t="shared" si="8260"/>
        <v>0</v>
      </c>
      <c r="H4247" s="1" t="str">
        <f t="shared" si="8260"/>
        <v>0</v>
      </c>
      <c r="I4247" s="1" t="str">
        <f t="shared" si="8260"/>
        <v>0</v>
      </c>
      <c r="J4247" s="1" t="str">
        <f>"1"</f>
        <v>1</v>
      </c>
      <c r="K4247" s="1" t="str">
        <f t="shared" ref="K4247:P4247" si="8261">"0"</f>
        <v>0</v>
      </c>
      <c r="L4247" s="1" t="str">
        <f t="shared" si="8261"/>
        <v>0</v>
      </c>
      <c r="M4247" s="1" t="str">
        <f t="shared" si="8261"/>
        <v>0</v>
      </c>
      <c r="N4247" s="1" t="str">
        <f t="shared" si="8261"/>
        <v>0</v>
      </c>
      <c r="O4247" s="1" t="str">
        <f t="shared" si="8261"/>
        <v>0</v>
      </c>
      <c r="P4247" s="1" t="str">
        <f t="shared" si="8261"/>
        <v>0</v>
      </c>
      <c r="Q4247" s="1" t="str">
        <f t="shared" si="8236"/>
        <v>0.0070</v>
      </c>
      <c r="R4247" s="1" t="s">
        <v>29</v>
      </c>
      <c r="S4247" s="1">
        <v>-0.0014</v>
      </c>
      <c r="T4247" s="1" t="str">
        <f t="shared" si="8237"/>
        <v>0</v>
      </c>
      <c r="U4247" s="1" t="str">
        <f>"0.0056"</f>
        <v>0.0056</v>
      </c>
    </row>
    <row r="4248" s="1" customFormat="1" spans="1:21">
      <c r="A4248" s="1" t="str">
        <f>"4601992097168"</f>
        <v>4601992097168</v>
      </c>
      <c r="B4248" s="1" t="s">
        <v>4271</v>
      </c>
      <c r="C4248" s="1" t="s">
        <v>24</v>
      </c>
      <c r="D4248" s="1" t="str">
        <f t="shared" si="8234"/>
        <v>2021</v>
      </c>
      <c r="E4248" s="1" t="str">
        <f t="shared" ref="E4248:P4248" si="8262">"0"</f>
        <v>0</v>
      </c>
      <c r="F4248" s="1" t="str">
        <f t="shared" si="8262"/>
        <v>0</v>
      </c>
      <c r="G4248" s="1" t="str">
        <f t="shared" si="8262"/>
        <v>0</v>
      </c>
      <c r="H4248" s="1" t="str">
        <f t="shared" si="8262"/>
        <v>0</v>
      </c>
      <c r="I4248" s="1" t="str">
        <f t="shared" si="8262"/>
        <v>0</v>
      </c>
      <c r="J4248" s="1" t="str">
        <f t="shared" si="8262"/>
        <v>0</v>
      </c>
      <c r="K4248" s="1" t="str">
        <f t="shared" si="8262"/>
        <v>0</v>
      </c>
      <c r="L4248" s="1" t="str">
        <f t="shared" si="8262"/>
        <v>0</v>
      </c>
      <c r="M4248" s="1" t="str">
        <f t="shared" si="8262"/>
        <v>0</v>
      </c>
      <c r="N4248" s="1" t="str">
        <f t="shared" si="8262"/>
        <v>0</v>
      </c>
      <c r="O4248" s="1" t="str">
        <f t="shared" si="8262"/>
        <v>0</v>
      </c>
      <c r="P4248" s="1" t="str">
        <f t="shared" si="8262"/>
        <v>0</v>
      </c>
      <c r="Q4248" s="1" t="str">
        <f t="shared" si="8236"/>
        <v>0.0070</v>
      </c>
      <c r="R4248" s="1" t="s">
        <v>25</v>
      </c>
      <c r="T4248" s="1" t="str">
        <f t="shared" si="8237"/>
        <v>0</v>
      </c>
      <c r="U4248" s="1" t="str">
        <f t="shared" ref="U4248:U4251" si="8263">"0.0070"</f>
        <v>0.0070</v>
      </c>
    </row>
    <row r="4249" s="1" customFormat="1" spans="1:21">
      <c r="A4249" s="1" t="str">
        <f>"4601992097080"</f>
        <v>4601992097080</v>
      </c>
      <c r="B4249" s="1" t="s">
        <v>4272</v>
      </c>
      <c r="C4249" s="1" t="s">
        <v>24</v>
      </c>
      <c r="D4249" s="1" t="str">
        <f t="shared" si="8234"/>
        <v>2021</v>
      </c>
      <c r="E4249" s="1" t="str">
        <f t="shared" ref="E4249:P4249" si="8264">"0"</f>
        <v>0</v>
      </c>
      <c r="F4249" s="1" t="str">
        <f t="shared" si="8264"/>
        <v>0</v>
      </c>
      <c r="G4249" s="1" t="str">
        <f t="shared" si="8264"/>
        <v>0</v>
      </c>
      <c r="H4249" s="1" t="str">
        <f t="shared" si="8264"/>
        <v>0</v>
      </c>
      <c r="I4249" s="1" t="str">
        <f t="shared" si="8264"/>
        <v>0</v>
      </c>
      <c r="J4249" s="1" t="str">
        <f t="shared" si="8264"/>
        <v>0</v>
      </c>
      <c r="K4249" s="1" t="str">
        <f t="shared" si="8264"/>
        <v>0</v>
      </c>
      <c r="L4249" s="1" t="str">
        <f t="shared" si="8264"/>
        <v>0</v>
      </c>
      <c r="M4249" s="1" t="str">
        <f t="shared" si="8264"/>
        <v>0</v>
      </c>
      <c r="N4249" s="1" t="str">
        <f t="shared" si="8264"/>
        <v>0</v>
      </c>
      <c r="O4249" s="1" t="str">
        <f t="shared" si="8264"/>
        <v>0</v>
      </c>
      <c r="P4249" s="1" t="str">
        <f t="shared" si="8264"/>
        <v>0</v>
      </c>
      <c r="Q4249" s="1" t="str">
        <f t="shared" si="8236"/>
        <v>0.0070</v>
      </c>
      <c r="R4249" s="1" t="s">
        <v>25</v>
      </c>
      <c r="T4249" s="1" t="str">
        <f t="shared" si="8237"/>
        <v>0</v>
      </c>
      <c r="U4249" s="1" t="str">
        <f t="shared" si="8263"/>
        <v>0.0070</v>
      </c>
    </row>
    <row r="4250" s="1" customFormat="1" spans="1:21">
      <c r="A4250" s="1" t="str">
        <f>"4601992097228"</f>
        <v>4601992097228</v>
      </c>
      <c r="B4250" s="1" t="s">
        <v>4273</v>
      </c>
      <c r="C4250" s="1" t="s">
        <v>24</v>
      </c>
      <c r="D4250" s="1" t="str">
        <f t="shared" si="8234"/>
        <v>2021</v>
      </c>
      <c r="E4250" s="1" t="str">
        <f t="shared" ref="E4250:P4250" si="8265">"0"</f>
        <v>0</v>
      </c>
      <c r="F4250" s="1" t="str">
        <f t="shared" si="8265"/>
        <v>0</v>
      </c>
      <c r="G4250" s="1" t="str">
        <f t="shared" si="8265"/>
        <v>0</v>
      </c>
      <c r="H4250" s="1" t="str">
        <f t="shared" si="8265"/>
        <v>0</v>
      </c>
      <c r="I4250" s="1" t="str">
        <f t="shared" si="8265"/>
        <v>0</v>
      </c>
      <c r="J4250" s="1" t="str">
        <f t="shared" si="8265"/>
        <v>0</v>
      </c>
      <c r="K4250" s="1" t="str">
        <f t="shared" si="8265"/>
        <v>0</v>
      </c>
      <c r="L4250" s="1" t="str">
        <f t="shared" si="8265"/>
        <v>0</v>
      </c>
      <c r="M4250" s="1" t="str">
        <f t="shared" si="8265"/>
        <v>0</v>
      </c>
      <c r="N4250" s="1" t="str">
        <f t="shared" si="8265"/>
        <v>0</v>
      </c>
      <c r="O4250" s="1" t="str">
        <f t="shared" si="8265"/>
        <v>0</v>
      </c>
      <c r="P4250" s="1" t="str">
        <f t="shared" si="8265"/>
        <v>0</v>
      </c>
      <c r="Q4250" s="1" t="str">
        <f t="shared" si="8236"/>
        <v>0.0070</v>
      </c>
      <c r="R4250" s="1" t="s">
        <v>25</v>
      </c>
      <c r="T4250" s="1" t="str">
        <f t="shared" si="8237"/>
        <v>0</v>
      </c>
      <c r="U4250" s="1" t="str">
        <f t="shared" si="8263"/>
        <v>0.0070</v>
      </c>
    </row>
    <row r="4251" s="1" customFormat="1" spans="1:21">
      <c r="A4251" s="1" t="str">
        <f>"4601992097213"</f>
        <v>4601992097213</v>
      </c>
      <c r="B4251" s="1" t="s">
        <v>4274</v>
      </c>
      <c r="C4251" s="1" t="s">
        <v>24</v>
      </c>
      <c r="D4251" s="1" t="str">
        <f t="shared" si="8234"/>
        <v>2021</v>
      </c>
      <c r="E4251" s="1" t="str">
        <f t="shared" ref="E4251:P4251" si="8266">"0"</f>
        <v>0</v>
      </c>
      <c r="F4251" s="1" t="str">
        <f t="shared" si="8266"/>
        <v>0</v>
      </c>
      <c r="G4251" s="1" t="str">
        <f t="shared" si="8266"/>
        <v>0</v>
      </c>
      <c r="H4251" s="1" t="str">
        <f t="shared" si="8266"/>
        <v>0</v>
      </c>
      <c r="I4251" s="1" t="str">
        <f t="shared" si="8266"/>
        <v>0</v>
      </c>
      <c r="J4251" s="1" t="str">
        <f t="shared" si="8266"/>
        <v>0</v>
      </c>
      <c r="K4251" s="1" t="str">
        <f t="shared" si="8266"/>
        <v>0</v>
      </c>
      <c r="L4251" s="1" t="str">
        <f t="shared" si="8266"/>
        <v>0</v>
      </c>
      <c r="M4251" s="1" t="str">
        <f t="shared" si="8266"/>
        <v>0</v>
      </c>
      <c r="N4251" s="1" t="str">
        <f t="shared" si="8266"/>
        <v>0</v>
      </c>
      <c r="O4251" s="1" t="str">
        <f t="shared" si="8266"/>
        <v>0</v>
      </c>
      <c r="P4251" s="1" t="str">
        <f t="shared" si="8266"/>
        <v>0</v>
      </c>
      <c r="Q4251" s="1" t="str">
        <f t="shared" si="8236"/>
        <v>0.0070</v>
      </c>
      <c r="R4251" s="1" t="s">
        <v>25</v>
      </c>
      <c r="T4251" s="1" t="str">
        <f t="shared" si="8237"/>
        <v>0</v>
      </c>
      <c r="U4251" s="1" t="str">
        <f t="shared" si="8263"/>
        <v>0.0070</v>
      </c>
    </row>
    <row r="4252" s="1" customFormat="1" spans="1:21">
      <c r="A4252" s="1" t="str">
        <f>"4601992097180"</f>
        <v>4601992097180</v>
      </c>
      <c r="B4252" s="1" t="s">
        <v>4275</v>
      </c>
      <c r="C4252" s="1" t="s">
        <v>24</v>
      </c>
      <c r="D4252" s="1" t="str">
        <f t="shared" si="8234"/>
        <v>2021</v>
      </c>
      <c r="E4252" s="1" t="str">
        <f>"23.96"</f>
        <v>23.96</v>
      </c>
      <c r="F4252" s="1" t="str">
        <f t="shared" ref="F4252:I4252" si="8267">"0"</f>
        <v>0</v>
      </c>
      <c r="G4252" s="1" t="str">
        <f t="shared" si="8267"/>
        <v>0</v>
      </c>
      <c r="H4252" s="1" t="str">
        <f t="shared" si="8267"/>
        <v>0</v>
      </c>
      <c r="I4252" s="1" t="str">
        <f t="shared" si="8267"/>
        <v>0</v>
      </c>
      <c r="J4252" s="1" t="str">
        <f>"2"</f>
        <v>2</v>
      </c>
      <c r="K4252" s="1" t="str">
        <f t="shared" ref="K4252:P4252" si="8268">"0"</f>
        <v>0</v>
      </c>
      <c r="L4252" s="1" t="str">
        <f t="shared" si="8268"/>
        <v>0</v>
      </c>
      <c r="M4252" s="1" t="str">
        <f t="shared" si="8268"/>
        <v>0</v>
      </c>
      <c r="N4252" s="1" t="str">
        <f t="shared" si="8268"/>
        <v>0</v>
      </c>
      <c r="O4252" s="1" t="str">
        <f t="shared" si="8268"/>
        <v>0</v>
      </c>
      <c r="P4252" s="1" t="str">
        <f t="shared" si="8268"/>
        <v>0</v>
      </c>
      <c r="Q4252" s="1" t="str">
        <f t="shared" si="8236"/>
        <v>0.0070</v>
      </c>
      <c r="R4252" s="1" t="s">
        <v>29</v>
      </c>
      <c r="S4252" s="1">
        <v>-0.0014</v>
      </c>
      <c r="T4252" s="1" t="str">
        <f t="shared" si="8237"/>
        <v>0</v>
      </c>
      <c r="U4252" s="1" t="str">
        <f>"0.0056"</f>
        <v>0.0056</v>
      </c>
    </row>
    <row r="4253" s="1" customFormat="1" spans="1:21">
      <c r="A4253" s="1" t="str">
        <f>"4601992097414"</f>
        <v>4601992097414</v>
      </c>
      <c r="B4253" s="1" t="s">
        <v>4276</v>
      </c>
      <c r="C4253" s="1" t="s">
        <v>24</v>
      </c>
      <c r="D4253" s="1" t="str">
        <f t="shared" si="8234"/>
        <v>2021</v>
      </c>
      <c r="E4253" s="1" t="str">
        <f t="shared" ref="E4253:P4253" si="8269">"0"</f>
        <v>0</v>
      </c>
      <c r="F4253" s="1" t="str">
        <f t="shared" si="8269"/>
        <v>0</v>
      </c>
      <c r="G4253" s="1" t="str">
        <f t="shared" si="8269"/>
        <v>0</v>
      </c>
      <c r="H4253" s="1" t="str">
        <f t="shared" si="8269"/>
        <v>0</v>
      </c>
      <c r="I4253" s="1" t="str">
        <f t="shared" si="8269"/>
        <v>0</v>
      </c>
      <c r="J4253" s="1" t="str">
        <f t="shared" si="8269"/>
        <v>0</v>
      </c>
      <c r="K4253" s="1" t="str">
        <f t="shared" si="8269"/>
        <v>0</v>
      </c>
      <c r="L4253" s="1" t="str">
        <f t="shared" si="8269"/>
        <v>0</v>
      </c>
      <c r="M4253" s="1" t="str">
        <f t="shared" si="8269"/>
        <v>0</v>
      </c>
      <c r="N4253" s="1" t="str">
        <f t="shared" si="8269"/>
        <v>0</v>
      </c>
      <c r="O4253" s="1" t="str">
        <f t="shared" si="8269"/>
        <v>0</v>
      </c>
      <c r="P4253" s="1" t="str">
        <f t="shared" si="8269"/>
        <v>0</v>
      </c>
      <c r="Q4253" s="1" t="str">
        <f t="shared" si="8236"/>
        <v>0.0070</v>
      </c>
      <c r="R4253" s="1" t="s">
        <v>25</v>
      </c>
      <c r="T4253" s="1" t="str">
        <f t="shared" si="8237"/>
        <v>0</v>
      </c>
      <c r="U4253" s="1" t="str">
        <f t="shared" ref="U4253:U4263" si="8270">"0.0070"</f>
        <v>0.0070</v>
      </c>
    </row>
    <row r="4254" s="1" customFormat="1" spans="1:21">
      <c r="A4254" s="1" t="str">
        <f>"4601992097404"</f>
        <v>4601992097404</v>
      </c>
      <c r="B4254" s="1" t="s">
        <v>4277</v>
      </c>
      <c r="C4254" s="1" t="s">
        <v>24</v>
      </c>
      <c r="D4254" s="1" t="str">
        <f t="shared" si="8234"/>
        <v>2021</v>
      </c>
      <c r="E4254" s="1" t="str">
        <f>"12.09"</f>
        <v>12.09</v>
      </c>
      <c r="F4254" s="1" t="str">
        <f t="shared" ref="F4254:I4254" si="8271">"0"</f>
        <v>0</v>
      </c>
      <c r="G4254" s="1" t="str">
        <f t="shared" si="8271"/>
        <v>0</v>
      </c>
      <c r="H4254" s="1" t="str">
        <f t="shared" si="8271"/>
        <v>0</v>
      </c>
      <c r="I4254" s="1" t="str">
        <f t="shared" si="8271"/>
        <v>0</v>
      </c>
      <c r="J4254" s="1" t="str">
        <f>"3"</f>
        <v>3</v>
      </c>
      <c r="K4254" s="1" t="str">
        <f t="shared" ref="K4254:P4254" si="8272">"0"</f>
        <v>0</v>
      </c>
      <c r="L4254" s="1" t="str">
        <f t="shared" si="8272"/>
        <v>0</v>
      </c>
      <c r="M4254" s="1" t="str">
        <f t="shared" si="8272"/>
        <v>0</v>
      </c>
      <c r="N4254" s="1" t="str">
        <f t="shared" si="8272"/>
        <v>0</v>
      </c>
      <c r="O4254" s="1" t="str">
        <f t="shared" si="8272"/>
        <v>0</v>
      </c>
      <c r="P4254" s="1" t="str">
        <f t="shared" si="8272"/>
        <v>0</v>
      </c>
      <c r="Q4254" s="1" t="str">
        <f t="shared" si="8236"/>
        <v>0.0070</v>
      </c>
      <c r="R4254" s="1" t="s">
        <v>29</v>
      </c>
      <c r="S4254" s="1">
        <v>-0.0014</v>
      </c>
      <c r="T4254" s="1" t="str">
        <f t="shared" si="8237"/>
        <v>0</v>
      </c>
      <c r="U4254" s="1" t="str">
        <f>"0.0056"</f>
        <v>0.0056</v>
      </c>
    </row>
    <row r="4255" s="1" customFormat="1" spans="1:21">
      <c r="A4255" s="1" t="str">
        <f>"4601992097536"</f>
        <v>4601992097536</v>
      </c>
      <c r="B4255" s="1" t="s">
        <v>4278</v>
      </c>
      <c r="C4255" s="1" t="s">
        <v>24</v>
      </c>
      <c r="D4255" s="1" t="str">
        <f t="shared" si="8234"/>
        <v>2021</v>
      </c>
      <c r="E4255" s="1" t="str">
        <f t="shared" ref="E4255:P4255" si="8273">"0"</f>
        <v>0</v>
      </c>
      <c r="F4255" s="1" t="str">
        <f t="shared" si="8273"/>
        <v>0</v>
      </c>
      <c r="G4255" s="1" t="str">
        <f t="shared" si="8273"/>
        <v>0</v>
      </c>
      <c r="H4255" s="1" t="str">
        <f t="shared" si="8273"/>
        <v>0</v>
      </c>
      <c r="I4255" s="1" t="str">
        <f t="shared" si="8273"/>
        <v>0</v>
      </c>
      <c r="J4255" s="1" t="str">
        <f t="shared" si="8273"/>
        <v>0</v>
      </c>
      <c r="K4255" s="1" t="str">
        <f t="shared" si="8273"/>
        <v>0</v>
      </c>
      <c r="L4255" s="1" t="str">
        <f t="shared" si="8273"/>
        <v>0</v>
      </c>
      <c r="M4255" s="1" t="str">
        <f t="shared" si="8273"/>
        <v>0</v>
      </c>
      <c r="N4255" s="1" t="str">
        <f t="shared" si="8273"/>
        <v>0</v>
      </c>
      <c r="O4255" s="1" t="str">
        <f t="shared" si="8273"/>
        <v>0</v>
      </c>
      <c r="P4255" s="1" t="str">
        <f t="shared" si="8273"/>
        <v>0</v>
      </c>
      <c r="Q4255" s="1" t="str">
        <f t="shared" si="8236"/>
        <v>0.0070</v>
      </c>
      <c r="R4255" s="1" t="s">
        <v>25</v>
      </c>
      <c r="T4255" s="1" t="str">
        <f t="shared" si="8237"/>
        <v>0</v>
      </c>
      <c r="U4255" s="1" t="str">
        <f t="shared" si="8270"/>
        <v>0.0070</v>
      </c>
    </row>
    <row r="4256" s="1" customFormat="1" spans="1:21">
      <c r="A4256" s="1" t="str">
        <f>"4601992097600"</f>
        <v>4601992097600</v>
      </c>
      <c r="B4256" s="1" t="s">
        <v>4279</v>
      </c>
      <c r="C4256" s="1" t="s">
        <v>24</v>
      </c>
      <c r="D4256" s="1" t="str">
        <f t="shared" si="8234"/>
        <v>2021</v>
      </c>
      <c r="E4256" s="1" t="str">
        <f t="shared" ref="E4256:P4256" si="8274">"0"</f>
        <v>0</v>
      </c>
      <c r="F4256" s="1" t="str">
        <f t="shared" si="8274"/>
        <v>0</v>
      </c>
      <c r="G4256" s="1" t="str">
        <f t="shared" si="8274"/>
        <v>0</v>
      </c>
      <c r="H4256" s="1" t="str">
        <f t="shared" si="8274"/>
        <v>0</v>
      </c>
      <c r="I4256" s="1" t="str">
        <f t="shared" si="8274"/>
        <v>0</v>
      </c>
      <c r="J4256" s="1" t="str">
        <f t="shared" si="8274"/>
        <v>0</v>
      </c>
      <c r="K4256" s="1" t="str">
        <f t="shared" si="8274"/>
        <v>0</v>
      </c>
      <c r="L4256" s="1" t="str">
        <f t="shared" si="8274"/>
        <v>0</v>
      </c>
      <c r="M4256" s="1" t="str">
        <f t="shared" si="8274"/>
        <v>0</v>
      </c>
      <c r="N4256" s="1" t="str">
        <f t="shared" si="8274"/>
        <v>0</v>
      </c>
      <c r="O4256" s="1" t="str">
        <f t="shared" si="8274"/>
        <v>0</v>
      </c>
      <c r="P4256" s="1" t="str">
        <f t="shared" si="8274"/>
        <v>0</v>
      </c>
      <c r="Q4256" s="1" t="str">
        <f t="shared" si="8236"/>
        <v>0.0070</v>
      </c>
      <c r="R4256" s="1" t="s">
        <v>25</v>
      </c>
      <c r="T4256" s="1" t="str">
        <f t="shared" si="8237"/>
        <v>0</v>
      </c>
      <c r="U4256" s="1" t="str">
        <f t="shared" si="8270"/>
        <v>0.0070</v>
      </c>
    </row>
    <row r="4257" s="1" customFormat="1" spans="1:21">
      <c r="A4257" s="1" t="str">
        <f>"4601992097637"</f>
        <v>4601992097637</v>
      </c>
      <c r="B4257" s="1" t="s">
        <v>4280</v>
      </c>
      <c r="C4257" s="1" t="s">
        <v>24</v>
      </c>
      <c r="D4257" s="1" t="str">
        <f t="shared" si="8234"/>
        <v>2021</v>
      </c>
      <c r="E4257" s="1" t="str">
        <f t="shared" ref="E4257:P4257" si="8275">"0"</f>
        <v>0</v>
      </c>
      <c r="F4257" s="1" t="str">
        <f t="shared" si="8275"/>
        <v>0</v>
      </c>
      <c r="G4257" s="1" t="str">
        <f t="shared" si="8275"/>
        <v>0</v>
      </c>
      <c r="H4257" s="1" t="str">
        <f t="shared" si="8275"/>
        <v>0</v>
      </c>
      <c r="I4257" s="1" t="str">
        <f t="shared" si="8275"/>
        <v>0</v>
      </c>
      <c r="J4257" s="1" t="str">
        <f t="shared" si="8275"/>
        <v>0</v>
      </c>
      <c r="K4257" s="1" t="str">
        <f t="shared" si="8275"/>
        <v>0</v>
      </c>
      <c r="L4257" s="1" t="str">
        <f t="shared" si="8275"/>
        <v>0</v>
      </c>
      <c r="M4257" s="1" t="str">
        <f t="shared" si="8275"/>
        <v>0</v>
      </c>
      <c r="N4257" s="1" t="str">
        <f t="shared" si="8275"/>
        <v>0</v>
      </c>
      <c r="O4257" s="1" t="str">
        <f t="shared" si="8275"/>
        <v>0</v>
      </c>
      <c r="P4257" s="1" t="str">
        <f t="shared" si="8275"/>
        <v>0</v>
      </c>
      <c r="Q4257" s="1" t="str">
        <f t="shared" si="8236"/>
        <v>0.0070</v>
      </c>
      <c r="R4257" s="1" t="s">
        <v>25</v>
      </c>
      <c r="T4257" s="1" t="str">
        <f t="shared" si="8237"/>
        <v>0</v>
      </c>
      <c r="U4257" s="1" t="str">
        <f t="shared" si="8270"/>
        <v>0.0070</v>
      </c>
    </row>
    <row r="4258" s="1" customFormat="1" spans="1:21">
      <c r="A4258" s="1" t="str">
        <f>"4601992097681"</f>
        <v>4601992097681</v>
      </c>
      <c r="B4258" s="1" t="s">
        <v>4281</v>
      </c>
      <c r="C4258" s="1" t="s">
        <v>24</v>
      </c>
      <c r="D4258" s="1" t="str">
        <f t="shared" si="8234"/>
        <v>2021</v>
      </c>
      <c r="E4258" s="1" t="str">
        <f t="shared" ref="E4258:P4258" si="8276">"0"</f>
        <v>0</v>
      </c>
      <c r="F4258" s="1" t="str">
        <f t="shared" si="8276"/>
        <v>0</v>
      </c>
      <c r="G4258" s="1" t="str">
        <f t="shared" si="8276"/>
        <v>0</v>
      </c>
      <c r="H4258" s="1" t="str">
        <f t="shared" si="8276"/>
        <v>0</v>
      </c>
      <c r="I4258" s="1" t="str">
        <f t="shared" si="8276"/>
        <v>0</v>
      </c>
      <c r="J4258" s="1" t="str">
        <f t="shared" si="8276"/>
        <v>0</v>
      </c>
      <c r="K4258" s="1" t="str">
        <f t="shared" si="8276"/>
        <v>0</v>
      </c>
      <c r="L4258" s="1" t="str">
        <f t="shared" si="8276"/>
        <v>0</v>
      </c>
      <c r="M4258" s="1" t="str">
        <f t="shared" si="8276"/>
        <v>0</v>
      </c>
      <c r="N4258" s="1" t="str">
        <f t="shared" si="8276"/>
        <v>0</v>
      </c>
      <c r="O4258" s="1" t="str">
        <f t="shared" si="8276"/>
        <v>0</v>
      </c>
      <c r="P4258" s="1" t="str">
        <f t="shared" si="8276"/>
        <v>0</v>
      </c>
      <c r="Q4258" s="1" t="str">
        <f t="shared" si="8236"/>
        <v>0.0070</v>
      </c>
      <c r="R4258" s="1" t="s">
        <v>25</v>
      </c>
      <c r="T4258" s="1" t="str">
        <f t="shared" si="8237"/>
        <v>0</v>
      </c>
      <c r="U4258" s="1" t="str">
        <f t="shared" si="8270"/>
        <v>0.0070</v>
      </c>
    </row>
    <row r="4259" s="1" customFormat="1" spans="1:21">
      <c r="A4259" s="1" t="str">
        <f>"4601992097621"</f>
        <v>4601992097621</v>
      </c>
      <c r="B4259" s="1" t="s">
        <v>4282</v>
      </c>
      <c r="C4259" s="1" t="s">
        <v>24</v>
      </c>
      <c r="D4259" s="1" t="str">
        <f t="shared" si="8234"/>
        <v>2021</v>
      </c>
      <c r="E4259" s="1" t="str">
        <f t="shared" ref="E4259:P4259" si="8277">"0"</f>
        <v>0</v>
      </c>
      <c r="F4259" s="1" t="str">
        <f t="shared" si="8277"/>
        <v>0</v>
      </c>
      <c r="G4259" s="1" t="str">
        <f t="shared" si="8277"/>
        <v>0</v>
      </c>
      <c r="H4259" s="1" t="str">
        <f t="shared" si="8277"/>
        <v>0</v>
      </c>
      <c r="I4259" s="1" t="str">
        <f t="shared" si="8277"/>
        <v>0</v>
      </c>
      <c r="J4259" s="1" t="str">
        <f t="shared" si="8277"/>
        <v>0</v>
      </c>
      <c r="K4259" s="1" t="str">
        <f t="shared" si="8277"/>
        <v>0</v>
      </c>
      <c r="L4259" s="1" t="str">
        <f t="shared" si="8277"/>
        <v>0</v>
      </c>
      <c r="M4259" s="1" t="str">
        <f t="shared" si="8277"/>
        <v>0</v>
      </c>
      <c r="N4259" s="1" t="str">
        <f t="shared" si="8277"/>
        <v>0</v>
      </c>
      <c r="O4259" s="1" t="str">
        <f t="shared" si="8277"/>
        <v>0</v>
      </c>
      <c r="P4259" s="1" t="str">
        <f t="shared" si="8277"/>
        <v>0</v>
      </c>
      <c r="Q4259" s="1" t="str">
        <f t="shared" si="8236"/>
        <v>0.0070</v>
      </c>
      <c r="R4259" s="1" t="s">
        <v>25</v>
      </c>
      <c r="T4259" s="1" t="str">
        <f t="shared" si="8237"/>
        <v>0</v>
      </c>
      <c r="U4259" s="1" t="str">
        <f t="shared" si="8270"/>
        <v>0.0070</v>
      </c>
    </row>
    <row r="4260" s="1" customFormat="1" spans="1:21">
      <c r="A4260" s="1" t="str">
        <f>"4601992097768"</f>
        <v>4601992097768</v>
      </c>
      <c r="B4260" s="1" t="s">
        <v>4283</v>
      </c>
      <c r="C4260" s="1" t="s">
        <v>24</v>
      </c>
      <c r="D4260" s="1" t="str">
        <f t="shared" si="8234"/>
        <v>2021</v>
      </c>
      <c r="E4260" s="1" t="str">
        <f t="shared" ref="E4260:P4260" si="8278">"0"</f>
        <v>0</v>
      </c>
      <c r="F4260" s="1" t="str">
        <f t="shared" si="8278"/>
        <v>0</v>
      </c>
      <c r="G4260" s="1" t="str">
        <f t="shared" si="8278"/>
        <v>0</v>
      </c>
      <c r="H4260" s="1" t="str">
        <f t="shared" si="8278"/>
        <v>0</v>
      </c>
      <c r="I4260" s="1" t="str">
        <f t="shared" si="8278"/>
        <v>0</v>
      </c>
      <c r="J4260" s="1" t="str">
        <f t="shared" si="8278"/>
        <v>0</v>
      </c>
      <c r="K4260" s="1" t="str">
        <f t="shared" si="8278"/>
        <v>0</v>
      </c>
      <c r="L4260" s="1" t="str">
        <f t="shared" si="8278"/>
        <v>0</v>
      </c>
      <c r="M4260" s="1" t="str">
        <f t="shared" si="8278"/>
        <v>0</v>
      </c>
      <c r="N4260" s="1" t="str">
        <f t="shared" si="8278"/>
        <v>0</v>
      </c>
      <c r="O4260" s="1" t="str">
        <f t="shared" si="8278"/>
        <v>0</v>
      </c>
      <c r="P4260" s="1" t="str">
        <f t="shared" si="8278"/>
        <v>0</v>
      </c>
      <c r="Q4260" s="1" t="str">
        <f t="shared" si="8236"/>
        <v>0.0070</v>
      </c>
      <c r="R4260" s="1" t="s">
        <v>25</v>
      </c>
      <c r="T4260" s="1" t="str">
        <f t="shared" si="8237"/>
        <v>0</v>
      </c>
      <c r="U4260" s="1" t="str">
        <f t="shared" si="8270"/>
        <v>0.0070</v>
      </c>
    </row>
    <row r="4261" s="1" customFormat="1" spans="1:21">
      <c r="A4261" s="1" t="str">
        <f>"4601992097827"</f>
        <v>4601992097827</v>
      </c>
      <c r="B4261" s="1" t="s">
        <v>4284</v>
      </c>
      <c r="C4261" s="1" t="s">
        <v>24</v>
      </c>
      <c r="D4261" s="1" t="str">
        <f t="shared" si="8234"/>
        <v>2021</v>
      </c>
      <c r="E4261" s="1" t="str">
        <f t="shared" ref="E4261:P4261" si="8279">"0"</f>
        <v>0</v>
      </c>
      <c r="F4261" s="1" t="str">
        <f t="shared" si="8279"/>
        <v>0</v>
      </c>
      <c r="G4261" s="1" t="str">
        <f t="shared" si="8279"/>
        <v>0</v>
      </c>
      <c r="H4261" s="1" t="str">
        <f t="shared" si="8279"/>
        <v>0</v>
      </c>
      <c r="I4261" s="1" t="str">
        <f t="shared" si="8279"/>
        <v>0</v>
      </c>
      <c r="J4261" s="1" t="str">
        <f t="shared" si="8279"/>
        <v>0</v>
      </c>
      <c r="K4261" s="1" t="str">
        <f t="shared" si="8279"/>
        <v>0</v>
      </c>
      <c r="L4261" s="1" t="str">
        <f t="shared" si="8279"/>
        <v>0</v>
      </c>
      <c r="M4261" s="1" t="str">
        <f t="shared" si="8279"/>
        <v>0</v>
      </c>
      <c r="N4261" s="1" t="str">
        <f t="shared" si="8279"/>
        <v>0</v>
      </c>
      <c r="O4261" s="1" t="str">
        <f t="shared" si="8279"/>
        <v>0</v>
      </c>
      <c r="P4261" s="1" t="str">
        <f t="shared" si="8279"/>
        <v>0</v>
      </c>
      <c r="Q4261" s="1" t="str">
        <f t="shared" si="8236"/>
        <v>0.0070</v>
      </c>
      <c r="R4261" s="1" t="s">
        <v>25</v>
      </c>
      <c r="T4261" s="1" t="str">
        <f t="shared" si="8237"/>
        <v>0</v>
      </c>
      <c r="U4261" s="1" t="str">
        <f t="shared" si="8270"/>
        <v>0.0070</v>
      </c>
    </row>
    <row r="4262" s="1" customFormat="1" spans="1:21">
      <c r="A4262" s="1" t="str">
        <f>"4601992097860"</f>
        <v>4601992097860</v>
      </c>
      <c r="B4262" s="1" t="s">
        <v>4285</v>
      </c>
      <c r="C4262" s="1" t="s">
        <v>24</v>
      </c>
      <c r="D4262" s="1" t="str">
        <f t="shared" si="8234"/>
        <v>2021</v>
      </c>
      <c r="E4262" s="1" t="str">
        <f t="shared" ref="E4262:P4262" si="8280">"0"</f>
        <v>0</v>
      </c>
      <c r="F4262" s="1" t="str">
        <f t="shared" si="8280"/>
        <v>0</v>
      </c>
      <c r="G4262" s="1" t="str">
        <f t="shared" si="8280"/>
        <v>0</v>
      </c>
      <c r="H4262" s="1" t="str">
        <f t="shared" si="8280"/>
        <v>0</v>
      </c>
      <c r="I4262" s="1" t="str">
        <f t="shared" si="8280"/>
        <v>0</v>
      </c>
      <c r="J4262" s="1" t="str">
        <f t="shared" si="8280"/>
        <v>0</v>
      </c>
      <c r="K4262" s="1" t="str">
        <f t="shared" si="8280"/>
        <v>0</v>
      </c>
      <c r="L4262" s="1" t="str">
        <f t="shared" si="8280"/>
        <v>0</v>
      </c>
      <c r="M4262" s="1" t="str">
        <f t="shared" si="8280"/>
        <v>0</v>
      </c>
      <c r="N4262" s="1" t="str">
        <f t="shared" si="8280"/>
        <v>0</v>
      </c>
      <c r="O4262" s="1" t="str">
        <f t="shared" si="8280"/>
        <v>0</v>
      </c>
      <c r="P4262" s="1" t="str">
        <f t="shared" si="8280"/>
        <v>0</v>
      </c>
      <c r="Q4262" s="1" t="str">
        <f t="shared" si="8236"/>
        <v>0.0070</v>
      </c>
      <c r="R4262" s="1" t="s">
        <v>25</v>
      </c>
      <c r="T4262" s="1" t="str">
        <f t="shared" si="8237"/>
        <v>0</v>
      </c>
      <c r="U4262" s="1" t="str">
        <f t="shared" si="8270"/>
        <v>0.0070</v>
      </c>
    </row>
    <row r="4263" s="1" customFormat="1" spans="1:21">
      <c r="A4263" s="1" t="str">
        <f>"4601992097854"</f>
        <v>4601992097854</v>
      </c>
      <c r="B4263" s="1" t="s">
        <v>4286</v>
      </c>
      <c r="C4263" s="1" t="s">
        <v>24</v>
      </c>
      <c r="D4263" s="1" t="str">
        <f t="shared" si="8234"/>
        <v>2021</v>
      </c>
      <c r="E4263" s="1" t="str">
        <f t="shared" ref="E4263:I4263" si="8281">"0"</f>
        <v>0</v>
      </c>
      <c r="F4263" s="1" t="str">
        <f t="shared" si="8281"/>
        <v>0</v>
      </c>
      <c r="G4263" s="1" t="str">
        <f t="shared" si="8281"/>
        <v>0</v>
      </c>
      <c r="H4263" s="1" t="str">
        <f t="shared" si="8281"/>
        <v>0</v>
      </c>
      <c r="I4263" s="1" t="str">
        <f t="shared" si="8281"/>
        <v>0</v>
      </c>
      <c r="J4263" s="1" t="str">
        <f>"1"</f>
        <v>1</v>
      </c>
      <c r="K4263" s="1" t="str">
        <f t="shared" ref="K4263:P4263" si="8282">"0"</f>
        <v>0</v>
      </c>
      <c r="L4263" s="1" t="str">
        <f t="shared" si="8282"/>
        <v>0</v>
      </c>
      <c r="M4263" s="1" t="str">
        <f t="shared" si="8282"/>
        <v>0</v>
      </c>
      <c r="N4263" s="1" t="str">
        <f t="shared" si="8282"/>
        <v>0</v>
      </c>
      <c r="O4263" s="1" t="str">
        <f t="shared" si="8282"/>
        <v>0</v>
      </c>
      <c r="P4263" s="1" t="str">
        <f t="shared" si="8282"/>
        <v>0</v>
      </c>
      <c r="Q4263" s="1" t="str">
        <f t="shared" si="8236"/>
        <v>0.0070</v>
      </c>
      <c r="R4263" s="1" t="s">
        <v>25</v>
      </c>
      <c r="T4263" s="1" t="str">
        <f t="shared" si="8237"/>
        <v>0</v>
      </c>
      <c r="U4263" s="1" t="str">
        <f t="shared" si="8270"/>
        <v>0.0070</v>
      </c>
    </row>
    <row r="4264" s="1" customFormat="1" spans="1:21">
      <c r="A4264" s="1" t="str">
        <f>"4601992097831"</f>
        <v>4601992097831</v>
      </c>
      <c r="B4264" s="1" t="s">
        <v>4287</v>
      </c>
      <c r="C4264" s="1" t="s">
        <v>24</v>
      </c>
      <c r="D4264" s="1" t="str">
        <f t="shared" si="8234"/>
        <v>2021</v>
      </c>
      <c r="E4264" s="1" t="str">
        <f>"23.96"</f>
        <v>23.96</v>
      </c>
      <c r="F4264" s="1" t="str">
        <f t="shared" ref="F4264:I4264" si="8283">"0"</f>
        <v>0</v>
      </c>
      <c r="G4264" s="1" t="str">
        <f t="shared" si="8283"/>
        <v>0</v>
      </c>
      <c r="H4264" s="1" t="str">
        <f t="shared" si="8283"/>
        <v>0</v>
      </c>
      <c r="I4264" s="1" t="str">
        <f t="shared" si="8283"/>
        <v>0</v>
      </c>
      <c r="J4264" s="1" t="str">
        <f>"3"</f>
        <v>3</v>
      </c>
      <c r="K4264" s="1" t="str">
        <f t="shared" ref="K4264:P4264" si="8284">"0"</f>
        <v>0</v>
      </c>
      <c r="L4264" s="1" t="str">
        <f t="shared" si="8284"/>
        <v>0</v>
      </c>
      <c r="M4264" s="1" t="str">
        <f t="shared" si="8284"/>
        <v>0</v>
      </c>
      <c r="N4264" s="1" t="str">
        <f t="shared" si="8284"/>
        <v>0</v>
      </c>
      <c r="O4264" s="1" t="str">
        <f t="shared" si="8284"/>
        <v>0</v>
      </c>
      <c r="P4264" s="1" t="str">
        <f t="shared" si="8284"/>
        <v>0</v>
      </c>
      <c r="Q4264" s="1" t="str">
        <f t="shared" si="8236"/>
        <v>0.0070</v>
      </c>
      <c r="R4264" s="1" t="s">
        <v>29</v>
      </c>
      <c r="S4264" s="1">
        <v>-0.0014</v>
      </c>
      <c r="T4264" s="1" t="str">
        <f t="shared" si="8237"/>
        <v>0</v>
      </c>
      <c r="U4264" s="1" t="str">
        <f>"0.0056"</f>
        <v>0.0056</v>
      </c>
    </row>
    <row r="4265" s="1" customFormat="1" spans="1:21">
      <c r="A4265" s="1" t="str">
        <f>"4601992097863"</f>
        <v>4601992097863</v>
      </c>
      <c r="B4265" s="1" t="s">
        <v>4288</v>
      </c>
      <c r="C4265" s="1" t="s">
        <v>24</v>
      </c>
      <c r="D4265" s="1" t="str">
        <f t="shared" si="8234"/>
        <v>2021</v>
      </c>
      <c r="E4265" s="1" t="str">
        <f t="shared" ref="E4265:P4265" si="8285">"0"</f>
        <v>0</v>
      </c>
      <c r="F4265" s="1" t="str">
        <f t="shared" si="8285"/>
        <v>0</v>
      </c>
      <c r="G4265" s="1" t="str">
        <f t="shared" si="8285"/>
        <v>0</v>
      </c>
      <c r="H4265" s="1" t="str">
        <f t="shared" si="8285"/>
        <v>0</v>
      </c>
      <c r="I4265" s="1" t="str">
        <f t="shared" si="8285"/>
        <v>0</v>
      </c>
      <c r="J4265" s="1" t="str">
        <f t="shared" si="8285"/>
        <v>0</v>
      </c>
      <c r="K4265" s="1" t="str">
        <f t="shared" si="8285"/>
        <v>0</v>
      </c>
      <c r="L4265" s="1" t="str">
        <f t="shared" si="8285"/>
        <v>0</v>
      </c>
      <c r="M4265" s="1" t="str">
        <f t="shared" si="8285"/>
        <v>0</v>
      </c>
      <c r="N4265" s="1" t="str">
        <f t="shared" si="8285"/>
        <v>0</v>
      </c>
      <c r="O4265" s="1" t="str">
        <f t="shared" si="8285"/>
        <v>0</v>
      </c>
      <c r="P4265" s="1" t="str">
        <f t="shared" si="8285"/>
        <v>0</v>
      </c>
      <c r="Q4265" s="1" t="str">
        <f t="shared" si="8236"/>
        <v>0.0070</v>
      </c>
      <c r="R4265" s="1" t="s">
        <v>25</v>
      </c>
      <c r="T4265" s="1" t="str">
        <f t="shared" si="8237"/>
        <v>0</v>
      </c>
      <c r="U4265" s="1" t="str">
        <f t="shared" ref="U4265:U4295" si="8286">"0.0070"</f>
        <v>0.0070</v>
      </c>
    </row>
    <row r="4266" s="1" customFormat="1" spans="1:21">
      <c r="A4266" s="1" t="str">
        <f>"4601992097993"</f>
        <v>4601992097993</v>
      </c>
      <c r="B4266" s="1" t="s">
        <v>4289</v>
      </c>
      <c r="C4266" s="1" t="s">
        <v>24</v>
      </c>
      <c r="D4266" s="1" t="str">
        <f t="shared" si="8234"/>
        <v>2021</v>
      </c>
      <c r="E4266" s="1" t="str">
        <f t="shared" ref="E4266:P4266" si="8287">"0"</f>
        <v>0</v>
      </c>
      <c r="F4266" s="1" t="str">
        <f t="shared" si="8287"/>
        <v>0</v>
      </c>
      <c r="G4266" s="1" t="str">
        <f t="shared" si="8287"/>
        <v>0</v>
      </c>
      <c r="H4266" s="1" t="str">
        <f t="shared" si="8287"/>
        <v>0</v>
      </c>
      <c r="I4266" s="1" t="str">
        <f t="shared" si="8287"/>
        <v>0</v>
      </c>
      <c r="J4266" s="1" t="str">
        <f t="shared" si="8287"/>
        <v>0</v>
      </c>
      <c r="K4266" s="1" t="str">
        <f t="shared" si="8287"/>
        <v>0</v>
      </c>
      <c r="L4266" s="1" t="str">
        <f t="shared" si="8287"/>
        <v>0</v>
      </c>
      <c r="M4266" s="1" t="str">
        <f t="shared" si="8287"/>
        <v>0</v>
      </c>
      <c r="N4266" s="1" t="str">
        <f t="shared" si="8287"/>
        <v>0</v>
      </c>
      <c r="O4266" s="1" t="str">
        <f t="shared" si="8287"/>
        <v>0</v>
      </c>
      <c r="P4266" s="1" t="str">
        <f t="shared" si="8287"/>
        <v>0</v>
      </c>
      <c r="Q4266" s="1" t="str">
        <f t="shared" si="8236"/>
        <v>0.0070</v>
      </c>
      <c r="R4266" s="1" t="s">
        <v>25</v>
      </c>
      <c r="T4266" s="1" t="str">
        <f t="shared" si="8237"/>
        <v>0</v>
      </c>
      <c r="U4266" s="1" t="str">
        <f t="shared" si="8286"/>
        <v>0.0070</v>
      </c>
    </row>
    <row r="4267" s="1" customFormat="1" spans="1:21">
      <c r="A4267" s="1" t="str">
        <f>"4601992097994"</f>
        <v>4601992097994</v>
      </c>
      <c r="B4267" s="1" t="s">
        <v>4290</v>
      </c>
      <c r="C4267" s="1" t="s">
        <v>24</v>
      </c>
      <c r="D4267" s="1" t="str">
        <f t="shared" si="8234"/>
        <v>2021</v>
      </c>
      <c r="E4267" s="1" t="str">
        <f t="shared" ref="E4267:P4267" si="8288">"0"</f>
        <v>0</v>
      </c>
      <c r="F4267" s="1" t="str">
        <f t="shared" si="8288"/>
        <v>0</v>
      </c>
      <c r="G4267" s="1" t="str">
        <f t="shared" si="8288"/>
        <v>0</v>
      </c>
      <c r="H4267" s="1" t="str">
        <f t="shared" si="8288"/>
        <v>0</v>
      </c>
      <c r="I4267" s="1" t="str">
        <f t="shared" si="8288"/>
        <v>0</v>
      </c>
      <c r="J4267" s="1" t="str">
        <f t="shared" si="8288"/>
        <v>0</v>
      </c>
      <c r="K4267" s="1" t="str">
        <f t="shared" si="8288"/>
        <v>0</v>
      </c>
      <c r="L4267" s="1" t="str">
        <f t="shared" si="8288"/>
        <v>0</v>
      </c>
      <c r="M4267" s="1" t="str">
        <f t="shared" si="8288"/>
        <v>0</v>
      </c>
      <c r="N4267" s="1" t="str">
        <f t="shared" si="8288"/>
        <v>0</v>
      </c>
      <c r="O4267" s="1" t="str">
        <f t="shared" si="8288"/>
        <v>0</v>
      </c>
      <c r="P4267" s="1" t="str">
        <f t="shared" si="8288"/>
        <v>0</v>
      </c>
      <c r="Q4267" s="1" t="str">
        <f t="shared" si="8236"/>
        <v>0.0070</v>
      </c>
      <c r="R4267" s="1" t="s">
        <v>25</v>
      </c>
      <c r="T4267" s="1" t="str">
        <f t="shared" si="8237"/>
        <v>0</v>
      </c>
      <c r="U4267" s="1" t="str">
        <f t="shared" si="8286"/>
        <v>0.0070</v>
      </c>
    </row>
    <row r="4268" s="1" customFormat="1" spans="1:21">
      <c r="A4268" s="1" t="str">
        <f>"4601992097999"</f>
        <v>4601992097999</v>
      </c>
      <c r="B4268" s="1" t="s">
        <v>4291</v>
      </c>
      <c r="C4268" s="1" t="s">
        <v>24</v>
      </c>
      <c r="D4268" s="1" t="str">
        <f t="shared" si="8234"/>
        <v>2021</v>
      </c>
      <c r="E4268" s="1" t="str">
        <f t="shared" ref="E4268:P4268" si="8289">"0"</f>
        <v>0</v>
      </c>
      <c r="F4268" s="1" t="str">
        <f t="shared" si="8289"/>
        <v>0</v>
      </c>
      <c r="G4268" s="1" t="str">
        <f t="shared" si="8289"/>
        <v>0</v>
      </c>
      <c r="H4268" s="1" t="str">
        <f t="shared" si="8289"/>
        <v>0</v>
      </c>
      <c r="I4268" s="1" t="str">
        <f t="shared" si="8289"/>
        <v>0</v>
      </c>
      <c r="J4268" s="1" t="str">
        <f t="shared" si="8289"/>
        <v>0</v>
      </c>
      <c r="K4268" s="1" t="str">
        <f t="shared" si="8289"/>
        <v>0</v>
      </c>
      <c r="L4268" s="1" t="str">
        <f t="shared" si="8289"/>
        <v>0</v>
      </c>
      <c r="M4268" s="1" t="str">
        <f t="shared" si="8289"/>
        <v>0</v>
      </c>
      <c r="N4268" s="1" t="str">
        <f t="shared" si="8289"/>
        <v>0</v>
      </c>
      <c r="O4268" s="1" t="str">
        <f t="shared" si="8289"/>
        <v>0</v>
      </c>
      <c r="P4268" s="1" t="str">
        <f t="shared" si="8289"/>
        <v>0</v>
      </c>
      <c r="Q4268" s="1" t="str">
        <f t="shared" si="8236"/>
        <v>0.0070</v>
      </c>
      <c r="R4268" s="1" t="s">
        <v>25</v>
      </c>
      <c r="T4268" s="1" t="str">
        <f t="shared" si="8237"/>
        <v>0</v>
      </c>
      <c r="U4268" s="1" t="str">
        <f t="shared" si="8286"/>
        <v>0.0070</v>
      </c>
    </row>
    <row r="4269" s="1" customFormat="1" spans="1:21">
      <c r="A4269" s="1" t="str">
        <f>"4601992098009"</f>
        <v>4601992098009</v>
      </c>
      <c r="B4269" s="1" t="s">
        <v>4292</v>
      </c>
      <c r="C4269" s="1" t="s">
        <v>24</v>
      </c>
      <c r="D4269" s="1" t="str">
        <f t="shared" si="8234"/>
        <v>2021</v>
      </c>
      <c r="E4269" s="1" t="str">
        <f t="shared" ref="E4269:P4269" si="8290">"0"</f>
        <v>0</v>
      </c>
      <c r="F4269" s="1" t="str">
        <f t="shared" si="8290"/>
        <v>0</v>
      </c>
      <c r="G4269" s="1" t="str">
        <f t="shared" si="8290"/>
        <v>0</v>
      </c>
      <c r="H4269" s="1" t="str">
        <f t="shared" si="8290"/>
        <v>0</v>
      </c>
      <c r="I4269" s="1" t="str">
        <f t="shared" si="8290"/>
        <v>0</v>
      </c>
      <c r="J4269" s="1" t="str">
        <f t="shared" si="8290"/>
        <v>0</v>
      </c>
      <c r="K4269" s="1" t="str">
        <f t="shared" si="8290"/>
        <v>0</v>
      </c>
      <c r="L4269" s="1" t="str">
        <f t="shared" si="8290"/>
        <v>0</v>
      </c>
      <c r="M4269" s="1" t="str">
        <f t="shared" si="8290"/>
        <v>0</v>
      </c>
      <c r="N4269" s="1" t="str">
        <f t="shared" si="8290"/>
        <v>0</v>
      </c>
      <c r="O4269" s="1" t="str">
        <f t="shared" si="8290"/>
        <v>0</v>
      </c>
      <c r="P4269" s="1" t="str">
        <f t="shared" si="8290"/>
        <v>0</v>
      </c>
      <c r="Q4269" s="1" t="str">
        <f t="shared" si="8236"/>
        <v>0.0070</v>
      </c>
      <c r="R4269" s="1" t="s">
        <v>25</v>
      </c>
      <c r="T4269" s="1" t="str">
        <f t="shared" si="8237"/>
        <v>0</v>
      </c>
      <c r="U4269" s="1" t="str">
        <f t="shared" si="8286"/>
        <v>0.0070</v>
      </c>
    </row>
    <row r="4270" s="1" customFormat="1" spans="1:21">
      <c r="A4270" s="1" t="str">
        <f>"4601992098013"</f>
        <v>4601992098013</v>
      </c>
      <c r="B4270" s="1" t="s">
        <v>4293</v>
      </c>
      <c r="C4270" s="1" t="s">
        <v>24</v>
      </c>
      <c r="D4270" s="1" t="str">
        <f t="shared" si="8234"/>
        <v>2021</v>
      </c>
      <c r="E4270" s="1" t="str">
        <f t="shared" ref="E4270:P4270" si="8291">"0"</f>
        <v>0</v>
      </c>
      <c r="F4270" s="1" t="str">
        <f t="shared" si="8291"/>
        <v>0</v>
      </c>
      <c r="G4270" s="1" t="str">
        <f t="shared" si="8291"/>
        <v>0</v>
      </c>
      <c r="H4270" s="1" t="str">
        <f t="shared" si="8291"/>
        <v>0</v>
      </c>
      <c r="I4270" s="1" t="str">
        <f t="shared" si="8291"/>
        <v>0</v>
      </c>
      <c r="J4270" s="1" t="str">
        <f t="shared" si="8291"/>
        <v>0</v>
      </c>
      <c r="K4270" s="1" t="str">
        <f t="shared" si="8291"/>
        <v>0</v>
      </c>
      <c r="L4270" s="1" t="str">
        <f t="shared" si="8291"/>
        <v>0</v>
      </c>
      <c r="M4270" s="1" t="str">
        <f t="shared" si="8291"/>
        <v>0</v>
      </c>
      <c r="N4270" s="1" t="str">
        <f t="shared" si="8291"/>
        <v>0</v>
      </c>
      <c r="O4270" s="1" t="str">
        <f t="shared" si="8291"/>
        <v>0</v>
      </c>
      <c r="P4270" s="1" t="str">
        <f t="shared" si="8291"/>
        <v>0</v>
      </c>
      <c r="Q4270" s="1" t="str">
        <f t="shared" si="8236"/>
        <v>0.0070</v>
      </c>
      <c r="R4270" s="1" t="s">
        <v>25</v>
      </c>
      <c r="T4270" s="1" t="str">
        <f t="shared" si="8237"/>
        <v>0</v>
      </c>
      <c r="U4270" s="1" t="str">
        <f t="shared" si="8286"/>
        <v>0.0070</v>
      </c>
    </row>
    <row r="4271" s="1" customFormat="1" spans="1:21">
      <c r="A4271" s="1" t="str">
        <f>"4601992098022"</f>
        <v>4601992098022</v>
      </c>
      <c r="B4271" s="1" t="s">
        <v>4294</v>
      </c>
      <c r="C4271" s="1" t="s">
        <v>24</v>
      </c>
      <c r="D4271" s="1" t="str">
        <f t="shared" si="8234"/>
        <v>2021</v>
      </c>
      <c r="E4271" s="1" t="str">
        <f t="shared" ref="E4271:P4271" si="8292">"0"</f>
        <v>0</v>
      </c>
      <c r="F4271" s="1" t="str">
        <f t="shared" si="8292"/>
        <v>0</v>
      </c>
      <c r="G4271" s="1" t="str">
        <f t="shared" si="8292"/>
        <v>0</v>
      </c>
      <c r="H4271" s="1" t="str">
        <f t="shared" si="8292"/>
        <v>0</v>
      </c>
      <c r="I4271" s="1" t="str">
        <f t="shared" si="8292"/>
        <v>0</v>
      </c>
      <c r="J4271" s="1" t="str">
        <f t="shared" si="8292"/>
        <v>0</v>
      </c>
      <c r="K4271" s="1" t="str">
        <f t="shared" si="8292"/>
        <v>0</v>
      </c>
      <c r="L4271" s="1" t="str">
        <f t="shared" si="8292"/>
        <v>0</v>
      </c>
      <c r="M4271" s="1" t="str">
        <f t="shared" si="8292"/>
        <v>0</v>
      </c>
      <c r="N4271" s="1" t="str">
        <f t="shared" si="8292"/>
        <v>0</v>
      </c>
      <c r="O4271" s="1" t="str">
        <f t="shared" si="8292"/>
        <v>0</v>
      </c>
      <c r="P4271" s="1" t="str">
        <f t="shared" si="8292"/>
        <v>0</v>
      </c>
      <c r="Q4271" s="1" t="str">
        <f t="shared" si="8236"/>
        <v>0.0070</v>
      </c>
      <c r="R4271" s="1" t="s">
        <v>25</v>
      </c>
      <c r="T4271" s="1" t="str">
        <f t="shared" si="8237"/>
        <v>0</v>
      </c>
      <c r="U4271" s="1" t="str">
        <f t="shared" si="8286"/>
        <v>0.0070</v>
      </c>
    </row>
    <row r="4272" s="1" customFormat="1" spans="1:21">
      <c r="A4272" s="1" t="str">
        <f>"4601992098031"</f>
        <v>4601992098031</v>
      </c>
      <c r="B4272" s="1" t="s">
        <v>4295</v>
      </c>
      <c r="C4272" s="1" t="s">
        <v>24</v>
      </c>
      <c r="D4272" s="1" t="str">
        <f t="shared" si="8234"/>
        <v>2021</v>
      </c>
      <c r="E4272" s="1" t="str">
        <f t="shared" ref="E4272:P4272" si="8293">"0"</f>
        <v>0</v>
      </c>
      <c r="F4272" s="1" t="str">
        <f t="shared" si="8293"/>
        <v>0</v>
      </c>
      <c r="G4272" s="1" t="str">
        <f t="shared" si="8293"/>
        <v>0</v>
      </c>
      <c r="H4272" s="1" t="str">
        <f t="shared" si="8293"/>
        <v>0</v>
      </c>
      <c r="I4272" s="1" t="str">
        <f t="shared" si="8293"/>
        <v>0</v>
      </c>
      <c r="J4272" s="1" t="str">
        <f t="shared" si="8293"/>
        <v>0</v>
      </c>
      <c r="K4272" s="1" t="str">
        <f t="shared" si="8293"/>
        <v>0</v>
      </c>
      <c r="L4272" s="1" t="str">
        <f t="shared" si="8293"/>
        <v>0</v>
      </c>
      <c r="M4272" s="1" t="str">
        <f t="shared" si="8293"/>
        <v>0</v>
      </c>
      <c r="N4272" s="1" t="str">
        <f t="shared" si="8293"/>
        <v>0</v>
      </c>
      <c r="O4272" s="1" t="str">
        <f t="shared" si="8293"/>
        <v>0</v>
      </c>
      <c r="P4272" s="1" t="str">
        <f t="shared" si="8293"/>
        <v>0</v>
      </c>
      <c r="Q4272" s="1" t="str">
        <f t="shared" si="8236"/>
        <v>0.0070</v>
      </c>
      <c r="R4272" s="1" t="s">
        <v>25</v>
      </c>
      <c r="T4272" s="1" t="str">
        <f t="shared" si="8237"/>
        <v>0</v>
      </c>
      <c r="U4272" s="1" t="str">
        <f t="shared" si="8286"/>
        <v>0.0070</v>
      </c>
    </row>
    <row r="4273" s="1" customFormat="1" spans="1:21">
      <c r="A4273" s="1" t="str">
        <f>"4601992098035"</f>
        <v>4601992098035</v>
      </c>
      <c r="B4273" s="1" t="s">
        <v>4296</v>
      </c>
      <c r="C4273" s="1" t="s">
        <v>24</v>
      </c>
      <c r="D4273" s="1" t="str">
        <f t="shared" si="8234"/>
        <v>2021</v>
      </c>
      <c r="E4273" s="1" t="str">
        <f t="shared" ref="E4273:P4273" si="8294">"0"</f>
        <v>0</v>
      </c>
      <c r="F4273" s="1" t="str">
        <f t="shared" si="8294"/>
        <v>0</v>
      </c>
      <c r="G4273" s="1" t="str">
        <f t="shared" si="8294"/>
        <v>0</v>
      </c>
      <c r="H4273" s="1" t="str">
        <f t="shared" si="8294"/>
        <v>0</v>
      </c>
      <c r="I4273" s="1" t="str">
        <f t="shared" si="8294"/>
        <v>0</v>
      </c>
      <c r="J4273" s="1" t="str">
        <f t="shared" si="8294"/>
        <v>0</v>
      </c>
      <c r="K4273" s="1" t="str">
        <f t="shared" si="8294"/>
        <v>0</v>
      </c>
      <c r="L4273" s="1" t="str">
        <f t="shared" si="8294"/>
        <v>0</v>
      </c>
      <c r="M4273" s="1" t="str">
        <f t="shared" si="8294"/>
        <v>0</v>
      </c>
      <c r="N4273" s="1" t="str">
        <f t="shared" si="8294"/>
        <v>0</v>
      </c>
      <c r="O4273" s="1" t="str">
        <f t="shared" si="8294"/>
        <v>0</v>
      </c>
      <c r="P4273" s="1" t="str">
        <f t="shared" si="8294"/>
        <v>0</v>
      </c>
      <c r="Q4273" s="1" t="str">
        <f t="shared" si="8236"/>
        <v>0.0070</v>
      </c>
      <c r="R4273" s="1" t="s">
        <v>25</v>
      </c>
      <c r="T4273" s="1" t="str">
        <f t="shared" si="8237"/>
        <v>0</v>
      </c>
      <c r="U4273" s="1" t="str">
        <f t="shared" si="8286"/>
        <v>0.0070</v>
      </c>
    </row>
    <row r="4274" s="1" customFormat="1" spans="1:21">
      <c r="A4274" s="1" t="str">
        <f>"4601992098064"</f>
        <v>4601992098064</v>
      </c>
      <c r="B4274" s="1" t="s">
        <v>4297</v>
      </c>
      <c r="C4274" s="1" t="s">
        <v>24</v>
      </c>
      <c r="D4274" s="1" t="str">
        <f t="shared" si="8234"/>
        <v>2021</v>
      </c>
      <c r="E4274" s="1" t="str">
        <f t="shared" ref="E4274:P4274" si="8295">"0"</f>
        <v>0</v>
      </c>
      <c r="F4274" s="1" t="str">
        <f t="shared" si="8295"/>
        <v>0</v>
      </c>
      <c r="G4274" s="1" t="str">
        <f t="shared" si="8295"/>
        <v>0</v>
      </c>
      <c r="H4274" s="1" t="str">
        <f t="shared" si="8295"/>
        <v>0</v>
      </c>
      <c r="I4274" s="1" t="str">
        <f t="shared" si="8295"/>
        <v>0</v>
      </c>
      <c r="J4274" s="1" t="str">
        <f t="shared" si="8295"/>
        <v>0</v>
      </c>
      <c r="K4274" s="1" t="str">
        <f t="shared" si="8295"/>
        <v>0</v>
      </c>
      <c r="L4274" s="1" t="str">
        <f t="shared" si="8295"/>
        <v>0</v>
      </c>
      <c r="M4274" s="1" t="str">
        <f t="shared" si="8295"/>
        <v>0</v>
      </c>
      <c r="N4274" s="1" t="str">
        <f t="shared" si="8295"/>
        <v>0</v>
      </c>
      <c r="O4274" s="1" t="str">
        <f t="shared" si="8295"/>
        <v>0</v>
      </c>
      <c r="P4274" s="1" t="str">
        <f t="shared" si="8295"/>
        <v>0</v>
      </c>
      <c r="Q4274" s="1" t="str">
        <f t="shared" si="8236"/>
        <v>0.0070</v>
      </c>
      <c r="R4274" s="1" t="s">
        <v>25</v>
      </c>
      <c r="T4274" s="1" t="str">
        <f t="shared" si="8237"/>
        <v>0</v>
      </c>
      <c r="U4274" s="1" t="str">
        <f t="shared" si="8286"/>
        <v>0.0070</v>
      </c>
    </row>
    <row r="4275" s="1" customFormat="1" spans="1:21">
      <c r="A4275" s="1" t="str">
        <f>"4601992098115"</f>
        <v>4601992098115</v>
      </c>
      <c r="B4275" s="1" t="s">
        <v>4298</v>
      </c>
      <c r="C4275" s="1" t="s">
        <v>24</v>
      </c>
      <c r="D4275" s="1" t="str">
        <f t="shared" si="8234"/>
        <v>2021</v>
      </c>
      <c r="E4275" s="1" t="str">
        <f t="shared" ref="E4275:P4275" si="8296">"0"</f>
        <v>0</v>
      </c>
      <c r="F4275" s="1" t="str">
        <f t="shared" si="8296"/>
        <v>0</v>
      </c>
      <c r="G4275" s="1" t="str">
        <f t="shared" si="8296"/>
        <v>0</v>
      </c>
      <c r="H4275" s="1" t="str">
        <f t="shared" si="8296"/>
        <v>0</v>
      </c>
      <c r="I4275" s="1" t="str">
        <f t="shared" si="8296"/>
        <v>0</v>
      </c>
      <c r="J4275" s="1" t="str">
        <f t="shared" si="8296"/>
        <v>0</v>
      </c>
      <c r="K4275" s="1" t="str">
        <f t="shared" si="8296"/>
        <v>0</v>
      </c>
      <c r="L4275" s="1" t="str">
        <f t="shared" si="8296"/>
        <v>0</v>
      </c>
      <c r="M4275" s="1" t="str">
        <f t="shared" si="8296"/>
        <v>0</v>
      </c>
      <c r="N4275" s="1" t="str">
        <f t="shared" si="8296"/>
        <v>0</v>
      </c>
      <c r="O4275" s="1" t="str">
        <f t="shared" si="8296"/>
        <v>0</v>
      </c>
      <c r="P4275" s="1" t="str">
        <f t="shared" si="8296"/>
        <v>0</v>
      </c>
      <c r="Q4275" s="1" t="str">
        <f t="shared" si="8236"/>
        <v>0.0070</v>
      </c>
      <c r="R4275" s="1" t="s">
        <v>25</v>
      </c>
      <c r="T4275" s="1" t="str">
        <f t="shared" si="8237"/>
        <v>0</v>
      </c>
      <c r="U4275" s="1" t="str">
        <f t="shared" si="8286"/>
        <v>0.0070</v>
      </c>
    </row>
    <row r="4276" s="1" customFormat="1" spans="1:21">
      <c r="A4276" s="1" t="str">
        <f>"4601992098117"</f>
        <v>4601992098117</v>
      </c>
      <c r="B4276" s="1" t="s">
        <v>4299</v>
      </c>
      <c r="C4276" s="1" t="s">
        <v>24</v>
      </c>
      <c r="D4276" s="1" t="str">
        <f t="shared" si="8234"/>
        <v>2021</v>
      </c>
      <c r="E4276" s="1" t="str">
        <f t="shared" ref="E4276:P4276" si="8297">"0"</f>
        <v>0</v>
      </c>
      <c r="F4276" s="1" t="str">
        <f t="shared" si="8297"/>
        <v>0</v>
      </c>
      <c r="G4276" s="1" t="str">
        <f t="shared" si="8297"/>
        <v>0</v>
      </c>
      <c r="H4276" s="1" t="str">
        <f t="shared" si="8297"/>
        <v>0</v>
      </c>
      <c r="I4276" s="1" t="str">
        <f t="shared" si="8297"/>
        <v>0</v>
      </c>
      <c r="J4276" s="1" t="str">
        <f t="shared" si="8297"/>
        <v>0</v>
      </c>
      <c r="K4276" s="1" t="str">
        <f t="shared" si="8297"/>
        <v>0</v>
      </c>
      <c r="L4276" s="1" t="str">
        <f t="shared" si="8297"/>
        <v>0</v>
      </c>
      <c r="M4276" s="1" t="str">
        <f t="shared" si="8297"/>
        <v>0</v>
      </c>
      <c r="N4276" s="1" t="str">
        <f t="shared" si="8297"/>
        <v>0</v>
      </c>
      <c r="O4276" s="1" t="str">
        <f t="shared" si="8297"/>
        <v>0</v>
      </c>
      <c r="P4276" s="1" t="str">
        <f t="shared" si="8297"/>
        <v>0</v>
      </c>
      <c r="Q4276" s="1" t="str">
        <f t="shared" si="8236"/>
        <v>0.0070</v>
      </c>
      <c r="R4276" s="1" t="s">
        <v>25</v>
      </c>
      <c r="T4276" s="1" t="str">
        <f t="shared" si="8237"/>
        <v>0</v>
      </c>
      <c r="U4276" s="1" t="str">
        <f t="shared" si="8286"/>
        <v>0.0070</v>
      </c>
    </row>
    <row r="4277" s="1" customFormat="1" spans="1:21">
      <c r="A4277" s="1" t="str">
        <f>"4601992098120"</f>
        <v>4601992098120</v>
      </c>
      <c r="B4277" s="1" t="s">
        <v>4300</v>
      </c>
      <c r="C4277" s="1" t="s">
        <v>24</v>
      </c>
      <c r="D4277" s="1" t="str">
        <f t="shared" si="8234"/>
        <v>2021</v>
      </c>
      <c r="E4277" s="1" t="str">
        <f t="shared" ref="E4277:P4277" si="8298">"0"</f>
        <v>0</v>
      </c>
      <c r="F4277" s="1" t="str">
        <f t="shared" si="8298"/>
        <v>0</v>
      </c>
      <c r="G4277" s="1" t="str">
        <f t="shared" si="8298"/>
        <v>0</v>
      </c>
      <c r="H4277" s="1" t="str">
        <f t="shared" si="8298"/>
        <v>0</v>
      </c>
      <c r="I4277" s="1" t="str">
        <f t="shared" si="8298"/>
        <v>0</v>
      </c>
      <c r="J4277" s="1" t="str">
        <f t="shared" si="8298"/>
        <v>0</v>
      </c>
      <c r="K4277" s="1" t="str">
        <f t="shared" si="8298"/>
        <v>0</v>
      </c>
      <c r="L4277" s="1" t="str">
        <f t="shared" si="8298"/>
        <v>0</v>
      </c>
      <c r="M4277" s="1" t="str">
        <f t="shared" si="8298"/>
        <v>0</v>
      </c>
      <c r="N4277" s="1" t="str">
        <f t="shared" si="8298"/>
        <v>0</v>
      </c>
      <c r="O4277" s="1" t="str">
        <f t="shared" si="8298"/>
        <v>0</v>
      </c>
      <c r="P4277" s="1" t="str">
        <f t="shared" si="8298"/>
        <v>0</v>
      </c>
      <c r="Q4277" s="1" t="str">
        <f t="shared" si="8236"/>
        <v>0.0070</v>
      </c>
      <c r="R4277" s="1" t="s">
        <v>25</v>
      </c>
      <c r="T4277" s="1" t="str">
        <f t="shared" si="8237"/>
        <v>0</v>
      </c>
      <c r="U4277" s="1" t="str">
        <f t="shared" si="8286"/>
        <v>0.0070</v>
      </c>
    </row>
    <row r="4278" s="1" customFormat="1" spans="1:21">
      <c r="A4278" s="1" t="str">
        <f>"4601992098121"</f>
        <v>4601992098121</v>
      </c>
      <c r="B4278" s="1" t="s">
        <v>4301</v>
      </c>
      <c r="C4278" s="1" t="s">
        <v>24</v>
      </c>
      <c r="D4278" s="1" t="str">
        <f t="shared" si="8234"/>
        <v>2021</v>
      </c>
      <c r="E4278" s="1" t="str">
        <f t="shared" ref="E4278:P4278" si="8299">"0"</f>
        <v>0</v>
      </c>
      <c r="F4278" s="1" t="str">
        <f t="shared" si="8299"/>
        <v>0</v>
      </c>
      <c r="G4278" s="1" t="str">
        <f t="shared" si="8299"/>
        <v>0</v>
      </c>
      <c r="H4278" s="1" t="str">
        <f t="shared" si="8299"/>
        <v>0</v>
      </c>
      <c r="I4278" s="1" t="str">
        <f t="shared" si="8299"/>
        <v>0</v>
      </c>
      <c r="J4278" s="1" t="str">
        <f t="shared" si="8299"/>
        <v>0</v>
      </c>
      <c r="K4278" s="1" t="str">
        <f t="shared" si="8299"/>
        <v>0</v>
      </c>
      <c r="L4278" s="1" t="str">
        <f t="shared" si="8299"/>
        <v>0</v>
      </c>
      <c r="M4278" s="1" t="str">
        <f t="shared" si="8299"/>
        <v>0</v>
      </c>
      <c r="N4278" s="1" t="str">
        <f t="shared" si="8299"/>
        <v>0</v>
      </c>
      <c r="O4278" s="1" t="str">
        <f t="shared" si="8299"/>
        <v>0</v>
      </c>
      <c r="P4278" s="1" t="str">
        <f t="shared" si="8299"/>
        <v>0</v>
      </c>
      <c r="Q4278" s="1" t="str">
        <f t="shared" si="8236"/>
        <v>0.0070</v>
      </c>
      <c r="R4278" s="1" t="s">
        <v>25</v>
      </c>
      <c r="T4278" s="1" t="str">
        <f t="shared" si="8237"/>
        <v>0</v>
      </c>
      <c r="U4278" s="1" t="str">
        <f t="shared" si="8286"/>
        <v>0.0070</v>
      </c>
    </row>
    <row r="4279" s="1" customFormat="1" spans="1:21">
      <c r="A4279" s="1" t="str">
        <f>"4601992098132"</f>
        <v>4601992098132</v>
      </c>
      <c r="B4279" s="1" t="s">
        <v>4302</v>
      </c>
      <c r="C4279" s="1" t="s">
        <v>24</v>
      </c>
      <c r="D4279" s="1" t="str">
        <f t="shared" si="8234"/>
        <v>2021</v>
      </c>
      <c r="E4279" s="1" t="str">
        <f t="shared" ref="E4279:P4279" si="8300">"0"</f>
        <v>0</v>
      </c>
      <c r="F4279" s="1" t="str">
        <f t="shared" si="8300"/>
        <v>0</v>
      </c>
      <c r="G4279" s="1" t="str">
        <f t="shared" si="8300"/>
        <v>0</v>
      </c>
      <c r="H4279" s="1" t="str">
        <f t="shared" si="8300"/>
        <v>0</v>
      </c>
      <c r="I4279" s="1" t="str">
        <f t="shared" si="8300"/>
        <v>0</v>
      </c>
      <c r="J4279" s="1" t="str">
        <f t="shared" si="8300"/>
        <v>0</v>
      </c>
      <c r="K4279" s="1" t="str">
        <f t="shared" si="8300"/>
        <v>0</v>
      </c>
      <c r="L4279" s="1" t="str">
        <f t="shared" si="8300"/>
        <v>0</v>
      </c>
      <c r="M4279" s="1" t="str">
        <f t="shared" si="8300"/>
        <v>0</v>
      </c>
      <c r="N4279" s="1" t="str">
        <f t="shared" si="8300"/>
        <v>0</v>
      </c>
      <c r="O4279" s="1" t="str">
        <f t="shared" si="8300"/>
        <v>0</v>
      </c>
      <c r="P4279" s="1" t="str">
        <f t="shared" si="8300"/>
        <v>0</v>
      </c>
      <c r="Q4279" s="1" t="str">
        <f t="shared" si="8236"/>
        <v>0.0070</v>
      </c>
      <c r="R4279" s="1" t="s">
        <v>25</v>
      </c>
      <c r="T4279" s="1" t="str">
        <f t="shared" si="8237"/>
        <v>0</v>
      </c>
      <c r="U4279" s="1" t="str">
        <f t="shared" si="8286"/>
        <v>0.0070</v>
      </c>
    </row>
    <row r="4280" s="1" customFormat="1" spans="1:21">
      <c r="A4280" s="1" t="str">
        <f>"4601992098190"</f>
        <v>4601992098190</v>
      </c>
      <c r="B4280" s="1" t="s">
        <v>4303</v>
      </c>
      <c r="C4280" s="1" t="s">
        <v>24</v>
      </c>
      <c r="D4280" s="1" t="str">
        <f t="shared" si="8234"/>
        <v>2021</v>
      </c>
      <c r="E4280" s="1" t="str">
        <f t="shared" ref="E4280:P4280" si="8301">"0"</f>
        <v>0</v>
      </c>
      <c r="F4280" s="1" t="str">
        <f t="shared" si="8301"/>
        <v>0</v>
      </c>
      <c r="G4280" s="1" t="str">
        <f t="shared" si="8301"/>
        <v>0</v>
      </c>
      <c r="H4280" s="1" t="str">
        <f t="shared" si="8301"/>
        <v>0</v>
      </c>
      <c r="I4280" s="1" t="str">
        <f t="shared" si="8301"/>
        <v>0</v>
      </c>
      <c r="J4280" s="1" t="str">
        <f t="shared" si="8301"/>
        <v>0</v>
      </c>
      <c r="K4280" s="1" t="str">
        <f t="shared" si="8301"/>
        <v>0</v>
      </c>
      <c r="L4280" s="1" t="str">
        <f t="shared" si="8301"/>
        <v>0</v>
      </c>
      <c r="M4280" s="1" t="str">
        <f t="shared" si="8301"/>
        <v>0</v>
      </c>
      <c r="N4280" s="1" t="str">
        <f t="shared" si="8301"/>
        <v>0</v>
      </c>
      <c r="O4280" s="1" t="str">
        <f t="shared" si="8301"/>
        <v>0</v>
      </c>
      <c r="P4280" s="1" t="str">
        <f t="shared" si="8301"/>
        <v>0</v>
      </c>
      <c r="Q4280" s="1" t="str">
        <f t="shared" si="8236"/>
        <v>0.0070</v>
      </c>
      <c r="R4280" s="1" t="s">
        <v>25</v>
      </c>
      <c r="T4280" s="1" t="str">
        <f t="shared" si="8237"/>
        <v>0</v>
      </c>
      <c r="U4280" s="1" t="str">
        <f t="shared" si="8286"/>
        <v>0.0070</v>
      </c>
    </row>
    <row r="4281" s="1" customFormat="1" spans="1:21">
      <c r="A4281" s="1" t="str">
        <f>"4601992098205"</f>
        <v>4601992098205</v>
      </c>
      <c r="B4281" s="1" t="s">
        <v>4304</v>
      </c>
      <c r="C4281" s="1" t="s">
        <v>24</v>
      </c>
      <c r="D4281" s="1" t="str">
        <f t="shared" si="8234"/>
        <v>2021</v>
      </c>
      <c r="E4281" s="1" t="str">
        <f t="shared" ref="E4281:P4281" si="8302">"0"</f>
        <v>0</v>
      </c>
      <c r="F4281" s="1" t="str">
        <f t="shared" si="8302"/>
        <v>0</v>
      </c>
      <c r="G4281" s="1" t="str">
        <f t="shared" si="8302"/>
        <v>0</v>
      </c>
      <c r="H4281" s="1" t="str">
        <f t="shared" si="8302"/>
        <v>0</v>
      </c>
      <c r="I4281" s="1" t="str">
        <f t="shared" si="8302"/>
        <v>0</v>
      </c>
      <c r="J4281" s="1" t="str">
        <f t="shared" si="8302"/>
        <v>0</v>
      </c>
      <c r="K4281" s="1" t="str">
        <f t="shared" si="8302"/>
        <v>0</v>
      </c>
      <c r="L4281" s="1" t="str">
        <f t="shared" si="8302"/>
        <v>0</v>
      </c>
      <c r="M4281" s="1" t="str">
        <f t="shared" si="8302"/>
        <v>0</v>
      </c>
      <c r="N4281" s="1" t="str">
        <f t="shared" si="8302"/>
        <v>0</v>
      </c>
      <c r="O4281" s="1" t="str">
        <f t="shared" si="8302"/>
        <v>0</v>
      </c>
      <c r="P4281" s="1" t="str">
        <f t="shared" si="8302"/>
        <v>0</v>
      </c>
      <c r="Q4281" s="1" t="str">
        <f t="shared" si="8236"/>
        <v>0.0070</v>
      </c>
      <c r="R4281" s="1" t="s">
        <v>25</v>
      </c>
      <c r="T4281" s="1" t="str">
        <f t="shared" si="8237"/>
        <v>0</v>
      </c>
      <c r="U4281" s="1" t="str">
        <f t="shared" si="8286"/>
        <v>0.0070</v>
      </c>
    </row>
    <row r="4282" s="1" customFormat="1" spans="1:21">
      <c r="A4282" s="1" t="str">
        <f>"4601992098256"</f>
        <v>4601992098256</v>
      </c>
      <c r="B4282" s="1" t="s">
        <v>4305</v>
      </c>
      <c r="C4282" s="1" t="s">
        <v>24</v>
      </c>
      <c r="D4282" s="1" t="str">
        <f t="shared" si="8234"/>
        <v>2021</v>
      </c>
      <c r="E4282" s="1" t="str">
        <f t="shared" ref="E4282:P4282" si="8303">"0"</f>
        <v>0</v>
      </c>
      <c r="F4282" s="1" t="str">
        <f t="shared" si="8303"/>
        <v>0</v>
      </c>
      <c r="G4282" s="1" t="str">
        <f t="shared" si="8303"/>
        <v>0</v>
      </c>
      <c r="H4282" s="1" t="str">
        <f t="shared" si="8303"/>
        <v>0</v>
      </c>
      <c r="I4282" s="1" t="str">
        <f t="shared" si="8303"/>
        <v>0</v>
      </c>
      <c r="J4282" s="1" t="str">
        <f t="shared" si="8303"/>
        <v>0</v>
      </c>
      <c r="K4282" s="1" t="str">
        <f t="shared" si="8303"/>
        <v>0</v>
      </c>
      <c r="L4282" s="1" t="str">
        <f t="shared" si="8303"/>
        <v>0</v>
      </c>
      <c r="M4282" s="1" t="str">
        <f t="shared" si="8303"/>
        <v>0</v>
      </c>
      <c r="N4282" s="1" t="str">
        <f t="shared" si="8303"/>
        <v>0</v>
      </c>
      <c r="O4282" s="1" t="str">
        <f t="shared" si="8303"/>
        <v>0</v>
      </c>
      <c r="P4282" s="1" t="str">
        <f t="shared" si="8303"/>
        <v>0</v>
      </c>
      <c r="Q4282" s="1" t="str">
        <f t="shared" si="8236"/>
        <v>0.0070</v>
      </c>
      <c r="R4282" s="1" t="s">
        <v>25</v>
      </c>
      <c r="T4282" s="1" t="str">
        <f t="shared" si="8237"/>
        <v>0</v>
      </c>
      <c r="U4282" s="1" t="str">
        <f t="shared" si="8286"/>
        <v>0.0070</v>
      </c>
    </row>
    <row r="4283" s="1" customFormat="1" spans="1:21">
      <c r="A4283" s="1" t="str">
        <f>"4601992098276"</f>
        <v>4601992098276</v>
      </c>
      <c r="B4283" s="1" t="s">
        <v>4306</v>
      </c>
      <c r="C4283" s="1" t="s">
        <v>24</v>
      </c>
      <c r="D4283" s="1" t="str">
        <f t="shared" si="8234"/>
        <v>2021</v>
      </c>
      <c r="E4283" s="1" t="str">
        <f t="shared" ref="E4283:P4283" si="8304">"0"</f>
        <v>0</v>
      </c>
      <c r="F4283" s="1" t="str">
        <f t="shared" si="8304"/>
        <v>0</v>
      </c>
      <c r="G4283" s="1" t="str">
        <f t="shared" si="8304"/>
        <v>0</v>
      </c>
      <c r="H4283" s="1" t="str">
        <f t="shared" si="8304"/>
        <v>0</v>
      </c>
      <c r="I4283" s="1" t="str">
        <f t="shared" si="8304"/>
        <v>0</v>
      </c>
      <c r="J4283" s="1" t="str">
        <f t="shared" si="8304"/>
        <v>0</v>
      </c>
      <c r="K4283" s="1" t="str">
        <f t="shared" si="8304"/>
        <v>0</v>
      </c>
      <c r="L4283" s="1" t="str">
        <f t="shared" si="8304"/>
        <v>0</v>
      </c>
      <c r="M4283" s="1" t="str">
        <f t="shared" si="8304"/>
        <v>0</v>
      </c>
      <c r="N4283" s="1" t="str">
        <f t="shared" si="8304"/>
        <v>0</v>
      </c>
      <c r="O4283" s="1" t="str">
        <f t="shared" si="8304"/>
        <v>0</v>
      </c>
      <c r="P4283" s="1" t="str">
        <f t="shared" si="8304"/>
        <v>0</v>
      </c>
      <c r="Q4283" s="1" t="str">
        <f t="shared" si="8236"/>
        <v>0.0070</v>
      </c>
      <c r="R4283" s="1" t="s">
        <v>25</v>
      </c>
      <c r="T4283" s="1" t="str">
        <f t="shared" si="8237"/>
        <v>0</v>
      </c>
      <c r="U4283" s="1" t="str">
        <f t="shared" si="8286"/>
        <v>0.0070</v>
      </c>
    </row>
    <row r="4284" s="1" customFormat="1" spans="1:21">
      <c r="A4284" s="1" t="str">
        <f>"4601992098474"</f>
        <v>4601992098474</v>
      </c>
      <c r="B4284" s="1" t="s">
        <v>4307</v>
      </c>
      <c r="C4284" s="1" t="s">
        <v>24</v>
      </c>
      <c r="D4284" s="1" t="str">
        <f t="shared" si="8234"/>
        <v>2021</v>
      </c>
      <c r="E4284" s="1" t="str">
        <f t="shared" ref="E4284:P4284" si="8305">"0"</f>
        <v>0</v>
      </c>
      <c r="F4284" s="1" t="str">
        <f t="shared" si="8305"/>
        <v>0</v>
      </c>
      <c r="G4284" s="1" t="str">
        <f t="shared" si="8305"/>
        <v>0</v>
      </c>
      <c r="H4284" s="1" t="str">
        <f t="shared" si="8305"/>
        <v>0</v>
      </c>
      <c r="I4284" s="1" t="str">
        <f t="shared" si="8305"/>
        <v>0</v>
      </c>
      <c r="J4284" s="1" t="str">
        <f t="shared" si="8305"/>
        <v>0</v>
      </c>
      <c r="K4284" s="1" t="str">
        <f t="shared" si="8305"/>
        <v>0</v>
      </c>
      <c r="L4284" s="1" t="str">
        <f t="shared" si="8305"/>
        <v>0</v>
      </c>
      <c r="M4284" s="1" t="str">
        <f t="shared" si="8305"/>
        <v>0</v>
      </c>
      <c r="N4284" s="1" t="str">
        <f t="shared" si="8305"/>
        <v>0</v>
      </c>
      <c r="O4284" s="1" t="str">
        <f t="shared" si="8305"/>
        <v>0</v>
      </c>
      <c r="P4284" s="1" t="str">
        <f t="shared" si="8305"/>
        <v>0</v>
      </c>
      <c r="Q4284" s="1" t="str">
        <f t="shared" si="8236"/>
        <v>0.0070</v>
      </c>
      <c r="R4284" s="1" t="s">
        <v>25</v>
      </c>
      <c r="T4284" s="1" t="str">
        <f t="shared" si="8237"/>
        <v>0</v>
      </c>
      <c r="U4284" s="1" t="str">
        <f t="shared" si="8286"/>
        <v>0.0070</v>
      </c>
    </row>
    <row r="4285" s="1" customFormat="1" spans="1:21">
      <c r="A4285" s="1" t="str">
        <f>"4601992098602"</f>
        <v>4601992098602</v>
      </c>
      <c r="B4285" s="1" t="s">
        <v>4308</v>
      </c>
      <c r="C4285" s="1" t="s">
        <v>24</v>
      </c>
      <c r="D4285" s="1" t="str">
        <f t="shared" si="8234"/>
        <v>2021</v>
      </c>
      <c r="E4285" s="1" t="str">
        <f t="shared" ref="E4285:P4285" si="8306">"0"</f>
        <v>0</v>
      </c>
      <c r="F4285" s="1" t="str">
        <f t="shared" si="8306"/>
        <v>0</v>
      </c>
      <c r="G4285" s="1" t="str">
        <f t="shared" si="8306"/>
        <v>0</v>
      </c>
      <c r="H4285" s="1" t="str">
        <f t="shared" si="8306"/>
        <v>0</v>
      </c>
      <c r="I4285" s="1" t="str">
        <f t="shared" si="8306"/>
        <v>0</v>
      </c>
      <c r="J4285" s="1" t="str">
        <f t="shared" si="8306"/>
        <v>0</v>
      </c>
      <c r="K4285" s="1" t="str">
        <f t="shared" si="8306"/>
        <v>0</v>
      </c>
      <c r="L4285" s="1" t="str">
        <f t="shared" si="8306"/>
        <v>0</v>
      </c>
      <c r="M4285" s="1" t="str">
        <f t="shared" si="8306"/>
        <v>0</v>
      </c>
      <c r="N4285" s="1" t="str">
        <f t="shared" si="8306"/>
        <v>0</v>
      </c>
      <c r="O4285" s="1" t="str">
        <f t="shared" si="8306"/>
        <v>0</v>
      </c>
      <c r="P4285" s="1" t="str">
        <f t="shared" si="8306"/>
        <v>0</v>
      </c>
      <c r="Q4285" s="1" t="str">
        <f t="shared" si="8236"/>
        <v>0.0070</v>
      </c>
      <c r="R4285" s="1" t="s">
        <v>25</v>
      </c>
      <c r="T4285" s="1" t="str">
        <f t="shared" si="8237"/>
        <v>0</v>
      </c>
      <c r="U4285" s="1" t="str">
        <f t="shared" si="8286"/>
        <v>0.0070</v>
      </c>
    </row>
    <row r="4286" s="1" customFormat="1" spans="1:21">
      <c r="A4286" s="1" t="str">
        <f>"4601992098558"</f>
        <v>4601992098558</v>
      </c>
      <c r="B4286" s="1" t="s">
        <v>4309</v>
      </c>
      <c r="C4286" s="1" t="s">
        <v>24</v>
      </c>
      <c r="D4286" s="1" t="str">
        <f t="shared" si="8234"/>
        <v>2021</v>
      </c>
      <c r="E4286" s="1" t="str">
        <f t="shared" ref="E4286:P4286" si="8307">"0"</f>
        <v>0</v>
      </c>
      <c r="F4286" s="1" t="str">
        <f t="shared" si="8307"/>
        <v>0</v>
      </c>
      <c r="G4286" s="1" t="str">
        <f t="shared" si="8307"/>
        <v>0</v>
      </c>
      <c r="H4286" s="1" t="str">
        <f t="shared" si="8307"/>
        <v>0</v>
      </c>
      <c r="I4286" s="1" t="str">
        <f t="shared" si="8307"/>
        <v>0</v>
      </c>
      <c r="J4286" s="1" t="str">
        <f t="shared" si="8307"/>
        <v>0</v>
      </c>
      <c r="K4286" s="1" t="str">
        <f t="shared" si="8307"/>
        <v>0</v>
      </c>
      <c r="L4286" s="1" t="str">
        <f t="shared" si="8307"/>
        <v>0</v>
      </c>
      <c r="M4286" s="1" t="str">
        <f t="shared" si="8307"/>
        <v>0</v>
      </c>
      <c r="N4286" s="1" t="str">
        <f t="shared" si="8307"/>
        <v>0</v>
      </c>
      <c r="O4286" s="1" t="str">
        <f t="shared" si="8307"/>
        <v>0</v>
      </c>
      <c r="P4286" s="1" t="str">
        <f t="shared" si="8307"/>
        <v>0</v>
      </c>
      <c r="Q4286" s="1" t="str">
        <f t="shared" si="8236"/>
        <v>0.0070</v>
      </c>
      <c r="R4286" s="1" t="s">
        <v>25</v>
      </c>
      <c r="T4286" s="1" t="str">
        <f t="shared" si="8237"/>
        <v>0</v>
      </c>
      <c r="U4286" s="1" t="str">
        <f t="shared" si="8286"/>
        <v>0.0070</v>
      </c>
    </row>
    <row r="4287" s="1" customFormat="1" spans="1:21">
      <c r="A4287" s="1" t="str">
        <f>"4601992098734"</f>
        <v>4601992098734</v>
      </c>
      <c r="B4287" s="1" t="s">
        <v>4310</v>
      </c>
      <c r="C4287" s="1" t="s">
        <v>24</v>
      </c>
      <c r="D4287" s="1" t="str">
        <f t="shared" si="8234"/>
        <v>2021</v>
      </c>
      <c r="E4287" s="1" t="str">
        <f t="shared" ref="E4287:P4287" si="8308">"0"</f>
        <v>0</v>
      </c>
      <c r="F4287" s="1" t="str">
        <f t="shared" si="8308"/>
        <v>0</v>
      </c>
      <c r="G4287" s="1" t="str">
        <f t="shared" si="8308"/>
        <v>0</v>
      </c>
      <c r="H4287" s="1" t="str">
        <f t="shared" si="8308"/>
        <v>0</v>
      </c>
      <c r="I4287" s="1" t="str">
        <f t="shared" si="8308"/>
        <v>0</v>
      </c>
      <c r="J4287" s="1" t="str">
        <f t="shared" si="8308"/>
        <v>0</v>
      </c>
      <c r="K4287" s="1" t="str">
        <f t="shared" si="8308"/>
        <v>0</v>
      </c>
      <c r="L4287" s="1" t="str">
        <f t="shared" si="8308"/>
        <v>0</v>
      </c>
      <c r="M4287" s="1" t="str">
        <f t="shared" si="8308"/>
        <v>0</v>
      </c>
      <c r="N4287" s="1" t="str">
        <f t="shared" si="8308"/>
        <v>0</v>
      </c>
      <c r="O4287" s="1" t="str">
        <f t="shared" si="8308"/>
        <v>0</v>
      </c>
      <c r="P4287" s="1" t="str">
        <f t="shared" si="8308"/>
        <v>0</v>
      </c>
      <c r="Q4287" s="1" t="str">
        <f t="shared" si="8236"/>
        <v>0.0070</v>
      </c>
      <c r="R4287" s="1" t="s">
        <v>25</v>
      </c>
      <c r="T4287" s="1" t="str">
        <f t="shared" si="8237"/>
        <v>0</v>
      </c>
      <c r="U4287" s="1" t="str">
        <f t="shared" si="8286"/>
        <v>0.0070</v>
      </c>
    </row>
    <row r="4288" s="1" customFormat="1" spans="1:21">
      <c r="A4288" s="1" t="str">
        <f>"4601992098752"</f>
        <v>4601992098752</v>
      </c>
      <c r="B4288" s="1" t="s">
        <v>4311</v>
      </c>
      <c r="C4288" s="1" t="s">
        <v>24</v>
      </c>
      <c r="D4288" s="1" t="str">
        <f t="shared" si="8234"/>
        <v>2021</v>
      </c>
      <c r="E4288" s="1" t="str">
        <f t="shared" ref="E4288:P4288" si="8309">"0"</f>
        <v>0</v>
      </c>
      <c r="F4288" s="1" t="str">
        <f t="shared" si="8309"/>
        <v>0</v>
      </c>
      <c r="G4288" s="1" t="str">
        <f t="shared" si="8309"/>
        <v>0</v>
      </c>
      <c r="H4288" s="1" t="str">
        <f t="shared" si="8309"/>
        <v>0</v>
      </c>
      <c r="I4288" s="1" t="str">
        <f t="shared" si="8309"/>
        <v>0</v>
      </c>
      <c r="J4288" s="1" t="str">
        <f t="shared" si="8309"/>
        <v>0</v>
      </c>
      <c r="K4288" s="1" t="str">
        <f t="shared" si="8309"/>
        <v>0</v>
      </c>
      <c r="L4288" s="1" t="str">
        <f t="shared" si="8309"/>
        <v>0</v>
      </c>
      <c r="M4288" s="1" t="str">
        <f t="shared" si="8309"/>
        <v>0</v>
      </c>
      <c r="N4288" s="1" t="str">
        <f t="shared" si="8309"/>
        <v>0</v>
      </c>
      <c r="O4288" s="1" t="str">
        <f t="shared" si="8309"/>
        <v>0</v>
      </c>
      <c r="P4288" s="1" t="str">
        <f t="shared" si="8309"/>
        <v>0</v>
      </c>
      <c r="Q4288" s="1" t="str">
        <f t="shared" si="8236"/>
        <v>0.0070</v>
      </c>
      <c r="R4288" s="1" t="s">
        <v>25</v>
      </c>
      <c r="T4288" s="1" t="str">
        <f t="shared" si="8237"/>
        <v>0</v>
      </c>
      <c r="U4288" s="1" t="str">
        <f t="shared" si="8286"/>
        <v>0.0070</v>
      </c>
    </row>
    <row r="4289" s="1" customFormat="1" spans="1:21">
      <c r="A4289" s="1" t="str">
        <f>"4601992098833"</f>
        <v>4601992098833</v>
      </c>
      <c r="B4289" s="1" t="s">
        <v>4312</v>
      </c>
      <c r="C4289" s="1" t="s">
        <v>24</v>
      </c>
      <c r="D4289" s="1" t="str">
        <f t="shared" si="8234"/>
        <v>2021</v>
      </c>
      <c r="E4289" s="1" t="str">
        <f t="shared" ref="E4289:P4289" si="8310">"0"</f>
        <v>0</v>
      </c>
      <c r="F4289" s="1" t="str">
        <f t="shared" si="8310"/>
        <v>0</v>
      </c>
      <c r="G4289" s="1" t="str">
        <f t="shared" si="8310"/>
        <v>0</v>
      </c>
      <c r="H4289" s="1" t="str">
        <f t="shared" si="8310"/>
        <v>0</v>
      </c>
      <c r="I4289" s="1" t="str">
        <f t="shared" si="8310"/>
        <v>0</v>
      </c>
      <c r="J4289" s="1" t="str">
        <f t="shared" si="8310"/>
        <v>0</v>
      </c>
      <c r="K4289" s="1" t="str">
        <f t="shared" si="8310"/>
        <v>0</v>
      </c>
      <c r="L4289" s="1" t="str">
        <f t="shared" si="8310"/>
        <v>0</v>
      </c>
      <c r="M4289" s="1" t="str">
        <f t="shared" si="8310"/>
        <v>0</v>
      </c>
      <c r="N4289" s="1" t="str">
        <f t="shared" si="8310"/>
        <v>0</v>
      </c>
      <c r="O4289" s="1" t="str">
        <f t="shared" si="8310"/>
        <v>0</v>
      </c>
      <c r="P4289" s="1" t="str">
        <f t="shared" si="8310"/>
        <v>0</v>
      </c>
      <c r="Q4289" s="1" t="str">
        <f t="shared" si="8236"/>
        <v>0.0070</v>
      </c>
      <c r="R4289" s="1" t="s">
        <v>25</v>
      </c>
      <c r="T4289" s="1" t="str">
        <f t="shared" si="8237"/>
        <v>0</v>
      </c>
      <c r="U4289" s="1" t="str">
        <f t="shared" si="8286"/>
        <v>0.0070</v>
      </c>
    </row>
    <row r="4290" s="1" customFormat="1" spans="1:21">
      <c r="A4290" s="1" t="str">
        <f>"4601992098855"</f>
        <v>4601992098855</v>
      </c>
      <c r="B4290" s="1" t="s">
        <v>4313</v>
      </c>
      <c r="C4290" s="1" t="s">
        <v>24</v>
      </c>
      <c r="D4290" s="1" t="str">
        <f t="shared" si="8234"/>
        <v>2021</v>
      </c>
      <c r="E4290" s="1" t="str">
        <f t="shared" ref="E4290:P4290" si="8311">"0"</f>
        <v>0</v>
      </c>
      <c r="F4290" s="1" t="str">
        <f t="shared" si="8311"/>
        <v>0</v>
      </c>
      <c r="G4290" s="1" t="str">
        <f t="shared" si="8311"/>
        <v>0</v>
      </c>
      <c r="H4290" s="1" t="str">
        <f t="shared" si="8311"/>
        <v>0</v>
      </c>
      <c r="I4290" s="1" t="str">
        <f t="shared" si="8311"/>
        <v>0</v>
      </c>
      <c r="J4290" s="1" t="str">
        <f t="shared" si="8311"/>
        <v>0</v>
      </c>
      <c r="K4290" s="1" t="str">
        <f t="shared" si="8311"/>
        <v>0</v>
      </c>
      <c r="L4290" s="1" t="str">
        <f t="shared" si="8311"/>
        <v>0</v>
      </c>
      <c r="M4290" s="1" t="str">
        <f t="shared" si="8311"/>
        <v>0</v>
      </c>
      <c r="N4290" s="1" t="str">
        <f t="shared" si="8311"/>
        <v>0</v>
      </c>
      <c r="O4290" s="1" t="str">
        <f t="shared" si="8311"/>
        <v>0</v>
      </c>
      <c r="P4290" s="1" t="str">
        <f t="shared" si="8311"/>
        <v>0</v>
      </c>
      <c r="Q4290" s="1" t="str">
        <f t="shared" si="8236"/>
        <v>0.0070</v>
      </c>
      <c r="R4290" s="1" t="s">
        <v>25</v>
      </c>
      <c r="T4290" s="1" t="str">
        <f t="shared" si="8237"/>
        <v>0</v>
      </c>
      <c r="U4290" s="1" t="str">
        <f t="shared" si="8286"/>
        <v>0.0070</v>
      </c>
    </row>
    <row r="4291" s="1" customFormat="1" spans="1:21">
      <c r="A4291" s="1" t="str">
        <f>"4601992098873"</f>
        <v>4601992098873</v>
      </c>
      <c r="B4291" s="1" t="s">
        <v>4314</v>
      </c>
      <c r="C4291" s="1" t="s">
        <v>24</v>
      </c>
      <c r="D4291" s="1" t="str">
        <f t="shared" ref="D4291:D4354" si="8312">"2021"</f>
        <v>2021</v>
      </c>
      <c r="E4291" s="1" t="str">
        <f t="shared" ref="E4291:P4291" si="8313">"0"</f>
        <v>0</v>
      </c>
      <c r="F4291" s="1" t="str">
        <f t="shared" si="8313"/>
        <v>0</v>
      </c>
      <c r="G4291" s="1" t="str">
        <f t="shared" si="8313"/>
        <v>0</v>
      </c>
      <c r="H4291" s="1" t="str">
        <f t="shared" si="8313"/>
        <v>0</v>
      </c>
      <c r="I4291" s="1" t="str">
        <f t="shared" si="8313"/>
        <v>0</v>
      </c>
      <c r="J4291" s="1" t="str">
        <f t="shared" si="8313"/>
        <v>0</v>
      </c>
      <c r="K4291" s="1" t="str">
        <f t="shared" si="8313"/>
        <v>0</v>
      </c>
      <c r="L4291" s="1" t="str">
        <f t="shared" si="8313"/>
        <v>0</v>
      </c>
      <c r="M4291" s="1" t="str">
        <f t="shared" si="8313"/>
        <v>0</v>
      </c>
      <c r="N4291" s="1" t="str">
        <f t="shared" si="8313"/>
        <v>0</v>
      </c>
      <c r="O4291" s="1" t="str">
        <f t="shared" si="8313"/>
        <v>0</v>
      </c>
      <c r="P4291" s="1" t="str">
        <f t="shared" si="8313"/>
        <v>0</v>
      </c>
      <c r="Q4291" s="1" t="str">
        <f t="shared" ref="Q4291:Q4354" si="8314">"0.0070"</f>
        <v>0.0070</v>
      </c>
      <c r="R4291" s="1" t="s">
        <v>25</v>
      </c>
      <c r="T4291" s="1" t="str">
        <f t="shared" ref="T4291:T4354" si="8315">"0"</f>
        <v>0</v>
      </c>
      <c r="U4291" s="1" t="str">
        <f t="shared" si="8286"/>
        <v>0.0070</v>
      </c>
    </row>
    <row r="4292" s="1" customFormat="1" spans="1:21">
      <c r="A4292" s="1" t="str">
        <f>"4601992098911"</f>
        <v>4601992098911</v>
      </c>
      <c r="B4292" s="1" t="s">
        <v>4315</v>
      </c>
      <c r="C4292" s="1" t="s">
        <v>24</v>
      </c>
      <c r="D4292" s="1" t="str">
        <f t="shared" si="8312"/>
        <v>2021</v>
      </c>
      <c r="E4292" s="1" t="str">
        <f t="shared" ref="E4292:P4292" si="8316">"0"</f>
        <v>0</v>
      </c>
      <c r="F4292" s="1" t="str">
        <f t="shared" si="8316"/>
        <v>0</v>
      </c>
      <c r="G4292" s="1" t="str">
        <f t="shared" si="8316"/>
        <v>0</v>
      </c>
      <c r="H4292" s="1" t="str">
        <f t="shared" si="8316"/>
        <v>0</v>
      </c>
      <c r="I4292" s="1" t="str">
        <f t="shared" si="8316"/>
        <v>0</v>
      </c>
      <c r="J4292" s="1" t="str">
        <f t="shared" si="8316"/>
        <v>0</v>
      </c>
      <c r="K4292" s="1" t="str">
        <f t="shared" si="8316"/>
        <v>0</v>
      </c>
      <c r="L4292" s="1" t="str">
        <f t="shared" si="8316"/>
        <v>0</v>
      </c>
      <c r="M4292" s="1" t="str">
        <f t="shared" si="8316"/>
        <v>0</v>
      </c>
      <c r="N4292" s="1" t="str">
        <f t="shared" si="8316"/>
        <v>0</v>
      </c>
      <c r="O4292" s="1" t="str">
        <f t="shared" si="8316"/>
        <v>0</v>
      </c>
      <c r="P4292" s="1" t="str">
        <f t="shared" si="8316"/>
        <v>0</v>
      </c>
      <c r="Q4292" s="1" t="str">
        <f t="shared" si="8314"/>
        <v>0.0070</v>
      </c>
      <c r="R4292" s="1" t="s">
        <v>25</v>
      </c>
      <c r="T4292" s="1" t="str">
        <f t="shared" si="8315"/>
        <v>0</v>
      </c>
      <c r="U4292" s="1" t="str">
        <f t="shared" si="8286"/>
        <v>0.0070</v>
      </c>
    </row>
    <row r="4293" s="1" customFormat="1" spans="1:21">
      <c r="A4293" s="1" t="str">
        <f>"4601992099067"</f>
        <v>4601992099067</v>
      </c>
      <c r="B4293" s="1" t="s">
        <v>4316</v>
      </c>
      <c r="C4293" s="1" t="s">
        <v>24</v>
      </c>
      <c r="D4293" s="1" t="str">
        <f t="shared" si="8312"/>
        <v>2021</v>
      </c>
      <c r="E4293" s="1" t="str">
        <f t="shared" ref="E4293:P4293" si="8317">"0"</f>
        <v>0</v>
      </c>
      <c r="F4293" s="1" t="str">
        <f t="shared" si="8317"/>
        <v>0</v>
      </c>
      <c r="G4293" s="1" t="str">
        <f t="shared" si="8317"/>
        <v>0</v>
      </c>
      <c r="H4293" s="1" t="str">
        <f t="shared" si="8317"/>
        <v>0</v>
      </c>
      <c r="I4293" s="1" t="str">
        <f t="shared" si="8317"/>
        <v>0</v>
      </c>
      <c r="J4293" s="1" t="str">
        <f t="shared" si="8317"/>
        <v>0</v>
      </c>
      <c r="K4293" s="1" t="str">
        <f t="shared" si="8317"/>
        <v>0</v>
      </c>
      <c r="L4293" s="1" t="str">
        <f t="shared" si="8317"/>
        <v>0</v>
      </c>
      <c r="M4293" s="1" t="str">
        <f t="shared" si="8317"/>
        <v>0</v>
      </c>
      <c r="N4293" s="1" t="str">
        <f t="shared" si="8317"/>
        <v>0</v>
      </c>
      <c r="O4293" s="1" t="str">
        <f t="shared" si="8317"/>
        <v>0</v>
      </c>
      <c r="P4293" s="1" t="str">
        <f t="shared" si="8317"/>
        <v>0</v>
      </c>
      <c r="Q4293" s="1" t="str">
        <f t="shared" si="8314"/>
        <v>0.0070</v>
      </c>
      <c r="R4293" s="1" t="s">
        <v>25</v>
      </c>
      <c r="T4293" s="1" t="str">
        <f t="shared" si="8315"/>
        <v>0</v>
      </c>
      <c r="U4293" s="1" t="str">
        <f t="shared" si="8286"/>
        <v>0.0070</v>
      </c>
    </row>
    <row r="4294" s="1" customFormat="1" spans="1:21">
      <c r="A4294" s="1" t="str">
        <f>"4601992099076"</f>
        <v>4601992099076</v>
      </c>
      <c r="B4294" s="1" t="s">
        <v>4317</v>
      </c>
      <c r="C4294" s="1" t="s">
        <v>24</v>
      </c>
      <c r="D4294" s="1" t="str">
        <f t="shared" si="8312"/>
        <v>2021</v>
      </c>
      <c r="E4294" s="1" t="str">
        <f t="shared" ref="E4294:P4294" si="8318">"0"</f>
        <v>0</v>
      </c>
      <c r="F4294" s="1" t="str">
        <f t="shared" si="8318"/>
        <v>0</v>
      </c>
      <c r="G4294" s="1" t="str">
        <f t="shared" si="8318"/>
        <v>0</v>
      </c>
      <c r="H4294" s="1" t="str">
        <f t="shared" si="8318"/>
        <v>0</v>
      </c>
      <c r="I4294" s="1" t="str">
        <f t="shared" si="8318"/>
        <v>0</v>
      </c>
      <c r="J4294" s="1" t="str">
        <f t="shared" si="8318"/>
        <v>0</v>
      </c>
      <c r="K4294" s="1" t="str">
        <f t="shared" si="8318"/>
        <v>0</v>
      </c>
      <c r="L4294" s="1" t="str">
        <f t="shared" si="8318"/>
        <v>0</v>
      </c>
      <c r="M4294" s="1" t="str">
        <f t="shared" si="8318"/>
        <v>0</v>
      </c>
      <c r="N4294" s="1" t="str">
        <f t="shared" si="8318"/>
        <v>0</v>
      </c>
      <c r="O4294" s="1" t="str">
        <f t="shared" si="8318"/>
        <v>0</v>
      </c>
      <c r="P4294" s="1" t="str">
        <f t="shared" si="8318"/>
        <v>0</v>
      </c>
      <c r="Q4294" s="1" t="str">
        <f t="shared" si="8314"/>
        <v>0.0070</v>
      </c>
      <c r="R4294" s="1" t="s">
        <v>25</v>
      </c>
      <c r="T4294" s="1" t="str">
        <f t="shared" si="8315"/>
        <v>0</v>
      </c>
      <c r="U4294" s="1" t="str">
        <f t="shared" si="8286"/>
        <v>0.0070</v>
      </c>
    </row>
    <row r="4295" s="1" customFormat="1" spans="1:21">
      <c r="A4295" s="1" t="str">
        <f>"4601992099141"</f>
        <v>4601992099141</v>
      </c>
      <c r="B4295" s="1" t="s">
        <v>4318</v>
      </c>
      <c r="C4295" s="1" t="s">
        <v>24</v>
      </c>
      <c r="D4295" s="1" t="str">
        <f t="shared" si="8312"/>
        <v>2021</v>
      </c>
      <c r="E4295" s="1" t="str">
        <f t="shared" ref="E4295:P4295" si="8319">"0"</f>
        <v>0</v>
      </c>
      <c r="F4295" s="1" t="str">
        <f t="shared" si="8319"/>
        <v>0</v>
      </c>
      <c r="G4295" s="1" t="str">
        <f t="shared" si="8319"/>
        <v>0</v>
      </c>
      <c r="H4295" s="1" t="str">
        <f t="shared" si="8319"/>
        <v>0</v>
      </c>
      <c r="I4295" s="1" t="str">
        <f t="shared" si="8319"/>
        <v>0</v>
      </c>
      <c r="J4295" s="1" t="str">
        <f t="shared" si="8319"/>
        <v>0</v>
      </c>
      <c r="K4295" s="1" t="str">
        <f t="shared" si="8319"/>
        <v>0</v>
      </c>
      <c r="L4295" s="1" t="str">
        <f t="shared" si="8319"/>
        <v>0</v>
      </c>
      <c r="M4295" s="1" t="str">
        <f t="shared" si="8319"/>
        <v>0</v>
      </c>
      <c r="N4295" s="1" t="str">
        <f t="shared" si="8319"/>
        <v>0</v>
      </c>
      <c r="O4295" s="1" t="str">
        <f t="shared" si="8319"/>
        <v>0</v>
      </c>
      <c r="P4295" s="1" t="str">
        <f t="shared" si="8319"/>
        <v>0</v>
      </c>
      <c r="Q4295" s="1" t="str">
        <f t="shared" si="8314"/>
        <v>0.0070</v>
      </c>
      <c r="R4295" s="1" t="s">
        <v>25</v>
      </c>
      <c r="T4295" s="1" t="str">
        <f t="shared" si="8315"/>
        <v>0</v>
      </c>
      <c r="U4295" s="1" t="str">
        <f t="shared" si="8286"/>
        <v>0.0070</v>
      </c>
    </row>
    <row r="4296" s="1" customFormat="1" spans="1:21">
      <c r="A4296" s="1" t="str">
        <f>"4601992098888"</f>
        <v>4601992098888</v>
      </c>
      <c r="B4296" s="1" t="s">
        <v>4319</v>
      </c>
      <c r="C4296" s="1" t="s">
        <v>24</v>
      </c>
      <c r="D4296" s="1" t="str">
        <f t="shared" si="8312"/>
        <v>2021</v>
      </c>
      <c r="E4296" s="1" t="str">
        <f>"24.50"</f>
        <v>24.50</v>
      </c>
      <c r="F4296" s="1" t="str">
        <f t="shared" ref="F4296:I4296" si="8320">"0"</f>
        <v>0</v>
      </c>
      <c r="G4296" s="1" t="str">
        <f t="shared" si="8320"/>
        <v>0</v>
      </c>
      <c r="H4296" s="1" t="str">
        <f t="shared" si="8320"/>
        <v>0</v>
      </c>
      <c r="I4296" s="1" t="str">
        <f t="shared" si="8320"/>
        <v>0</v>
      </c>
      <c r="J4296" s="1" t="str">
        <f>"3"</f>
        <v>3</v>
      </c>
      <c r="K4296" s="1" t="str">
        <f t="shared" ref="K4296:P4296" si="8321">"0"</f>
        <v>0</v>
      </c>
      <c r="L4296" s="1" t="str">
        <f t="shared" si="8321"/>
        <v>0</v>
      </c>
      <c r="M4296" s="1" t="str">
        <f t="shared" si="8321"/>
        <v>0</v>
      </c>
      <c r="N4296" s="1" t="str">
        <f t="shared" si="8321"/>
        <v>0</v>
      </c>
      <c r="O4296" s="1" t="str">
        <f t="shared" si="8321"/>
        <v>0</v>
      </c>
      <c r="P4296" s="1" t="str">
        <f t="shared" si="8321"/>
        <v>0</v>
      </c>
      <c r="Q4296" s="1" t="str">
        <f t="shared" si="8314"/>
        <v>0.0070</v>
      </c>
      <c r="R4296" s="1" t="s">
        <v>29</v>
      </c>
      <c r="S4296" s="1">
        <v>-0.0014</v>
      </c>
      <c r="T4296" s="1" t="str">
        <f t="shared" si="8315"/>
        <v>0</v>
      </c>
      <c r="U4296" s="1" t="str">
        <f>"0.0056"</f>
        <v>0.0056</v>
      </c>
    </row>
    <row r="4297" s="1" customFormat="1" spans="1:21">
      <c r="A4297" s="1" t="str">
        <f>"4601992099230"</f>
        <v>4601992099230</v>
      </c>
      <c r="B4297" s="1" t="s">
        <v>4320</v>
      </c>
      <c r="C4297" s="1" t="s">
        <v>24</v>
      </c>
      <c r="D4297" s="1" t="str">
        <f t="shared" si="8312"/>
        <v>2021</v>
      </c>
      <c r="E4297" s="1" t="str">
        <f t="shared" ref="E4297:P4297" si="8322">"0"</f>
        <v>0</v>
      </c>
      <c r="F4297" s="1" t="str">
        <f t="shared" si="8322"/>
        <v>0</v>
      </c>
      <c r="G4297" s="1" t="str">
        <f t="shared" si="8322"/>
        <v>0</v>
      </c>
      <c r="H4297" s="1" t="str">
        <f t="shared" si="8322"/>
        <v>0</v>
      </c>
      <c r="I4297" s="1" t="str">
        <f t="shared" si="8322"/>
        <v>0</v>
      </c>
      <c r="J4297" s="1" t="str">
        <f t="shared" si="8322"/>
        <v>0</v>
      </c>
      <c r="K4297" s="1" t="str">
        <f t="shared" si="8322"/>
        <v>0</v>
      </c>
      <c r="L4297" s="1" t="str">
        <f t="shared" si="8322"/>
        <v>0</v>
      </c>
      <c r="M4297" s="1" t="str">
        <f t="shared" si="8322"/>
        <v>0</v>
      </c>
      <c r="N4297" s="1" t="str">
        <f t="shared" si="8322"/>
        <v>0</v>
      </c>
      <c r="O4297" s="1" t="str">
        <f t="shared" si="8322"/>
        <v>0</v>
      </c>
      <c r="P4297" s="1" t="str">
        <f t="shared" si="8322"/>
        <v>0</v>
      </c>
      <c r="Q4297" s="1" t="str">
        <f t="shared" si="8314"/>
        <v>0.0070</v>
      </c>
      <c r="R4297" s="1" t="s">
        <v>25</v>
      </c>
      <c r="T4297" s="1" t="str">
        <f t="shared" si="8315"/>
        <v>0</v>
      </c>
      <c r="U4297" s="1" t="str">
        <f t="shared" ref="U4297:U4326" si="8323">"0.0070"</f>
        <v>0.0070</v>
      </c>
    </row>
    <row r="4298" s="1" customFormat="1" spans="1:21">
      <c r="A4298" s="1" t="str">
        <f>"4601992099312"</f>
        <v>4601992099312</v>
      </c>
      <c r="B4298" s="1" t="s">
        <v>4321</v>
      </c>
      <c r="C4298" s="1" t="s">
        <v>24</v>
      </c>
      <c r="D4298" s="1" t="str">
        <f t="shared" si="8312"/>
        <v>2021</v>
      </c>
      <c r="E4298" s="1" t="str">
        <f t="shared" ref="E4298:P4298" si="8324">"0"</f>
        <v>0</v>
      </c>
      <c r="F4298" s="1" t="str">
        <f t="shared" si="8324"/>
        <v>0</v>
      </c>
      <c r="G4298" s="1" t="str">
        <f t="shared" si="8324"/>
        <v>0</v>
      </c>
      <c r="H4298" s="1" t="str">
        <f t="shared" si="8324"/>
        <v>0</v>
      </c>
      <c r="I4298" s="1" t="str">
        <f t="shared" si="8324"/>
        <v>0</v>
      </c>
      <c r="J4298" s="1" t="str">
        <f t="shared" si="8324"/>
        <v>0</v>
      </c>
      <c r="K4298" s="1" t="str">
        <f t="shared" si="8324"/>
        <v>0</v>
      </c>
      <c r="L4298" s="1" t="str">
        <f t="shared" si="8324"/>
        <v>0</v>
      </c>
      <c r="M4298" s="1" t="str">
        <f t="shared" si="8324"/>
        <v>0</v>
      </c>
      <c r="N4298" s="1" t="str">
        <f t="shared" si="8324"/>
        <v>0</v>
      </c>
      <c r="O4298" s="1" t="str">
        <f t="shared" si="8324"/>
        <v>0</v>
      </c>
      <c r="P4298" s="1" t="str">
        <f t="shared" si="8324"/>
        <v>0</v>
      </c>
      <c r="Q4298" s="1" t="str">
        <f t="shared" si="8314"/>
        <v>0.0070</v>
      </c>
      <c r="R4298" s="1" t="s">
        <v>25</v>
      </c>
      <c r="T4298" s="1" t="str">
        <f t="shared" si="8315"/>
        <v>0</v>
      </c>
      <c r="U4298" s="1" t="str">
        <f t="shared" si="8323"/>
        <v>0.0070</v>
      </c>
    </row>
    <row r="4299" s="1" customFormat="1" spans="1:21">
      <c r="A4299" s="1" t="str">
        <f>"4601992099544"</f>
        <v>4601992099544</v>
      </c>
      <c r="B4299" s="1" t="s">
        <v>4322</v>
      </c>
      <c r="C4299" s="1" t="s">
        <v>24</v>
      </c>
      <c r="D4299" s="1" t="str">
        <f t="shared" si="8312"/>
        <v>2021</v>
      </c>
      <c r="E4299" s="1" t="str">
        <f t="shared" ref="E4299:P4299" si="8325">"0"</f>
        <v>0</v>
      </c>
      <c r="F4299" s="1" t="str">
        <f t="shared" si="8325"/>
        <v>0</v>
      </c>
      <c r="G4299" s="1" t="str">
        <f t="shared" si="8325"/>
        <v>0</v>
      </c>
      <c r="H4299" s="1" t="str">
        <f t="shared" si="8325"/>
        <v>0</v>
      </c>
      <c r="I4299" s="1" t="str">
        <f t="shared" si="8325"/>
        <v>0</v>
      </c>
      <c r="J4299" s="1" t="str">
        <f t="shared" si="8325"/>
        <v>0</v>
      </c>
      <c r="K4299" s="1" t="str">
        <f t="shared" si="8325"/>
        <v>0</v>
      </c>
      <c r="L4299" s="1" t="str">
        <f t="shared" si="8325"/>
        <v>0</v>
      </c>
      <c r="M4299" s="1" t="str">
        <f t="shared" si="8325"/>
        <v>0</v>
      </c>
      <c r="N4299" s="1" t="str">
        <f t="shared" si="8325"/>
        <v>0</v>
      </c>
      <c r="O4299" s="1" t="str">
        <f t="shared" si="8325"/>
        <v>0</v>
      </c>
      <c r="P4299" s="1" t="str">
        <f t="shared" si="8325"/>
        <v>0</v>
      </c>
      <c r="Q4299" s="1" t="str">
        <f t="shared" si="8314"/>
        <v>0.0070</v>
      </c>
      <c r="R4299" s="1" t="s">
        <v>25</v>
      </c>
      <c r="T4299" s="1" t="str">
        <f t="shared" si="8315"/>
        <v>0</v>
      </c>
      <c r="U4299" s="1" t="str">
        <f t="shared" si="8323"/>
        <v>0.0070</v>
      </c>
    </row>
    <row r="4300" s="1" customFormat="1" spans="1:21">
      <c r="A4300" s="1" t="str">
        <f>"4601992099646"</f>
        <v>4601992099646</v>
      </c>
      <c r="B4300" s="1" t="s">
        <v>4323</v>
      </c>
      <c r="C4300" s="1" t="s">
        <v>24</v>
      </c>
      <c r="D4300" s="1" t="str">
        <f t="shared" si="8312"/>
        <v>2021</v>
      </c>
      <c r="E4300" s="1" t="str">
        <f t="shared" ref="E4300:P4300" si="8326">"0"</f>
        <v>0</v>
      </c>
      <c r="F4300" s="1" t="str">
        <f t="shared" si="8326"/>
        <v>0</v>
      </c>
      <c r="G4300" s="1" t="str">
        <f t="shared" si="8326"/>
        <v>0</v>
      </c>
      <c r="H4300" s="1" t="str">
        <f t="shared" si="8326"/>
        <v>0</v>
      </c>
      <c r="I4300" s="1" t="str">
        <f t="shared" si="8326"/>
        <v>0</v>
      </c>
      <c r="J4300" s="1" t="str">
        <f t="shared" si="8326"/>
        <v>0</v>
      </c>
      <c r="K4300" s="1" t="str">
        <f t="shared" si="8326"/>
        <v>0</v>
      </c>
      <c r="L4300" s="1" t="str">
        <f t="shared" si="8326"/>
        <v>0</v>
      </c>
      <c r="M4300" s="1" t="str">
        <f t="shared" si="8326"/>
        <v>0</v>
      </c>
      <c r="N4300" s="1" t="str">
        <f t="shared" si="8326"/>
        <v>0</v>
      </c>
      <c r="O4300" s="1" t="str">
        <f t="shared" si="8326"/>
        <v>0</v>
      </c>
      <c r="P4300" s="1" t="str">
        <f t="shared" si="8326"/>
        <v>0</v>
      </c>
      <c r="Q4300" s="1" t="str">
        <f t="shared" si="8314"/>
        <v>0.0070</v>
      </c>
      <c r="R4300" s="1" t="s">
        <v>25</v>
      </c>
      <c r="T4300" s="1" t="str">
        <f t="shared" si="8315"/>
        <v>0</v>
      </c>
      <c r="U4300" s="1" t="str">
        <f t="shared" si="8323"/>
        <v>0.0070</v>
      </c>
    </row>
    <row r="4301" s="1" customFormat="1" spans="1:21">
      <c r="A4301" s="1" t="str">
        <f>"4601992099719"</f>
        <v>4601992099719</v>
      </c>
      <c r="B4301" s="1" t="s">
        <v>4324</v>
      </c>
      <c r="C4301" s="1" t="s">
        <v>24</v>
      </c>
      <c r="D4301" s="1" t="str">
        <f t="shared" si="8312"/>
        <v>2021</v>
      </c>
      <c r="E4301" s="1" t="str">
        <f t="shared" ref="E4301:P4301" si="8327">"0"</f>
        <v>0</v>
      </c>
      <c r="F4301" s="1" t="str">
        <f t="shared" si="8327"/>
        <v>0</v>
      </c>
      <c r="G4301" s="1" t="str">
        <f t="shared" si="8327"/>
        <v>0</v>
      </c>
      <c r="H4301" s="1" t="str">
        <f t="shared" si="8327"/>
        <v>0</v>
      </c>
      <c r="I4301" s="1" t="str">
        <f t="shared" si="8327"/>
        <v>0</v>
      </c>
      <c r="J4301" s="1" t="str">
        <f t="shared" si="8327"/>
        <v>0</v>
      </c>
      <c r="K4301" s="1" t="str">
        <f t="shared" si="8327"/>
        <v>0</v>
      </c>
      <c r="L4301" s="1" t="str">
        <f t="shared" si="8327"/>
        <v>0</v>
      </c>
      <c r="M4301" s="1" t="str">
        <f t="shared" si="8327"/>
        <v>0</v>
      </c>
      <c r="N4301" s="1" t="str">
        <f t="shared" si="8327"/>
        <v>0</v>
      </c>
      <c r="O4301" s="1" t="str">
        <f t="shared" si="8327"/>
        <v>0</v>
      </c>
      <c r="P4301" s="1" t="str">
        <f t="shared" si="8327"/>
        <v>0</v>
      </c>
      <c r="Q4301" s="1" t="str">
        <f t="shared" si="8314"/>
        <v>0.0070</v>
      </c>
      <c r="R4301" s="1" t="s">
        <v>25</v>
      </c>
      <c r="T4301" s="1" t="str">
        <f t="shared" si="8315"/>
        <v>0</v>
      </c>
      <c r="U4301" s="1" t="str">
        <f t="shared" si="8323"/>
        <v>0.0070</v>
      </c>
    </row>
    <row r="4302" s="1" customFormat="1" spans="1:21">
      <c r="A4302" s="1" t="str">
        <f>"4601992099827"</f>
        <v>4601992099827</v>
      </c>
      <c r="B4302" s="1" t="s">
        <v>4325</v>
      </c>
      <c r="C4302" s="1" t="s">
        <v>24</v>
      </c>
      <c r="D4302" s="1" t="str">
        <f t="shared" si="8312"/>
        <v>2021</v>
      </c>
      <c r="E4302" s="1" t="str">
        <f t="shared" ref="E4302:P4302" si="8328">"0"</f>
        <v>0</v>
      </c>
      <c r="F4302" s="1" t="str">
        <f t="shared" si="8328"/>
        <v>0</v>
      </c>
      <c r="G4302" s="1" t="str">
        <f t="shared" si="8328"/>
        <v>0</v>
      </c>
      <c r="H4302" s="1" t="str">
        <f t="shared" si="8328"/>
        <v>0</v>
      </c>
      <c r="I4302" s="1" t="str">
        <f t="shared" si="8328"/>
        <v>0</v>
      </c>
      <c r="J4302" s="1" t="str">
        <f t="shared" si="8328"/>
        <v>0</v>
      </c>
      <c r="K4302" s="1" t="str">
        <f t="shared" si="8328"/>
        <v>0</v>
      </c>
      <c r="L4302" s="1" t="str">
        <f t="shared" si="8328"/>
        <v>0</v>
      </c>
      <c r="M4302" s="1" t="str">
        <f t="shared" si="8328"/>
        <v>0</v>
      </c>
      <c r="N4302" s="1" t="str">
        <f t="shared" si="8328"/>
        <v>0</v>
      </c>
      <c r="O4302" s="1" t="str">
        <f t="shared" si="8328"/>
        <v>0</v>
      </c>
      <c r="P4302" s="1" t="str">
        <f t="shared" si="8328"/>
        <v>0</v>
      </c>
      <c r="Q4302" s="1" t="str">
        <f t="shared" si="8314"/>
        <v>0.0070</v>
      </c>
      <c r="R4302" s="1" t="s">
        <v>25</v>
      </c>
      <c r="T4302" s="1" t="str">
        <f t="shared" si="8315"/>
        <v>0</v>
      </c>
      <c r="U4302" s="1" t="str">
        <f t="shared" si="8323"/>
        <v>0.0070</v>
      </c>
    </row>
    <row r="4303" s="1" customFormat="1" spans="1:21">
      <c r="A4303" s="1" t="str">
        <f>"4601992099878"</f>
        <v>4601992099878</v>
      </c>
      <c r="B4303" s="1" t="s">
        <v>4326</v>
      </c>
      <c r="C4303" s="1" t="s">
        <v>24</v>
      </c>
      <c r="D4303" s="1" t="str">
        <f t="shared" si="8312"/>
        <v>2021</v>
      </c>
      <c r="E4303" s="1" t="str">
        <f t="shared" ref="E4303:P4303" si="8329">"0"</f>
        <v>0</v>
      </c>
      <c r="F4303" s="1" t="str">
        <f t="shared" si="8329"/>
        <v>0</v>
      </c>
      <c r="G4303" s="1" t="str">
        <f t="shared" si="8329"/>
        <v>0</v>
      </c>
      <c r="H4303" s="1" t="str">
        <f t="shared" si="8329"/>
        <v>0</v>
      </c>
      <c r="I4303" s="1" t="str">
        <f t="shared" si="8329"/>
        <v>0</v>
      </c>
      <c r="J4303" s="1" t="str">
        <f t="shared" si="8329"/>
        <v>0</v>
      </c>
      <c r="K4303" s="1" t="str">
        <f t="shared" si="8329"/>
        <v>0</v>
      </c>
      <c r="L4303" s="1" t="str">
        <f t="shared" si="8329"/>
        <v>0</v>
      </c>
      <c r="M4303" s="1" t="str">
        <f t="shared" si="8329"/>
        <v>0</v>
      </c>
      <c r="N4303" s="1" t="str">
        <f t="shared" si="8329"/>
        <v>0</v>
      </c>
      <c r="O4303" s="1" t="str">
        <f t="shared" si="8329"/>
        <v>0</v>
      </c>
      <c r="P4303" s="1" t="str">
        <f t="shared" si="8329"/>
        <v>0</v>
      </c>
      <c r="Q4303" s="1" t="str">
        <f t="shared" si="8314"/>
        <v>0.0070</v>
      </c>
      <c r="R4303" s="1" t="s">
        <v>25</v>
      </c>
      <c r="T4303" s="1" t="str">
        <f t="shared" si="8315"/>
        <v>0</v>
      </c>
      <c r="U4303" s="1" t="str">
        <f t="shared" si="8323"/>
        <v>0.0070</v>
      </c>
    </row>
    <row r="4304" s="1" customFormat="1" spans="1:21">
      <c r="A4304" s="1" t="str">
        <f>"4601992099968"</f>
        <v>4601992099968</v>
      </c>
      <c r="B4304" s="1" t="s">
        <v>4327</v>
      </c>
      <c r="C4304" s="1" t="s">
        <v>24</v>
      </c>
      <c r="D4304" s="1" t="str">
        <f t="shared" si="8312"/>
        <v>2021</v>
      </c>
      <c r="E4304" s="1" t="str">
        <f t="shared" ref="E4304:P4304" si="8330">"0"</f>
        <v>0</v>
      </c>
      <c r="F4304" s="1" t="str">
        <f t="shared" si="8330"/>
        <v>0</v>
      </c>
      <c r="G4304" s="1" t="str">
        <f t="shared" si="8330"/>
        <v>0</v>
      </c>
      <c r="H4304" s="1" t="str">
        <f t="shared" si="8330"/>
        <v>0</v>
      </c>
      <c r="I4304" s="1" t="str">
        <f t="shared" si="8330"/>
        <v>0</v>
      </c>
      <c r="J4304" s="1" t="str">
        <f t="shared" si="8330"/>
        <v>0</v>
      </c>
      <c r="K4304" s="1" t="str">
        <f t="shared" si="8330"/>
        <v>0</v>
      </c>
      <c r="L4304" s="1" t="str">
        <f t="shared" si="8330"/>
        <v>0</v>
      </c>
      <c r="M4304" s="1" t="str">
        <f t="shared" si="8330"/>
        <v>0</v>
      </c>
      <c r="N4304" s="1" t="str">
        <f t="shared" si="8330"/>
        <v>0</v>
      </c>
      <c r="O4304" s="1" t="str">
        <f t="shared" si="8330"/>
        <v>0</v>
      </c>
      <c r="P4304" s="1" t="str">
        <f t="shared" si="8330"/>
        <v>0</v>
      </c>
      <c r="Q4304" s="1" t="str">
        <f t="shared" si="8314"/>
        <v>0.0070</v>
      </c>
      <c r="R4304" s="1" t="s">
        <v>25</v>
      </c>
      <c r="T4304" s="1" t="str">
        <f t="shared" si="8315"/>
        <v>0</v>
      </c>
      <c r="U4304" s="1" t="str">
        <f t="shared" si="8323"/>
        <v>0.0070</v>
      </c>
    </row>
    <row r="4305" s="1" customFormat="1" spans="1:21">
      <c r="A4305" s="1" t="str">
        <f>"4601992100247"</f>
        <v>4601992100247</v>
      </c>
      <c r="B4305" s="1" t="s">
        <v>4328</v>
      </c>
      <c r="C4305" s="1" t="s">
        <v>24</v>
      </c>
      <c r="D4305" s="1" t="str">
        <f t="shared" si="8312"/>
        <v>2021</v>
      </c>
      <c r="E4305" s="1" t="str">
        <f t="shared" ref="E4305:P4305" si="8331">"0"</f>
        <v>0</v>
      </c>
      <c r="F4305" s="1" t="str">
        <f t="shared" si="8331"/>
        <v>0</v>
      </c>
      <c r="G4305" s="1" t="str">
        <f t="shared" si="8331"/>
        <v>0</v>
      </c>
      <c r="H4305" s="1" t="str">
        <f t="shared" si="8331"/>
        <v>0</v>
      </c>
      <c r="I4305" s="1" t="str">
        <f t="shared" si="8331"/>
        <v>0</v>
      </c>
      <c r="J4305" s="1" t="str">
        <f t="shared" si="8331"/>
        <v>0</v>
      </c>
      <c r="K4305" s="1" t="str">
        <f t="shared" si="8331"/>
        <v>0</v>
      </c>
      <c r="L4305" s="1" t="str">
        <f t="shared" si="8331"/>
        <v>0</v>
      </c>
      <c r="M4305" s="1" t="str">
        <f t="shared" si="8331"/>
        <v>0</v>
      </c>
      <c r="N4305" s="1" t="str">
        <f t="shared" si="8331"/>
        <v>0</v>
      </c>
      <c r="O4305" s="1" t="str">
        <f t="shared" si="8331"/>
        <v>0</v>
      </c>
      <c r="P4305" s="1" t="str">
        <f t="shared" si="8331"/>
        <v>0</v>
      </c>
      <c r="Q4305" s="1" t="str">
        <f t="shared" si="8314"/>
        <v>0.0070</v>
      </c>
      <c r="R4305" s="1" t="s">
        <v>25</v>
      </c>
      <c r="T4305" s="1" t="str">
        <f t="shared" si="8315"/>
        <v>0</v>
      </c>
      <c r="U4305" s="1" t="str">
        <f t="shared" si="8323"/>
        <v>0.0070</v>
      </c>
    </row>
    <row r="4306" s="1" customFormat="1" spans="1:21">
      <c r="A4306" s="1" t="str">
        <f>"4601992100256"</f>
        <v>4601992100256</v>
      </c>
      <c r="B4306" s="1" t="s">
        <v>4329</v>
      </c>
      <c r="C4306" s="1" t="s">
        <v>24</v>
      </c>
      <c r="D4306" s="1" t="str">
        <f t="shared" si="8312"/>
        <v>2021</v>
      </c>
      <c r="E4306" s="1" t="str">
        <f t="shared" ref="E4306:P4306" si="8332">"0"</f>
        <v>0</v>
      </c>
      <c r="F4306" s="1" t="str">
        <f t="shared" si="8332"/>
        <v>0</v>
      </c>
      <c r="G4306" s="1" t="str">
        <f t="shared" si="8332"/>
        <v>0</v>
      </c>
      <c r="H4306" s="1" t="str">
        <f t="shared" si="8332"/>
        <v>0</v>
      </c>
      <c r="I4306" s="1" t="str">
        <f t="shared" si="8332"/>
        <v>0</v>
      </c>
      <c r="J4306" s="1" t="str">
        <f t="shared" si="8332"/>
        <v>0</v>
      </c>
      <c r="K4306" s="1" t="str">
        <f t="shared" si="8332"/>
        <v>0</v>
      </c>
      <c r="L4306" s="1" t="str">
        <f t="shared" si="8332"/>
        <v>0</v>
      </c>
      <c r="M4306" s="1" t="str">
        <f t="shared" si="8332"/>
        <v>0</v>
      </c>
      <c r="N4306" s="1" t="str">
        <f t="shared" si="8332"/>
        <v>0</v>
      </c>
      <c r="O4306" s="1" t="str">
        <f t="shared" si="8332"/>
        <v>0</v>
      </c>
      <c r="P4306" s="1" t="str">
        <f t="shared" si="8332"/>
        <v>0</v>
      </c>
      <c r="Q4306" s="1" t="str">
        <f t="shared" si="8314"/>
        <v>0.0070</v>
      </c>
      <c r="R4306" s="1" t="s">
        <v>25</v>
      </c>
      <c r="T4306" s="1" t="str">
        <f t="shared" si="8315"/>
        <v>0</v>
      </c>
      <c r="U4306" s="1" t="str">
        <f t="shared" si="8323"/>
        <v>0.0070</v>
      </c>
    </row>
    <row r="4307" s="1" customFormat="1" spans="1:21">
      <c r="A4307" s="1" t="str">
        <f>"4601992100267"</f>
        <v>4601992100267</v>
      </c>
      <c r="B4307" s="1" t="s">
        <v>4330</v>
      </c>
      <c r="C4307" s="1" t="s">
        <v>24</v>
      </c>
      <c r="D4307" s="1" t="str">
        <f t="shared" si="8312"/>
        <v>2021</v>
      </c>
      <c r="E4307" s="1" t="str">
        <f t="shared" ref="E4307:P4307" si="8333">"0"</f>
        <v>0</v>
      </c>
      <c r="F4307" s="1" t="str">
        <f t="shared" si="8333"/>
        <v>0</v>
      </c>
      <c r="G4307" s="1" t="str">
        <f t="shared" si="8333"/>
        <v>0</v>
      </c>
      <c r="H4307" s="1" t="str">
        <f t="shared" si="8333"/>
        <v>0</v>
      </c>
      <c r="I4307" s="1" t="str">
        <f t="shared" si="8333"/>
        <v>0</v>
      </c>
      <c r="J4307" s="1" t="str">
        <f t="shared" si="8333"/>
        <v>0</v>
      </c>
      <c r="K4307" s="1" t="str">
        <f t="shared" si="8333"/>
        <v>0</v>
      </c>
      <c r="L4307" s="1" t="str">
        <f t="shared" si="8333"/>
        <v>0</v>
      </c>
      <c r="M4307" s="1" t="str">
        <f t="shared" si="8333"/>
        <v>0</v>
      </c>
      <c r="N4307" s="1" t="str">
        <f t="shared" si="8333"/>
        <v>0</v>
      </c>
      <c r="O4307" s="1" t="str">
        <f t="shared" si="8333"/>
        <v>0</v>
      </c>
      <c r="P4307" s="1" t="str">
        <f t="shared" si="8333"/>
        <v>0</v>
      </c>
      <c r="Q4307" s="1" t="str">
        <f t="shared" si="8314"/>
        <v>0.0070</v>
      </c>
      <c r="R4307" s="1" t="s">
        <v>25</v>
      </c>
      <c r="T4307" s="1" t="str">
        <f t="shared" si="8315"/>
        <v>0</v>
      </c>
      <c r="U4307" s="1" t="str">
        <f t="shared" si="8323"/>
        <v>0.0070</v>
      </c>
    </row>
    <row r="4308" s="1" customFormat="1" spans="1:21">
      <c r="A4308" s="1" t="str">
        <f>"4601992100660"</f>
        <v>4601992100660</v>
      </c>
      <c r="B4308" s="1" t="s">
        <v>4331</v>
      </c>
      <c r="C4308" s="1" t="s">
        <v>24</v>
      </c>
      <c r="D4308" s="1" t="str">
        <f t="shared" si="8312"/>
        <v>2021</v>
      </c>
      <c r="E4308" s="1" t="str">
        <f t="shared" ref="E4308:P4308" si="8334">"0"</f>
        <v>0</v>
      </c>
      <c r="F4308" s="1" t="str">
        <f t="shared" si="8334"/>
        <v>0</v>
      </c>
      <c r="G4308" s="1" t="str">
        <f t="shared" si="8334"/>
        <v>0</v>
      </c>
      <c r="H4308" s="1" t="str">
        <f t="shared" si="8334"/>
        <v>0</v>
      </c>
      <c r="I4308" s="1" t="str">
        <f t="shared" si="8334"/>
        <v>0</v>
      </c>
      <c r="J4308" s="1" t="str">
        <f t="shared" si="8334"/>
        <v>0</v>
      </c>
      <c r="K4308" s="1" t="str">
        <f t="shared" si="8334"/>
        <v>0</v>
      </c>
      <c r="L4308" s="1" t="str">
        <f t="shared" si="8334"/>
        <v>0</v>
      </c>
      <c r="M4308" s="1" t="str">
        <f t="shared" si="8334"/>
        <v>0</v>
      </c>
      <c r="N4308" s="1" t="str">
        <f t="shared" si="8334"/>
        <v>0</v>
      </c>
      <c r="O4308" s="1" t="str">
        <f t="shared" si="8334"/>
        <v>0</v>
      </c>
      <c r="P4308" s="1" t="str">
        <f t="shared" si="8334"/>
        <v>0</v>
      </c>
      <c r="Q4308" s="1" t="str">
        <f t="shared" si="8314"/>
        <v>0.0070</v>
      </c>
      <c r="R4308" s="1" t="s">
        <v>25</v>
      </c>
      <c r="T4308" s="1" t="str">
        <f t="shared" si="8315"/>
        <v>0</v>
      </c>
      <c r="U4308" s="1" t="str">
        <f t="shared" si="8323"/>
        <v>0.0070</v>
      </c>
    </row>
    <row r="4309" s="1" customFormat="1" spans="1:21">
      <c r="A4309" s="1" t="str">
        <f>"4601992100695"</f>
        <v>4601992100695</v>
      </c>
      <c r="B4309" s="1" t="s">
        <v>4332</v>
      </c>
      <c r="C4309" s="1" t="s">
        <v>24</v>
      </c>
      <c r="D4309" s="1" t="str">
        <f t="shared" si="8312"/>
        <v>2021</v>
      </c>
      <c r="E4309" s="1" t="str">
        <f t="shared" ref="E4309:P4309" si="8335">"0"</f>
        <v>0</v>
      </c>
      <c r="F4309" s="1" t="str">
        <f t="shared" si="8335"/>
        <v>0</v>
      </c>
      <c r="G4309" s="1" t="str">
        <f t="shared" si="8335"/>
        <v>0</v>
      </c>
      <c r="H4309" s="1" t="str">
        <f t="shared" si="8335"/>
        <v>0</v>
      </c>
      <c r="I4309" s="1" t="str">
        <f t="shared" si="8335"/>
        <v>0</v>
      </c>
      <c r="J4309" s="1" t="str">
        <f t="shared" si="8335"/>
        <v>0</v>
      </c>
      <c r="K4309" s="1" t="str">
        <f t="shared" si="8335"/>
        <v>0</v>
      </c>
      <c r="L4309" s="1" t="str">
        <f t="shared" si="8335"/>
        <v>0</v>
      </c>
      <c r="M4309" s="1" t="str">
        <f t="shared" si="8335"/>
        <v>0</v>
      </c>
      <c r="N4309" s="1" t="str">
        <f t="shared" si="8335"/>
        <v>0</v>
      </c>
      <c r="O4309" s="1" t="str">
        <f t="shared" si="8335"/>
        <v>0</v>
      </c>
      <c r="P4309" s="1" t="str">
        <f t="shared" si="8335"/>
        <v>0</v>
      </c>
      <c r="Q4309" s="1" t="str">
        <f t="shared" si="8314"/>
        <v>0.0070</v>
      </c>
      <c r="R4309" s="1" t="s">
        <v>25</v>
      </c>
      <c r="T4309" s="1" t="str">
        <f t="shared" si="8315"/>
        <v>0</v>
      </c>
      <c r="U4309" s="1" t="str">
        <f t="shared" si="8323"/>
        <v>0.0070</v>
      </c>
    </row>
    <row r="4310" s="1" customFormat="1" spans="1:21">
      <c r="A4310" s="1" t="str">
        <f>"4601992100703"</f>
        <v>4601992100703</v>
      </c>
      <c r="B4310" s="1" t="s">
        <v>4333</v>
      </c>
      <c r="C4310" s="1" t="s">
        <v>24</v>
      </c>
      <c r="D4310" s="1" t="str">
        <f t="shared" si="8312"/>
        <v>2021</v>
      </c>
      <c r="E4310" s="1" t="str">
        <f t="shared" ref="E4310:P4310" si="8336">"0"</f>
        <v>0</v>
      </c>
      <c r="F4310" s="1" t="str">
        <f t="shared" si="8336"/>
        <v>0</v>
      </c>
      <c r="G4310" s="1" t="str">
        <f t="shared" si="8336"/>
        <v>0</v>
      </c>
      <c r="H4310" s="1" t="str">
        <f t="shared" si="8336"/>
        <v>0</v>
      </c>
      <c r="I4310" s="1" t="str">
        <f t="shared" si="8336"/>
        <v>0</v>
      </c>
      <c r="J4310" s="1" t="str">
        <f t="shared" si="8336"/>
        <v>0</v>
      </c>
      <c r="K4310" s="1" t="str">
        <f t="shared" si="8336"/>
        <v>0</v>
      </c>
      <c r="L4310" s="1" t="str">
        <f t="shared" si="8336"/>
        <v>0</v>
      </c>
      <c r="M4310" s="1" t="str">
        <f t="shared" si="8336"/>
        <v>0</v>
      </c>
      <c r="N4310" s="1" t="str">
        <f t="shared" si="8336"/>
        <v>0</v>
      </c>
      <c r="O4310" s="1" t="str">
        <f t="shared" si="8336"/>
        <v>0</v>
      </c>
      <c r="P4310" s="1" t="str">
        <f t="shared" si="8336"/>
        <v>0</v>
      </c>
      <c r="Q4310" s="1" t="str">
        <f t="shared" si="8314"/>
        <v>0.0070</v>
      </c>
      <c r="R4310" s="1" t="s">
        <v>25</v>
      </c>
      <c r="T4310" s="1" t="str">
        <f t="shared" si="8315"/>
        <v>0</v>
      </c>
      <c r="U4310" s="1" t="str">
        <f t="shared" si="8323"/>
        <v>0.0070</v>
      </c>
    </row>
    <row r="4311" s="1" customFormat="1" spans="1:21">
      <c r="A4311" s="1" t="str">
        <f>"4601992100725"</f>
        <v>4601992100725</v>
      </c>
      <c r="B4311" s="1" t="s">
        <v>4334</v>
      </c>
      <c r="C4311" s="1" t="s">
        <v>24</v>
      </c>
      <c r="D4311" s="1" t="str">
        <f t="shared" si="8312"/>
        <v>2021</v>
      </c>
      <c r="E4311" s="1" t="str">
        <f t="shared" ref="E4311:P4311" si="8337">"0"</f>
        <v>0</v>
      </c>
      <c r="F4311" s="1" t="str">
        <f t="shared" si="8337"/>
        <v>0</v>
      </c>
      <c r="G4311" s="1" t="str">
        <f t="shared" si="8337"/>
        <v>0</v>
      </c>
      <c r="H4311" s="1" t="str">
        <f t="shared" si="8337"/>
        <v>0</v>
      </c>
      <c r="I4311" s="1" t="str">
        <f t="shared" si="8337"/>
        <v>0</v>
      </c>
      <c r="J4311" s="1" t="str">
        <f t="shared" si="8337"/>
        <v>0</v>
      </c>
      <c r="K4311" s="1" t="str">
        <f t="shared" si="8337"/>
        <v>0</v>
      </c>
      <c r="L4311" s="1" t="str">
        <f t="shared" si="8337"/>
        <v>0</v>
      </c>
      <c r="M4311" s="1" t="str">
        <f t="shared" si="8337"/>
        <v>0</v>
      </c>
      <c r="N4311" s="1" t="str">
        <f t="shared" si="8337"/>
        <v>0</v>
      </c>
      <c r="O4311" s="1" t="str">
        <f t="shared" si="8337"/>
        <v>0</v>
      </c>
      <c r="P4311" s="1" t="str">
        <f t="shared" si="8337"/>
        <v>0</v>
      </c>
      <c r="Q4311" s="1" t="str">
        <f t="shared" si="8314"/>
        <v>0.0070</v>
      </c>
      <c r="R4311" s="1" t="s">
        <v>25</v>
      </c>
      <c r="T4311" s="1" t="str">
        <f t="shared" si="8315"/>
        <v>0</v>
      </c>
      <c r="U4311" s="1" t="str">
        <f t="shared" si="8323"/>
        <v>0.0070</v>
      </c>
    </row>
    <row r="4312" s="1" customFormat="1" spans="1:21">
      <c r="A4312" s="1" t="str">
        <f>"4601992100729"</f>
        <v>4601992100729</v>
      </c>
      <c r="B4312" s="1" t="s">
        <v>4335</v>
      </c>
      <c r="C4312" s="1" t="s">
        <v>24</v>
      </c>
      <c r="D4312" s="1" t="str">
        <f t="shared" si="8312"/>
        <v>2021</v>
      </c>
      <c r="E4312" s="1" t="str">
        <f t="shared" ref="E4312:P4312" si="8338">"0"</f>
        <v>0</v>
      </c>
      <c r="F4312" s="1" t="str">
        <f t="shared" si="8338"/>
        <v>0</v>
      </c>
      <c r="G4312" s="1" t="str">
        <f t="shared" si="8338"/>
        <v>0</v>
      </c>
      <c r="H4312" s="1" t="str">
        <f t="shared" si="8338"/>
        <v>0</v>
      </c>
      <c r="I4312" s="1" t="str">
        <f t="shared" si="8338"/>
        <v>0</v>
      </c>
      <c r="J4312" s="1" t="str">
        <f t="shared" si="8338"/>
        <v>0</v>
      </c>
      <c r="K4312" s="1" t="str">
        <f t="shared" si="8338"/>
        <v>0</v>
      </c>
      <c r="L4312" s="1" t="str">
        <f t="shared" si="8338"/>
        <v>0</v>
      </c>
      <c r="M4312" s="1" t="str">
        <f t="shared" si="8338"/>
        <v>0</v>
      </c>
      <c r="N4312" s="1" t="str">
        <f t="shared" si="8338"/>
        <v>0</v>
      </c>
      <c r="O4312" s="1" t="str">
        <f t="shared" si="8338"/>
        <v>0</v>
      </c>
      <c r="P4312" s="1" t="str">
        <f t="shared" si="8338"/>
        <v>0</v>
      </c>
      <c r="Q4312" s="1" t="str">
        <f t="shared" si="8314"/>
        <v>0.0070</v>
      </c>
      <c r="R4312" s="1" t="s">
        <v>25</v>
      </c>
      <c r="T4312" s="1" t="str">
        <f t="shared" si="8315"/>
        <v>0</v>
      </c>
      <c r="U4312" s="1" t="str">
        <f t="shared" si="8323"/>
        <v>0.0070</v>
      </c>
    </row>
    <row r="4313" s="1" customFormat="1" spans="1:21">
      <c r="A4313" s="1" t="str">
        <f>"4601992100799"</f>
        <v>4601992100799</v>
      </c>
      <c r="B4313" s="1" t="s">
        <v>4336</v>
      </c>
      <c r="C4313" s="1" t="s">
        <v>24</v>
      </c>
      <c r="D4313" s="1" t="str">
        <f t="shared" si="8312"/>
        <v>2021</v>
      </c>
      <c r="E4313" s="1" t="str">
        <f t="shared" ref="E4313:P4313" si="8339">"0"</f>
        <v>0</v>
      </c>
      <c r="F4313" s="1" t="str">
        <f t="shared" si="8339"/>
        <v>0</v>
      </c>
      <c r="G4313" s="1" t="str">
        <f t="shared" si="8339"/>
        <v>0</v>
      </c>
      <c r="H4313" s="1" t="str">
        <f t="shared" si="8339"/>
        <v>0</v>
      </c>
      <c r="I4313" s="1" t="str">
        <f t="shared" si="8339"/>
        <v>0</v>
      </c>
      <c r="J4313" s="1" t="str">
        <f t="shared" si="8339"/>
        <v>0</v>
      </c>
      <c r="K4313" s="1" t="str">
        <f t="shared" si="8339"/>
        <v>0</v>
      </c>
      <c r="L4313" s="1" t="str">
        <f t="shared" si="8339"/>
        <v>0</v>
      </c>
      <c r="M4313" s="1" t="str">
        <f t="shared" si="8339"/>
        <v>0</v>
      </c>
      <c r="N4313" s="1" t="str">
        <f t="shared" si="8339"/>
        <v>0</v>
      </c>
      <c r="O4313" s="1" t="str">
        <f t="shared" si="8339"/>
        <v>0</v>
      </c>
      <c r="P4313" s="1" t="str">
        <f t="shared" si="8339"/>
        <v>0</v>
      </c>
      <c r="Q4313" s="1" t="str">
        <f t="shared" si="8314"/>
        <v>0.0070</v>
      </c>
      <c r="R4313" s="1" t="s">
        <v>25</v>
      </c>
      <c r="T4313" s="1" t="str">
        <f t="shared" si="8315"/>
        <v>0</v>
      </c>
      <c r="U4313" s="1" t="str">
        <f t="shared" si="8323"/>
        <v>0.0070</v>
      </c>
    </row>
    <row r="4314" s="1" customFormat="1" spans="1:21">
      <c r="A4314" s="1" t="str">
        <f>"4601992100761"</f>
        <v>4601992100761</v>
      </c>
      <c r="B4314" s="1" t="s">
        <v>4337</v>
      </c>
      <c r="C4314" s="1" t="s">
        <v>24</v>
      </c>
      <c r="D4314" s="1" t="str">
        <f t="shared" si="8312"/>
        <v>2021</v>
      </c>
      <c r="E4314" s="1" t="str">
        <f t="shared" ref="E4314:P4314" si="8340">"0"</f>
        <v>0</v>
      </c>
      <c r="F4314" s="1" t="str">
        <f t="shared" si="8340"/>
        <v>0</v>
      </c>
      <c r="G4314" s="1" t="str">
        <f t="shared" si="8340"/>
        <v>0</v>
      </c>
      <c r="H4314" s="1" t="str">
        <f t="shared" si="8340"/>
        <v>0</v>
      </c>
      <c r="I4314" s="1" t="str">
        <f t="shared" si="8340"/>
        <v>0</v>
      </c>
      <c r="J4314" s="1" t="str">
        <f t="shared" si="8340"/>
        <v>0</v>
      </c>
      <c r="K4314" s="1" t="str">
        <f t="shared" si="8340"/>
        <v>0</v>
      </c>
      <c r="L4314" s="1" t="str">
        <f t="shared" si="8340"/>
        <v>0</v>
      </c>
      <c r="M4314" s="1" t="str">
        <f t="shared" si="8340"/>
        <v>0</v>
      </c>
      <c r="N4314" s="1" t="str">
        <f t="shared" si="8340"/>
        <v>0</v>
      </c>
      <c r="O4314" s="1" t="str">
        <f t="shared" si="8340"/>
        <v>0</v>
      </c>
      <c r="P4314" s="1" t="str">
        <f t="shared" si="8340"/>
        <v>0</v>
      </c>
      <c r="Q4314" s="1" t="str">
        <f t="shared" si="8314"/>
        <v>0.0070</v>
      </c>
      <c r="R4314" s="1" t="s">
        <v>25</v>
      </c>
      <c r="T4314" s="1" t="str">
        <f t="shared" si="8315"/>
        <v>0</v>
      </c>
      <c r="U4314" s="1" t="str">
        <f t="shared" si="8323"/>
        <v>0.0070</v>
      </c>
    </row>
    <row r="4315" s="1" customFormat="1" spans="1:21">
      <c r="A4315" s="1" t="str">
        <f>"4601992100833"</f>
        <v>4601992100833</v>
      </c>
      <c r="B4315" s="1" t="s">
        <v>4338</v>
      </c>
      <c r="C4315" s="1" t="s">
        <v>24</v>
      </c>
      <c r="D4315" s="1" t="str">
        <f t="shared" si="8312"/>
        <v>2021</v>
      </c>
      <c r="E4315" s="1" t="str">
        <f t="shared" ref="E4315:P4315" si="8341">"0"</f>
        <v>0</v>
      </c>
      <c r="F4315" s="1" t="str">
        <f t="shared" si="8341"/>
        <v>0</v>
      </c>
      <c r="G4315" s="1" t="str">
        <f t="shared" si="8341"/>
        <v>0</v>
      </c>
      <c r="H4315" s="1" t="str">
        <f t="shared" si="8341"/>
        <v>0</v>
      </c>
      <c r="I4315" s="1" t="str">
        <f t="shared" si="8341"/>
        <v>0</v>
      </c>
      <c r="J4315" s="1" t="str">
        <f t="shared" si="8341"/>
        <v>0</v>
      </c>
      <c r="K4315" s="1" t="str">
        <f t="shared" si="8341"/>
        <v>0</v>
      </c>
      <c r="L4315" s="1" t="str">
        <f t="shared" si="8341"/>
        <v>0</v>
      </c>
      <c r="M4315" s="1" t="str">
        <f t="shared" si="8341"/>
        <v>0</v>
      </c>
      <c r="N4315" s="1" t="str">
        <f t="shared" si="8341"/>
        <v>0</v>
      </c>
      <c r="O4315" s="1" t="str">
        <f t="shared" si="8341"/>
        <v>0</v>
      </c>
      <c r="P4315" s="1" t="str">
        <f t="shared" si="8341"/>
        <v>0</v>
      </c>
      <c r="Q4315" s="1" t="str">
        <f t="shared" si="8314"/>
        <v>0.0070</v>
      </c>
      <c r="R4315" s="1" t="s">
        <v>25</v>
      </c>
      <c r="T4315" s="1" t="str">
        <f t="shared" si="8315"/>
        <v>0</v>
      </c>
      <c r="U4315" s="1" t="str">
        <f t="shared" si="8323"/>
        <v>0.0070</v>
      </c>
    </row>
    <row r="4316" s="1" customFormat="1" spans="1:21">
      <c r="A4316" s="1" t="str">
        <f>"4601992101035"</f>
        <v>4601992101035</v>
      </c>
      <c r="B4316" s="1" t="s">
        <v>4339</v>
      </c>
      <c r="C4316" s="1" t="s">
        <v>24</v>
      </c>
      <c r="D4316" s="1" t="str">
        <f t="shared" si="8312"/>
        <v>2021</v>
      </c>
      <c r="E4316" s="1" t="str">
        <f t="shared" ref="E4316:P4316" si="8342">"0"</f>
        <v>0</v>
      </c>
      <c r="F4316" s="1" t="str">
        <f t="shared" si="8342"/>
        <v>0</v>
      </c>
      <c r="G4316" s="1" t="str">
        <f t="shared" si="8342"/>
        <v>0</v>
      </c>
      <c r="H4316" s="1" t="str">
        <f t="shared" si="8342"/>
        <v>0</v>
      </c>
      <c r="I4316" s="1" t="str">
        <f t="shared" si="8342"/>
        <v>0</v>
      </c>
      <c r="J4316" s="1" t="str">
        <f t="shared" si="8342"/>
        <v>0</v>
      </c>
      <c r="K4316" s="1" t="str">
        <f t="shared" si="8342"/>
        <v>0</v>
      </c>
      <c r="L4316" s="1" t="str">
        <f t="shared" si="8342"/>
        <v>0</v>
      </c>
      <c r="M4316" s="1" t="str">
        <f t="shared" si="8342"/>
        <v>0</v>
      </c>
      <c r="N4316" s="1" t="str">
        <f t="shared" si="8342"/>
        <v>0</v>
      </c>
      <c r="O4316" s="1" t="str">
        <f t="shared" si="8342"/>
        <v>0</v>
      </c>
      <c r="P4316" s="1" t="str">
        <f t="shared" si="8342"/>
        <v>0</v>
      </c>
      <c r="Q4316" s="1" t="str">
        <f t="shared" si="8314"/>
        <v>0.0070</v>
      </c>
      <c r="R4316" s="1" t="s">
        <v>25</v>
      </c>
      <c r="T4316" s="1" t="str">
        <f t="shared" si="8315"/>
        <v>0</v>
      </c>
      <c r="U4316" s="1" t="str">
        <f t="shared" si="8323"/>
        <v>0.0070</v>
      </c>
    </row>
    <row r="4317" s="1" customFormat="1" spans="1:21">
      <c r="A4317" s="1" t="str">
        <f>"4601992100902"</f>
        <v>4601992100902</v>
      </c>
      <c r="B4317" s="1" t="s">
        <v>4340</v>
      </c>
      <c r="C4317" s="1" t="s">
        <v>24</v>
      </c>
      <c r="D4317" s="1" t="str">
        <f t="shared" si="8312"/>
        <v>2021</v>
      </c>
      <c r="E4317" s="1" t="str">
        <f t="shared" ref="E4317:P4317" si="8343">"0"</f>
        <v>0</v>
      </c>
      <c r="F4317" s="1" t="str">
        <f t="shared" si="8343"/>
        <v>0</v>
      </c>
      <c r="G4317" s="1" t="str">
        <f t="shared" si="8343"/>
        <v>0</v>
      </c>
      <c r="H4317" s="1" t="str">
        <f t="shared" si="8343"/>
        <v>0</v>
      </c>
      <c r="I4317" s="1" t="str">
        <f t="shared" si="8343"/>
        <v>0</v>
      </c>
      <c r="J4317" s="1" t="str">
        <f t="shared" si="8343"/>
        <v>0</v>
      </c>
      <c r="K4317" s="1" t="str">
        <f t="shared" si="8343"/>
        <v>0</v>
      </c>
      <c r="L4317" s="1" t="str">
        <f t="shared" si="8343"/>
        <v>0</v>
      </c>
      <c r="M4317" s="1" t="str">
        <f t="shared" si="8343"/>
        <v>0</v>
      </c>
      <c r="N4317" s="1" t="str">
        <f t="shared" si="8343"/>
        <v>0</v>
      </c>
      <c r="O4317" s="1" t="str">
        <f t="shared" si="8343"/>
        <v>0</v>
      </c>
      <c r="P4317" s="1" t="str">
        <f t="shared" si="8343"/>
        <v>0</v>
      </c>
      <c r="Q4317" s="1" t="str">
        <f t="shared" si="8314"/>
        <v>0.0070</v>
      </c>
      <c r="R4317" s="1" t="s">
        <v>25</v>
      </c>
      <c r="T4317" s="1" t="str">
        <f t="shared" si="8315"/>
        <v>0</v>
      </c>
      <c r="U4317" s="1" t="str">
        <f t="shared" si="8323"/>
        <v>0.0070</v>
      </c>
    </row>
    <row r="4318" s="1" customFormat="1" spans="1:21">
      <c r="A4318" s="1" t="str">
        <f>"4601992100934"</f>
        <v>4601992100934</v>
      </c>
      <c r="B4318" s="1" t="s">
        <v>4341</v>
      </c>
      <c r="C4318" s="1" t="s">
        <v>24</v>
      </c>
      <c r="D4318" s="1" t="str">
        <f t="shared" si="8312"/>
        <v>2021</v>
      </c>
      <c r="E4318" s="1" t="str">
        <f t="shared" ref="E4318:P4318" si="8344">"0"</f>
        <v>0</v>
      </c>
      <c r="F4318" s="1" t="str">
        <f t="shared" si="8344"/>
        <v>0</v>
      </c>
      <c r="G4318" s="1" t="str">
        <f t="shared" si="8344"/>
        <v>0</v>
      </c>
      <c r="H4318" s="1" t="str">
        <f t="shared" si="8344"/>
        <v>0</v>
      </c>
      <c r="I4318" s="1" t="str">
        <f t="shared" si="8344"/>
        <v>0</v>
      </c>
      <c r="J4318" s="1" t="str">
        <f t="shared" si="8344"/>
        <v>0</v>
      </c>
      <c r="K4318" s="1" t="str">
        <f t="shared" si="8344"/>
        <v>0</v>
      </c>
      <c r="L4318" s="1" t="str">
        <f t="shared" si="8344"/>
        <v>0</v>
      </c>
      <c r="M4318" s="1" t="str">
        <f t="shared" si="8344"/>
        <v>0</v>
      </c>
      <c r="N4318" s="1" t="str">
        <f t="shared" si="8344"/>
        <v>0</v>
      </c>
      <c r="O4318" s="1" t="str">
        <f t="shared" si="8344"/>
        <v>0</v>
      </c>
      <c r="P4318" s="1" t="str">
        <f t="shared" si="8344"/>
        <v>0</v>
      </c>
      <c r="Q4318" s="1" t="str">
        <f t="shared" si="8314"/>
        <v>0.0070</v>
      </c>
      <c r="R4318" s="1" t="s">
        <v>25</v>
      </c>
      <c r="T4318" s="1" t="str">
        <f t="shared" si="8315"/>
        <v>0</v>
      </c>
      <c r="U4318" s="1" t="str">
        <f t="shared" si="8323"/>
        <v>0.0070</v>
      </c>
    </row>
    <row r="4319" s="1" customFormat="1" spans="1:21">
      <c r="A4319" s="1" t="str">
        <f>"4601992101040"</f>
        <v>4601992101040</v>
      </c>
      <c r="B4319" s="1" t="s">
        <v>4342</v>
      </c>
      <c r="C4319" s="1" t="s">
        <v>24</v>
      </c>
      <c r="D4319" s="1" t="str">
        <f t="shared" si="8312"/>
        <v>2021</v>
      </c>
      <c r="E4319" s="1" t="str">
        <f t="shared" ref="E4319:P4319" si="8345">"0"</f>
        <v>0</v>
      </c>
      <c r="F4319" s="1" t="str">
        <f t="shared" si="8345"/>
        <v>0</v>
      </c>
      <c r="G4319" s="1" t="str">
        <f t="shared" si="8345"/>
        <v>0</v>
      </c>
      <c r="H4319" s="1" t="str">
        <f t="shared" si="8345"/>
        <v>0</v>
      </c>
      <c r="I4319" s="1" t="str">
        <f t="shared" si="8345"/>
        <v>0</v>
      </c>
      <c r="J4319" s="1" t="str">
        <f t="shared" si="8345"/>
        <v>0</v>
      </c>
      <c r="K4319" s="1" t="str">
        <f t="shared" si="8345"/>
        <v>0</v>
      </c>
      <c r="L4319" s="1" t="str">
        <f t="shared" si="8345"/>
        <v>0</v>
      </c>
      <c r="M4319" s="1" t="str">
        <f t="shared" si="8345"/>
        <v>0</v>
      </c>
      <c r="N4319" s="1" t="str">
        <f t="shared" si="8345"/>
        <v>0</v>
      </c>
      <c r="O4319" s="1" t="str">
        <f t="shared" si="8345"/>
        <v>0</v>
      </c>
      <c r="P4319" s="1" t="str">
        <f t="shared" si="8345"/>
        <v>0</v>
      </c>
      <c r="Q4319" s="1" t="str">
        <f t="shared" si="8314"/>
        <v>0.0070</v>
      </c>
      <c r="R4319" s="1" t="s">
        <v>25</v>
      </c>
      <c r="T4319" s="1" t="str">
        <f t="shared" si="8315"/>
        <v>0</v>
      </c>
      <c r="U4319" s="1" t="str">
        <f t="shared" si="8323"/>
        <v>0.0070</v>
      </c>
    </row>
    <row r="4320" s="1" customFormat="1" spans="1:21">
      <c r="A4320" s="1" t="str">
        <f>"4601992101152"</f>
        <v>4601992101152</v>
      </c>
      <c r="B4320" s="1" t="s">
        <v>4343</v>
      </c>
      <c r="C4320" s="1" t="s">
        <v>24</v>
      </c>
      <c r="D4320" s="1" t="str">
        <f t="shared" si="8312"/>
        <v>2021</v>
      </c>
      <c r="E4320" s="1" t="str">
        <f t="shared" ref="E4320:P4320" si="8346">"0"</f>
        <v>0</v>
      </c>
      <c r="F4320" s="1" t="str">
        <f t="shared" si="8346"/>
        <v>0</v>
      </c>
      <c r="G4320" s="1" t="str">
        <f t="shared" si="8346"/>
        <v>0</v>
      </c>
      <c r="H4320" s="1" t="str">
        <f t="shared" si="8346"/>
        <v>0</v>
      </c>
      <c r="I4320" s="1" t="str">
        <f t="shared" si="8346"/>
        <v>0</v>
      </c>
      <c r="J4320" s="1" t="str">
        <f t="shared" si="8346"/>
        <v>0</v>
      </c>
      <c r="K4320" s="1" t="str">
        <f t="shared" si="8346"/>
        <v>0</v>
      </c>
      <c r="L4320" s="1" t="str">
        <f t="shared" si="8346"/>
        <v>0</v>
      </c>
      <c r="M4320" s="1" t="str">
        <f t="shared" si="8346"/>
        <v>0</v>
      </c>
      <c r="N4320" s="1" t="str">
        <f t="shared" si="8346"/>
        <v>0</v>
      </c>
      <c r="O4320" s="1" t="str">
        <f t="shared" si="8346"/>
        <v>0</v>
      </c>
      <c r="P4320" s="1" t="str">
        <f t="shared" si="8346"/>
        <v>0</v>
      </c>
      <c r="Q4320" s="1" t="str">
        <f t="shared" si="8314"/>
        <v>0.0070</v>
      </c>
      <c r="R4320" s="1" t="s">
        <v>25</v>
      </c>
      <c r="T4320" s="1" t="str">
        <f t="shared" si="8315"/>
        <v>0</v>
      </c>
      <c r="U4320" s="1" t="str">
        <f t="shared" si="8323"/>
        <v>0.0070</v>
      </c>
    </row>
    <row r="4321" s="1" customFormat="1" spans="1:21">
      <c r="A4321" s="1" t="str">
        <f>"4601992101317"</f>
        <v>4601992101317</v>
      </c>
      <c r="B4321" s="1" t="s">
        <v>4344</v>
      </c>
      <c r="C4321" s="1" t="s">
        <v>24</v>
      </c>
      <c r="D4321" s="1" t="str">
        <f t="shared" si="8312"/>
        <v>2021</v>
      </c>
      <c r="E4321" s="1" t="str">
        <f t="shared" ref="E4321:P4321" si="8347">"0"</f>
        <v>0</v>
      </c>
      <c r="F4321" s="1" t="str">
        <f t="shared" si="8347"/>
        <v>0</v>
      </c>
      <c r="G4321" s="1" t="str">
        <f t="shared" si="8347"/>
        <v>0</v>
      </c>
      <c r="H4321" s="1" t="str">
        <f t="shared" si="8347"/>
        <v>0</v>
      </c>
      <c r="I4321" s="1" t="str">
        <f t="shared" si="8347"/>
        <v>0</v>
      </c>
      <c r="J4321" s="1" t="str">
        <f t="shared" si="8347"/>
        <v>0</v>
      </c>
      <c r="K4321" s="1" t="str">
        <f t="shared" si="8347"/>
        <v>0</v>
      </c>
      <c r="L4321" s="1" t="str">
        <f t="shared" si="8347"/>
        <v>0</v>
      </c>
      <c r="M4321" s="1" t="str">
        <f t="shared" si="8347"/>
        <v>0</v>
      </c>
      <c r="N4321" s="1" t="str">
        <f t="shared" si="8347"/>
        <v>0</v>
      </c>
      <c r="O4321" s="1" t="str">
        <f t="shared" si="8347"/>
        <v>0</v>
      </c>
      <c r="P4321" s="1" t="str">
        <f t="shared" si="8347"/>
        <v>0</v>
      </c>
      <c r="Q4321" s="1" t="str">
        <f t="shared" si="8314"/>
        <v>0.0070</v>
      </c>
      <c r="R4321" s="1" t="s">
        <v>25</v>
      </c>
      <c r="T4321" s="1" t="str">
        <f t="shared" si="8315"/>
        <v>0</v>
      </c>
      <c r="U4321" s="1" t="str">
        <f t="shared" si="8323"/>
        <v>0.0070</v>
      </c>
    </row>
    <row r="4322" s="1" customFormat="1" spans="1:21">
      <c r="A4322" s="1" t="str">
        <f>"4601992101076"</f>
        <v>4601992101076</v>
      </c>
      <c r="B4322" s="1" t="s">
        <v>4345</v>
      </c>
      <c r="C4322" s="1" t="s">
        <v>24</v>
      </c>
      <c r="D4322" s="1" t="str">
        <f t="shared" si="8312"/>
        <v>2021</v>
      </c>
      <c r="E4322" s="1" t="str">
        <f t="shared" ref="E4322:P4322" si="8348">"0"</f>
        <v>0</v>
      </c>
      <c r="F4322" s="1" t="str">
        <f t="shared" si="8348"/>
        <v>0</v>
      </c>
      <c r="G4322" s="1" t="str">
        <f t="shared" si="8348"/>
        <v>0</v>
      </c>
      <c r="H4322" s="1" t="str">
        <f t="shared" si="8348"/>
        <v>0</v>
      </c>
      <c r="I4322" s="1" t="str">
        <f t="shared" si="8348"/>
        <v>0</v>
      </c>
      <c r="J4322" s="1" t="str">
        <f t="shared" si="8348"/>
        <v>0</v>
      </c>
      <c r="K4322" s="1" t="str">
        <f t="shared" si="8348"/>
        <v>0</v>
      </c>
      <c r="L4322" s="1" t="str">
        <f t="shared" si="8348"/>
        <v>0</v>
      </c>
      <c r="M4322" s="1" t="str">
        <f t="shared" si="8348"/>
        <v>0</v>
      </c>
      <c r="N4322" s="1" t="str">
        <f t="shared" si="8348"/>
        <v>0</v>
      </c>
      <c r="O4322" s="1" t="str">
        <f t="shared" si="8348"/>
        <v>0</v>
      </c>
      <c r="P4322" s="1" t="str">
        <f t="shared" si="8348"/>
        <v>0</v>
      </c>
      <c r="Q4322" s="1" t="str">
        <f t="shared" si="8314"/>
        <v>0.0070</v>
      </c>
      <c r="R4322" s="1" t="s">
        <v>25</v>
      </c>
      <c r="T4322" s="1" t="str">
        <f t="shared" si="8315"/>
        <v>0</v>
      </c>
      <c r="U4322" s="1" t="str">
        <f t="shared" si="8323"/>
        <v>0.0070</v>
      </c>
    </row>
    <row r="4323" s="1" customFormat="1" spans="1:21">
      <c r="A4323" s="1" t="str">
        <f>"4601992101322"</f>
        <v>4601992101322</v>
      </c>
      <c r="B4323" s="1" t="s">
        <v>4346</v>
      </c>
      <c r="C4323" s="1" t="s">
        <v>24</v>
      </c>
      <c r="D4323" s="1" t="str">
        <f t="shared" si="8312"/>
        <v>2021</v>
      </c>
      <c r="E4323" s="1" t="str">
        <f t="shared" ref="E4323:P4323" si="8349">"0"</f>
        <v>0</v>
      </c>
      <c r="F4323" s="1" t="str">
        <f t="shared" si="8349"/>
        <v>0</v>
      </c>
      <c r="G4323" s="1" t="str">
        <f t="shared" si="8349"/>
        <v>0</v>
      </c>
      <c r="H4323" s="1" t="str">
        <f t="shared" si="8349"/>
        <v>0</v>
      </c>
      <c r="I4323" s="1" t="str">
        <f t="shared" si="8349"/>
        <v>0</v>
      </c>
      <c r="J4323" s="1" t="str">
        <f t="shared" si="8349"/>
        <v>0</v>
      </c>
      <c r="K4323" s="1" t="str">
        <f t="shared" si="8349"/>
        <v>0</v>
      </c>
      <c r="L4323" s="1" t="str">
        <f t="shared" si="8349"/>
        <v>0</v>
      </c>
      <c r="M4323" s="1" t="str">
        <f t="shared" si="8349"/>
        <v>0</v>
      </c>
      <c r="N4323" s="1" t="str">
        <f t="shared" si="8349"/>
        <v>0</v>
      </c>
      <c r="O4323" s="1" t="str">
        <f t="shared" si="8349"/>
        <v>0</v>
      </c>
      <c r="P4323" s="1" t="str">
        <f t="shared" si="8349"/>
        <v>0</v>
      </c>
      <c r="Q4323" s="1" t="str">
        <f t="shared" si="8314"/>
        <v>0.0070</v>
      </c>
      <c r="R4323" s="1" t="s">
        <v>25</v>
      </c>
      <c r="T4323" s="1" t="str">
        <f t="shared" si="8315"/>
        <v>0</v>
      </c>
      <c r="U4323" s="1" t="str">
        <f t="shared" si="8323"/>
        <v>0.0070</v>
      </c>
    </row>
    <row r="4324" s="1" customFormat="1" spans="1:21">
      <c r="A4324" s="1" t="str">
        <f>"4601992101464"</f>
        <v>4601992101464</v>
      </c>
      <c r="B4324" s="1" t="s">
        <v>4347</v>
      </c>
      <c r="C4324" s="1" t="s">
        <v>24</v>
      </c>
      <c r="D4324" s="1" t="str">
        <f t="shared" si="8312"/>
        <v>2021</v>
      </c>
      <c r="E4324" s="1" t="str">
        <f t="shared" ref="E4324:P4324" si="8350">"0"</f>
        <v>0</v>
      </c>
      <c r="F4324" s="1" t="str">
        <f t="shared" si="8350"/>
        <v>0</v>
      </c>
      <c r="G4324" s="1" t="str">
        <f t="shared" si="8350"/>
        <v>0</v>
      </c>
      <c r="H4324" s="1" t="str">
        <f t="shared" si="8350"/>
        <v>0</v>
      </c>
      <c r="I4324" s="1" t="str">
        <f t="shared" si="8350"/>
        <v>0</v>
      </c>
      <c r="J4324" s="1" t="str">
        <f t="shared" si="8350"/>
        <v>0</v>
      </c>
      <c r="K4324" s="1" t="str">
        <f t="shared" si="8350"/>
        <v>0</v>
      </c>
      <c r="L4324" s="1" t="str">
        <f t="shared" si="8350"/>
        <v>0</v>
      </c>
      <c r="M4324" s="1" t="str">
        <f t="shared" si="8350"/>
        <v>0</v>
      </c>
      <c r="N4324" s="1" t="str">
        <f t="shared" si="8350"/>
        <v>0</v>
      </c>
      <c r="O4324" s="1" t="str">
        <f t="shared" si="8350"/>
        <v>0</v>
      </c>
      <c r="P4324" s="1" t="str">
        <f t="shared" si="8350"/>
        <v>0</v>
      </c>
      <c r="Q4324" s="1" t="str">
        <f t="shared" si="8314"/>
        <v>0.0070</v>
      </c>
      <c r="R4324" s="1" t="s">
        <v>25</v>
      </c>
      <c r="T4324" s="1" t="str">
        <f t="shared" si="8315"/>
        <v>0</v>
      </c>
      <c r="U4324" s="1" t="str">
        <f t="shared" si="8323"/>
        <v>0.0070</v>
      </c>
    </row>
    <row r="4325" s="1" customFormat="1" spans="1:21">
      <c r="A4325" s="1" t="str">
        <f>"4601992101461"</f>
        <v>4601992101461</v>
      </c>
      <c r="B4325" s="1" t="s">
        <v>4348</v>
      </c>
      <c r="C4325" s="1" t="s">
        <v>24</v>
      </c>
      <c r="D4325" s="1" t="str">
        <f t="shared" si="8312"/>
        <v>2021</v>
      </c>
      <c r="E4325" s="1" t="str">
        <f t="shared" ref="E4325:P4325" si="8351">"0"</f>
        <v>0</v>
      </c>
      <c r="F4325" s="1" t="str">
        <f t="shared" si="8351"/>
        <v>0</v>
      </c>
      <c r="G4325" s="1" t="str">
        <f t="shared" si="8351"/>
        <v>0</v>
      </c>
      <c r="H4325" s="1" t="str">
        <f t="shared" si="8351"/>
        <v>0</v>
      </c>
      <c r="I4325" s="1" t="str">
        <f t="shared" si="8351"/>
        <v>0</v>
      </c>
      <c r="J4325" s="1" t="str">
        <f t="shared" si="8351"/>
        <v>0</v>
      </c>
      <c r="K4325" s="1" t="str">
        <f t="shared" si="8351"/>
        <v>0</v>
      </c>
      <c r="L4325" s="1" t="str">
        <f t="shared" si="8351"/>
        <v>0</v>
      </c>
      <c r="M4325" s="1" t="str">
        <f t="shared" si="8351"/>
        <v>0</v>
      </c>
      <c r="N4325" s="1" t="str">
        <f t="shared" si="8351"/>
        <v>0</v>
      </c>
      <c r="O4325" s="1" t="str">
        <f t="shared" si="8351"/>
        <v>0</v>
      </c>
      <c r="P4325" s="1" t="str">
        <f t="shared" si="8351"/>
        <v>0</v>
      </c>
      <c r="Q4325" s="1" t="str">
        <f t="shared" si="8314"/>
        <v>0.0070</v>
      </c>
      <c r="R4325" s="1" t="s">
        <v>25</v>
      </c>
      <c r="T4325" s="1" t="str">
        <f t="shared" si="8315"/>
        <v>0</v>
      </c>
      <c r="U4325" s="1" t="str">
        <f t="shared" si="8323"/>
        <v>0.0070</v>
      </c>
    </row>
    <row r="4326" s="1" customFormat="1" spans="1:21">
      <c r="A4326" s="1" t="str">
        <f>"4601992101476"</f>
        <v>4601992101476</v>
      </c>
      <c r="B4326" s="1" t="s">
        <v>4349</v>
      </c>
      <c r="C4326" s="1" t="s">
        <v>24</v>
      </c>
      <c r="D4326" s="1" t="str">
        <f t="shared" si="8312"/>
        <v>2021</v>
      </c>
      <c r="E4326" s="1" t="str">
        <f t="shared" ref="E4326:P4326" si="8352">"0"</f>
        <v>0</v>
      </c>
      <c r="F4326" s="1" t="str">
        <f t="shared" si="8352"/>
        <v>0</v>
      </c>
      <c r="G4326" s="1" t="str">
        <f t="shared" si="8352"/>
        <v>0</v>
      </c>
      <c r="H4326" s="1" t="str">
        <f t="shared" si="8352"/>
        <v>0</v>
      </c>
      <c r="I4326" s="1" t="str">
        <f t="shared" si="8352"/>
        <v>0</v>
      </c>
      <c r="J4326" s="1" t="str">
        <f t="shared" si="8352"/>
        <v>0</v>
      </c>
      <c r="K4326" s="1" t="str">
        <f t="shared" si="8352"/>
        <v>0</v>
      </c>
      <c r="L4326" s="1" t="str">
        <f t="shared" si="8352"/>
        <v>0</v>
      </c>
      <c r="M4326" s="1" t="str">
        <f t="shared" si="8352"/>
        <v>0</v>
      </c>
      <c r="N4326" s="1" t="str">
        <f t="shared" si="8352"/>
        <v>0</v>
      </c>
      <c r="O4326" s="1" t="str">
        <f t="shared" si="8352"/>
        <v>0</v>
      </c>
      <c r="P4326" s="1" t="str">
        <f t="shared" si="8352"/>
        <v>0</v>
      </c>
      <c r="Q4326" s="1" t="str">
        <f t="shared" si="8314"/>
        <v>0.0070</v>
      </c>
      <c r="R4326" s="1" t="s">
        <v>25</v>
      </c>
      <c r="T4326" s="1" t="str">
        <f t="shared" si="8315"/>
        <v>0</v>
      </c>
      <c r="U4326" s="1" t="str">
        <f t="shared" si="8323"/>
        <v>0.0070</v>
      </c>
    </row>
    <row r="4327" s="1" customFormat="1" spans="1:21">
      <c r="A4327" s="1" t="str">
        <f>"4601992101408"</f>
        <v>4601992101408</v>
      </c>
      <c r="B4327" s="1" t="s">
        <v>4350</v>
      </c>
      <c r="C4327" s="1" t="s">
        <v>24</v>
      </c>
      <c r="D4327" s="1" t="str">
        <f t="shared" si="8312"/>
        <v>2021</v>
      </c>
      <c r="E4327" s="1" t="str">
        <f>"11.98"</f>
        <v>11.98</v>
      </c>
      <c r="F4327" s="1" t="str">
        <f t="shared" ref="F4327:I4327" si="8353">"0"</f>
        <v>0</v>
      </c>
      <c r="G4327" s="1" t="str">
        <f t="shared" si="8353"/>
        <v>0</v>
      </c>
      <c r="H4327" s="1" t="str">
        <f t="shared" si="8353"/>
        <v>0</v>
      </c>
      <c r="I4327" s="1" t="str">
        <f t="shared" si="8353"/>
        <v>0</v>
      </c>
      <c r="J4327" s="1" t="str">
        <f>"1"</f>
        <v>1</v>
      </c>
      <c r="K4327" s="1" t="str">
        <f t="shared" ref="K4327:P4327" si="8354">"0"</f>
        <v>0</v>
      </c>
      <c r="L4327" s="1" t="str">
        <f t="shared" si="8354"/>
        <v>0</v>
      </c>
      <c r="M4327" s="1" t="str">
        <f t="shared" si="8354"/>
        <v>0</v>
      </c>
      <c r="N4327" s="1" t="str">
        <f t="shared" si="8354"/>
        <v>0</v>
      </c>
      <c r="O4327" s="1" t="str">
        <f t="shared" si="8354"/>
        <v>0</v>
      </c>
      <c r="P4327" s="1" t="str">
        <f t="shared" si="8354"/>
        <v>0</v>
      </c>
      <c r="Q4327" s="1" t="str">
        <f t="shared" si="8314"/>
        <v>0.0070</v>
      </c>
      <c r="R4327" s="1" t="s">
        <v>29</v>
      </c>
      <c r="S4327" s="1">
        <v>-0.0014</v>
      </c>
      <c r="T4327" s="1" t="str">
        <f t="shared" si="8315"/>
        <v>0</v>
      </c>
      <c r="U4327" s="1" t="str">
        <f>"0.0056"</f>
        <v>0.0056</v>
      </c>
    </row>
    <row r="4328" s="1" customFormat="1" spans="1:21">
      <c r="A4328" s="1" t="str">
        <f>"4601992101467"</f>
        <v>4601992101467</v>
      </c>
      <c r="B4328" s="1" t="s">
        <v>4351</v>
      </c>
      <c r="C4328" s="1" t="s">
        <v>24</v>
      </c>
      <c r="D4328" s="1" t="str">
        <f t="shared" si="8312"/>
        <v>2021</v>
      </c>
      <c r="E4328" s="1" t="str">
        <f t="shared" ref="E4328:I4328" si="8355">"0"</f>
        <v>0</v>
      </c>
      <c r="F4328" s="1" t="str">
        <f t="shared" si="8355"/>
        <v>0</v>
      </c>
      <c r="G4328" s="1" t="str">
        <f t="shared" si="8355"/>
        <v>0</v>
      </c>
      <c r="H4328" s="1" t="str">
        <f t="shared" si="8355"/>
        <v>0</v>
      </c>
      <c r="I4328" s="1" t="str">
        <f t="shared" si="8355"/>
        <v>0</v>
      </c>
      <c r="J4328" s="1" t="str">
        <f>"2"</f>
        <v>2</v>
      </c>
      <c r="K4328" s="1" t="str">
        <f t="shared" ref="K4328:P4328" si="8356">"0"</f>
        <v>0</v>
      </c>
      <c r="L4328" s="1" t="str">
        <f t="shared" si="8356"/>
        <v>0</v>
      </c>
      <c r="M4328" s="1" t="str">
        <f t="shared" si="8356"/>
        <v>0</v>
      </c>
      <c r="N4328" s="1" t="str">
        <f t="shared" si="8356"/>
        <v>0</v>
      </c>
      <c r="O4328" s="1" t="str">
        <f t="shared" si="8356"/>
        <v>0</v>
      </c>
      <c r="P4328" s="1" t="str">
        <f t="shared" si="8356"/>
        <v>0</v>
      </c>
      <c r="Q4328" s="1" t="str">
        <f t="shared" si="8314"/>
        <v>0.0070</v>
      </c>
      <c r="R4328" s="1" t="s">
        <v>25</v>
      </c>
      <c r="T4328" s="1" t="str">
        <f t="shared" si="8315"/>
        <v>0</v>
      </c>
      <c r="U4328" s="1" t="str">
        <f t="shared" ref="U4328:U4333" si="8357">"0.0070"</f>
        <v>0.0070</v>
      </c>
    </row>
    <row r="4329" s="1" customFormat="1" spans="1:21">
      <c r="A4329" s="1" t="str">
        <f>"4601992101743"</f>
        <v>4601992101743</v>
      </c>
      <c r="B4329" s="1" t="s">
        <v>4352</v>
      </c>
      <c r="C4329" s="1" t="s">
        <v>24</v>
      </c>
      <c r="D4329" s="1" t="str">
        <f t="shared" si="8312"/>
        <v>2021</v>
      </c>
      <c r="E4329" s="1" t="str">
        <f t="shared" ref="E4329:P4329" si="8358">"0"</f>
        <v>0</v>
      </c>
      <c r="F4329" s="1" t="str">
        <f t="shared" si="8358"/>
        <v>0</v>
      </c>
      <c r="G4329" s="1" t="str">
        <f t="shared" si="8358"/>
        <v>0</v>
      </c>
      <c r="H4329" s="1" t="str">
        <f t="shared" si="8358"/>
        <v>0</v>
      </c>
      <c r="I4329" s="1" t="str">
        <f t="shared" si="8358"/>
        <v>0</v>
      </c>
      <c r="J4329" s="1" t="str">
        <f t="shared" si="8358"/>
        <v>0</v>
      </c>
      <c r="K4329" s="1" t="str">
        <f t="shared" si="8358"/>
        <v>0</v>
      </c>
      <c r="L4329" s="1" t="str">
        <f t="shared" si="8358"/>
        <v>0</v>
      </c>
      <c r="M4329" s="1" t="str">
        <f t="shared" si="8358"/>
        <v>0</v>
      </c>
      <c r="N4329" s="1" t="str">
        <f t="shared" si="8358"/>
        <v>0</v>
      </c>
      <c r="O4329" s="1" t="str">
        <f t="shared" si="8358"/>
        <v>0</v>
      </c>
      <c r="P4329" s="1" t="str">
        <f t="shared" si="8358"/>
        <v>0</v>
      </c>
      <c r="Q4329" s="1" t="str">
        <f t="shared" si="8314"/>
        <v>0.0070</v>
      </c>
      <c r="R4329" s="1" t="s">
        <v>25</v>
      </c>
      <c r="T4329" s="1" t="str">
        <f t="shared" si="8315"/>
        <v>0</v>
      </c>
      <c r="U4329" s="1" t="str">
        <f t="shared" si="8357"/>
        <v>0.0070</v>
      </c>
    </row>
    <row r="4330" s="1" customFormat="1" spans="1:21">
      <c r="A4330" s="1" t="str">
        <f>"4601992101747"</f>
        <v>4601992101747</v>
      </c>
      <c r="B4330" s="1" t="s">
        <v>4353</v>
      </c>
      <c r="C4330" s="1" t="s">
        <v>24</v>
      </c>
      <c r="D4330" s="1" t="str">
        <f t="shared" si="8312"/>
        <v>2021</v>
      </c>
      <c r="E4330" s="1" t="str">
        <f t="shared" ref="E4330:P4330" si="8359">"0"</f>
        <v>0</v>
      </c>
      <c r="F4330" s="1" t="str">
        <f t="shared" si="8359"/>
        <v>0</v>
      </c>
      <c r="G4330" s="1" t="str">
        <f t="shared" si="8359"/>
        <v>0</v>
      </c>
      <c r="H4330" s="1" t="str">
        <f t="shared" si="8359"/>
        <v>0</v>
      </c>
      <c r="I4330" s="1" t="str">
        <f t="shared" si="8359"/>
        <v>0</v>
      </c>
      <c r="J4330" s="1" t="str">
        <f t="shared" si="8359"/>
        <v>0</v>
      </c>
      <c r="K4330" s="1" t="str">
        <f t="shared" si="8359"/>
        <v>0</v>
      </c>
      <c r="L4330" s="1" t="str">
        <f t="shared" si="8359"/>
        <v>0</v>
      </c>
      <c r="M4330" s="1" t="str">
        <f t="shared" si="8359"/>
        <v>0</v>
      </c>
      <c r="N4330" s="1" t="str">
        <f t="shared" si="8359"/>
        <v>0</v>
      </c>
      <c r="O4330" s="1" t="str">
        <f t="shared" si="8359"/>
        <v>0</v>
      </c>
      <c r="P4330" s="1" t="str">
        <f t="shared" si="8359"/>
        <v>0</v>
      </c>
      <c r="Q4330" s="1" t="str">
        <f t="shared" si="8314"/>
        <v>0.0070</v>
      </c>
      <c r="R4330" s="1" t="s">
        <v>25</v>
      </c>
      <c r="T4330" s="1" t="str">
        <f t="shared" si="8315"/>
        <v>0</v>
      </c>
      <c r="U4330" s="1" t="str">
        <f t="shared" si="8357"/>
        <v>0.0070</v>
      </c>
    </row>
    <row r="4331" s="1" customFormat="1" spans="1:21">
      <c r="A4331" s="1" t="str">
        <f>"4601992101759"</f>
        <v>4601992101759</v>
      </c>
      <c r="B4331" s="1" t="s">
        <v>4354</v>
      </c>
      <c r="C4331" s="1" t="s">
        <v>24</v>
      </c>
      <c r="D4331" s="1" t="str">
        <f t="shared" si="8312"/>
        <v>2021</v>
      </c>
      <c r="E4331" s="1" t="str">
        <f t="shared" ref="E4331:P4331" si="8360">"0"</f>
        <v>0</v>
      </c>
      <c r="F4331" s="1" t="str">
        <f t="shared" si="8360"/>
        <v>0</v>
      </c>
      <c r="G4331" s="1" t="str">
        <f t="shared" si="8360"/>
        <v>0</v>
      </c>
      <c r="H4331" s="1" t="str">
        <f t="shared" si="8360"/>
        <v>0</v>
      </c>
      <c r="I4331" s="1" t="str">
        <f t="shared" si="8360"/>
        <v>0</v>
      </c>
      <c r="J4331" s="1" t="str">
        <f t="shared" si="8360"/>
        <v>0</v>
      </c>
      <c r="K4331" s="1" t="str">
        <f t="shared" si="8360"/>
        <v>0</v>
      </c>
      <c r="L4331" s="1" t="str">
        <f t="shared" si="8360"/>
        <v>0</v>
      </c>
      <c r="M4331" s="1" t="str">
        <f t="shared" si="8360"/>
        <v>0</v>
      </c>
      <c r="N4331" s="1" t="str">
        <f t="shared" si="8360"/>
        <v>0</v>
      </c>
      <c r="O4331" s="1" t="str">
        <f t="shared" si="8360"/>
        <v>0</v>
      </c>
      <c r="P4331" s="1" t="str">
        <f t="shared" si="8360"/>
        <v>0</v>
      </c>
      <c r="Q4331" s="1" t="str">
        <f t="shared" si="8314"/>
        <v>0.0070</v>
      </c>
      <c r="R4331" s="1" t="s">
        <v>25</v>
      </c>
      <c r="T4331" s="1" t="str">
        <f t="shared" si="8315"/>
        <v>0</v>
      </c>
      <c r="U4331" s="1" t="str">
        <f t="shared" si="8357"/>
        <v>0.0070</v>
      </c>
    </row>
    <row r="4332" s="1" customFormat="1" spans="1:21">
      <c r="A4332" s="1" t="str">
        <f>"4601992101772"</f>
        <v>4601992101772</v>
      </c>
      <c r="B4332" s="1" t="s">
        <v>4355</v>
      </c>
      <c r="C4332" s="1" t="s">
        <v>24</v>
      </c>
      <c r="D4332" s="1" t="str">
        <f t="shared" si="8312"/>
        <v>2021</v>
      </c>
      <c r="E4332" s="1" t="str">
        <f t="shared" ref="E4332:P4332" si="8361">"0"</f>
        <v>0</v>
      </c>
      <c r="F4332" s="1" t="str">
        <f t="shared" si="8361"/>
        <v>0</v>
      </c>
      <c r="G4332" s="1" t="str">
        <f t="shared" si="8361"/>
        <v>0</v>
      </c>
      <c r="H4332" s="1" t="str">
        <f t="shared" si="8361"/>
        <v>0</v>
      </c>
      <c r="I4332" s="1" t="str">
        <f t="shared" si="8361"/>
        <v>0</v>
      </c>
      <c r="J4332" s="1" t="str">
        <f t="shared" si="8361"/>
        <v>0</v>
      </c>
      <c r="K4332" s="1" t="str">
        <f t="shared" si="8361"/>
        <v>0</v>
      </c>
      <c r="L4332" s="1" t="str">
        <f t="shared" si="8361"/>
        <v>0</v>
      </c>
      <c r="M4332" s="1" t="str">
        <f t="shared" si="8361"/>
        <v>0</v>
      </c>
      <c r="N4332" s="1" t="str">
        <f t="shared" si="8361"/>
        <v>0</v>
      </c>
      <c r="O4332" s="1" t="str">
        <f t="shared" si="8361"/>
        <v>0</v>
      </c>
      <c r="P4332" s="1" t="str">
        <f t="shared" si="8361"/>
        <v>0</v>
      </c>
      <c r="Q4332" s="1" t="str">
        <f t="shared" si="8314"/>
        <v>0.0070</v>
      </c>
      <c r="R4332" s="1" t="s">
        <v>25</v>
      </c>
      <c r="T4332" s="1" t="str">
        <f t="shared" si="8315"/>
        <v>0</v>
      </c>
      <c r="U4332" s="1" t="str">
        <f t="shared" si="8357"/>
        <v>0.0070</v>
      </c>
    </row>
    <row r="4333" s="1" customFormat="1" spans="1:21">
      <c r="A4333" s="1" t="str">
        <f>"4601992101875"</f>
        <v>4601992101875</v>
      </c>
      <c r="B4333" s="1" t="s">
        <v>4356</v>
      </c>
      <c r="C4333" s="1" t="s">
        <v>24</v>
      </c>
      <c r="D4333" s="1" t="str">
        <f t="shared" si="8312"/>
        <v>2021</v>
      </c>
      <c r="E4333" s="1" t="str">
        <f t="shared" ref="E4333:P4333" si="8362">"0"</f>
        <v>0</v>
      </c>
      <c r="F4333" s="1" t="str">
        <f t="shared" si="8362"/>
        <v>0</v>
      </c>
      <c r="G4333" s="1" t="str">
        <f t="shared" si="8362"/>
        <v>0</v>
      </c>
      <c r="H4333" s="1" t="str">
        <f t="shared" si="8362"/>
        <v>0</v>
      </c>
      <c r="I4333" s="1" t="str">
        <f t="shared" si="8362"/>
        <v>0</v>
      </c>
      <c r="J4333" s="1" t="str">
        <f t="shared" si="8362"/>
        <v>0</v>
      </c>
      <c r="K4333" s="1" t="str">
        <f t="shared" si="8362"/>
        <v>0</v>
      </c>
      <c r="L4333" s="1" t="str">
        <f t="shared" si="8362"/>
        <v>0</v>
      </c>
      <c r="M4333" s="1" t="str">
        <f t="shared" si="8362"/>
        <v>0</v>
      </c>
      <c r="N4333" s="1" t="str">
        <f t="shared" si="8362"/>
        <v>0</v>
      </c>
      <c r="O4333" s="1" t="str">
        <f t="shared" si="8362"/>
        <v>0</v>
      </c>
      <c r="P4333" s="1" t="str">
        <f t="shared" si="8362"/>
        <v>0</v>
      </c>
      <c r="Q4333" s="1" t="str">
        <f t="shared" si="8314"/>
        <v>0.0070</v>
      </c>
      <c r="R4333" s="1" t="s">
        <v>25</v>
      </c>
      <c r="T4333" s="1" t="str">
        <f t="shared" si="8315"/>
        <v>0</v>
      </c>
      <c r="U4333" s="1" t="str">
        <f t="shared" si="8357"/>
        <v>0.0070</v>
      </c>
    </row>
    <row r="4334" s="1" customFormat="1" spans="1:21">
      <c r="A4334" s="1" t="str">
        <f>"4601992101514"</f>
        <v>4601992101514</v>
      </c>
      <c r="B4334" s="1" t="s">
        <v>4357</v>
      </c>
      <c r="C4334" s="1" t="s">
        <v>24</v>
      </c>
      <c r="D4334" s="1" t="str">
        <f t="shared" si="8312"/>
        <v>2021</v>
      </c>
      <c r="E4334" s="1" t="str">
        <f>"11.98"</f>
        <v>11.98</v>
      </c>
      <c r="F4334" s="1" t="str">
        <f t="shared" ref="F4334:I4334" si="8363">"0"</f>
        <v>0</v>
      </c>
      <c r="G4334" s="1" t="str">
        <f t="shared" si="8363"/>
        <v>0</v>
      </c>
      <c r="H4334" s="1" t="str">
        <f t="shared" si="8363"/>
        <v>0</v>
      </c>
      <c r="I4334" s="1" t="str">
        <f t="shared" si="8363"/>
        <v>0</v>
      </c>
      <c r="J4334" s="1" t="str">
        <f>"1"</f>
        <v>1</v>
      </c>
      <c r="K4334" s="1" t="str">
        <f t="shared" ref="K4334:P4334" si="8364">"0"</f>
        <v>0</v>
      </c>
      <c r="L4334" s="1" t="str">
        <f t="shared" si="8364"/>
        <v>0</v>
      </c>
      <c r="M4334" s="1" t="str">
        <f t="shared" si="8364"/>
        <v>0</v>
      </c>
      <c r="N4334" s="1" t="str">
        <f t="shared" si="8364"/>
        <v>0</v>
      </c>
      <c r="O4334" s="1" t="str">
        <f t="shared" si="8364"/>
        <v>0</v>
      </c>
      <c r="P4334" s="1" t="str">
        <f t="shared" si="8364"/>
        <v>0</v>
      </c>
      <c r="Q4334" s="1" t="str">
        <f t="shared" si="8314"/>
        <v>0.0070</v>
      </c>
      <c r="R4334" s="1" t="s">
        <v>29</v>
      </c>
      <c r="S4334" s="1">
        <v>-0.0014</v>
      </c>
      <c r="T4334" s="1" t="str">
        <f t="shared" si="8315"/>
        <v>0</v>
      </c>
      <c r="U4334" s="1" t="str">
        <f>"0.0056"</f>
        <v>0.0056</v>
      </c>
    </row>
    <row r="4335" s="1" customFormat="1" spans="1:21">
      <c r="A4335" s="1" t="str">
        <f>"4601992101977"</f>
        <v>4601992101977</v>
      </c>
      <c r="B4335" s="1" t="s">
        <v>4358</v>
      </c>
      <c r="C4335" s="1" t="s">
        <v>24</v>
      </c>
      <c r="D4335" s="1" t="str">
        <f t="shared" si="8312"/>
        <v>2021</v>
      </c>
      <c r="E4335" s="1" t="str">
        <f t="shared" ref="E4335:P4335" si="8365">"0"</f>
        <v>0</v>
      </c>
      <c r="F4335" s="1" t="str">
        <f t="shared" si="8365"/>
        <v>0</v>
      </c>
      <c r="G4335" s="1" t="str">
        <f t="shared" si="8365"/>
        <v>0</v>
      </c>
      <c r="H4335" s="1" t="str">
        <f t="shared" si="8365"/>
        <v>0</v>
      </c>
      <c r="I4335" s="1" t="str">
        <f t="shared" si="8365"/>
        <v>0</v>
      </c>
      <c r="J4335" s="1" t="str">
        <f t="shared" si="8365"/>
        <v>0</v>
      </c>
      <c r="K4335" s="1" t="str">
        <f t="shared" si="8365"/>
        <v>0</v>
      </c>
      <c r="L4335" s="1" t="str">
        <f t="shared" si="8365"/>
        <v>0</v>
      </c>
      <c r="M4335" s="1" t="str">
        <f t="shared" si="8365"/>
        <v>0</v>
      </c>
      <c r="N4335" s="1" t="str">
        <f t="shared" si="8365"/>
        <v>0</v>
      </c>
      <c r="O4335" s="1" t="str">
        <f t="shared" si="8365"/>
        <v>0</v>
      </c>
      <c r="P4335" s="1" t="str">
        <f t="shared" si="8365"/>
        <v>0</v>
      </c>
      <c r="Q4335" s="1" t="str">
        <f t="shared" si="8314"/>
        <v>0.0070</v>
      </c>
      <c r="R4335" s="1" t="s">
        <v>25</v>
      </c>
      <c r="T4335" s="1" t="str">
        <f t="shared" si="8315"/>
        <v>0</v>
      </c>
      <c r="U4335" s="1" t="str">
        <f t="shared" ref="U4335:U4347" si="8366">"0.0070"</f>
        <v>0.0070</v>
      </c>
    </row>
    <row r="4336" s="1" customFormat="1" spans="1:21">
      <c r="A4336" s="1" t="str">
        <f>"4601992101979"</f>
        <v>4601992101979</v>
      </c>
      <c r="B4336" s="1" t="s">
        <v>4359</v>
      </c>
      <c r="C4336" s="1" t="s">
        <v>24</v>
      </c>
      <c r="D4336" s="1" t="str">
        <f t="shared" si="8312"/>
        <v>2021</v>
      </c>
      <c r="E4336" s="1" t="str">
        <f t="shared" ref="E4336:P4336" si="8367">"0"</f>
        <v>0</v>
      </c>
      <c r="F4336" s="1" t="str">
        <f t="shared" si="8367"/>
        <v>0</v>
      </c>
      <c r="G4336" s="1" t="str">
        <f t="shared" si="8367"/>
        <v>0</v>
      </c>
      <c r="H4336" s="1" t="str">
        <f t="shared" si="8367"/>
        <v>0</v>
      </c>
      <c r="I4336" s="1" t="str">
        <f t="shared" si="8367"/>
        <v>0</v>
      </c>
      <c r="J4336" s="1" t="str">
        <f t="shared" si="8367"/>
        <v>0</v>
      </c>
      <c r="K4336" s="1" t="str">
        <f t="shared" si="8367"/>
        <v>0</v>
      </c>
      <c r="L4336" s="1" t="str">
        <f t="shared" si="8367"/>
        <v>0</v>
      </c>
      <c r="M4336" s="1" t="str">
        <f t="shared" si="8367"/>
        <v>0</v>
      </c>
      <c r="N4336" s="1" t="str">
        <f t="shared" si="8367"/>
        <v>0</v>
      </c>
      <c r="O4336" s="1" t="str">
        <f t="shared" si="8367"/>
        <v>0</v>
      </c>
      <c r="P4336" s="1" t="str">
        <f t="shared" si="8367"/>
        <v>0</v>
      </c>
      <c r="Q4336" s="1" t="str">
        <f t="shared" si="8314"/>
        <v>0.0070</v>
      </c>
      <c r="R4336" s="1" t="s">
        <v>25</v>
      </c>
      <c r="T4336" s="1" t="str">
        <f t="shared" si="8315"/>
        <v>0</v>
      </c>
      <c r="U4336" s="1" t="str">
        <f t="shared" si="8366"/>
        <v>0.0070</v>
      </c>
    </row>
    <row r="4337" s="1" customFormat="1" spans="1:21">
      <c r="A4337" s="1" t="str">
        <f>"4601992102065"</f>
        <v>4601992102065</v>
      </c>
      <c r="B4337" s="1" t="s">
        <v>4360</v>
      </c>
      <c r="C4337" s="1" t="s">
        <v>24</v>
      </c>
      <c r="D4337" s="1" t="str">
        <f t="shared" si="8312"/>
        <v>2021</v>
      </c>
      <c r="E4337" s="1" t="str">
        <f t="shared" ref="E4337:P4337" si="8368">"0"</f>
        <v>0</v>
      </c>
      <c r="F4337" s="1" t="str">
        <f t="shared" si="8368"/>
        <v>0</v>
      </c>
      <c r="G4337" s="1" t="str">
        <f t="shared" si="8368"/>
        <v>0</v>
      </c>
      <c r="H4337" s="1" t="str">
        <f t="shared" si="8368"/>
        <v>0</v>
      </c>
      <c r="I4337" s="1" t="str">
        <f t="shared" si="8368"/>
        <v>0</v>
      </c>
      <c r="J4337" s="1" t="str">
        <f t="shared" si="8368"/>
        <v>0</v>
      </c>
      <c r="K4337" s="1" t="str">
        <f t="shared" si="8368"/>
        <v>0</v>
      </c>
      <c r="L4337" s="1" t="str">
        <f t="shared" si="8368"/>
        <v>0</v>
      </c>
      <c r="M4337" s="1" t="str">
        <f t="shared" si="8368"/>
        <v>0</v>
      </c>
      <c r="N4337" s="1" t="str">
        <f t="shared" si="8368"/>
        <v>0</v>
      </c>
      <c r="O4337" s="1" t="str">
        <f t="shared" si="8368"/>
        <v>0</v>
      </c>
      <c r="P4337" s="1" t="str">
        <f t="shared" si="8368"/>
        <v>0</v>
      </c>
      <c r="Q4337" s="1" t="str">
        <f t="shared" si="8314"/>
        <v>0.0070</v>
      </c>
      <c r="R4337" s="1" t="s">
        <v>25</v>
      </c>
      <c r="T4337" s="1" t="str">
        <f t="shared" si="8315"/>
        <v>0</v>
      </c>
      <c r="U4337" s="1" t="str">
        <f t="shared" si="8366"/>
        <v>0.0070</v>
      </c>
    </row>
    <row r="4338" s="1" customFormat="1" spans="1:21">
      <c r="A4338" s="1" t="str">
        <f>"4601992101963"</f>
        <v>4601992101963</v>
      </c>
      <c r="B4338" s="1" t="s">
        <v>4361</v>
      </c>
      <c r="C4338" s="1" t="s">
        <v>24</v>
      </c>
      <c r="D4338" s="1" t="str">
        <f t="shared" si="8312"/>
        <v>2021</v>
      </c>
      <c r="E4338" s="1" t="str">
        <f t="shared" ref="E4338:I4338" si="8369">"0"</f>
        <v>0</v>
      </c>
      <c r="F4338" s="1" t="str">
        <f t="shared" si="8369"/>
        <v>0</v>
      </c>
      <c r="G4338" s="1" t="str">
        <f t="shared" si="8369"/>
        <v>0</v>
      </c>
      <c r="H4338" s="1" t="str">
        <f t="shared" si="8369"/>
        <v>0</v>
      </c>
      <c r="I4338" s="1" t="str">
        <f t="shared" si="8369"/>
        <v>0</v>
      </c>
      <c r="J4338" s="1" t="str">
        <f>"3"</f>
        <v>3</v>
      </c>
      <c r="K4338" s="1" t="str">
        <f t="shared" ref="K4338:P4338" si="8370">"0"</f>
        <v>0</v>
      </c>
      <c r="L4338" s="1" t="str">
        <f t="shared" si="8370"/>
        <v>0</v>
      </c>
      <c r="M4338" s="1" t="str">
        <f t="shared" si="8370"/>
        <v>0</v>
      </c>
      <c r="N4338" s="1" t="str">
        <f t="shared" si="8370"/>
        <v>0</v>
      </c>
      <c r="O4338" s="1" t="str">
        <f t="shared" si="8370"/>
        <v>0</v>
      </c>
      <c r="P4338" s="1" t="str">
        <f t="shared" si="8370"/>
        <v>0</v>
      </c>
      <c r="Q4338" s="1" t="str">
        <f t="shared" si="8314"/>
        <v>0.0070</v>
      </c>
      <c r="R4338" s="1" t="s">
        <v>25</v>
      </c>
      <c r="T4338" s="1" t="str">
        <f t="shared" si="8315"/>
        <v>0</v>
      </c>
      <c r="U4338" s="1" t="str">
        <f t="shared" si="8366"/>
        <v>0.0070</v>
      </c>
    </row>
    <row r="4339" s="1" customFormat="1" spans="1:21">
      <c r="A4339" s="1" t="str">
        <f>"4601992102175"</f>
        <v>4601992102175</v>
      </c>
      <c r="B4339" s="1" t="s">
        <v>4362</v>
      </c>
      <c r="C4339" s="1" t="s">
        <v>24</v>
      </c>
      <c r="D4339" s="1" t="str">
        <f t="shared" si="8312"/>
        <v>2021</v>
      </c>
      <c r="E4339" s="1" t="str">
        <f t="shared" ref="E4339:P4339" si="8371">"0"</f>
        <v>0</v>
      </c>
      <c r="F4339" s="1" t="str">
        <f t="shared" si="8371"/>
        <v>0</v>
      </c>
      <c r="G4339" s="1" t="str">
        <f t="shared" si="8371"/>
        <v>0</v>
      </c>
      <c r="H4339" s="1" t="str">
        <f t="shared" si="8371"/>
        <v>0</v>
      </c>
      <c r="I4339" s="1" t="str">
        <f t="shared" si="8371"/>
        <v>0</v>
      </c>
      <c r="J4339" s="1" t="str">
        <f t="shared" si="8371"/>
        <v>0</v>
      </c>
      <c r="K4339" s="1" t="str">
        <f t="shared" si="8371"/>
        <v>0</v>
      </c>
      <c r="L4339" s="1" t="str">
        <f t="shared" si="8371"/>
        <v>0</v>
      </c>
      <c r="M4339" s="1" t="str">
        <f t="shared" si="8371"/>
        <v>0</v>
      </c>
      <c r="N4339" s="1" t="str">
        <f t="shared" si="8371"/>
        <v>0</v>
      </c>
      <c r="O4339" s="1" t="str">
        <f t="shared" si="8371"/>
        <v>0</v>
      </c>
      <c r="P4339" s="1" t="str">
        <f t="shared" si="8371"/>
        <v>0</v>
      </c>
      <c r="Q4339" s="1" t="str">
        <f t="shared" si="8314"/>
        <v>0.0070</v>
      </c>
      <c r="R4339" s="1" t="s">
        <v>25</v>
      </c>
      <c r="T4339" s="1" t="str">
        <f t="shared" si="8315"/>
        <v>0</v>
      </c>
      <c r="U4339" s="1" t="str">
        <f t="shared" si="8366"/>
        <v>0.0070</v>
      </c>
    </row>
    <row r="4340" s="1" customFormat="1" spans="1:21">
      <c r="A4340" s="1" t="str">
        <f>"4601992102180"</f>
        <v>4601992102180</v>
      </c>
      <c r="B4340" s="1" t="s">
        <v>4363</v>
      </c>
      <c r="C4340" s="1" t="s">
        <v>24</v>
      </c>
      <c r="D4340" s="1" t="str">
        <f t="shared" si="8312"/>
        <v>2021</v>
      </c>
      <c r="E4340" s="1" t="str">
        <f t="shared" ref="E4340:P4340" si="8372">"0"</f>
        <v>0</v>
      </c>
      <c r="F4340" s="1" t="str">
        <f t="shared" si="8372"/>
        <v>0</v>
      </c>
      <c r="G4340" s="1" t="str">
        <f t="shared" si="8372"/>
        <v>0</v>
      </c>
      <c r="H4340" s="1" t="str">
        <f t="shared" si="8372"/>
        <v>0</v>
      </c>
      <c r="I4340" s="1" t="str">
        <f t="shared" si="8372"/>
        <v>0</v>
      </c>
      <c r="J4340" s="1" t="str">
        <f t="shared" si="8372"/>
        <v>0</v>
      </c>
      <c r="K4340" s="1" t="str">
        <f t="shared" si="8372"/>
        <v>0</v>
      </c>
      <c r="L4340" s="1" t="str">
        <f t="shared" si="8372"/>
        <v>0</v>
      </c>
      <c r="M4340" s="1" t="str">
        <f t="shared" si="8372"/>
        <v>0</v>
      </c>
      <c r="N4340" s="1" t="str">
        <f t="shared" si="8372"/>
        <v>0</v>
      </c>
      <c r="O4340" s="1" t="str">
        <f t="shared" si="8372"/>
        <v>0</v>
      </c>
      <c r="P4340" s="1" t="str">
        <f t="shared" si="8372"/>
        <v>0</v>
      </c>
      <c r="Q4340" s="1" t="str">
        <f t="shared" si="8314"/>
        <v>0.0070</v>
      </c>
      <c r="R4340" s="1" t="s">
        <v>25</v>
      </c>
      <c r="T4340" s="1" t="str">
        <f t="shared" si="8315"/>
        <v>0</v>
      </c>
      <c r="U4340" s="1" t="str">
        <f t="shared" si="8366"/>
        <v>0.0070</v>
      </c>
    </row>
    <row r="4341" s="1" customFormat="1" spans="1:21">
      <c r="A4341" s="1" t="str">
        <f>"4601992102240"</f>
        <v>4601992102240</v>
      </c>
      <c r="B4341" s="1" t="s">
        <v>4364</v>
      </c>
      <c r="C4341" s="1" t="s">
        <v>24</v>
      </c>
      <c r="D4341" s="1" t="str">
        <f t="shared" si="8312"/>
        <v>2021</v>
      </c>
      <c r="E4341" s="1" t="str">
        <f t="shared" ref="E4341:P4341" si="8373">"0"</f>
        <v>0</v>
      </c>
      <c r="F4341" s="1" t="str">
        <f t="shared" si="8373"/>
        <v>0</v>
      </c>
      <c r="G4341" s="1" t="str">
        <f t="shared" si="8373"/>
        <v>0</v>
      </c>
      <c r="H4341" s="1" t="str">
        <f t="shared" si="8373"/>
        <v>0</v>
      </c>
      <c r="I4341" s="1" t="str">
        <f t="shared" si="8373"/>
        <v>0</v>
      </c>
      <c r="J4341" s="1" t="str">
        <f t="shared" si="8373"/>
        <v>0</v>
      </c>
      <c r="K4341" s="1" t="str">
        <f t="shared" si="8373"/>
        <v>0</v>
      </c>
      <c r="L4341" s="1" t="str">
        <f t="shared" si="8373"/>
        <v>0</v>
      </c>
      <c r="M4341" s="1" t="str">
        <f t="shared" si="8373"/>
        <v>0</v>
      </c>
      <c r="N4341" s="1" t="str">
        <f t="shared" si="8373"/>
        <v>0</v>
      </c>
      <c r="O4341" s="1" t="str">
        <f t="shared" si="8373"/>
        <v>0</v>
      </c>
      <c r="P4341" s="1" t="str">
        <f t="shared" si="8373"/>
        <v>0</v>
      </c>
      <c r="Q4341" s="1" t="str">
        <f t="shared" si="8314"/>
        <v>0.0070</v>
      </c>
      <c r="R4341" s="1" t="s">
        <v>25</v>
      </c>
      <c r="T4341" s="1" t="str">
        <f t="shared" si="8315"/>
        <v>0</v>
      </c>
      <c r="U4341" s="1" t="str">
        <f t="shared" si="8366"/>
        <v>0.0070</v>
      </c>
    </row>
    <row r="4342" s="1" customFormat="1" spans="1:21">
      <c r="A4342" s="1" t="str">
        <f>"4601992102422"</f>
        <v>4601992102422</v>
      </c>
      <c r="B4342" s="1" t="s">
        <v>4365</v>
      </c>
      <c r="C4342" s="1" t="s">
        <v>24</v>
      </c>
      <c r="D4342" s="1" t="str">
        <f t="shared" si="8312"/>
        <v>2021</v>
      </c>
      <c r="E4342" s="1" t="str">
        <f t="shared" ref="E4342:P4342" si="8374">"0"</f>
        <v>0</v>
      </c>
      <c r="F4342" s="1" t="str">
        <f t="shared" si="8374"/>
        <v>0</v>
      </c>
      <c r="G4342" s="1" t="str">
        <f t="shared" si="8374"/>
        <v>0</v>
      </c>
      <c r="H4342" s="1" t="str">
        <f t="shared" si="8374"/>
        <v>0</v>
      </c>
      <c r="I4342" s="1" t="str">
        <f t="shared" si="8374"/>
        <v>0</v>
      </c>
      <c r="J4342" s="1" t="str">
        <f t="shared" si="8374"/>
        <v>0</v>
      </c>
      <c r="K4342" s="1" t="str">
        <f t="shared" si="8374"/>
        <v>0</v>
      </c>
      <c r="L4342" s="1" t="str">
        <f t="shared" si="8374"/>
        <v>0</v>
      </c>
      <c r="M4342" s="1" t="str">
        <f t="shared" si="8374"/>
        <v>0</v>
      </c>
      <c r="N4342" s="1" t="str">
        <f t="shared" si="8374"/>
        <v>0</v>
      </c>
      <c r="O4342" s="1" t="str">
        <f t="shared" si="8374"/>
        <v>0</v>
      </c>
      <c r="P4342" s="1" t="str">
        <f t="shared" si="8374"/>
        <v>0</v>
      </c>
      <c r="Q4342" s="1" t="str">
        <f t="shared" si="8314"/>
        <v>0.0070</v>
      </c>
      <c r="R4342" s="1" t="s">
        <v>25</v>
      </c>
      <c r="T4342" s="1" t="str">
        <f t="shared" si="8315"/>
        <v>0</v>
      </c>
      <c r="U4342" s="1" t="str">
        <f t="shared" si="8366"/>
        <v>0.0070</v>
      </c>
    </row>
    <row r="4343" s="1" customFormat="1" spans="1:21">
      <c r="A4343" s="1" t="str">
        <f>"4601992102489"</f>
        <v>4601992102489</v>
      </c>
      <c r="B4343" s="1" t="s">
        <v>4366</v>
      </c>
      <c r="C4343" s="1" t="s">
        <v>24</v>
      </c>
      <c r="D4343" s="1" t="str">
        <f t="shared" si="8312"/>
        <v>2021</v>
      </c>
      <c r="E4343" s="1" t="str">
        <f t="shared" ref="E4343:P4343" si="8375">"0"</f>
        <v>0</v>
      </c>
      <c r="F4343" s="1" t="str">
        <f t="shared" si="8375"/>
        <v>0</v>
      </c>
      <c r="G4343" s="1" t="str">
        <f t="shared" si="8375"/>
        <v>0</v>
      </c>
      <c r="H4343" s="1" t="str">
        <f t="shared" si="8375"/>
        <v>0</v>
      </c>
      <c r="I4343" s="1" t="str">
        <f t="shared" si="8375"/>
        <v>0</v>
      </c>
      <c r="J4343" s="1" t="str">
        <f t="shared" si="8375"/>
        <v>0</v>
      </c>
      <c r="K4343" s="1" t="str">
        <f t="shared" si="8375"/>
        <v>0</v>
      </c>
      <c r="L4343" s="1" t="str">
        <f t="shared" si="8375"/>
        <v>0</v>
      </c>
      <c r="M4343" s="1" t="str">
        <f t="shared" si="8375"/>
        <v>0</v>
      </c>
      <c r="N4343" s="1" t="str">
        <f t="shared" si="8375"/>
        <v>0</v>
      </c>
      <c r="O4343" s="1" t="str">
        <f t="shared" si="8375"/>
        <v>0</v>
      </c>
      <c r="P4343" s="1" t="str">
        <f t="shared" si="8375"/>
        <v>0</v>
      </c>
      <c r="Q4343" s="1" t="str">
        <f t="shared" si="8314"/>
        <v>0.0070</v>
      </c>
      <c r="R4343" s="1" t="s">
        <v>25</v>
      </c>
      <c r="T4343" s="1" t="str">
        <f t="shared" si="8315"/>
        <v>0</v>
      </c>
      <c r="U4343" s="1" t="str">
        <f t="shared" si="8366"/>
        <v>0.0070</v>
      </c>
    </row>
    <row r="4344" s="1" customFormat="1" spans="1:21">
      <c r="A4344" s="1" t="str">
        <f>"4601992102518"</f>
        <v>4601992102518</v>
      </c>
      <c r="B4344" s="1" t="s">
        <v>4367</v>
      </c>
      <c r="C4344" s="1" t="s">
        <v>24</v>
      </c>
      <c r="D4344" s="1" t="str">
        <f t="shared" si="8312"/>
        <v>2021</v>
      </c>
      <c r="E4344" s="1" t="str">
        <f t="shared" ref="E4344:P4344" si="8376">"0"</f>
        <v>0</v>
      </c>
      <c r="F4344" s="1" t="str">
        <f t="shared" si="8376"/>
        <v>0</v>
      </c>
      <c r="G4344" s="1" t="str">
        <f t="shared" si="8376"/>
        <v>0</v>
      </c>
      <c r="H4344" s="1" t="str">
        <f t="shared" si="8376"/>
        <v>0</v>
      </c>
      <c r="I4344" s="1" t="str">
        <f t="shared" si="8376"/>
        <v>0</v>
      </c>
      <c r="J4344" s="1" t="str">
        <f t="shared" si="8376"/>
        <v>0</v>
      </c>
      <c r="K4344" s="1" t="str">
        <f t="shared" si="8376"/>
        <v>0</v>
      </c>
      <c r="L4344" s="1" t="str">
        <f t="shared" si="8376"/>
        <v>0</v>
      </c>
      <c r="M4344" s="1" t="str">
        <f t="shared" si="8376"/>
        <v>0</v>
      </c>
      <c r="N4344" s="1" t="str">
        <f t="shared" si="8376"/>
        <v>0</v>
      </c>
      <c r="O4344" s="1" t="str">
        <f t="shared" si="8376"/>
        <v>0</v>
      </c>
      <c r="P4344" s="1" t="str">
        <f t="shared" si="8376"/>
        <v>0</v>
      </c>
      <c r="Q4344" s="1" t="str">
        <f t="shared" si="8314"/>
        <v>0.0070</v>
      </c>
      <c r="R4344" s="1" t="s">
        <v>25</v>
      </c>
      <c r="T4344" s="1" t="str">
        <f t="shared" si="8315"/>
        <v>0</v>
      </c>
      <c r="U4344" s="1" t="str">
        <f t="shared" si="8366"/>
        <v>0.0070</v>
      </c>
    </row>
    <row r="4345" s="1" customFormat="1" spans="1:21">
      <c r="A4345" s="1" t="str">
        <f>"4601992102399"</f>
        <v>4601992102399</v>
      </c>
      <c r="B4345" s="1" t="s">
        <v>4368</v>
      </c>
      <c r="C4345" s="1" t="s">
        <v>24</v>
      </c>
      <c r="D4345" s="1" t="str">
        <f t="shared" si="8312"/>
        <v>2021</v>
      </c>
      <c r="E4345" s="1" t="str">
        <f t="shared" ref="E4345:I4345" si="8377">"0"</f>
        <v>0</v>
      </c>
      <c r="F4345" s="1" t="str">
        <f t="shared" si="8377"/>
        <v>0</v>
      </c>
      <c r="G4345" s="1" t="str">
        <f t="shared" si="8377"/>
        <v>0</v>
      </c>
      <c r="H4345" s="1" t="str">
        <f t="shared" si="8377"/>
        <v>0</v>
      </c>
      <c r="I4345" s="1" t="str">
        <f t="shared" si="8377"/>
        <v>0</v>
      </c>
      <c r="J4345" s="1" t="str">
        <f>"1"</f>
        <v>1</v>
      </c>
      <c r="K4345" s="1" t="str">
        <f t="shared" ref="K4345:P4345" si="8378">"0"</f>
        <v>0</v>
      </c>
      <c r="L4345" s="1" t="str">
        <f t="shared" si="8378"/>
        <v>0</v>
      </c>
      <c r="M4345" s="1" t="str">
        <f t="shared" si="8378"/>
        <v>0</v>
      </c>
      <c r="N4345" s="1" t="str">
        <f t="shared" si="8378"/>
        <v>0</v>
      </c>
      <c r="O4345" s="1" t="str">
        <f t="shared" si="8378"/>
        <v>0</v>
      </c>
      <c r="P4345" s="1" t="str">
        <f t="shared" si="8378"/>
        <v>0</v>
      </c>
      <c r="Q4345" s="1" t="str">
        <f t="shared" si="8314"/>
        <v>0.0070</v>
      </c>
      <c r="R4345" s="1" t="s">
        <v>25</v>
      </c>
      <c r="T4345" s="1" t="str">
        <f t="shared" si="8315"/>
        <v>0</v>
      </c>
      <c r="U4345" s="1" t="str">
        <f t="shared" si="8366"/>
        <v>0.0070</v>
      </c>
    </row>
    <row r="4346" s="1" customFormat="1" spans="1:21">
      <c r="A4346" s="1" t="str">
        <f>"4601992102679"</f>
        <v>4601992102679</v>
      </c>
      <c r="B4346" s="1" t="s">
        <v>4369</v>
      </c>
      <c r="C4346" s="1" t="s">
        <v>24</v>
      </c>
      <c r="D4346" s="1" t="str">
        <f t="shared" si="8312"/>
        <v>2021</v>
      </c>
      <c r="E4346" s="1" t="str">
        <f t="shared" ref="E4346:P4346" si="8379">"0"</f>
        <v>0</v>
      </c>
      <c r="F4346" s="1" t="str">
        <f t="shared" si="8379"/>
        <v>0</v>
      </c>
      <c r="G4346" s="1" t="str">
        <f t="shared" si="8379"/>
        <v>0</v>
      </c>
      <c r="H4346" s="1" t="str">
        <f t="shared" si="8379"/>
        <v>0</v>
      </c>
      <c r="I4346" s="1" t="str">
        <f t="shared" si="8379"/>
        <v>0</v>
      </c>
      <c r="J4346" s="1" t="str">
        <f t="shared" si="8379"/>
        <v>0</v>
      </c>
      <c r="K4346" s="1" t="str">
        <f t="shared" si="8379"/>
        <v>0</v>
      </c>
      <c r="L4346" s="1" t="str">
        <f t="shared" si="8379"/>
        <v>0</v>
      </c>
      <c r="M4346" s="1" t="str">
        <f t="shared" si="8379"/>
        <v>0</v>
      </c>
      <c r="N4346" s="1" t="str">
        <f t="shared" si="8379"/>
        <v>0</v>
      </c>
      <c r="O4346" s="1" t="str">
        <f t="shared" si="8379"/>
        <v>0</v>
      </c>
      <c r="P4346" s="1" t="str">
        <f t="shared" si="8379"/>
        <v>0</v>
      </c>
      <c r="Q4346" s="1" t="str">
        <f t="shared" si="8314"/>
        <v>0.0070</v>
      </c>
      <c r="R4346" s="1" t="s">
        <v>25</v>
      </c>
      <c r="T4346" s="1" t="str">
        <f t="shared" si="8315"/>
        <v>0</v>
      </c>
      <c r="U4346" s="1" t="str">
        <f t="shared" si="8366"/>
        <v>0.0070</v>
      </c>
    </row>
    <row r="4347" s="1" customFormat="1" spans="1:21">
      <c r="A4347" s="1" t="str">
        <f>"4601992102605"</f>
        <v>4601992102605</v>
      </c>
      <c r="B4347" s="1" t="s">
        <v>4370</v>
      </c>
      <c r="C4347" s="1" t="s">
        <v>24</v>
      </c>
      <c r="D4347" s="1" t="str">
        <f t="shared" si="8312"/>
        <v>2021</v>
      </c>
      <c r="E4347" s="1" t="str">
        <f t="shared" ref="E4347:P4347" si="8380">"0"</f>
        <v>0</v>
      </c>
      <c r="F4347" s="1" t="str">
        <f t="shared" si="8380"/>
        <v>0</v>
      </c>
      <c r="G4347" s="1" t="str">
        <f t="shared" si="8380"/>
        <v>0</v>
      </c>
      <c r="H4347" s="1" t="str">
        <f t="shared" si="8380"/>
        <v>0</v>
      </c>
      <c r="I4347" s="1" t="str">
        <f t="shared" si="8380"/>
        <v>0</v>
      </c>
      <c r="J4347" s="1" t="str">
        <f t="shared" si="8380"/>
        <v>0</v>
      </c>
      <c r="K4347" s="1" t="str">
        <f t="shared" si="8380"/>
        <v>0</v>
      </c>
      <c r="L4347" s="1" t="str">
        <f t="shared" si="8380"/>
        <v>0</v>
      </c>
      <c r="M4347" s="1" t="str">
        <f t="shared" si="8380"/>
        <v>0</v>
      </c>
      <c r="N4347" s="1" t="str">
        <f t="shared" si="8380"/>
        <v>0</v>
      </c>
      <c r="O4347" s="1" t="str">
        <f t="shared" si="8380"/>
        <v>0</v>
      </c>
      <c r="P4347" s="1" t="str">
        <f t="shared" si="8380"/>
        <v>0</v>
      </c>
      <c r="Q4347" s="1" t="str">
        <f t="shared" si="8314"/>
        <v>0.0070</v>
      </c>
      <c r="R4347" s="1" t="s">
        <v>25</v>
      </c>
      <c r="T4347" s="1" t="str">
        <f t="shared" si="8315"/>
        <v>0</v>
      </c>
      <c r="U4347" s="1" t="str">
        <f t="shared" si="8366"/>
        <v>0.0070</v>
      </c>
    </row>
    <row r="4348" s="1" customFormat="1" spans="1:21">
      <c r="A4348" s="1" t="str">
        <f>"4601992102568"</f>
        <v>4601992102568</v>
      </c>
      <c r="B4348" s="1" t="s">
        <v>4371</v>
      </c>
      <c r="C4348" s="1" t="s">
        <v>24</v>
      </c>
      <c r="D4348" s="1" t="str">
        <f t="shared" si="8312"/>
        <v>2021</v>
      </c>
      <c r="E4348" s="1" t="str">
        <f>"36.24"</f>
        <v>36.24</v>
      </c>
      <c r="F4348" s="1" t="str">
        <f t="shared" ref="F4348:I4348" si="8381">"0"</f>
        <v>0</v>
      </c>
      <c r="G4348" s="1" t="str">
        <f t="shared" si="8381"/>
        <v>0</v>
      </c>
      <c r="H4348" s="1" t="str">
        <f t="shared" si="8381"/>
        <v>0</v>
      </c>
      <c r="I4348" s="1" t="str">
        <f t="shared" si="8381"/>
        <v>0</v>
      </c>
      <c r="J4348" s="1" t="str">
        <f>"3"</f>
        <v>3</v>
      </c>
      <c r="K4348" s="1" t="str">
        <f t="shared" ref="K4348:P4348" si="8382">"0"</f>
        <v>0</v>
      </c>
      <c r="L4348" s="1" t="str">
        <f t="shared" si="8382"/>
        <v>0</v>
      </c>
      <c r="M4348" s="1" t="str">
        <f t="shared" si="8382"/>
        <v>0</v>
      </c>
      <c r="N4348" s="1" t="str">
        <f t="shared" si="8382"/>
        <v>0</v>
      </c>
      <c r="O4348" s="1" t="str">
        <f t="shared" si="8382"/>
        <v>0</v>
      </c>
      <c r="P4348" s="1" t="str">
        <f t="shared" si="8382"/>
        <v>0</v>
      </c>
      <c r="Q4348" s="1" t="str">
        <f t="shared" si="8314"/>
        <v>0.0070</v>
      </c>
      <c r="R4348" s="1" t="s">
        <v>29</v>
      </c>
      <c r="S4348" s="1">
        <v>-0.0014</v>
      </c>
      <c r="T4348" s="1" t="str">
        <f t="shared" si="8315"/>
        <v>0</v>
      </c>
      <c r="U4348" s="1" t="str">
        <f>"0.0056"</f>
        <v>0.0056</v>
      </c>
    </row>
    <row r="4349" s="1" customFormat="1" spans="1:21">
      <c r="A4349" s="1" t="str">
        <f>"4601992102708"</f>
        <v>4601992102708</v>
      </c>
      <c r="B4349" s="1" t="s">
        <v>4372</v>
      </c>
      <c r="C4349" s="1" t="s">
        <v>24</v>
      </c>
      <c r="D4349" s="1" t="str">
        <f t="shared" si="8312"/>
        <v>2021</v>
      </c>
      <c r="E4349" s="1" t="str">
        <f t="shared" ref="E4349:P4349" si="8383">"0"</f>
        <v>0</v>
      </c>
      <c r="F4349" s="1" t="str">
        <f t="shared" si="8383"/>
        <v>0</v>
      </c>
      <c r="G4349" s="1" t="str">
        <f t="shared" si="8383"/>
        <v>0</v>
      </c>
      <c r="H4349" s="1" t="str">
        <f t="shared" si="8383"/>
        <v>0</v>
      </c>
      <c r="I4349" s="1" t="str">
        <f t="shared" si="8383"/>
        <v>0</v>
      </c>
      <c r="J4349" s="1" t="str">
        <f t="shared" si="8383"/>
        <v>0</v>
      </c>
      <c r="K4349" s="1" t="str">
        <f t="shared" si="8383"/>
        <v>0</v>
      </c>
      <c r="L4349" s="1" t="str">
        <f t="shared" si="8383"/>
        <v>0</v>
      </c>
      <c r="M4349" s="1" t="str">
        <f t="shared" si="8383"/>
        <v>0</v>
      </c>
      <c r="N4349" s="1" t="str">
        <f t="shared" si="8383"/>
        <v>0</v>
      </c>
      <c r="O4349" s="1" t="str">
        <f t="shared" si="8383"/>
        <v>0</v>
      </c>
      <c r="P4349" s="1" t="str">
        <f t="shared" si="8383"/>
        <v>0</v>
      </c>
      <c r="Q4349" s="1" t="str">
        <f t="shared" si="8314"/>
        <v>0.0070</v>
      </c>
      <c r="R4349" s="1" t="s">
        <v>25</v>
      </c>
      <c r="T4349" s="1" t="str">
        <f t="shared" si="8315"/>
        <v>0</v>
      </c>
      <c r="U4349" s="1" t="str">
        <f t="shared" ref="U4349:U4355" si="8384">"0.0070"</f>
        <v>0.0070</v>
      </c>
    </row>
    <row r="4350" s="1" customFormat="1" spans="1:21">
      <c r="A4350" s="1" t="str">
        <f>"4601992102730"</f>
        <v>4601992102730</v>
      </c>
      <c r="B4350" s="1" t="s">
        <v>4373</v>
      </c>
      <c r="C4350" s="1" t="s">
        <v>24</v>
      </c>
      <c r="D4350" s="1" t="str">
        <f t="shared" si="8312"/>
        <v>2021</v>
      </c>
      <c r="E4350" s="1" t="str">
        <f t="shared" ref="E4350:P4350" si="8385">"0"</f>
        <v>0</v>
      </c>
      <c r="F4350" s="1" t="str">
        <f t="shared" si="8385"/>
        <v>0</v>
      </c>
      <c r="G4350" s="1" t="str">
        <f t="shared" si="8385"/>
        <v>0</v>
      </c>
      <c r="H4350" s="1" t="str">
        <f t="shared" si="8385"/>
        <v>0</v>
      </c>
      <c r="I4350" s="1" t="str">
        <f t="shared" si="8385"/>
        <v>0</v>
      </c>
      <c r="J4350" s="1" t="str">
        <f t="shared" si="8385"/>
        <v>0</v>
      </c>
      <c r="K4350" s="1" t="str">
        <f t="shared" si="8385"/>
        <v>0</v>
      </c>
      <c r="L4350" s="1" t="str">
        <f t="shared" si="8385"/>
        <v>0</v>
      </c>
      <c r="M4350" s="1" t="str">
        <f t="shared" si="8385"/>
        <v>0</v>
      </c>
      <c r="N4350" s="1" t="str">
        <f t="shared" si="8385"/>
        <v>0</v>
      </c>
      <c r="O4350" s="1" t="str">
        <f t="shared" si="8385"/>
        <v>0</v>
      </c>
      <c r="P4350" s="1" t="str">
        <f t="shared" si="8385"/>
        <v>0</v>
      </c>
      <c r="Q4350" s="1" t="str">
        <f t="shared" si="8314"/>
        <v>0.0070</v>
      </c>
      <c r="R4350" s="1" t="s">
        <v>25</v>
      </c>
      <c r="T4350" s="1" t="str">
        <f t="shared" si="8315"/>
        <v>0</v>
      </c>
      <c r="U4350" s="1" t="str">
        <f t="shared" si="8384"/>
        <v>0.0070</v>
      </c>
    </row>
    <row r="4351" s="1" customFormat="1" spans="1:21">
      <c r="A4351" s="1" t="str">
        <f>"4601992102737"</f>
        <v>4601992102737</v>
      </c>
      <c r="B4351" s="1" t="s">
        <v>4374</v>
      </c>
      <c r="C4351" s="1" t="s">
        <v>24</v>
      </c>
      <c r="D4351" s="1" t="str">
        <f t="shared" si="8312"/>
        <v>2021</v>
      </c>
      <c r="E4351" s="1" t="str">
        <f t="shared" ref="E4351:P4351" si="8386">"0"</f>
        <v>0</v>
      </c>
      <c r="F4351" s="1" t="str">
        <f t="shared" si="8386"/>
        <v>0</v>
      </c>
      <c r="G4351" s="1" t="str">
        <f t="shared" si="8386"/>
        <v>0</v>
      </c>
      <c r="H4351" s="1" t="str">
        <f t="shared" si="8386"/>
        <v>0</v>
      </c>
      <c r="I4351" s="1" t="str">
        <f t="shared" si="8386"/>
        <v>0</v>
      </c>
      <c r="J4351" s="1" t="str">
        <f t="shared" si="8386"/>
        <v>0</v>
      </c>
      <c r="K4351" s="1" t="str">
        <f t="shared" si="8386"/>
        <v>0</v>
      </c>
      <c r="L4351" s="1" t="str">
        <f t="shared" si="8386"/>
        <v>0</v>
      </c>
      <c r="M4351" s="1" t="str">
        <f t="shared" si="8386"/>
        <v>0</v>
      </c>
      <c r="N4351" s="1" t="str">
        <f t="shared" si="8386"/>
        <v>0</v>
      </c>
      <c r="O4351" s="1" t="str">
        <f t="shared" si="8386"/>
        <v>0</v>
      </c>
      <c r="P4351" s="1" t="str">
        <f t="shared" si="8386"/>
        <v>0</v>
      </c>
      <c r="Q4351" s="1" t="str">
        <f t="shared" si="8314"/>
        <v>0.0070</v>
      </c>
      <c r="R4351" s="1" t="s">
        <v>25</v>
      </c>
      <c r="T4351" s="1" t="str">
        <f t="shared" si="8315"/>
        <v>0</v>
      </c>
      <c r="U4351" s="1" t="str">
        <f t="shared" si="8384"/>
        <v>0.0070</v>
      </c>
    </row>
    <row r="4352" s="1" customFormat="1" spans="1:21">
      <c r="A4352" s="1" t="str">
        <f>"4601992102784"</f>
        <v>4601992102784</v>
      </c>
      <c r="B4352" s="1" t="s">
        <v>4375</v>
      </c>
      <c r="C4352" s="1" t="s">
        <v>24</v>
      </c>
      <c r="D4352" s="1" t="str">
        <f t="shared" si="8312"/>
        <v>2021</v>
      </c>
      <c r="E4352" s="1" t="str">
        <f t="shared" ref="E4352:P4352" si="8387">"0"</f>
        <v>0</v>
      </c>
      <c r="F4352" s="1" t="str">
        <f t="shared" si="8387"/>
        <v>0</v>
      </c>
      <c r="G4352" s="1" t="str">
        <f t="shared" si="8387"/>
        <v>0</v>
      </c>
      <c r="H4352" s="1" t="str">
        <f t="shared" si="8387"/>
        <v>0</v>
      </c>
      <c r="I4352" s="1" t="str">
        <f t="shared" si="8387"/>
        <v>0</v>
      </c>
      <c r="J4352" s="1" t="str">
        <f t="shared" si="8387"/>
        <v>0</v>
      </c>
      <c r="K4352" s="1" t="str">
        <f t="shared" si="8387"/>
        <v>0</v>
      </c>
      <c r="L4352" s="1" t="str">
        <f t="shared" si="8387"/>
        <v>0</v>
      </c>
      <c r="M4352" s="1" t="str">
        <f t="shared" si="8387"/>
        <v>0</v>
      </c>
      <c r="N4352" s="1" t="str">
        <f t="shared" si="8387"/>
        <v>0</v>
      </c>
      <c r="O4352" s="1" t="str">
        <f t="shared" si="8387"/>
        <v>0</v>
      </c>
      <c r="P4352" s="1" t="str">
        <f t="shared" si="8387"/>
        <v>0</v>
      </c>
      <c r="Q4352" s="1" t="str">
        <f t="shared" si="8314"/>
        <v>0.0070</v>
      </c>
      <c r="R4352" s="1" t="s">
        <v>25</v>
      </c>
      <c r="T4352" s="1" t="str">
        <f t="shared" si="8315"/>
        <v>0</v>
      </c>
      <c r="U4352" s="1" t="str">
        <f t="shared" si="8384"/>
        <v>0.0070</v>
      </c>
    </row>
    <row r="4353" s="1" customFormat="1" spans="1:21">
      <c r="A4353" s="1" t="str">
        <f>"4601992102872"</f>
        <v>4601992102872</v>
      </c>
      <c r="B4353" s="1" t="s">
        <v>4376</v>
      </c>
      <c r="C4353" s="1" t="s">
        <v>24</v>
      </c>
      <c r="D4353" s="1" t="str">
        <f t="shared" si="8312"/>
        <v>2021</v>
      </c>
      <c r="E4353" s="1" t="str">
        <f t="shared" ref="E4353:P4353" si="8388">"0"</f>
        <v>0</v>
      </c>
      <c r="F4353" s="1" t="str">
        <f t="shared" si="8388"/>
        <v>0</v>
      </c>
      <c r="G4353" s="1" t="str">
        <f t="shared" si="8388"/>
        <v>0</v>
      </c>
      <c r="H4353" s="1" t="str">
        <f t="shared" si="8388"/>
        <v>0</v>
      </c>
      <c r="I4353" s="1" t="str">
        <f t="shared" si="8388"/>
        <v>0</v>
      </c>
      <c r="J4353" s="1" t="str">
        <f t="shared" si="8388"/>
        <v>0</v>
      </c>
      <c r="K4353" s="1" t="str">
        <f t="shared" si="8388"/>
        <v>0</v>
      </c>
      <c r="L4353" s="1" t="str">
        <f t="shared" si="8388"/>
        <v>0</v>
      </c>
      <c r="M4353" s="1" t="str">
        <f t="shared" si="8388"/>
        <v>0</v>
      </c>
      <c r="N4353" s="1" t="str">
        <f t="shared" si="8388"/>
        <v>0</v>
      </c>
      <c r="O4353" s="1" t="str">
        <f t="shared" si="8388"/>
        <v>0</v>
      </c>
      <c r="P4353" s="1" t="str">
        <f t="shared" si="8388"/>
        <v>0</v>
      </c>
      <c r="Q4353" s="1" t="str">
        <f t="shared" si="8314"/>
        <v>0.0070</v>
      </c>
      <c r="R4353" s="1" t="s">
        <v>25</v>
      </c>
      <c r="T4353" s="1" t="str">
        <f t="shared" si="8315"/>
        <v>0</v>
      </c>
      <c r="U4353" s="1" t="str">
        <f t="shared" si="8384"/>
        <v>0.0070</v>
      </c>
    </row>
    <row r="4354" s="1" customFormat="1" spans="1:21">
      <c r="A4354" s="1" t="str">
        <f>"4601992102850"</f>
        <v>4601992102850</v>
      </c>
      <c r="B4354" s="1" t="s">
        <v>4377</v>
      </c>
      <c r="C4354" s="1" t="s">
        <v>24</v>
      </c>
      <c r="D4354" s="1" t="str">
        <f t="shared" si="8312"/>
        <v>2021</v>
      </c>
      <c r="E4354" s="1" t="str">
        <f t="shared" ref="E4354:P4354" si="8389">"0"</f>
        <v>0</v>
      </c>
      <c r="F4354" s="1" t="str">
        <f t="shared" si="8389"/>
        <v>0</v>
      </c>
      <c r="G4354" s="1" t="str">
        <f t="shared" si="8389"/>
        <v>0</v>
      </c>
      <c r="H4354" s="1" t="str">
        <f t="shared" si="8389"/>
        <v>0</v>
      </c>
      <c r="I4354" s="1" t="str">
        <f t="shared" si="8389"/>
        <v>0</v>
      </c>
      <c r="J4354" s="1" t="str">
        <f t="shared" si="8389"/>
        <v>0</v>
      </c>
      <c r="K4354" s="1" t="str">
        <f t="shared" si="8389"/>
        <v>0</v>
      </c>
      <c r="L4354" s="1" t="str">
        <f t="shared" si="8389"/>
        <v>0</v>
      </c>
      <c r="M4354" s="1" t="str">
        <f t="shared" si="8389"/>
        <v>0</v>
      </c>
      <c r="N4354" s="1" t="str">
        <f t="shared" si="8389"/>
        <v>0</v>
      </c>
      <c r="O4354" s="1" t="str">
        <f t="shared" si="8389"/>
        <v>0</v>
      </c>
      <c r="P4354" s="1" t="str">
        <f t="shared" si="8389"/>
        <v>0</v>
      </c>
      <c r="Q4354" s="1" t="str">
        <f t="shared" si="8314"/>
        <v>0.0070</v>
      </c>
      <c r="R4354" s="1" t="s">
        <v>25</v>
      </c>
      <c r="T4354" s="1" t="str">
        <f t="shared" si="8315"/>
        <v>0</v>
      </c>
      <c r="U4354" s="1" t="str">
        <f t="shared" si="8384"/>
        <v>0.0070</v>
      </c>
    </row>
    <row r="4355" s="1" customFormat="1" spans="1:21">
      <c r="A4355" s="1" t="str">
        <f>"4601992102878"</f>
        <v>4601992102878</v>
      </c>
      <c r="B4355" s="1" t="s">
        <v>4378</v>
      </c>
      <c r="C4355" s="1" t="s">
        <v>24</v>
      </c>
      <c r="D4355" s="1" t="str">
        <f t="shared" ref="D4355:D4418" si="8390">"2021"</f>
        <v>2021</v>
      </c>
      <c r="E4355" s="1" t="str">
        <f t="shared" ref="E4355:P4355" si="8391">"0"</f>
        <v>0</v>
      </c>
      <c r="F4355" s="1" t="str">
        <f t="shared" si="8391"/>
        <v>0</v>
      </c>
      <c r="G4355" s="1" t="str">
        <f t="shared" si="8391"/>
        <v>0</v>
      </c>
      <c r="H4355" s="1" t="str">
        <f t="shared" si="8391"/>
        <v>0</v>
      </c>
      <c r="I4355" s="1" t="str">
        <f t="shared" si="8391"/>
        <v>0</v>
      </c>
      <c r="J4355" s="1" t="str">
        <f t="shared" si="8391"/>
        <v>0</v>
      </c>
      <c r="K4355" s="1" t="str">
        <f t="shared" si="8391"/>
        <v>0</v>
      </c>
      <c r="L4355" s="1" t="str">
        <f t="shared" si="8391"/>
        <v>0</v>
      </c>
      <c r="M4355" s="1" t="str">
        <f t="shared" si="8391"/>
        <v>0</v>
      </c>
      <c r="N4355" s="1" t="str">
        <f t="shared" si="8391"/>
        <v>0</v>
      </c>
      <c r="O4355" s="1" t="str">
        <f t="shared" si="8391"/>
        <v>0</v>
      </c>
      <c r="P4355" s="1" t="str">
        <f t="shared" si="8391"/>
        <v>0</v>
      </c>
      <c r="Q4355" s="1" t="str">
        <f t="shared" ref="Q4355:Q4418" si="8392">"0.0070"</f>
        <v>0.0070</v>
      </c>
      <c r="R4355" s="1" t="s">
        <v>25</v>
      </c>
      <c r="T4355" s="1" t="str">
        <f t="shared" ref="T4355:T4418" si="8393">"0"</f>
        <v>0</v>
      </c>
      <c r="U4355" s="1" t="str">
        <f t="shared" si="8384"/>
        <v>0.0070</v>
      </c>
    </row>
    <row r="4356" s="1" customFormat="1" spans="1:21">
      <c r="A4356" s="1" t="str">
        <f>"4601992102814"</f>
        <v>4601992102814</v>
      </c>
      <c r="B4356" s="1" t="s">
        <v>4379</v>
      </c>
      <c r="C4356" s="1" t="s">
        <v>24</v>
      </c>
      <c r="D4356" s="1" t="str">
        <f t="shared" si="8390"/>
        <v>2021</v>
      </c>
      <c r="E4356" s="1" t="str">
        <f>"35.94"</f>
        <v>35.94</v>
      </c>
      <c r="F4356" s="1" t="str">
        <f t="shared" ref="F4356:I4356" si="8394">"0"</f>
        <v>0</v>
      </c>
      <c r="G4356" s="1" t="str">
        <f t="shared" si="8394"/>
        <v>0</v>
      </c>
      <c r="H4356" s="1" t="str">
        <f t="shared" si="8394"/>
        <v>0</v>
      </c>
      <c r="I4356" s="1" t="str">
        <f t="shared" si="8394"/>
        <v>0</v>
      </c>
      <c r="J4356" s="1" t="str">
        <f>"3"</f>
        <v>3</v>
      </c>
      <c r="K4356" s="1" t="str">
        <f t="shared" ref="K4356:P4356" si="8395">"0"</f>
        <v>0</v>
      </c>
      <c r="L4356" s="1" t="str">
        <f t="shared" si="8395"/>
        <v>0</v>
      </c>
      <c r="M4356" s="1" t="str">
        <f t="shared" si="8395"/>
        <v>0</v>
      </c>
      <c r="N4356" s="1" t="str">
        <f t="shared" si="8395"/>
        <v>0</v>
      </c>
      <c r="O4356" s="1" t="str">
        <f t="shared" si="8395"/>
        <v>0</v>
      </c>
      <c r="P4356" s="1" t="str">
        <f t="shared" si="8395"/>
        <v>0</v>
      </c>
      <c r="Q4356" s="1" t="str">
        <f t="shared" si="8392"/>
        <v>0.0070</v>
      </c>
      <c r="R4356" s="1" t="s">
        <v>29</v>
      </c>
      <c r="S4356" s="1">
        <v>-0.0014</v>
      </c>
      <c r="T4356" s="1" t="str">
        <f t="shared" si="8393"/>
        <v>0</v>
      </c>
      <c r="U4356" s="1" t="str">
        <f>"0.0056"</f>
        <v>0.0056</v>
      </c>
    </row>
    <row r="4357" s="1" customFormat="1" spans="1:21">
      <c r="A4357" s="1" t="str">
        <f>"4601992102935"</f>
        <v>4601992102935</v>
      </c>
      <c r="B4357" s="1" t="s">
        <v>4380</v>
      </c>
      <c r="C4357" s="1" t="s">
        <v>24</v>
      </c>
      <c r="D4357" s="1" t="str">
        <f t="shared" si="8390"/>
        <v>2021</v>
      </c>
      <c r="E4357" s="1" t="str">
        <f t="shared" ref="E4357:P4357" si="8396">"0"</f>
        <v>0</v>
      </c>
      <c r="F4357" s="1" t="str">
        <f t="shared" si="8396"/>
        <v>0</v>
      </c>
      <c r="G4357" s="1" t="str">
        <f t="shared" si="8396"/>
        <v>0</v>
      </c>
      <c r="H4357" s="1" t="str">
        <f t="shared" si="8396"/>
        <v>0</v>
      </c>
      <c r="I4357" s="1" t="str">
        <f t="shared" si="8396"/>
        <v>0</v>
      </c>
      <c r="J4357" s="1" t="str">
        <f t="shared" si="8396"/>
        <v>0</v>
      </c>
      <c r="K4357" s="1" t="str">
        <f t="shared" si="8396"/>
        <v>0</v>
      </c>
      <c r="L4357" s="1" t="str">
        <f t="shared" si="8396"/>
        <v>0</v>
      </c>
      <c r="M4357" s="1" t="str">
        <f t="shared" si="8396"/>
        <v>0</v>
      </c>
      <c r="N4357" s="1" t="str">
        <f t="shared" si="8396"/>
        <v>0</v>
      </c>
      <c r="O4357" s="1" t="str">
        <f t="shared" si="8396"/>
        <v>0</v>
      </c>
      <c r="P4357" s="1" t="str">
        <f t="shared" si="8396"/>
        <v>0</v>
      </c>
      <c r="Q4357" s="1" t="str">
        <f t="shared" si="8392"/>
        <v>0.0070</v>
      </c>
      <c r="R4357" s="1" t="s">
        <v>25</v>
      </c>
      <c r="T4357" s="1" t="str">
        <f t="shared" si="8393"/>
        <v>0</v>
      </c>
      <c r="U4357" s="1" t="str">
        <f t="shared" ref="U4357:U4359" si="8397">"0.0070"</f>
        <v>0.0070</v>
      </c>
    </row>
    <row r="4358" s="1" customFormat="1" spans="1:21">
      <c r="A4358" s="1" t="str">
        <f>"4601992103034"</f>
        <v>4601992103034</v>
      </c>
      <c r="B4358" s="1" t="s">
        <v>4381</v>
      </c>
      <c r="C4358" s="1" t="s">
        <v>24</v>
      </c>
      <c r="D4358" s="1" t="str">
        <f t="shared" si="8390"/>
        <v>2021</v>
      </c>
      <c r="E4358" s="1" t="str">
        <f t="shared" ref="E4358:P4358" si="8398">"0"</f>
        <v>0</v>
      </c>
      <c r="F4358" s="1" t="str">
        <f t="shared" si="8398"/>
        <v>0</v>
      </c>
      <c r="G4358" s="1" t="str">
        <f t="shared" si="8398"/>
        <v>0</v>
      </c>
      <c r="H4358" s="1" t="str">
        <f t="shared" si="8398"/>
        <v>0</v>
      </c>
      <c r="I4358" s="1" t="str">
        <f t="shared" si="8398"/>
        <v>0</v>
      </c>
      <c r="J4358" s="1" t="str">
        <f t="shared" si="8398"/>
        <v>0</v>
      </c>
      <c r="K4358" s="1" t="str">
        <f t="shared" si="8398"/>
        <v>0</v>
      </c>
      <c r="L4358" s="1" t="str">
        <f t="shared" si="8398"/>
        <v>0</v>
      </c>
      <c r="M4358" s="1" t="str">
        <f t="shared" si="8398"/>
        <v>0</v>
      </c>
      <c r="N4358" s="1" t="str">
        <f t="shared" si="8398"/>
        <v>0</v>
      </c>
      <c r="O4358" s="1" t="str">
        <f t="shared" si="8398"/>
        <v>0</v>
      </c>
      <c r="P4358" s="1" t="str">
        <f t="shared" si="8398"/>
        <v>0</v>
      </c>
      <c r="Q4358" s="1" t="str">
        <f t="shared" si="8392"/>
        <v>0.0070</v>
      </c>
      <c r="R4358" s="1" t="s">
        <v>25</v>
      </c>
      <c r="T4358" s="1" t="str">
        <f t="shared" si="8393"/>
        <v>0</v>
      </c>
      <c r="U4358" s="1" t="str">
        <f t="shared" si="8397"/>
        <v>0.0070</v>
      </c>
    </row>
    <row r="4359" s="1" customFormat="1" spans="1:21">
      <c r="A4359" s="1" t="str">
        <f>"4601992103037"</f>
        <v>4601992103037</v>
      </c>
      <c r="B4359" s="1" t="s">
        <v>4382</v>
      </c>
      <c r="C4359" s="1" t="s">
        <v>24</v>
      </c>
      <c r="D4359" s="1" t="str">
        <f t="shared" si="8390"/>
        <v>2021</v>
      </c>
      <c r="E4359" s="1" t="str">
        <f t="shared" ref="E4359:P4359" si="8399">"0"</f>
        <v>0</v>
      </c>
      <c r="F4359" s="1" t="str">
        <f t="shared" si="8399"/>
        <v>0</v>
      </c>
      <c r="G4359" s="1" t="str">
        <f t="shared" si="8399"/>
        <v>0</v>
      </c>
      <c r="H4359" s="1" t="str">
        <f t="shared" si="8399"/>
        <v>0</v>
      </c>
      <c r="I4359" s="1" t="str">
        <f t="shared" si="8399"/>
        <v>0</v>
      </c>
      <c r="J4359" s="1" t="str">
        <f t="shared" si="8399"/>
        <v>0</v>
      </c>
      <c r="K4359" s="1" t="str">
        <f t="shared" si="8399"/>
        <v>0</v>
      </c>
      <c r="L4359" s="1" t="str">
        <f t="shared" si="8399"/>
        <v>0</v>
      </c>
      <c r="M4359" s="1" t="str">
        <f t="shared" si="8399"/>
        <v>0</v>
      </c>
      <c r="N4359" s="1" t="str">
        <f t="shared" si="8399"/>
        <v>0</v>
      </c>
      <c r="O4359" s="1" t="str">
        <f t="shared" si="8399"/>
        <v>0</v>
      </c>
      <c r="P4359" s="1" t="str">
        <f t="shared" si="8399"/>
        <v>0</v>
      </c>
      <c r="Q4359" s="1" t="str">
        <f t="shared" si="8392"/>
        <v>0.0070</v>
      </c>
      <c r="R4359" s="1" t="s">
        <v>25</v>
      </c>
      <c r="T4359" s="1" t="str">
        <f t="shared" si="8393"/>
        <v>0</v>
      </c>
      <c r="U4359" s="1" t="str">
        <f t="shared" si="8397"/>
        <v>0.0070</v>
      </c>
    </row>
    <row r="4360" s="1" customFormat="1" spans="1:21">
      <c r="A4360" s="1" t="str">
        <f>"4601992102881"</f>
        <v>4601992102881</v>
      </c>
      <c r="B4360" s="1" t="s">
        <v>4383</v>
      </c>
      <c r="C4360" s="1" t="s">
        <v>24</v>
      </c>
      <c r="D4360" s="1" t="str">
        <f t="shared" si="8390"/>
        <v>2021</v>
      </c>
      <c r="E4360" s="1" t="str">
        <f>"35.94"</f>
        <v>35.94</v>
      </c>
      <c r="F4360" s="1" t="str">
        <f t="shared" ref="F4360:I4360" si="8400">"0"</f>
        <v>0</v>
      </c>
      <c r="G4360" s="1" t="str">
        <f t="shared" si="8400"/>
        <v>0</v>
      </c>
      <c r="H4360" s="1" t="str">
        <f t="shared" si="8400"/>
        <v>0</v>
      </c>
      <c r="I4360" s="1" t="str">
        <f t="shared" si="8400"/>
        <v>0</v>
      </c>
      <c r="J4360" s="1" t="str">
        <f>"3"</f>
        <v>3</v>
      </c>
      <c r="K4360" s="1" t="str">
        <f t="shared" ref="K4360:P4360" si="8401">"0"</f>
        <v>0</v>
      </c>
      <c r="L4360" s="1" t="str">
        <f t="shared" si="8401"/>
        <v>0</v>
      </c>
      <c r="M4360" s="1" t="str">
        <f t="shared" si="8401"/>
        <v>0</v>
      </c>
      <c r="N4360" s="1" t="str">
        <f t="shared" si="8401"/>
        <v>0</v>
      </c>
      <c r="O4360" s="1" t="str">
        <f t="shared" si="8401"/>
        <v>0</v>
      </c>
      <c r="P4360" s="1" t="str">
        <f t="shared" si="8401"/>
        <v>0</v>
      </c>
      <c r="Q4360" s="1" t="str">
        <f t="shared" si="8392"/>
        <v>0.0070</v>
      </c>
      <c r="R4360" s="1" t="s">
        <v>29</v>
      </c>
      <c r="S4360" s="1">
        <v>-0.0014</v>
      </c>
      <c r="T4360" s="1" t="str">
        <f t="shared" si="8393"/>
        <v>0</v>
      </c>
      <c r="U4360" s="1" t="str">
        <f>"0.0056"</f>
        <v>0.0056</v>
      </c>
    </row>
    <row r="4361" s="1" customFormat="1" spans="1:21">
      <c r="A4361" s="1" t="str">
        <f>"4601992103066"</f>
        <v>4601992103066</v>
      </c>
      <c r="B4361" s="1" t="s">
        <v>4384</v>
      </c>
      <c r="C4361" s="1" t="s">
        <v>24</v>
      </c>
      <c r="D4361" s="1" t="str">
        <f t="shared" si="8390"/>
        <v>2021</v>
      </c>
      <c r="E4361" s="1" t="str">
        <f t="shared" ref="E4361:P4361" si="8402">"0"</f>
        <v>0</v>
      </c>
      <c r="F4361" s="1" t="str">
        <f t="shared" si="8402"/>
        <v>0</v>
      </c>
      <c r="G4361" s="1" t="str">
        <f t="shared" si="8402"/>
        <v>0</v>
      </c>
      <c r="H4361" s="1" t="str">
        <f t="shared" si="8402"/>
        <v>0</v>
      </c>
      <c r="I4361" s="1" t="str">
        <f t="shared" si="8402"/>
        <v>0</v>
      </c>
      <c r="J4361" s="1" t="str">
        <f t="shared" si="8402"/>
        <v>0</v>
      </c>
      <c r="K4361" s="1" t="str">
        <f t="shared" si="8402"/>
        <v>0</v>
      </c>
      <c r="L4361" s="1" t="str">
        <f t="shared" si="8402"/>
        <v>0</v>
      </c>
      <c r="M4361" s="1" t="str">
        <f t="shared" si="8402"/>
        <v>0</v>
      </c>
      <c r="N4361" s="1" t="str">
        <f t="shared" si="8402"/>
        <v>0</v>
      </c>
      <c r="O4361" s="1" t="str">
        <f t="shared" si="8402"/>
        <v>0</v>
      </c>
      <c r="P4361" s="1" t="str">
        <f t="shared" si="8402"/>
        <v>0</v>
      </c>
      <c r="Q4361" s="1" t="str">
        <f t="shared" si="8392"/>
        <v>0.0070</v>
      </c>
      <c r="R4361" s="1" t="s">
        <v>25</v>
      </c>
      <c r="T4361" s="1" t="str">
        <f t="shared" si="8393"/>
        <v>0</v>
      </c>
      <c r="U4361" s="1" t="str">
        <f t="shared" ref="U4361:U4404" si="8403">"0.0070"</f>
        <v>0.0070</v>
      </c>
    </row>
    <row r="4362" s="1" customFormat="1" spans="1:21">
      <c r="A4362" s="1" t="str">
        <f>"4601992103072"</f>
        <v>4601992103072</v>
      </c>
      <c r="B4362" s="1" t="s">
        <v>4385</v>
      </c>
      <c r="C4362" s="1" t="s">
        <v>24</v>
      </c>
      <c r="D4362" s="1" t="str">
        <f t="shared" si="8390"/>
        <v>2021</v>
      </c>
      <c r="E4362" s="1" t="str">
        <f t="shared" ref="E4362:P4362" si="8404">"0"</f>
        <v>0</v>
      </c>
      <c r="F4362" s="1" t="str">
        <f t="shared" si="8404"/>
        <v>0</v>
      </c>
      <c r="G4362" s="1" t="str">
        <f t="shared" si="8404"/>
        <v>0</v>
      </c>
      <c r="H4362" s="1" t="str">
        <f t="shared" si="8404"/>
        <v>0</v>
      </c>
      <c r="I4362" s="1" t="str">
        <f t="shared" si="8404"/>
        <v>0</v>
      </c>
      <c r="J4362" s="1" t="str">
        <f t="shared" si="8404"/>
        <v>0</v>
      </c>
      <c r="K4362" s="1" t="str">
        <f t="shared" si="8404"/>
        <v>0</v>
      </c>
      <c r="L4362" s="1" t="str">
        <f t="shared" si="8404"/>
        <v>0</v>
      </c>
      <c r="M4362" s="1" t="str">
        <f t="shared" si="8404"/>
        <v>0</v>
      </c>
      <c r="N4362" s="1" t="str">
        <f t="shared" si="8404"/>
        <v>0</v>
      </c>
      <c r="O4362" s="1" t="str">
        <f t="shared" si="8404"/>
        <v>0</v>
      </c>
      <c r="P4362" s="1" t="str">
        <f t="shared" si="8404"/>
        <v>0</v>
      </c>
      <c r="Q4362" s="1" t="str">
        <f t="shared" si="8392"/>
        <v>0.0070</v>
      </c>
      <c r="R4362" s="1" t="s">
        <v>25</v>
      </c>
      <c r="T4362" s="1" t="str">
        <f t="shared" si="8393"/>
        <v>0</v>
      </c>
      <c r="U4362" s="1" t="str">
        <f t="shared" si="8403"/>
        <v>0.0070</v>
      </c>
    </row>
    <row r="4363" s="1" customFormat="1" spans="1:21">
      <c r="A4363" s="1" t="str">
        <f>"4601992103110"</f>
        <v>4601992103110</v>
      </c>
      <c r="B4363" s="1" t="s">
        <v>4386</v>
      </c>
      <c r="C4363" s="1" t="s">
        <v>24</v>
      </c>
      <c r="D4363" s="1" t="str">
        <f t="shared" si="8390"/>
        <v>2021</v>
      </c>
      <c r="E4363" s="1" t="str">
        <f t="shared" ref="E4363:P4363" si="8405">"0"</f>
        <v>0</v>
      </c>
      <c r="F4363" s="1" t="str">
        <f t="shared" si="8405"/>
        <v>0</v>
      </c>
      <c r="G4363" s="1" t="str">
        <f t="shared" si="8405"/>
        <v>0</v>
      </c>
      <c r="H4363" s="1" t="str">
        <f t="shared" si="8405"/>
        <v>0</v>
      </c>
      <c r="I4363" s="1" t="str">
        <f t="shared" si="8405"/>
        <v>0</v>
      </c>
      <c r="J4363" s="1" t="str">
        <f t="shared" si="8405"/>
        <v>0</v>
      </c>
      <c r="K4363" s="1" t="str">
        <f t="shared" si="8405"/>
        <v>0</v>
      </c>
      <c r="L4363" s="1" t="str">
        <f t="shared" si="8405"/>
        <v>0</v>
      </c>
      <c r="M4363" s="1" t="str">
        <f t="shared" si="8405"/>
        <v>0</v>
      </c>
      <c r="N4363" s="1" t="str">
        <f t="shared" si="8405"/>
        <v>0</v>
      </c>
      <c r="O4363" s="1" t="str">
        <f t="shared" si="8405"/>
        <v>0</v>
      </c>
      <c r="P4363" s="1" t="str">
        <f t="shared" si="8405"/>
        <v>0</v>
      </c>
      <c r="Q4363" s="1" t="str">
        <f t="shared" si="8392"/>
        <v>0.0070</v>
      </c>
      <c r="R4363" s="1" t="s">
        <v>25</v>
      </c>
      <c r="T4363" s="1" t="str">
        <f t="shared" si="8393"/>
        <v>0</v>
      </c>
      <c r="U4363" s="1" t="str">
        <f t="shared" si="8403"/>
        <v>0.0070</v>
      </c>
    </row>
    <row r="4364" s="1" customFormat="1" spans="1:21">
      <c r="A4364" s="1" t="str">
        <f>"4601992103098"</f>
        <v>4601992103098</v>
      </c>
      <c r="B4364" s="1" t="s">
        <v>4387</v>
      </c>
      <c r="C4364" s="1" t="s">
        <v>24</v>
      </c>
      <c r="D4364" s="1" t="str">
        <f t="shared" si="8390"/>
        <v>2021</v>
      </c>
      <c r="E4364" s="1" t="str">
        <f t="shared" ref="E4364:P4364" si="8406">"0"</f>
        <v>0</v>
      </c>
      <c r="F4364" s="1" t="str">
        <f t="shared" si="8406"/>
        <v>0</v>
      </c>
      <c r="G4364" s="1" t="str">
        <f t="shared" si="8406"/>
        <v>0</v>
      </c>
      <c r="H4364" s="1" t="str">
        <f t="shared" si="8406"/>
        <v>0</v>
      </c>
      <c r="I4364" s="1" t="str">
        <f t="shared" si="8406"/>
        <v>0</v>
      </c>
      <c r="J4364" s="1" t="str">
        <f t="shared" si="8406"/>
        <v>0</v>
      </c>
      <c r="K4364" s="1" t="str">
        <f t="shared" si="8406"/>
        <v>0</v>
      </c>
      <c r="L4364" s="1" t="str">
        <f t="shared" si="8406"/>
        <v>0</v>
      </c>
      <c r="M4364" s="1" t="str">
        <f t="shared" si="8406"/>
        <v>0</v>
      </c>
      <c r="N4364" s="1" t="str">
        <f t="shared" si="8406"/>
        <v>0</v>
      </c>
      <c r="O4364" s="1" t="str">
        <f t="shared" si="8406"/>
        <v>0</v>
      </c>
      <c r="P4364" s="1" t="str">
        <f t="shared" si="8406"/>
        <v>0</v>
      </c>
      <c r="Q4364" s="1" t="str">
        <f t="shared" si="8392"/>
        <v>0.0070</v>
      </c>
      <c r="R4364" s="1" t="s">
        <v>25</v>
      </c>
      <c r="T4364" s="1" t="str">
        <f t="shared" si="8393"/>
        <v>0</v>
      </c>
      <c r="U4364" s="1" t="str">
        <f t="shared" si="8403"/>
        <v>0.0070</v>
      </c>
    </row>
    <row r="4365" s="1" customFormat="1" spans="1:21">
      <c r="A4365" s="1" t="str">
        <f>"4601992103125"</f>
        <v>4601992103125</v>
      </c>
      <c r="B4365" s="1" t="s">
        <v>4388</v>
      </c>
      <c r="C4365" s="1" t="s">
        <v>24</v>
      </c>
      <c r="D4365" s="1" t="str">
        <f t="shared" si="8390"/>
        <v>2021</v>
      </c>
      <c r="E4365" s="1" t="str">
        <f t="shared" ref="E4365:P4365" si="8407">"0"</f>
        <v>0</v>
      </c>
      <c r="F4365" s="1" t="str">
        <f t="shared" si="8407"/>
        <v>0</v>
      </c>
      <c r="G4365" s="1" t="str">
        <f t="shared" si="8407"/>
        <v>0</v>
      </c>
      <c r="H4365" s="1" t="str">
        <f t="shared" si="8407"/>
        <v>0</v>
      </c>
      <c r="I4365" s="1" t="str">
        <f t="shared" si="8407"/>
        <v>0</v>
      </c>
      <c r="J4365" s="1" t="str">
        <f t="shared" si="8407"/>
        <v>0</v>
      </c>
      <c r="K4365" s="1" t="str">
        <f t="shared" si="8407"/>
        <v>0</v>
      </c>
      <c r="L4365" s="1" t="str">
        <f t="shared" si="8407"/>
        <v>0</v>
      </c>
      <c r="M4365" s="1" t="str">
        <f t="shared" si="8407"/>
        <v>0</v>
      </c>
      <c r="N4365" s="1" t="str">
        <f t="shared" si="8407"/>
        <v>0</v>
      </c>
      <c r="O4365" s="1" t="str">
        <f t="shared" si="8407"/>
        <v>0</v>
      </c>
      <c r="P4365" s="1" t="str">
        <f t="shared" si="8407"/>
        <v>0</v>
      </c>
      <c r="Q4365" s="1" t="str">
        <f t="shared" si="8392"/>
        <v>0.0070</v>
      </c>
      <c r="R4365" s="1" t="s">
        <v>25</v>
      </c>
      <c r="T4365" s="1" t="str">
        <f t="shared" si="8393"/>
        <v>0</v>
      </c>
      <c r="U4365" s="1" t="str">
        <f t="shared" si="8403"/>
        <v>0.0070</v>
      </c>
    </row>
    <row r="4366" s="1" customFormat="1" spans="1:21">
      <c r="A4366" s="1" t="str">
        <f>"4601992103203"</f>
        <v>4601992103203</v>
      </c>
      <c r="B4366" s="1" t="s">
        <v>4389</v>
      </c>
      <c r="C4366" s="1" t="s">
        <v>24</v>
      </c>
      <c r="D4366" s="1" t="str">
        <f t="shared" si="8390"/>
        <v>2021</v>
      </c>
      <c r="E4366" s="1" t="str">
        <f t="shared" ref="E4366:P4366" si="8408">"0"</f>
        <v>0</v>
      </c>
      <c r="F4366" s="1" t="str">
        <f t="shared" si="8408"/>
        <v>0</v>
      </c>
      <c r="G4366" s="1" t="str">
        <f t="shared" si="8408"/>
        <v>0</v>
      </c>
      <c r="H4366" s="1" t="str">
        <f t="shared" si="8408"/>
        <v>0</v>
      </c>
      <c r="I4366" s="1" t="str">
        <f t="shared" si="8408"/>
        <v>0</v>
      </c>
      <c r="J4366" s="1" t="str">
        <f t="shared" si="8408"/>
        <v>0</v>
      </c>
      <c r="K4366" s="1" t="str">
        <f t="shared" si="8408"/>
        <v>0</v>
      </c>
      <c r="L4366" s="1" t="str">
        <f t="shared" si="8408"/>
        <v>0</v>
      </c>
      <c r="M4366" s="1" t="str">
        <f t="shared" si="8408"/>
        <v>0</v>
      </c>
      <c r="N4366" s="1" t="str">
        <f t="shared" si="8408"/>
        <v>0</v>
      </c>
      <c r="O4366" s="1" t="str">
        <f t="shared" si="8408"/>
        <v>0</v>
      </c>
      <c r="P4366" s="1" t="str">
        <f t="shared" si="8408"/>
        <v>0</v>
      </c>
      <c r="Q4366" s="1" t="str">
        <f t="shared" si="8392"/>
        <v>0.0070</v>
      </c>
      <c r="R4366" s="1" t="s">
        <v>25</v>
      </c>
      <c r="T4366" s="1" t="str">
        <f t="shared" si="8393"/>
        <v>0</v>
      </c>
      <c r="U4366" s="1" t="str">
        <f t="shared" si="8403"/>
        <v>0.0070</v>
      </c>
    </row>
    <row r="4367" s="1" customFormat="1" spans="1:21">
      <c r="A4367" s="1" t="str">
        <f>"4601992103205"</f>
        <v>4601992103205</v>
      </c>
      <c r="B4367" s="1" t="s">
        <v>4390</v>
      </c>
      <c r="C4367" s="1" t="s">
        <v>24</v>
      </c>
      <c r="D4367" s="1" t="str">
        <f t="shared" si="8390"/>
        <v>2021</v>
      </c>
      <c r="E4367" s="1" t="str">
        <f t="shared" ref="E4367:P4367" si="8409">"0"</f>
        <v>0</v>
      </c>
      <c r="F4367" s="1" t="str">
        <f t="shared" si="8409"/>
        <v>0</v>
      </c>
      <c r="G4367" s="1" t="str">
        <f t="shared" si="8409"/>
        <v>0</v>
      </c>
      <c r="H4367" s="1" t="str">
        <f t="shared" si="8409"/>
        <v>0</v>
      </c>
      <c r="I4367" s="1" t="str">
        <f t="shared" si="8409"/>
        <v>0</v>
      </c>
      <c r="J4367" s="1" t="str">
        <f t="shared" si="8409"/>
        <v>0</v>
      </c>
      <c r="K4367" s="1" t="str">
        <f t="shared" si="8409"/>
        <v>0</v>
      </c>
      <c r="L4367" s="1" t="str">
        <f t="shared" si="8409"/>
        <v>0</v>
      </c>
      <c r="M4367" s="1" t="str">
        <f t="shared" si="8409"/>
        <v>0</v>
      </c>
      <c r="N4367" s="1" t="str">
        <f t="shared" si="8409"/>
        <v>0</v>
      </c>
      <c r="O4367" s="1" t="str">
        <f t="shared" si="8409"/>
        <v>0</v>
      </c>
      <c r="P4367" s="1" t="str">
        <f t="shared" si="8409"/>
        <v>0</v>
      </c>
      <c r="Q4367" s="1" t="str">
        <f t="shared" si="8392"/>
        <v>0.0070</v>
      </c>
      <c r="R4367" s="1" t="s">
        <v>25</v>
      </c>
      <c r="T4367" s="1" t="str">
        <f t="shared" si="8393"/>
        <v>0</v>
      </c>
      <c r="U4367" s="1" t="str">
        <f t="shared" si="8403"/>
        <v>0.0070</v>
      </c>
    </row>
    <row r="4368" s="1" customFormat="1" spans="1:21">
      <c r="A4368" s="1" t="str">
        <f>"4601992103392"</f>
        <v>4601992103392</v>
      </c>
      <c r="B4368" s="1" t="s">
        <v>4391</v>
      </c>
      <c r="C4368" s="1" t="s">
        <v>24</v>
      </c>
      <c r="D4368" s="1" t="str">
        <f t="shared" si="8390"/>
        <v>2021</v>
      </c>
      <c r="E4368" s="1" t="str">
        <f t="shared" ref="E4368:P4368" si="8410">"0"</f>
        <v>0</v>
      </c>
      <c r="F4368" s="1" t="str">
        <f t="shared" si="8410"/>
        <v>0</v>
      </c>
      <c r="G4368" s="1" t="str">
        <f t="shared" si="8410"/>
        <v>0</v>
      </c>
      <c r="H4368" s="1" t="str">
        <f t="shared" si="8410"/>
        <v>0</v>
      </c>
      <c r="I4368" s="1" t="str">
        <f t="shared" si="8410"/>
        <v>0</v>
      </c>
      <c r="J4368" s="1" t="str">
        <f t="shared" si="8410"/>
        <v>0</v>
      </c>
      <c r="K4368" s="1" t="str">
        <f t="shared" si="8410"/>
        <v>0</v>
      </c>
      <c r="L4368" s="1" t="str">
        <f t="shared" si="8410"/>
        <v>0</v>
      </c>
      <c r="M4368" s="1" t="str">
        <f t="shared" si="8410"/>
        <v>0</v>
      </c>
      <c r="N4368" s="1" t="str">
        <f t="shared" si="8410"/>
        <v>0</v>
      </c>
      <c r="O4368" s="1" t="str">
        <f t="shared" si="8410"/>
        <v>0</v>
      </c>
      <c r="P4368" s="1" t="str">
        <f t="shared" si="8410"/>
        <v>0</v>
      </c>
      <c r="Q4368" s="1" t="str">
        <f t="shared" si="8392"/>
        <v>0.0070</v>
      </c>
      <c r="R4368" s="1" t="s">
        <v>25</v>
      </c>
      <c r="T4368" s="1" t="str">
        <f t="shared" si="8393"/>
        <v>0</v>
      </c>
      <c r="U4368" s="1" t="str">
        <f t="shared" si="8403"/>
        <v>0.0070</v>
      </c>
    </row>
    <row r="4369" s="1" customFormat="1" spans="1:21">
      <c r="A4369" s="1" t="str">
        <f>"4601992103608"</f>
        <v>4601992103608</v>
      </c>
      <c r="B4369" s="1" t="s">
        <v>4392</v>
      </c>
      <c r="C4369" s="1" t="s">
        <v>24</v>
      </c>
      <c r="D4369" s="1" t="str">
        <f t="shared" si="8390"/>
        <v>2021</v>
      </c>
      <c r="E4369" s="1" t="str">
        <f t="shared" ref="E4369:P4369" si="8411">"0"</f>
        <v>0</v>
      </c>
      <c r="F4369" s="1" t="str">
        <f t="shared" si="8411"/>
        <v>0</v>
      </c>
      <c r="G4369" s="1" t="str">
        <f t="shared" si="8411"/>
        <v>0</v>
      </c>
      <c r="H4369" s="1" t="str">
        <f t="shared" si="8411"/>
        <v>0</v>
      </c>
      <c r="I4369" s="1" t="str">
        <f t="shared" si="8411"/>
        <v>0</v>
      </c>
      <c r="J4369" s="1" t="str">
        <f t="shared" si="8411"/>
        <v>0</v>
      </c>
      <c r="K4369" s="1" t="str">
        <f t="shared" si="8411"/>
        <v>0</v>
      </c>
      <c r="L4369" s="1" t="str">
        <f t="shared" si="8411"/>
        <v>0</v>
      </c>
      <c r="M4369" s="1" t="str">
        <f t="shared" si="8411"/>
        <v>0</v>
      </c>
      <c r="N4369" s="1" t="str">
        <f t="shared" si="8411"/>
        <v>0</v>
      </c>
      <c r="O4369" s="1" t="str">
        <f t="shared" si="8411"/>
        <v>0</v>
      </c>
      <c r="P4369" s="1" t="str">
        <f t="shared" si="8411"/>
        <v>0</v>
      </c>
      <c r="Q4369" s="1" t="str">
        <f t="shared" si="8392"/>
        <v>0.0070</v>
      </c>
      <c r="R4369" s="1" t="s">
        <v>25</v>
      </c>
      <c r="T4369" s="1" t="str">
        <f t="shared" si="8393"/>
        <v>0</v>
      </c>
      <c r="U4369" s="1" t="str">
        <f t="shared" si="8403"/>
        <v>0.0070</v>
      </c>
    </row>
    <row r="4370" s="1" customFormat="1" spans="1:21">
      <c r="A4370" s="1" t="str">
        <f>"4601992103521"</f>
        <v>4601992103521</v>
      </c>
      <c r="B4370" s="1" t="s">
        <v>4393</v>
      </c>
      <c r="C4370" s="1" t="s">
        <v>24</v>
      </c>
      <c r="D4370" s="1" t="str">
        <f t="shared" si="8390"/>
        <v>2021</v>
      </c>
      <c r="E4370" s="1" t="str">
        <f t="shared" ref="E4370:I4370" si="8412">"0"</f>
        <v>0</v>
      </c>
      <c r="F4370" s="1" t="str">
        <f t="shared" si="8412"/>
        <v>0</v>
      </c>
      <c r="G4370" s="1" t="str">
        <f t="shared" si="8412"/>
        <v>0</v>
      </c>
      <c r="H4370" s="1" t="str">
        <f t="shared" si="8412"/>
        <v>0</v>
      </c>
      <c r="I4370" s="1" t="str">
        <f t="shared" si="8412"/>
        <v>0</v>
      </c>
      <c r="J4370" s="1" t="str">
        <f>"2"</f>
        <v>2</v>
      </c>
      <c r="K4370" s="1" t="str">
        <f t="shared" ref="K4370:P4370" si="8413">"0"</f>
        <v>0</v>
      </c>
      <c r="L4370" s="1" t="str">
        <f t="shared" si="8413"/>
        <v>0</v>
      </c>
      <c r="M4370" s="1" t="str">
        <f t="shared" si="8413"/>
        <v>0</v>
      </c>
      <c r="N4370" s="1" t="str">
        <f t="shared" si="8413"/>
        <v>0</v>
      </c>
      <c r="O4370" s="1" t="str">
        <f t="shared" si="8413"/>
        <v>0</v>
      </c>
      <c r="P4370" s="1" t="str">
        <f t="shared" si="8413"/>
        <v>0</v>
      </c>
      <c r="Q4370" s="1" t="str">
        <f t="shared" si="8392"/>
        <v>0.0070</v>
      </c>
      <c r="R4370" s="1" t="s">
        <v>25</v>
      </c>
      <c r="T4370" s="1" t="str">
        <f t="shared" si="8393"/>
        <v>0</v>
      </c>
      <c r="U4370" s="1" t="str">
        <f t="shared" si="8403"/>
        <v>0.0070</v>
      </c>
    </row>
    <row r="4371" s="1" customFormat="1" spans="1:21">
      <c r="A4371" s="1" t="str">
        <f>"4601992104921"</f>
        <v>4601992104921</v>
      </c>
      <c r="B4371" s="1" t="s">
        <v>4394</v>
      </c>
      <c r="C4371" s="1" t="s">
        <v>24</v>
      </c>
      <c r="D4371" s="1" t="str">
        <f t="shared" si="8390"/>
        <v>2021</v>
      </c>
      <c r="E4371" s="1" t="str">
        <f t="shared" ref="E4371:P4371" si="8414">"0"</f>
        <v>0</v>
      </c>
      <c r="F4371" s="1" t="str">
        <f t="shared" si="8414"/>
        <v>0</v>
      </c>
      <c r="G4371" s="1" t="str">
        <f t="shared" si="8414"/>
        <v>0</v>
      </c>
      <c r="H4371" s="1" t="str">
        <f t="shared" si="8414"/>
        <v>0</v>
      </c>
      <c r="I4371" s="1" t="str">
        <f t="shared" si="8414"/>
        <v>0</v>
      </c>
      <c r="J4371" s="1" t="str">
        <f t="shared" si="8414"/>
        <v>0</v>
      </c>
      <c r="K4371" s="1" t="str">
        <f t="shared" si="8414"/>
        <v>0</v>
      </c>
      <c r="L4371" s="1" t="str">
        <f t="shared" si="8414"/>
        <v>0</v>
      </c>
      <c r="M4371" s="1" t="str">
        <f t="shared" si="8414"/>
        <v>0</v>
      </c>
      <c r="N4371" s="1" t="str">
        <f t="shared" si="8414"/>
        <v>0</v>
      </c>
      <c r="O4371" s="1" t="str">
        <f t="shared" si="8414"/>
        <v>0</v>
      </c>
      <c r="P4371" s="1" t="str">
        <f t="shared" si="8414"/>
        <v>0</v>
      </c>
      <c r="Q4371" s="1" t="str">
        <f t="shared" si="8392"/>
        <v>0.0070</v>
      </c>
      <c r="R4371" s="1" t="s">
        <v>25</v>
      </c>
      <c r="T4371" s="1" t="str">
        <f t="shared" si="8393"/>
        <v>0</v>
      </c>
      <c r="U4371" s="1" t="str">
        <f t="shared" si="8403"/>
        <v>0.0070</v>
      </c>
    </row>
    <row r="4372" s="1" customFormat="1" spans="1:21">
      <c r="A4372" s="1" t="str">
        <f>"4601992103907"</f>
        <v>4601992103907</v>
      </c>
      <c r="B4372" s="1" t="s">
        <v>4395</v>
      </c>
      <c r="C4372" s="1" t="s">
        <v>24</v>
      </c>
      <c r="D4372" s="1" t="str">
        <f t="shared" si="8390"/>
        <v>2021</v>
      </c>
      <c r="E4372" s="1" t="str">
        <f t="shared" ref="E4372:P4372" si="8415">"0"</f>
        <v>0</v>
      </c>
      <c r="F4372" s="1" t="str">
        <f t="shared" si="8415"/>
        <v>0</v>
      </c>
      <c r="G4372" s="1" t="str">
        <f t="shared" si="8415"/>
        <v>0</v>
      </c>
      <c r="H4372" s="1" t="str">
        <f t="shared" si="8415"/>
        <v>0</v>
      </c>
      <c r="I4372" s="1" t="str">
        <f t="shared" si="8415"/>
        <v>0</v>
      </c>
      <c r="J4372" s="1" t="str">
        <f t="shared" si="8415"/>
        <v>0</v>
      </c>
      <c r="K4372" s="1" t="str">
        <f t="shared" si="8415"/>
        <v>0</v>
      </c>
      <c r="L4372" s="1" t="str">
        <f t="shared" si="8415"/>
        <v>0</v>
      </c>
      <c r="M4372" s="1" t="str">
        <f t="shared" si="8415"/>
        <v>0</v>
      </c>
      <c r="N4372" s="1" t="str">
        <f t="shared" si="8415"/>
        <v>0</v>
      </c>
      <c r="O4372" s="1" t="str">
        <f t="shared" si="8415"/>
        <v>0</v>
      </c>
      <c r="P4372" s="1" t="str">
        <f t="shared" si="8415"/>
        <v>0</v>
      </c>
      <c r="Q4372" s="1" t="str">
        <f t="shared" si="8392"/>
        <v>0.0070</v>
      </c>
      <c r="R4372" s="1" t="s">
        <v>25</v>
      </c>
      <c r="T4372" s="1" t="str">
        <f t="shared" si="8393"/>
        <v>0</v>
      </c>
      <c r="U4372" s="1" t="str">
        <f t="shared" si="8403"/>
        <v>0.0070</v>
      </c>
    </row>
    <row r="4373" s="1" customFormat="1" spans="1:21">
      <c r="A4373" s="1" t="str">
        <f>"4601992107895"</f>
        <v>4601992107895</v>
      </c>
      <c r="B4373" s="1" t="s">
        <v>4396</v>
      </c>
      <c r="C4373" s="1" t="s">
        <v>24</v>
      </c>
      <c r="D4373" s="1" t="str">
        <f t="shared" si="8390"/>
        <v>2021</v>
      </c>
      <c r="E4373" s="1" t="str">
        <f t="shared" ref="E4373:P4373" si="8416">"0"</f>
        <v>0</v>
      </c>
      <c r="F4373" s="1" t="str">
        <f t="shared" si="8416"/>
        <v>0</v>
      </c>
      <c r="G4373" s="1" t="str">
        <f t="shared" si="8416"/>
        <v>0</v>
      </c>
      <c r="H4373" s="1" t="str">
        <f t="shared" si="8416"/>
        <v>0</v>
      </c>
      <c r="I4373" s="1" t="str">
        <f t="shared" si="8416"/>
        <v>0</v>
      </c>
      <c r="J4373" s="1" t="str">
        <f t="shared" si="8416"/>
        <v>0</v>
      </c>
      <c r="K4373" s="1" t="str">
        <f t="shared" si="8416"/>
        <v>0</v>
      </c>
      <c r="L4373" s="1" t="str">
        <f t="shared" si="8416"/>
        <v>0</v>
      </c>
      <c r="M4373" s="1" t="str">
        <f t="shared" si="8416"/>
        <v>0</v>
      </c>
      <c r="N4373" s="1" t="str">
        <f t="shared" si="8416"/>
        <v>0</v>
      </c>
      <c r="O4373" s="1" t="str">
        <f t="shared" si="8416"/>
        <v>0</v>
      </c>
      <c r="P4373" s="1" t="str">
        <f t="shared" si="8416"/>
        <v>0</v>
      </c>
      <c r="Q4373" s="1" t="str">
        <f t="shared" si="8392"/>
        <v>0.0070</v>
      </c>
      <c r="R4373" s="1" t="s">
        <v>25</v>
      </c>
      <c r="T4373" s="1" t="str">
        <f t="shared" si="8393"/>
        <v>0</v>
      </c>
      <c r="U4373" s="1" t="str">
        <f t="shared" si="8403"/>
        <v>0.0070</v>
      </c>
    </row>
    <row r="4374" s="1" customFormat="1" spans="1:21">
      <c r="A4374" s="1" t="str">
        <f>"4601992109859"</f>
        <v>4601992109859</v>
      </c>
      <c r="B4374" s="1" t="s">
        <v>4397</v>
      </c>
      <c r="C4374" s="1" t="s">
        <v>24</v>
      </c>
      <c r="D4374" s="1" t="str">
        <f t="shared" si="8390"/>
        <v>2021</v>
      </c>
      <c r="E4374" s="1" t="str">
        <f t="shared" ref="E4374:P4374" si="8417">"0"</f>
        <v>0</v>
      </c>
      <c r="F4374" s="1" t="str">
        <f t="shared" si="8417"/>
        <v>0</v>
      </c>
      <c r="G4374" s="1" t="str">
        <f t="shared" si="8417"/>
        <v>0</v>
      </c>
      <c r="H4374" s="1" t="str">
        <f t="shared" si="8417"/>
        <v>0</v>
      </c>
      <c r="I4374" s="1" t="str">
        <f t="shared" si="8417"/>
        <v>0</v>
      </c>
      <c r="J4374" s="1" t="str">
        <f t="shared" si="8417"/>
        <v>0</v>
      </c>
      <c r="K4374" s="1" t="str">
        <f t="shared" si="8417"/>
        <v>0</v>
      </c>
      <c r="L4374" s="1" t="str">
        <f t="shared" si="8417"/>
        <v>0</v>
      </c>
      <c r="M4374" s="1" t="str">
        <f t="shared" si="8417"/>
        <v>0</v>
      </c>
      <c r="N4374" s="1" t="str">
        <f t="shared" si="8417"/>
        <v>0</v>
      </c>
      <c r="O4374" s="1" t="str">
        <f t="shared" si="8417"/>
        <v>0</v>
      </c>
      <c r="P4374" s="1" t="str">
        <f t="shared" si="8417"/>
        <v>0</v>
      </c>
      <c r="Q4374" s="1" t="str">
        <f t="shared" si="8392"/>
        <v>0.0070</v>
      </c>
      <c r="R4374" s="1" t="s">
        <v>25</v>
      </c>
      <c r="T4374" s="1" t="str">
        <f t="shared" si="8393"/>
        <v>0</v>
      </c>
      <c r="U4374" s="1" t="str">
        <f t="shared" si="8403"/>
        <v>0.0070</v>
      </c>
    </row>
    <row r="4375" s="1" customFormat="1" spans="1:21">
      <c r="A4375" s="1" t="str">
        <f>"4601992110232"</f>
        <v>4601992110232</v>
      </c>
      <c r="B4375" s="1" t="s">
        <v>4398</v>
      </c>
      <c r="C4375" s="1" t="s">
        <v>24</v>
      </c>
      <c r="D4375" s="1" t="str">
        <f t="shared" si="8390"/>
        <v>2021</v>
      </c>
      <c r="E4375" s="1" t="str">
        <f t="shared" ref="E4375:P4375" si="8418">"0"</f>
        <v>0</v>
      </c>
      <c r="F4375" s="1" t="str">
        <f t="shared" si="8418"/>
        <v>0</v>
      </c>
      <c r="G4375" s="1" t="str">
        <f t="shared" si="8418"/>
        <v>0</v>
      </c>
      <c r="H4375" s="1" t="str">
        <f t="shared" si="8418"/>
        <v>0</v>
      </c>
      <c r="I4375" s="1" t="str">
        <f t="shared" si="8418"/>
        <v>0</v>
      </c>
      <c r="J4375" s="1" t="str">
        <f t="shared" si="8418"/>
        <v>0</v>
      </c>
      <c r="K4375" s="1" t="str">
        <f t="shared" si="8418"/>
        <v>0</v>
      </c>
      <c r="L4375" s="1" t="str">
        <f t="shared" si="8418"/>
        <v>0</v>
      </c>
      <c r="M4375" s="1" t="str">
        <f t="shared" si="8418"/>
        <v>0</v>
      </c>
      <c r="N4375" s="1" t="str">
        <f t="shared" si="8418"/>
        <v>0</v>
      </c>
      <c r="O4375" s="1" t="str">
        <f t="shared" si="8418"/>
        <v>0</v>
      </c>
      <c r="P4375" s="1" t="str">
        <f t="shared" si="8418"/>
        <v>0</v>
      </c>
      <c r="Q4375" s="1" t="str">
        <f t="shared" si="8392"/>
        <v>0.0070</v>
      </c>
      <c r="R4375" s="1" t="s">
        <v>25</v>
      </c>
      <c r="T4375" s="1" t="str">
        <f t="shared" si="8393"/>
        <v>0</v>
      </c>
      <c r="U4375" s="1" t="str">
        <f t="shared" si="8403"/>
        <v>0.0070</v>
      </c>
    </row>
    <row r="4376" s="1" customFormat="1" spans="1:21">
      <c r="A4376" s="1" t="str">
        <f>"4601992110267"</f>
        <v>4601992110267</v>
      </c>
      <c r="B4376" s="1" t="s">
        <v>4399</v>
      </c>
      <c r="C4376" s="1" t="s">
        <v>24</v>
      </c>
      <c r="D4376" s="1" t="str">
        <f t="shared" si="8390"/>
        <v>2021</v>
      </c>
      <c r="E4376" s="1" t="str">
        <f t="shared" ref="E4376:P4376" si="8419">"0"</f>
        <v>0</v>
      </c>
      <c r="F4376" s="1" t="str">
        <f t="shared" si="8419"/>
        <v>0</v>
      </c>
      <c r="G4376" s="1" t="str">
        <f t="shared" si="8419"/>
        <v>0</v>
      </c>
      <c r="H4376" s="1" t="str">
        <f t="shared" si="8419"/>
        <v>0</v>
      </c>
      <c r="I4376" s="1" t="str">
        <f t="shared" si="8419"/>
        <v>0</v>
      </c>
      <c r="J4376" s="1" t="str">
        <f t="shared" si="8419"/>
        <v>0</v>
      </c>
      <c r="K4376" s="1" t="str">
        <f t="shared" si="8419"/>
        <v>0</v>
      </c>
      <c r="L4376" s="1" t="str">
        <f t="shared" si="8419"/>
        <v>0</v>
      </c>
      <c r="M4376" s="1" t="str">
        <f t="shared" si="8419"/>
        <v>0</v>
      </c>
      <c r="N4376" s="1" t="str">
        <f t="shared" si="8419"/>
        <v>0</v>
      </c>
      <c r="O4376" s="1" t="str">
        <f t="shared" si="8419"/>
        <v>0</v>
      </c>
      <c r="P4376" s="1" t="str">
        <f t="shared" si="8419"/>
        <v>0</v>
      </c>
      <c r="Q4376" s="1" t="str">
        <f t="shared" si="8392"/>
        <v>0.0070</v>
      </c>
      <c r="R4376" s="1" t="s">
        <v>25</v>
      </c>
      <c r="T4376" s="1" t="str">
        <f t="shared" si="8393"/>
        <v>0</v>
      </c>
      <c r="U4376" s="1" t="str">
        <f t="shared" si="8403"/>
        <v>0.0070</v>
      </c>
    </row>
    <row r="4377" s="1" customFormat="1" spans="1:21">
      <c r="A4377" s="1" t="str">
        <f>"4601992110521"</f>
        <v>4601992110521</v>
      </c>
      <c r="B4377" s="1" t="s">
        <v>4400</v>
      </c>
      <c r="C4377" s="1" t="s">
        <v>24</v>
      </c>
      <c r="D4377" s="1" t="str">
        <f t="shared" si="8390"/>
        <v>2021</v>
      </c>
      <c r="E4377" s="1" t="str">
        <f t="shared" ref="E4377:P4377" si="8420">"0"</f>
        <v>0</v>
      </c>
      <c r="F4377" s="1" t="str">
        <f t="shared" si="8420"/>
        <v>0</v>
      </c>
      <c r="G4377" s="1" t="str">
        <f t="shared" si="8420"/>
        <v>0</v>
      </c>
      <c r="H4377" s="1" t="str">
        <f t="shared" si="8420"/>
        <v>0</v>
      </c>
      <c r="I4377" s="1" t="str">
        <f t="shared" si="8420"/>
        <v>0</v>
      </c>
      <c r="J4377" s="1" t="str">
        <f t="shared" si="8420"/>
        <v>0</v>
      </c>
      <c r="K4377" s="1" t="str">
        <f t="shared" si="8420"/>
        <v>0</v>
      </c>
      <c r="L4377" s="1" t="str">
        <f t="shared" si="8420"/>
        <v>0</v>
      </c>
      <c r="M4377" s="1" t="str">
        <f t="shared" si="8420"/>
        <v>0</v>
      </c>
      <c r="N4377" s="1" t="str">
        <f t="shared" si="8420"/>
        <v>0</v>
      </c>
      <c r="O4377" s="1" t="str">
        <f t="shared" si="8420"/>
        <v>0</v>
      </c>
      <c r="P4377" s="1" t="str">
        <f t="shared" si="8420"/>
        <v>0</v>
      </c>
      <c r="Q4377" s="1" t="str">
        <f t="shared" si="8392"/>
        <v>0.0070</v>
      </c>
      <c r="R4377" s="1" t="s">
        <v>25</v>
      </c>
      <c r="T4377" s="1" t="str">
        <f t="shared" si="8393"/>
        <v>0</v>
      </c>
      <c r="U4377" s="1" t="str">
        <f t="shared" si="8403"/>
        <v>0.0070</v>
      </c>
    </row>
    <row r="4378" s="1" customFormat="1" spans="1:21">
      <c r="A4378" s="1" t="str">
        <f>"4601992108001"</f>
        <v>4601992108001</v>
      </c>
      <c r="B4378" s="1" t="s">
        <v>4401</v>
      </c>
      <c r="C4378" s="1" t="s">
        <v>24</v>
      </c>
      <c r="D4378" s="1" t="str">
        <f t="shared" si="8390"/>
        <v>2021</v>
      </c>
      <c r="E4378" s="1" t="str">
        <f t="shared" ref="E4378:I4378" si="8421">"0"</f>
        <v>0</v>
      </c>
      <c r="F4378" s="1" t="str">
        <f t="shared" si="8421"/>
        <v>0</v>
      </c>
      <c r="G4378" s="1" t="str">
        <f t="shared" si="8421"/>
        <v>0</v>
      </c>
      <c r="H4378" s="1" t="str">
        <f t="shared" si="8421"/>
        <v>0</v>
      </c>
      <c r="I4378" s="1" t="str">
        <f t="shared" si="8421"/>
        <v>0</v>
      </c>
      <c r="J4378" s="1" t="str">
        <f>"10"</f>
        <v>10</v>
      </c>
      <c r="K4378" s="1" t="str">
        <f t="shared" ref="K4378:P4378" si="8422">"0"</f>
        <v>0</v>
      </c>
      <c r="L4378" s="1" t="str">
        <f t="shared" si="8422"/>
        <v>0</v>
      </c>
      <c r="M4378" s="1" t="str">
        <f t="shared" si="8422"/>
        <v>0</v>
      </c>
      <c r="N4378" s="1" t="str">
        <f t="shared" si="8422"/>
        <v>0</v>
      </c>
      <c r="O4378" s="1" t="str">
        <f t="shared" si="8422"/>
        <v>0</v>
      </c>
      <c r="P4378" s="1" t="str">
        <f t="shared" si="8422"/>
        <v>0</v>
      </c>
      <c r="Q4378" s="1" t="str">
        <f t="shared" si="8392"/>
        <v>0.0070</v>
      </c>
      <c r="R4378" s="1" t="s">
        <v>25</v>
      </c>
      <c r="T4378" s="1" t="str">
        <f t="shared" si="8393"/>
        <v>0</v>
      </c>
      <c r="U4378" s="1" t="str">
        <f t="shared" si="8403"/>
        <v>0.0070</v>
      </c>
    </row>
    <row r="4379" s="1" customFormat="1" spans="1:21">
      <c r="A4379" s="1" t="str">
        <f>"4601992110522"</f>
        <v>4601992110522</v>
      </c>
      <c r="B4379" s="1" t="s">
        <v>4402</v>
      </c>
      <c r="C4379" s="1" t="s">
        <v>24</v>
      </c>
      <c r="D4379" s="1" t="str">
        <f t="shared" si="8390"/>
        <v>2021</v>
      </c>
      <c r="E4379" s="1" t="str">
        <f t="shared" ref="E4379:P4379" si="8423">"0"</f>
        <v>0</v>
      </c>
      <c r="F4379" s="1" t="str">
        <f t="shared" si="8423"/>
        <v>0</v>
      </c>
      <c r="G4379" s="1" t="str">
        <f t="shared" si="8423"/>
        <v>0</v>
      </c>
      <c r="H4379" s="1" t="str">
        <f t="shared" si="8423"/>
        <v>0</v>
      </c>
      <c r="I4379" s="1" t="str">
        <f t="shared" si="8423"/>
        <v>0</v>
      </c>
      <c r="J4379" s="1" t="str">
        <f t="shared" si="8423"/>
        <v>0</v>
      </c>
      <c r="K4379" s="1" t="str">
        <f t="shared" si="8423"/>
        <v>0</v>
      </c>
      <c r="L4379" s="1" t="str">
        <f t="shared" si="8423"/>
        <v>0</v>
      </c>
      <c r="M4379" s="1" t="str">
        <f t="shared" si="8423"/>
        <v>0</v>
      </c>
      <c r="N4379" s="1" t="str">
        <f t="shared" si="8423"/>
        <v>0</v>
      </c>
      <c r="O4379" s="1" t="str">
        <f t="shared" si="8423"/>
        <v>0</v>
      </c>
      <c r="P4379" s="1" t="str">
        <f t="shared" si="8423"/>
        <v>0</v>
      </c>
      <c r="Q4379" s="1" t="str">
        <f t="shared" si="8392"/>
        <v>0.0070</v>
      </c>
      <c r="R4379" s="1" t="s">
        <v>25</v>
      </c>
      <c r="T4379" s="1" t="str">
        <f t="shared" si="8393"/>
        <v>0</v>
      </c>
      <c r="U4379" s="1" t="str">
        <f t="shared" si="8403"/>
        <v>0.0070</v>
      </c>
    </row>
    <row r="4380" s="1" customFormat="1" spans="1:21">
      <c r="A4380" s="1" t="str">
        <f>"4601992110614"</f>
        <v>4601992110614</v>
      </c>
      <c r="B4380" s="1" t="s">
        <v>4403</v>
      </c>
      <c r="C4380" s="1" t="s">
        <v>24</v>
      </c>
      <c r="D4380" s="1" t="str">
        <f t="shared" si="8390"/>
        <v>2021</v>
      </c>
      <c r="E4380" s="1" t="str">
        <f t="shared" ref="E4380:P4380" si="8424">"0"</f>
        <v>0</v>
      </c>
      <c r="F4380" s="1" t="str">
        <f t="shared" si="8424"/>
        <v>0</v>
      </c>
      <c r="G4380" s="1" t="str">
        <f t="shared" si="8424"/>
        <v>0</v>
      </c>
      <c r="H4380" s="1" t="str">
        <f t="shared" si="8424"/>
        <v>0</v>
      </c>
      <c r="I4380" s="1" t="str">
        <f t="shared" si="8424"/>
        <v>0</v>
      </c>
      <c r="J4380" s="1" t="str">
        <f t="shared" si="8424"/>
        <v>0</v>
      </c>
      <c r="K4380" s="1" t="str">
        <f t="shared" si="8424"/>
        <v>0</v>
      </c>
      <c r="L4380" s="1" t="str">
        <f t="shared" si="8424"/>
        <v>0</v>
      </c>
      <c r="M4380" s="1" t="str">
        <f t="shared" si="8424"/>
        <v>0</v>
      </c>
      <c r="N4380" s="1" t="str">
        <f t="shared" si="8424"/>
        <v>0</v>
      </c>
      <c r="O4380" s="1" t="str">
        <f t="shared" si="8424"/>
        <v>0</v>
      </c>
      <c r="P4380" s="1" t="str">
        <f t="shared" si="8424"/>
        <v>0</v>
      </c>
      <c r="Q4380" s="1" t="str">
        <f t="shared" si="8392"/>
        <v>0.0070</v>
      </c>
      <c r="R4380" s="1" t="s">
        <v>25</v>
      </c>
      <c r="T4380" s="1" t="str">
        <f t="shared" si="8393"/>
        <v>0</v>
      </c>
      <c r="U4380" s="1" t="str">
        <f t="shared" si="8403"/>
        <v>0.0070</v>
      </c>
    </row>
    <row r="4381" s="1" customFormat="1" spans="1:21">
      <c r="A4381" s="1" t="str">
        <f>"4601992110622"</f>
        <v>4601992110622</v>
      </c>
      <c r="B4381" s="1" t="s">
        <v>4404</v>
      </c>
      <c r="C4381" s="1" t="s">
        <v>24</v>
      </c>
      <c r="D4381" s="1" t="str">
        <f t="shared" si="8390"/>
        <v>2021</v>
      </c>
      <c r="E4381" s="1" t="str">
        <f t="shared" ref="E4381:P4381" si="8425">"0"</f>
        <v>0</v>
      </c>
      <c r="F4381" s="1" t="str">
        <f t="shared" si="8425"/>
        <v>0</v>
      </c>
      <c r="G4381" s="1" t="str">
        <f t="shared" si="8425"/>
        <v>0</v>
      </c>
      <c r="H4381" s="1" t="str">
        <f t="shared" si="8425"/>
        <v>0</v>
      </c>
      <c r="I4381" s="1" t="str">
        <f t="shared" si="8425"/>
        <v>0</v>
      </c>
      <c r="J4381" s="1" t="str">
        <f t="shared" si="8425"/>
        <v>0</v>
      </c>
      <c r="K4381" s="1" t="str">
        <f t="shared" si="8425"/>
        <v>0</v>
      </c>
      <c r="L4381" s="1" t="str">
        <f t="shared" si="8425"/>
        <v>0</v>
      </c>
      <c r="M4381" s="1" t="str">
        <f t="shared" si="8425"/>
        <v>0</v>
      </c>
      <c r="N4381" s="1" t="str">
        <f t="shared" si="8425"/>
        <v>0</v>
      </c>
      <c r="O4381" s="1" t="str">
        <f t="shared" si="8425"/>
        <v>0</v>
      </c>
      <c r="P4381" s="1" t="str">
        <f t="shared" si="8425"/>
        <v>0</v>
      </c>
      <c r="Q4381" s="1" t="str">
        <f t="shared" si="8392"/>
        <v>0.0070</v>
      </c>
      <c r="R4381" s="1" t="s">
        <v>25</v>
      </c>
      <c r="T4381" s="1" t="str">
        <f t="shared" si="8393"/>
        <v>0</v>
      </c>
      <c r="U4381" s="1" t="str">
        <f t="shared" si="8403"/>
        <v>0.0070</v>
      </c>
    </row>
    <row r="4382" s="1" customFormat="1" spans="1:21">
      <c r="A4382" s="1" t="str">
        <f>"4601992111048"</f>
        <v>4601992111048</v>
      </c>
      <c r="B4382" s="1" t="s">
        <v>4405</v>
      </c>
      <c r="C4382" s="1" t="s">
        <v>24</v>
      </c>
      <c r="D4382" s="1" t="str">
        <f t="shared" si="8390"/>
        <v>2021</v>
      </c>
      <c r="E4382" s="1" t="str">
        <f t="shared" ref="E4382:P4382" si="8426">"0"</f>
        <v>0</v>
      </c>
      <c r="F4382" s="1" t="str">
        <f t="shared" si="8426"/>
        <v>0</v>
      </c>
      <c r="G4382" s="1" t="str">
        <f t="shared" si="8426"/>
        <v>0</v>
      </c>
      <c r="H4382" s="1" t="str">
        <f t="shared" si="8426"/>
        <v>0</v>
      </c>
      <c r="I4382" s="1" t="str">
        <f t="shared" si="8426"/>
        <v>0</v>
      </c>
      <c r="J4382" s="1" t="str">
        <f t="shared" si="8426"/>
        <v>0</v>
      </c>
      <c r="K4382" s="1" t="str">
        <f t="shared" si="8426"/>
        <v>0</v>
      </c>
      <c r="L4382" s="1" t="str">
        <f t="shared" si="8426"/>
        <v>0</v>
      </c>
      <c r="M4382" s="1" t="str">
        <f t="shared" si="8426"/>
        <v>0</v>
      </c>
      <c r="N4382" s="1" t="str">
        <f t="shared" si="8426"/>
        <v>0</v>
      </c>
      <c r="O4382" s="1" t="str">
        <f t="shared" si="8426"/>
        <v>0</v>
      </c>
      <c r="P4382" s="1" t="str">
        <f t="shared" si="8426"/>
        <v>0</v>
      </c>
      <c r="Q4382" s="1" t="str">
        <f t="shared" si="8392"/>
        <v>0.0070</v>
      </c>
      <c r="R4382" s="1" t="s">
        <v>25</v>
      </c>
      <c r="T4382" s="1" t="str">
        <f t="shared" si="8393"/>
        <v>0</v>
      </c>
      <c r="U4382" s="1" t="str">
        <f t="shared" si="8403"/>
        <v>0.0070</v>
      </c>
    </row>
    <row r="4383" s="1" customFormat="1" spans="1:21">
      <c r="A4383" s="1" t="str">
        <f>"4601992110925"</f>
        <v>4601992110925</v>
      </c>
      <c r="B4383" s="1" t="s">
        <v>4406</v>
      </c>
      <c r="C4383" s="1" t="s">
        <v>24</v>
      </c>
      <c r="D4383" s="1" t="str">
        <f t="shared" si="8390"/>
        <v>2021</v>
      </c>
      <c r="E4383" s="1" t="str">
        <f t="shared" ref="E4383:P4383" si="8427">"0"</f>
        <v>0</v>
      </c>
      <c r="F4383" s="1" t="str">
        <f t="shared" si="8427"/>
        <v>0</v>
      </c>
      <c r="G4383" s="1" t="str">
        <f t="shared" si="8427"/>
        <v>0</v>
      </c>
      <c r="H4383" s="1" t="str">
        <f t="shared" si="8427"/>
        <v>0</v>
      </c>
      <c r="I4383" s="1" t="str">
        <f t="shared" si="8427"/>
        <v>0</v>
      </c>
      <c r="J4383" s="1" t="str">
        <f t="shared" si="8427"/>
        <v>0</v>
      </c>
      <c r="K4383" s="1" t="str">
        <f t="shared" si="8427"/>
        <v>0</v>
      </c>
      <c r="L4383" s="1" t="str">
        <f t="shared" si="8427"/>
        <v>0</v>
      </c>
      <c r="M4383" s="1" t="str">
        <f t="shared" si="8427"/>
        <v>0</v>
      </c>
      <c r="N4383" s="1" t="str">
        <f t="shared" si="8427"/>
        <v>0</v>
      </c>
      <c r="O4383" s="1" t="str">
        <f t="shared" si="8427"/>
        <v>0</v>
      </c>
      <c r="P4383" s="1" t="str">
        <f t="shared" si="8427"/>
        <v>0</v>
      </c>
      <c r="Q4383" s="1" t="str">
        <f t="shared" si="8392"/>
        <v>0.0070</v>
      </c>
      <c r="R4383" s="1" t="s">
        <v>25</v>
      </c>
      <c r="T4383" s="1" t="str">
        <f t="shared" si="8393"/>
        <v>0</v>
      </c>
      <c r="U4383" s="1" t="str">
        <f t="shared" si="8403"/>
        <v>0.0070</v>
      </c>
    </row>
    <row r="4384" s="1" customFormat="1" spans="1:21">
      <c r="A4384" s="1" t="str">
        <f>"4601992111172"</f>
        <v>4601992111172</v>
      </c>
      <c r="B4384" s="1" t="s">
        <v>4407</v>
      </c>
      <c r="C4384" s="1" t="s">
        <v>24</v>
      </c>
      <c r="D4384" s="1" t="str">
        <f t="shared" si="8390"/>
        <v>2021</v>
      </c>
      <c r="E4384" s="1" t="str">
        <f t="shared" ref="E4384:P4384" si="8428">"0"</f>
        <v>0</v>
      </c>
      <c r="F4384" s="1" t="str">
        <f t="shared" si="8428"/>
        <v>0</v>
      </c>
      <c r="G4384" s="1" t="str">
        <f t="shared" si="8428"/>
        <v>0</v>
      </c>
      <c r="H4384" s="1" t="str">
        <f t="shared" si="8428"/>
        <v>0</v>
      </c>
      <c r="I4384" s="1" t="str">
        <f t="shared" si="8428"/>
        <v>0</v>
      </c>
      <c r="J4384" s="1" t="str">
        <f t="shared" si="8428"/>
        <v>0</v>
      </c>
      <c r="K4384" s="1" t="str">
        <f t="shared" si="8428"/>
        <v>0</v>
      </c>
      <c r="L4384" s="1" t="str">
        <f t="shared" si="8428"/>
        <v>0</v>
      </c>
      <c r="M4384" s="1" t="str">
        <f t="shared" si="8428"/>
        <v>0</v>
      </c>
      <c r="N4384" s="1" t="str">
        <f t="shared" si="8428"/>
        <v>0</v>
      </c>
      <c r="O4384" s="1" t="str">
        <f t="shared" si="8428"/>
        <v>0</v>
      </c>
      <c r="P4384" s="1" t="str">
        <f t="shared" si="8428"/>
        <v>0</v>
      </c>
      <c r="Q4384" s="1" t="str">
        <f t="shared" si="8392"/>
        <v>0.0070</v>
      </c>
      <c r="R4384" s="1" t="s">
        <v>25</v>
      </c>
      <c r="T4384" s="1" t="str">
        <f t="shared" si="8393"/>
        <v>0</v>
      </c>
      <c r="U4384" s="1" t="str">
        <f t="shared" si="8403"/>
        <v>0.0070</v>
      </c>
    </row>
    <row r="4385" s="1" customFormat="1" spans="1:21">
      <c r="A4385" s="1" t="str">
        <f>"4601992111196"</f>
        <v>4601992111196</v>
      </c>
      <c r="B4385" s="1" t="s">
        <v>4408</v>
      </c>
      <c r="C4385" s="1" t="s">
        <v>24</v>
      </c>
      <c r="D4385" s="1" t="str">
        <f t="shared" si="8390"/>
        <v>2021</v>
      </c>
      <c r="E4385" s="1" t="str">
        <f t="shared" ref="E4385:P4385" si="8429">"0"</f>
        <v>0</v>
      </c>
      <c r="F4385" s="1" t="str">
        <f t="shared" si="8429"/>
        <v>0</v>
      </c>
      <c r="G4385" s="1" t="str">
        <f t="shared" si="8429"/>
        <v>0</v>
      </c>
      <c r="H4385" s="1" t="str">
        <f t="shared" si="8429"/>
        <v>0</v>
      </c>
      <c r="I4385" s="1" t="str">
        <f t="shared" si="8429"/>
        <v>0</v>
      </c>
      <c r="J4385" s="1" t="str">
        <f t="shared" si="8429"/>
        <v>0</v>
      </c>
      <c r="K4385" s="1" t="str">
        <f t="shared" si="8429"/>
        <v>0</v>
      </c>
      <c r="L4385" s="1" t="str">
        <f t="shared" si="8429"/>
        <v>0</v>
      </c>
      <c r="M4385" s="1" t="str">
        <f t="shared" si="8429"/>
        <v>0</v>
      </c>
      <c r="N4385" s="1" t="str">
        <f t="shared" si="8429"/>
        <v>0</v>
      </c>
      <c r="O4385" s="1" t="str">
        <f t="shared" si="8429"/>
        <v>0</v>
      </c>
      <c r="P4385" s="1" t="str">
        <f t="shared" si="8429"/>
        <v>0</v>
      </c>
      <c r="Q4385" s="1" t="str">
        <f t="shared" si="8392"/>
        <v>0.0070</v>
      </c>
      <c r="R4385" s="1" t="s">
        <v>25</v>
      </c>
      <c r="T4385" s="1" t="str">
        <f t="shared" si="8393"/>
        <v>0</v>
      </c>
      <c r="U4385" s="1" t="str">
        <f t="shared" si="8403"/>
        <v>0.0070</v>
      </c>
    </row>
    <row r="4386" s="1" customFormat="1" spans="1:21">
      <c r="A4386" s="1" t="str">
        <f>"4601992111171"</f>
        <v>4601992111171</v>
      </c>
      <c r="B4386" s="1" t="s">
        <v>4409</v>
      </c>
      <c r="C4386" s="1" t="s">
        <v>24</v>
      </c>
      <c r="D4386" s="1" t="str">
        <f t="shared" si="8390"/>
        <v>2021</v>
      </c>
      <c r="E4386" s="1" t="str">
        <f t="shared" ref="E4386:I4386" si="8430">"0"</f>
        <v>0</v>
      </c>
      <c r="F4386" s="1" t="str">
        <f t="shared" si="8430"/>
        <v>0</v>
      </c>
      <c r="G4386" s="1" t="str">
        <f t="shared" si="8430"/>
        <v>0</v>
      </c>
      <c r="H4386" s="1" t="str">
        <f t="shared" si="8430"/>
        <v>0</v>
      </c>
      <c r="I4386" s="1" t="str">
        <f t="shared" si="8430"/>
        <v>0</v>
      </c>
      <c r="J4386" s="1" t="str">
        <f>"2"</f>
        <v>2</v>
      </c>
      <c r="K4386" s="1" t="str">
        <f t="shared" ref="K4386:P4386" si="8431">"0"</f>
        <v>0</v>
      </c>
      <c r="L4386" s="1" t="str">
        <f t="shared" si="8431"/>
        <v>0</v>
      </c>
      <c r="M4386" s="1" t="str">
        <f t="shared" si="8431"/>
        <v>0</v>
      </c>
      <c r="N4386" s="1" t="str">
        <f t="shared" si="8431"/>
        <v>0</v>
      </c>
      <c r="O4386" s="1" t="str">
        <f t="shared" si="8431"/>
        <v>0</v>
      </c>
      <c r="P4386" s="1" t="str">
        <f t="shared" si="8431"/>
        <v>0</v>
      </c>
      <c r="Q4386" s="1" t="str">
        <f t="shared" si="8392"/>
        <v>0.0070</v>
      </c>
      <c r="R4386" s="1" t="s">
        <v>25</v>
      </c>
      <c r="T4386" s="1" t="str">
        <f t="shared" si="8393"/>
        <v>0</v>
      </c>
      <c r="U4386" s="1" t="str">
        <f t="shared" si="8403"/>
        <v>0.0070</v>
      </c>
    </row>
    <row r="4387" s="1" customFormat="1" spans="1:21">
      <c r="A4387" s="1" t="str">
        <f>"4601992111548"</f>
        <v>4601992111548</v>
      </c>
      <c r="B4387" s="1" t="s">
        <v>4410</v>
      </c>
      <c r="C4387" s="1" t="s">
        <v>24</v>
      </c>
      <c r="D4387" s="1" t="str">
        <f t="shared" si="8390"/>
        <v>2021</v>
      </c>
      <c r="E4387" s="1" t="str">
        <f t="shared" ref="E4387:P4387" si="8432">"0"</f>
        <v>0</v>
      </c>
      <c r="F4387" s="1" t="str">
        <f t="shared" si="8432"/>
        <v>0</v>
      </c>
      <c r="G4387" s="1" t="str">
        <f t="shared" si="8432"/>
        <v>0</v>
      </c>
      <c r="H4387" s="1" t="str">
        <f t="shared" si="8432"/>
        <v>0</v>
      </c>
      <c r="I4387" s="1" t="str">
        <f t="shared" si="8432"/>
        <v>0</v>
      </c>
      <c r="J4387" s="1" t="str">
        <f t="shared" si="8432"/>
        <v>0</v>
      </c>
      <c r="K4387" s="1" t="str">
        <f t="shared" si="8432"/>
        <v>0</v>
      </c>
      <c r="L4387" s="1" t="str">
        <f t="shared" si="8432"/>
        <v>0</v>
      </c>
      <c r="M4387" s="1" t="str">
        <f t="shared" si="8432"/>
        <v>0</v>
      </c>
      <c r="N4387" s="1" t="str">
        <f t="shared" si="8432"/>
        <v>0</v>
      </c>
      <c r="O4387" s="1" t="str">
        <f t="shared" si="8432"/>
        <v>0</v>
      </c>
      <c r="P4387" s="1" t="str">
        <f t="shared" si="8432"/>
        <v>0</v>
      </c>
      <c r="Q4387" s="1" t="str">
        <f t="shared" si="8392"/>
        <v>0.0070</v>
      </c>
      <c r="R4387" s="1" t="s">
        <v>25</v>
      </c>
      <c r="T4387" s="1" t="str">
        <f t="shared" si="8393"/>
        <v>0</v>
      </c>
      <c r="U4387" s="1" t="str">
        <f t="shared" si="8403"/>
        <v>0.0070</v>
      </c>
    </row>
    <row r="4388" s="1" customFormat="1" spans="1:21">
      <c r="A4388" s="1" t="str">
        <f>"4601992111679"</f>
        <v>4601992111679</v>
      </c>
      <c r="B4388" s="1" t="s">
        <v>4411</v>
      </c>
      <c r="C4388" s="1" t="s">
        <v>24</v>
      </c>
      <c r="D4388" s="1" t="str">
        <f t="shared" si="8390"/>
        <v>2021</v>
      </c>
      <c r="E4388" s="1" t="str">
        <f t="shared" ref="E4388:P4388" si="8433">"0"</f>
        <v>0</v>
      </c>
      <c r="F4388" s="1" t="str">
        <f t="shared" si="8433"/>
        <v>0</v>
      </c>
      <c r="G4388" s="1" t="str">
        <f t="shared" si="8433"/>
        <v>0</v>
      </c>
      <c r="H4388" s="1" t="str">
        <f t="shared" si="8433"/>
        <v>0</v>
      </c>
      <c r="I4388" s="1" t="str">
        <f t="shared" si="8433"/>
        <v>0</v>
      </c>
      <c r="J4388" s="1" t="str">
        <f t="shared" si="8433"/>
        <v>0</v>
      </c>
      <c r="K4388" s="1" t="str">
        <f t="shared" si="8433"/>
        <v>0</v>
      </c>
      <c r="L4388" s="1" t="str">
        <f t="shared" si="8433"/>
        <v>0</v>
      </c>
      <c r="M4388" s="1" t="str">
        <f t="shared" si="8433"/>
        <v>0</v>
      </c>
      <c r="N4388" s="1" t="str">
        <f t="shared" si="8433"/>
        <v>0</v>
      </c>
      <c r="O4388" s="1" t="str">
        <f t="shared" si="8433"/>
        <v>0</v>
      </c>
      <c r="P4388" s="1" t="str">
        <f t="shared" si="8433"/>
        <v>0</v>
      </c>
      <c r="Q4388" s="1" t="str">
        <f t="shared" si="8392"/>
        <v>0.0070</v>
      </c>
      <c r="R4388" s="1" t="s">
        <v>25</v>
      </c>
      <c r="T4388" s="1" t="str">
        <f t="shared" si="8393"/>
        <v>0</v>
      </c>
      <c r="U4388" s="1" t="str">
        <f t="shared" si="8403"/>
        <v>0.0070</v>
      </c>
    </row>
    <row r="4389" s="1" customFormat="1" spans="1:21">
      <c r="A4389" s="1" t="str">
        <f>"4601992111403"</f>
        <v>4601992111403</v>
      </c>
      <c r="B4389" s="1" t="s">
        <v>4412</v>
      </c>
      <c r="C4389" s="1" t="s">
        <v>24</v>
      </c>
      <c r="D4389" s="1" t="str">
        <f t="shared" si="8390"/>
        <v>2021</v>
      </c>
      <c r="E4389" s="1" t="str">
        <f t="shared" ref="E4389:I4389" si="8434">"0"</f>
        <v>0</v>
      </c>
      <c r="F4389" s="1" t="str">
        <f t="shared" si="8434"/>
        <v>0</v>
      </c>
      <c r="G4389" s="1" t="str">
        <f t="shared" si="8434"/>
        <v>0</v>
      </c>
      <c r="H4389" s="1" t="str">
        <f t="shared" si="8434"/>
        <v>0</v>
      </c>
      <c r="I4389" s="1" t="str">
        <f t="shared" si="8434"/>
        <v>0</v>
      </c>
      <c r="J4389" s="1" t="str">
        <f>"8"</f>
        <v>8</v>
      </c>
      <c r="K4389" s="1" t="str">
        <f t="shared" ref="K4389:P4389" si="8435">"0"</f>
        <v>0</v>
      </c>
      <c r="L4389" s="1" t="str">
        <f t="shared" si="8435"/>
        <v>0</v>
      </c>
      <c r="M4389" s="1" t="str">
        <f t="shared" si="8435"/>
        <v>0</v>
      </c>
      <c r="N4389" s="1" t="str">
        <f t="shared" si="8435"/>
        <v>0</v>
      </c>
      <c r="O4389" s="1" t="str">
        <f t="shared" si="8435"/>
        <v>0</v>
      </c>
      <c r="P4389" s="1" t="str">
        <f t="shared" si="8435"/>
        <v>0</v>
      </c>
      <c r="Q4389" s="1" t="str">
        <f t="shared" si="8392"/>
        <v>0.0070</v>
      </c>
      <c r="R4389" s="1" t="s">
        <v>25</v>
      </c>
      <c r="T4389" s="1" t="str">
        <f t="shared" si="8393"/>
        <v>0</v>
      </c>
      <c r="U4389" s="1" t="str">
        <f t="shared" si="8403"/>
        <v>0.0070</v>
      </c>
    </row>
    <row r="4390" s="1" customFormat="1" spans="1:21">
      <c r="A4390" s="1" t="str">
        <f>"4601992111529"</f>
        <v>4601992111529</v>
      </c>
      <c r="B4390" s="1" t="s">
        <v>4413</v>
      </c>
      <c r="C4390" s="1" t="s">
        <v>24</v>
      </c>
      <c r="D4390" s="1" t="str">
        <f t="shared" si="8390"/>
        <v>2021</v>
      </c>
      <c r="E4390" s="1" t="str">
        <f>"12.09"</f>
        <v>12.09</v>
      </c>
      <c r="F4390" s="1" t="str">
        <f t="shared" ref="F4390:I4390" si="8436">"0"</f>
        <v>0</v>
      </c>
      <c r="G4390" s="1" t="str">
        <f t="shared" si="8436"/>
        <v>0</v>
      </c>
      <c r="H4390" s="1" t="str">
        <f t="shared" si="8436"/>
        <v>0</v>
      </c>
      <c r="I4390" s="1" t="str">
        <f t="shared" si="8436"/>
        <v>0</v>
      </c>
      <c r="J4390" s="1" t="str">
        <f>"3"</f>
        <v>3</v>
      </c>
      <c r="K4390" s="1" t="str">
        <f t="shared" ref="K4390:P4390" si="8437">"0"</f>
        <v>0</v>
      </c>
      <c r="L4390" s="1" t="str">
        <f t="shared" si="8437"/>
        <v>0</v>
      </c>
      <c r="M4390" s="1" t="str">
        <f t="shared" si="8437"/>
        <v>0</v>
      </c>
      <c r="N4390" s="1" t="str">
        <f t="shared" si="8437"/>
        <v>0</v>
      </c>
      <c r="O4390" s="1" t="str">
        <f t="shared" si="8437"/>
        <v>0</v>
      </c>
      <c r="P4390" s="1" t="str">
        <f t="shared" si="8437"/>
        <v>0</v>
      </c>
      <c r="Q4390" s="1" t="str">
        <f t="shared" si="8392"/>
        <v>0.0070</v>
      </c>
      <c r="R4390" s="1" t="s">
        <v>25</v>
      </c>
      <c r="T4390" s="1" t="str">
        <f t="shared" si="8393"/>
        <v>0</v>
      </c>
      <c r="U4390" s="1" t="str">
        <f t="shared" si="8403"/>
        <v>0.0070</v>
      </c>
    </row>
    <row r="4391" s="1" customFormat="1" spans="1:21">
      <c r="A4391" s="1" t="str">
        <f>"4601992111745"</f>
        <v>4601992111745</v>
      </c>
      <c r="B4391" s="1" t="s">
        <v>4414</v>
      </c>
      <c r="C4391" s="1" t="s">
        <v>24</v>
      </c>
      <c r="D4391" s="1" t="str">
        <f t="shared" si="8390"/>
        <v>2021</v>
      </c>
      <c r="E4391" s="1" t="str">
        <f t="shared" ref="E4391:P4391" si="8438">"0"</f>
        <v>0</v>
      </c>
      <c r="F4391" s="1" t="str">
        <f t="shared" si="8438"/>
        <v>0</v>
      </c>
      <c r="G4391" s="1" t="str">
        <f t="shared" si="8438"/>
        <v>0</v>
      </c>
      <c r="H4391" s="1" t="str">
        <f t="shared" si="8438"/>
        <v>0</v>
      </c>
      <c r="I4391" s="1" t="str">
        <f t="shared" si="8438"/>
        <v>0</v>
      </c>
      <c r="J4391" s="1" t="str">
        <f t="shared" si="8438"/>
        <v>0</v>
      </c>
      <c r="K4391" s="1" t="str">
        <f t="shared" si="8438"/>
        <v>0</v>
      </c>
      <c r="L4391" s="1" t="str">
        <f t="shared" si="8438"/>
        <v>0</v>
      </c>
      <c r="M4391" s="1" t="str">
        <f t="shared" si="8438"/>
        <v>0</v>
      </c>
      <c r="N4391" s="1" t="str">
        <f t="shared" si="8438"/>
        <v>0</v>
      </c>
      <c r="O4391" s="1" t="str">
        <f t="shared" si="8438"/>
        <v>0</v>
      </c>
      <c r="P4391" s="1" t="str">
        <f t="shared" si="8438"/>
        <v>0</v>
      </c>
      <c r="Q4391" s="1" t="str">
        <f t="shared" si="8392"/>
        <v>0.0070</v>
      </c>
      <c r="R4391" s="1" t="s">
        <v>25</v>
      </c>
      <c r="T4391" s="1" t="str">
        <f t="shared" si="8393"/>
        <v>0</v>
      </c>
      <c r="U4391" s="1" t="str">
        <f t="shared" si="8403"/>
        <v>0.0070</v>
      </c>
    </row>
    <row r="4392" s="1" customFormat="1" spans="1:21">
      <c r="A4392" s="1" t="str">
        <f>"4601992111789"</f>
        <v>4601992111789</v>
      </c>
      <c r="B4392" s="1" t="s">
        <v>4415</v>
      </c>
      <c r="C4392" s="1" t="s">
        <v>24</v>
      </c>
      <c r="D4392" s="1" t="str">
        <f t="shared" si="8390"/>
        <v>2021</v>
      </c>
      <c r="E4392" s="1" t="str">
        <f t="shared" ref="E4392:P4392" si="8439">"0"</f>
        <v>0</v>
      </c>
      <c r="F4392" s="1" t="str">
        <f t="shared" si="8439"/>
        <v>0</v>
      </c>
      <c r="G4392" s="1" t="str">
        <f t="shared" si="8439"/>
        <v>0</v>
      </c>
      <c r="H4392" s="1" t="str">
        <f t="shared" si="8439"/>
        <v>0</v>
      </c>
      <c r="I4392" s="1" t="str">
        <f t="shared" si="8439"/>
        <v>0</v>
      </c>
      <c r="J4392" s="1" t="str">
        <f t="shared" si="8439"/>
        <v>0</v>
      </c>
      <c r="K4392" s="1" t="str">
        <f t="shared" si="8439"/>
        <v>0</v>
      </c>
      <c r="L4392" s="1" t="str">
        <f t="shared" si="8439"/>
        <v>0</v>
      </c>
      <c r="M4392" s="1" t="str">
        <f t="shared" si="8439"/>
        <v>0</v>
      </c>
      <c r="N4392" s="1" t="str">
        <f t="shared" si="8439"/>
        <v>0</v>
      </c>
      <c r="O4392" s="1" t="str">
        <f t="shared" si="8439"/>
        <v>0</v>
      </c>
      <c r="P4392" s="1" t="str">
        <f t="shared" si="8439"/>
        <v>0</v>
      </c>
      <c r="Q4392" s="1" t="str">
        <f t="shared" si="8392"/>
        <v>0.0070</v>
      </c>
      <c r="R4392" s="1" t="s">
        <v>25</v>
      </c>
      <c r="T4392" s="1" t="str">
        <f t="shared" si="8393"/>
        <v>0</v>
      </c>
      <c r="U4392" s="1" t="str">
        <f t="shared" si="8403"/>
        <v>0.0070</v>
      </c>
    </row>
    <row r="4393" s="1" customFormat="1" spans="1:21">
      <c r="A4393" s="1" t="str">
        <f>"4601992111798"</f>
        <v>4601992111798</v>
      </c>
      <c r="B4393" s="1" t="s">
        <v>4416</v>
      </c>
      <c r="C4393" s="1" t="s">
        <v>24</v>
      </c>
      <c r="D4393" s="1" t="str">
        <f t="shared" si="8390"/>
        <v>2021</v>
      </c>
      <c r="E4393" s="1" t="str">
        <f t="shared" ref="E4393:P4393" si="8440">"0"</f>
        <v>0</v>
      </c>
      <c r="F4393" s="1" t="str">
        <f t="shared" si="8440"/>
        <v>0</v>
      </c>
      <c r="G4393" s="1" t="str">
        <f t="shared" si="8440"/>
        <v>0</v>
      </c>
      <c r="H4393" s="1" t="str">
        <f t="shared" si="8440"/>
        <v>0</v>
      </c>
      <c r="I4393" s="1" t="str">
        <f t="shared" si="8440"/>
        <v>0</v>
      </c>
      <c r="J4393" s="1" t="str">
        <f t="shared" si="8440"/>
        <v>0</v>
      </c>
      <c r="K4393" s="1" t="str">
        <f t="shared" si="8440"/>
        <v>0</v>
      </c>
      <c r="L4393" s="1" t="str">
        <f t="shared" si="8440"/>
        <v>0</v>
      </c>
      <c r="M4393" s="1" t="str">
        <f t="shared" si="8440"/>
        <v>0</v>
      </c>
      <c r="N4393" s="1" t="str">
        <f t="shared" si="8440"/>
        <v>0</v>
      </c>
      <c r="O4393" s="1" t="str">
        <f t="shared" si="8440"/>
        <v>0</v>
      </c>
      <c r="P4393" s="1" t="str">
        <f t="shared" si="8440"/>
        <v>0</v>
      </c>
      <c r="Q4393" s="1" t="str">
        <f t="shared" si="8392"/>
        <v>0.0070</v>
      </c>
      <c r="R4393" s="1" t="s">
        <v>25</v>
      </c>
      <c r="T4393" s="1" t="str">
        <f t="shared" si="8393"/>
        <v>0</v>
      </c>
      <c r="U4393" s="1" t="str">
        <f t="shared" si="8403"/>
        <v>0.0070</v>
      </c>
    </row>
    <row r="4394" s="1" customFormat="1" spans="1:21">
      <c r="A4394" s="1" t="str">
        <f>"4601992111870"</f>
        <v>4601992111870</v>
      </c>
      <c r="B4394" s="1" t="s">
        <v>4417</v>
      </c>
      <c r="C4394" s="1" t="s">
        <v>24</v>
      </c>
      <c r="D4394" s="1" t="str">
        <f t="shared" si="8390"/>
        <v>2021</v>
      </c>
      <c r="E4394" s="1" t="str">
        <f t="shared" ref="E4394:P4394" si="8441">"0"</f>
        <v>0</v>
      </c>
      <c r="F4394" s="1" t="str">
        <f t="shared" si="8441"/>
        <v>0</v>
      </c>
      <c r="G4394" s="1" t="str">
        <f t="shared" si="8441"/>
        <v>0</v>
      </c>
      <c r="H4394" s="1" t="str">
        <f t="shared" si="8441"/>
        <v>0</v>
      </c>
      <c r="I4394" s="1" t="str">
        <f t="shared" si="8441"/>
        <v>0</v>
      </c>
      <c r="J4394" s="1" t="str">
        <f t="shared" si="8441"/>
        <v>0</v>
      </c>
      <c r="K4394" s="1" t="str">
        <f t="shared" si="8441"/>
        <v>0</v>
      </c>
      <c r="L4394" s="1" t="str">
        <f t="shared" si="8441"/>
        <v>0</v>
      </c>
      <c r="M4394" s="1" t="str">
        <f t="shared" si="8441"/>
        <v>0</v>
      </c>
      <c r="N4394" s="1" t="str">
        <f t="shared" si="8441"/>
        <v>0</v>
      </c>
      <c r="O4394" s="1" t="str">
        <f t="shared" si="8441"/>
        <v>0</v>
      </c>
      <c r="P4394" s="1" t="str">
        <f t="shared" si="8441"/>
        <v>0</v>
      </c>
      <c r="Q4394" s="1" t="str">
        <f t="shared" si="8392"/>
        <v>0.0070</v>
      </c>
      <c r="R4394" s="1" t="s">
        <v>25</v>
      </c>
      <c r="T4394" s="1" t="str">
        <f t="shared" si="8393"/>
        <v>0</v>
      </c>
      <c r="U4394" s="1" t="str">
        <f t="shared" si="8403"/>
        <v>0.0070</v>
      </c>
    </row>
    <row r="4395" s="1" customFormat="1" spans="1:21">
      <c r="A4395" s="1" t="str">
        <f>"4601992111929"</f>
        <v>4601992111929</v>
      </c>
      <c r="B4395" s="1" t="s">
        <v>4418</v>
      </c>
      <c r="C4395" s="1" t="s">
        <v>24</v>
      </c>
      <c r="D4395" s="1" t="str">
        <f t="shared" si="8390"/>
        <v>2021</v>
      </c>
      <c r="E4395" s="1" t="str">
        <f t="shared" ref="E4395:P4395" si="8442">"0"</f>
        <v>0</v>
      </c>
      <c r="F4395" s="1" t="str">
        <f t="shared" si="8442"/>
        <v>0</v>
      </c>
      <c r="G4395" s="1" t="str">
        <f t="shared" si="8442"/>
        <v>0</v>
      </c>
      <c r="H4395" s="1" t="str">
        <f t="shared" si="8442"/>
        <v>0</v>
      </c>
      <c r="I4395" s="1" t="str">
        <f t="shared" si="8442"/>
        <v>0</v>
      </c>
      <c r="J4395" s="1" t="str">
        <f t="shared" si="8442"/>
        <v>0</v>
      </c>
      <c r="K4395" s="1" t="str">
        <f t="shared" si="8442"/>
        <v>0</v>
      </c>
      <c r="L4395" s="1" t="str">
        <f t="shared" si="8442"/>
        <v>0</v>
      </c>
      <c r="M4395" s="1" t="str">
        <f t="shared" si="8442"/>
        <v>0</v>
      </c>
      <c r="N4395" s="1" t="str">
        <f t="shared" si="8442"/>
        <v>0</v>
      </c>
      <c r="O4395" s="1" t="str">
        <f t="shared" si="8442"/>
        <v>0</v>
      </c>
      <c r="P4395" s="1" t="str">
        <f t="shared" si="8442"/>
        <v>0</v>
      </c>
      <c r="Q4395" s="1" t="str">
        <f t="shared" si="8392"/>
        <v>0.0070</v>
      </c>
      <c r="R4395" s="1" t="s">
        <v>25</v>
      </c>
      <c r="T4395" s="1" t="str">
        <f t="shared" si="8393"/>
        <v>0</v>
      </c>
      <c r="U4395" s="1" t="str">
        <f t="shared" si="8403"/>
        <v>0.0070</v>
      </c>
    </row>
    <row r="4396" s="1" customFormat="1" spans="1:21">
      <c r="A4396" s="1" t="str">
        <f>"4601992111874"</f>
        <v>4601992111874</v>
      </c>
      <c r="B4396" s="1" t="s">
        <v>4419</v>
      </c>
      <c r="C4396" s="1" t="s">
        <v>24</v>
      </c>
      <c r="D4396" s="1" t="str">
        <f t="shared" si="8390"/>
        <v>2021</v>
      </c>
      <c r="E4396" s="1" t="str">
        <f t="shared" ref="E4396:P4396" si="8443">"0"</f>
        <v>0</v>
      </c>
      <c r="F4396" s="1" t="str">
        <f t="shared" si="8443"/>
        <v>0</v>
      </c>
      <c r="G4396" s="1" t="str">
        <f t="shared" si="8443"/>
        <v>0</v>
      </c>
      <c r="H4396" s="1" t="str">
        <f t="shared" si="8443"/>
        <v>0</v>
      </c>
      <c r="I4396" s="1" t="str">
        <f t="shared" si="8443"/>
        <v>0</v>
      </c>
      <c r="J4396" s="1" t="str">
        <f t="shared" si="8443"/>
        <v>0</v>
      </c>
      <c r="K4396" s="1" t="str">
        <f t="shared" si="8443"/>
        <v>0</v>
      </c>
      <c r="L4396" s="1" t="str">
        <f t="shared" si="8443"/>
        <v>0</v>
      </c>
      <c r="M4396" s="1" t="str">
        <f t="shared" si="8443"/>
        <v>0</v>
      </c>
      <c r="N4396" s="1" t="str">
        <f t="shared" si="8443"/>
        <v>0</v>
      </c>
      <c r="O4396" s="1" t="str">
        <f t="shared" si="8443"/>
        <v>0</v>
      </c>
      <c r="P4396" s="1" t="str">
        <f t="shared" si="8443"/>
        <v>0</v>
      </c>
      <c r="Q4396" s="1" t="str">
        <f t="shared" si="8392"/>
        <v>0.0070</v>
      </c>
      <c r="R4396" s="1" t="s">
        <v>25</v>
      </c>
      <c r="T4396" s="1" t="str">
        <f t="shared" si="8393"/>
        <v>0</v>
      </c>
      <c r="U4396" s="1" t="str">
        <f t="shared" si="8403"/>
        <v>0.0070</v>
      </c>
    </row>
    <row r="4397" s="1" customFormat="1" spans="1:21">
      <c r="A4397" s="1" t="str">
        <f>"4601992111936"</f>
        <v>4601992111936</v>
      </c>
      <c r="B4397" s="1" t="s">
        <v>4420</v>
      </c>
      <c r="C4397" s="1" t="s">
        <v>24</v>
      </c>
      <c r="D4397" s="1" t="str">
        <f t="shared" si="8390"/>
        <v>2021</v>
      </c>
      <c r="E4397" s="1" t="str">
        <f t="shared" ref="E4397:P4397" si="8444">"0"</f>
        <v>0</v>
      </c>
      <c r="F4397" s="1" t="str">
        <f t="shared" si="8444"/>
        <v>0</v>
      </c>
      <c r="G4397" s="1" t="str">
        <f t="shared" si="8444"/>
        <v>0</v>
      </c>
      <c r="H4397" s="1" t="str">
        <f t="shared" si="8444"/>
        <v>0</v>
      </c>
      <c r="I4397" s="1" t="str">
        <f t="shared" si="8444"/>
        <v>0</v>
      </c>
      <c r="J4397" s="1" t="str">
        <f t="shared" si="8444"/>
        <v>0</v>
      </c>
      <c r="K4397" s="1" t="str">
        <f t="shared" si="8444"/>
        <v>0</v>
      </c>
      <c r="L4397" s="1" t="str">
        <f t="shared" si="8444"/>
        <v>0</v>
      </c>
      <c r="M4397" s="1" t="str">
        <f t="shared" si="8444"/>
        <v>0</v>
      </c>
      <c r="N4397" s="1" t="str">
        <f t="shared" si="8444"/>
        <v>0</v>
      </c>
      <c r="O4397" s="1" t="str">
        <f t="shared" si="8444"/>
        <v>0</v>
      </c>
      <c r="P4397" s="1" t="str">
        <f t="shared" si="8444"/>
        <v>0</v>
      </c>
      <c r="Q4397" s="1" t="str">
        <f t="shared" si="8392"/>
        <v>0.0070</v>
      </c>
      <c r="R4397" s="1" t="s">
        <v>25</v>
      </c>
      <c r="T4397" s="1" t="str">
        <f t="shared" si="8393"/>
        <v>0</v>
      </c>
      <c r="U4397" s="1" t="str">
        <f t="shared" si="8403"/>
        <v>0.0070</v>
      </c>
    </row>
    <row r="4398" s="1" customFormat="1" spans="1:21">
      <c r="A4398" s="1" t="str">
        <f>"4601992112080"</f>
        <v>4601992112080</v>
      </c>
      <c r="B4398" s="1" t="s">
        <v>4421</v>
      </c>
      <c r="C4398" s="1" t="s">
        <v>24</v>
      </c>
      <c r="D4398" s="1" t="str">
        <f t="shared" si="8390"/>
        <v>2021</v>
      </c>
      <c r="E4398" s="1" t="str">
        <f t="shared" ref="E4398:P4398" si="8445">"0"</f>
        <v>0</v>
      </c>
      <c r="F4398" s="1" t="str">
        <f t="shared" si="8445"/>
        <v>0</v>
      </c>
      <c r="G4398" s="1" t="str">
        <f t="shared" si="8445"/>
        <v>0</v>
      </c>
      <c r="H4398" s="1" t="str">
        <f t="shared" si="8445"/>
        <v>0</v>
      </c>
      <c r="I4398" s="1" t="str">
        <f t="shared" si="8445"/>
        <v>0</v>
      </c>
      <c r="J4398" s="1" t="str">
        <f t="shared" si="8445"/>
        <v>0</v>
      </c>
      <c r="K4398" s="1" t="str">
        <f t="shared" si="8445"/>
        <v>0</v>
      </c>
      <c r="L4398" s="1" t="str">
        <f t="shared" si="8445"/>
        <v>0</v>
      </c>
      <c r="M4398" s="1" t="str">
        <f t="shared" si="8445"/>
        <v>0</v>
      </c>
      <c r="N4398" s="1" t="str">
        <f t="shared" si="8445"/>
        <v>0</v>
      </c>
      <c r="O4398" s="1" t="str">
        <f t="shared" si="8445"/>
        <v>0</v>
      </c>
      <c r="P4398" s="1" t="str">
        <f t="shared" si="8445"/>
        <v>0</v>
      </c>
      <c r="Q4398" s="1" t="str">
        <f t="shared" si="8392"/>
        <v>0.0070</v>
      </c>
      <c r="R4398" s="1" t="s">
        <v>25</v>
      </c>
      <c r="T4398" s="1" t="str">
        <f t="shared" si="8393"/>
        <v>0</v>
      </c>
      <c r="U4398" s="1" t="str">
        <f t="shared" si="8403"/>
        <v>0.0070</v>
      </c>
    </row>
    <row r="4399" s="1" customFormat="1" spans="1:21">
      <c r="A4399" s="1" t="str">
        <f>"4601992008947"</f>
        <v>4601992008947</v>
      </c>
      <c r="B4399" s="1" t="s">
        <v>4422</v>
      </c>
      <c r="C4399" s="1" t="s">
        <v>24</v>
      </c>
      <c r="D4399" s="1" t="str">
        <f t="shared" si="8390"/>
        <v>2021</v>
      </c>
      <c r="E4399" s="1" t="str">
        <f t="shared" ref="E4399:P4399" si="8446">"0"</f>
        <v>0</v>
      </c>
      <c r="F4399" s="1" t="str">
        <f t="shared" si="8446"/>
        <v>0</v>
      </c>
      <c r="G4399" s="1" t="str">
        <f t="shared" si="8446"/>
        <v>0</v>
      </c>
      <c r="H4399" s="1" t="str">
        <f t="shared" si="8446"/>
        <v>0</v>
      </c>
      <c r="I4399" s="1" t="str">
        <f t="shared" si="8446"/>
        <v>0</v>
      </c>
      <c r="J4399" s="1" t="str">
        <f t="shared" si="8446"/>
        <v>0</v>
      </c>
      <c r="K4399" s="1" t="str">
        <f t="shared" si="8446"/>
        <v>0</v>
      </c>
      <c r="L4399" s="1" t="str">
        <f t="shared" si="8446"/>
        <v>0</v>
      </c>
      <c r="M4399" s="1" t="str">
        <f t="shared" si="8446"/>
        <v>0</v>
      </c>
      <c r="N4399" s="1" t="str">
        <f t="shared" si="8446"/>
        <v>0</v>
      </c>
      <c r="O4399" s="1" t="str">
        <f t="shared" si="8446"/>
        <v>0</v>
      </c>
      <c r="P4399" s="1" t="str">
        <f t="shared" si="8446"/>
        <v>0</v>
      </c>
      <c r="Q4399" s="1" t="str">
        <f t="shared" si="8392"/>
        <v>0.0070</v>
      </c>
      <c r="R4399" s="1" t="s">
        <v>25</v>
      </c>
      <c r="T4399" s="1" t="str">
        <f t="shared" si="8393"/>
        <v>0</v>
      </c>
      <c r="U4399" s="1" t="str">
        <f t="shared" si="8403"/>
        <v>0.0070</v>
      </c>
    </row>
    <row r="4400" s="1" customFormat="1" spans="1:21">
      <c r="A4400" s="1" t="str">
        <f>"4601992112119"</f>
        <v>4601992112119</v>
      </c>
      <c r="B4400" s="1" t="s">
        <v>4423</v>
      </c>
      <c r="C4400" s="1" t="s">
        <v>24</v>
      </c>
      <c r="D4400" s="1" t="str">
        <f t="shared" si="8390"/>
        <v>2021</v>
      </c>
      <c r="E4400" s="1" t="str">
        <f t="shared" ref="E4400:P4400" si="8447">"0"</f>
        <v>0</v>
      </c>
      <c r="F4400" s="1" t="str">
        <f t="shared" si="8447"/>
        <v>0</v>
      </c>
      <c r="G4400" s="1" t="str">
        <f t="shared" si="8447"/>
        <v>0</v>
      </c>
      <c r="H4400" s="1" t="str">
        <f t="shared" si="8447"/>
        <v>0</v>
      </c>
      <c r="I4400" s="1" t="str">
        <f t="shared" si="8447"/>
        <v>0</v>
      </c>
      <c r="J4400" s="1" t="str">
        <f t="shared" si="8447"/>
        <v>0</v>
      </c>
      <c r="K4400" s="1" t="str">
        <f t="shared" si="8447"/>
        <v>0</v>
      </c>
      <c r="L4400" s="1" t="str">
        <f t="shared" si="8447"/>
        <v>0</v>
      </c>
      <c r="M4400" s="1" t="str">
        <f t="shared" si="8447"/>
        <v>0</v>
      </c>
      <c r="N4400" s="1" t="str">
        <f t="shared" si="8447"/>
        <v>0</v>
      </c>
      <c r="O4400" s="1" t="str">
        <f t="shared" si="8447"/>
        <v>0</v>
      </c>
      <c r="P4400" s="1" t="str">
        <f t="shared" si="8447"/>
        <v>0</v>
      </c>
      <c r="Q4400" s="1" t="str">
        <f t="shared" si="8392"/>
        <v>0.0070</v>
      </c>
      <c r="R4400" s="1" t="s">
        <v>25</v>
      </c>
      <c r="T4400" s="1" t="str">
        <f t="shared" si="8393"/>
        <v>0</v>
      </c>
      <c r="U4400" s="1" t="str">
        <f t="shared" si="8403"/>
        <v>0.0070</v>
      </c>
    </row>
    <row r="4401" s="1" customFormat="1" spans="1:21">
      <c r="A4401" s="1" t="str">
        <f>"4601992112135"</f>
        <v>4601992112135</v>
      </c>
      <c r="B4401" s="1" t="s">
        <v>4424</v>
      </c>
      <c r="C4401" s="1" t="s">
        <v>24</v>
      </c>
      <c r="D4401" s="1" t="str">
        <f t="shared" si="8390"/>
        <v>2021</v>
      </c>
      <c r="E4401" s="1" t="str">
        <f t="shared" ref="E4401:P4401" si="8448">"0"</f>
        <v>0</v>
      </c>
      <c r="F4401" s="1" t="str">
        <f t="shared" si="8448"/>
        <v>0</v>
      </c>
      <c r="G4401" s="1" t="str">
        <f t="shared" si="8448"/>
        <v>0</v>
      </c>
      <c r="H4401" s="1" t="str">
        <f t="shared" si="8448"/>
        <v>0</v>
      </c>
      <c r="I4401" s="1" t="str">
        <f t="shared" si="8448"/>
        <v>0</v>
      </c>
      <c r="J4401" s="1" t="str">
        <f t="shared" si="8448"/>
        <v>0</v>
      </c>
      <c r="K4401" s="1" t="str">
        <f t="shared" si="8448"/>
        <v>0</v>
      </c>
      <c r="L4401" s="1" t="str">
        <f t="shared" si="8448"/>
        <v>0</v>
      </c>
      <c r="M4401" s="1" t="str">
        <f t="shared" si="8448"/>
        <v>0</v>
      </c>
      <c r="N4401" s="1" t="str">
        <f t="shared" si="8448"/>
        <v>0</v>
      </c>
      <c r="O4401" s="1" t="str">
        <f t="shared" si="8448"/>
        <v>0</v>
      </c>
      <c r="P4401" s="1" t="str">
        <f t="shared" si="8448"/>
        <v>0</v>
      </c>
      <c r="Q4401" s="1" t="str">
        <f t="shared" si="8392"/>
        <v>0.0070</v>
      </c>
      <c r="R4401" s="1" t="s">
        <v>25</v>
      </c>
      <c r="T4401" s="1" t="str">
        <f t="shared" si="8393"/>
        <v>0</v>
      </c>
      <c r="U4401" s="1" t="str">
        <f t="shared" si="8403"/>
        <v>0.0070</v>
      </c>
    </row>
    <row r="4402" s="1" customFormat="1" spans="1:21">
      <c r="A4402" s="1" t="str">
        <f>"4601992112186"</f>
        <v>4601992112186</v>
      </c>
      <c r="B4402" s="1" t="s">
        <v>4425</v>
      </c>
      <c r="C4402" s="1" t="s">
        <v>24</v>
      </c>
      <c r="D4402" s="1" t="str">
        <f t="shared" si="8390"/>
        <v>2021</v>
      </c>
      <c r="E4402" s="1" t="str">
        <f t="shared" ref="E4402:P4402" si="8449">"0"</f>
        <v>0</v>
      </c>
      <c r="F4402" s="1" t="str">
        <f t="shared" si="8449"/>
        <v>0</v>
      </c>
      <c r="G4402" s="1" t="str">
        <f t="shared" si="8449"/>
        <v>0</v>
      </c>
      <c r="H4402" s="1" t="str">
        <f t="shared" si="8449"/>
        <v>0</v>
      </c>
      <c r="I4402" s="1" t="str">
        <f t="shared" si="8449"/>
        <v>0</v>
      </c>
      <c r="J4402" s="1" t="str">
        <f t="shared" si="8449"/>
        <v>0</v>
      </c>
      <c r="K4402" s="1" t="str">
        <f t="shared" si="8449"/>
        <v>0</v>
      </c>
      <c r="L4402" s="1" t="str">
        <f t="shared" si="8449"/>
        <v>0</v>
      </c>
      <c r="M4402" s="1" t="str">
        <f t="shared" si="8449"/>
        <v>0</v>
      </c>
      <c r="N4402" s="1" t="str">
        <f t="shared" si="8449"/>
        <v>0</v>
      </c>
      <c r="O4402" s="1" t="str">
        <f t="shared" si="8449"/>
        <v>0</v>
      </c>
      <c r="P4402" s="1" t="str">
        <f t="shared" si="8449"/>
        <v>0</v>
      </c>
      <c r="Q4402" s="1" t="str">
        <f t="shared" si="8392"/>
        <v>0.0070</v>
      </c>
      <c r="R4402" s="1" t="s">
        <v>25</v>
      </c>
      <c r="T4402" s="1" t="str">
        <f t="shared" si="8393"/>
        <v>0</v>
      </c>
      <c r="U4402" s="1" t="str">
        <f t="shared" si="8403"/>
        <v>0.0070</v>
      </c>
    </row>
    <row r="4403" s="1" customFormat="1" spans="1:21">
      <c r="A4403" s="1" t="str">
        <f>"4601992112170"</f>
        <v>4601992112170</v>
      </c>
      <c r="B4403" s="1" t="s">
        <v>4426</v>
      </c>
      <c r="C4403" s="1" t="s">
        <v>24</v>
      </c>
      <c r="D4403" s="1" t="str">
        <f t="shared" si="8390"/>
        <v>2021</v>
      </c>
      <c r="E4403" s="1" t="str">
        <f t="shared" ref="E4403:P4403" si="8450">"0"</f>
        <v>0</v>
      </c>
      <c r="F4403" s="1" t="str">
        <f t="shared" si="8450"/>
        <v>0</v>
      </c>
      <c r="G4403" s="1" t="str">
        <f t="shared" si="8450"/>
        <v>0</v>
      </c>
      <c r="H4403" s="1" t="str">
        <f t="shared" si="8450"/>
        <v>0</v>
      </c>
      <c r="I4403" s="1" t="str">
        <f t="shared" si="8450"/>
        <v>0</v>
      </c>
      <c r="J4403" s="1" t="str">
        <f t="shared" si="8450"/>
        <v>0</v>
      </c>
      <c r="K4403" s="1" t="str">
        <f t="shared" si="8450"/>
        <v>0</v>
      </c>
      <c r="L4403" s="1" t="str">
        <f t="shared" si="8450"/>
        <v>0</v>
      </c>
      <c r="M4403" s="1" t="str">
        <f t="shared" si="8450"/>
        <v>0</v>
      </c>
      <c r="N4403" s="1" t="str">
        <f t="shared" si="8450"/>
        <v>0</v>
      </c>
      <c r="O4403" s="1" t="str">
        <f t="shared" si="8450"/>
        <v>0</v>
      </c>
      <c r="P4403" s="1" t="str">
        <f t="shared" si="8450"/>
        <v>0</v>
      </c>
      <c r="Q4403" s="1" t="str">
        <f t="shared" si="8392"/>
        <v>0.0070</v>
      </c>
      <c r="R4403" s="1" t="s">
        <v>25</v>
      </c>
      <c r="T4403" s="1" t="str">
        <f t="shared" si="8393"/>
        <v>0</v>
      </c>
      <c r="U4403" s="1" t="str">
        <f t="shared" si="8403"/>
        <v>0.0070</v>
      </c>
    </row>
    <row r="4404" s="1" customFormat="1" spans="1:21">
      <c r="A4404" s="1" t="str">
        <f>"4601992112275"</f>
        <v>4601992112275</v>
      </c>
      <c r="B4404" s="1" t="s">
        <v>4427</v>
      </c>
      <c r="C4404" s="1" t="s">
        <v>24</v>
      </c>
      <c r="D4404" s="1" t="str">
        <f t="shared" si="8390"/>
        <v>2021</v>
      </c>
      <c r="E4404" s="1" t="str">
        <f t="shared" ref="E4404:P4404" si="8451">"0"</f>
        <v>0</v>
      </c>
      <c r="F4404" s="1" t="str">
        <f t="shared" si="8451"/>
        <v>0</v>
      </c>
      <c r="G4404" s="1" t="str">
        <f t="shared" si="8451"/>
        <v>0</v>
      </c>
      <c r="H4404" s="1" t="str">
        <f t="shared" si="8451"/>
        <v>0</v>
      </c>
      <c r="I4404" s="1" t="str">
        <f t="shared" si="8451"/>
        <v>0</v>
      </c>
      <c r="J4404" s="1" t="str">
        <f t="shared" si="8451"/>
        <v>0</v>
      </c>
      <c r="K4404" s="1" t="str">
        <f t="shared" si="8451"/>
        <v>0</v>
      </c>
      <c r="L4404" s="1" t="str">
        <f t="shared" si="8451"/>
        <v>0</v>
      </c>
      <c r="M4404" s="1" t="str">
        <f t="shared" si="8451"/>
        <v>0</v>
      </c>
      <c r="N4404" s="1" t="str">
        <f t="shared" si="8451"/>
        <v>0</v>
      </c>
      <c r="O4404" s="1" t="str">
        <f t="shared" si="8451"/>
        <v>0</v>
      </c>
      <c r="P4404" s="1" t="str">
        <f t="shared" si="8451"/>
        <v>0</v>
      </c>
      <c r="Q4404" s="1" t="str">
        <f t="shared" si="8392"/>
        <v>0.0070</v>
      </c>
      <c r="R4404" s="1" t="s">
        <v>25</v>
      </c>
      <c r="T4404" s="1" t="str">
        <f t="shared" si="8393"/>
        <v>0</v>
      </c>
      <c r="U4404" s="1" t="str">
        <f t="shared" si="8403"/>
        <v>0.0070</v>
      </c>
    </row>
    <row r="4405" s="1" customFormat="1" spans="1:21">
      <c r="A4405" s="1" t="str">
        <f>"4601992112122"</f>
        <v>4601992112122</v>
      </c>
      <c r="B4405" s="1" t="s">
        <v>4428</v>
      </c>
      <c r="C4405" s="1" t="s">
        <v>24</v>
      </c>
      <c r="D4405" s="1" t="str">
        <f t="shared" si="8390"/>
        <v>2021</v>
      </c>
      <c r="E4405" s="1" t="str">
        <f>"71.88"</f>
        <v>71.88</v>
      </c>
      <c r="F4405" s="1" t="str">
        <f t="shared" ref="F4405:I4405" si="8452">"0"</f>
        <v>0</v>
      </c>
      <c r="G4405" s="1" t="str">
        <f t="shared" si="8452"/>
        <v>0</v>
      </c>
      <c r="H4405" s="1" t="str">
        <f t="shared" si="8452"/>
        <v>0</v>
      </c>
      <c r="I4405" s="1" t="str">
        <f t="shared" si="8452"/>
        <v>0</v>
      </c>
      <c r="J4405" s="1" t="str">
        <f>"8"</f>
        <v>8</v>
      </c>
      <c r="K4405" s="1" t="str">
        <f t="shared" ref="K4405:P4405" si="8453">"0"</f>
        <v>0</v>
      </c>
      <c r="L4405" s="1" t="str">
        <f t="shared" si="8453"/>
        <v>0</v>
      </c>
      <c r="M4405" s="1" t="str">
        <f t="shared" si="8453"/>
        <v>0</v>
      </c>
      <c r="N4405" s="1" t="str">
        <f t="shared" si="8453"/>
        <v>0</v>
      </c>
      <c r="O4405" s="1" t="str">
        <f t="shared" si="8453"/>
        <v>0</v>
      </c>
      <c r="P4405" s="1" t="str">
        <f t="shared" si="8453"/>
        <v>0</v>
      </c>
      <c r="Q4405" s="1" t="str">
        <f t="shared" si="8392"/>
        <v>0.0070</v>
      </c>
      <c r="R4405" s="1" t="s">
        <v>29</v>
      </c>
      <c r="S4405" s="1">
        <v>-0.0014</v>
      </c>
      <c r="T4405" s="1" t="str">
        <f t="shared" si="8393"/>
        <v>0</v>
      </c>
      <c r="U4405" s="1" t="str">
        <f>"0.0056"</f>
        <v>0.0056</v>
      </c>
    </row>
    <row r="4406" s="1" customFormat="1" spans="1:21">
      <c r="A4406" s="1" t="str">
        <f>"4601992112299"</f>
        <v>4601992112299</v>
      </c>
      <c r="B4406" s="1" t="s">
        <v>4429</v>
      </c>
      <c r="C4406" s="1" t="s">
        <v>24</v>
      </c>
      <c r="D4406" s="1" t="str">
        <f t="shared" si="8390"/>
        <v>2021</v>
      </c>
      <c r="E4406" s="1" t="str">
        <f t="shared" ref="E4406:P4406" si="8454">"0"</f>
        <v>0</v>
      </c>
      <c r="F4406" s="1" t="str">
        <f t="shared" si="8454"/>
        <v>0</v>
      </c>
      <c r="G4406" s="1" t="str">
        <f t="shared" si="8454"/>
        <v>0</v>
      </c>
      <c r="H4406" s="1" t="str">
        <f t="shared" si="8454"/>
        <v>0</v>
      </c>
      <c r="I4406" s="1" t="str">
        <f t="shared" si="8454"/>
        <v>0</v>
      </c>
      <c r="J4406" s="1" t="str">
        <f t="shared" si="8454"/>
        <v>0</v>
      </c>
      <c r="K4406" s="1" t="str">
        <f t="shared" si="8454"/>
        <v>0</v>
      </c>
      <c r="L4406" s="1" t="str">
        <f t="shared" si="8454"/>
        <v>0</v>
      </c>
      <c r="M4406" s="1" t="str">
        <f t="shared" si="8454"/>
        <v>0</v>
      </c>
      <c r="N4406" s="1" t="str">
        <f t="shared" si="8454"/>
        <v>0</v>
      </c>
      <c r="O4406" s="1" t="str">
        <f t="shared" si="8454"/>
        <v>0</v>
      </c>
      <c r="P4406" s="1" t="str">
        <f t="shared" si="8454"/>
        <v>0</v>
      </c>
      <c r="Q4406" s="1" t="str">
        <f t="shared" si="8392"/>
        <v>0.0070</v>
      </c>
      <c r="R4406" s="1" t="s">
        <v>25</v>
      </c>
      <c r="T4406" s="1" t="str">
        <f t="shared" si="8393"/>
        <v>0</v>
      </c>
      <c r="U4406" s="1" t="str">
        <f t="shared" ref="U4406:U4408" si="8455">"0.0070"</f>
        <v>0.0070</v>
      </c>
    </row>
    <row r="4407" s="1" customFormat="1" spans="1:21">
      <c r="A4407" s="1" t="str">
        <f>"4601992112337"</f>
        <v>4601992112337</v>
      </c>
      <c r="B4407" s="1" t="s">
        <v>4430</v>
      </c>
      <c r="C4407" s="1" t="s">
        <v>24</v>
      </c>
      <c r="D4407" s="1" t="str">
        <f t="shared" si="8390"/>
        <v>2021</v>
      </c>
      <c r="E4407" s="1" t="str">
        <f t="shared" ref="E4407:P4407" si="8456">"0"</f>
        <v>0</v>
      </c>
      <c r="F4407" s="1" t="str">
        <f t="shared" si="8456"/>
        <v>0</v>
      </c>
      <c r="G4407" s="1" t="str">
        <f t="shared" si="8456"/>
        <v>0</v>
      </c>
      <c r="H4407" s="1" t="str">
        <f t="shared" si="8456"/>
        <v>0</v>
      </c>
      <c r="I4407" s="1" t="str">
        <f t="shared" si="8456"/>
        <v>0</v>
      </c>
      <c r="J4407" s="1" t="str">
        <f t="shared" si="8456"/>
        <v>0</v>
      </c>
      <c r="K4407" s="1" t="str">
        <f t="shared" si="8456"/>
        <v>0</v>
      </c>
      <c r="L4407" s="1" t="str">
        <f t="shared" si="8456"/>
        <v>0</v>
      </c>
      <c r="M4407" s="1" t="str">
        <f t="shared" si="8456"/>
        <v>0</v>
      </c>
      <c r="N4407" s="1" t="str">
        <f t="shared" si="8456"/>
        <v>0</v>
      </c>
      <c r="O4407" s="1" t="str">
        <f t="shared" si="8456"/>
        <v>0</v>
      </c>
      <c r="P4407" s="1" t="str">
        <f t="shared" si="8456"/>
        <v>0</v>
      </c>
      <c r="Q4407" s="1" t="str">
        <f t="shared" si="8392"/>
        <v>0.0070</v>
      </c>
      <c r="R4407" s="1" t="s">
        <v>25</v>
      </c>
      <c r="T4407" s="1" t="str">
        <f t="shared" si="8393"/>
        <v>0</v>
      </c>
      <c r="U4407" s="1" t="str">
        <f t="shared" si="8455"/>
        <v>0.0070</v>
      </c>
    </row>
    <row r="4408" s="1" customFormat="1" spans="1:21">
      <c r="A4408" s="1" t="str">
        <f>"4601992112351"</f>
        <v>4601992112351</v>
      </c>
      <c r="B4408" s="1" t="s">
        <v>4431</v>
      </c>
      <c r="C4408" s="1" t="s">
        <v>24</v>
      </c>
      <c r="D4408" s="1" t="str">
        <f t="shared" si="8390"/>
        <v>2021</v>
      </c>
      <c r="E4408" s="1" t="str">
        <f t="shared" ref="E4408:P4408" si="8457">"0"</f>
        <v>0</v>
      </c>
      <c r="F4408" s="1" t="str">
        <f t="shared" si="8457"/>
        <v>0</v>
      </c>
      <c r="G4408" s="1" t="str">
        <f t="shared" si="8457"/>
        <v>0</v>
      </c>
      <c r="H4408" s="1" t="str">
        <f t="shared" si="8457"/>
        <v>0</v>
      </c>
      <c r="I4408" s="1" t="str">
        <f t="shared" si="8457"/>
        <v>0</v>
      </c>
      <c r="J4408" s="1" t="str">
        <f t="shared" si="8457"/>
        <v>0</v>
      </c>
      <c r="K4408" s="1" t="str">
        <f t="shared" si="8457"/>
        <v>0</v>
      </c>
      <c r="L4408" s="1" t="str">
        <f t="shared" si="8457"/>
        <v>0</v>
      </c>
      <c r="M4408" s="1" t="str">
        <f t="shared" si="8457"/>
        <v>0</v>
      </c>
      <c r="N4408" s="1" t="str">
        <f t="shared" si="8457"/>
        <v>0</v>
      </c>
      <c r="O4408" s="1" t="str">
        <f t="shared" si="8457"/>
        <v>0</v>
      </c>
      <c r="P4408" s="1" t="str">
        <f t="shared" si="8457"/>
        <v>0</v>
      </c>
      <c r="Q4408" s="1" t="str">
        <f t="shared" si="8392"/>
        <v>0.0070</v>
      </c>
      <c r="R4408" s="1" t="s">
        <v>25</v>
      </c>
      <c r="T4408" s="1" t="str">
        <f t="shared" si="8393"/>
        <v>0</v>
      </c>
      <c r="U4408" s="1" t="str">
        <f t="shared" si="8455"/>
        <v>0.0070</v>
      </c>
    </row>
    <row r="4409" s="1" customFormat="1" spans="1:21">
      <c r="A4409" s="1" t="str">
        <f>"4601992112404"</f>
        <v>4601992112404</v>
      </c>
      <c r="B4409" s="1" t="s">
        <v>4432</v>
      </c>
      <c r="C4409" s="1" t="s">
        <v>24</v>
      </c>
      <c r="D4409" s="1" t="str">
        <f t="shared" si="8390"/>
        <v>2021</v>
      </c>
      <c r="E4409" s="1" t="str">
        <f>"47.92"</f>
        <v>47.92</v>
      </c>
      <c r="F4409" s="1" t="str">
        <f t="shared" ref="F4409:I4409" si="8458">"0"</f>
        <v>0</v>
      </c>
      <c r="G4409" s="1" t="str">
        <f t="shared" si="8458"/>
        <v>0</v>
      </c>
      <c r="H4409" s="1" t="str">
        <f t="shared" si="8458"/>
        <v>0</v>
      </c>
      <c r="I4409" s="1" t="str">
        <f t="shared" si="8458"/>
        <v>0</v>
      </c>
      <c r="J4409" s="1" t="str">
        <f>"4"</f>
        <v>4</v>
      </c>
      <c r="K4409" s="1" t="str">
        <f t="shared" ref="K4409:P4409" si="8459">"0"</f>
        <v>0</v>
      </c>
      <c r="L4409" s="1" t="str">
        <f t="shared" si="8459"/>
        <v>0</v>
      </c>
      <c r="M4409" s="1" t="str">
        <f t="shared" si="8459"/>
        <v>0</v>
      </c>
      <c r="N4409" s="1" t="str">
        <f t="shared" si="8459"/>
        <v>0</v>
      </c>
      <c r="O4409" s="1" t="str">
        <f t="shared" si="8459"/>
        <v>0</v>
      </c>
      <c r="P4409" s="1" t="str">
        <f t="shared" si="8459"/>
        <v>0</v>
      </c>
      <c r="Q4409" s="1" t="str">
        <f t="shared" si="8392"/>
        <v>0.0070</v>
      </c>
      <c r="R4409" s="1" t="s">
        <v>29</v>
      </c>
      <c r="S4409" s="1">
        <v>-0.0014</v>
      </c>
      <c r="T4409" s="1" t="str">
        <f t="shared" si="8393"/>
        <v>0</v>
      </c>
      <c r="U4409" s="1" t="str">
        <f t="shared" ref="U4409:U4415" si="8460">"0.0056"</f>
        <v>0.0056</v>
      </c>
    </row>
    <row r="4410" s="1" customFormat="1" spans="1:21">
      <c r="A4410" s="1" t="str">
        <f>"4601992112415"</f>
        <v>4601992112415</v>
      </c>
      <c r="B4410" s="1" t="s">
        <v>4433</v>
      </c>
      <c r="C4410" s="1" t="s">
        <v>24</v>
      </c>
      <c r="D4410" s="1" t="str">
        <f t="shared" si="8390"/>
        <v>2021</v>
      </c>
      <c r="E4410" s="1" t="str">
        <f t="shared" ref="E4410:I4410" si="8461">"0"</f>
        <v>0</v>
      </c>
      <c r="F4410" s="1" t="str">
        <f t="shared" si="8461"/>
        <v>0</v>
      </c>
      <c r="G4410" s="1" t="str">
        <f t="shared" si="8461"/>
        <v>0</v>
      </c>
      <c r="H4410" s="1" t="str">
        <f t="shared" si="8461"/>
        <v>0</v>
      </c>
      <c r="I4410" s="1" t="str">
        <f t="shared" si="8461"/>
        <v>0</v>
      </c>
      <c r="J4410" s="1" t="str">
        <f>"2"</f>
        <v>2</v>
      </c>
      <c r="K4410" s="1" t="str">
        <f t="shared" ref="K4410:P4410" si="8462">"0"</f>
        <v>0</v>
      </c>
      <c r="L4410" s="1" t="str">
        <f t="shared" si="8462"/>
        <v>0</v>
      </c>
      <c r="M4410" s="1" t="str">
        <f t="shared" si="8462"/>
        <v>0</v>
      </c>
      <c r="N4410" s="1" t="str">
        <f t="shared" si="8462"/>
        <v>0</v>
      </c>
      <c r="O4410" s="1" t="str">
        <f t="shared" si="8462"/>
        <v>0</v>
      </c>
      <c r="P4410" s="1" t="str">
        <f t="shared" si="8462"/>
        <v>0</v>
      </c>
      <c r="Q4410" s="1" t="str">
        <f t="shared" si="8392"/>
        <v>0.0070</v>
      </c>
      <c r="R4410" s="1" t="s">
        <v>25</v>
      </c>
      <c r="T4410" s="1" t="str">
        <f t="shared" si="8393"/>
        <v>0</v>
      </c>
      <c r="U4410" s="1" t="str">
        <f>"0.0070"</f>
        <v>0.0070</v>
      </c>
    </row>
    <row r="4411" s="1" customFormat="1" spans="1:21">
      <c r="A4411" s="1" t="str">
        <f>"4601992112417"</f>
        <v>4601992112417</v>
      </c>
      <c r="B4411" s="1" t="s">
        <v>4434</v>
      </c>
      <c r="C4411" s="1" t="s">
        <v>24</v>
      </c>
      <c r="D4411" s="1" t="str">
        <f t="shared" si="8390"/>
        <v>2021</v>
      </c>
      <c r="E4411" s="1" t="str">
        <f>"83.86"</f>
        <v>83.86</v>
      </c>
      <c r="F4411" s="1" t="str">
        <f t="shared" ref="F4411:I4411" si="8463">"0"</f>
        <v>0</v>
      </c>
      <c r="G4411" s="1" t="str">
        <f t="shared" si="8463"/>
        <v>0</v>
      </c>
      <c r="H4411" s="1" t="str">
        <f t="shared" si="8463"/>
        <v>0</v>
      </c>
      <c r="I4411" s="1" t="str">
        <f t="shared" si="8463"/>
        <v>0</v>
      </c>
      <c r="J4411" s="1" t="str">
        <f t="shared" ref="J4411:J4415" si="8464">"7"</f>
        <v>7</v>
      </c>
      <c r="K4411" s="1" t="str">
        <f t="shared" ref="K4411:P4411" si="8465">"0"</f>
        <v>0</v>
      </c>
      <c r="L4411" s="1" t="str">
        <f t="shared" si="8465"/>
        <v>0</v>
      </c>
      <c r="M4411" s="1" t="str">
        <f t="shared" si="8465"/>
        <v>0</v>
      </c>
      <c r="N4411" s="1" t="str">
        <f t="shared" si="8465"/>
        <v>0</v>
      </c>
      <c r="O4411" s="1" t="str">
        <f t="shared" si="8465"/>
        <v>0</v>
      </c>
      <c r="P4411" s="1" t="str">
        <f t="shared" si="8465"/>
        <v>0</v>
      </c>
      <c r="Q4411" s="1" t="str">
        <f t="shared" si="8392"/>
        <v>0.0070</v>
      </c>
      <c r="R4411" s="1" t="s">
        <v>29</v>
      </c>
      <c r="S4411" s="1">
        <v>-0.0014</v>
      </c>
      <c r="T4411" s="1" t="str">
        <f t="shared" si="8393"/>
        <v>0</v>
      </c>
      <c r="U4411" s="1" t="str">
        <f t="shared" si="8460"/>
        <v>0.0056</v>
      </c>
    </row>
    <row r="4412" s="1" customFormat="1" spans="1:21">
      <c r="A4412" s="1" t="str">
        <f>"4601992112423"</f>
        <v>4601992112423</v>
      </c>
      <c r="B4412" s="1" t="s">
        <v>4435</v>
      </c>
      <c r="C4412" s="1" t="s">
        <v>24</v>
      </c>
      <c r="D4412" s="1" t="str">
        <f t="shared" si="8390"/>
        <v>2021</v>
      </c>
      <c r="E4412" s="1" t="str">
        <f>"131.78"</f>
        <v>131.78</v>
      </c>
      <c r="F4412" s="1" t="str">
        <f t="shared" ref="F4412:I4412" si="8466">"0"</f>
        <v>0</v>
      </c>
      <c r="G4412" s="1" t="str">
        <f t="shared" si="8466"/>
        <v>0</v>
      </c>
      <c r="H4412" s="1" t="str">
        <f t="shared" si="8466"/>
        <v>0</v>
      </c>
      <c r="I4412" s="1" t="str">
        <f t="shared" si="8466"/>
        <v>0</v>
      </c>
      <c r="J4412" s="1" t="str">
        <f>"11"</f>
        <v>11</v>
      </c>
      <c r="K4412" s="1" t="str">
        <f t="shared" ref="K4412:P4412" si="8467">"0"</f>
        <v>0</v>
      </c>
      <c r="L4412" s="1" t="str">
        <f t="shared" si="8467"/>
        <v>0</v>
      </c>
      <c r="M4412" s="1" t="str">
        <f t="shared" si="8467"/>
        <v>0</v>
      </c>
      <c r="N4412" s="1" t="str">
        <f t="shared" si="8467"/>
        <v>0</v>
      </c>
      <c r="O4412" s="1" t="str">
        <f t="shared" si="8467"/>
        <v>0</v>
      </c>
      <c r="P4412" s="1" t="str">
        <f t="shared" si="8467"/>
        <v>0</v>
      </c>
      <c r="Q4412" s="1" t="str">
        <f t="shared" si="8392"/>
        <v>0.0070</v>
      </c>
      <c r="R4412" s="1" t="s">
        <v>29</v>
      </c>
      <c r="S4412" s="1">
        <v>-0.0014</v>
      </c>
      <c r="T4412" s="1" t="str">
        <f t="shared" si="8393"/>
        <v>0</v>
      </c>
      <c r="U4412" s="1" t="str">
        <f t="shared" si="8460"/>
        <v>0.0056</v>
      </c>
    </row>
    <row r="4413" s="1" customFormat="1" spans="1:21">
      <c r="A4413" s="1" t="str">
        <f>"4601992112433"</f>
        <v>4601992112433</v>
      </c>
      <c r="B4413" s="1" t="s">
        <v>4436</v>
      </c>
      <c r="C4413" s="1" t="s">
        <v>24</v>
      </c>
      <c r="D4413" s="1" t="str">
        <f t="shared" si="8390"/>
        <v>2021</v>
      </c>
      <c r="E4413" s="1" t="str">
        <f>"102.17"</f>
        <v>102.17</v>
      </c>
      <c r="F4413" s="1" t="str">
        <f t="shared" ref="F4413:I4413" si="8468">"0"</f>
        <v>0</v>
      </c>
      <c r="G4413" s="1" t="str">
        <f t="shared" si="8468"/>
        <v>0</v>
      </c>
      <c r="H4413" s="1" t="str">
        <f t="shared" si="8468"/>
        <v>0</v>
      </c>
      <c r="I4413" s="1" t="str">
        <f t="shared" si="8468"/>
        <v>0</v>
      </c>
      <c r="J4413" s="1" t="str">
        <f t="shared" si="8464"/>
        <v>7</v>
      </c>
      <c r="K4413" s="1" t="str">
        <f t="shared" ref="K4413:P4413" si="8469">"0"</f>
        <v>0</v>
      </c>
      <c r="L4413" s="1" t="str">
        <f t="shared" si="8469"/>
        <v>0</v>
      </c>
      <c r="M4413" s="1" t="str">
        <f t="shared" si="8469"/>
        <v>0</v>
      </c>
      <c r="N4413" s="1" t="str">
        <f t="shared" si="8469"/>
        <v>0</v>
      </c>
      <c r="O4413" s="1" t="str">
        <f t="shared" si="8469"/>
        <v>0</v>
      </c>
      <c r="P4413" s="1" t="str">
        <f t="shared" si="8469"/>
        <v>0</v>
      </c>
      <c r="Q4413" s="1" t="str">
        <f t="shared" si="8392"/>
        <v>0.0070</v>
      </c>
      <c r="R4413" s="1" t="s">
        <v>29</v>
      </c>
      <c r="S4413" s="1">
        <v>-0.0014</v>
      </c>
      <c r="T4413" s="1" t="str">
        <f t="shared" si="8393"/>
        <v>0</v>
      </c>
      <c r="U4413" s="1" t="str">
        <f t="shared" si="8460"/>
        <v>0.0056</v>
      </c>
    </row>
    <row r="4414" s="1" customFormat="1" spans="1:21">
      <c r="A4414" s="1" t="str">
        <f>"4601992112441"</f>
        <v>4601992112441</v>
      </c>
      <c r="B4414" s="1" t="s">
        <v>4437</v>
      </c>
      <c r="C4414" s="1" t="s">
        <v>24</v>
      </c>
      <c r="D4414" s="1" t="str">
        <f t="shared" si="8390"/>
        <v>2021</v>
      </c>
      <c r="E4414" s="1" t="str">
        <f>"12.25"</f>
        <v>12.25</v>
      </c>
      <c r="F4414" s="1" t="str">
        <f t="shared" ref="F4414:I4414" si="8470">"0"</f>
        <v>0</v>
      </c>
      <c r="G4414" s="1" t="str">
        <f t="shared" si="8470"/>
        <v>0</v>
      </c>
      <c r="H4414" s="1" t="str">
        <f t="shared" si="8470"/>
        <v>0</v>
      </c>
      <c r="I4414" s="1" t="str">
        <f t="shared" si="8470"/>
        <v>0</v>
      </c>
      <c r="J4414" s="1" t="str">
        <f>"1"</f>
        <v>1</v>
      </c>
      <c r="K4414" s="1" t="str">
        <f t="shared" ref="K4414:P4414" si="8471">"0"</f>
        <v>0</v>
      </c>
      <c r="L4414" s="1" t="str">
        <f t="shared" si="8471"/>
        <v>0</v>
      </c>
      <c r="M4414" s="1" t="str">
        <f t="shared" si="8471"/>
        <v>0</v>
      </c>
      <c r="N4414" s="1" t="str">
        <f t="shared" si="8471"/>
        <v>0</v>
      </c>
      <c r="O4414" s="1" t="str">
        <f t="shared" si="8471"/>
        <v>0</v>
      </c>
      <c r="P4414" s="1" t="str">
        <f t="shared" si="8471"/>
        <v>0</v>
      </c>
      <c r="Q4414" s="1" t="str">
        <f t="shared" si="8392"/>
        <v>0.0070</v>
      </c>
      <c r="R4414" s="1" t="s">
        <v>29</v>
      </c>
      <c r="S4414" s="1">
        <v>-0.0014</v>
      </c>
      <c r="T4414" s="1" t="str">
        <f t="shared" si="8393"/>
        <v>0</v>
      </c>
      <c r="U4414" s="1" t="str">
        <f t="shared" si="8460"/>
        <v>0.0056</v>
      </c>
    </row>
    <row r="4415" s="1" customFormat="1" spans="1:21">
      <c r="A4415" s="1" t="str">
        <f>"4601992112431"</f>
        <v>4601992112431</v>
      </c>
      <c r="B4415" s="1" t="s">
        <v>4438</v>
      </c>
      <c r="C4415" s="1" t="s">
        <v>24</v>
      </c>
      <c r="D4415" s="1" t="str">
        <f t="shared" si="8390"/>
        <v>2021</v>
      </c>
      <c r="E4415" s="1" t="str">
        <f>"95.95"</f>
        <v>95.95</v>
      </c>
      <c r="F4415" s="1" t="str">
        <f t="shared" ref="F4415:I4415" si="8472">"0"</f>
        <v>0</v>
      </c>
      <c r="G4415" s="1" t="str">
        <f t="shared" si="8472"/>
        <v>0</v>
      </c>
      <c r="H4415" s="1" t="str">
        <f t="shared" si="8472"/>
        <v>0</v>
      </c>
      <c r="I4415" s="1" t="str">
        <f t="shared" si="8472"/>
        <v>0</v>
      </c>
      <c r="J4415" s="1" t="str">
        <f t="shared" si="8464"/>
        <v>7</v>
      </c>
      <c r="K4415" s="1" t="str">
        <f t="shared" ref="K4415:P4415" si="8473">"0"</f>
        <v>0</v>
      </c>
      <c r="L4415" s="1" t="str">
        <f t="shared" si="8473"/>
        <v>0</v>
      </c>
      <c r="M4415" s="1" t="str">
        <f t="shared" si="8473"/>
        <v>0</v>
      </c>
      <c r="N4415" s="1" t="str">
        <f t="shared" si="8473"/>
        <v>0</v>
      </c>
      <c r="O4415" s="1" t="str">
        <f t="shared" si="8473"/>
        <v>0</v>
      </c>
      <c r="P4415" s="1" t="str">
        <f t="shared" si="8473"/>
        <v>0</v>
      </c>
      <c r="Q4415" s="1" t="str">
        <f t="shared" si="8392"/>
        <v>0.0070</v>
      </c>
      <c r="R4415" s="1" t="s">
        <v>29</v>
      </c>
      <c r="S4415" s="1">
        <v>-0.0014</v>
      </c>
      <c r="T4415" s="1" t="str">
        <f t="shared" si="8393"/>
        <v>0</v>
      </c>
      <c r="U4415" s="1" t="str">
        <f t="shared" si="8460"/>
        <v>0.0056</v>
      </c>
    </row>
    <row r="4416" s="1" customFormat="1" spans="1:21">
      <c r="A4416" s="1" t="str">
        <f>"4601992112456"</f>
        <v>4601992112456</v>
      </c>
      <c r="B4416" s="1" t="s">
        <v>4439</v>
      </c>
      <c r="C4416" s="1" t="s">
        <v>24</v>
      </c>
      <c r="D4416" s="1" t="str">
        <f t="shared" si="8390"/>
        <v>2021</v>
      </c>
      <c r="E4416" s="1" t="str">
        <f t="shared" ref="E4416:P4416" si="8474">"0"</f>
        <v>0</v>
      </c>
      <c r="F4416" s="1" t="str">
        <f t="shared" si="8474"/>
        <v>0</v>
      </c>
      <c r="G4416" s="1" t="str">
        <f t="shared" si="8474"/>
        <v>0</v>
      </c>
      <c r="H4416" s="1" t="str">
        <f t="shared" si="8474"/>
        <v>0</v>
      </c>
      <c r="I4416" s="1" t="str">
        <f t="shared" si="8474"/>
        <v>0</v>
      </c>
      <c r="J4416" s="1" t="str">
        <f t="shared" si="8474"/>
        <v>0</v>
      </c>
      <c r="K4416" s="1" t="str">
        <f t="shared" si="8474"/>
        <v>0</v>
      </c>
      <c r="L4416" s="1" t="str">
        <f t="shared" si="8474"/>
        <v>0</v>
      </c>
      <c r="M4416" s="1" t="str">
        <f t="shared" si="8474"/>
        <v>0</v>
      </c>
      <c r="N4416" s="1" t="str">
        <f t="shared" si="8474"/>
        <v>0</v>
      </c>
      <c r="O4416" s="1" t="str">
        <f t="shared" si="8474"/>
        <v>0</v>
      </c>
      <c r="P4416" s="1" t="str">
        <f t="shared" si="8474"/>
        <v>0</v>
      </c>
      <c r="Q4416" s="1" t="str">
        <f t="shared" si="8392"/>
        <v>0.0070</v>
      </c>
      <c r="R4416" s="1" t="s">
        <v>25</v>
      </c>
      <c r="T4416" s="1" t="str">
        <f t="shared" si="8393"/>
        <v>0</v>
      </c>
      <c r="U4416" s="1" t="str">
        <f t="shared" ref="U4416:U4420" si="8475">"0.0070"</f>
        <v>0.0070</v>
      </c>
    </row>
    <row r="4417" s="1" customFormat="1" spans="1:21">
      <c r="A4417" s="1" t="str">
        <f>"4601992062604"</f>
        <v>4601992062604</v>
      </c>
      <c r="B4417" s="1" t="s">
        <v>4440</v>
      </c>
      <c r="C4417" s="1" t="s">
        <v>24</v>
      </c>
      <c r="D4417" s="1" t="str">
        <f t="shared" si="8390"/>
        <v>2021</v>
      </c>
      <c r="E4417" s="1" t="str">
        <f t="shared" ref="E4417:G4417" si="8476">"0"</f>
        <v>0</v>
      </c>
      <c r="F4417" s="1" t="str">
        <f t="shared" si="8476"/>
        <v>0</v>
      </c>
      <c r="G4417" s="1" t="str">
        <f t="shared" si="8476"/>
        <v>0</v>
      </c>
      <c r="H4417" s="1" t="str">
        <f>"157.17"</f>
        <v>157.17</v>
      </c>
      <c r="I4417" s="1" t="str">
        <f t="shared" ref="I4417:P4417" si="8477">"0"</f>
        <v>0</v>
      </c>
      <c r="J4417" s="1" t="str">
        <f t="shared" si="8477"/>
        <v>0</v>
      </c>
      <c r="K4417" s="1" t="str">
        <f t="shared" si="8477"/>
        <v>0</v>
      </c>
      <c r="L4417" s="1" t="str">
        <f t="shared" si="8477"/>
        <v>0</v>
      </c>
      <c r="M4417" s="1" t="str">
        <f t="shared" si="8477"/>
        <v>0</v>
      </c>
      <c r="N4417" s="1" t="str">
        <f t="shared" si="8477"/>
        <v>0</v>
      </c>
      <c r="O4417" s="1" t="str">
        <f t="shared" si="8477"/>
        <v>0</v>
      </c>
      <c r="P4417" s="1" t="str">
        <f t="shared" si="8477"/>
        <v>0</v>
      </c>
      <c r="Q4417" s="1" t="str">
        <f t="shared" si="8392"/>
        <v>0.0070</v>
      </c>
      <c r="R4417" s="1" t="s">
        <v>25</v>
      </c>
      <c r="T4417" s="1" t="str">
        <f t="shared" si="8393"/>
        <v>0</v>
      </c>
      <c r="U4417" s="1" t="str">
        <f t="shared" si="8475"/>
        <v>0.0070</v>
      </c>
    </row>
    <row r="4418" s="1" customFormat="1" spans="1:21">
      <c r="A4418" s="1" t="str">
        <f>"4601992112446"</f>
        <v>4601992112446</v>
      </c>
      <c r="B4418" s="1" t="s">
        <v>4441</v>
      </c>
      <c r="C4418" s="1" t="s">
        <v>24</v>
      </c>
      <c r="D4418" s="1" t="str">
        <f t="shared" si="8390"/>
        <v>2021</v>
      </c>
      <c r="E4418" s="1" t="str">
        <f>"119.80"</f>
        <v>119.80</v>
      </c>
      <c r="F4418" s="1" t="str">
        <f t="shared" ref="F4418:I4418" si="8478">"0"</f>
        <v>0</v>
      </c>
      <c r="G4418" s="1" t="str">
        <f t="shared" si="8478"/>
        <v>0</v>
      </c>
      <c r="H4418" s="1" t="str">
        <f t="shared" si="8478"/>
        <v>0</v>
      </c>
      <c r="I4418" s="1" t="str">
        <f t="shared" si="8478"/>
        <v>0</v>
      </c>
      <c r="J4418" s="1" t="str">
        <f>"10"</f>
        <v>10</v>
      </c>
      <c r="K4418" s="1" t="str">
        <f t="shared" ref="K4418:P4418" si="8479">"0"</f>
        <v>0</v>
      </c>
      <c r="L4418" s="1" t="str">
        <f t="shared" si="8479"/>
        <v>0</v>
      </c>
      <c r="M4418" s="1" t="str">
        <f t="shared" si="8479"/>
        <v>0</v>
      </c>
      <c r="N4418" s="1" t="str">
        <f t="shared" si="8479"/>
        <v>0</v>
      </c>
      <c r="O4418" s="1" t="str">
        <f t="shared" si="8479"/>
        <v>0</v>
      </c>
      <c r="P4418" s="1" t="str">
        <f t="shared" si="8479"/>
        <v>0</v>
      </c>
      <c r="Q4418" s="1" t="str">
        <f t="shared" si="8392"/>
        <v>0.0070</v>
      </c>
      <c r="R4418" s="1" t="s">
        <v>29</v>
      </c>
      <c r="S4418" s="1">
        <v>-0.0014</v>
      </c>
      <c r="T4418" s="1" t="str">
        <f t="shared" si="8393"/>
        <v>0</v>
      </c>
      <c r="U4418" s="1" t="str">
        <f t="shared" ref="U4418:U4426" si="8480">"0.0056"</f>
        <v>0.0056</v>
      </c>
    </row>
    <row r="4419" s="1" customFormat="1" spans="1:21">
      <c r="A4419" s="1" t="str">
        <f>"4601992112557"</f>
        <v>4601992112557</v>
      </c>
      <c r="B4419" s="1" t="s">
        <v>4442</v>
      </c>
      <c r="C4419" s="1" t="s">
        <v>24</v>
      </c>
      <c r="D4419" s="1" t="str">
        <f t="shared" ref="D4419:D4482" si="8481">"2021"</f>
        <v>2021</v>
      </c>
      <c r="E4419" s="1" t="str">
        <f t="shared" ref="E4419:P4419" si="8482">"0"</f>
        <v>0</v>
      </c>
      <c r="F4419" s="1" t="str">
        <f t="shared" si="8482"/>
        <v>0</v>
      </c>
      <c r="G4419" s="1" t="str">
        <f t="shared" si="8482"/>
        <v>0</v>
      </c>
      <c r="H4419" s="1" t="str">
        <f t="shared" si="8482"/>
        <v>0</v>
      </c>
      <c r="I4419" s="1" t="str">
        <f t="shared" si="8482"/>
        <v>0</v>
      </c>
      <c r="J4419" s="1" t="str">
        <f t="shared" si="8482"/>
        <v>0</v>
      </c>
      <c r="K4419" s="1" t="str">
        <f t="shared" si="8482"/>
        <v>0</v>
      </c>
      <c r="L4419" s="1" t="str">
        <f t="shared" si="8482"/>
        <v>0</v>
      </c>
      <c r="M4419" s="1" t="str">
        <f t="shared" si="8482"/>
        <v>0</v>
      </c>
      <c r="N4419" s="1" t="str">
        <f t="shared" si="8482"/>
        <v>0</v>
      </c>
      <c r="O4419" s="1" t="str">
        <f t="shared" si="8482"/>
        <v>0</v>
      </c>
      <c r="P4419" s="1" t="str">
        <f t="shared" si="8482"/>
        <v>0</v>
      </c>
      <c r="Q4419" s="1" t="str">
        <f t="shared" ref="Q4419:Q4482" si="8483">"0.0070"</f>
        <v>0.0070</v>
      </c>
      <c r="R4419" s="1" t="s">
        <v>25</v>
      </c>
      <c r="T4419" s="1" t="str">
        <f t="shared" ref="T4419:T4482" si="8484">"0"</f>
        <v>0</v>
      </c>
      <c r="U4419" s="1" t="str">
        <f t="shared" si="8475"/>
        <v>0.0070</v>
      </c>
    </row>
    <row r="4420" s="1" customFormat="1" spans="1:21">
      <c r="A4420" s="1" t="str">
        <f>"4601992112711"</f>
        <v>4601992112711</v>
      </c>
      <c r="B4420" s="1" t="s">
        <v>4443</v>
      </c>
      <c r="C4420" s="1" t="s">
        <v>24</v>
      </c>
      <c r="D4420" s="1" t="str">
        <f t="shared" si="8481"/>
        <v>2021</v>
      </c>
      <c r="E4420" s="1" t="str">
        <f t="shared" ref="E4420:P4420" si="8485">"0"</f>
        <v>0</v>
      </c>
      <c r="F4420" s="1" t="str">
        <f t="shared" si="8485"/>
        <v>0</v>
      </c>
      <c r="G4420" s="1" t="str">
        <f t="shared" si="8485"/>
        <v>0</v>
      </c>
      <c r="H4420" s="1" t="str">
        <f t="shared" si="8485"/>
        <v>0</v>
      </c>
      <c r="I4420" s="1" t="str">
        <f t="shared" si="8485"/>
        <v>0</v>
      </c>
      <c r="J4420" s="1" t="str">
        <f t="shared" si="8485"/>
        <v>0</v>
      </c>
      <c r="K4420" s="1" t="str">
        <f t="shared" si="8485"/>
        <v>0</v>
      </c>
      <c r="L4420" s="1" t="str">
        <f t="shared" si="8485"/>
        <v>0</v>
      </c>
      <c r="M4420" s="1" t="str">
        <f t="shared" si="8485"/>
        <v>0</v>
      </c>
      <c r="N4420" s="1" t="str">
        <f t="shared" si="8485"/>
        <v>0</v>
      </c>
      <c r="O4420" s="1" t="str">
        <f t="shared" si="8485"/>
        <v>0</v>
      </c>
      <c r="P4420" s="1" t="str">
        <f t="shared" si="8485"/>
        <v>0</v>
      </c>
      <c r="Q4420" s="1" t="str">
        <f t="shared" si="8483"/>
        <v>0.0070</v>
      </c>
      <c r="R4420" s="1" t="s">
        <v>25</v>
      </c>
      <c r="T4420" s="1" t="str">
        <f t="shared" si="8484"/>
        <v>0</v>
      </c>
      <c r="U4420" s="1" t="str">
        <f t="shared" si="8475"/>
        <v>0.0070</v>
      </c>
    </row>
    <row r="4421" s="1" customFormat="1" spans="1:21">
      <c r="A4421" s="1" t="str">
        <f>"4601992112577"</f>
        <v>4601992112577</v>
      </c>
      <c r="B4421" s="1" t="s">
        <v>4444</v>
      </c>
      <c r="C4421" s="1" t="s">
        <v>24</v>
      </c>
      <c r="D4421" s="1" t="str">
        <f t="shared" si="8481"/>
        <v>2021</v>
      </c>
      <c r="E4421" s="1" t="str">
        <f>"36.27"</f>
        <v>36.27</v>
      </c>
      <c r="F4421" s="1" t="str">
        <f t="shared" ref="F4421:I4421" si="8486">"0"</f>
        <v>0</v>
      </c>
      <c r="G4421" s="1" t="str">
        <f t="shared" si="8486"/>
        <v>0</v>
      </c>
      <c r="H4421" s="1" t="str">
        <f t="shared" si="8486"/>
        <v>0</v>
      </c>
      <c r="I4421" s="1" t="str">
        <f t="shared" si="8486"/>
        <v>0</v>
      </c>
      <c r="J4421" s="1" t="str">
        <f>"4"</f>
        <v>4</v>
      </c>
      <c r="K4421" s="1" t="str">
        <f t="shared" ref="K4421:P4421" si="8487">"0"</f>
        <v>0</v>
      </c>
      <c r="L4421" s="1" t="str">
        <f t="shared" si="8487"/>
        <v>0</v>
      </c>
      <c r="M4421" s="1" t="str">
        <f t="shared" si="8487"/>
        <v>0</v>
      </c>
      <c r="N4421" s="1" t="str">
        <f t="shared" si="8487"/>
        <v>0</v>
      </c>
      <c r="O4421" s="1" t="str">
        <f t="shared" si="8487"/>
        <v>0</v>
      </c>
      <c r="P4421" s="1" t="str">
        <f t="shared" si="8487"/>
        <v>0</v>
      </c>
      <c r="Q4421" s="1" t="str">
        <f t="shared" si="8483"/>
        <v>0.0070</v>
      </c>
      <c r="R4421" s="1" t="s">
        <v>29</v>
      </c>
      <c r="S4421" s="1">
        <v>-0.0014</v>
      </c>
      <c r="T4421" s="1" t="str">
        <f t="shared" si="8484"/>
        <v>0</v>
      </c>
      <c r="U4421" s="1" t="str">
        <f t="shared" si="8480"/>
        <v>0.0056</v>
      </c>
    </row>
    <row r="4422" s="1" customFormat="1" spans="1:21">
      <c r="A4422" s="1" t="str">
        <f>"4601992112721"</f>
        <v>4601992112721</v>
      </c>
      <c r="B4422" s="1" t="s">
        <v>4445</v>
      </c>
      <c r="C4422" s="1" t="s">
        <v>24</v>
      </c>
      <c r="D4422" s="1" t="str">
        <f t="shared" si="8481"/>
        <v>2021</v>
      </c>
      <c r="E4422" s="1" t="str">
        <f>"23.96"</f>
        <v>23.96</v>
      </c>
      <c r="F4422" s="1" t="str">
        <f t="shared" ref="F4422:I4422" si="8488">"0"</f>
        <v>0</v>
      </c>
      <c r="G4422" s="1" t="str">
        <f t="shared" si="8488"/>
        <v>0</v>
      </c>
      <c r="H4422" s="1" t="str">
        <f t="shared" si="8488"/>
        <v>0</v>
      </c>
      <c r="I4422" s="1" t="str">
        <f t="shared" si="8488"/>
        <v>0</v>
      </c>
      <c r="J4422" s="1" t="str">
        <f>"3"</f>
        <v>3</v>
      </c>
      <c r="K4422" s="1" t="str">
        <f t="shared" ref="K4422:P4422" si="8489">"0"</f>
        <v>0</v>
      </c>
      <c r="L4422" s="1" t="str">
        <f t="shared" si="8489"/>
        <v>0</v>
      </c>
      <c r="M4422" s="1" t="str">
        <f t="shared" si="8489"/>
        <v>0</v>
      </c>
      <c r="N4422" s="1" t="str">
        <f t="shared" si="8489"/>
        <v>0</v>
      </c>
      <c r="O4422" s="1" t="str">
        <f t="shared" si="8489"/>
        <v>0</v>
      </c>
      <c r="P4422" s="1" t="str">
        <f t="shared" si="8489"/>
        <v>0</v>
      </c>
      <c r="Q4422" s="1" t="str">
        <f t="shared" si="8483"/>
        <v>0.0070</v>
      </c>
      <c r="R4422" s="1" t="s">
        <v>29</v>
      </c>
      <c r="S4422" s="1">
        <v>-0.0014</v>
      </c>
      <c r="T4422" s="1" t="str">
        <f t="shared" si="8484"/>
        <v>0</v>
      </c>
      <c r="U4422" s="1" t="str">
        <f t="shared" si="8480"/>
        <v>0.0056</v>
      </c>
    </row>
    <row r="4423" s="1" customFormat="1" spans="1:21">
      <c r="A4423" s="1" t="str">
        <f>"4601992112877"</f>
        <v>4601992112877</v>
      </c>
      <c r="B4423" s="1" t="s">
        <v>4446</v>
      </c>
      <c r="C4423" s="1" t="s">
        <v>24</v>
      </c>
      <c r="D4423" s="1" t="str">
        <f t="shared" si="8481"/>
        <v>2021</v>
      </c>
      <c r="E4423" s="1" t="str">
        <f>"11.98"</f>
        <v>11.98</v>
      </c>
      <c r="F4423" s="1" t="str">
        <f t="shared" ref="F4423:I4423" si="8490">"0"</f>
        <v>0</v>
      </c>
      <c r="G4423" s="1" t="str">
        <f t="shared" si="8490"/>
        <v>0</v>
      </c>
      <c r="H4423" s="1" t="str">
        <f t="shared" si="8490"/>
        <v>0</v>
      </c>
      <c r="I4423" s="1" t="str">
        <f t="shared" si="8490"/>
        <v>0</v>
      </c>
      <c r="J4423" s="1" t="str">
        <f>"2"</f>
        <v>2</v>
      </c>
      <c r="K4423" s="1" t="str">
        <f t="shared" ref="K4423:P4423" si="8491">"0"</f>
        <v>0</v>
      </c>
      <c r="L4423" s="1" t="str">
        <f t="shared" si="8491"/>
        <v>0</v>
      </c>
      <c r="M4423" s="1" t="str">
        <f t="shared" si="8491"/>
        <v>0</v>
      </c>
      <c r="N4423" s="1" t="str">
        <f t="shared" si="8491"/>
        <v>0</v>
      </c>
      <c r="O4423" s="1" t="str">
        <f t="shared" si="8491"/>
        <v>0</v>
      </c>
      <c r="P4423" s="1" t="str">
        <f t="shared" si="8491"/>
        <v>0</v>
      </c>
      <c r="Q4423" s="1" t="str">
        <f t="shared" si="8483"/>
        <v>0.0070</v>
      </c>
      <c r="R4423" s="1" t="s">
        <v>29</v>
      </c>
      <c r="S4423" s="1">
        <v>-0.0014</v>
      </c>
      <c r="T4423" s="1" t="str">
        <f t="shared" si="8484"/>
        <v>0</v>
      </c>
      <c r="U4423" s="1" t="str">
        <f t="shared" si="8480"/>
        <v>0.0056</v>
      </c>
    </row>
    <row r="4424" s="1" customFormat="1" spans="1:21">
      <c r="A4424" s="1" t="str">
        <f>"4601992112889"</f>
        <v>4601992112889</v>
      </c>
      <c r="B4424" s="1" t="s">
        <v>4447</v>
      </c>
      <c r="C4424" s="1" t="s">
        <v>24</v>
      </c>
      <c r="D4424" s="1" t="str">
        <f t="shared" si="8481"/>
        <v>2021</v>
      </c>
      <c r="E4424" s="1" t="str">
        <f>"49.00"</f>
        <v>49.00</v>
      </c>
      <c r="F4424" s="1" t="str">
        <f t="shared" ref="F4424:I4424" si="8492">"0"</f>
        <v>0</v>
      </c>
      <c r="G4424" s="1" t="str">
        <f t="shared" si="8492"/>
        <v>0</v>
      </c>
      <c r="H4424" s="1" t="str">
        <f t="shared" si="8492"/>
        <v>0</v>
      </c>
      <c r="I4424" s="1" t="str">
        <f t="shared" si="8492"/>
        <v>0</v>
      </c>
      <c r="J4424" s="1" t="str">
        <f>"6"</f>
        <v>6</v>
      </c>
      <c r="K4424" s="1" t="str">
        <f t="shared" ref="K4424:P4424" si="8493">"0"</f>
        <v>0</v>
      </c>
      <c r="L4424" s="1" t="str">
        <f t="shared" si="8493"/>
        <v>0</v>
      </c>
      <c r="M4424" s="1" t="str">
        <f t="shared" si="8493"/>
        <v>0</v>
      </c>
      <c r="N4424" s="1" t="str">
        <f t="shared" si="8493"/>
        <v>0</v>
      </c>
      <c r="O4424" s="1" t="str">
        <f t="shared" si="8493"/>
        <v>0</v>
      </c>
      <c r="P4424" s="1" t="str">
        <f t="shared" si="8493"/>
        <v>0</v>
      </c>
      <c r="Q4424" s="1" t="str">
        <f t="shared" si="8483"/>
        <v>0.0070</v>
      </c>
      <c r="R4424" s="1" t="s">
        <v>29</v>
      </c>
      <c r="S4424" s="1">
        <v>-0.0014</v>
      </c>
      <c r="T4424" s="1" t="str">
        <f t="shared" si="8484"/>
        <v>0</v>
      </c>
      <c r="U4424" s="1" t="str">
        <f t="shared" si="8480"/>
        <v>0.0056</v>
      </c>
    </row>
    <row r="4425" s="1" customFormat="1" spans="1:21">
      <c r="A4425" s="1" t="str">
        <f>"4601992112940"</f>
        <v>4601992112940</v>
      </c>
      <c r="B4425" s="1" t="s">
        <v>4448</v>
      </c>
      <c r="C4425" s="1" t="s">
        <v>24</v>
      </c>
      <c r="D4425" s="1" t="str">
        <f t="shared" si="8481"/>
        <v>2021</v>
      </c>
      <c r="E4425" s="1" t="str">
        <f>"95.84"</f>
        <v>95.84</v>
      </c>
      <c r="F4425" s="1" t="str">
        <f t="shared" ref="F4425:I4425" si="8494">"0"</f>
        <v>0</v>
      </c>
      <c r="G4425" s="1" t="str">
        <f t="shared" si="8494"/>
        <v>0</v>
      </c>
      <c r="H4425" s="1" t="str">
        <f t="shared" si="8494"/>
        <v>0</v>
      </c>
      <c r="I4425" s="1" t="str">
        <f t="shared" si="8494"/>
        <v>0</v>
      </c>
      <c r="J4425" s="1" t="str">
        <f>"5"</f>
        <v>5</v>
      </c>
      <c r="K4425" s="1" t="str">
        <f t="shared" ref="K4425:P4425" si="8495">"0"</f>
        <v>0</v>
      </c>
      <c r="L4425" s="1" t="str">
        <f t="shared" si="8495"/>
        <v>0</v>
      </c>
      <c r="M4425" s="1" t="str">
        <f t="shared" si="8495"/>
        <v>0</v>
      </c>
      <c r="N4425" s="1" t="str">
        <f t="shared" si="8495"/>
        <v>0</v>
      </c>
      <c r="O4425" s="1" t="str">
        <f t="shared" si="8495"/>
        <v>0</v>
      </c>
      <c r="P4425" s="1" t="str">
        <f t="shared" si="8495"/>
        <v>0</v>
      </c>
      <c r="Q4425" s="1" t="str">
        <f t="shared" si="8483"/>
        <v>0.0070</v>
      </c>
      <c r="R4425" s="1" t="s">
        <v>29</v>
      </c>
      <c r="S4425" s="1">
        <v>-0.0014</v>
      </c>
      <c r="T4425" s="1" t="str">
        <f t="shared" si="8484"/>
        <v>0</v>
      </c>
      <c r="U4425" s="1" t="str">
        <f t="shared" si="8480"/>
        <v>0.0056</v>
      </c>
    </row>
    <row r="4426" s="1" customFormat="1" spans="1:21">
      <c r="A4426" s="1" t="str">
        <f>"4601992112971"</f>
        <v>4601992112971</v>
      </c>
      <c r="B4426" s="1" t="s">
        <v>4449</v>
      </c>
      <c r="C4426" s="1" t="s">
        <v>24</v>
      </c>
      <c r="D4426" s="1" t="str">
        <f t="shared" si="8481"/>
        <v>2021</v>
      </c>
      <c r="E4426" s="1" t="str">
        <f>"36.27"</f>
        <v>36.27</v>
      </c>
      <c r="F4426" s="1" t="str">
        <f t="shared" ref="F4426:I4426" si="8496">"0"</f>
        <v>0</v>
      </c>
      <c r="G4426" s="1" t="str">
        <f t="shared" si="8496"/>
        <v>0</v>
      </c>
      <c r="H4426" s="1" t="str">
        <f t="shared" si="8496"/>
        <v>0</v>
      </c>
      <c r="I4426" s="1" t="str">
        <f t="shared" si="8496"/>
        <v>0</v>
      </c>
      <c r="J4426" s="1" t="str">
        <f>"3"</f>
        <v>3</v>
      </c>
      <c r="K4426" s="1" t="str">
        <f t="shared" ref="K4426:P4426" si="8497">"0"</f>
        <v>0</v>
      </c>
      <c r="L4426" s="1" t="str">
        <f t="shared" si="8497"/>
        <v>0</v>
      </c>
      <c r="M4426" s="1" t="str">
        <f t="shared" si="8497"/>
        <v>0</v>
      </c>
      <c r="N4426" s="1" t="str">
        <f t="shared" si="8497"/>
        <v>0</v>
      </c>
      <c r="O4426" s="1" t="str">
        <f t="shared" si="8497"/>
        <v>0</v>
      </c>
      <c r="P4426" s="1" t="str">
        <f t="shared" si="8497"/>
        <v>0</v>
      </c>
      <c r="Q4426" s="1" t="str">
        <f t="shared" si="8483"/>
        <v>0.0070</v>
      </c>
      <c r="R4426" s="1" t="s">
        <v>29</v>
      </c>
      <c r="S4426" s="1">
        <v>-0.0014</v>
      </c>
      <c r="T4426" s="1" t="str">
        <f t="shared" si="8484"/>
        <v>0</v>
      </c>
      <c r="U4426" s="1" t="str">
        <f t="shared" si="8480"/>
        <v>0.0056</v>
      </c>
    </row>
    <row r="4427" s="1" customFormat="1" spans="1:21">
      <c r="A4427" s="1" t="str">
        <f>"4601992112993"</f>
        <v>4601992112993</v>
      </c>
      <c r="B4427" s="1" t="s">
        <v>4450</v>
      </c>
      <c r="C4427" s="1" t="s">
        <v>24</v>
      </c>
      <c r="D4427" s="1" t="str">
        <f t="shared" si="8481"/>
        <v>2021</v>
      </c>
      <c r="E4427" s="1" t="str">
        <f>"36.27"</f>
        <v>36.27</v>
      </c>
      <c r="F4427" s="1" t="str">
        <f t="shared" ref="F4427:I4427" si="8498">"0"</f>
        <v>0</v>
      </c>
      <c r="G4427" s="1" t="str">
        <f t="shared" si="8498"/>
        <v>0</v>
      </c>
      <c r="H4427" s="1" t="str">
        <f t="shared" si="8498"/>
        <v>0</v>
      </c>
      <c r="I4427" s="1" t="str">
        <f t="shared" si="8498"/>
        <v>0</v>
      </c>
      <c r="J4427" s="1" t="str">
        <f>"2"</f>
        <v>2</v>
      </c>
      <c r="K4427" s="1" t="str">
        <f t="shared" ref="K4427:P4427" si="8499">"0"</f>
        <v>0</v>
      </c>
      <c r="L4427" s="1" t="str">
        <f t="shared" si="8499"/>
        <v>0</v>
      </c>
      <c r="M4427" s="1" t="str">
        <f t="shared" si="8499"/>
        <v>0</v>
      </c>
      <c r="N4427" s="1" t="str">
        <f t="shared" si="8499"/>
        <v>0</v>
      </c>
      <c r="O4427" s="1" t="str">
        <f t="shared" si="8499"/>
        <v>0</v>
      </c>
      <c r="P4427" s="1" t="str">
        <f t="shared" si="8499"/>
        <v>0</v>
      </c>
      <c r="Q4427" s="1" t="str">
        <f t="shared" si="8483"/>
        <v>0.0070</v>
      </c>
      <c r="R4427" s="1" t="s">
        <v>25</v>
      </c>
      <c r="T4427" s="1" t="str">
        <f t="shared" si="8484"/>
        <v>0</v>
      </c>
      <c r="U4427" s="1" t="str">
        <f t="shared" ref="U4427:U4431" si="8500">"0.0070"</f>
        <v>0.0070</v>
      </c>
    </row>
    <row r="4428" s="1" customFormat="1" spans="1:21">
      <c r="A4428" s="1" t="str">
        <f>"4601992113023"</f>
        <v>4601992113023</v>
      </c>
      <c r="B4428" s="1" t="s">
        <v>4451</v>
      </c>
      <c r="C4428" s="1" t="s">
        <v>24</v>
      </c>
      <c r="D4428" s="1" t="str">
        <f t="shared" si="8481"/>
        <v>2021</v>
      </c>
      <c r="E4428" s="1" t="str">
        <f t="shared" ref="E4428:P4428" si="8501">"0"</f>
        <v>0</v>
      </c>
      <c r="F4428" s="1" t="str">
        <f t="shared" si="8501"/>
        <v>0</v>
      </c>
      <c r="G4428" s="1" t="str">
        <f t="shared" si="8501"/>
        <v>0</v>
      </c>
      <c r="H4428" s="1" t="str">
        <f t="shared" si="8501"/>
        <v>0</v>
      </c>
      <c r="I4428" s="1" t="str">
        <f t="shared" si="8501"/>
        <v>0</v>
      </c>
      <c r="J4428" s="1" t="str">
        <f t="shared" si="8501"/>
        <v>0</v>
      </c>
      <c r="K4428" s="1" t="str">
        <f t="shared" si="8501"/>
        <v>0</v>
      </c>
      <c r="L4428" s="1" t="str">
        <f t="shared" si="8501"/>
        <v>0</v>
      </c>
      <c r="M4428" s="1" t="str">
        <f t="shared" si="8501"/>
        <v>0</v>
      </c>
      <c r="N4428" s="1" t="str">
        <f t="shared" si="8501"/>
        <v>0</v>
      </c>
      <c r="O4428" s="1" t="str">
        <f t="shared" si="8501"/>
        <v>0</v>
      </c>
      <c r="P4428" s="1" t="str">
        <f t="shared" si="8501"/>
        <v>0</v>
      </c>
      <c r="Q4428" s="1" t="str">
        <f t="shared" si="8483"/>
        <v>0.0070</v>
      </c>
      <c r="R4428" s="1" t="s">
        <v>25</v>
      </c>
      <c r="T4428" s="1" t="str">
        <f t="shared" si="8484"/>
        <v>0</v>
      </c>
      <c r="U4428" s="1" t="str">
        <f t="shared" si="8500"/>
        <v>0.0070</v>
      </c>
    </row>
    <row r="4429" s="1" customFormat="1" spans="1:21">
      <c r="A4429" s="1" t="str">
        <f>"4601992112960"</f>
        <v>4601992112960</v>
      </c>
      <c r="B4429" s="1" t="s">
        <v>4452</v>
      </c>
      <c r="C4429" s="1" t="s">
        <v>24</v>
      </c>
      <c r="D4429" s="1" t="str">
        <f t="shared" si="8481"/>
        <v>2021</v>
      </c>
      <c r="E4429" s="1" t="str">
        <f>"36.75"</f>
        <v>36.75</v>
      </c>
      <c r="F4429" s="1" t="str">
        <f t="shared" ref="F4429:I4429" si="8502">"0"</f>
        <v>0</v>
      </c>
      <c r="G4429" s="1" t="str">
        <f t="shared" si="8502"/>
        <v>0</v>
      </c>
      <c r="H4429" s="1" t="str">
        <f t="shared" si="8502"/>
        <v>0</v>
      </c>
      <c r="I4429" s="1" t="str">
        <f t="shared" si="8502"/>
        <v>0</v>
      </c>
      <c r="J4429" s="1" t="str">
        <f>"3"</f>
        <v>3</v>
      </c>
      <c r="K4429" s="1" t="str">
        <f t="shared" ref="K4429:P4429" si="8503">"0"</f>
        <v>0</v>
      </c>
      <c r="L4429" s="1" t="str">
        <f t="shared" si="8503"/>
        <v>0</v>
      </c>
      <c r="M4429" s="1" t="str">
        <f t="shared" si="8503"/>
        <v>0</v>
      </c>
      <c r="N4429" s="1" t="str">
        <f t="shared" si="8503"/>
        <v>0</v>
      </c>
      <c r="O4429" s="1" t="str">
        <f t="shared" si="8503"/>
        <v>0</v>
      </c>
      <c r="P4429" s="1" t="str">
        <f t="shared" si="8503"/>
        <v>0</v>
      </c>
      <c r="Q4429" s="1" t="str">
        <f t="shared" si="8483"/>
        <v>0.0070</v>
      </c>
      <c r="R4429" s="1" t="s">
        <v>29</v>
      </c>
      <c r="S4429" s="1">
        <v>-0.0014</v>
      </c>
      <c r="T4429" s="1" t="str">
        <f t="shared" si="8484"/>
        <v>0</v>
      </c>
      <c r="U4429" s="1" t="str">
        <f t="shared" ref="U4429:U4434" si="8504">"0.0056"</f>
        <v>0.0056</v>
      </c>
    </row>
    <row r="4430" s="1" customFormat="1" spans="1:21">
      <c r="A4430" s="1" t="str">
        <f>"4601992112998"</f>
        <v>4601992112998</v>
      </c>
      <c r="B4430" s="1" t="s">
        <v>4453</v>
      </c>
      <c r="C4430" s="1" t="s">
        <v>24</v>
      </c>
      <c r="D4430" s="1" t="str">
        <f t="shared" si="8481"/>
        <v>2021</v>
      </c>
      <c r="E4430" s="1" t="str">
        <f>"23.96"</f>
        <v>23.96</v>
      </c>
      <c r="F4430" s="1" t="str">
        <f t="shared" ref="F4430:I4430" si="8505">"0"</f>
        <v>0</v>
      </c>
      <c r="G4430" s="1" t="str">
        <f t="shared" si="8505"/>
        <v>0</v>
      </c>
      <c r="H4430" s="1" t="str">
        <f t="shared" si="8505"/>
        <v>0</v>
      </c>
      <c r="I4430" s="1" t="str">
        <f t="shared" si="8505"/>
        <v>0</v>
      </c>
      <c r="J4430" s="1" t="str">
        <f>"2"</f>
        <v>2</v>
      </c>
      <c r="K4430" s="1" t="str">
        <f t="shared" ref="K4430:P4430" si="8506">"0"</f>
        <v>0</v>
      </c>
      <c r="L4430" s="1" t="str">
        <f t="shared" si="8506"/>
        <v>0</v>
      </c>
      <c r="M4430" s="1" t="str">
        <f t="shared" si="8506"/>
        <v>0</v>
      </c>
      <c r="N4430" s="1" t="str">
        <f t="shared" si="8506"/>
        <v>0</v>
      </c>
      <c r="O4430" s="1" t="str">
        <f t="shared" si="8506"/>
        <v>0</v>
      </c>
      <c r="P4430" s="1" t="str">
        <f t="shared" si="8506"/>
        <v>0</v>
      </c>
      <c r="Q4430" s="1" t="str">
        <f t="shared" si="8483"/>
        <v>0.0070</v>
      </c>
      <c r="R4430" s="1" t="s">
        <v>29</v>
      </c>
      <c r="S4430" s="1">
        <v>-0.0014</v>
      </c>
      <c r="T4430" s="1" t="str">
        <f t="shared" si="8484"/>
        <v>0</v>
      </c>
      <c r="U4430" s="1" t="str">
        <f t="shared" si="8504"/>
        <v>0.0056</v>
      </c>
    </row>
    <row r="4431" s="1" customFormat="1" spans="1:21">
      <c r="A4431" s="1" t="str">
        <f>"4601992113063"</f>
        <v>4601992113063</v>
      </c>
      <c r="B4431" s="1" t="s">
        <v>4454</v>
      </c>
      <c r="C4431" s="1" t="s">
        <v>24</v>
      </c>
      <c r="D4431" s="1" t="str">
        <f t="shared" si="8481"/>
        <v>2021</v>
      </c>
      <c r="E4431" s="1" t="str">
        <f t="shared" ref="E4431:P4431" si="8507">"0"</f>
        <v>0</v>
      </c>
      <c r="F4431" s="1" t="str">
        <f t="shared" si="8507"/>
        <v>0</v>
      </c>
      <c r="G4431" s="1" t="str">
        <f t="shared" si="8507"/>
        <v>0</v>
      </c>
      <c r="H4431" s="1" t="str">
        <f t="shared" si="8507"/>
        <v>0</v>
      </c>
      <c r="I4431" s="1" t="str">
        <f t="shared" si="8507"/>
        <v>0</v>
      </c>
      <c r="J4431" s="1" t="str">
        <f t="shared" si="8507"/>
        <v>0</v>
      </c>
      <c r="K4431" s="1" t="str">
        <f t="shared" si="8507"/>
        <v>0</v>
      </c>
      <c r="L4431" s="1" t="str">
        <f t="shared" si="8507"/>
        <v>0</v>
      </c>
      <c r="M4431" s="1" t="str">
        <f t="shared" si="8507"/>
        <v>0</v>
      </c>
      <c r="N4431" s="1" t="str">
        <f t="shared" si="8507"/>
        <v>0</v>
      </c>
      <c r="O4431" s="1" t="str">
        <f t="shared" si="8507"/>
        <v>0</v>
      </c>
      <c r="P4431" s="1" t="str">
        <f t="shared" si="8507"/>
        <v>0</v>
      </c>
      <c r="Q4431" s="1" t="str">
        <f t="shared" si="8483"/>
        <v>0.0070</v>
      </c>
      <c r="R4431" s="1" t="s">
        <v>25</v>
      </c>
      <c r="T4431" s="1" t="str">
        <f t="shared" si="8484"/>
        <v>0</v>
      </c>
      <c r="U4431" s="1" t="str">
        <f t="shared" si="8500"/>
        <v>0.0070</v>
      </c>
    </row>
    <row r="4432" s="1" customFormat="1" spans="1:21">
      <c r="A4432" s="1" t="str">
        <f>"4601992113050"</f>
        <v>4601992113050</v>
      </c>
      <c r="B4432" s="1" t="s">
        <v>4455</v>
      </c>
      <c r="C4432" s="1" t="s">
        <v>24</v>
      </c>
      <c r="D4432" s="1" t="str">
        <f t="shared" si="8481"/>
        <v>2021</v>
      </c>
      <c r="E4432" s="1" t="str">
        <f>"120.34"</f>
        <v>120.34</v>
      </c>
      <c r="F4432" s="1" t="str">
        <f t="shared" ref="F4432:I4432" si="8508">"0"</f>
        <v>0</v>
      </c>
      <c r="G4432" s="1" t="str">
        <f t="shared" si="8508"/>
        <v>0</v>
      </c>
      <c r="H4432" s="1" t="str">
        <f t="shared" si="8508"/>
        <v>0</v>
      </c>
      <c r="I4432" s="1" t="str">
        <f t="shared" si="8508"/>
        <v>0</v>
      </c>
      <c r="J4432" s="1" t="str">
        <f>"9"</f>
        <v>9</v>
      </c>
      <c r="K4432" s="1" t="str">
        <f t="shared" ref="K4432:P4432" si="8509">"0"</f>
        <v>0</v>
      </c>
      <c r="L4432" s="1" t="str">
        <f t="shared" si="8509"/>
        <v>0</v>
      </c>
      <c r="M4432" s="1" t="str">
        <f t="shared" si="8509"/>
        <v>0</v>
      </c>
      <c r="N4432" s="1" t="str">
        <f t="shared" si="8509"/>
        <v>0</v>
      </c>
      <c r="O4432" s="1" t="str">
        <f t="shared" si="8509"/>
        <v>0</v>
      </c>
      <c r="P4432" s="1" t="str">
        <f t="shared" si="8509"/>
        <v>0</v>
      </c>
      <c r="Q4432" s="1" t="str">
        <f t="shared" si="8483"/>
        <v>0.0070</v>
      </c>
      <c r="R4432" s="1" t="s">
        <v>29</v>
      </c>
      <c r="S4432" s="1">
        <v>-0.0014</v>
      </c>
      <c r="T4432" s="1" t="str">
        <f t="shared" si="8484"/>
        <v>0</v>
      </c>
      <c r="U4432" s="1" t="str">
        <f t="shared" si="8504"/>
        <v>0.0056</v>
      </c>
    </row>
    <row r="4433" s="1" customFormat="1" spans="1:21">
      <c r="A4433" s="1" t="str">
        <f>"4601992113100"</f>
        <v>4601992113100</v>
      </c>
      <c r="B4433" s="1" t="s">
        <v>4456</v>
      </c>
      <c r="C4433" s="1" t="s">
        <v>24</v>
      </c>
      <c r="D4433" s="1" t="str">
        <f t="shared" si="8481"/>
        <v>2021</v>
      </c>
      <c r="E4433" s="1" t="str">
        <f>"108.81"</f>
        <v>108.81</v>
      </c>
      <c r="F4433" s="1" t="str">
        <f t="shared" ref="F4433:I4433" si="8510">"0"</f>
        <v>0</v>
      </c>
      <c r="G4433" s="1" t="str">
        <f t="shared" si="8510"/>
        <v>0</v>
      </c>
      <c r="H4433" s="1" t="str">
        <f t="shared" si="8510"/>
        <v>0</v>
      </c>
      <c r="I4433" s="1" t="str">
        <f t="shared" si="8510"/>
        <v>0</v>
      </c>
      <c r="J4433" s="1" t="str">
        <f>"11"</f>
        <v>11</v>
      </c>
      <c r="K4433" s="1" t="str">
        <f t="shared" ref="K4433:P4433" si="8511">"0"</f>
        <v>0</v>
      </c>
      <c r="L4433" s="1" t="str">
        <f t="shared" si="8511"/>
        <v>0</v>
      </c>
      <c r="M4433" s="1" t="str">
        <f t="shared" si="8511"/>
        <v>0</v>
      </c>
      <c r="N4433" s="1" t="str">
        <f t="shared" si="8511"/>
        <v>0</v>
      </c>
      <c r="O4433" s="1" t="str">
        <f t="shared" si="8511"/>
        <v>0</v>
      </c>
      <c r="P4433" s="1" t="str">
        <f t="shared" si="8511"/>
        <v>0</v>
      </c>
      <c r="Q4433" s="1" t="str">
        <f t="shared" si="8483"/>
        <v>0.0070</v>
      </c>
      <c r="R4433" s="1" t="s">
        <v>29</v>
      </c>
      <c r="S4433" s="1">
        <v>-0.0014</v>
      </c>
      <c r="T4433" s="1" t="str">
        <f t="shared" si="8484"/>
        <v>0</v>
      </c>
      <c r="U4433" s="1" t="str">
        <f t="shared" si="8504"/>
        <v>0.0056</v>
      </c>
    </row>
    <row r="4434" s="1" customFormat="1" spans="1:21">
      <c r="A4434" s="1" t="str">
        <f>"4601992113131"</f>
        <v>4601992113131</v>
      </c>
      <c r="B4434" s="1" t="s">
        <v>4457</v>
      </c>
      <c r="C4434" s="1" t="s">
        <v>24</v>
      </c>
      <c r="D4434" s="1" t="str">
        <f t="shared" si="8481"/>
        <v>2021</v>
      </c>
      <c r="E4434" s="1" t="str">
        <f>"35.94"</f>
        <v>35.94</v>
      </c>
      <c r="F4434" s="1" t="str">
        <f t="shared" ref="F4434:I4434" si="8512">"0"</f>
        <v>0</v>
      </c>
      <c r="G4434" s="1" t="str">
        <f t="shared" si="8512"/>
        <v>0</v>
      </c>
      <c r="H4434" s="1" t="str">
        <f t="shared" si="8512"/>
        <v>0</v>
      </c>
      <c r="I4434" s="1" t="str">
        <f t="shared" si="8512"/>
        <v>0</v>
      </c>
      <c r="J4434" s="1" t="str">
        <f t="shared" ref="J4434:J4439" si="8513">"2"</f>
        <v>2</v>
      </c>
      <c r="K4434" s="1" t="str">
        <f t="shared" ref="K4434:P4434" si="8514">"0"</f>
        <v>0</v>
      </c>
      <c r="L4434" s="1" t="str">
        <f t="shared" si="8514"/>
        <v>0</v>
      </c>
      <c r="M4434" s="1" t="str">
        <f t="shared" si="8514"/>
        <v>0</v>
      </c>
      <c r="N4434" s="1" t="str">
        <f t="shared" si="8514"/>
        <v>0</v>
      </c>
      <c r="O4434" s="1" t="str">
        <f t="shared" si="8514"/>
        <v>0</v>
      </c>
      <c r="P4434" s="1" t="str">
        <f t="shared" si="8514"/>
        <v>0</v>
      </c>
      <c r="Q4434" s="1" t="str">
        <f t="shared" si="8483"/>
        <v>0.0070</v>
      </c>
      <c r="R4434" s="1" t="s">
        <v>29</v>
      </c>
      <c r="S4434" s="1">
        <v>-0.0014</v>
      </c>
      <c r="T4434" s="1" t="str">
        <f t="shared" si="8484"/>
        <v>0</v>
      </c>
      <c r="U4434" s="1" t="str">
        <f t="shared" si="8504"/>
        <v>0.0056</v>
      </c>
    </row>
    <row r="4435" s="1" customFormat="1" spans="1:21">
      <c r="A4435" s="1" t="str">
        <f>"4601992113135"</f>
        <v>4601992113135</v>
      </c>
      <c r="B4435" s="1" t="s">
        <v>4458</v>
      </c>
      <c r="C4435" s="1" t="s">
        <v>24</v>
      </c>
      <c r="D4435" s="1" t="str">
        <f t="shared" si="8481"/>
        <v>2021</v>
      </c>
      <c r="E4435" s="1" t="str">
        <f t="shared" ref="E4435:P4435" si="8515">"0"</f>
        <v>0</v>
      </c>
      <c r="F4435" s="1" t="str">
        <f t="shared" si="8515"/>
        <v>0</v>
      </c>
      <c r="G4435" s="1" t="str">
        <f t="shared" si="8515"/>
        <v>0</v>
      </c>
      <c r="H4435" s="1" t="str">
        <f t="shared" si="8515"/>
        <v>0</v>
      </c>
      <c r="I4435" s="1" t="str">
        <f t="shared" si="8515"/>
        <v>0</v>
      </c>
      <c r="J4435" s="1" t="str">
        <f t="shared" si="8515"/>
        <v>0</v>
      </c>
      <c r="K4435" s="1" t="str">
        <f t="shared" si="8515"/>
        <v>0</v>
      </c>
      <c r="L4435" s="1" t="str">
        <f t="shared" si="8515"/>
        <v>0</v>
      </c>
      <c r="M4435" s="1" t="str">
        <f t="shared" si="8515"/>
        <v>0</v>
      </c>
      <c r="N4435" s="1" t="str">
        <f t="shared" si="8515"/>
        <v>0</v>
      </c>
      <c r="O4435" s="1" t="str">
        <f t="shared" si="8515"/>
        <v>0</v>
      </c>
      <c r="P4435" s="1" t="str">
        <f t="shared" si="8515"/>
        <v>0</v>
      </c>
      <c r="Q4435" s="1" t="str">
        <f t="shared" si="8483"/>
        <v>0.0070</v>
      </c>
      <c r="R4435" s="1" t="s">
        <v>25</v>
      </c>
      <c r="T4435" s="1" t="str">
        <f t="shared" si="8484"/>
        <v>0</v>
      </c>
      <c r="U4435" s="1" t="str">
        <f t="shared" ref="U4435:U4440" si="8516">"0.0070"</f>
        <v>0.0070</v>
      </c>
    </row>
    <row r="4436" s="1" customFormat="1" spans="1:21">
      <c r="A4436" s="1" t="str">
        <f>"4601992113134"</f>
        <v>4601992113134</v>
      </c>
      <c r="B4436" s="1" t="s">
        <v>4459</v>
      </c>
      <c r="C4436" s="1" t="s">
        <v>24</v>
      </c>
      <c r="D4436" s="1" t="str">
        <f t="shared" si="8481"/>
        <v>2021</v>
      </c>
      <c r="E4436" s="1" t="str">
        <f>"24.50"</f>
        <v>24.50</v>
      </c>
      <c r="F4436" s="1" t="str">
        <f t="shared" ref="F4436:I4436" si="8517">"0"</f>
        <v>0</v>
      </c>
      <c r="G4436" s="1" t="str">
        <f t="shared" si="8517"/>
        <v>0</v>
      </c>
      <c r="H4436" s="1" t="str">
        <f t="shared" si="8517"/>
        <v>0</v>
      </c>
      <c r="I4436" s="1" t="str">
        <f t="shared" si="8517"/>
        <v>0</v>
      </c>
      <c r="J4436" s="1" t="str">
        <f t="shared" si="8513"/>
        <v>2</v>
      </c>
      <c r="K4436" s="1" t="str">
        <f t="shared" ref="K4436:P4436" si="8518">"0"</f>
        <v>0</v>
      </c>
      <c r="L4436" s="1" t="str">
        <f t="shared" si="8518"/>
        <v>0</v>
      </c>
      <c r="M4436" s="1" t="str">
        <f t="shared" si="8518"/>
        <v>0</v>
      </c>
      <c r="N4436" s="1" t="str">
        <f t="shared" si="8518"/>
        <v>0</v>
      </c>
      <c r="O4436" s="1" t="str">
        <f t="shared" si="8518"/>
        <v>0</v>
      </c>
      <c r="P4436" s="1" t="str">
        <f t="shared" si="8518"/>
        <v>0</v>
      </c>
      <c r="Q4436" s="1" t="str">
        <f t="shared" si="8483"/>
        <v>0.0070</v>
      </c>
      <c r="R4436" s="1" t="s">
        <v>29</v>
      </c>
      <c r="S4436" s="1">
        <v>-0.0014</v>
      </c>
      <c r="T4436" s="1" t="str">
        <f t="shared" si="8484"/>
        <v>0</v>
      </c>
      <c r="U4436" s="1" t="str">
        <f t="shared" ref="U4436:U4438" si="8519">"0.0056"</f>
        <v>0.0056</v>
      </c>
    </row>
    <row r="4437" s="1" customFormat="1" spans="1:21">
      <c r="A4437" s="1" t="str">
        <f>"4601992113179"</f>
        <v>4601992113179</v>
      </c>
      <c r="B4437" s="1" t="s">
        <v>4460</v>
      </c>
      <c r="C4437" s="1" t="s">
        <v>24</v>
      </c>
      <c r="D4437" s="1" t="str">
        <f t="shared" si="8481"/>
        <v>2021</v>
      </c>
      <c r="E4437" s="1" t="str">
        <f>"12.09"</f>
        <v>12.09</v>
      </c>
      <c r="F4437" s="1" t="str">
        <f t="shared" ref="F4437:I4437" si="8520">"0"</f>
        <v>0</v>
      </c>
      <c r="G4437" s="1" t="str">
        <f t="shared" si="8520"/>
        <v>0</v>
      </c>
      <c r="H4437" s="1" t="str">
        <f t="shared" si="8520"/>
        <v>0</v>
      </c>
      <c r="I4437" s="1" t="str">
        <f t="shared" si="8520"/>
        <v>0</v>
      </c>
      <c r="J4437" s="1" t="str">
        <f>"1"</f>
        <v>1</v>
      </c>
      <c r="K4437" s="1" t="str">
        <f t="shared" ref="K4437:P4437" si="8521">"0"</f>
        <v>0</v>
      </c>
      <c r="L4437" s="1" t="str">
        <f t="shared" si="8521"/>
        <v>0</v>
      </c>
      <c r="M4437" s="1" t="str">
        <f t="shared" si="8521"/>
        <v>0</v>
      </c>
      <c r="N4437" s="1" t="str">
        <f t="shared" si="8521"/>
        <v>0</v>
      </c>
      <c r="O4437" s="1" t="str">
        <f t="shared" si="8521"/>
        <v>0</v>
      </c>
      <c r="P4437" s="1" t="str">
        <f t="shared" si="8521"/>
        <v>0</v>
      </c>
      <c r="Q4437" s="1" t="str">
        <f t="shared" si="8483"/>
        <v>0.0070</v>
      </c>
      <c r="R4437" s="1" t="s">
        <v>29</v>
      </c>
      <c r="S4437" s="1">
        <v>-0.0014</v>
      </c>
      <c r="T4437" s="1" t="str">
        <f t="shared" si="8484"/>
        <v>0</v>
      </c>
      <c r="U4437" s="1" t="str">
        <f t="shared" si="8519"/>
        <v>0.0056</v>
      </c>
    </row>
    <row r="4438" s="1" customFormat="1" spans="1:21">
      <c r="A4438" s="1" t="str">
        <f>"4601992113462"</f>
        <v>4601992113462</v>
      </c>
      <c r="B4438" s="1" t="s">
        <v>4461</v>
      </c>
      <c r="C4438" s="1" t="s">
        <v>24</v>
      </c>
      <c r="D4438" s="1" t="str">
        <f t="shared" si="8481"/>
        <v>2021</v>
      </c>
      <c r="E4438" s="1" t="str">
        <f>"131.78"</f>
        <v>131.78</v>
      </c>
      <c r="F4438" s="1" t="str">
        <f t="shared" ref="F4438:I4438" si="8522">"0"</f>
        <v>0</v>
      </c>
      <c r="G4438" s="1" t="str">
        <f t="shared" si="8522"/>
        <v>0</v>
      </c>
      <c r="H4438" s="1" t="str">
        <f t="shared" si="8522"/>
        <v>0</v>
      </c>
      <c r="I4438" s="1" t="str">
        <f t="shared" si="8522"/>
        <v>0</v>
      </c>
      <c r="J4438" s="1" t="str">
        <f>"29"</f>
        <v>29</v>
      </c>
      <c r="K4438" s="1" t="str">
        <f t="shared" ref="K4438:P4438" si="8523">"0"</f>
        <v>0</v>
      </c>
      <c r="L4438" s="1" t="str">
        <f t="shared" si="8523"/>
        <v>0</v>
      </c>
      <c r="M4438" s="1" t="str">
        <f t="shared" si="8523"/>
        <v>0</v>
      </c>
      <c r="N4438" s="1" t="str">
        <f t="shared" si="8523"/>
        <v>0</v>
      </c>
      <c r="O4438" s="1" t="str">
        <f t="shared" si="8523"/>
        <v>0</v>
      </c>
      <c r="P4438" s="1" t="str">
        <f t="shared" si="8523"/>
        <v>0</v>
      </c>
      <c r="Q4438" s="1" t="str">
        <f t="shared" si="8483"/>
        <v>0.0070</v>
      </c>
      <c r="R4438" s="1" t="s">
        <v>29</v>
      </c>
      <c r="S4438" s="1">
        <v>-0.0014</v>
      </c>
      <c r="T4438" s="1" t="str">
        <f t="shared" si="8484"/>
        <v>0</v>
      </c>
      <c r="U4438" s="1" t="str">
        <f t="shared" si="8519"/>
        <v>0.0056</v>
      </c>
    </row>
    <row r="4439" s="1" customFormat="1" spans="1:21">
      <c r="A4439" s="1" t="str">
        <f>"4601992113463"</f>
        <v>4601992113463</v>
      </c>
      <c r="B4439" s="1" t="s">
        <v>4462</v>
      </c>
      <c r="C4439" s="1" t="s">
        <v>24</v>
      </c>
      <c r="D4439" s="1" t="str">
        <f t="shared" si="8481"/>
        <v>2021</v>
      </c>
      <c r="E4439" s="1" t="str">
        <f>"23.96"</f>
        <v>23.96</v>
      </c>
      <c r="F4439" s="1" t="str">
        <f t="shared" ref="F4439:I4439" si="8524">"0"</f>
        <v>0</v>
      </c>
      <c r="G4439" s="1" t="str">
        <f t="shared" si="8524"/>
        <v>0</v>
      </c>
      <c r="H4439" s="1" t="str">
        <f t="shared" si="8524"/>
        <v>0</v>
      </c>
      <c r="I4439" s="1" t="str">
        <f t="shared" si="8524"/>
        <v>0</v>
      </c>
      <c r="J4439" s="1" t="str">
        <f t="shared" si="8513"/>
        <v>2</v>
      </c>
      <c r="K4439" s="1" t="str">
        <f t="shared" ref="K4439:P4439" si="8525">"0"</f>
        <v>0</v>
      </c>
      <c r="L4439" s="1" t="str">
        <f t="shared" si="8525"/>
        <v>0</v>
      </c>
      <c r="M4439" s="1" t="str">
        <f t="shared" si="8525"/>
        <v>0</v>
      </c>
      <c r="N4439" s="1" t="str">
        <f t="shared" si="8525"/>
        <v>0</v>
      </c>
      <c r="O4439" s="1" t="str">
        <f t="shared" si="8525"/>
        <v>0</v>
      </c>
      <c r="P4439" s="1" t="str">
        <f t="shared" si="8525"/>
        <v>0</v>
      </c>
      <c r="Q4439" s="1" t="str">
        <f t="shared" si="8483"/>
        <v>0.0070</v>
      </c>
      <c r="R4439" s="1" t="s">
        <v>25</v>
      </c>
      <c r="T4439" s="1" t="str">
        <f t="shared" si="8484"/>
        <v>0</v>
      </c>
      <c r="U4439" s="1" t="str">
        <f t="shared" si="8516"/>
        <v>0.0070</v>
      </c>
    </row>
    <row r="4440" s="1" customFormat="1" spans="1:21">
      <c r="A4440" s="1" t="str">
        <f>"4601992113620"</f>
        <v>4601992113620</v>
      </c>
      <c r="B4440" s="1" t="s">
        <v>4463</v>
      </c>
      <c r="C4440" s="1" t="s">
        <v>24</v>
      </c>
      <c r="D4440" s="1" t="str">
        <f t="shared" si="8481"/>
        <v>2021</v>
      </c>
      <c r="E4440" s="1" t="str">
        <f t="shared" ref="E4440:P4440" si="8526">"0"</f>
        <v>0</v>
      </c>
      <c r="F4440" s="1" t="str">
        <f t="shared" si="8526"/>
        <v>0</v>
      </c>
      <c r="G4440" s="1" t="str">
        <f t="shared" si="8526"/>
        <v>0</v>
      </c>
      <c r="H4440" s="1" t="str">
        <f t="shared" si="8526"/>
        <v>0</v>
      </c>
      <c r="I4440" s="1" t="str">
        <f t="shared" si="8526"/>
        <v>0</v>
      </c>
      <c r="J4440" s="1" t="str">
        <f t="shared" si="8526"/>
        <v>0</v>
      </c>
      <c r="K4440" s="1" t="str">
        <f t="shared" si="8526"/>
        <v>0</v>
      </c>
      <c r="L4440" s="1" t="str">
        <f t="shared" si="8526"/>
        <v>0</v>
      </c>
      <c r="M4440" s="1" t="str">
        <f t="shared" si="8526"/>
        <v>0</v>
      </c>
      <c r="N4440" s="1" t="str">
        <f t="shared" si="8526"/>
        <v>0</v>
      </c>
      <c r="O4440" s="1" t="str">
        <f t="shared" si="8526"/>
        <v>0</v>
      </c>
      <c r="P4440" s="1" t="str">
        <f t="shared" si="8526"/>
        <v>0</v>
      </c>
      <c r="Q4440" s="1" t="str">
        <f t="shared" si="8483"/>
        <v>0.0070</v>
      </c>
      <c r="R4440" s="1" t="s">
        <v>25</v>
      </c>
      <c r="T4440" s="1" t="str">
        <f t="shared" si="8484"/>
        <v>0</v>
      </c>
      <c r="U4440" s="1" t="str">
        <f t="shared" si="8516"/>
        <v>0.0070</v>
      </c>
    </row>
    <row r="4441" s="1" customFormat="1" spans="1:21">
      <c r="A4441" s="1" t="str">
        <f>"4601992113423"</f>
        <v>4601992113423</v>
      </c>
      <c r="B4441" s="1" t="s">
        <v>4464</v>
      </c>
      <c r="C4441" s="1" t="s">
        <v>24</v>
      </c>
      <c r="D4441" s="1" t="str">
        <f t="shared" si="8481"/>
        <v>2021</v>
      </c>
      <c r="E4441" s="1" t="str">
        <f>"11.98"</f>
        <v>11.98</v>
      </c>
      <c r="F4441" s="1" t="str">
        <f t="shared" ref="F4441:I4441" si="8527">"0"</f>
        <v>0</v>
      </c>
      <c r="G4441" s="1" t="str">
        <f t="shared" si="8527"/>
        <v>0</v>
      </c>
      <c r="H4441" s="1" t="str">
        <f t="shared" si="8527"/>
        <v>0</v>
      </c>
      <c r="I4441" s="1" t="str">
        <f t="shared" si="8527"/>
        <v>0</v>
      </c>
      <c r="J4441" s="1" t="str">
        <f>"2"</f>
        <v>2</v>
      </c>
      <c r="K4441" s="1" t="str">
        <f t="shared" ref="K4441:P4441" si="8528">"0"</f>
        <v>0</v>
      </c>
      <c r="L4441" s="1" t="str">
        <f t="shared" si="8528"/>
        <v>0</v>
      </c>
      <c r="M4441" s="1" t="str">
        <f t="shared" si="8528"/>
        <v>0</v>
      </c>
      <c r="N4441" s="1" t="str">
        <f t="shared" si="8528"/>
        <v>0</v>
      </c>
      <c r="O4441" s="1" t="str">
        <f t="shared" si="8528"/>
        <v>0</v>
      </c>
      <c r="P4441" s="1" t="str">
        <f t="shared" si="8528"/>
        <v>0</v>
      </c>
      <c r="Q4441" s="1" t="str">
        <f t="shared" si="8483"/>
        <v>0.0070</v>
      </c>
      <c r="R4441" s="1" t="s">
        <v>29</v>
      </c>
      <c r="S4441" s="1">
        <v>-0.0014</v>
      </c>
      <c r="T4441" s="1" t="str">
        <f t="shared" si="8484"/>
        <v>0</v>
      </c>
      <c r="U4441" s="1" t="str">
        <f t="shared" ref="U4441:U4444" si="8529">"0.0056"</f>
        <v>0.0056</v>
      </c>
    </row>
    <row r="4442" s="1" customFormat="1" spans="1:21">
      <c r="A4442" s="1" t="str">
        <f>"4601992113731"</f>
        <v>4601992113731</v>
      </c>
      <c r="B4442" s="1" t="s">
        <v>4465</v>
      </c>
      <c r="C4442" s="1" t="s">
        <v>24</v>
      </c>
      <c r="D4442" s="1" t="str">
        <f t="shared" si="8481"/>
        <v>2021</v>
      </c>
      <c r="E4442" s="1" t="str">
        <f>"12.09"</f>
        <v>12.09</v>
      </c>
      <c r="F4442" s="1" t="str">
        <f t="shared" ref="F4442:I4442" si="8530">"0"</f>
        <v>0</v>
      </c>
      <c r="G4442" s="1" t="str">
        <f t="shared" si="8530"/>
        <v>0</v>
      </c>
      <c r="H4442" s="1" t="str">
        <f t="shared" si="8530"/>
        <v>0</v>
      </c>
      <c r="I4442" s="1" t="str">
        <f t="shared" si="8530"/>
        <v>0</v>
      </c>
      <c r="J4442" s="1" t="str">
        <f>"1"</f>
        <v>1</v>
      </c>
      <c r="K4442" s="1" t="str">
        <f t="shared" ref="K4442:P4442" si="8531">"0"</f>
        <v>0</v>
      </c>
      <c r="L4442" s="1" t="str">
        <f t="shared" si="8531"/>
        <v>0</v>
      </c>
      <c r="M4442" s="1" t="str">
        <f t="shared" si="8531"/>
        <v>0</v>
      </c>
      <c r="N4442" s="1" t="str">
        <f t="shared" si="8531"/>
        <v>0</v>
      </c>
      <c r="O4442" s="1" t="str">
        <f t="shared" si="8531"/>
        <v>0</v>
      </c>
      <c r="P4442" s="1" t="str">
        <f t="shared" si="8531"/>
        <v>0</v>
      </c>
      <c r="Q4442" s="1" t="str">
        <f t="shared" si="8483"/>
        <v>0.0070</v>
      </c>
      <c r="R4442" s="1" t="s">
        <v>29</v>
      </c>
      <c r="S4442" s="1">
        <v>-0.0014</v>
      </c>
      <c r="T4442" s="1" t="str">
        <f t="shared" si="8484"/>
        <v>0</v>
      </c>
      <c r="U4442" s="1" t="str">
        <f t="shared" si="8529"/>
        <v>0.0056</v>
      </c>
    </row>
    <row r="4443" s="1" customFormat="1" spans="1:21">
      <c r="A4443" s="1" t="str">
        <f>"4601992113751"</f>
        <v>4601992113751</v>
      </c>
      <c r="B4443" s="1" t="s">
        <v>4466</v>
      </c>
      <c r="C4443" s="1" t="s">
        <v>24</v>
      </c>
      <c r="D4443" s="1" t="str">
        <f t="shared" si="8481"/>
        <v>2021</v>
      </c>
      <c r="E4443" s="1" t="str">
        <f>"23.96"</f>
        <v>23.96</v>
      </c>
      <c r="F4443" s="1" t="str">
        <f t="shared" ref="F4443:I4443" si="8532">"0"</f>
        <v>0</v>
      </c>
      <c r="G4443" s="1" t="str">
        <f t="shared" si="8532"/>
        <v>0</v>
      </c>
      <c r="H4443" s="1" t="str">
        <f t="shared" si="8532"/>
        <v>0</v>
      </c>
      <c r="I4443" s="1" t="str">
        <f t="shared" si="8532"/>
        <v>0</v>
      </c>
      <c r="J4443" s="1" t="str">
        <f>"2"</f>
        <v>2</v>
      </c>
      <c r="K4443" s="1" t="str">
        <f t="shared" ref="K4443:P4443" si="8533">"0"</f>
        <v>0</v>
      </c>
      <c r="L4443" s="1" t="str">
        <f t="shared" si="8533"/>
        <v>0</v>
      </c>
      <c r="M4443" s="1" t="str">
        <f t="shared" si="8533"/>
        <v>0</v>
      </c>
      <c r="N4443" s="1" t="str">
        <f t="shared" si="8533"/>
        <v>0</v>
      </c>
      <c r="O4443" s="1" t="str">
        <f t="shared" si="8533"/>
        <v>0</v>
      </c>
      <c r="P4443" s="1" t="str">
        <f t="shared" si="8533"/>
        <v>0</v>
      </c>
      <c r="Q4443" s="1" t="str">
        <f t="shared" si="8483"/>
        <v>0.0070</v>
      </c>
      <c r="R4443" s="1" t="s">
        <v>29</v>
      </c>
      <c r="S4443" s="1">
        <v>-0.0014</v>
      </c>
      <c r="T4443" s="1" t="str">
        <f t="shared" si="8484"/>
        <v>0</v>
      </c>
      <c r="U4443" s="1" t="str">
        <f t="shared" si="8529"/>
        <v>0.0056</v>
      </c>
    </row>
    <row r="4444" s="1" customFormat="1" spans="1:21">
      <c r="A4444" s="1" t="str">
        <f>"4601992113705"</f>
        <v>4601992113705</v>
      </c>
      <c r="B4444" s="1" t="s">
        <v>4467</v>
      </c>
      <c r="C4444" s="1" t="s">
        <v>24</v>
      </c>
      <c r="D4444" s="1" t="str">
        <f t="shared" si="8481"/>
        <v>2021</v>
      </c>
      <c r="E4444" s="1" t="str">
        <f>"12.25"</f>
        <v>12.25</v>
      </c>
      <c r="F4444" s="1" t="str">
        <f t="shared" ref="F4444:I4444" si="8534">"0"</f>
        <v>0</v>
      </c>
      <c r="G4444" s="1" t="str">
        <f t="shared" si="8534"/>
        <v>0</v>
      </c>
      <c r="H4444" s="1" t="str">
        <f t="shared" si="8534"/>
        <v>0</v>
      </c>
      <c r="I4444" s="1" t="str">
        <f t="shared" si="8534"/>
        <v>0</v>
      </c>
      <c r="J4444" s="1" t="str">
        <f>"1"</f>
        <v>1</v>
      </c>
      <c r="K4444" s="1" t="str">
        <f t="shared" ref="K4444:P4444" si="8535">"0"</f>
        <v>0</v>
      </c>
      <c r="L4444" s="1" t="str">
        <f t="shared" si="8535"/>
        <v>0</v>
      </c>
      <c r="M4444" s="1" t="str">
        <f t="shared" si="8535"/>
        <v>0</v>
      </c>
      <c r="N4444" s="1" t="str">
        <f t="shared" si="8535"/>
        <v>0</v>
      </c>
      <c r="O4444" s="1" t="str">
        <f t="shared" si="8535"/>
        <v>0</v>
      </c>
      <c r="P4444" s="1" t="str">
        <f t="shared" si="8535"/>
        <v>0</v>
      </c>
      <c r="Q4444" s="1" t="str">
        <f t="shared" si="8483"/>
        <v>0.0070</v>
      </c>
      <c r="R4444" s="1" t="s">
        <v>29</v>
      </c>
      <c r="S4444" s="1">
        <v>-0.0014</v>
      </c>
      <c r="T4444" s="1" t="str">
        <f t="shared" si="8484"/>
        <v>0</v>
      </c>
      <c r="U4444" s="1" t="str">
        <f t="shared" si="8529"/>
        <v>0.0056</v>
      </c>
    </row>
    <row r="4445" s="1" customFormat="1" spans="1:21">
      <c r="A4445" s="1" t="str">
        <f>"4601992113955"</f>
        <v>4601992113955</v>
      </c>
      <c r="B4445" s="1" t="s">
        <v>4468</v>
      </c>
      <c r="C4445" s="1" t="s">
        <v>24</v>
      </c>
      <c r="D4445" s="1" t="str">
        <f t="shared" si="8481"/>
        <v>2021</v>
      </c>
      <c r="E4445" s="1" t="str">
        <f t="shared" ref="E4445:P4445" si="8536">"0"</f>
        <v>0</v>
      </c>
      <c r="F4445" s="1" t="str">
        <f t="shared" si="8536"/>
        <v>0</v>
      </c>
      <c r="G4445" s="1" t="str">
        <f t="shared" si="8536"/>
        <v>0</v>
      </c>
      <c r="H4445" s="1" t="str">
        <f t="shared" si="8536"/>
        <v>0</v>
      </c>
      <c r="I4445" s="1" t="str">
        <f t="shared" si="8536"/>
        <v>0</v>
      </c>
      <c r="J4445" s="1" t="str">
        <f t="shared" si="8536"/>
        <v>0</v>
      </c>
      <c r="K4445" s="1" t="str">
        <f t="shared" si="8536"/>
        <v>0</v>
      </c>
      <c r="L4445" s="1" t="str">
        <f t="shared" si="8536"/>
        <v>0</v>
      </c>
      <c r="M4445" s="1" t="str">
        <f t="shared" si="8536"/>
        <v>0</v>
      </c>
      <c r="N4445" s="1" t="str">
        <f t="shared" si="8536"/>
        <v>0</v>
      </c>
      <c r="O4445" s="1" t="str">
        <f t="shared" si="8536"/>
        <v>0</v>
      </c>
      <c r="P4445" s="1" t="str">
        <f t="shared" si="8536"/>
        <v>0</v>
      </c>
      <c r="Q4445" s="1" t="str">
        <f t="shared" si="8483"/>
        <v>0.0070</v>
      </c>
      <c r="R4445" s="1" t="s">
        <v>25</v>
      </c>
      <c r="T4445" s="1" t="str">
        <f t="shared" si="8484"/>
        <v>0</v>
      </c>
      <c r="U4445" s="1" t="str">
        <f t="shared" ref="U4445:U4448" si="8537">"0.0070"</f>
        <v>0.0070</v>
      </c>
    </row>
    <row r="4446" s="1" customFormat="1" spans="1:21">
      <c r="A4446" s="1" t="str">
        <f>"4601992113961"</f>
        <v>4601992113961</v>
      </c>
      <c r="B4446" s="1" t="s">
        <v>4469</v>
      </c>
      <c r="C4446" s="1" t="s">
        <v>24</v>
      </c>
      <c r="D4446" s="1" t="str">
        <f t="shared" si="8481"/>
        <v>2021</v>
      </c>
      <c r="E4446" s="1" t="str">
        <f t="shared" ref="E4446:P4446" si="8538">"0"</f>
        <v>0</v>
      </c>
      <c r="F4446" s="1" t="str">
        <f t="shared" si="8538"/>
        <v>0</v>
      </c>
      <c r="G4446" s="1" t="str">
        <f t="shared" si="8538"/>
        <v>0</v>
      </c>
      <c r="H4446" s="1" t="str">
        <f t="shared" si="8538"/>
        <v>0</v>
      </c>
      <c r="I4446" s="1" t="str">
        <f t="shared" si="8538"/>
        <v>0</v>
      </c>
      <c r="J4446" s="1" t="str">
        <f t="shared" si="8538"/>
        <v>0</v>
      </c>
      <c r="K4446" s="1" t="str">
        <f t="shared" si="8538"/>
        <v>0</v>
      </c>
      <c r="L4446" s="1" t="str">
        <f t="shared" si="8538"/>
        <v>0</v>
      </c>
      <c r="M4446" s="1" t="str">
        <f t="shared" si="8538"/>
        <v>0</v>
      </c>
      <c r="N4446" s="1" t="str">
        <f t="shared" si="8538"/>
        <v>0</v>
      </c>
      <c r="O4446" s="1" t="str">
        <f t="shared" si="8538"/>
        <v>0</v>
      </c>
      <c r="P4446" s="1" t="str">
        <f t="shared" si="8538"/>
        <v>0</v>
      </c>
      <c r="Q4446" s="1" t="str">
        <f t="shared" si="8483"/>
        <v>0.0070</v>
      </c>
      <c r="R4446" s="1" t="s">
        <v>25</v>
      </c>
      <c r="T4446" s="1" t="str">
        <f t="shared" si="8484"/>
        <v>0</v>
      </c>
      <c r="U4446" s="1" t="str">
        <f t="shared" si="8537"/>
        <v>0.0070</v>
      </c>
    </row>
    <row r="4447" s="1" customFormat="1" spans="1:21">
      <c r="A4447" s="1" t="str">
        <f>"4601992113854"</f>
        <v>4601992113854</v>
      </c>
      <c r="B4447" s="1" t="s">
        <v>4470</v>
      </c>
      <c r="C4447" s="1" t="s">
        <v>24</v>
      </c>
      <c r="D4447" s="1" t="str">
        <f t="shared" si="8481"/>
        <v>2021</v>
      </c>
      <c r="E4447" s="1" t="str">
        <f>"47.92"</f>
        <v>47.92</v>
      </c>
      <c r="F4447" s="1" t="str">
        <f t="shared" ref="F4447:I4447" si="8539">"0"</f>
        <v>0</v>
      </c>
      <c r="G4447" s="1" t="str">
        <f t="shared" si="8539"/>
        <v>0</v>
      </c>
      <c r="H4447" s="1" t="str">
        <f t="shared" si="8539"/>
        <v>0</v>
      </c>
      <c r="I4447" s="1" t="str">
        <f t="shared" si="8539"/>
        <v>0</v>
      </c>
      <c r="J4447" s="1" t="str">
        <f>"4"</f>
        <v>4</v>
      </c>
      <c r="K4447" s="1" t="str">
        <f t="shared" ref="K4447:P4447" si="8540">"0"</f>
        <v>0</v>
      </c>
      <c r="L4447" s="1" t="str">
        <f t="shared" si="8540"/>
        <v>0</v>
      </c>
      <c r="M4447" s="1" t="str">
        <f t="shared" si="8540"/>
        <v>0</v>
      </c>
      <c r="N4447" s="1" t="str">
        <f t="shared" si="8540"/>
        <v>0</v>
      </c>
      <c r="O4447" s="1" t="str">
        <f t="shared" si="8540"/>
        <v>0</v>
      </c>
      <c r="P4447" s="1" t="str">
        <f t="shared" si="8540"/>
        <v>0</v>
      </c>
      <c r="Q4447" s="1" t="str">
        <f t="shared" si="8483"/>
        <v>0.0070</v>
      </c>
      <c r="R4447" s="1" t="s">
        <v>29</v>
      </c>
      <c r="S4447" s="1">
        <v>-0.0014</v>
      </c>
      <c r="T4447" s="1" t="str">
        <f t="shared" si="8484"/>
        <v>0</v>
      </c>
      <c r="U4447" s="1" t="str">
        <f t="shared" ref="U4447:U4451" si="8541">"0.0056"</f>
        <v>0.0056</v>
      </c>
    </row>
    <row r="4448" s="1" customFormat="1" spans="1:21">
      <c r="A4448" s="1" t="str">
        <f>"4601992114083"</f>
        <v>4601992114083</v>
      </c>
      <c r="B4448" s="1" t="s">
        <v>4471</v>
      </c>
      <c r="C4448" s="1" t="s">
        <v>24</v>
      </c>
      <c r="D4448" s="1" t="str">
        <f t="shared" si="8481"/>
        <v>2021</v>
      </c>
      <c r="E4448" s="1" t="str">
        <f t="shared" ref="E4448:P4448" si="8542">"0"</f>
        <v>0</v>
      </c>
      <c r="F4448" s="1" t="str">
        <f t="shared" si="8542"/>
        <v>0</v>
      </c>
      <c r="G4448" s="1" t="str">
        <f t="shared" si="8542"/>
        <v>0</v>
      </c>
      <c r="H4448" s="1" t="str">
        <f t="shared" si="8542"/>
        <v>0</v>
      </c>
      <c r="I4448" s="1" t="str">
        <f t="shared" si="8542"/>
        <v>0</v>
      </c>
      <c r="J4448" s="1" t="str">
        <f t="shared" si="8542"/>
        <v>0</v>
      </c>
      <c r="K4448" s="1" t="str">
        <f t="shared" si="8542"/>
        <v>0</v>
      </c>
      <c r="L4448" s="1" t="str">
        <f t="shared" si="8542"/>
        <v>0</v>
      </c>
      <c r="M4448" s="1" t="str">
        <f t="shared" si="8542"/>
        <v>0</v>
      </c>
      <c r="N4448" s="1" t="str">
        <f t="shared" si="8542"/>
        <v>0</v>
      </c>
      <c r="O4448" s="1" t="str">
        <f t="shared" si="8542"/>
        <v>0</v>
      </c>
      <c r="P4448" s="1" t="str">
        <f t="shared" si="8542"/>
        <v>0</v>
      </c>
      <c r="Q4448" s="1" t="str">
        <f t="shared" si="8483"/>
        <v>0.0070</v>
      </c>
      <c r="R4448" s="1" t="s">
        <v>25</v>
      </c>
      <c r="T4448" s="1" t="str">
        <f t="shared" si="8484"/>
        <v>0</v>
      </c>
      <c r="U4448" s="1" t="str">
        <f t="shared" si="8537"/>
        <v>0.0070</v>
      </c>
    </row>
    <row r="4449" s="1" customFormat="1" spans="1:21">
      <c r="A4449" s="1" t="str">
        <f>"4601992114021"</f>
        <v>4601992114021</v>
      </c>
      <c r="B4449" s="1" t="s">
        <v>4472</v>
      </c>
      <c r="C4449" s="1" t="s">
        <v>24</v>
      </c>
      <c r="D4449" s="1" t="str">
        <f t="shared" si="8481"/>
        <v>2021</v>
      </c>
      <c r="E4449" s="1" t="str">
        <f>"23.96"</f>
        <v>23.96</v>
      </c>
      <c r="F4449" s="1" t="str">
        <f t="shared" ref="F4449:I4449" si="8543">"0"</f>
        <v>0</v>
      </c>
      <c r="G4449" s="1" t="str">
        <f t="shared" si="8543"/>
        <v>0</v>
      </c>
      <c r="H4449" s="1" t="str">
        <f t="shared" si="8543"/>
        <v>0</v>
      </c>
      <c r="I4449" s="1" t="str">
        <f t="shared" si="8543"/>
        <v>0</v>
      </c>
      <c r="J4449" s="1" t="str">
        <f>"2"</f>
        <v>2</v>
      </c>
      <c r="K4449" s="1" t="str">
        <f t="shared" ref="K4449:P4449" si="8544">"0"</f>
        <v>0</v>
      </c>
      <c r="L4449" s="1" t="str">
        <f t="shared" si="8544"/>
        <v>0</v>
      </c>
      <c r="M4449" s="1" t="str">
        <f t="shared" si="8544"/>
        <v>0</v>
      </c>
      <c r="N4449" s="1" t="str">
        <f t="shared" si="8544"/>
        <v>0</v>
      </c>
      <c r="O4449" s="1" t="str">
        <f t="shared" si="8544"/>
        <v>0</v>
      </c>
      <c r="P4449" s="1" t="str">
        <f t="shared" si="8544"/>
        <v>0</v>
      </c>
      <c r="Q4449" s="1" t="str">
        <f t="shared" si="8483"/>
        <v>0.0070</v>
      </c>
      <c r="R4449" s="1" t="s">
        <v>29</v>
      </c>
      <c r="S4449" s="1">
        <v>-0.0014</v>
      </c>
      <c r="T4449" s="1" t="str">
        <f t="shared" si="8484"/>
        <v>0</v>
      </c>
      <c r="U4449" s="1" t="str">
        <f t="shared" si="8541"/>
        <v>0.0056</v>
      </c>
    </row>
    <row r="4450" s="1" customFormat="1" spans="1:21">
      <c r="A4450" s="1" t="str">
        <f>"4601992114130"</f>
        <v>4601992114130</v>
      </c>
      <c r="B4450" s="1" t="s">
        <v>4473</v>
      </c>
      <c r="C4450" s="1" t="s">
        <v>24</v>
      </c>
      <c r="D4450" s="1" t="str">
        <f t="shared" si="8481"/>
        <v>2021</v>
      </c>
      <c r="E4450" s="1" t="str">
        <f>"11.98"</f>
        <v>11.98</v>
      </c>
      <c r="F4450" s="1" t="str">
        <f t="shared" ref="F4450:I4450" si="8545">"0"</f>
        <v>0</v>
      </c>
      <c r="G4450" s="1" t="str">
        <f t="shared" si="8545"/>
        <v>0</v>
      </c>
      <c r="H4450" s="1" t="str">
        <f t="shared" si="8545"/>
        <v>0</v>
      </c>
      <c r="I4450" s="1" t="str">
        <f t="shared" si="8545"/>
        <v>0</v>
      </c>
      <c r="J4450" s="1" t="str">
        <f>"1"</f>
        <v>1</v>
      </c>
      <c r="K4450" s="1" t="str">
        <f t="shared" ref="K4450:P4450" si="8546">"0"</f>
        <v>0</v>
      </c>
      <c r="L4450" s="1" t="str">
        <f t="shared" si="8546"/>
        <v>0</v>
      </c>
      <c r="M4450" s="1" t="str">
        <f t="shared" si="8546"/>
        <v>0</v>
      </c>
      <c r="N4450" s="1" t="str">
        <f t="shared" si="8546"/>
        <v>0</v>
      </c>
      <c r="O4450" s="1" t="str">
        <f t="shared" si="8546"/>
        <v>0</v>
      </c>
      <c r="P4450" s="1" t="str">
        <f t="shared" si="8546"/>
        <v>0</v>
      </c>
      <c r="Q4450" s="1" t="str">
        <f t="shared" si="8483"/>
        <v>0.0070</v>
      </c>
      <c r="R4450" s="1" t="s">
        <v>29</v>
      </c>
      <c r="S4450" s="1">
        <v>-0.0014</v>
      </c>
      <c r="T4450" s="1" t="str">
        <f t="shared" si="8484"/>
        <v>0</v>
      </c>
      <c r="U4450" s="1" t="str">
        <f t="shared" si="8541"/>
        <v>0.0056</v>
      </c>
    </row>
    <row r="4451" s="1" customFormat="1" spans="1:21">
      <c r="A4451" s="1" t="str">
        <f>"4601992114057"</f>
        <v>4601992114057</v>
      </c>
      <c r="B4451" s="1" t="s">
        <v>4474</v>
      </c>
      <c r="C4451" s="1" t="s">
        <v>24</v>
      </c>
      <c r="D4451" s="1" t="str">
        <f t="shared" si="8481"/>
        <v>2021</v>
      </c>
      <c r="E4451" s="1" t="str">
        <f>"23.96"</f>
        <v>23.96</v>
      </c>
      <c r="F4451" s="1" t="str">
        <f t="shared" ref="F4451:I4451" si="8547">"0"</f>
        <v>0</v>
      </c>
      <c r="G4451" s="1" t="str">
        <f t="shared" si="8547"/>
        <v>0</v>
      </c>
      <c r="H4451" s="1" t="str">
        <f t="shared" si="8547"/>
        <v>0</v>
      </c>
      <c r="I4451" s="1" t="str">
        <f t="shared" si="8547"/>
        <v>0</v>
      </c>
      <c r="J4451" s="1" t="str">
        <f>"3"</f>
        <v>3</v>
      </c>
      <c r="K4451" s="1" t="str">
        <f t="shared" ref="K4451:P4451" si="8548">"0"</f>
        <v>0</v>
      </c>
      <c r="L4451" s="1" t="str">
        <f t="shared" si="8548"/>
        <v>0</v>
      </c>
      <c r="M4451" s="1" t="str">
        <f t="shared" si="8548"/>
        <v>0</v>
      </c>
      <c r="N4451" s="1" t="str">
        <f t="shared" si="8548"/>
        <v>0</v>
      </c>
      <c r="O4451" s="1" t="str">
        <f t="shared" si="8548"/>
        <v>0</v>
      </c>
      <c r="P4451" s="1" t="str">
        <f t="shared" si="8548"/>
        <v>0</v>
      </c>
      <c r="Q4451" s="1" t="str">
        <f t="shared" si="8483"/>
        <v>0.0070</v>
      </c>
      <c r="R4451" s="1" t="s">
        <v>29</v>
      </c>
      <c r="S4451" s="1">
        <v>-0.0014</v>
      </c>
      <c r="T4451" s="1" t="str">
        <f t="shared" si="8484"/>
        <v>0</v>
      </c>
      <c r="U4451" s="1" t="str">
        <f t="shared" si="8541"/>
        <v>0.0056</v>
      </c>
    </row>
    <row r="4452" s="1" customFormat="1" spans="1:21">
      <c r="A4452" s="1" t="str">
        <f>"4601992114227"</f>
        <v>4601992114227</v>
      </c>
      <c r="B4452" s="1" t="s">
        <v>4475</v>
      </c>
      <c r="C4452" s="1" t="s">
        <v>24</v>
      </c>
      <c r="D4452" s="1" t="str">
        <f t="shared" si="8481"/>
        <v>2021</v>
      </c>
      <c r="E4452" s="1" t="str">
        <f t="shared" ref="E4452:P4452" si="8549">"0"</f>
        <v>0</v>
      </c>
      <c r="F4452" s="1" t="str">
        <f t="shared" si="8549"/>
        <v>0</v>
      </c>
      <c r="G4452" s="1" t="str">
        <f t="shared" si="8549"/>
        <v>0</v>
      </c>
      <c r="H4452" s="1" t="str">
        <f t="shared" si="8549"/>
        <v>0</v>
      </c>
      <c r="I4452" s="1" t="str">
        <f t="shared" si="8549"/>
        <v>0</v>
      </c>
      <c r="J4452" s="1" t="str">
        <f t="shared" si="8549"/>
        <v>0</v>
      </c>
      <c r="K4452" s="1" t="str">
        <f t="shared" si="8549"/>
        <v>0</v>
      </c>
      <c r="L4452" s="1" t="str">
        <f t="shared" si="8549"/>
        <v>0</v>
      </c>
      <c r="M4452" s="1" t="str">
        <f t="shared" si="8549"/>
        <v>0</v>
      </c>
      <c r="N4452" s="1" t="str">
        <f t="shared" si="8549"/>
        <v>0</v>
      </c>
      <c r="O4452" s="1" t="str">
        <f t="shared" si="8549"/>
        <v>0</v>
      </c>
      <c r="P4452" s="1" t="str">
        <f t="shared" si="8549"/>
        <v>0</v>
      </c>
      <c r="Q4452" s="1" t="str">
        <f t="shared" si="8483"/>
        <v>0.0070</v>
      </c>
      <c r="R4452" s="1" t="s">
        <v>25</v>
      </c>
      <c r="T4452" s="1" t="str">
        <f t="shared" si="8484"/>
        <v>0</v>
      </c>
      <c r="U4452" s="1" t="str">
        <f t="shared" ref="U4452:U4456" si="8550">"0.0070"</f>
        <v>0.0070</v>
      </c>
    </row>
    <row r="4453" s="1" customFormat="1" spans="1:21">
      <c r="A4453" s="1" t="str">
        <f>"4601992114295"</f>
        <v>4601992114295</v>
      </c>
      <c r="B4453" s="1" t="s">
        <v>4476</v>
      </c>
      <c r="C4453" s="1" t="s">
        <v>24</v>
      </c>
      <c r="D4453" s="1" t="str">
        <f t="shared" si="8481"/>
        <v>2021</v>
      </c>
      <c r="E4453" s="1" t="str">
        <f t="shared" ref="E4453:P4453" si="8551">"0"</f>
        <v>0</v>
      </c>
      <c r="F4453" s="1" t="str">
        <f t="shared" si="8551"/>
        <v>0</v>
      </c>
      <c r="G4453" s="1" t="str">
        <f t="shared" si="8551"/>
        <v>0</v>
      </c>
      <c r="H4453" s="1" t="str">
        <f t="shared" si="8551"/>
        <v>0</v>
      </c>
      <c r="I4453" s="1" t="str">
        <f t="shared" si="8551"/>
        <v>0</v>
      </c>
      <c r="J4453" s="1" t="str">
        <f t="shared" si="8551"/>
        <v>0</v>
      </c>
      <c r="K4453" s="1" t="str">
        <f t="shared" si="8551"/>
        <v>0</v>
      </c>
      <c r="L4453" s="1" t="str">
        <f t="shared" si="8551"/>
        <v>0</v>
      </c>
      <c r="M4453" s="1" t="str">
        <f t="shared" si="8551"/>
        <v>0</v>
      </c>
      <c r="N4453" s="1" t="str">
        <f t="shared" si="8551"/>
        <v>0</v>
      </c>
      <c r="O4453" s="1" t="str">
        <f t="shared" si="8551"/>
        <v>0</v>
      </c>
      <c r="P4453" s="1" t="str">
        <f t="shared" si="8551"/>
        <v>0</v>
      </c>
      <c r="Q4453" s="1" t="str">
        <f t="shared" si="8483"/>
        <v>0.0070</v>
      </c>
      <c r="R4453" s="1" t="s">
        <v>25</v>
      </c>
      <c r="T4453" s="1" t="str">
        <f t="shared" si="8484"/>
        <v>0</v>
      </c>
      <c r="U4453" s="1" t="str">
        <f t="shared" si="8550"/>
        <v>0.0070</v>
      </c>
    </row>
    <row r="4454" s="1" customFormat="1" spans="1:21">
      <c r="A4454" s="1" t="str">
        <f>"4601992114165"</f>
        <v>4601992114165</v>
      </c>
      <c r="B4454" s="1" t="s">
        <v>4477</v>
      </c>
      <c r="C4454" s="1" t="s">
        <v>24</v>
      </c>
      <c r="D4454" s="1" t="str">
        <f t="shared" si="8481"/>
        <v>2021</v>
      </c>
      <c r="E4454" s="1" t="str">
        <f>"252.40"</f>
        <v>252.40</v>
      </c>
      <c r="F4454" s="1" t="str">
        <f t="shared" ref="F4454:I4454" si="8552">"0"</f>
        <v>0</v>
      </c>
      <c r="G4454" s="1" t="str">
        <f t="shared" si="8552"/>
        <v>0</v>
      </c>
      <c r="H4454" s="1" t="str">
        <f t="shared" si="8552"/>
        <v>0</v>
      </c>
      <c r="I4454" s="1" t="str">
        <f t="shared" si="8552"/>
        <v>0</v>
      </c>
      <c r="J4454" s="1" t="str">
        <f>"15"</f>
        <v>15</v>
      </c>
      <c r="K4454" s="1" t="str">
        <f t="shared" ref="K4454:P4454" si="8553">"0"</f>
        <v>0</v>
      </c>
      <c r="L4454" s="1" t="str">
        <f t="shared" si="8553"/>
        <v>0</v>
      </c>
      <c r="M4454" s="1" t="str">
        <f t="shared" si="8553"/>
        <v>0</v>
      </c>
      <c r="N4454" s="1" t="str">
        <f t="shared" si="8553"/>
        <v>0</v>
      </c>
      <c r="O4454" s="1" t="str">
        <f t="shared" si="8553"/>
        <v>0</v>
      </c>
      <c r="P4454" s="1" t="str">
        <f t="shared" si="8553"/>
        <v>0</v>
      </c>
      <c r="Q4454" s="1" t="str">
        <f t="shared" si="8483"/>
        <v>0.0070</v>
      </c>
      <c r="R4454" s="1" t="s">
        <v>29</v>
      </c>
      <c r="S4454" s="1">
        <v>-0.0014</v>
      </c>
      <c r="T4454" s="1" t="str">
        <f t="shared" si="8484"/>
        <v>0</v>
      </c>
      <c r="U4454" s="1" t="str">
        <f>"0.0056"</f>
        <v>0.0056</v>
      </c>
    </row>
    <row r="4455" s="1" customFormat="1" spans="1:21">
      <c r="A4455" s="1" t="str">
        <f>"4601992114605"</f>
        <v>4601992114605</v>
      </c>
      <c r="B4455" s="1" t="s">
        <v>4478</v>
      </c>
      <c r="C4455" s="1" t="s">
        <v>24</v>
      </c>
      <c r="D4455" s="1" t="str">
        <f t="shared" si="8481"/>
        <v>2021</v>
      </c>
      <c r="E4455" s="1" t="str">
        <f t="shared" ref="E4455:P4455" si="8554">"0"</f>
        <v>0</v>
      </c>
      <c r="F4455" s="1" t="str">
        <f t="shared" si="8554"/>
        <v>0</v>
      </c>
      <c r="G4455" s="1" t="str">
        <f t="shared" si="8554"/>
        <v>0</v>
      </c>
      <c r="H4455" s="1" t="str">
        <f t="shared" si="8554"/>
        <v>0</v>
      </c>
      <c r="I4455" s="1" t="str">
        <f t="shared" si="8554"/>
        <v>0</v>
      </c>
      <c r="J4455" s="1" t="str">
        <f t="shared" si="8554"/>
        <v>0</v>
      </c>
      <c r="K4455" s="1" t="str">
        <f t="shared" si="8554"/>
        <v>0</v>
      </c>
      <c r="L4455" s="1" t="str">
        <f t="shared" si="8554"/>
        <v>0</v>
      </c>
      <c r="M4455" s="1" t="str">
        <f t="shared" si="8554"/>
        <v>0</v>
      </c>
      <c r="N4455" s="1" t="str">
        <f t="shared" si="8554"/>
        <v>0</v>
      </c>
      <c r="O4455" s="1" t="str">
        <f t="shared" si="8554"/>
        <v>0</v>
      </c>
      <c r="P4455" s="1" t="str">
        <f t="shared" si="8554"/>
        <v>0</v>
      </c>
      <c r="Q4455" s="1" t="str">
        <f t="shared" si="8483"/>
        <v>0.0070</v>
      </c>
      <c r="R4455" s="1" t="s">
        <v>25</v>
      </c>
      <c r="T4455" s="1" t="str">
        <f t="shared" si="8484"/>
        <v>0</v>
      </c>
      <c r="U4455" s="1" t="str">
        <f t="shared" si="8550"/>
        <v>0.0070</v>
      </c>
    </row>
    <row r="4456" s="1" customFormat="1" spans="1:21">
      <c r="A4456" s="1" t="str">
        <f>"4601992114698"</f>
        <v>4601992114698</v>
      </c>
      <c r="B4456" s="1" t="s">
        <v>4479</v>
      </c>
      <c r="C4456" s="1" t="s">
        <v>24</v>
      </c>
      <c r="D4456" s="1" t="str">
        <f t="shared" si="8481"/>
        <v>2021</v>
      </c>
      <c r="E4456" s="1" t="str">
        <f t="shared" ref="E4456:P4456" si="8555">"0"</f>
        <v>0</v>
      </c>
      <c r="F4456" s="1" t="str">
        <f t="shared" si="8555"/>
        <v>0</v>
      </c>
      <c r="G4456" s="1" t="str">
        <f t="shared" si="8555"/>
        <v>0</v>
      </c>
      <c r="H4456" s="1" t="str">
        <f t="shared" si="8555"/>
        <v>0</v>
      </c>
      <c r="I4456" s="1" t="str">
        <f t="shared" si="8555"/>
        <v>0</v>
      </c>
      <c r="J4456" s="1" t="str">
        <f t="shared" si="8555"/>
        <v>0</v>
      </c>
      <c r="K4456" s="1" t="str">
        <f t="shared" si="8555"/>
        <v>0</v>
      </c>
      <c r="L4456" s="1" t="str">
        <f t="shared" si="8555"/>
        <v>0</v>
      </c>
      <c r="M4456" s="1" t="str">
        <f t="shared" si="8555"/>
        <v>0</v>
      </c>
      <c r="N4456" s="1" t="str">
        <f t="shared" si="8555"/>
        <v>0</v>
      </c>
      <c r="O4456" s="1" t="str">
        <f t="shared" si="8555"/>
        <v>0</v>
      </c>
      <c r="P4456" s="1" t="str">
        <f t="shared" si="8555"/>
        <v>0</v>
      </c>
      <c r="Q4456" s="1" t="str">
        <f t="shared" si="8483"/>
        <v>0.0070</v>
      </c>
      <c r="R4456" s="1" t="s">
        <v>25</v>
      </c>
      <c r="T4456" s="1" t="str">
        <f t="shared" si="8484"/>
        <v>0</v>
      </c>
      <c r="U4456" s="1" t="str">
        <f t="shared" si="8550"/>
        <v>0.0070</v>
      </c>
    </row>
    <row r="4457" s="1" customFormat="1" spans="1:21">
      <c r="A4457" s="1" t="str">
        <f>"4601992114353"</f>
        <v>4601992114353</v>
      </c>
      <c r="B4457" s="1" t="s">
        <v>4480</v>
      </c>
      <c r="C4457" s="1" t="s">
        <v>24</v>
      </c>
      <c r="D4457" s="1" t="str">
        <f t="shared" si="8481"/>
        <v>2021</v>
      </c>
      <c r="E4457" s="1" t="str">
        <f>"17.50"</f>
        <v>17.50</v>
      </c>
      <c r="F4457" s="1" t="str">
        <f t="shared" ref="F4457:I4457" si="8556">"0"</f>
        <v>0</v>
      </c>
      <c r="G4457" s="1" t="str">
        <f t="shared" si="8556"/>
        <v>0</v>
      </c>
      <c r="H4457" s="1" t="str">
        <f t="shared" si="8556"/>
        <v>0</v>
      </c>
      <c r="I4457" s="1" t="str">
        <f t="shared" si="8556"/>
        <v>0</v>
      </c>
      <c r="J4457" s="1" t="str">
        <f>"1"</f>
        <v>1</v>
      </c>
      <c r="K4457" s="1" t="str">
        <f t="shared" ref="K4457:P4457" si="8557">"0"</f>
        <v>0</v>
      </c>
      <c r="L4457" s="1" t="str">
        <f t="shared" si="8557"/>
        <v>0</v>
      </c>
      <c r="M4457" s="1" t="str">
        <f t="shared" si="8557"/>
        <v>0</v>
      </c>
      <c r="N4457" s="1" t="str">
        <f t="shared" si="8557"/>
        <v>0</v>
      </c>
      <c r="O4457" s="1" t="str">
        <f t="shared" si="8557"/>
        <v>0</v>
      </c>
      <c r="P4457" s="1" t="str">
        <f t="shared" si="8557"/>
        <v>0</v>
      </c>
      <c r="Q4457" s="1" t="str">
        <f t="shared" si="8483"/>
        <v>0.0070</v>
      </c>
      <c r="R4457" s="1" t="s">
        <v>29</v>
      </c>
      <c r="S4457" s="1">
        <v>-0.0014</v>
      </c>
      <c r="T4457" s="1" t="str">
        <f t="shared" si="8484"/>
        <v>0</v>
      </c>
      <c r="U4457" s="1" t="str">
        <f t="shared" ref="U4457:U4467" si="8558">"0.0056"</f>
        <v>0.0056</v>
      </c>
    </row>
    <row r="4458" s="1" customFormat="1" spans="1:21">
      <c r="A4458" s="1" t="str">
        <f>"4601992114758"</f>
        <v>4601992114758</v>
      </c>
      <c r="B4458" s="1" t="s">
        <v>4481</v>
      </c>
      <c r="C4458" s="1" t="s">
        <v>24</v>
      </c>
      <c r="D4458" s="1" t="str">
        <f t="shared" si="8481"/>
        <v>2021</v>
      </c>
      <c r="E4458" s="1" t="str">
        <f t="shared" ref="E4458:P4458" si="8559">"0"</f>
        <v>0</v>
      </c>
      <c r="F4458" s="1" t="str">
        <f t="shared" si="8559"/>
        <v>0</v>
      </c>
      <c r="G4458" s="1" t="str">
        <f t="shared" si="8559"/>
        <v>0</v>
      </c>
      <c r="H4458" s="1" t="str">
        <f t="shared" si="8559"/>
        <v>0</v>
      </c>
      <c r="I4458" s="1" t="str">
        <f t="shared" si="8559"/>
        <v>0</v>
      </c>
      <c r="J4458" s="1" t="str">
        <f t="shared" si="8559"/>
        <v>0</v>
      </c>
      <c r="K4458" s="1" t="str">
        <f t="shared" si="8559"/>
        <v>0</v>
      </c>
      <c r="L4458" s="1" t="str">
        <f t="shared" si="8559"/>
        <v>0</v>
      </c>
      <c r="M4458" s="1" t="str">
        <f t="shared" si="8559"/>
        <v>0</v>
      </c>
      <c r="N4458" s="1" t="str">
        <f t="shared" si="8559"/>
        <v>0</v>
      </c>
      <c r="O4458" s="1" t="str">
        <f t="shared" si="8559"/>
        <v>0</v>
      </c>
      <c r="P4458" s="1" t="str">
        <f t="shared" si="8559"/>
        <v>0</v>
      </c>
      <c r="Q4458" s="1" t="str">
        <f t="shared" si="8483"/>
        <v>0.0070</v>
      </c>
      <c r="R4458" s="1" t="s">
        <v>25</v>
      </c>
      <c r="T4458" s="1" t="str">
        <f t="shared" si="8484"/>
        <v>0</v>
      </c>
      <c r="U4458" s="1" t="str">
        <f t="shared" ref="U4458:U4461" si="8560">"0.0070"</f>
        <v>0.0070</v>
      </c>
    </row>
    <row r="4459" s="1" customFormat="1" spans="1:21">
      <c r="A4459" s="1" t="str">
        <f>"4601992114799"</f>
        <v>4601992114799</v>
      </c>
      <c r="B4459" s="1" t="s">
        <v>4482</v>
      </c>
      <c r="C4459" s="1" t="s">
        <v>24</v>
      </c>
      <c r="D4459" s="1" t="str">
        <f t="shared" si="8481"/>
        <v>2021</v>
      </c>
      <c r="E4459" s="1" t="str">
        <f t="shared" ref="E4459:P4459" si="8561">"0"</f>
        <v>0</v>
      </c>
      <c r="F4459" s="1" t="str">
        <f t="shared" si="8561"/>
        <v>0</v>
      </c>
      <c r="G4459" s="1" t="str">
        <f t="shared" si="8561"/>
        <v>0</v>
      </c>
      <c r="H4459" s="1" t="str">
        <f t="shared" si="8561"/>
        <v>0</v>
      </c>
      <c r="I4459" s="1" t="str">
        <f t="shared" si="8561"/>
        <v>0</v>
      </c>
      <c r="J4459" s="1" t="str">
        <f t="shared" si="8561"/>
        <v>0</v>
      </c>
      <c r="K4459" s="1" t="str">
        <f t="shared" si="8561"/>
        <v>0</v>
      </c>
      <c r="L4459" s="1" t="str">
        <f t="shared" si="8561"/>
        <v>0</v>
      </c>
      <c r="M4459" s="1" t="str">
        <f t="shared" si="8561"/>
        <v>0</v>
      </c>
      <c r="N4459" s="1" t="str">
        <f t="shared" si="8561"/>
        <v>0</v>
      </c>
      <c r="O4459" s="1" t="str">
        <f t="shared" si="8561"/>
        <v>0</v>
      </c>
      <c r="P4459" s="1" t="str">
        <f t="shared" si="8561"/>
        <v>0</v>
      </c>
      <c r="Q4459" s="1" t="str">
        <f t="shared" si="8483"/>
        <v>0.0070</v>
      </c>
      <c r="R4459" s="1" t="s">
        <v>25</v>
      </c>
      <c r="T4459" s="1" t="str">
        <f t="shared" si="8484"/>
        <v>0</v>
      </c>
      <c r="U4459" s="1" t="str">
        <f t="shared" si="8560"/>
        <v>0.0070</v>
      </c>
    </row>
    <row r="4460" s="1" customFormat="1" spans="1:21">
      <c r="A4460" s="1" t="str">
        <f>"4601991407805"</f>
        <v>4601991407805</v>
      </c>
      <c r="B4460" s="1" t="s">
        <v>4483</v>
      </c>
      <c r="C4460" s="1" t="s">
        <v>24</v>
      </c>
      <c r="D4460" s="1" t="str">
        <f t="shared" si="8481"/>
        <v>2021</v>
      </c>
      <c r="E4460" s="1" t="str">
        <f>"751.21"</f>
        <v>751.21</v>
      </c>
      <c r="F4460" s="1" t="str">
        <f t="shared" ref="F4460:I4460" si="8562">"0"</f>
        <v>0</v>
      </c>
      <c r="G4460" s="1" t="str">
        <f t="shared" si="8562"/>
        <v>0</v>
      </c>
      <c r="H4460" s="1" t="str">
        <f t="shared" si="8562"/>
        <v>0</v>
      </c>
      <c r="I4460" s="1" t="str">
        <f t="shared" si="8562"/>
        <v>0</v>
      </c>
      <c r="J4460" s="1" t="str">
        <f>"39"</f>
        <v>39</v>
      </c>
      <c r="K4460" s="1" t="str">
        <f t="shared" ref="K4460:P4460" si="8563">"0"</f>
        <v>0</v>
      </c>
      <c r="L4460" s="1" t="str">
        <f t="shared" si="8563"/>
        <v>0</v>
      </c>
      <c r="M4460" s="1" t="str">
        <f t="shared" si="8563"/>
        <v>0</v>
      </c>
      <c r="N4460" s="1" t="str">
        <f t="shared" si="8563"/>
        <v>0</v>
      </c>
      <c r="O4460" s="1" t="str">
        <f t="shared" si="8563"/>
        <v>0</v>
      </c>
      <c r="P4460" s="1" t="str">
        <f t="shared" si="8563"/>
        <v>0</v>
      </c>
      <c r="Q4460" s="1" t="str">
        <f t="shared" si="8483"/>
        <v>0.0070</v>
      </c>
      <c r="R4460" s="1" t="s">
        <v>29</v>
      </c>
      <c r="S4460" s="1">
        <v>-0.0014</v>
      </c>
      <c r="T4460" s="1" t="str">
        <f t="shared" si="8484"/>
        <v>0</v>
      </c>
      <c r="U4460" s="1" t="str">
        <f t="shared" si="8558"/>
        <v>0.0056</v>
      </c>
    </row>
    <row r="4461" s="1" customFormat="1" spans="1:21">
      <c r="A4461" s="1" t="str">
        <f>"4601992114907"</f>
        <v>4601992114907</v>
      </c>
      <c r="B4461" s="1" t="s">
        <v>4484</v>
      </c>
      <c r="C4461" s="1" t="s">
        <v>24</v>
      </c>
      <c r="D4461" s="1" t="str">
        <f t="shared" si="8481"/>
        <v>2021</v>
      </c>
      <c r="E4461" s="1" t="str">
        <f t="shared" ref="E4461:P4461" si="8564">"0"</f>
        <v>0</v>
      </c>
      <c r="F4461" s="1" t="str">
        <f t="shared" si="8564"/>
        <v>0</v>
      </c>
      <c r="G4461" s="1" t="str">
        <f t="shared" si="8564"/>
        <v>0</v>
      </c>
      <c r="H4461" s="1" t="str">
        <f t="shared" si="8564"/>
        <v>0</v>
      </c>
      <c r="I4461" s="1" t="str">
        <f t="shared" si="8564"/>
        <v>0</v>
      </c>
      <c r="J4461" s="1" t="str">
        <f t="shared" si="8564"/>
        <v>0</v>
      </c>
      <c r="K4461" s="1" t="str">
        <f t="shared" si="8564"/>
        <v>0</v>
      </c>
      <c r="L4461" s="1" t="str">
        <f t="shared" si="8564"/>
        <v>0</v>
      </c>
      <c r="M4461" s="1" t="str">
        <f t="shared" si="8564"/>
        <v>0</v>
      </c>
      <c r="N4461" s="1" t="str">
        <f t="shared" si="8564"/>
        <v>0</v>
      </c>
      <c r="O4461" s="1" t="str">
        <f t="shared" si="8564"/>
        <v>0</v>
      </c>
      <c r="P4461" s="1" t="str">
        <f t="shared" si="8564"/>
        <v>0</v>
      </c>
      <c r="Q4461" s="1" t="str">
        <f t="shared" si="8483"/>
        <v>0.0070</v>
      </c>
      <c r="R4461" s="1" t="s">
        <v>25</v>
      </c>
      <c r="T4461" s="1" t="str">
        <f t="shared" si="8484"/>
        <v>0</v>
      </c>
      <c r="U4461" s="1" t="str">
        <f t="shared" si="8560"/>
        <v>0.0070</v>
      </c>
    </row>
    <row r="4462" s="1" customFormat="1" spans="1:21">
      <c r="A4462" s="1" t="str">
        <f>"4601992114779"</f>
        <v>4601992114779</v>
      </c>
      <c r="B4462" s="1" t="s">
        <v>4485</v>
      </c>
      <c r="C4462" s="1" t="s">
        <v>24</v>
      </c>
      <c r="D4462" s="1" t="str">
        <f t="shared" si="8481"/>
        <v>2021</v>
      </c>
      <c r="E4462" s="1" t="str">
        <f>"35.94"</f>
        <v>35.94</v>
      </c>
      <c r="F4462" s="1" t="str">
        <f t="shared" ref="F4462:I4462" si="8565">"0"</f>
        <v>0</v>
      </c>
      <c r="G4462" s="1" t="str">
        <f t="shared" si="8565"/>
        <v>0</v>
      </c>
      <c r="H4462" s="1" t="str">
        <f t="shared" si="8565"/>
        <v>0</v>
      </c>
      <c r="I4462" s="1" t="str">
        <f t="shared" si="8565"/>
        <v>0</v>
      </c>
      <c r="J4462" s="1" t="str">
        <f>"4"</f>
        <v>4</v>
      </c>
      <c r="K4462" s="1" t="str">
        <f t="shared" ref="K4462:P4462" si="8566">"0"</f>
        <v>0</v>
      </c>
      <c r="L4462" s="1" t="str">
        <f t="shared" si="8566"/>
        <v>0</v>
      </c>
      <c r="M4462" s="1" t="str">
        <f t="shared" si="8566"/>
        <v>0</v>
      </c>
      <c r="N4462" s="1" t="str">
        <f t="shared" si="8566"/>
        <v>0</v>
      </c>
      <c r="O4462" s="1" t="str">
        <f t="shared" si="8566"/>
        <v>0</v>
      </c>
      <c r="P4462" s="1" t="str">
        <f t="shared" si="8566"/>
        <v>0</v>
      </c>
      <c r="Q4462" s="1" t="str">
        <f t="shared" si="8483"/>
        <v>0.0070</v>
      </c>
      <c r="R4462" s="1" t="s">
        <v>29</v>
      </c>
      <c r="S4462" s="1">
        <v>-0.0014</v>
      </c>
      <c r="T4462" s="1" t="str">
        <f t="shared" si="8484"/>
        <v>0</v>
      </c>
      <c r="U4462" s="1" t="str">
        <f t="shared" si="8558"/>
        <v>0.0056</v>
      </c>
    </row>
    <row r="4463" s="1" customFormat="1" spans="1:21">
      <c r="A4463" s="1" t="str">
        <f>"4601992114868"</f>
        <v>4601992114868</v>
      </c>
      <c r="B4463" s="1" t="s">
        <v>4486</v>
      </c>
      <c r="C4463" s="1" t="s">
        <v>24</v>
      </c>
      <c r="D4463" s="1" t="str">
        <f t="shared" si="8481"/>
        <v>2021</v>
      </c>
      <c r="E4463" s="1" t="str">
        <f>"12.09"</f>
        <v>12.09</v>
      </c>
      <c r="F4463" s="1" t="str">
        <f t="shared" ref="F4463:I4463" si="8567">"0"</f>
        <v>0</v>
      </c>
      <c r="G4463" s="1" t="str">
        <f t="shared" si="8567"/>
        <v>0</v>
      </c>
      <c r="H4463" s="1" t="str">
        <f t="shared" si="8567"/>
        <v>0</v>
      </c>
      <c r="I4463" s="1" t="str">
        <f t="shared" si="8567"/>
        <v>0</v>
      </c>
      <c r="J4463" s="1" t="str">
        <f t="shared" ref="J4463:J4467" si="8568">"1"</f>
        <v>1</v>
      </c>
      <c r="K4463" s="1" t="str">
        <f t="shared" ref="K4463:P4463" si="8569">"0"</f>
        <v>0</v>
      </c>
      <c r="L4463" s="1" t="str">
        <f t="shared" si="8569"/>
        <v>0</v>
      </c>
      <c r="M4463" s="1" t="str">
        <f t="shared" si="8569"/>
        <v>0</v>
      </c>
      <c r="N4463" s="1" t="str">
        <f t="shared" si="8569"/>
        <v>0</v>
      </c>
      <c r="O4463" s="1" t="str">
        <f t="shared" si="8569"/>
        <v>0</v>
      </c>
      <c r="P4463" s="1" t="str">
        <f t="shared" si="8569"/>
        <v>0</v>
      </c>
      <c r="Q4463" s="1" t="str">
        <f t="shared" si="8483"/>
        <v>0.0070</v>
      </c>
      <c r="R4463" s="1" t="s">
        <v>29</v>
      </c>
      <c r="S4463" s="1">
        <v>-0.0014</v>
      </c>
      <c r="T4463" s="1" t="str">
        <f t="shared" si="8484"/>
        <v>0</v>
      </c>
      <c r="U4463" s="1" t="str">
        <f t="shared" si="8558"/>
        <v>0.0056</v>
      </c>
    </row>
    <row r="4464" s="1" customFormat="1" spans="1:21">
      <c r="A4464" s="1" t="str">
        <f>"4601992114929"</f>
        <v>4601992114929</v>
      </c>
      <c r="B4464" s="1" t="s">
        <v>4487</v>
      </c>
      <c r="C4464" s="1" t="s">
        <v>24</v>
      </c>
      <c r="D4464" s="1" t="str">
        <f t="shared" si="8481"/>
        <v>2021</v>
      </c>
      <c r="E4464" s="1" t="str">
        <f>"24.82"</f>
        <v>24.82</v>
      </c>
      <c r="F4464" s="1" t="str">
        <f t="shared" ref="F4464:I4464" si="8570">"0"</f>
        <v>0</v>
      </c>
      <c r="G4464" s="1" t="str">
        <f t="shared" si="8570"/>
        <v>0</v>
      </c>
      <c r="H4464" s="1" t="str">
        <f t="shared" si="8570"/>
        <v>0</v>
      </c>
      <c r="I4464" s="1" t="str">
        <f t="shared" si="8570"/>
        <v>0</v>
      </c>
      <c r="J4464" s="1" t="str">
        <f>"2"</f>
        <v>2</v>
      </c>
      <c r="K4464" s="1" t="str">
        <f t="shared" ref="K4464:P4464" si="8571">"0"</f>
        <v>0</v>
      </c>
      <c r="L4464" s="1" t="str">
        <f t="shared" si="8571"/>
        <v>0</v>
      </c>
      <c r="M4464" s="1" t="str">
        <f t="shared" si="8571"/>
        <v>0</v>
      </c>
      <c r="N4464" s="1" t="str">
        <f t="shared" si="8571"/>
        <v>0</v>
      </c>
      <c r="O4464" s="1" t="str">
        <f t="shared" si="8571"/>
        <v>0</v>
      </c>
      <c r="P4464" s="1" t="str">
        <f t="shared" si="8571"/>
        <v>0</v>
      </c>
      <c r="Q4464" s="1" t="str">
        <f t="shared" si="8483"/>
        <v>0.0070</v>
      </c>
      <c r="R4464" s="1" t="s">
        <v>29</v>
      </c>
      <c r="S4464" s="1">
        <v>-0.0014</v>
      </c>
      <c r="T4464" s="1" t="str">
        <f t="shared" si="8484"/>
        <v>0</v>
      </c>
      <c r="U4464" s="1" t="str">
        <f t="shared" si="8558"/>
        <v>0.0056</v>
      </c>
    </row>
    <row r="4465" s="1" customFormat="1" spans="1:21">
      <c r="A4465" s="1" t="str">
        <f>"4601991412443"</f>
        <v>4601991412443</v>
      </c>
      <c r="B4465" s="1" t="s">
        <v>4488</v>
      </c>
      <c r="C4465" s="1" t="s">
        <v>24</v>
      </c>
      <c r="D4465" s="1" t="str">
        <f t="shared" si="8481"/>
        <v>2021</v>
      </c>
      <c r="E4465" s="1" t="str">
        <f>"19.34"</f>
        <v>19.34</v>
      </c>
      <c r="F4465" s="1" t="str">
        <f t="shared" ref="F4465:I4465" si="8572">"0"</f>
        <v>0</v>
      </c>
      <c r="G4465" s="1" t="str">
        <f t="shared" si="8572"/>
        <v>0</v>
      </c>
      <c r="H4465" s="1" t="str">
        <f t="shared" si="8572"/>
        <v>0</v>
      </c>
      <c r="I4465" s="1" t="str">
        <f t="shared" si="8572"/>
        <v>0</v>
      </c>
      <c r="J4465" s="1" t="str">
        <f>"2"</f>
        <v>2</v>
      </c>
      <c r="K4465" s="1" t="str">
        <f t="shared" ref="K4465:P4465" si="8573">"0"</f>
        <v>0</v>
      </c>
      <c r="L4465" s="1" t="str">
        <f t="shared" si="8573"/>
        <v>0</v>
      </c>
      <c r="M4465" s="1" t="str">
        <f t="shared" si="8573"/>
        <v>0</v>
      </c>
      <c r="N4465" s="1" t="str">
        <f t="shared" si="8573"/>
        <v>0</v>
      </c>
      <c r="O4465" s="1" t="str">
        <f t="shared" si="8573"/>
        <v>0</v>
      </c>
      <c r="P4465" s="1" t="str">
        <f t="shared" si="8573"/>
        <v>0</v>
      </c>
      <c r="Q4465" s="1" t="str">
        <f t="shared" si="8483"/>
        <v>0.0070</v>
      </c>
      <c r="R4465" s="1" t="s">
        <v>29</v>
      </c>
      <c r="S4465" s="1">
        <v>-0.0014</v>
      </c>
      <c r="T4465" s="1" t="str">
        <f t="shared" si="8484"/>
        <v>0</v>
      </c>
      <c r="U4465" s="1" t="str">
        <f t="shared" si="8558"/>
        <v>0.0056</v>
      </c>
    </row>
    <row r="4466" s="1" customFormat="1" spans="1:21">
      <c r="A4466" s="1" t="str">
        <f>"4601992115006"</f>
        <v>4601992115006</v>
      </c>
      <c r="B4466" s="1" t="s">
        <v>4489</v>
      </c>
      <c r="C4466" s="1" t="s">
        <v>24</v>
      </c>
      <c r="D4466" s="1" t="str">
        <f t="shared" si="8481"/>
        <v>2021</v>
      </c>
      <c r="E4466" s="1" t="str">
        <f>"11.98"</f>
        <v>11.98</v>
      </c>
      <c r="F4466" s="1" t="str">
        <f t="shared" ref="F4466:I4466" si="8574">"0"</f>
        <v>0</v>
      </c>
      <c r="G4466" s="1" t="str">
        <f t="shared" si="8574"/>
        <v>0</v>
      </c>
      <c r="H4466" s="1" t="str">
        <f t="shared" si="8574"/>
        <v>0</v>
      </c>
      <c r="I4466" s="1" t="str">
        <f t="shared" si="8574"/>
        <v>0</v>
      </c>
      <c r="J4466" s="1" t="str">
        <f t="shared" si="8568"/>
        <v>1</v>
      </c>
      <c r="K4466" s="1" t="str">
        <f t="shared" ref="K4466:P4466" si="8575">"0"</f>
        <v>0</v>
      </c>
      <c r="L4466" s="1" t="str">
        <f t="shared" si="8575"/>
        <v>0</v>
      </c>
      <c r="M4466" s="1" t="str">
        <f t="shared" si="8575"/>
        <v>0</v>
      </c>
      <c r="N4466" s="1" t="str">
        <f t="shared" si="8575"/>
        <v>0</v>
      </c>
      <c r="O4466" s="1" t="str">
        <f t="shared" si="8575"/>
        <v>0</v>
      </c>
      <c r="P4466" s="1" t="str">
        <f t="shared" si="8575"/>
        <v>0</v>
      </c>
      <c r="Q4466" s="1" t="str">
        <f t="shared" si="8483"/>
        <v>0.0070</v>
      </c>
      <c r="R4466" s="1" t="s">
        <v>29</v>
      </c>
      <c r="S4466" s="1">
        <v>-0.0014</v>
      </c>
      <c r="T4466" s="1" t="str">
        <f t="shared" si="8484"/>
        <v>0</v>
      </c>
      <c r="U4466" s="1" t="str">
        <f t="shared" si="8558"/>
        <v>0.0056</v>
      </c>
    </row>
    <row r="4467" s="1" customFormat="1" spans="1:21">
      <c r="A4467" s="1" t="str">
        <f>"4601992114988"</f>
        <v>4601992114988</v>
      </c>
      <c r="B4467" s="1" t="s">
        <v>4490</v>
      </c>
      <c r="C4467" s="1" t="s">
        <v>24</v>
      </c>
      <c r="D4467" s="1" t="str">
        <f t="shared" si="8481"/>
        <v>2021</v>
      </c>
      <c r="E4467" s="1" t="str">
        <f>"12.09"</f>
        <v>12.09</v>
      </c>
      <c r="F4467" s="1" t="str">
        <f t="shared" ref="F4467:I4467" si="8576">"0"</f>
        <v>0</v>
      </c>
      <c r="G4467" s="1" t="str">
        <f t="shared" si="8576"/>
        <v>0</v>
      </c>
      <c r="H4467" s="1" t="str">
        <f t="shared" si="8576"/>
        <v>0</v>
      </c>
      <c r="I4467" s="1" t="str">
        <f t="shared" si="8576"/>
        <v>0</v>
      </c>
      <c r="J4467" s="1" t="str">
        <f t="shared" si="8568"/>
        <v>1</v>
      </c>
      <c r="K4467" s="1" t="str">
        <f t="shared" ref="K4467:P4467" si="8577">"0"</f>
        <v>0</v>
      </c>
      <c r="L4467" s="1" t="str">
        <f t="shared" si="8577"/>
        <v>0</v>
      </c>
      <c r="M4467" s="1" t="str">
        <f t="shared" si="8577"/>
        <v>0</v>
      </c>
      <c r="N4467" s="1" t="str">
        <f t="shared" si="8577"/>
        <v>0</v>
      </c>
      <c r="O4467" s="1" t="str">
        <f t="shared" si="8577"/>
        <v>0</v>
      </c>
      <c r="P4467" s="1" t="str">
        <f t="shared" si="8577"/>
        <v>0</v>
      </c>
      <c r="Q4467" s="1" t="str">
        <f t="shared" si="8483"/>
        <v>0.0070</v>
      </c>
      <c r="R4467" s="1" t="s">
        <v>29</v>
      </c>
      <c r="S4467" s="1">
        <v>-0.0014</v>
      </c>
      <c r="T4467" s="1" t="str">
        <f t="shared" si="8484"/>
        <v>0</v>
      </c>
      <c r="U4467" s="1" t="str">
        <f t="shared" si="8558"/>
        <v>0.0056</v>
      </c>
    </row>
    <row r="4468" s="1" customFormat="1" spans="1:21">
      <c r="A4468" s="1" t="str">
        <f>"4601992115058"</f>
        <v>4601992115058</v>
      </c>
      <c r="B4468" s="1" t="s">
        <v>4491</v>
      </c>
      <c r="C4468" s="1" t="s">
        <v>24</v>
      </c>
      <c r="D4468" s="1" t="str">
        <f t="shared" si="8481"/>
        <v>2021</v>
      </c>
      <c r="E4468" s="1" t="str">
        <f t="shared" ref="E4468:P4468" si="8578">"0"</f>
        <v>0</v>
      </c>
      <c r="F4468" s="1" t="str">
        <f t="shared" si="8578"/>
        <v>0</v>
      </c>
      <c r="G4468" s="1" t="str">
        <f t="shared" si="8578"/>
        <v>0</v>
      </c>
      <c r="H4468" s="1" t="str">
        <f t="shared" si="8578"/>
        <v>0</v>
      </c>
      <c r="I4468" s="1" t="str">
        <f t="shared" si="8578"/>
        <v>0</v>
      </c>
      <c r="J4468" s="1" t="str">
        <f t="shared" si="8578"/>
        <v>0</v>
      </c>
      <c r="K4468" s="1" t="str">
        <f t="shared" si="8578"/>
        <v>0</v>
      </c>
      <c r="L4468" s="1" t="str">
        <f t="shared" si="8578"/>
        <v>0</v>
      </c>
      <c r="M4468" s="1" t="str">
        <f t="shared" si="8578"/>
        <v>0</v>
      </c>
      <c r="N4468" s="1" t="str">
        <f t="shared" si="8578"/>
        <v>0</v>
      </c>
      <c r="O4468" s="1" t="str">
        <f t="shared" si="8578"/>
        <v>0</v>
      </c>
      <c r="P4468" s="1" t="str">
        <f t="shared" si="8578"/>
        <v>0</v>
      </c>
      <c r="Q4468" s="1" t="str">
        <f t="shared" si="8483"/>
        <v>0.0070</v>
      </c>
      <c r="R4468" s="1" t="s">
        <v>25</v>
      </c>
      <c r="T4468" s="1" t="str">
        <f t="shared" si="8484"/>
        <v>0</v>
      </c>
      <c r="U4468" s="1" t="str">
        <f t="shared" ref="U4468:U4471" si="8579">"0.0070"</f>
        <v>0.0070</v>
      </c>
    </row>
    <row r="4469" s="1" customFormat="1" spans="1:21">
      <c r="A4469" s="1" t="str">
        <f>"4601992115195"</f>
        <v>4601992115195</v>
      </c>
      <c r="B4469" s="1" t="s">
        <v>4492</v>
      </c>
      <c r="C4469" s="1" t="s">
        <v>24</v>
      </c>
      <c r="D4469" s="1" t="str">
        <f t="shared" si="8481"/>
        <v>2021</v>
      </c>
      <c r="E4469" s="1" t="str">
        <f t="shared" ref="E4469:P4469" si="8580">"0"</f>
        <v>0</v>
      </c>
      <c r="F4469" s="1" t="str">
        <f t="shared" si="8580"/>
        <v>0</v>
      </c>
      <c r="G4469" s="1" t="str">
        <f t="shared" si="8580"/>
        <v>0</v>
      </c>
      <c r="H4469" s="1" t="str">
        <f t="shared" si="8580"/>
        <v>0</v>
      </c>
      <c r="I4469" s="1" t="str">
        <f t="shared" si="8580"/>
        <v>0</v>
      </c>
      <c r="J4469" s="1" t="str">
        <f t="shared" si="8580"/>
        <v>0</v>
      </c>
      <c r="K4469" s="1" t="str">
        <f t="shared" si="8580"/>
        <v>0</v>
      </c>
      <c r="L4469" s="1" t="str">
        <f t="shared" si="8580"/>
        <v>0</v>
      </c>
      <c r="M4469" s="1" t="str">
        <f t="shared" si="8580"/>
        <v>0</v>
      </c>
      <c r="N4469" s="1" t="str">
        <f t="shared" si="8580"/>
        <v>0</v>
      </c>
      <c r="O4469" s="1" t="str">
        <f t="shared" si="8580"/>
        <v>0</v>
      </c>
      <c r="P4469" s="1" t="str">
        <f t="shared" si="8580"/>
        <v>0</v>
      </c>
      <c r="Q4469" s="1" t="str">
        <f t="shared" si="8483"/>
        <v>0.0070</v>
      </c>
      <c r="R4469" s="1" t="s">
        <v>25</v>
      </c>
      <c r="T4469" s="1" t="str">
        <f t="shared" si="8484"/>
        <v>0</v>
      </c>
      <c r="U4469" s="1" t="str">
        <f t="shared" si="8579"/>
        <v>0.0070</v>
      </c>
    </row>
    <row r="4470" s="1" customFormat="1" spans="1:21">
      <c r="A4470" s="1" t="str">
        <f>"4601992115216"</f>
        <v>4601992115216</v>
      </c>
      <c r="B4470" s="1" t="s">
        <v>4493</v>
      </c>
      <c r="C4470" s="1" t="s">
        <v>24</v>
      </c>
      <c r="D4470" s="1" t="str">
        <f t="shared" si="8481"/>
        <v>2021</v>
      </c>
      <c r="E4470" s="1" t="str">
        <f t="shared" ref="E4470:P4470" si="8581">"0"</f>
        <v>0</v>
      </c>
      <c r="F4470" s="1" t="str">
        <f t="shared" si="8581"/>
        <v>0</v>
      </c>
      <c r="G4470" s="1" t="str">
        <f t="shared" si="8581"/>
        <v>0</v>
      </c>
      <c r="H4470" s="1" t="str">
        <f t="shared" si="8581"/>
        <v>0</v>
      </c>
      <c r="I4470" s="1" t="str">
        <f t="shared" si="8581"/>
        <v>0</v>
      </c>
      <c r="J4470" s="1" t="str">
        <f t="shared" si="8581"/>
        <v>0</v>
      </c>
      <c r="K4470" s="1" t="str">
        <f t="shared" si="8581"/>
        <v>0</v>
      </c>
      <c r="L4470" s="1" t="str">
        <f t="shared" si="8581"/>
        <v>0</v>
      </c>
      <c r="M4470" s="1" t="str">
        <f t="shared" si="8581"/>
        <v>0</v>
      </c>
      <c r="N4470" s="1" t="str">
        <f t="shared" si="8581"/>
        <v>0</v>
      </c>
      <c r="O4470" s="1" t="str">
        <f t="shared" si="8581"/>
        <v>0</v>
      </c>
      <c r="P4470" s="1" t="str">
        <f t="shared" si="8581"/>
        <v>0</v>
      </c>
      <c r="Q4470" s="1" t="str">
        <f t="shared" si="8483"/>
        <v>0.0070</v>
      </c>
      <c r="R4470" s="1" t="s">
        <v>25</v>
      </c>
      <c r="T4470" s="1" t="str">
        <f t="shared" si="8484"/>
        <v>0</v>
      </c>
      <c r="U4470" s="1" t="str">
        <f t="shared" si="8579"/>
        <v>0.0070</v>
      </c>
    </row>
    <row r="4471" s="1" customFormat="1" spans="1:21">
      <c r="A4471" s="1" t="str">
        <f>"4601992115220"</f>
        <v>4601992115220</v>
      </c>
      <c r="B4471" s="1" t="s">
        <v>4494</v>
      </c>
      <c r="C4471" s="1" t="s">
        <v>24</v>
      </c>
      <c r="D4471" s="1" t="str">
        <f t="shared" si="8481"/>
        <v>2021</v>
      </c>
      <c r="E4471" s="1" t="str">
        <f t="shared" ref="E4471:P4471" si="8582">"0"</f>
        <v>0</v>
      </c>
      <c r="F4471" s="1" t="str">
        <f t="shared" si="8582"/>
        <v>0</v>
      </c>
      <c r="G4471" s="1" t="str">
        <f t="shared" si="8582"/>
        <v>0</v>
      </c>
      <c r="H4471" s="1" t="str">
        <f t="shared" si="8582"/>
        <v>0</v>
      </c>
      <c r="I4471" s="1" t="str">
        <f t="shared" si="8582"/>
        <v>0</v>
      </c>
      <c r="J4471" s="1" t="str">
        <f t="shared" si="8582"/>
        <v>0</v>
      </c>
      <c r="K4471" s="1" t="str">
        <f t="shared" si="8582"/>
        <v>0</v>
      </c>
      <c r="L4471" s="1" t="str">
        <f t="shared" si="8582"/>
        <v>0</v>
      </c>
      <c r="M4471" s="1" t="str">
        <f t="shared" si="8582"/>
        <v>0</v>
      </c>
      <c r="N4471" s="1" t="str">
        <f t="shared" si="8582"/>
        <v>0</v>
      </c>
      <c r="O4471" s="1" t="str">
        <f t="shared" si="8582"/>
        <v>0</v>
      </c>
      <c r="P4471" s="1" t="str">
        <f t="shared" si="8582"/>
        <v>0</v>
      </c>
      <c r="Q4471" s="1" t="str">
        <f t="shared" si="8483"/>
        <v>0.0070</v>
      </c>
      <c r="R4471" s="1" t="s">
        <v>25</v>
      </c>
      <c r="T4471" s="1" t="str">
        <f t="shared" si="8484"/>
        <v>0</v>
      </c>
      <c r="U4471" s="1" t="str">
        <f t="shared" si="8579"/>
        <v>0.0070</v>
      </c>
    </row>
    <row r="4472" s="1" customFormat="1" spans="1:21">
      <c r="A4472" s="1" t="str">
        <f>"4601992115045"</f>
        <v>4601992115045</v>
      </c>
      <c r="B4472" s="1" t="s">
        <v>4495</v>
      </c>
      <c r="C4472" s="1" t="s">
        <v>24</v>
      </c>
      <c r="D4472" s="1" t="str">
        <f t="shared" si="8481"/>
        <v>2021</v>
      </c>
      <c r="E4472" s="1" t="str">
        <f>"11.98"</f>
        <v>11.98</v>
      </c>
      <c r="F4472" s="1" t="str">
        <f t="shared" ref="F4472:I4472" si="8583">"0"</f>
        <v>0</v>
      </c>
      <c r="G4472" s="1" t="str">
        <f t="shared" si="8583"/>
        <v>0</v>
      </c>
      <c r="H4472" s="1" t="str">
        <f t="shared" si="8583"/>
        <v>0</v>
      </c>
      <c r="I4472" s="1" t="str">
        <f t="shared" si="8583"/>
        <v>0</v>
      </c>
      <c r="J4472" s="1" t="str">
        <f>"1"</f>
        <v>1</v>
      </c>
      <c r="K4472" s="1" t="str">
        <f t="shared" ref="K4472:P4472" si="8584">"0"</f>
        <v>0</v>
      </c>
      <c r="L4472" s="1" t="str">
        <f t="shared" si="8584"/>
        <v>0</v>
      </c>
      <c r="M4472" s="1" t="str">
        <f t="shared" si="8584"/>
        <v>0</v>
      </c>
      <c r="N4472" s="1" t="str">
        <f t="shared" si="8584"/>
        <v>0</v>
      </c>
      <c r="O4472" s="1" t="str">
        <f t="shared" si="8584"/>
        <v>0</v>
      </c>
      <c r="P4472" s="1" t="str">
        <f t="shared" si="8584"/>
        <v>0</v>
      </c>
      <c r="Q4472" s="1" t="str">
        <f t="shared" si="8483"/>
        <v>0.0070</v>
      </c>
      <c r="R4472" s="1" t="s">
        <v>29</v>
      </c>
      <c r="S4472" s="1">
        <v>-0.0014</v>
      </c>
      <c r="T4472" s="1" t="str">
        <f t="shared" si="8484"/>
        <v>0</v>
      </c>
      <c r="U4472" s="1" t="str">
        <f t="shared" ref="U4472:U4474" si="8585">"0.0056"</f>
        <v>0.0056</v>
      </c>
    </row>
    <row r="4473" s="1" customFormat="1" spans="1:21">
      <c r="A4473" s="1" t="str">
        <f>"4601992115410"</f>
        <v>4601992115410</v>
      </c>
      <c r="B4473" s="1" t="s">
        <v>4496</v>
      </c>
      <c r="C4473" s="1" t="s">
        <v>24</v>
      </c>
      <c r="D4473" s="1" t="str">
        <f t="shared" si="8481"/>
        <v>2021</v>
      </c>
      <c r="E4473" s="1" t="str">
        <f>"95.84"</f>
        <v>95.84</v>
      </c>
      <c r="F4473" s="1" t="str">
        <f t="shared" ref="F4473:I4473" si="8586">"0"</f>
        <v>0</v>
      </c>
      <c r="G4473" s="1" t="str">
        <f t="shared" si="8586"/>
        <v>0</v>
      </c>
      <c r="H4473" s="1" t="str">
        <f t="shared" si="8586"/>
        <v>0</v>
      </c>
      <c r="I4473" s="1" t="str">
        <f t="shared" si="8586"/>
        <v>0</v>
      </c>
      <c r="J4473" s="1" t="str">
        <f>"9"</f>
        <v>9</v>
      </c>
      <c r="K4473" s="1" t="str">
        <f t="shared" ref="K4473:P4473" si="8587">"0"</f>
        <v>0</v>
      </c>
      <c r="L4473" s="1" t="str">
        <f t="shared" si="8587"/>
        <v>0</v>
      </c>
      <c r="M4473" s="1" t="str">
        <f t="shared" si="8587"/>
        <v>0</v>
      </c>
      <c r="N4473" s="1" t="str">
        <f t="shared" si="8587"/>
        <v>0</v>
      </c>
      <c r="O4473" s="1" t="str">
        <f t="shared" si="8587"/>
        <v>0</v>
      </c>
      <c r="P4473" s="1" t="str">
        <f t="shared" si="8587"/>
        <v>0</v>
      </c>
      <c r="Q4473" s="1" t="str">
        <f t="shared" si="8483"/>
        <v>0.0070</v>
      </c>
      <c r="R4473" s="1" t="s">
        <v>29</v>
      </c>
      <c r="S4473" s="1">
        <v>-0.0014</v>
      </c>
      <c r="T4473" s="1" t="str">
        <f t="shared" si="8484"/>
        <v>0</v>
      </c>
      <c r="U4473" s="1" t="str">
        <f t="shared" si="8585"/>
        <v>0.0056</v>
      </c>
    </row>
    <row r="4474" s="1" customFormat="1" spans="1:21">
      <c r="A4474" s="1" t="str">
        <f>"4601992115300"</f>
        <v>4601992115300</v>
      </c>
      <c r="B4474" s="1" t="s">
        <v>4497</v>
      </c>
      <c r="C4474" s="1" t="s">
        <v>24</v>
      </c>
      <c r="D4474" s="1" t="str">
        <f t="shared" si="8481"/>
        <v>2021</v>
      </c>
      <c r="E4474" s="1" t="str">
        <f>"36.00"</f>
        <v>36.00</v>
      </c>
      <c r="F4474" s="1" t="str">
        <f t="shared" ref="F4474:I4474" si="8588">"0"</f>
        <v>0</v>
      </c>
      <c r="G4474" s="1" t="str">
        <f t="shared" si="8588"/>
        <v>0</v>
      </c>
      <c r="H4474" s="1" t="str">
        <f t="shared" si="8588"/>
        <v>0</v>
      </c>
      <c r="I4474" s="1" t="str">
        <f t="shared" si="8588"/>
        <v>0</v>
      </c>
      <c r="J4474" s="1" t="str">
        <f>"4"</f>
        <v>4</v>
      </c>
      <c r="K4474" s="1" t="str">
        <f t="shared" ref="K4474:P4474" si="8589">"0"</f>
        <v>0</v>
      </c>
      <c r="L4474" s="1" t="str">
        <f t="shared" si="8589"/>
        <v>0</v>
      </c>
      <c r="M4474" s="1" t="str">
        <f t="shared" si="8589"/>
        <v>0</v>
      </c>
      <c r="N4474" s="1" t="str">
        <f t="shared" si="8589"/>
        <v>0</v>
      </c>
      <c r="O4474" s="1" t="str">
        <f t="shared" si="8589"/>
        <v>0</v>
      </c>
      <c r="P4474" s="1" t="str">
        <f t="shared" si="8589"/>
        <v>0</v>
      </c>
      <c r="Q4474" s="1" t="str">
        <f t="shared" si="8483"/>
        <v>0.0070</v>
      </c>
      <c r="R4474" s="1" t="s">
        <v>29</v>
      </c>
      <c r="S4474" s="1">
        <v>-0.0014</v>
      </c>
      <c r="T4474" s="1" t="str">
        <f t="shared" si="8484"/>
        <v>0</v>
      </c>
      <c r="U4474" s="1" t="str">
        <f t="shared" si="8585"/>
        <v>0.0056</v>
      </c>
    </row>
    <row r="4475" s="1" customFormat="1" spans="1:21">
      <c r="A4475" s="1" t="str">
        <f>"4601992018461"</f>
        <v>4601992018461</v>
      </c>
      <c r="B4475" s="1" t="s">
        <v>4498</v>
      </c>
      <c r="C4475" s="1" t="s">
        <v>24</v>
      </c>
      <c r="D4475" s="1" t="str">
        <f t="shared" si="8481"/>
        <v>2021</v>
      </c>
      <c r="E4475" s="1" t="str">
        <f>"12.09"</f>
        <v>12.09</v>
      </c>
      <c r="F4475" s="1" t="str">
        <f t="shared" ref="F4475:I4475" si="8590">"0"</f>
        <v>0</v>
      </c>
      <c r="G4475" s="1" t="str">
        <f t="shared" si="8590"/>
        <v>0</v>
      </c>
      <c r="H4475" s="1" t="str">
        <f t="shared" si="8590"/>
        <v>0</v>
      </c>
      <c r="I4475" s="1" t="str">
        <f t="shared" si="8590"/>
        <v>0</v>
      </c>
      <c r="J4475" s="1" t="str">
        <f>"1"</f>
        <v>1</v>
      </c>
      <c r="K4475" s="1" t="str">
        <f t="shared" ref="K4475:P4475" si="8591">"0"</f>
        <v>0</v>
      </c>
      <c r="L4475" s="1" t="str">
        <f t="shared" si="8591"/>
        <v>0</v>
      </c>
      <c r="M4475" s="1" t="str">
        <f t="shared" si="8591"/>
        <v>0</v>
      </c>
      <c r="N4475" s="1" t="str">
        <f t="shared" si="8591"/>
        <v>0</v>
      </c>
      <c r="O4475" s="1" t="str">
        <f t="shared" si="8591"/>
        <v>0</v>
      </c>
      <c r="P4475" s="1" t="str">
        <f t="shared" si="8591"/>
        <v>0</v>
      </c>
      <c r="Q4475" s="1" t="str">
        <f t="shared" si="8483"/>
        <v>0.0070</v>
      </c>
      <c r="R4475" s="1" t="s">
        <v>25</v>
      </c>
      <c r="T4475" s="1" t="str">
        <f t="shared" si="8484"/>
        <v>0</v>
      </c>
      <c r="U4475" s="1" t="str">
        <f t="shared" ref="U4475:U4478" si="8592">"0.0070"</f>
        <v>0.0070</v>
      </c>
    </row>
    <row r="4476" s="1" customFormat="1" spans="1:21">
      <c r="A4476" s="1" t="str">
        <f>"4601992115413"</f>
        <v>4601992115413</v>
      </c>
      <c r="B4476" s="1" t="s">
        <v>4499</v>
      </c>
      <c r="C4476" s="1" t="s">
        <v>24</v>
      </c>
      <c r="D4476" s="1" t="str">
        <f t="shared" si="8481"/>
        <v>2021</v>
      </c>
      <c r="E4476" s="1" t="str">
        <f>"35.94"</f>
        <v>35.94</v>
      </c>
      <c r="F4476" s="1" t="str">
        <f t="shared" ref="F4476:I4476" si="8593">"0"</f>
        <v>0</v>
      </c>
      <c r="G4476" s="1" t="str">
        <f t="shared" si="8593"/>
        <v>0</v>
      </c>
      <c r="H4476" s="1" t="str">
        <f t="shared" si="8593"/>
        <v>0</v>
      </c>
      <c r="I4476" s="1" t="str">
        <f t="shared" si="8593"/>
        <v>0</v>
      </c>
      <c r="J4476" s="1" t="str">
        <f>"2"</f>
        <v>2</v>
      </c>
      <c r="K4476" s="1" t="str">
        <f t="shared" ref="K4476:P4476" si="8594">"0"</f>
        <v>0</v>
      </c>
      <c r="L4476" s="1" t="str">
        <f t="shared" si="8594"/>
        <v>0</v>
      </c>
      <c r="M4476" s="1" t="str">
        <f t="shared" si="8594"/>
        <v>0</v>
      </c>
      <c r="N4476" s="1" t="str">
        <f t="shared" si="8594"/>
        <v>0</v>
      </c>
      <c r="O4476" s="1" t="str">
        <f t="shared" si="8594"/>
        <v>0</v>
      </c>
      <c r="P4476" s="1" t="str">
        <f t="shared" si="8594"/>
        <v>0</v>
      </c>
      <c r="Q4476" s="1" t="str">
        <f t="shared" si="8483"/>
        <v>0.0070</v>
      </c>
      <c r="R4476" s="1" t="s">
        <v>29</v>
      </c>
      <c r="S4476" s="1">
        <v>-0.0014</v>
      </c>
      <c r="T4476" s="1" t="str">
        <f t="shared" si="8484"/>
        <v>0</v>
      </c>
      <c r="U4476" s="1" t="str">
        <f>"0.0056"</f>
        <v>0.0056</v>
      </c>
    </row>
    <row r="4477" s="1" customFormat="1" spans="1:21">
      <c r="A4477" s="1" t="str">
        <f>"4601992115457"</f>
        <v>4601992115457</v>
      </c>
      <c r="B4477" s="1" t="s">
        <v>4500</v>
      </c>
      <c r="C4477" s="1" t="s">
        <v>24</v>
      </c>
      <c r="D4477" s="1" t="str">
        <f t="shared" si="8481"/>
        <v>2021</v>
      </c>
      <c r="E4477" s="1" t="str">
        <f t="shared" ref="E4477:P4477" si="8595">"0"</f>
        <v>0</v>
      </c>
      <c r="F4477" s="1" t="str">
        <f t="shared" si="8595"/>
        <v>0</v>
      </c>
      <c r="G4477" s="1" t="str">
        <f t="shared" si="8595"/>
        <v>0</v>
      </c>
      <c r="H4477" s="1" t="str">
        <f t="shared" si="8595"/>
        <v>0</v>
      </c>
      <c r="I4477" s="1" t="str">
        <f t="shared" si="8595"/>
        <v>0</v>
      </c>
      <c r="J4477" s="1" t="str">
        <f t="shared" si="8595"/>
        <v>0</v>
      </c>
      <c r="K4477" s="1" t="str">
        <f t="shared" si="8595"/>
        <v>0</v>
      </c>
      <c r="L4477" s="1" t="str">
        <f t="shared" si="8595"/>
        <v>0</v>
      </c>
      <c r="M4477" s="1" t="str">
        <f t="shared" si="8595"/>
        <v>0</v>
      </c>
      <c r="N4477" s="1" t="str">
        <f t="shared" si="8595"/>
        <v>0</v>
      </c>
      <c r="O4477" s="1" t="str">
        <f t="shared" si="8595"/>
        <v>0</v>
      </c>
      <c r="P4477" s="1" t="str">
        <f t="shared" si="8595"/>
        <v>0</v>
      </c>
      <c r="Q4477" s="1" t="str">
        <f t="shared" si="8483"/>
        <v>0.0070</v>
      </c>
      <c r="R4477" s="1" t="s">
        <v>25</v>
      </c>
      <c r="T4477" s="1" t="str">
        <f t="shared" si="8484"/>
        <v>0</v>
      </c>
      <c r="U4477" s="1" t="str">
        <f t="shared" si="8592"/>
        <v>0.0070</v>
      </c>
    </row>
    <row r="4478" s="1" customFormat="1" spans="1:21">
      <c r="A4478" s="1" t="str">
        <f>"4601992115451"</f>
        <v>4601992115451</v>
      </c>
      <c r="B4478" s="1" t="s">
        <v>4501</v>
      </c>
      <c r="C4478" s="1" t="s">
        <v>24</v>
      </c>
      <c r="D4478" s="1" t="str">
        <f t="shared" si="8481"/>
        <v>2021</v>
      </c>
      <c r="E4478" s="1" t="str">
        <f t="shared" ref="E4478:P4478" si="8596">"0"</f>
        <v>0</v>
      </c>
      <c r="F4478" s="1" t="str">
        <f t="shared" si="8596"/>
        <v>0</v>
      </c>
      <c r="G4478" s="1" t="str">
        <f t="shared" si="8596"/>
        <v>0</v>
      </c>
      <c r="H4478" s="1" t="str">
        <f t="shared" si="8596"/>
        <v>0</v>
      </c>
      <c r="I4478" s="1" t="str">
        <f t="shared" si="8596"/>
        <v>0</v>
      </c>
      <c r="J4478" s="1" t="str">
        <f t="shared" si="8596"/>
        <v>0</v>
      </c>
      <c r="K4478" s="1" t="str">
        <f t="shared" si="8596"/>
        <v>0</v>
      </c>
      <c r="L4478" s="1" t="str">
        <f t="shared" si="8596"/>
        <v>0</v>
      </c>
      <c r="M4478" s="1" t="str">
        <f t="shared" si="8596"/>
        <v>0</v>
      </c>
      <c r="N4478" s="1" t="str">
        <f t="shared" si="8596"/>
        <v>0</v>
      </c>
      <c r="O4478" s="1" t="str">
        <f t="shared" si="8596"/>
        <v>0</v>
      </c>
      <c r="P4478" s="1" t="str">
        <f t="shared" si="8596"/>
        <v>0</v>
      </c>
      <c r="Q4478" s="1" t="str">
        <f t="shared" si="8483"/>
        <v>0.0070</v>
      </c>
      <c r="R4478" s="1" t="s">
        <v>25</v>
      </c>
      <c r="T4478" s="1" t="str">
        <f t="shared" si="8484"/>
        <v>0</v>
      </c>
      <c r="U4478" s="1" t="str">
        <f t="shared" si="8592"/>
        <v>0.0070</v>
      </c>
    </row>
    <row r="4479" s="1" customFormat="1" spans="1:21">
      <c r="A4479" s="1" t="str">
        <f>"4601992115418"</f>
        <v>4601992115418</v>
      </c>
      <c r="B4479" s="1" t="s">
        <v>4502</v>
      </c>
      <c r="C4479" s="1" t="s">
        <v>24</v>
      </c>
      <c r="D4479" s="1" t="str">
        <f t="shared" si="8481"/>
        <v>2021</v>
      </c>
      <c r="E4479" s="1" t="str">
        <f>"83.97"</f>
        <v>83.97</v>
      </c>
      <c r="F4479" s="1" t="str">
        <f>"101148.82"</f>
        <v>101148.82</v>
      </c>
      <c r="G4479" s="1" t="str">
        <f t="shared" ref="G4479:L4479" si="8597">"0"</f>
        <v>0</v>
      </c>
      <c r="H4479" s="1" t="str">
        <f t="shared" si="8597"/>
        <v>0</v>
      </c>
      <c r="I4479" s="1" t="str">
        <f>"1204.5828"</f>
        <v>1204.5828</v>
      </c>
      <c r="J4479" s="1" t="str">
        <f>"7"</f>
        <v>7</v>
      </c>
      <c r="K4479" s="1" t="str">
        <f>"2"</f>
        <v>2</v>
      </c>
      <c r="L4479" s="1" t="str">
        <f t="shared" si="8597"/>
        <v>0</v>
      </c>
      <c r="M4479" s="1" t="str">
        <f>"0.2857"</f>
        <v>0.2857</v>
      </c>
      <c r="N4479" s="1" t="str">
        <f t="shared" ref="N4479:P4479" si="8598">"0"</f>
        <v>0</v>
      </c>
      <c r="O4479" s="1" t="str">
        <f t="shared" si="8598"/>
        <v>0</v>
      </c>
      <c r="P4479" s="1" t="str">
        <f t="shared" si="8598"/>
        <v>0</v>
      </c>
      <c r="Q4479" s="1" t="str">
        <f t="shared" si="8483"/>
        <v>0.0070</v>
      </c>
      <c r="R4479" s="1" t="s">
        <v>69</v>
      </c>
      <c r="S4479" s="1" t="str">
        <f>"0.0014"</f>
        <v>0.0014</v>
      </c>
      <c r="T4479" s="1" t="str">
        <f t="shared" si="8484"/>
        <v>0</v>
      </c>
      <c r="U4479" s="1" t="str">
        <f>"0.0084"</f>
        <v>0.0084</v>
      </c>
    </row>
    <row r="4480" s="1" customFormat="1" spans="1:21">
      <c r="A4480" s="1" t="str">
        <f>"4601992115486"</f>
        <v>4601992115486</v>
      </c>
      <c r="B4480" s="1" t="s">
        <v>4503</v>
      </c>
      <c r="C4480" s="1" t="s">
        <v>24</v>
      </c>
      <c r="D4480" s="1" t="str">
        <f t="shared" si="8481"/>
        <v>2021</v>
      </c>
      <c r="E4480" s="1" t="str">
        <f t="shared" ref="E4480:P4480" si="8599">"0"</f>
        <v>0</v>
      </c>
      <c r="F4480" s="1" t="str">
        <f t="shared" si="8599"/>
        <v>0</v>
      </c>
      <c r="G4480" s="1" t="str">
        <f t="shared" si="8599"/>
        <v>0</v>
      </c>
      <c r="H4480" s="1" t="str">
        <f t="shared" si="8599"/>
        <v>0</v>
      </c>
      <c r="I4480" s="1" t="str">
        <f t="shared" si="8599"/>
        <v>0</v>
      </c>
      <c r="J4480" s="1" t="str">
        <f t="shared" si="8599"/>
        <v>0</v>
      </c>
      <c r="K4480" s="1" t="str">
        <f t="shared" si="8599"/>
        <v>0</v>
      </c>
      <c r="L4480" s="1" t="str">
        <f t="shared" si="8599"/>
        <v>0</v>
      </c>
      <c r="M4480" s="1" t="str">
        <f t="shared" si="8599"/>
        <v>0</v>
      </c>
      <c r="N4480" s="1" t="str">
        <f t="shared" si="8599"/>
        <v>0</v>
      </c>
      <c r="O4480" s="1" t="str">
        <f t="shared" si="8599"/>
        <v>0</v>
      </c>
      <c r="P4480" s="1" t="str">
        <f t="shared" si="8599"/>
        <v>0</v>
      </c>
      <c r="Q4480" s="1" t="str">
        <f t="shared" si="8483"/>
        <v>0.0070</v>
      </c>
      <c r="R4480" s="1" t="s">
        <v>25</v>
      </c>
      <c r="T4480" s="1" t="str">
        <f t="shared" si="8484"/>
        <v>0</v>
      </c>
      <c r="U4480" s="1" t="str">
        <f t="shared" ref="U4480:U4484" si="8600">"0.0070"</f>
        <v>0.0070</v>
      </c>
    </row>
    <row r="4481" s="1" customFormat="1" spans="1:21">
      <c r="A4481" s="1" t="str">
        <f>"4601992115477"</f>
        <v>4601992115477</v>
      </c>
      <c r="B4481" s="1" t="s">
        <v>4504</v>
      </c>
      <c r="C4481" s="1" t="s">
        <v>24</v>
      </c>
      <c r="D4481" s="1" t="str">
        <f t="shared" si="8481"/>
        <v>2021</v>
      </c>
      <c r="E4481" s="1" t="str">
        <f>"11.98"</f>
        <v>11.98</v>
      </c>
      <c r="F4481" s="1" t="str">
        <f t="shared" ref="F4481:I4481" si="8601">"0"</f>
        <v>0</v>
      </c>
      <c r="G4481" s="1" t="str">
        <f t="shared" si="8601"/>
        <v>0</v>
      </c>
      <c r="H4481" s="1" t="str">
        <f t="shared" si="8601"/>
        <v>0</v>
      </c>
      <c r="I4481" s="1" t="str">
        <f t="shared" si="8601"/>
        <v>0</v>
      </c>
      <c r="J4481" s="1" t="str">
        <f t="shared" ref="J4481:J4485" si="8602">"1"</f>
        <v>1</v>
      </c>
      <c r="K4481" s="1" t="str">
        <f t="shared" ref="K4481:P4481" si="8603">"0"</f>
        <v>0</v>
      </c>
      <c r="L4481" s="1" t="str">
        <f t="shared" si="8603"/>
        <v>0</v>
      </c>
      <c r="M4481" s="1" t="str">
        <f t="shared" si="8603"/>
        <v>0</v>
      </c>
      <c r="N4481" s="1" t="str">
        <f t="shared" si="8603"/>
        <v>0</v>
      </c>
      <c r="O4481" s="1" t="str">
        <f t="shared" si="8603"/>
        <v>0</v>
      </c>
      <c r="P4481" s="1" t="str">
        <f t="shared" si="8603"/>
        <v>0</v>
      </c>
      <c r="Q4481" s="1" t="str">
        <f t="shared" si="8483"/>
        <v>0.0070</v>
      </c>
      <c r="R4481" s="1" t="s">
        <v>29</v>
      </c>
      <c r="S4481" s="1">
        <v>-0.0014</v>
      </c>
      <c r="T4481" s="1" t="str">
        <f t="shared" si="8484"/>
        <v>0</v>
      </c>
      <c r="U4481" s="1" t="str">
        <f t="shared" ref="U4481:U4485" si="8604">"0.0056"</f>
        <v>0.0056</v>
      </c>
    </row>
    <row r="4482" s="1" customFormat="1" spans="1:21">
      <c r="A4482" s="1" t="str">
        <f>"4601992115485"</f>
        <v>4601992115485</v>
      </c>
      <c r="B4482" s="1" t="s">
        <v>4505</v>
      </c>
      <c r="C4482" s="1" t="s">
        <v>24</v>
      </c>
      <c r="D4482" s="1" t="str">
        <f t="shared" si="8481"/>
        <v>2021</v>
      </c>
      <c r="E4482" s="1" t="str">
        <f>"126.00"</f>
        <v>126.00</v>
      </c>
      <c r="F4482" s="1" t="str">
        <f t="shared" ref="F4482:I4482" si="8605">"0"</f>
        <v>0</v>
      </c>
      <c r="G4482" s="1" t="str">
        <f t="shared" si="8605"/>
        <v>0</v>
      </c>
      <c r="H4482" s="1" t="str">
        <f t="shared" si="8605"/>
        <v>0</v>
      </c>
      <c r="I4482" s="1" t="str">
        <f t="shared" si="8605"/>
        <v>0</v>
      </c>
      <c r="J4482" s="1" t="str">
        <f>"9"</f>
        <v>9</v>
      </c>
      <c r="K4482" s="1" t="str">
        <f t="shared" ref="K4482:P4482" si="8606">"0"</f>
        <v>0</v>
      </c>
      <c r="L4482" s="1" t="str">
        <f t="shared" si="8606"/>
        <v>0</v>
      </c>
      <c r="M4482" s="1" t="str">
        <f t="shared" si="8606"/>
        <v>0</v>
      </c>
      <c r="N4482" s="1" t="str">
        <f t="shared" si="8606"/>
        <v>0</v>
      </c>
      <c r="O4482" s="1" t="str">
        <f t="shared" si="8606"/>
        <v>0</v>
      </c>
      <c r="P4482" s="1" t="str">
        <f t="shared" si="8606"/>
        <v>0</v>
      </c>
      <c r="Q4482" s="1" t="str">
        <f t="shared" si="8483"/>
        <v>0.0070</v>
      </c>
      <c r="R4482" s="1" t="s">
        <v>29</v>
      </c>
      <c r="S4482" s="1">
        <v>-0.0014</v>
      </c>
      <c r="T4482" s="1" t="str">
        <f t="shared" si="8484"/>
        <v>0</v>
      </c>
      <c r="U4482" s="1" t="str">
        <f t="shared" si="8604"/>
        <v>0.0056</v>
      </c>
    </row>
    <row r="4483" s="1" customFormat="1" spans="1:21">
      <c r="A4483" s="1" t="str">
        <f>"4601992115547"</f>
        <v>4601992115547</v>
      </c>
      <c r="B4483" s="1" t="s">
        <v>4506</v>
      </c>
      <c r="C4483" s="1" t="s">
        <v>24</v>
      </c>
      <c r="D4483" s="1" t="str">
        <f t="shared" ref="D4483:D4546" si="8607">"2021"</f>
        <v>2021</v>
      </c>
      <c r="E4483" s="1" t="str">
        <f t="shared" ref="E4483:G4483" si="8608">"0"</f>
        <v>0</v>
      </c>
      <c r="F4483" s="1" t="str">
        <f t="shared" si="8608"/>
        <v>0</v>
      </c>
      <c r="G4483" s="1" t="str">
        <f t="shared" si="8608"/>
        <v>0</v>
      </c>
      <c r="H4483" s="1" t="str">
        <f>"17.50"</f>
        <v>17.50</v>
      </c>
      <c r="I4483" s="1" t="str">
        <f t="shared" ref="I4483:P4483" si="8609">"0"</f>
        <v>0</v>
      </c>
      <c r="J4483" s="1" t="str">
        <f t="shared" si="8602"/>
        <v>1</v>
      </c>
      <c r="K4483" s="1" t="str">
        <f t="shared" si="8609"/>
        <v>0</v>
      </c>
      <c r="L4483" s="1" t="str">
        <f t="shared" si="8609"/>
        <v>0</v>
      </c>
      <c r="M4483" s="1" t="str">
        <f t="shared" si="8609"/>
        <v>0</v>
      </c>
      <c r="N4483" s="1" t="str">
        <f t="shared" si="8609"/>
        <v>0</v>
      </c>
      <c r="O4483" s="1" t="str">
        <f t="shared" si="8609"/>
        <v>0</v>
      </c>
      <c r="P4483" s="1" t="str">
        <f t="shared" si="8609"/>
        <v>0</v>
      </c>
      <c r="Q4483" s="1" t="str">
        <f t="shared" ref="Q4483:Q4546" si="8610">"0.0070"</f>
        <v>0.0070</v>
      </c>
      <c r="R4483" s="1" t="s">
        <v>25</v>
      </c>
      <c r="T4483" s="1" t="str">
        <f t="shared" ref="T4483:T4546" si="8611">"0"</f>
        <v>0</v>
      </c>
      <c r="U4483" s="1" t="str">
        <f t="shared" si="8600"/>
        <v>0.0070</v>
      </c>
    </row>
    <row r="4484" s="1" customFormat="1" spans="1:21">
      <c r="A4484" s="1" t="str">
        <f>"4601992115695"</f>
        <v>4601992115695</v>
      </c>
      <c r="B4484" s="1" t="s">
        <v>4507</v>
      </c>
      <c r="C4484" s="1" t="s">
        <v>24</v>
      </c>
      <c r="D4484" s="1" t="str">
        <f t="shared" si="8607"/>
        <v>2021</v>
      </c>
      <c r="E4484" s="1" t="str">
        <f t="shared" ref="E4484:P4484" si="8612">"0"</f>
        <v>0</v>
      </c>
      <c r="F4484" s="1" t="str">
        <f t="shared" si="8612"/>
        <v>0</v>
      </c>
      <c r="G4484" s="1" t="str">
        <f t="shared" si="8612"/>
        <v>0</v>
      </c>
      <c r="H4484" s="1" t="str">
        <f t="shared" si="8612"/>
        <v>0</v>
      </c>
      <c r="I4484" s="1" t="str">
        <f t="shared" si="8612"/>
        <v>0</v>
      </c>
      <c r="J4484" s="1" t="str">
        <f t="shared" si="8612"/>
        <v>0</v>
      </c>
      <c r="K4484" s="1" t="str">
        <f t="shared" si="8612"/>
        <v>0</v>
      </c>
      <c r="L4484" s="1" t="str">
        <f t="shared" si="8612"/>
        <v>0</v>
      </c>
      <c r="M4484" s="1" t="str">
        <f t="shared" si="8612"/>
        <v>0</v>
      </c>
      <c r="N4484" s="1" t="str">
        <f t="shared" si="8612"/>
        <v>0</v>
      </c>
      <c r="O4484" s="1" t="str">
        <f t="shared" si="8612"/>
        <v>0</v>
      </c>
      <c r="P4484" s="1" t="str">
        <f t="shared" si="8612"/>
        <v>0</v>
      </c>
      <c r="Q4484" s="1" t="str">
        <f t="shared" si="8610"/>
        <v>0.0070</v>
      </c>
      <c r="R4484" s="1" t="s">
        <v>25</v>
      </c>
      <c r="T4484" s="1" t="str">
        <f t="shared" si="8611"/>
        <v>0</v>
      </c>
      <c r="U4484" s="1" t="str">
        <f t="shared" si="8600"/>
        <v>0.0070</v>
      </c>
    </row>
    <row r="4485" s="1" customFormat="1" spans="1:21">
      <c r="A4485" s="1" t="str">
        <f>"4601992115557"</f>
        <v>4601992115557</v>
      </c>
      <c r="B4485" s="1" t="s">
        <v>4508</v>
      </c>
      <c r="C4485" s="1" t="s">
        <v>24</v>
      </c>
      <c r="D4485" s="1" t="str">
        <f t="shared" si="8607"/>
        <v>2021</v>
      </c>
      <c r="E4485" s="1" t="str">
        <f>"12.25"</f>
        <v>12.25</v>
      </c>
      <c r="F4485" s="1" t="str">
        <f t="shared" ref="F4485:I4485" si="8613">"0"</f>
        <v>0</v>
      </c>
      <c r="G4485" s="1" t="str">
        <f t="shared" si="8613"/>
        <v>0</v>
      </c>
      <c r="H4485" s="1" t="str">
        <f t="shared" si="8613"/>
        <v>0</v>
      </c>
      <c r="I4485" s="1" t="str">
        <f t="shared" si="8613"/>
        <v>0</v>
      </c>
      <c r="J4485" s="1" t="str">
        <f t="shared" si="8602"/>
        <v>1</v>
      </c>
      <c r="K4485" s="1" t="str">
        <f t="shared" ref="K4485:P4485" si="8614">"0"</f>
        <v>0</v>
      </c>
      <c r="L4485" s="1" t="str">
        <f t="shared" si="8614"/>
        <v>0</v>
      </c>
      <c r="M4485" s="1" t="str">
        <f t="shared" si="8614"/>
        <v>0</v>
      </c>
      <c r="N4485" s="1" t="str">
        <f t="shared" si="8614"/>
        <v>0</v>
      </c>
      <c r="O4485" s="1" t="str">
        <f t="shared" si="8614"/>
        <v>0</v>
      </c>
      <c r="P4485" s="1" t="str">
        <f t="shared" si="8614"/>
        <v>0</v>
      </c>
      <c r="Q4485" s="1" t="str">
        <f t="shared" si="8610"/>
        <v>0.0070</v>
      </c>
      <c r="R4485" s="1" t="s">
        <v>29</v>
      </c>
      <c r="S4485" s="1">
        <v>-0.0014</v>
      </c>
      <c r="T4485" s="1" t="str">
        <f t="shared" si="8611"/>
        <v>0</v>
      </c>
      <c r="U4485" s="1" t="str">
        <f t="shared" si="8604"/>
        <v>0.0056</v>
      </c>
    </row>
    <row r="4486" s="1" customFormat="1" spans="1:21">
      <c r="A4486" s="1" t="str">
        <f>"4601992115709"</f>
        <v>4601992115709</v>
      </c>
      <c r="B4486" s="1" t="s">
        <v>4509</v>
      </c>
      <c r="C4486" s="1" t="s">
        <v>24</v>
      </c>
      <c r="D4486" s="1" t="str">
        <f t="shared" si="8607"/>
        <v>2021</v>
      </c>
      <c r="E4486" s="1" t="str">
        <f t="shared" ref="E4486:P4486" si="8615">"0"</f>
        <v>0</v>
      </c>
      <c r="F4486" s="1" t="str">
        <f t="shared" si="8615"/>
        <v>0</v>
      </c>
      <c r="G4486" s="1" t="str">
        <f t="shared" si="8615"/>
        <v>0</v>
      </c>
      <c r="H4486" s="1" t="str">
        <f t="shared" si="8615"/>
        <v>0</v>
      </c>
      <c r="I4486" s="1" t="str">
        <f t="shared" si="8615"/>
        <v>0</v>
      </c>
      <c r="J4486" s="1" t="str">
        <f t="shared" si="8615"/>
        <v>0</v>
      </c>
      <c r="K4486" s="1" t="str">
        <f t="shared" si="8615"/>
        <v>0</v>
      </c>
      <c r="L4486" s="1" t="str">
        <f t="shared" si="8615"/>
        <v>0</v>
      </c>
      <c r="M4486" s="1" t="str">
        <f t="shared" si="8615"/>
        <v>0</v>
      </c>
      <c r="N4486" s="1" t="str">
        <f t="shared" si="8615"/>
        <v>0</v>
      </c>
      <c r="O4486" s="1" t="str">
        <f t="shared" si="8615"/>
        <v>0</v>
      </c>
      <c r="P4486" s="1" t="str">
        <f t="shared" si="8615"/>
        <v>0</v>
      </c>
      <c r="Q4486" s="1" t="str">
        <f t="shared" si="8610"/>
        <v>0.0070</v>
      </c>
      <c r="R4486" s="1" t="s">
        <v>25</v>
      </c>
      <c r="T4486" s="1" t="str">
        <f t="shared" si="8611"/>
        <v>0</v>
      </c>
      <c r="U4486" s="1" t="str">
        <f t="shared" ref="U4486:U4489" si="8616">"0.0070"</f>
        <v>0.0070</v>
      </c>
    </row>
    <row r="4487" s="1" customFormat="1" spans="1:21">
      <c r="A4487" s="1" t="str">
        <f>"4601992115598"</f>
        <v>4601992115598</v>
      </c>
      <c r="B4487" s="1" t="s">
        <v>4510</v>
      </c>
      <c r="C4487" s="1" t="s">
        <v>24</v>
      </c>
      <c r="D4487" s="1" t="str">
        <f t="shared" si="8607"/>
        <v>2021</v>
      </c>
      <c r="E4487" s="1" t="str">
        <f>"23.96"</f>
        <v>23.96</v>
      </c>
      <c r="F4487" s="1" t="str">
        <f t="shared" ref="F4487:I4487" si="8617">"0"</f>
        <v>0</v>
      </c>
      <c r="G4487" s="1" t="str">
        <f t="shared" si="8617"/>
        <v>0</v>
      </c>
      <c r="H4487" s="1" t="str">
        <f t="shared" si="8617"/>
        <v>0</v>
      </c>
      <c r="I4487" s="1" t="str">
        <f t="shared" si="8617"/>
        <v>0</v>
      </c>
      <c r="J4487" s="1" t="str">
        <f>"2"</f>
        <v>2</v>
      </c>
      <c r="K4487" s="1" t="str">
        <f t="shared" ref="K4487:P4487" si="8618">"0"</f>
        <v>0</v>
      </c>
      <c r="L4487" s="1" t="str">
        <f t="shared" si="8618"/>
        <v>0</v>
      </c>
      <c r="M4487" s="1" t="str">
        <f t="shared" si="8618"/>
        <v>0</v>
      </c>
      <c r="N4487" s="1" t="str">
        <f t="shared" si="8618"/>
        <v>0</v>
      </c>
      <c r="O4487" s="1" t="str">
        <f t="shared" si="8618"/>
        <v>0</v>
      </c>
      <c r="P4487" s="1" t="str">
        <f t="shared" si="8618"/>
        <v>0</v>
      </c>
      <c r="Q4487" s="1" t="str">
        <f t="shared" si="8610"/>
        <v>0.0070</v>
      </c>
      <c r="R4487" s="1" t="s">
        <v>29</v>
      </c>
      <c r="S4487" s="1">
        <v>-0.0014</v>
      </c>
      <c r="T4487" s="1" t="str">
        <f t="shared" si="8611"/>
        <v>0</v>
      </c>
      <c r="U4487" s="1" t="str">
        <f t="shared" ref="U4487:U4492" si="8619">"0.0056"</f>
        <v>0.0056</v>
      </c>
    </row>
    <row r="4488" s="1" customFormat="1" spans="1:21">
      <c r="A4488" s="1" t="str">
        <f>"4601992115741"</f>
        <v>4601992115741</v>
      </c>
      <c r="B4488" s="1" t="s">
        <v>4511</v>
      </c>
      <c r="C4488" s="1" t="s">
        <v>24</v>
      </c>
      <c r="D4488" s="1" t="str">
        <f t="shared" si="8607"/>
        <v>2021</v>
      </c>
      <c r="E4488" s="1" t="str">
        <f t="shared" ref="E4488:P4488" si="8620">"0"</f>
        <v>0</v>
      </c>
      <c r="F4488" s="1" t="str">
        <f t="shared" si="8620"/>
        <v>0</v>
      </c>
      <c r="G4488" s="1" t="str">
        <f t="shared" si="8620"/>
        <v>0</v>
      </c>
      <c r="H4488" s="1" t="str">
        <f t="shared" si="8620"/>
        <v>0</v>
      </c>
      <c r="I4488" s="1" t="str">
        <f t="shared" si="8620"/>
        <v>0</v>
      </c>
      <c r="J4488" s="1" t="str">
        <f t="shared" si="8620"/>
        <v>0</v>
      </c>
      <c r="K4488" s="1" t="str">
        <f t="shared" si="8620"/>
        <v>0</v>
      </c>
      <c r="L4488" s="1" t="str">
        <f t="shared" si="8620"/>
        <v>0</v>
      </c>
      <c r="M4488" s="1" t="str">
        <f t="shared" si="8620"/>
        <v>0</v>
      </c>
      <c r="N4488" s="1" t="str">
        <f t="shared" si="8620"/>
        <v>0</v>
      </c>
      <c r="O4488" s="1" t="str">
        <f t="shared" si="8620"/>
        <v>0</v>
      </c>
      <c r="P4488" s="1" t="str">
        <f t="shared" si="8620"/>
        <v>0</v>
      </c>
      <c r="Q4488" s="1" t="str">
        <f t="shared" si="8610"/>
        <v>0.0070</v>
      </c>
      <c r="R4488" s="1" t="s">
        <v>25</v>
      </c>
      <c r="T4488" s="1" t="str">
        <f t="shared" si="8611"/>
        <v>0</v>
      </c>
      <c r="U4488" s="1" t="str">
        <f t="shared" si="8616"/>
        <v>0.0070</v>
      </c>
    </row>
    <row r="4489" s="1" customFormat="1" spans="1:21">
      <c r="A4489" s="1" t="str">
        <f>"4601992115994"</f>
        <v>4601992115994</v>
      </c>
      <c r="B4489" s="1" t="s">
        <v>4512</v>
      </c>
      <c r="C4489" s="1" t="s">
        <v>24</v>
      </c>
      <c r="D4489" s="1" t="str">
        <f t="shared" si="8607"/>
        <v>2021</v>
      </c>
      <c r="E4489" s="1" t="str">
        <f t="shared" ref="E4489:I4489" si="8621">"0"</f>
        <v>0</v>
      </c>
      <c r="F4489" s="1" t="str">
        <f t="shared" si="8621"/>
        <v>0</v>
      </c>
      <c r="G4489" s="1" t="str">
        <f t="shared" si="8621"/>
        <v>0</v>
      </c>
      <c r="H4489" s="1" t="str">
        <f t="shared" si="8621"/>
        <v>0</v>
      </c>
      <c r="I4489" s="1" t="str">
        <f t="shared" si="8621"/>
        <v>0</v>
      </c>
      <c r="J4489" s="1" t="str">
        <f>"3"</f>
        <v>3</v>
      </c>
      <c r="K4489" s="1" t="str">
        <f t="shared" ref="K4489:P4489" si="8622">"0"</f>
        <v>0</v>
      </c>
      <c r="L4489" s="1" t="str">
        <f t="shared" si="8622"/>
        <v>0</v>
      </c>
      <c r="M4489" s="1" t="str">
        <f t="shared" si="8622"/>
        <v>0</v>
      </c>
      <c r="N4489" s="1" t="str">
        <f t="shared" si="8622"/>
        <v>0</v>
      </c>
      <c r="O4489" s="1" t="str">
        <f t="shared" si="8622"/>
        <v>0</v>
      </c>
      <c r="P4489" s="1" t="str">
        <f t="shared" si="8622"/>
        <v>0</v>
      </c>
      <c r="Q4489" s="1" t="str">
        <f t="shared" si="8610"/>
        <v>0.0070</v>
      </c>
      <c r="R4489" s="1" t="s">
        <v>25</v>
      </c>
      <c r="T4489" s="1" t="str">
        <f t="shared" si="8611"/>
        <v>0</v>
      </c>
      <c r="U4489" s="1" t="str">
        <f t="shared" si="8616"/>
        <v>0.0070</v>
      </c>
    </row>
    <row r="4490" s="1" customFormat="1" spans="1:21">
      <c r="A4490" s="1" t="str">
        <f>"4601992116104"</f>
        <v>4601992116104</v>
      </c>
      <c r="B4490" s="1" t="s">
        <v>4513</v>
      </c>
      <c r="C4490" s="1" t="s">
        <v>24</v>
      </c>
      <c r="D4490" s="1" t="str">
        <f t="shared" si="8607"/>
        <v>2021</v>
      </c>
      <c r="E4490" s="1" t="str">
        <f>"35.94"</f>
        <v>35.94</v>
      </c>
      <c r="F4490" s="1" t="str">
        <f t="shared" ref="F4490:I4490" si="8623">"0"</f>
        <v>0</v>
      </c>
      <c r="G4490" s="1" t="str">
        <f t="shared" si="8623"/>
        <v>0</v>
      </c>
      <c r="H4490" s="1" t="str">
        <f t="shared" si="8623"/>
        <v>0</v>
      </c>
      <c r="I4490" s="1" t="str">
        <f t="shared" si="8623"/>
        <v>0</v>
      </c>
      <c r="J4490" s="1" t="str">
        <f>"3"</f>
        <v>3</v>
      </c>
      <c r="K4490" s="1" t="str">
        <f t="shared" ref="K4490:P4490" si="8624">"0"</f>
        <v>0</v>
      </c>
      <c r="L4490" s="1" t="str">
        <f t="shared" si="8624"/>
        <v>0</v>
      </c>
      <c r="M4490" s="1" t="str">
        <f t="shared" si="8624"/>
        <v>0</v>
      </c>
      <c r="N4490" s="1" t="str">
        <f t="shared" si="8624"/>
        <v>0</v>
      </c>
      <c r="O4490" s="1" t="str">
        <f t="shared" si="8624"/>
        <v>0</v>
      </c>
      <c r="P4490" s="1" t="str">
        <f t="shared" si="8624"/>
        <v>0</v>
      </c>
      <c r="Q4490" s="1" t="str">
        <f t="shared" si="8610"/>
        <v>0.0070</v>
      </c>
      <c r="R4490" s="1" t="s">
        <v>29</v>
      </c>
      <c r="S4490" s="1">
        <v>-0.0014</v>
      </c>
      <c r="T4490" s="1" t="str">
        <f t="shared" si="8611"/>
        <v>0</v>
      </c>
      <c r="U4490" s="1" t="str">
        <f t="shared" si="8619"/>
        <v>0.0056</v>
      </c>
    </row>
    <row r="4491" s="1" customFormat="1" spans="1:21">
      <c r="A4491" s="1" t="str">
        <f>"4601992116141"</f>
        <v>4601992116141</v>
      </c>
      <c r="B4491" s="1" t="s">
        <v>4514</v>
      </c>
      <c r="C4491" s="1" t="s">
        <v>24</v>
      </c>
      <c r="D4491" s="1" t="str">
        <f t="shared" si="8607"/>
        <v>2021</v>
      </c>
      <c r="E4491" s="1" t="str">
        <f t="shared" ref="E4491:I4491" si="8625">"0"</f>
        <v>0</v>
      </c>
      <c r="F4491" s="1" t="str">
        <f t="shared" si="8625"/>
        <v>0</v>
      </c>
      <c r="G4491" s="1" t="str">
        <f t="shared" si="8625"/>
        <v>0</v>
      </c>
      <c r="H4491" s="1" t="str">
        <f t="shared" si="8625"/>
        <v>0</v>
      </c>
      <c r="I4491" s="1" t="str">
        <f t="shared" si="8625"/>
        <v>0</v>
      </c>
      <c r="J4491" s="1" t="str">
        <f>"1"</f>
        <v>1</v>
      </c>
      <c r="K4491" s="1" t="str">
        <f t="shared" ref="K4491:P4491" si="8626">"0"</f>
        <v>0</v>
      </c>
      <c r="L4491" s="1" t="str">
        <f t="shared" si="8626"/>
        <v>0</v>
      </c>
      <c r="M4491" s="1" t="str">
        <f t="shared" si="8626"/>
        <v>0</v>
      </c>
      <c r="N4491" s="1" t="str">
        <f t="shared" si="8626"/>
        <v>0</v>
      </c>
      <c r="O4491" s="1" t="str">
        <f t="shared" si="8626"/>
        <v>0</v>
      </c>
      <c r="P4491" s="1" t="str">
        <f t="shared" si="8626"/>
        <v>0</v>
      </c>
      <c r="Q4491" s="1" t="str">
        <f t="shared" si="8610"/>
        <v>0.0070</v>
      </c>
      <c r="R4491" s="1" t="s">
        <v>25</v>
      </c>
      <c r="T4491" s="1" t="str">
        <f t="shared" si="8611"/>
        <v>0</v>
      </c>
      <c r="U4491" s="1" t="str">
        <f>"0.0070"</f>
        <v>0.0070</v>
      </c>
    </row>
    <row r="4492" s="1" customFormat="1" spans="1:21">
      <c r="A4492" s="1" t="str">
        <f>"4601992116199"</f>
        <v>4601992116199</v>
      </c>
      <c r="B4492" s="1" t="s">
        <v>4515</v>
      </c>
      <c r="C4492" s="1" t="s">
        <v>24</v>
      </c>
      <c r="D4492" s="1" t="str">
        <f t="shared" si="8607"/>
        <v>2021</v>
      </c>
      <c r="E4492" s="1" t="str">
        <f>"24.18"</f>
        <v>24.18</v>
      </c>
      <c r="F4492" s="1" t="str">
        <f t="shared" ref="F4492:I4492" si="8627">"0"</f>
        <v>0</v>
      </c>
      <c r="G4492" s="1" t="str">
        <f t="shared" si="8627"/>
        <v>0</v>
      </c>
      <c r="H4492" s="1" t="str">
        <f t="shared" si="8627"/>
        <v>0</v>
      </c>
      <c r="I4492" s="1" t="str">
        <f t="shared" si="8627"/>
        <v>0</v>
      </c>
      <c r="J4492" s="1" t="str">
        <f>"2"</f>
        <v>2</v>
      </c>
      <c r="K4492" s="1" t="str">
        <f t="shared" ref="K4492:P4492" si="8628">"0"</f>
        <v>0</v>
      </c>
      <c r="L4492" s="1" t="str">
        <f t="shared" si="8628"/>
        <v>0</v>
      </c>
      <c r="M4492" s="1" t="str">
        <f t="shared" si="8628"/>
        <v>0</v>
      </c>
      <c r="N4492" s="1" t="str">
        <f t="shared" si="8628"/>
        <v>0</v>
      </c>
      <c r="O4492" s="1" t="str">
        <f t="shared" si="8628"/>
        <v>0</v>
      </c>
      <c r="P4492" s="1" t="str">
        <f t="shared" si="8628"/>
        <v>0</v>
      </c>
      <c r="Q4492" s="1" t="str">
        <f t="shared" si="8610"/>
        <v>0.0070</v>
      </c>
      <c r="R4492" s="1" t="s">
        <v>29</v>
      </c>
      <c r="S4492" s="1">
        <v>-0.0014</v>
      </c>
      <c r="T4492" s="1" t="str">
        <f t="shared" si="8611"/>
        <v>0</v>
      </c>
      <c r="U4492" s="1" t="str">
        <f t="shared" si="8619"/>
        <v>0.0056</v>
      </c>
    </row>
    <row r="4493" s="1" customFormat="1" spans="1:21">
      <c r="A4493" s="1" t="str">
        <f>"4601992116463"</f>
        <v>4601992116463</v>
      </c>
      <c r="B4493" s="1" t="s">
        <v>4516</v>
      </c>
      <c r="C4493" s="1" t="s">
        <v>24</v>
      </c>
      <c r="D4493" s="1" t="str">
        <f t="shared" si="8607"/>
        <v>2021</v>
      </c>
      <c r="E4493" s="1" t="str">
        <f t="shared" ref="E4493:P4493" si="8629">"0"</f>
        <v>0</v>
      </c>
      <c r="F4493" s="1" t="str">
        <f t="shared" si="8629"/>
        <v>0</v>
      </c>
      <c r="G4493" s="1" t="str">
        <f t="shared" si="8629"/>
        <v>0</v>
      </c>
      <c r="H4493" s="1" t="str">
        <f t="shared" si="8629"/>
        <v>0</v>
      </c>
      <c r="I4493" s="1" t="str">
        <f t="shared" si="8629"/>
        <v>0</v>
      </c>
      <c r="J4493" s="1" t="str">
        <f t="shared" si="8629"/>
        <v>0</v>
      </c>
      <c r="K4493" s="1" t="str">
        <f t="shared" si="8629"/>
        <v>0</v>
      </c>
      <c r="L4493" s="1" t="str">
        <f t="shared" si="8629"/>
        <v>0</v>
      </c>
      <c r="M4493" s="1" t="str">
        <f t="shared" si="8629"/>
        <v>0</v>
      </c>
      <c r="N4493" s="1" t="str">
        <f t="shared" si="8629"/>
        <v>0</v>
      </c>
      <c r="O4493" s="1" t="str">
        <f t="shared" si="8629"/>
        <v>0</v>
      </c>
      <c r="P4493" s="1" t="str">
        <f t="shared" si="8629"/>
        <v>0</v>
      </c>
      <c r="Q4493" s="1" t="str">
        <f t="shared" si="8610"/>
        <v>0.0070</v>
      </c>
      <c r="R4493" s="1" t="s">
        <v>25</v>
      </c>
      <c r="T4493" s="1" t="str">
        <f t="shared" si="8611"/>
        <v>0</v>
      </c>
      <c r="U4493" s="1" t="str">
        <f>"0.0070"</f>
        <v>0.0070</v>
      </c>
    </row>
    <row r="4494" s="1" customFormat="1" spans="1:21">
      <c r="A4494" s="1" t="str">
        <f>"4601992116237"</f>
        <v>4601992116237</v>
      </c>
      <c r="B4494" s="1" t="s">
        <v>4517</v>
      </c>
      <c r="C4494" s="1" t="s">
        <v>24</v>
      </c>
      <c r="D4494" s="1" t="str">
        <f t="shared" si="8607"/>
        <v>2021</v>
      </c>
      <c r="E4494" s="1" t="str">
        <f>"64.40"</f>
        <v>64.40</v>
      </c>
      <c r="F4494" s="1" t="str">
        <f t="shared" ref="F4494:I4494" si="8630">"0"</f>
        <v>0</v>
      </c>
      <c r="G4494" s="1" t="str">
        <f t="shared" si="8630"/>
        <v>0</v>
      </c>
      <c r="H4494" s="1" t="str">
        <f t="shared" si="8630"/>
        <v>0</v>
      </c>
      <c r="I4494" s="1" t="str">
        <f t="shared" si="8630"/>
        <v>0</v>
      </c>
      <c r="J4494" s="1" t="str">
        <f>"6"</f>
        <v>6</v>
      </c>
      <c r="K4494" s="1" t="str">
        <f t="shared" ref="K4494:P4494" si="8631">"0"</f>
        <v>0</v>
      </c>
      <c r="L4494" s="1" t="str">
        <f t="shared" si="8631"/>
        <v>0</v>
      </c>
      <c r="M4494" s="1" t="str">
        <f t="shared" si="8631"/>
        <v>0</v>
      </c>
      <c r="N4494" s="1" t="str">
        <f t="shared" si="8631"/>
        <v>0</v>
      </c>
      <c r="O4494" s="1" t="str">
        <f t="shared" si="8631"/>
        <v>0</v>
      </c>
      <c r="P4494" s="1" t="str">
        <f t="shared" si="8631"/>
        <v>0</v>
      </c>
      <c r="Q4494" s="1" t="str">
        <f t="shared" si="8610"/>
        <v>0.0070</v>
      </c>
      <c r="R4494" s="1" t="s">
        <v>29</v>
      </c>
      <c r="S4494" s="1">
        <v>-0.0014</v>
      </c>
      <c r="T4494" s="1" t="str">
        <f t="shared" si="8611"/>
        <v>0</v>
      </c>
      <c r="U4494" s="1" t="str">
        <f t="shared" ref="U4494:U4497" si="8632">"0.0056"</f>
        <v>0.0056</v>
      </c>
    </row>
    <row r="4495" s="1" customFormat="1" spans="1:21">
      <c r="A4495" s="1" t="str">
        <f>"4601992116570"</f>
        <v>4601992116570</v>
      </c>
      <c r="B4495" s="1" t="s">
        <v>4518</v>
      </c>
      <c r="C4495" s="1" t="s">
        <v>24</v>
      </c>
      <c r="D4495" s="1" t="str">
        <f t="shared" si="8607"/>
        <v>2021</v>
      </c>
      <c r="E4495" s="1" t="str">
        <f>"35.94"</f>
        <v>35.94</v>
      </c>
      <c r="F4495" s="1" t="str">
        <f t="shared" ref="F4495:I4495" si="8633">"0"</f>
        <v>0</v>
      </c>
      <c r="G4495" s="1" t="str">
        <f t="shared" si="8633"/>
        <v>0</v>
      </c>
      <c r="H4495" s="1" t="str">
        <f t="shared" si="8633"/>
        <v>0</v>
      </c>
      <c r="I4495" s="1" t="str">
        <f t="shared" si="8633"/>
        <v>0</v>
      </c>
      <c r="J4495" s="1" t="str">
        <f>"3"</f>
        <v>3</v>
      </c>
      <c r="K4495" s="1" t="str">
        <f t="shared" ref="K4495:P4495" si="8634">"0"</f>
        <v>0</v>
      </c>
      <c r="L4495" s="1" t="str">
        <f t="shared" si="8634"/>
        <v>0</v>
      </c>
      <c r="M4495" s="1" t="str">
        <f t="shared" si="8634"/>
        <v>0</v>
      </c>
      <c r="N4495" s="1" t="str">
        <f t="shared" si="8634"/>
        <v>0</v>
      </c>
      <c r="O4495" s="1" t="str">
        <f t="shared" si="8634"/>
        <v>0</v>
      </c>
      <c r="P4495" s="1" t="str">
        <f t="shared" si="8634"/>
        <v>0</v>
      </c>
      <c r="Q4495" s="1" t="str">
        <f t="shared" si="8610"/>
        <v>0.0070</v>
      </c>
      <c r="R4495" s="1" t="s">
        <v>29</v>
      </c>
      <c r="S4495" s="1">
        <v>-0.0014</v>
      </c>
      <c r="T4495" s="1" t="str">
        <f t="shared" si="8611"/>
        <v>0</v>
      </c>
      <c r="U4495" s="1" t="str">
        <f t="shared" si="8632"/>
        <v>0.0056</v>
      </c>
    </row>
    <row r="4496" s="1" customFormat="1" spans="1:21">
      <c r="A4496" s="1" t="str">
        <f>"4601992116583"</f>
        <v>4601992116583</v>
      </c>
      <c r="B4496" s="1" t="s">
        <v>4519</v>
      </c>
      <c r="C4496" s="1" t="s">
        <v>24</v>
      </c>
      <c r="D4496" s="1" t="str">
        <f t="shared" si="8607"/>
        <v>2021</v>
      </c>
      <c r="E4496" s="1" t="str">
        <f>"23.96"</f>
        <v>23.96</v>
      </c>
      <c r="F4496" s="1" t="str">
        <f t="shared" ref="F4496:I4496" si="8635">"0"</f>
        <v>0</v>
      </c>
      <c r="G4496" s="1" t="str">
        <f t="shared" si="8635"/>
        <v>0</v>
      </c>
      <c r="H4496" s="1" t="str">
        <f t="shared" si="8635"/>
        <v>0</v>
      </c>
      <c r="I4496" s="1" t="str">
        <f t="shared" si="8635"/>
        <v>0</v>
      </c>
      <c r="J4496" s="1" t="str">
        <f>"2"</f>
        <v>2</v>
      </c>
      <c r="K4496" s="1" t="str">
        <f t="shared" ref="K4496:P4496" si="8636">"0"</f>
        <v>0</v>
      </c>
      <c r="L4496" s="1" t="str">
        <f t="shared" si="8636"/>
        <v>0</v>
      </c>
      <c r="M4496" s="1" t="str">
        <f t="shared" si="8636"/>
        <v>0</v>
      </c>
      <c r="N4496" s="1" t="str">
        <f t="shared" si="8636"/>
        <v>0</v>
      </c>
      <c r="O4496" s="1" t="str">
        <f t="shared" si="8636"/>
        <v>0</v>
      </c>
      <c r="P4496" s="1" t="str">
        <f t="shared" si="8636"/>
        <v>0</v>
      </c>
      <c r="Q4496" s="1" t="str">
        <f t="shared" si="8610"/>
        <v>0.0070</v>
      </c>
      <c r="R4496" s="1" t="s">
        <v>29</v>
      </c>
      <c r="S4496" s="1">
        <v>-0.0014</v>
      </c>
      <c r="T4496" s="1" t="str">
        <f t="shared" si="8611"/>
        <v>0</v>
      </c>
      <c r="U4496" s="1" t="str">
        <f t="shared" si="8632"/>
        <v>0.0056</v>
      </c>
    </row>
    <row r="4497" s="1" customFormat="1" spans="1:21">
      <c r="A4497" s="1" t="str">
        <f>"4601992116593"</f>
        <v>4601992116593</v>
      </c>
      <c r="B4497" s="1" t="s">
        <v>4520</v>
      </c>
      <c r="C4497" s="1" t="s">
        <v>24</v>
      </c>
      <c r="D4497" s="1" t="str">
        <f t="shared" si="8607"/>
        <v>2021</v>
      </c>
      <c r="E4497" s="1" t="str">
        <f>"145.08"</f>
        <v>145.08</v>
      </c>
      <c r="F4497" s="1" t="str">
        <f t="shared" ref="F4497:I4497" si="8637">"0"</f>
        <v>0</v>
      </c>
      <c r="G4497" s="1" t="str">
        <f t="shared" si="8637"/>
        <v>0</v>
      </c>
      <c r="H4497" s="1" t="str">
        <f t="shared" si="8637"/>
        <v>0</v>
      </c>
      <c r="I4497" s="1" t="str">
        <f t="shared" si="8637"/>
        <v>0</v>
      </c>
      <c r="J4497" s="1" t="str">
        <f>"12"</f>
        <v>12</v>
      </c>
      <c r="K4497" s="1" t="str">
        <f t="shared" ref="K4497:P4497" si="8638">"0"</f>
        <v>0</v>
      </c>
      <c r="L4497" s="1" t="str">
        <f t="shared" si="8638"/>
        <v>0</v>
      </c>
      <c r="M4497" s="1" t="str">
        <f t="shared" si="8638"/>
        <v>0</v>
      </c>
      <c r="N4497" s="1" t="str">
        <f t="shared" si="8638"/>
        <v>0</v>
      </c>
      <c r="O4497" s="1" t="str">
        <f t="shared" si="8638"/>
        <v>0</v>
      </c>
      <c r="P4497" s="1" t="str">
        <f t="shared" si="8638"/>
        <v>0</v>
      </c>
      <c r="Q4497" s="1" t="str">
        <f t="shared" si="8610"/>
        <v>0.0070</v>
      </c>
      <c r="R4497" s="1" t="s">
        <v>29</v>
      </c>
      <c r="S4497" s="1">
        <v>-0.0014</v>
      </c>
      <c r="T4497" s="1" t="str">
        <f t="shared" si="8611"/>
        <v>0</v>
      </c>
      <c r="U4497" s="1" t="str">
        <f t="shared" si="8632"/>
        <v>0.0056</v>
      </c>
    </row>
    <row r="4498" s="1" customFormat="1" spans="1:21">
      <c r="A4498" s="1" t="str">
        <f>"4601992116627"</f>
        <v>4601992116627</v>
      </c>
      <c r="B4498" s="1" t="s">
        <v>4521</v>
      </c>
      <c r="C4498" s="1" t="s">
        <v>24</v>
      </c>
      <c r="D4498" s="1" t="str">
        <f t="shared" si="8607"/>
        <v>2021</v>
      </c>
      <c r="E4498" s="1" t="str">
        <f t="shared" ref="E4498:P4498" si="8639">"0"</f>
        <v>0</v>
      </c>
      <c r="F4498" s="1" t="str">
        <f t="shared" si="8639"/>
        <v>0</v>
      </c>
      <c r="G4498" s="1" t="str">
        <f t="shared" si="8639"/>
        <v>0</v>
      </c>
      <c r="H4498" s="1" t="str">
        <f t="shared" si="8639"/>
        <v>0</v>
      </c>
      <c r="I4498" s="1" t="str">
        <f t="shared" si="8639"/>
        <v>0</v>
      </c>
      <c r="J4498" s="1" t="str">
        <f t="shared" si="8639"/>
        <v>0</v>
      </c>
      <c r="K4498" s="1" t="str">
        <f t="shared" si="8639"/>
        <v>0</v>
      </c>
      <c r="L4498" s="1" t="str">
        <f t="shared" si="8639"/>
        <v>0</v>
      </c>
      <c r="M4498" s="1" t="str">
        <f t="shared" si="8639"/>
        <v>0</v>
      </c>
      <c r="N4498" s="1" t="str">
        <f t="shared" si="8639"/>
        <v>0</v>
      </c>
      <c r="O4498" s="1" t="str">
        <f t="shared" si="8639"/>
        <v>0</v>
      </c>
      <c r="P4498" s="1" t="str">
        <f t="shared" si="8639"/>
        <v>0</v>
      </c>
      <c r="Q4498" s="1" t="str">
        <f t="shared" si="8610"/>
        <v>0.0070</v>
      </c>
      <c r="R4498" s="1" t="s">
        <v>25</v>
      </c>
      <c r="T4498" s="1" t="str">
        <f t="shared" si="8611"/>
        <v>0</v>
      </c>
      <c r="U4498" s="1" t="str">
        <f t="shared" ref="U4498:U4501" si="8640">"0.0070"</f>
        <v>0.0070</v>
      </c>
    </row>
    <row r="4499" s="1" customFormat="1" spans="1:21">
      <c r="A4499" s="1" t="str">
        <f>"4601992116611"</f>
        <v>4601992116611</v>
      </c>
      <c r="B4499" s="1" t="s">
        <v>4522</v>
      </c>
      <c r="C4499" s="1" t="s">
        <v>24</v>
      </c>
      <c r="D4499" s="1" t="str">
        <f t="shared" si="8607"/>
        <v>2021</v>
      </c>
      <c r="E4499" s="1" t="str">
        <f>"24.50"</f>
        <v>24.50</v>
      </c>
      <c r="F4499" s="1" t="str">
        <f t="shared" ref="F4499:I4499" si="8641">"0"</f>
        <v>0</v>
      </c>
      <c r="G4499" s="1" t="str">
        <f t="shared" si="8641"/>
        <v>0</v>
      </c>
      <c r="H4499" s="1" t="str">
        <f t="shared" si="8641"/>
        <v>0</v>
      </c>
      <c r="I4499" s="1" t="str">
        <f t="shared" si="8641"/>
        <v>0</v>
      </c>
      <c r="J4499" s="1" t="str">
        <f>"2"</f>
        <v>2</v>
      </c>
      <c r="K4499" s="1" t="str">
        <f t="shared" ref="K4499:P4499" si="8642">"0"</f>
        <v>0</v>
      </c>
      <c r="L4499" s="1" t="str">
        <f t="shared" si="8642"/>
        <v>0</v>
      </c>
      <c r="M4499" s="1" t="str">
        <f t="shared" si="8642"/>
        <v>0</v>
      </c>
      <c r="N4499" s="1" t="str">
        <f t="shared" si="8642"/>
        <v>0</v>
      </c>
      <c r="O4499" s="1" t="str">
        <f t="shared" si="8642"/>
        <v>0</v>
      </c>
      <c r="P4499" s="1" t="str">
        <f t="shared" si="8642"/>
        <v>0</v>
      </c>
      <c r="Q4499" s="1" t="str">
        <f t="shared" si="8610"/>
        <v>0.0070</v>
      </c>
      <c r="R4499" s="1" t="s">
        <v>25</v>
      </c>
      <c r="T4499" s="1" t="str">
        <f t="shared" si="8611"/>
        <v>0</v>
      </c>
      <c r="U4499" s="1" t="str">
        <f t="shared" si="8640"/>
        <v>0.0070</v>
      </c>
    </row>
    <row r="4500" s="1" customFormat="1" spans="1:21">
      <c r="A4500" s="1" t="str">
        <f>"4601992116682"</f>
        <v>4601992116682</v>
      </c>
      <c r="B4500" s="1" t="s">
        <v>4523</v>
      </c>
      <c r="C4500" s="1" t="s">
        <v>24</v>
      </c>
      <c r="D4500" s="1" t="str">
        <f t="shared" si="8607"/>
        <v>2021</v>
      </c>
      <c r="E4500" s="1" t="str">
        <f t="shared" ref="E4500:P4500" si="8643">"0"</f>
        <v>0</v>
      </c>
      <c r="F4500" s="1" t="str">
        <f t="shared" si="8643"/>
        <v>0</v>
      </c>
      <c r="G4500" s="1" t="str">
        <f t="shared" si="8643"/>
        <v>0</v>
      </c>
      <c r="H4500" s="1" t="str">
        <f t="shared" si="8643"/>
        <v>0</v>
      </c>
      <c r="I4500" s="1" t="str">
        <f t="shared" si="8643"/>
        <v>0</v>
      </c>
      <c r="J4500" s="1" t="str">
        <f t="shared" si="8643"/>
        <v>0</v>
      </c>
      <c r="K4500" s="1" t="str">
        <f t="shared" si="8643"/>
        <v>0</v>
      </c>
      <c r="L4500" s="1" t="str">
        <f t="shared" si="8643"/>
        <v>0</v>
      </c>
      <c r="M4500" s="1" t="str">
        <f t="shared" si="8643"/>
        <v>0</v>
      </c>
      <c r="N4500" s="1" t="str">
        <f t="shared" si="8643"/>
        <v>0</v>
      </c>
      <c r="O4500" s="1" t="str">
        <f t="shared" si="8643"/>
        <v>0</v>
      </c>
      <c r="P4500" s="1" t="str">
        <f t="shared" si="8643"/>
        <v>0</v>
      </c>
      <c r="Q4500" s="1" t="str">
        <f t="shared" si="8610"/>
        <v>0.0070</v>
      </c>
      <c r="R4500" s="1" t="s">
        <v>25</v>
      </c>
      <c r="T4500" s="1" t="str">
        <f t="shared" si="8611"/>
        <v>0</v>
      </c>
      <c r="U4500" s="1" t="str">
        <f t="shared" si="8640"/>
        <v>0.0070</v>
      </c>
    </row>
    <row r="4501" s="1" customFormat="1" spans="1:21">
      <c r="A4501" s="1" t="str">
        <f>"4601992116737"</f>
        <v>4601992116737</v>
      </c>
      <c r="B4501" s="1" t="s">
        <v>4524</v>
      </c>
      <c r="C4501" s="1" t="s">
        <v>24</v>
      </c>
      <c r="D4501" s="1" t="str">
        <f t="shared" si="8607"/>
        <v>2021</v>
      </c>
      <c r="E4501" s="1" t="str">
        <f t="shared" ref="E4501:P4501" si="8644">"0"</f>
        <v>0</v>
      </c>
      <c r="F4501" s="1" t="str">
        <f t="shared" si="8644"/>
        <v>0</v>
      </c>
      <c r="G4501" s="1" t="str">
        <f t="shared" si="8644"/>
        <v>0</v>
      </c>
      <c r="H4501" s="1" t="str">
        <f t="shared" si="8644"/>
        <v>0</v>
      </c>
      <c r="I4501" s="1" t="str">
        <f t="shared" si="8644"/>
        <v>0</v>
      </c>
      <c r="J4501" s="1" t="str">
        <f t="shared" si="8644"/>
        <v>0</v>
      </c>
      <c r="K4501" s="1" t="str">
        <f t="shared" si="8644"/>
        <v>0</v>
      </c>
      <c r="L4501" s="1" t="str">
        <f t="shared" si="8644"/>
        <v>0</v>
      </c>
      <c r="M4501" s="1" t="str">
        <f t="shared" si="8644"/>
        <v>0</v>
      </c>
      <c r="N4501" s="1" t="str">
        <f t="shared" si="8644"/>
        <v>0</v>
      </c>
      <c r="O4501" s="1" t="str">
        <f t="shared" si="8644"/>
        <v>0</v>
      </c>
      <c r="P4501" s="1" t="str">
        <f t="shared" si="8644"/>
        <v>0</v>
      </c>
      <c r="Q4501" s="1" t="str">
        <f t="shared" si="8610"/>
        <v>0.0070</v>
      </c>
      <c r="R4501" s="1" t="s">
        <v>25</v>
      </c>
      <c r="T4501" s="1" t="str">
        <f t="shared" si="8611"/>
        <v>0</v>
      </c>
      <c r="U4501" s="1" t="str">
        <f t="shared" si="8640"/>
        <v>0.0070</v>
      </c>
    </row>
    <row r="4502" s="1" customFormat="1" spans="1:21">
      <c r="A4502" s="1" t="str">
        <f>"4601992116614"</f>
        <v>4601992116614</v>
      </c>
      <c r="B4502" s="1" t="s">
        <v>4525</v>
      </c>
      <c r="C4502" s="1" t="s">
        <v>24</v>
      </c>
      <c r="D4502" s="1" t="str">
        <f t="shared" si="8607"/>
        <v>2021</v>
      </c>
      <c r="E4502" s="1" t="str">
        <f>"23.96"</f>
        <v>23.96</v>
      </c>
      <c r="F4502" s="1" t="str">
        <f t="shared" ref="F4502:I4502" si="8645">"0"</f>
        <v>0</v>
      </c>
      <c r="G4502" s="1" t="str">
        <f t="shared" si="8645"/>
        <v>0</v>
      </c>
      <c r="H4502" s="1" t="str">
        <f t="shared" si="8645"/>
        <v>0</v>
      </c>
      <c r="I4502" s="1" t="str">
        <f t="shared" si="8645"/>
        <v>0</v>
      </c>
      <c r="J4502" s="1" t="str">
        <f>"3"</f>
        <v>3</v>
      </c>
      <c r="K4502" s="1" t="str">
        <f t="shared" ref="K4502:P4502" si="8646">"0"</f>
        <v>0</v>
      </c>
      <c r="L4502" s="1" t="str">
        <f t="shared" si="8646"/>
        <v>0</v>
      </c>
      <c r="M4502" s="1" t="str">
        <f t="shared" si="8646"/>
        <v>0</v>
      </c>
      <c r="N4502" s="1" t="str">
        <f t="shared" si="8646"/>
        <v>0</v>
      </c>
      <c r="O4502" s="1" t="str">
        <f t="shared" si="8646"/>
        <v>0</v>
      </c>
      <c r="P4502" s="1" t="str">
        <f t="shared" si="8646"/>
        <v>0</v>
      </c>
      <c r="Q4502" s="1" t="str">
        <f t="shared" si="8610"/>
        <v>0.0070</v>
      </c>
      <c r="R4502" s="1" t="s">
        <v>29</v>
      </c>
      <c r="S4502" s="1">
        <v>-0.0014</v>
      </c>
      <c r="T4502" s="1" t="str">
        <f t="shared" si="8611"/>
        <v>0</v>
      </c>
      <c r="U4502" s="1" t="str">
        <f>"0.0056"</f>
        <v>0.0056</v>
      </c>
    </row>
    <row r="4503" s="1" customFormat="1" spans="1:21">
      <c r="A4503" s="1" t="str">
        <f>"4601992116778"</f>
        <v>4601992116778</v>
      </c>
      <c r="B4503" s="1" t="s">
        <v>4526</v>
      </c>
      <c r="C4503" s="1" t="s">
        <v>24</v>
      </c>
      <c r="D4503" s="1" t="str">
        <f t="shared" si="8607"/>
        <v>2021</v>
      </c>
      <c r="E4503" s="1" t="str">
        <f t="shared" ref="E4503:P4503" si="8647">"0"</f>
        <v>0</v>
      </c>
      <c r="F4503" s="1" t="str">
        <f t="shared" si="8647"/>
        <v>0</v>
      </c>
      <c r="G4503" s="1" t="str">
        <f t="shared" si="8647"/>
        <v>0</v>
      </c>
      <c r="H4503" s="1" t="str">
        <f t="shared" si="8647"/>
        <v>0</v>
      </c>
      <c r="I4503" s="1" t="str">
        <f t="shared" si="8647"/>
        <v>0</v>
      </c>
      <c r="J4503" s="1" t="str">
        <f t="shared" si="8647"/>
        <v>0</v>
      </c>
      <c r="K4503" s="1" t="str">
        <f t="shared" si="8647"/>
        <v>0</v>
      </c>
      <c r="L4503" s="1" t="str">
        <f t="shared" si="8647"/>
        <v>0</v>
      </c>
      <c r="M4503" s="1" t="str">
        <f t="shared" si="8647"/>
        <v>0</v>
      </c>
      <c r="N4503" s="1" t="str">
        <f t="shared" si="8647"/>
        <v>0</v>
      </c>
      <c r="O4503" s="1" t="str">
        <f t="shared" si="8647"/>
        <v>0</v>
      </c>
      <c r="P4503" s="1" t="str">
        <f t="shared" si="8647"/>
        <v>0</v>
      </c>
      <c r="Q4503" s="1" t="str">
        <f t="shared" si="8610"/>
        <v>0.0070</v>
      </c>
      <c r="R4503" s="1" t="s">
        <v>25</v>
      </c>
      <c r="T4503" s="1" t="str">
        <f t="shared" si="8611"/>
        <v>0</v>
      </c>
      <c r="U4503" s="1" t="str">
        <f t="shared" ref="U4503:U4508" si="8648">"0.0070"</f>
        <v>0.0070</v>
      </c>
    </row>
    <row r="4504" s="1" customFormat="1" spans="1:21">
      <c r="A4504" s="1" t="str">
        <f>"4601992116900"</f>
        <v>4601992116900</v>
      </c>
      <c r="B4504" s="1" t="s">
        <v>4527</v>
      </c>
      <c r="C4504" s="1" t="s">
        <v>24</v>
      </c>
      <c r="D4504" s="1" t="str">
        <f t="shared" si="8607"/>
        <v>2021</v>
      </c>
      <c r="E4504" s="1" t="str">
        <f t="shared" ref="E4504:P4504" si="8649">"0"</f>
        <v>0</v>
      </c>
      <c r="F4504" s="1" t="str">
        <f t="shared" si="8649"/>
        <v>0</v>
      </c>
      <c r="G4504" s="1" t="str">
        <f t="shared" si="8649"/>
        <v>0</v>
      </c>
      <c r="H4504" s="1" t="str">
        <f t="shared" si="8649"/>
        <v>0</v>
      </c>
      <c r="I4504" s="1" t="str">
        <f t="shared" si="8649"/>
        <v>0</v>
      </c>
      <c r="J4504" s="1" t="str">
        <f t="shared" si="8649"/>
        <v>0</v>
      </c>
      <c r="K4504" s="1" t="str">
        <f t="shared" si="8649"/>
        <v>0</v>
      </c>
      <c r="L4504" s="1" t="str">
        <f t="shared" si="8649"/>
        <v>0</v>
      </c>
      <c r="M4504" s="1" t="str">
        <f t="shared" si="8649"/>
        <v>0</v>
      </c>
      <c r="N4504" s="1" t="str">
        <f t="shared" si="8649"/>
        <v>0</v>
      </c>
      <c r="O4504" s="1" t="str">
        <f t="shared" si="8649"/>
        <v>0</v>
      </c>
      <c r="P4504" s="1" t="str">
        <f t="shared" si="8649"/>
        <v>0</v>
      </c>
      <c r="Q4504" s="1" t="str">
        <f t="shared" si="8610"/>
        <v>0.0070</v>
      </c>
      <c r="R4504" s="1" t="s">
        <v>25</v>
      </c>
      <c r="T4504" s="1" t="str">
        <f t="shared" si="8611"/>
        <v>0</v>
      </c>
      <c r="U4504" s="1" t="str">
        <f t="shared" si="8648"/>
        <v>0.0070</v>
      </c>
    </row>
    <row r="4505" s="1" customFormat="1" spans="1:21">
      <c r="A4505" s="1" t="str">
        <f>"4601992117057"</f>
        <v>4601992117057</v>
      </c>
      <c r="B4505" s="1" t="s">
        <v>4528</v>
      </c>
      <c r="C4505" s="1" t="s">
        <v>24</v>
      </c>
      <c r="D4505" s="1" t="str">
        <f t="shared" si="8607"/>
        <v>2021</v>
      </c>
      <c r="E4505" s="1" t="str">
        <f t="shared" ref="E4505:P4505" si="8650">"0"</f>
        <v>0</v>
      </c>
      <c r="F4505" s="1" t="str">
        <f t="shared" si="8650"/>
        <v>0</v>
      </c>
      <c r="G4505" s="1" t="str">
        <f t="shared" si="8650"/>
        <v>0</v>
      </c>
      <c r="H4505" s="1" t="str">
        <f t="shared" si="8650"/>
        <v>0</v>
      </c>
      <c r="I4505" s="1" t="str">
        <f t="shared" si="8650"/>
        <v>0</v>
      </c>
      <c r="J4505" s="1" t="str">
        <f t="shared" si="8650"/>
        <v>0</v>
      </c>
      <c r="K4505" s="1" t="str">
        <f t="shared" si="8650"/>
        <v>0</v>
      </c>
      <c r="L4505" s="1" t="str">
        <f t="shared" si="8650"/>
        <v>0</v>
      </c>
      <c r="M4505" s="1" t="str">
        <f t="shared" si="8650"/>
        <v>0</v>
      </c>
      <c r="N4505" s="1" t="str">
        <f t="shared" si="8650"/>
        <v>0</v>
      </c>
      <c r="O4505" s="1" t="str">
        <f t="shared" si="8650"/>
        <v>0</v>
      </c>
      <c r="P4505" s="1" t="str">
        <f t="shared" si="8650"/>
        <v>0</v>
      </c>
      <c r="Q4505" s="1" t="str">
        <f t="shared" si="8610"/>
        <v>0.0070</v>
      </c>
      <c r="R4505" s="1" t="s">
        <v>25</v>
      </c>
      <c r="T4505" s="1" t="str">
        <f t="shared" si="8611"/>
        <v>0</v>
      </c>
      <c r="U4505" s="1" t="str">
        <f t="shared" si="8648"/>
        <v>0.0070</v>
      </c>
    </row>
    <row r="4506" s="1" customFormat="1" spans="1:21">
      <c r="A4506" s="1" t="str">
        <f>"4601992117071"</f>
        <v>4601992117071</v>
      </c>
      <c r="B4506" s="1" t="s">
        <v>4529</v>
      </c>
      <c r="C4506" s="1" t="s">
        <v>24</v>
      </c>
      <c r="D4506" s="1" t="str">
        <f t="shared" si="8607"/>
        <v>2021</v>
      </c>
      <c r="E4506" s="1" t="str">
        <f t="shared" ref="E4506:P4506" si="8651">"0"</f>
        <v>0</v>
      </c>
      <c r="F4506" s="1" t="str">
        <f t="shared" si="8651"/>
        <v>0</v>
      </c>
      <c r="G4506" s="1" t="str">
        <f t="shared" si="8651"/>
        <v>0</v>
      </c>
      <c r="H4506" s="1" t="str">
        <f t="shared" si="8651"/>
        <v>0</v>
      </c>
      <c r="I4506" s="1" t="str">
        <f t="shared" si="8651"/>
        <v>0</v>
      </c>
      <c r="J4506" s="1" t="str">
        <f t="shared" si="8651"/>
        <v>0</v>
      </c>
      <c r="K4506" s="1" t="str">
        <f t="shared" si="8651"/>
        <v>0</v>
      </c>
      <c r="L4506" s="1" t="str">
        <f t="shared" si="8651"/>
        <v>0</v>
      </c>
      <c r="M4506" s="1" t="str">
        <f t="shared" si="8651"/>
        <v>0</v>
      </c>
      <c r="N4506" s="1" t="str">
        <f t="shared" si="8651"/>
        <v>0</v>
      </c>
      <c r="O4506" s="1" t="str">
        <f t="shared" si="8651"/>
        <v>0</v>
      </c>
      <c r="P4506" s="1" t="str">
        <f t="shared" si="8651"/>
        <v>0</v>
      </c>
      <c r="Q4506" s="1" t="str">
        <f t="shared" si="8610"/>
        <v>0.0070</v>
      </c>
      <c r="R4506" s="1" t="s">
        <v>25</v>
      </c>
      <c r="T4506" s="1" t="str">
        <f t="shared" si="8611"/>
        <v>0</v>
      </c>
      <c r="U4506" s="1" t="str">
        <f t="shared" si="8648"/>
        <v>0.0070</v>
      </c>
    </row>
    <row r="4507" s="1" customFormat="1" spans="1:21">
      <c r="A4507" s="1" t="str">
        <f>"4601992117063"</f>
        <v>4601992117063</v>
      </c>
      <c r="B4507" s="1" t="s">
        <v>4530</v>
      </c>
      <c r="C4507" s="1" t="s">
        <v>24</v>
      </c>
      <c r="D4507" s="1" t="str">
        <f t="shared" si="8607"/>
        <v>2021</v>
      </c>
      <c r="E4507" s="1" t="str">
        <f t="shared" ref="E4507:P4507" si="8652">"0"</f>
        <v>0</v>
      </c>
      <c r="F4507" s="1" t="str">
        <f t="shared" si="8652"/>
        <v>0</v>
      </c>
      <c r="G4507" s="1" t="str">
        <f t="shared" si="8652"/>
        <v>0</v>
      </c>
      <c r="H4507" s="1" t="str">
        <f t="shared" si="8652"/>
        <v>0</v>
      </c>
      <c r="I4507" s="1" t="str">
        <f t="shared" si="8652"/>
        <v>0</v>
      </c>
      <c r="J4507" s="1" t="str">
        <f t="shared" si="8652"/>
        <v>0</v>
      </c>
      <c r="K4507" s="1" t="str">
        <f t="shared" si="8652"/>
        <v>0</v>
      </c>
      <c r="L4507" s="1" t="str">
        <f t="shared" si="8652"/>
        <v>0</v>
      </c>
      <c r="M4507" s="1" t="str">
        <f t="shared" si="8652"/>
        <v>0</v>
      </c>
      <c r="N4507" s="1" t="str">
        <f t="shared" si="8652"/>
        <v>0</v>
      </c>
      <c r="O4507" s="1" t="str">
        <f t="shared" si="8652"/>
        <v>0</v>
      </c>
      <c r="P4507" s="1" t="str">
        <f t="shared" si="8652"/>
        <v>0</v>
      </c>
      <c r="Q4507" s="1" t="str">
        <f t="shared" si="8610"/>
        <v>0.0070</v>
      </c>
      <c r="R4507" s="1" t="s">
        <v>25</v>
      </c>
      <c r="T4507" s="1" t="str">
        <f t="shared" si="8611"/>
        <v>0</v>
      </c>
      <c r="U4507" s="1" t="str">
        <f t="shared" si="8648"/>
        <v>0.0070</v>
      </c>
    </row>
    <row r="4508" s="1" customFormat="1" spans="1:21">
      <c r="A4508" s="1" t="str">
        <f>"4601992117101"</f>
        <v>4601992117101</v>
      </c>
      <c r="B4508" s="1" t="s">
        <v>4531</v>
      </c>
      <c r="C4508" s="1" t="s">
        <v>24</v>
      </c>
      <c r="D4508" s="1" t="str">
        <f t="shared" si="8607"/>
        <v>2021</v>
      </c>
      <c r="E4508" s="1" t="str">
        <f t="shared" ref="E4508:P4508" si="8653">"0"</f>
        <v>0</v>
      </c>
      <c r="F4508" s="1" t="str">
        <f t="shared" si="8653"/>
        <v>0</v>
      </c>
      <c r="G4508" s="1" t="str">
        <f t="shared" si="8653"/>
        <v>0</v>
      </c>
      <c r="H4508" s="1" t="str">
        <f t="shared" si="8653"/>
        <v>0</v>
      </c>
      <c r="I4508" s="1" t="str">
        <f t="shared" si="8653"/>
        <v>0</v>
      </c>
      <c r="J4508" s="1" t="str">
        <f t="shared" si="8653"/>
        <v>0</v>
      </c>
      <c r="K4508" s="1" t="str">
        <f t="shared" si="8653"/>
        <v>0</v>
      </c>
      <c r="L4508" s="1" t="str">
        <f t="shared" si="8653"/>
        <v>0</v>
      </c>
      <c r="M4508" s="1" t="str">
        <f t="shared" si="8653"/>
        <v>0</v>
      </c>
      <c r="N4508" s="1" t="str">
        <f t="shared" si="8653"/>
        <v>0</v>
      </c>
      <c r="O4508" s="1" t="str">
        <f t="shared" si="8653"/>
        <v>0</v>
      </c>
      <c r="P4508" s="1" t="str">
        <f t="shared" si="8653"/>
        <v>0</v>
      </c>
      <c r="Q4508" s="1" t="str">
        <f t="shared" si="8610"/>
        <v>0.0070</v>
      </c>
      <c r="R4508" s="1" t="s">
        <v>25</v>
      </c>
      <c r="T4508" s="1" t="str">
        <f t="shared" si="8611"/>
        <v>0</v>
      </c>
      <c r="U4508" s="1" t="str">
        <f t="shared" si="8648"/>
        <v>0.0070</v>
      </c>
    </row>
    <row r="4509" s="1" customFormat="1" spans="1:21">
      <c r="A4509" s="1" t="str">
        <f>"4601992117075"</f>
        <v>4601992117075</v>
      </c>
      <c r="B4509" s="1" t="s">
        <v>4532</v>
      </c>
      <c r="C4509" s="1" t="s">
        <v>24</v>
      </c>
      <c r="D4509" s="1" t="str">
        <f t="shared" si="8607"/>
        <v>2021</v>
      </c>
      <c r="E4509" s="1" t="str">
        <f>"12.09"</f>
        <v>12.09</v>
      </c>
      <c r="F4509" s="1" t="str">
        <f t="shared" ref="F4509:I4509" si="8654">"0"</f>
        <v>0</v>
      </c>
      <c r="G4509" s="1" t="str">
        <f t="shared" si="8654"/>
        <v>0</v>
      </c>
      <c r="H4509" s="1" t="str">
        <f t="shared" si="8654"/>
        <v>0</v>
      </c>
      <c r="I4509" s="1" t="str">
        <f t="shared" si="8654"/>
        <v>0</v>
      </c>
      <c r="J4509" s="1" t="str">
        <f>"2"</f>
        <v>2</v>
      </c>
      <c r="K4509" s="1" t="str">
        <f t="shared" ref="K4509:P4509" si="8655">"0"</f>
        <v>0</v>
      </c>
      <c r="L4509" s="1" t="str">
        <f t="shared" si="8655"/>
        <v>0</v>
      </c>
      <c r="M4509" s="1" t="str">
        <f t="shared" si="8655"/>
        <v>0</v>
      </c>
      <c r="N4509" s="1" t="str">
        <f t="shared" si="8655"/>
        <v>0</v>
      </c>
      <c r="O4509" s="1" t="str">
        <f t="shared" si="8655"/>
        <v>0</v>
      </c>
      <c r="P4509" s="1" t="str">
        <f t="shared" si="8655"/>
        <v>0</v>
      </c>
      <c r="Q4509" s="1" t="str">
        <f t="shared" si="8610"/>
        <v>0.0070</v>
      </c>
      <c r="R4509" s="1" t="s">
        <v>29</v>
      </c>
      <c r="S4509" s="1">
        <v>-0.0014</v>
      </c>
      <c r="T4509" s="1" t="str">
        <f t="shared" si="8611"/>
        <v>0</v>
      </c>
      <c r="U4509" s="1" t="str">
        <f t="shared" ref="U4509:U4511" si="8656">"0.0056"</f>
        <v>0.0056</v>
      </c>
    </row>
    <row r="4510" s="1" customFormat="1" spans="1:21">
      <c r="A4510" s="1" t="str">
        <f>"4601992117089"</f>
        <v>4601992117089</v>
      </c>
      <c r="B4510" s="1" t="s">
        <v>4533</v>
      </c>
      <c r="C4510" s="1" t="s">
        <v>24</v>
      </c>
      <c r="D4510" s="1" t="str">
        <f t="shared" si="8607"/>
        <v>2021</v>
      </c>
      <c r="E4510" s="1" t="str">
        <f>"40.25"</f>
        <v>40.25</v>
      </c>
      <c r="F4510" s="1" t="str">
        <f t="shared" ref="F4510:I4510" si="8657">"0"</f>
        <v>0</v>
      </c>
      <c r="G4510" s="1" t="str">
        <f t="shared" si="8657"/>
        <v>0</v>
      </c>
      <c r="H4510" s="1" t="str">
        <f t="shared" si="8657"/>
        <v>0</v>
      </c>
      <c r="I4510" s="1" t="str">
        <f t="shared" si="8657"/>
        <v>0</v>
      </c>
      <c r="J4510" s="1" t="str">
        <f>"3"</f>
        <v>3</v>
      </c>
      <c r="K4510" s="1" t="str">
        <f t="shared" ref="K4510:P4510" si="8658">"0"</f>
        <v>0</v>
      </c>
      <c r="L4510" s="1" t="str">
        <f t="shared" si="8658"/>
        <v>0</v>
      </c>
      <c r="M4510" s="1" t="str">
        <f t="shared" si="8658"/>
        <v>0</v>
      </c>
      <c r="N4510" s="1" t="str">
        <f t="shared" si="8658"/>
        <v>0</v>
      </c>
      <c r="O4510" s="1" t="str">
        <f t="shared" si="8658"/>
        <v>0</v>
      </c>
      <c r="P4510" s="1" t="str">
        <f t="shared" si="8658"/>
        <v>0</v>
      </c>
      <c r="Q4510" s="1" t="str">
        <f t="shared" si="8610"/>
        <v>0.0070</v>
      </c>
      <c r="R4510" s="1" t="s">
        <v>29</v>
      </c>
      <c r="S4510" s="1">
        <v>-0.0014</v>
      </c>
      <c r="T4510" s="1" t="str">
        <f t="shared" si="8611"/>
        <v>0</v>
      </c>
      <c r="U4510" s="1" t="str">
        <f t="shared" si="8656"/>
        <v>0.0056</v>
      </c>
    </row>
    <row r="4511" s="1" customFormat="1" spans="1:21">
      <c r="A4511" s="1" t="str">
        <f>"4601992117329"</f>
        <v>4601992117329</v>
      </c>
      <c r="B4511" s="1" t="s">
        <v>4534</v>
      </c>
      <c r="C4511" s="1" t="s">
        <v>24</v>
      </c>
      <c r="D4511" s="1" t="str">
        <f t="shared" si="8607"/>
        <v>2021</v>
      </c>
      <c r="E4511" s="1" t="str">
        <f>"11.98"</f>
        <v>11.98</v>
      </c>
      <c r="F4511" s="1" t="str">
        <f t="shared" ref="F4511:I4511" si="8659">"0"</f>
        <v>0</v>
      </c>
      <c r="G4511" s="1" t="str">
        <f t="shared" si="8659"/>
        <v>0</v>
      </c>
      <c r="H4511" s="1" t="str">
        <f t="shared" si="8659"/>
        <v>0</v>
      </c>
      <c r="I4511" s="1" t="str">
        <f t="shared" si="8659"/>
        <v>0</v>
      </c>
      <c r="J4511" s="1" t="str">
        <f>"2"</f>
        <v>2</v>
      </c>
      <c r="K4511" s="1" t="str">
        <f t="shared" ref="K4511:P4511" si="8660">"0"</f>
        <v>0</v>
      </c>
      <c r="L4511" s="1" t="str">
        <f t="shared" si="8660"/>
        <v>0</v>
      </c>
      <c r="M4511" s="1" t="str">
        <f t="shared" si="8660"/>
        <v>0</v>
      </c>
      <c r="N4511" s="1" t="str">
        <f t="shared" si="8660"/>
        <v>0</v>
      </c>
      <c r="O4511" s="1" t="str">
        <f t="shared" si="8660"/>
        <v>0</v>
      </c>
      <c r="P4511" s="1" t="str">
        <f t="shared" si="8660"/>
        <v>0</v>
      </c>
      <c r="Q4511" s="1" t="str">
        <f t="shared" si="8610"/>
        <v>0.0070</v>
      </c>
      <c r="R4511" s="1" t="s">
        <v>29</v>
      </c>
      <c r="S4511" s="1">
        <v>-0.0014</v>
      </c>
      <c r="T4511" s="1" t="str">
        <f t="shared" si="8611"/>
        <v>0</v>
      </c>
      <c r="U4511" s="1" t="str">
        <f t="shared" si="8656"/>
        <v>0.0056</v>
      </c>
    </row>
    <row r="4512" s="1" customFormat="1" spans="1:21">
      <c r="A4512" s="1" t="str">
        <f>"4601992117267"</f>
        <v>4601992117267</v>
      </c>
      <c r="B4512" s="1" t="s">
        <v>4535</v>
      </c>
      <c r="C4512" s="1" t="s">
        <v>24</v>
      </c>
      <c r="D4512" s="1" t="str">
        <f t="shared" si="8607"/>
        <v>2021</v>
      </c>
      <c r="E4512" s="1" t="str">
        <f t="shared" ref="E4512:I4512" si="8661">"0"</f>
        <v>0</v>
      </c>
      <c r="F4512" s="1" t="str">
        <f t="shared" si="8661"/>
        <v>0</v>
      </c>
      <c r="G4512" s="1" t="str">
        <f t="shared" si="8661"/>
        <v>0</v>
      </c>
      <c r="H4512" s="1" t="str">
        <f t="shared" si="8661"/>
        <v>0</v>
      </c>
      <c r="I4512" s="1" t="str">
        <f t="shared" si="8661"/>
        <v>0</v>
      </c>
      <c r="J4512" s="1" t="str">
        <f>"1"</f>
        <v>1</v>
      </c>
      <c r="K4512" s="1" t="str">
        <f t="shared" ref="K4512:P4512" si="8662">"0"</f>
        <v>0</v>
      </c>
      <c r="L4512" s="1" t="str">
        <f t="shared" si="8662"/>
        <v>0</v>
      </c>
      <c r="M4512" s="1" t="str">
        <f t="shared" si="8662"/>
        <v>0</v>
      </c>
      <c r="N4512" s="1" t="str">
        <f t="shared" si="8662"/>
        <v>0</v>
      </c>
      <c r="O4512" s="1" t="str">
        <f t="shared" si="8662"/>
        <v>0</v>
      </c>
      <c r="P4512" s="1" t="str">
        <f t="shared" si="8662"/>
        <v>0</v>
      </c>
      <c r="Q4512" s="1" t="str">
        <f t="shared" si="8610"/>
        <v>0.0070</v>
      </c>
      <c r="R4512" s="1" t="s">
        <v>25</v>
      </c>
      <c r="T4512" s="1" t="str">
        <f t="shared" si="8611"/>
        <v>0</v>
      </c>
      <c r="U4512" s="1" t="str">
        <f t="shared" ref="U4512:U4525" si="8663">"0.0070"</f>
        <v>0.0070</v>
      </c>
    </row>
    <row r="4513" s="1" customFormat="1" spans="1:21">
      <c r="A4513" s="1" t="str">
        <f>"4601992117299"</f>
        <v>4601992117299</v>
      </c>
      <c r="B4513" s="1" t="s">
        <v>4536</v>
      </c>
      <c r="C4513" s="1" t="s">
        <v>24</v>
      </c>
      <c r="D4513" s="1" t="str">
        <f t="shared" si="8607"/>
        <v>2021</v>
      </c>
      <c r="E4513" s="1" t="str">
        <f>"17.50"</f>
        <v>17.50</v>
      </c>
      <c r="F4513" s="1" t="str">
        <f t="shared" ref="F4513:I4513" si="8664">"0"</f>
        <v>0</v>
      </c>
      <c r="G4513" s="1" t="str">
        <f t="shared" si="8664"/>
        <v>0</v>
      </c>
      <c r="H4513" s="1" t="str">
        <f t="shared" si="8664"/>
        <v>0</v>
      </c>
      <c r="I4513" s="1" t="str">
        <f t="shared" si="8664"/>
        <v>0</v>
      </c>
      <c r="J4513" s="1" t="str">
        <f>"1"</f>
        <v>1</v>
      </c>
      <c r="K4513" s="1" t="str">
        <f t="shared" ref="K4513:P4513" si="8665">"0"</f>
        <v>0</v>
      </c>
      <c r="L4513" s="1" t="str">
        <f t="shared" si="8665"/>
        <v>0</v>
      </c>
      <c r="M4513" s="1" t="str">
        <f t="shared" si="8665"/>
        <v>0</v>
      </c>
      <c r="N4513" s="1" t="str">
        <f t="shared" si="8665"/>
        <v>0</v>
      </c>
      <c r="O4513" s="1" t="str">
        <f t="shared" si="8665"/>
        <v>0</v>
      </c>
      <c r="P4513" s="1" t="str">
        <f t="shared" si="8665"/>
        <v>0</v>
      </c>
      <c r="Q4513" s="1" t="str">
        <f t="shared" si="8610"/>
        <v>0.0070</v>
      </c>
      <c r="R4513" s="1" t="s">
        <v>25</v>
      </c>
      <c r="T4513" s="1" t="str">
        <f t="shared" si="8611"/>
        <v>0</v>
      </c>
      <c r="U4513" s="1" t="str">
        <f t="shared" si="8663"/>
        <v>0.0070</v>
      </c>
    </row>
    <row r="4514" s="1" customFormat="1" spans="1:21">
      <c r="A4514" s="1" t="str">
        <f>"4601992117521"</f>
        <v>4601992117521</v>
      </c>
      <c r="B4514" s="1" t="s">
        <v>4537</v>
      </c>
      <c r="C4514" s="1" t="s">
        <v>24</v>
      </c>
      <c r="D4514" s="1" t="str">
        <f t="shared" si="8607"/>
        <v>2021</v>
      </c>
      <c r="E4514" s="1" t="str">
        <f t="shared" ref="E4514:P4514" si="8666">"0"</f>
        <v>0</v>
      </c>
      <c r="F4514" s="1" t="str">
        <f t="shared" si="8666"/>
        <v>0</v>
      </c>
      <c r="G4514" s="1" t="str">
        <f t="shared" si="8666"/>
        <v>0</v>
      </c>
      <c r="H4514" s="1" t="str">
        <f t="shared" si="8666"/>
        <v>0</v>
      </c>
      <c r="I4514" s="1" t="str">
        <f t="shared" si="8666"/>
        <v>0</v>
      </c>
      <c r="J4514" s="1" t="str">
        <f t="shared" si="8666"/>
        <v>0</v>
      </c>
      <c r="K4514" s="1" t="str">
        <f t="shared" si="8666"/>
        <v>0</v>
      </c>
      <c r="L4514" s="1" t="str">
        <f t="shared" si="8666"/>
        <v>0</v>
      </c>
      <c r="M4514" s="1" t="str">
        <f t="shared" si="8666"/>
        <v>0</v>
      </c>
      <c r="N4514" s="1" t="str">
        <f t="shared" si="8666"/>
        <v>0</v>
      </c>
      <c r="O4514" s="1" t="str">
        <f t="shared" si="8666"/>
        <v>0</v>
      </c>
      <c r="P4514" s="1" t="str">
        <f t="shared" si="8666"/>
        <v>0</v>
      </c>
      <c r="Q4514" s="1" t="str">
        <f t="shared" si="8610"/>
        <v>0.0070</v>
      </c>
      <c r="R4514" s="1" t="s">
        <v>25</v>
      </c>
      <c r="T4514" s="1" t="str">
        <f t="shared" si="8611"/>
        <v>0</v>
      </c>
      <c r="U4514" s="1" t="str">
        <f t="shared" si="8663"/>
        <v>0.0070</v>
      </c>
    </row>
    <row r="4515" s="1" customFormat="1" spans="1:21">
      <c r="A4515" s="1" t="str">
        <f>"4601992117557"</f>
        <v>4601992117557</v>
      </c>
      <c r="B4515" s="1" t="s">
        <v>4538</v>
      </c>
      <c r="C4515" s="1" t="s">
        <v>24</v>
      </c>
      <c r="D4515" s="1" t="str">
        <f t="shared" si="8607"/>
        <v>2021</v>
      </c>
      <c r="E4515" s="1" t="str">
        <f t="shared" ref="E4515:P4515" si="8667">"0"</f>
        <v>0</v>
      </c>
      <c r="F4515" s="1" t="str">
        <f t="shared" si="8667"/>
        <v>0</v>
      </c>
      <c r="G4515" s="1" t="str">
        <f t="shared" si="8667"/>
        <v>0</v>
      </c>
      <c r="H4515" s="1" t="str">
        <f t="shared" si="8667"/>
        <v>0</v>
      </c>
      <c r="I4515" s="1" t="str">
        <f t="shared" si="8667"/>
        <v>0</v>
      </c>
      <c r="J4515" s="1" t="str">
        <f t="shared" si="8667"/>
        <v>0</v>
      </c>
      <c r="K4515" s="1" t="str">
        <f t="shared" si="8667"/>
        <v>0</v>
      </c>
      <c r="L4515" s="1" t="str">
        <f t="shared" si="8667"/>
        <v>0</v>
      </c>
      <c r="M4515" s="1" t="str">
        <f t="shared" si="8667"/>
        <v>0</v>
      </c>
      <c r="N4515" s="1" t="str">
        <f t="shared" si="8667"/>
        <v>0</v>
      </c>
      <c r="O4515" s="1" t="str">
        <f t="shared" si="8667"/>
        <v>0</v>
      </c>
      <c r="P4515" s="1" t="str">
        <f t="shared" si="8667"/>
        <v>0</v>
      </c>
      <c r="Q4515" s="1" t="str">
        <f t="shared" si="8610"/>
        <v>0.0070</v>
      </c>
      <c r="R4515" s="1" t="s">
        <v>25</v>
      </c>
      <c r="T4515" s="1" t="str">
        <f t="shared" si="8611"/>
        <v>0</v>
      </c>
      <c r="U4515" s="1" t="str">
        <f t="shared" si="8663"/>
        <v>0.0070</v>
      </c>
    </row>
    <row r="4516" s="1" customFormat="1" spans="1:21">
      <c r="A4516" s="1" t="str">
        <f>"4601992117378"</f>
        <v>4601992117378</v>
      </c>
      <c r="B4516" s="1" t="s">
        <v>4539</v>
      </c>
      <c r="C4516" s="1" t="s">
        <v>24</v>
      </c>
      <c r="D4516" s="1" t="str">
        <f t="shared" si="8607"/>
        <v>2021</v>
      </c>
      <c r="E4516" s="1" t="str">
        <f>"83.86"</f>
        <v>83.86</v>
      </c>
      <c r="F4516" s="1" t="str">
        <f t="shared" ref="F4516:I4516" si="8668">"0"</f>
        <v>0</v>
      </c>
      <c r="G4516" s="1" t="str">
        <f t="shared" si="8668"/>
        <v>0</v>
      </c>
      <c r="H4516" s="1" t="str">
        <f t="shared" si="8668"/>
        <v>0</v>
      </c>
      <c r="I4516" s="1" t="str">
        <f t="shared" si="8668"/>
        <v>0</v>
      </c>
      <c r="J4516" s="1" t="str">
        <f>"7"</f>
        <v>7</v>
      </c>
      <c r="K4516" s="1" t="str">
        <f t="shared" ref="K4516:P4516" si="8669">"0"</f>
        <v>0</v>
      </c>
      <c r="L4516" s="1" t="str">
        <f t="shared" si="8669"/>
        <v>0</v>
      </c>
      <c r="M4516" s="1" t="str">
        <f t="shared" si="8669"/>
        <v>0</v>
      </c>
      <c r="N4516" s="1" t="str">
        <f t="shared" si="8669"/>
        <v>0</v>
      </c>
      <c r="O4516" s="1" t="str">
        <f t="shared" si="8669"/>
        <v>0</v>
      </c>
      <c r="P4516" s="1" t="str">
        <f t="shared" si="8669"/>
        <v>0</v>
      </c>
      <c r="Q4516" s="1" t="str">
        <f t="shared" si="8610"/>
        <v>0.0070</v>
      </c>
      <c r="R4516" s="1" t="s">
        <v>25</v>
      </c>
      <c r="T4516" s="1" t="str">
        <f t="shared" si="8611"/>
        <v>0</v>
      </c>
      <c r="U4516" s="1" t="str">
        <f t="shared" si="8663"/>
        <v>0.0070</v>
      </c>
    </row>
    <row r="4517" s="1" customFormat="1" spans="1:21">
      <c r="A4517" s="1" t="str">
        <f>"4601992117683"</f>
        <v>4601992117683</v>
      </c>
      <c r="B4517" s="1" t="s">
        <v>4540</v>
      </c>
      <c r="C4517" s="1" t="s">
        <v>24</v>
      </c>
      <c r="D4517" s="1" t="str">
        <f t="shared" si="8607"/>
        <v>2021</v>
      </c>
      <c r="E4517" s="1" t="str">
        <f t="shared" ref="E4517:P4517" si="8670">"0"</f>
        <v>0</v>
      </c>
      <c r="F4517" s="1" t="str">
        <f t="shared" si="8670"/>
        <v>0</v>
      </c>
      <c r="G4517" s="1" t="str">
        <f t="shared" si="8670"/>
        <v>0</v>
      </c>
      <c r="H4517" s="1" t="str">
        <f t="shared" si="8670"/>
        <v>0</v>
      </c>
      <c r="I4517" s="1" t="str">
        <f t="shared" si="8670"/>
        <v>0</v>
      </c>
      <c r="J4517" s="1" t="str">
        <f t="shared" si="8670"/>
        <v>0</v>
      </c>
      <c r="K4517" s="1" t="str">
        <f t="shared" si="8670"/>
        <v>0</v>
      </c>
      <c r="L4517" s="1" t="str">
        <f t="shared" si="8670"/>
        <v>0</v>
      </c>
      <c r="M4517" s="1" t="str">
        <f t="shared" si="8670"/>
        <v>0</v>
      </c>
      <c r="N4517" s="1" t="str">
        <f t="shared" si="8670"/>
        <v>0</v>
      </c>
      <c r="O4517" s="1" t="str">
        <f t="shared" si="8670"/>
        <v>0</v>
      </c>
      <c r="P4517" s="1" t="str">
        <f t="shared" si="8670"/>
        <v>0</v>
      </c>
      <c r="Q4517" s="1" t="str">
        <f t="shared" si="8610"/>
        <v>0.0070</v>
      </c>
      <c r="R4517" s="1" t="s">
        <v>25</v>
      </c>
      <c r="T4517" s="1" t="str">
        <f t="shared" si="8611"/>
        <v>0</v>
      </c>
      <c r="U4517" s="1" t="str">
        <f t="shared" si="8663"/>
        <v>0.0070</v>
      </c>
    </row>
    <row r="4518" s="1" customFormat="1" spans="1:21">
      <c r="A4518" s="1" t="str">
        <f>"4601992117722"</f>
        <v>4601992117722</v>
      </c>
      <c r="B4518" s="1" t="s">
        <v>4541</v>
      </c>
      <c r="C4518" s="1" t="s">
        <v>24</v>
      </c>
      <c r="D4518" s="1" t="str">
        <f t="shared" si="8607"/>
        <v>2021</v>
      </c>
      <c r="E4518" s="1" t="str">
        <f t="shared" ref="E4518:P4518" si="8671">"0"</f>
        <v>0</v>
      </c>
      <c r="F4518" s="1" t="str">
        <f t="shared" si="8671"/>
        <v>0</v>
      </c>
      <c r="G4518" s="1" t="str">
        <f t="shared" si="8671"/>
        <v>0</v>
      </c>
      <c r="H4518" s="1" t="str">
        <f t="shared" si="8671"/>
        <v>0</v>
      </c>
      <c r="I4518" s="1" t="str">
        <f t="shared" si="8671"/>
        <v>0</v>
      </c>
      <c r="J4518" s="1" t="str">
        <f t="shared" si="8671"/>
        <v>0</v>
      </c>
      <c r="K4518" s="1" t="str">
        <f t="shared" si="8671"/>
        <v>0</v>
      </c>
      <c r="L4518" s="1" t="str">
        <f t="shared" si="8671"/>
        <v>0</v>
      </c>
      <c r="M4518" s="1" t="str">
        <f t="shared" si="8671"/>
        <v>0</v>
      </c>
      <c r="N4518" s="1" t="str">
        <f t="shared" si="8671"/>
        <v>0</v>
      </c>
      <c r="O4518" s="1" t="str">
        <f t="shared" si="8671"/>
        <v>0</v>
      </c>
      <c r="P4518" s="1" t="str">
        <f t="shared" si="8671"/>
        <v>0</v>
      </c>
      <c r="Q4518" s="1" t="str">
        <f t="shared" si="8610"/>
        <v>0.0070</v>
      </c>
      <c r="R4518" s="1" t="s">
        <v>25</v>
      </c>
      <c r="T4518" s="1" t="str">
        <f t="shared" si="8611"/>
        <v>0</v>
      </c>
      <c r="U4518" s="1" t="str">
        <f t="shared" si="8663"/>
        <v>0.0070</v>
      </c>
    </row>
    <row r="4519" s="1" customFormat="1" spans="1:21">
      <c r="A4519" s="1" t="str">
        <f>"4601992117778"</f>
        <v>4601992117778</v>
      </c>
      <c r="B4519" s="1" t="s">
        <v>4542</v>
      </c>
      <c r="C4519" s="1" t="s">
        <v>24</v>
      </c>
      <c r="D4519" s="1" t="str">
        <f t="shared" si="8607"/>
        <v>2021</v>
      </c>
      <c r="E4519" s="1" t="str">
        <f t="shared" ref="E4519:P4519" si="8672">"0"</f>
        <v>0</v>
      </c>
      <c r="F4519" s="1" t="str">
        <f t="shared" si="8672"/>
        <v>0</v>
      </c>
      <c r="G4519" s="1" t="str">
        <f t="shared" si="8672"/>
        <v>0</v>
      </c>
      <c r="H4519" s="1" t="str">
        <f t="shared" si="8672"/>
        <v>0</v>
      </c>
      <c r="I4519" s="1" t="str">
        <f t="shared" si="8672"/>
        <v>0</v>
      </c>
      <c r="J4519" s="1" t="str">
        <f t="shared" si="8672"/>
        <v>0</v>
      </c>
      <c r="K4519" s="1" t="str">
        <f t="shared" si="8672"/>
        <v>0</v>
      </c>
      <c r="L4519" s="1" t="str">
        <f t="shared" si="8672"/>
        <v>0</v>
      </c>
      <c r="M4519" s="1" t="str">
        <f t="shared" si="8672"/>
        <v>0</v>
      </c>
      <c r="N4519" s="1" t="str">
        <f t="shared" si="8672"/>
        <v>0</v>
      </c>
      <c r="O4519" s="1" t="str">
        <f t="shared" si="8672"/>
        <v>0</v>
      </c>
      <c r="P4519" s="1" t="str">
        <f t="shared" si="8672"/>
        <v>0</v>
      </c>
      <c r="Q4519" s="1" t="str">
        <f t="shared" si="8610"/>
        <v>0.0070</v>
      </c>
      <c r="R4519" s="1" t="s">
        <v>25</v>
      </c>
      <c r="T4519" s="1" t="str">
        <f t="shared" si="8611"/>
        <v>0</v>
      </c>
      <c r="U4519" s="1" t="str">
        <f t="shared" si="8663"/>
        <v>0.0070</v>
      </c>
    </row>
    <row r="4520" s="1" customFormat="1" spans="1:21">
      <c r="A4520" s="1" t="str">
        <f>"4601992117883"</f>
        <v>4601992117883</v>
      </c>
      <c r="B4520" s="1" t="s">
        <v>4543</v>
      </c>
      <c r="C4520" s="1" t="s">
        <v>24</v>
      </c>
      <c r="D4520" s="1" t="str">
        <f t="shared" si="8607"/>
        <v>2021</v>
      </c>
      <c r="E4520" s="1" t="str">
        <f t="shared" ref="E4520:P4520" si="8673">"0"</f>
        <v>0</v>
      </c>
      <c r="F4520" s="1" t="str">
        <f t="shared" si="8673"/>
        <v>0</v>
      </c>
      <c r="G4520" s="1" t="str">
        <f t="shared" si="8673"/>
        <v>0</v>
      </c>
      <c r="H4520" s="1" t="str">
        <f t="shared" si="8673"/>
        <v>0</v>
      </c>
      <c r="I4520" s="1" t="str">
        <f t="shared" si="8673"/>
        <v>0</v>
      </c>
      <c r="J4520" s="1" t="str">
        <f t="shared" si="8673"/>
        <v>0</v>
      </c>
      <c r="K4520" s="1" t="str">
        <f t="shared" si="8673"/>
        <v>0</v>
      </c>
      <c r="L4520" s="1" t="str">
        <f t="shared" si="8673"/>
        <v>0</v>
      </c>
      <c r="M4520" s="1" t="str">
        <f t="shared" si="8673"/>
        <v>0</v>
      </c>
      <c r="N4520" s="1" t="str">
        <f t="shared" si="8673"/>
        <v>0</v>
      </c>
      <c r="O4520" s="1" t="str">
        <f t="shared" si="8673"/>
        <v>0</v>
      </c>
      <c r="P4520" s="1" t="str">
        <f t="shared" si="8673"/>
        <v>0</v>
      </c>
      <c r="Q4520" s="1" t="str">
        <f t="shared" si="8610"/>
        <v>0.0070</v>
      </c>
      <c r="R4520" s="1" t="s">
        <v>25</v>
      </c>
      <c r="T4520" s="1" t="str">
        <f t="shared" si="8611"/>
        <v>0</v>
      </c>
      <c r="U4520" s="1" t="str">
        <f t="shared" si="8663"/>
        <v>0.0070</v>
      </c>
    </row>
    <row r="4521" s="1" customFormat="1" spans="1:21">
      <c r="A4521" s="1" t="str">
        <f>"4601992117891"</f>
        <v>4601992117891</v>
      </c>
      <c r="B4521" s="1" t="s">
        <v>4544</v>
      </c>
      <c r="C4521" s="1" t="s">
        <v>24</v>
      </c>
      <c r="D4521" s="1" t="str">
        <f t="shared" si="8607"/>
        <v>2021</v>
      </c>
      <c r="E4521" s="1" t="str">
        <f t="shared" ref="E4521:P4521" si="8674">"0"</f>
        <v>0</v>
      </c>
      <c r="F4521" s="1" t="str">
        <f t="shared" si="8674"/>
        <v>0</v>
      </c>
      <c r="G4521" s="1" t="str">
        <f t="shared" si="8674"/>
        <v>0</v>
      </c>
      <c r="H4521" s="1" t="str">
        <f t="shared" si="8674"/>
        <v>0</v>
      </c>
      <c r="I4521" s="1" t="str">
        <f t="shared" si="8674"/>
        <v>0</v>
      </c>
      <c r="J4521" s="1" t="str">
        <f t="shared" si="8674"/>
        <v>0</v>
      </c>
      <c r="K4521" s="1" t="str">
        <f t="shared" si="8674"/>
        <v>0</v>
      </c>
      <c r="L4521" s="1" t="str">
        <f t="shared" si="8674"/>
        <v>0</v>
      </c>
      <c r="M4521" s="1" t="str">
        <f t="shared" si="8674"/>
        <v>0</v>
      </c>
      <c r="N4521" s="1" t="str">
        <f t="shared" si="8674"/>
        <v>0</v>
      </c>
      <c r="O4521" s="1" t="str">
        <f t="shared" si="8674"/>
        <v>0</v>
      </c>
      <c r="P4521" s="1" t="str">
        <f t="shared" si="8674"/>
        <v>0</v>
      </c>
      <c r="Q4521" s="1" t="str">
        <f t="shared" si="8610"/>
        <v>0.0070</v>
      </c>
      <c r="R4521" s="1" t="s">
        <v>25</v>
      </c>
      <c r="T4521" s="1" t="str">
        <f t="shared" si="8611"/>
        <v>0</v>
      </c>
      <c r="U4521" s="1" t="str">
        <f t="shared" si="8663"/>
        <v>0.0070</v>
      </c>
    </row>
    <row r="4522" s="1" customFormat="1" spans="1:21">
      <c r="A4522" s="1" t="str">
        <f>"4601992117915"</f>
        <v>4601992117915</v>
      </c>
      <c r="B4522" s="1" t="s">
        <v>4545</v>
      </c>
      <c r="C4522" s="1" t="s">
        <v>24</v>
      </c>
      <c r="D4522" s="1" t="str">
        <f t="shared" si="8607"/>
        <v>2021</v>
      </c>
      <c r="E4522" s="1" t="str">
        <f t="shared" ref="E4522:P4522" si="8675">"0"</f>
        <v>0</v>
      </c>
      <c r="F4522" s="1" t="str">
        <f t="shared" si="8675"/>
        <v>0</v>
      </c>
      <c r="G4522" s="1" t="str">
        <f t="shared" si="8675"/>
        <v>0</v>
      </c>
      <c r="H4522" s="1" t="str">
        <f t="shared" si="8675"/>
        <v>0</v>
      </c>
      <c r="I4522" s="1" t="str">
        <f t="shared" si="8675"/>
        <v>0</v>
      </c>
      <c r="J4522" s="1" t="str">
        <f t="shared" si="8675"/>
        <v>0</v>
      </c>
      <c r="K4522" s="1" t="str">
        <f t="shared" si="8675"/>
        <v>0</v>
      </c>
      <c r="L4522" s="1" t="str">
        <f t="shared" si="8675"/>
        <v>0</v>
      </c>
      <c r="M4522" s="1" t="str">
        <f t="shared" si="8675"/>
        <v>0</v>
      </c>
      <c r="N4522" s="1" t="str">
        <f t="shared" si="8675"/>
        <v>0</v>
      </c>
      <c r="O4522" s="1" t="str">
        <f t="shared" si="8675"/>
        <v>0</v>
      </c>
      <c r="P4522" s="1" t="str">
        <f t="shared" si="8675"/>
        <v>0</v>
      </c>
      <c r="Q4522" s="1" t="str">
        <f t="shared" si="8610"/>
        <v>0.0070</v>
      </c>
      <c r="R4522" s="1" t="s">
        <v>25</v>
      </c>
      <c r="T4522" s="1" t="str">
        <f t="shared" si="8611"/>
        <v>0</v>
      </c>
      <c r="U4522" s="1" t="str">
        <f t="shared" si="8663"/>
        <v>0.0070</v>
      </c>
    </row>
    <row r="4523" s="1" customFormat="1" spans="1:21">
      <c r="A4523" s="1" t="str">
        <f>"4601992118125"</f>
        <v>4601992118125</v>
      </c>
      <c r="B4523" s="1" t="s">
        <v>4546</v>
      </c>
      <c r="C4523" s="1" t="s">
        <v>24</v>
      </c>
      <c r="D4523" s="1" t="str">
        <f t="shared" si="8607"/>
        <v>2021</v>
      </c>
      <c r="E4523" s="1" t="str">
        <f t="shared" ref="E4523:P4523" si="8676">"0"</f>
        <v>0</v>
      </c>
      <c r="F4523" s="1" t="str">
        <f t="shared" si="8676"/>
        <v>0</v>
      </c>
      <c r="G4523" s="1" t="str">
        <f t="shared" si="8676"/>
        <v>0</v>
      </c>
      <c r="H4523" s="1" t="str">
        <f t="shared" si="8676"/>
        <v>0</v>
      </c>
      <c r="I4523" s="1" t="str">
        <f t="shared" si="8676"/>
        <v>0</v>
      </c>
      <c r="J4523" s="1" t="str">
        <f t="shared" si="8676"/>
        <v>0</v>
      </c>
      <c r="K4523" s="1" t="str">
        <f t="shared" si="8676"/>
        <v>0</v>
      </c>
      <c r="L4523" s="1" t="str">
        <f t="shared" si="8676"/>
        <v>0</v>
      </c>
      <c r="M4523" s="1" t="str">
        <f t="shared" si="8676"/>
        <v>0</v>
      </c>
      <c r="N4523" s="1" t="str">
        <f t="shared" si="8676"/>
        <v>0</v>
      </c>
      <c r="O4523" s="1" t="str">
        <f t="shared" si="8676"/>
        <v>0</v>
      </c>
      <c r="P4523" s="1" t="str">
        <f t="shared" si="8676"/>
        <v>0</v>
      </c>
      <c r="Q4523" s="1" t="str">
        <f t="shared" si="8610"/>
        <v>0.0070</v>
      </c>
      <c r="R4523" s="1" t="s">
        <v>25</v>
      </c>
      <c r="T4523" s="1" t="str">
        <f t="shared" si="8611"/>
        <v>0</v>
      </c>
      <c r="U4523" s="1" t="str">
        <f t="shared" si="8663"/>
        <v>0.0070</v>
      </c>
    </row>
    <row r="4524" s="1" customFormat="1" spans="1:21">
      <c r="A4524" s="1" t="str">
        <f>"4601992118315"</f>
        <v>4601992118315</v>
      </c>
      <c r="B4524" s="1" t="s">
        <v>4547</v>
      </c>
      <c r="C4524" s="1" t="s">
        <v>24</v>
      </c>
      <c r="D4524" s="1" t="str">
        <f t="shared" si="8607"/>
        <v>2021</v>
      </c>
      <c r="E4524" s="1" t="str">
        <f t="shared" ref="E4524:P4524" si="8677">"0"</f>
        <v>0</v>
      </c>
      <c r="F4524" s="1" t="str">
        <f t="shared" si="8677"/>
        <v>0</v>
      </c>
      <c r="G4524" s="1" t="str">
        <f t="shared" si="8677"/>
        <v>0</v>
      </c>
      <c r="H4524" s="1" t="str">
        <f t="shared" si="8677"/>
        <v>0</v>
      </c>
      <c r="I4524" s="1" t="str">
        <f t="shared" si="8677"/>
        <v>0</v>
      </c>
      <c r="J4524" s="1" t="str">
        <f t="shared" si="8677"/>
        <v>0</v>
      </c>
      <c r="K4524" s="1" t="str">
        <f t="shared" si="8677"/>
        <v>0</v>
      </c>
      <c r="L4524" s="1" t="str">
        <f t="shared" si="8677"/>
        <v>0</v>
      </c>
      <c r="M4524" s="1" t="str">
        <f t="shared" si="8677"/>
        <v>0</v>
      </c>
      <c r="N4524" s="1" t="str">
        <f t="shared" si="8677"/>
        <v>0</v>
      </c>
      <c r="O4524" s="1" t="str">
        <f t="shared" si="8677"/>
        <v>0</v>
      </c>
      <c r="P4524" s="1" t="str">
        <f t="shared" si="8677"/>
        <v>0</v>
      </c>
      <c r="Q4524" s="1" t="str">
        <f t="shared" si="8610"/>
        <v>0.0070</v>
      </c>
      <c r="R4524" s="1" t="s">
        <v>25</v>
      </c>
      <c r="T4524" s="1" t="str">
        <f t="shared" si="8611"/>
        <v>0</v>
      </c>
      <c r="U4524" s="1" t="str">
        <f t="shared" si="8663"/>
        <v>0.0070</v>
      </c>
    </row>
    <row r="4525" s="1" customFormat="1" spans="1:21">
      <c r="A4525" s="1" t="str">
        <f>"4601992118131"</f>
        <v>4601992118131</v>
      </c>
      <c r="B4525" s="1" t="s">
        <v>4548</v>
      </c>
      <c r="C4525" s="1" t="s">
        <v>24</v>
      </c>
      <c r="D4525" s="1" t="str">
        <f t="shared" si="8607"/>
        <v>2021</v>
      </c>
      <c r="E4525" s="1" t="str">
        <f t="shared" ref="E4525:P4525" si="8678">"0"</f>
        <v>0</v>
      </c>
      <c r="F4525" s="1" t="str">
        <f t="shared" si="8678"/>
        <v>0</v>
      </c>
      <c r="G4525" s="1" t="str">
        <f t="shared" si="8678"/>
        <v>0</v>
      </c>
      <c r="H4525" s="1" t="str">
        <f t="shared" si="8678"/>
        <v>0</v>
      </c>
      <c r="I4525" s="1" t="str">
        <f t="shared" si="8678"/>
        <v>0</v>
      </c>
      <c r="J4525" s="1" t="str">
        <f t="shared" si="8678"/>
        <v>0</v>
      </c>
      <c r="K4525" s="1" t="str">
        <f t="shared" si="8678"/>
        <v>0</v>
      </c>
      <c r="L4525" s="1" t="str">
        <f t="shared" si="8678"/>
        <v>0</v>
      </c>
      <c r="M4525" s="1" t="str">
        <f t="shared" si="8678"/>
        <v>0</v>
      </c>
      <c r="N4525" s="1" t="str">
        <f t="shared" si="8678"/>
        <v>0</v>
      </c>
      <c r="O4525" s="1" t="str">
        <f t="shared" si="8678"/>
        <v>0</v>
      </c>
      <c r="P4525" s="1" t="str">
        <f t="shared" si="8678"/>
        <v>0</v>
      </c>
      <c r="Q4525" s="1" t="str">
        <f t="shared" si="8610"/>
        <v>0.0070</v>
      </c>
      <c r="R4525" s="1" t="s">
        <v>25</v>
      </c>
      <c r="T4525" s="1" t="str">
        <f t="shared" si="8611"/>
        <v>0</v>
      </c>
      <c r="U4525" s="1" t="str">
        <f t="shared" si="8663"/>
        <v>0.0070</v>
      </c>
    </row>
    <row r="4526" s="1" customFormat="1" spans="1:21">
      <c r="A4526" s="1" t="str">
        <f>"4601992118064"</f>
        <v>4601992118064</v>
      </c>
      <c r="B4526" s="1" t="s">
        <v>4549</v>
      </c>
      <c r="C4526" s="1" t="s">
        <v>24</v>
      </c>
      <c r="D4526" s="1" t="str">
        <f t="shared" si="8607"/>
        <v>2021</v>
      </c>
      <c r="E4526" s="1" t="str">
        <f>"12.48"</f>
        <v>12.48</v>
      </c>
      <c r="F4526" s="1" t="str">
        <f t="shared" ref="F4526:I4526" si="8679">"0"</f>
        <v>0</v>
      </c>
      <c r="G4526" s="1" t="str">
        <f t="shared" si="8679"/>
        <v>0</v>
      </c>
      <c r="H4526" s="1" t="str">
        <f t="shared" si="8679"/>
        <v>0</v>
      </c>
      <c r="I4526" s="1" t="str">
        <f t="shared" si="8679"/>
        <v>0</v>
      </c>
      <c r="J4526" s="1" t="str">
        <f>"2"</f>
        <v>2</v>
      </c>
      <c r="K4526" s="1" t="str">
        <f t="shared" ref="K4526:P4526" si="8680">"0"</f>
        <v>0</v>
      </c>
      <c r="L4526" s="1" t="str">
        <f t="shared" si="8680"/>
        <v>0</v>
      </c>
      <c r="M4526" s="1" t="str">
        <f t="shared" si="8680"/>
        <v>0</v>
      </c>
      <c r="N4526" s="1" t="str">
        <f t="shared" si="8680"/>
        <v>0</v>
      </c>
      <c r="O4526" s="1" t="str">
        <f t="shared" si="8680"/>
        <v>0</v>
      </c>
      <c r="P4526" s="1" t="str">
        <f t="shared" si="8680"/>
        <v>0</v>
      </c>
      <c r="Q4526" s="1" t="str">
        <f t="shared" si="8610"/>
        <v>0.0070</v>
      </c>
      <c r="R4526" s="1" t="s">
        <v>29</v>
      </c>
      <c r="S4526" s="1">
        <v>-0.0014</v>
      </c>
      <c r="T4526" s="1" t="str">
        <f t="shared" si="8611"/>
        <v>0</v>
      </c>
      <c r="U4526" s="1" t="str">
        <f>"0.0056"</f>
        <v>0.0056</v>
      </c>
    </row>
    <row r="4527" s="1" customFormat="1" spans="1:21">
      <c r="A4527" s="1" t="str">
        <f>"4601992118401"</f>
        <v>4601992118401</v>
      </c>
      <c r="B4527" s="1" t="s">
        <v>4550</v>
      </c>
      <c r="C4527" s="1" t="s">
        <v>24</v>
      </c>
      <c r="D4527" s="1" t="str">
        <f t="shared" si="8607"/>
        <v>2021</v>
      </c>
      <c r="E4527" s="1" t="str">
        <f t="shared" ref="E4527:P4527" si="8681">"0"</f>
        <v>0</v>
      </c>
      <c r="F4527" s="1" t="str">
        <f t="shared" si="8681"/>
        <v>0</v>
      </c>
      <c r="G4527" s="1" t="str">
        <f t="shared" si="8681"/>
        <v>0</v>
      </c>
      <c r="H4527" s="1" t="str">
        <f t="shared" si="8681"/>
        <v>0</v>
      </c>
      <c r="I4527" s="1" t="str">
        <f t="shared" si="8681"/>
        <v>0</v>
      </c>
      <c r="J4527" s="1" t="str">
        <f t="shared" si="8681"/>
        <v>0</v>
      </c>
      <c r="K4527" s="1" t="str">
        <f t="shared" si="8681"/>
        <v>0</v>
      </c>
      <c r="L4527" s="1" t="str">
        <f t="shared" si="8681"/>
        <v>0</v>
      </c>
      <c r="M4527" s="1" t="str">
        <f t="shared" si="8681"/>
        <v>0</v>
      </c>
      <c r="N4527" s="1" t="str">
        <f t="shared" si="8681"/>
        <v>0</v>
      </c>
      <c r="O4527" s="1" t="str">
        <f t="shared" si="8681"/>
        <v>0</v>
      </c>
      <c r="P4527" s="1" t="str">
        <f t="shared" si="8681"/>
        <v>0</v>
      </c>
      <c r="Q4527" s="1" t="str">
        <f t="shared" si="8610"/>
        <v>0.0070</v>
      </c>
      <c r="R4527" s="1" t="s">
        <v>25</v>
      </c>
      <c r="T4527" s="1" t="str">
        <f t="shared" si="8611"/>
        <v>0</v>
      </c>
      <c r="U4527" s="1" t="str">
        <f t="shared" ref="U4527:U4540" si="8682">"0.0070"</f>
        <v>0.0070</v>
      </c>
    </row>
    <row r="4528" s="1" customFormat="1" spans="1:21">
      <c r="A4528" s="1" t="str">
        <f>"4601992118444"</f>
        <v>4601992118444</v>
      </c>
      <c r="B4528" s="1" t="s">
        <v>4551</v>
      </c>
      <c r="C4528" s="1" t="s">
        <v>24</v>
      </c>
      <c r="D4528" s="1" t="str">
        <f t="shared" si="8607"/>
        <v>2021</v>
      </c>
      <c r="E4528" s="1" t="str">
        <f t="shared" ref="E4528:P4528" si="8683">"0"</f>
        <v>0</v>
      </c>
      <c r="F4528" s="1" t="str">
        <f t="shared" si="8683"/>
        <v>0</v>
      </c>
      <c r="G4528" s="1" t="str">
        <f t="shared" si="8683"/>
        <v>0</v>
      </c>
      <c r="H4528" s="1" t="str">
        <f t="shared" si="8683"/>
        <v>0</v>
      </c>
      <c r="I4528" s="1" t="str">
        <f t="shared" si="8683"/>
        <v>0</v>
      </c>
      <c r="J4528" s="1" t="str">
        <f t="shared" si="8683"/>
        <v>0</v>
      </c>
      <c r="K4528" s="1" t="str">
        <f t="shared" si="8683"/>
        <v>0</v>
      </c>
      <c r="L4528" s="1" t="str">
        <f t="shared" si="8683"/>
        <v>0</v>
      </c>
      <c r="M4528" s="1" t="str">
        <f t="shared" si="8683"/>
        <v>0</v>
      </c>
      <c r="N4528" s="1" t="str">
        <f t="shared" si="8683"/>
        <v>0</v>
      </c>
      <c r="O4528" s="1" t="str">
        <f t="shared" si="8683"/>
        <v>0</v>
      </c>
      <c r="P4528" s="1" t="str">
        <f t="shared" si="8683"/>
        <v>0</v>
      </c>
      <c r="Q4528" s="1" t="str">
        <f t="shared" si="8610"/>
        <v>0.0070</v>
      </c>
      <c r="R4528" s="1" t="s">
        <v>25</v>
      </c>
      <c r="T4528" s="1" t="str">
        <f t="shared" si="8611"/>
        <v>0</v>
      </c>
      <c r="U4528" s="1" t="str">
        <f t="shared" si="8682"/>
        <v>0.0070</v>
      </c>
    </row>
    <row r="4529" s="1" customFormat="1" spans="1:21">
      <c r="A4529" s="1" t="str">
        <f>"4601992118465"</f>
        <v>4601992118465</v>
      </c>
      <c r="B4529" s="1" t="s">
        <v>4552</v>
      </c>
      <c r="C4529" s="1" t="s">
        <v>24</v>
      </c>
      <c r="D4529" s="1" t="str">
        <f t="shared" si="8607"/>
        <v>2021</v>
      </c>
      <c r="E4529" s="1" t="str">
        <f t="shared" ref="E4529:P4529" si="8684">"0"</f>
        <v>0</v>
      </c>
      <c r="F4529" s="1" t="str">
        <f t="shared" si="8684"/>
        <v>0</v>
      </c>
      <c r="G4529" s="1" t="str">
        <f t="shared" si="8684"/>
        <v>0</v>
      </c>
      <c r="H4529" s="1" t="str">
        <f t="shared" si="8684"/>
        <v>0</v>
      </c>
      <c r="I4529" s="1" t="str">
        <f t="shared" si="8684"/>
        <v>0</v>
      </c>
      <c r="J4529" s="1" t="str">
        <f t="shared" si="8684"/>
        <v>0</v>
      </c>
      <c r="K4529" s="1" t="str">
        <f t="shared" si="8684"/>
        <v>0</v>
      </c>
      <c r="L4529" s="1" t="str">
        <f t="shared" si="8684"/>
        <v>0</v>
      </c>
      <c r="M4529" s="1" t="str">
        <f t="shared" si="8684"/>
        <v>0</v>
      </c>
      <c r="N4529" s="1" t="str">
        <f t="shared" si="8684"/>
        <v>0</v>
      </c>
      <c r="O4529" s="1" t="str">
        <f t="shared" si="8684"/>
        <v>0</v>
      </c>
      <c r="P4529" s="1" t="str">
        <f t="shared" si="8684"/>
        <v>0</v>
      </c>
      <c r="Q4529" s="1" t="str">
        <f t="shared" si="8610"/>
        <v>0.0070</v>
      </c>
      <c r="R4529" s="1" t="s">
        <v>25</v>
      </c>
      <c r="T4529" s="1" t="str">
        <f t="shared" si="8611"/>
        <v>0</v>
      </c>
      <c r="U4529" s="1" t="str">
        <f t="shared" si="8682"/>
        <v>0.0070</v>
      </c>
    </row>
    <row r="4530" s="1" customFormat="1" spans="1:21">
      <c r="A4530" s="1" t="str">
        <f>"4601992118745"</f>
        <v>4601992118745</v>
      </c>
      <c r="B4530" s="1" t="s">
        <v>4553</v>
      </c>
      <c r="C4530" s="1" t="s">
        <v>24</v>
      </c>
      <c r="D4530" s="1" t="str">
        <f t="shared" si="8607"/>
        <v>2021</v>
      </c>
      <c r="E4530" s="1" t="str">
        <f t="shared" ref="E4530:P4530" si="8685">"0"</f>
        <v>0</v>
      </c>
      <c r="F4530" s="1" t="str">
        <f t="shared" si="8685"/>
        <v>0</v>
      </c>
      <c r="G4530" s="1" t="str">
        <f t="shared" si="8685"/>
        <v>0</v>
      </c>
      <c r="H4530" s="1" t="str">
        <f t="shared" si="8685"/>
        <v>0</v>
      </c>
      <c r="I4530" s="1" t="str">
        <f t="shared" si="8685"/>
        <v>0</v>
      </c>
      <c r="J4530" s="1" t="str">
        <f t="shared" si="8685"/>
        <v>0</v>
      </c>
      <c r="K4530" s="1" t="str">
        <f t="shared" si="8685"/>
        <v>0</v>
      </c>
      <c r="L4530" s="1" t="str">
        <f t="shared" si="8685"/>
        <v>0</v>
      </c>
      <c r="M4530" s="1" t="str">
        <f t="shared" si="8685"/>
        <v>0</v>
      </c>
      <c r="N4530" s="1" t="str">
        <f t="shared" si="8685"/>
        <v>0</v>
      </c>
      <c r="O4530" s="1" t="str">
        <f t="shared" si="8685"/>
        <v>0</v>
      </c>
      <c r="P4530" s="1" t="str">
        <f t="shared" si="8685"/>
        <v>0</v>
      </c>
      <c r="Q4530" s="1" t="str">
        <f t="shared" si="8610"/>
        <v>0.0070</v>
      </c>
      <c r="R4530" s="1" t="s">
        <v>25</v>
      </c>
      <c r="T4530" s="1" t="str">
        <f t="shared" si="8611"/>
        <v>0</v>
      </c>
      <c r="U4530" s="1" t="str">
        <f t="shared" si="8682"/>
        <v>0.0070</v>
      </c>
    </row>
    <row r="4531" s="1" customFormat="1" spans="1:21">
      <c r="A4531" s="1" t="str">
        <f>"4601992119281"</f>
        <v>4601992119281</v>
      </c>
      <c r="B4531" s="1" t="s">
        <v>4554</v>
      </c>
      <c r="C4531" s="1" t="s">
        <v>24</v>
      </c>
      <c r="D4531" s="1" t="str">
        <f t="shared" si="8607"/>
        <v>2021</v>
      </c>
      <c r="E4531" s="1" t="str">
        <f t="shared" ref="E4531:P4531" si="8686">"0"</f>
        <v>0</v>
      </c>
      <c r="F4531" s="1" t="str">
        <f t="shared" si="8686"/>
        <v>0</v>
      </c>
      <c r="G4531" s="1" t="str">
        <f t="shared" si="8686"/>
        <v>0</v>
      </c>
      <c r="H4531" s="1" t="str">
        <f t="shared" si="8686"/>
        <v>0</v>
      </c>
      <c r="I4531" s="1" t="str">
        <f t="shared" si="8686"/>
        <v>0</v>
      </c>
      <c r="J4531" s="1" t="str">
        <f t="shared" si="8686"/>
        <v>0</v>
      </c>
      <c r="K4531" s="1" t="str">
        <f t="shared" si="8686"/>
        <v>0</v>
      </c>
      <c r="L4531" s="1" t="str">
        <f t="shared" si="8686"/>
        <v>0</v>
      </c>
      <c r="M4531" s="1" t="str">
        <f t="shared" si="8686"/>
        <v>0</v>
      </c>
      <c r="N4531" s="1" t="str">
        <f t="shared" si="8686"/>
        <v>0</v>
      </c>
      <c r="O4531" s="1" t="str">
        <f t="shared" si="8686"/>
        <v>0</v>
      </c>
      <c r="P4531" s="1" t="str">
        <f t="shared" si="8686"/>
        <v>0</v>
      </c>
      <c r="Q4531" s="1" t="str">
        <f t="shared" si="8610"/>
        <v>0.0070</v>
      </c>
      <c r="R4531" s="1" t="s">
        <v>25</v>
      </c>
      <c r="T4531" s="1" t="str">
        <f t="shared" si="8611"/>
        <v>0</v>
      </c>
      <c r="U4531" s="1" t="str">
        <f t="shared" si="8682"/>
        <v>0.0070</v>
      </c>
    </row>
    <row r="4532" s="1" customFormat="1" spans="1:21">
      <c r="A4532" s="1" t="str">
        <f>"4601992119352"</f>
        <v>4601992119352</v>
      </c>
      <c r="B4532" s="1" t="s">
        <v>4555</v>
      </c>
      <c r="C4532" s="1" t="s">
        <v>24</v>
      </c>
      <c r="D4532" s="1" t="str">
        <f t="shared" si="8607"/>
        <v>2021</v>
      </c>
      <c r="E4532" s="1" t="str">
        <f t="shared" ref="E4532:P4532" si="8687">"0"</f>
        <v>0</v>
      </c>
      <c r="F4532" s="1" t="str">
        <f t="shared" si="8687"/>
        <v>0</v>
      </c>
      <c r="G4532" s="1" t="str">
        <f t="shared" si="8687"/>
        <v>0</v>
      </c>
      <c r="H4532" s="1" t="str">
        <f t="shared" si="8687"/>
        <v>0</v>
      </c>
      <c r="I4532" s="1" t="str">
        <f t="shared" si="8687"/>
        <v>0</v>
      </c>
      <c r="J4532" s="1" t="str">
        <f t="shared" si="8687"/>
        <v>0</v>
      </c>
      <c r="K4532" s="1" t="str">
        <f t="shared" si="8687"/>
        <v>0</v>
      </c>
      <c r="L4532" s="1" t="str">
        <f t="shared" si="8687"/>
        <v>0</v>
      </c>
      <c r="M4532" s="1" t="str">
        <f t="shared" si="8687"/>
        <v>0</v>
      </c>
      <c r="N4532" s="1" t="str">
        <f t="shared" si="8687"/>
        <v>0</v>
      </c>
      <c r="O4532" s="1" t="str">
        <f t="shared" si="8687"/>
        <v>0</v>
      </c>
      <c r="P4532" s="1" t="str">
        <f t="shared" si="8687"/>
        <v>0</v>
      </c>
      <c r="Q4532" s="1" t="str">
        <f t="shared" si="8610"/>
        <v>0.0070</v>
      </c>
      <c r="R4532" s="1" t="s">
        <v>25</v>
      </c>
      <c r="T4532" s="1" t="str">
        <f t="shared" si="8611"/>
        <v>0</v>
      </c>
      <c r="U4532" s="1" t="str">
        <f t="shared" si="8682"/>
        <v>0.0070</v>
      </c>
    </row>
    <row r="4533" s="1" customFormat="1" spans="1:21">
      <c r="A4533" s="1" t="str">
        <f>"4601992119347"</f>
        <v>4601992119347</v>
      </c>
      <c r="B4533" s="1" t="s">
        <v>4556</v>
      </c>
      <c r="C4533" s="1" t="s">
        <v>24</v>
      </c>
      <c r="D4533" s="1" t="str">
        <f t="shared" si="8607"/>
        <v>2021</v>
      </c>
      <c r="E4533" s="1" t="str">
        <f t="shared" ref="E4533:P4533" si="8688">"0"</f>
        <v>0</v>
      </c>
      <c r="F4533" s="1" t="str">
        <f t="shared" si="8688"/>
        <v>0</v>
      </c>
      <c r="G4533" s="1" t="str">
        <f t="shared" si="8688"/>
        <v>0</v>
      </c>
      <c r="H4533" s="1" t="str">
        <f t="shared" si="8688"/>
        <v>0</v>
      </c>
      <c r="I4533" s="1" t="str">
        <f t="shared" si="8688"/>
        <v>0</v>
      </c>
      <c r="J4533" s="1" t="str">
        <f t="shared" si="8688"/>
        <v>0</v>
      </c>
      <c r="K4533" s="1" t="str">
        <f t="shared" si="8688"/>
        <v>0</v>
      </c>
      <c r="L4533" s="1" t="str">
        <f t="shared" si="8688"/>
        <v>0</v>
      </c>
      <c r="M4533" s="1" t="str">
        <f t="shared" si="8688"/>
        <v>0</v>
      </c>
      <c r="N4533" s="1" t="str">
        <f t="shared" si="8688"/>
        <v>0</v>
      </c>
      <c r="O4533" s="1" t="str">
        <f t="shared" si="8688"/>
        <v>0</v>
      </c>
      <c r="P4533" s="1" t="str">
        <f t="shared" si="8688"/>
        <v>0</v>
      </c>
      <c r="Q4533" s="1" t="str">
        <f t="shared" si="8610"/>
        <v>0.0070</v>
      </c>
      <c r="R4533" s="1" t="s">
        <v>25</v>
      </c>
      <c r="T4533" s="1" t="str">
        <f t="shared" si="8611"/>
        <v>0</v>
      </c>
      <c r="U4533" s="1" t="str">
        <f t="shared" si="8682"/>
        <v>0.0070</v>
      </c>
    </row>
    <row r="4534" s="1" customFormat="1" spans="1:21">
      <c r="A4534" s="1" t="str">
        <f>"4601992120125"</f>
        <v>4601992120125</v>
      </c>
      <c r="B4534" s="1" t="s">
        <v>4557</v>
      </c>
      <c r="C4534" s="1" t="s">
        <v>24</v>
      </c>
      <c r="D4534" s="1" t="str">
        <f t="shared" si="8607"/>
        <v>2021</v>
      </c>
      <c r="E4534" s="1" t="str">
        <f t="shared" ref="E4534:P4534" si="8689">"0"</f>
        <v>0</v>
      </c>
      <c r="F4534" s="1" t="str">
        <f t="shared" si="8689"/>
        <v>0</v>
      </c>
      <c r="G4534" s="1" t="str">
        <f t="shared" si="8689"/>
        <v>0</v>
      </c>
      <c r="H4534" s="1" t="str">
        <f t="shared" si="8689"/>
        <v>0</v>
      </c>
      <c r="I4534" s="1" t="str">
        <f t="shared" si="8689"/>
        <v>0</v>
      </c>
      <c r="J4534" s="1" t="str">
        <f t="shared" si="8689"/>
        <v>0</v>
      </c>
      <c r="K4534" s="1" t="str">
        <f t="shared" si="8689"/>
        <v>0</v>
      </c>
      <c r="L4534" s="1" t="str">
        <f t="shared" si="8689"/>
        <v>0</v>
      </c>
      <c r="M4534" s="1" t="str">
        <f t="shared" si="8689"/>
        <v>0</v>
      </c>
      <c r="N4534" s="1" t="str">
        <f t="shared" si="8689"/>
        <v>0</v>
      </c>
      <c r="O4534" s="1" t="str">
        <f t="shared" si="8689"/>
        <v>0</v>
      </c>
      <c r="P4534" s="1" t="str">
        <f t="shared" si="8689"/>
        <v>0</v>
      </c>
      <c r="Q4534" s="1" t="str">
        <f t="shared" si="8610"/>
        <v>0.0070</v>
      </c>
      <c r="R4534" s="1" t="s">
        <v>25</v>
      </c>
      <c r="T4534" s="1" t="str">
        <f t="shared" si="8611"/>
        <v>0</v>
      </c>
      <c r="U4534" s="1" t="str">
        <f t="shared" si="8682"/>
        <v>0.0070</v>
      </c>
    </row>
    <row r="4535" s="1" customFormat="1" spans="1:21">
      <c r="A4535" s="1" t="str">
        <f>"4601992120374"</f>
        <v>4601992120374</v>
      </c>
      <c r="B4535" s="1" t="s">
        <v>4558</v>
      </c>
      <c r="C4535" s="1" t="s">
        <v>24</v>
      </c>
      <c r="D4535" s="1" t="str">
        <f t="shared" si="8607"/>
        <v>2021</v>
      </c>
      <c r="E4535" s="1" t="str">
        <f t="shared" ref="E4535:P4535" si="8690">"0"</f>
        <v>0</v>
      </c>
      <c r="F4535" s="1" t="str">
        <f t="shared" si="8690"/>
        <v>0</v>
      </c>
      <c r="G4535" s="1" t="str">
        <f t="shared" si="8690"/>
        <v>0</v>
      </c>
      <c r="H4535" s="1" t="str">
        <f t="shared" si="8690"/>
        <v>0</v>
      </c>
      <c r="I4535" s="1" t="str">
        <f t="shared" si="8690"/>
        <v>0</v>
      </c>
      <c r="J4535" s="1" t="str">
        <f t="shared" si="8690"/>
        <v>0</v>
      </c>
      <c r="K4535" s="1" t="str">
        <f t="shared" si="8690"/>
        <v>0</v>
      </c>
      <c r="L4535" s="1" t="str">
        <f t="shared" si="8690"/>
        <v>0</v>
      </c>
      <c r="M4535" s="1" t="str">
        <f t="shared" si="8690"/>
        <v>0</v>
      </c>
      <c r="N4535" s="1" t="str">
        <f t="shared" si="8690"/>
        <v>0</v>
      </c>
      <c r="O4535" s="1" t="str">
        <f t="shared" si="8690"/>
        <v>0</v>
      </c>
      <c r="P4535" s="1" t="str">
        <f t="shared" si="8690"/>
        <v>0</v>
      </c>
      <c r="Q4535" s="1" t="str">
        <f t="shared" si="8610"/>
        <v>0.0070</v>
      </c>
      <c r="R4535" s="1" t="s">
        <v>25</v>
      </c>
      <c r="T4535" s="1" t="str">
        <f t="shared" si="8611"/>
        <v>0</v>
      </c>
      <c r="U4535" s="1" t="str">
        <f t="shared" si="8682"/>
        <v>0.0070</v>
      </c>
    </row>
    <row r="4536" s="1" customFormat="1" spans="1:21">
      <c r="A4536" s="1" t="str">
        <f>"4601992120514"</f>
        <v>4601992120514</v>
      </c>
      <c r="B4536" s="1" t="s">
        <v>4559</v>
      </c>
      <c r="C4536" s="1" t="s">
        <v>24</v>
      </c>
      <c r="D4536" s="1" t="str">
        <f t="shared" si="8607"/>
        <v>2021</v>
      </c>
      <c r="E4536" s="1" t="str">
        <f t="shared" ref="E4536:P4536" si="8691">"0"</f>
        <v>0</v>
      </c>
      <c r="F4536" s="1" t="str">
        <f t="shared" si="8691"/>
        <v>0</v>
      </c>
      <c r="G4536" s="1" t="str">
        <f t="shared" si="8691"/>
        <v>0</v>
      </c>
      <c r="H4536" s="1" t="str">
        <f t="shared" si="8691"/>
        <v>0</v>
      </c>
      <c r="I4536" s="1" t="str">
        <f t="shared" si="8691"/>
        <v>0</v>
      </c>
      <c r="J4536" s="1" t="str">
        <f t="shared" si="8691"/>
        <v>0</v>
      </c>
      <c r="K4536" s="1" t="str">
        <f t="shared" si="8691"/>
        <v>0</v>
      </c>
      <c r="L4536" s="1" t="str">
        <f t="shared" si="8691"/>
        <v>0</v>
      </c>
      <c r="M4536" s="1" t="str">
        <f t="shared" si="8691"/>
        <v>0</v>
      </c>
      <c r="N4536" s="1" t="str">
        <f t="shared" si="8691"/>
        <v>0</v>
      </c>
      <c r="O4536" s="1" t="str">
        <f t="shared" si="8691"/>
        <v>0</v>
      </c>
      <c r="P4536" s="1" t="str">
        <f t="shared" si="8691"/>
        <v>0</v>
      </c>
      <c r="Q4536" s="1" t="str">
        <f t="shared" si="8610"/>
        <v>0.0070</v>
      </c>
      <c r="R4536" s="1" t="s">
        <v>25</v>
      </c>
      <c r="T4536" s="1" t="str">
        <f t="shared" si="8611"/>
        <v>0</v>
      </c>
      <c r="U4536" s="1" t="str">
        <f t="shared" si="8682"/>
        <v>0.0070</v>
      </c>
    </row>
    <row r="4537" s="1" customFormat="1" spans="1:21">
      <c r="A4537" s="1" t="str">
        <f>"4601992120487"</f>
        <v>4601992120487</v>
      </c>
      <c r="B4537" s="1" t="s">
        <v>4560</v>
      </c>
      <c r="C4537" s="1" t="s">
        <v>24</v>
      </c>
      <c r="D4537" s="1" t="str">
        <f t="shared" si="8607"/>
        <v>2021</v>
      </c>
      <c r="E4537" s="1" t="str">
        <f t="shared" ref="E4537:P4537" si="8692">"0"</f>
        <v>0</v>
      </c>
      <c r="F4537" s="1" t="str">
        <f t="shared" si="8692"/>
        <v>0</v>
      </c>
      <c r="G4537" s="1" t="str">
        <f t="shared" si="8692"/>
        <v>0</v>
      </c>
      <c r="H4537" s="1" t="str">
        <f t="shared" si="8692"/>
        <v>0</v>
      </c>
      <c r="I4537" s="1" t="str">
        <f t="shared" si="8692"/>
        <v>0</v>
      </c>
      <c r="J4537" s="1" t="str">
        <f t="shared" si="8692"/>
        <v>0</v>
      </c>
      <c r="K4537" s="1" t="str">
        <f t="shared" si="8692"/>
        <v>0</v>
      </c>
      <c r="L4537" s="1" t="str">
        <f t="shared" si="8692"/>
        <v>0</v>
      </c>
      <c r="M4537" s="1" t="str">
        <f t="shared" si="8692"/>
        <v>0</v>
      </c>
      <c r="N4537" s="1" t="str">
        <f t="shared" si="8692"/>
        <v>0</v>
      </c>
      <c r="O4537" s="1" t="str">
        <f t="shared" si="8692"/>
        <v>0</v>
      </c>
      <c r="P4537" s="1" t="str">
        <f t="shared" si="8692"/>
        <v>0</v>
      </c>
      <c r="Q4537" s="1" t="str">
        <f t="shared" si="8610"/>
        <v>0.0070</v>
      </c>
      <c r="R4537" s="1" t="s">
        <v>25</v>
      </c>
      <c r="T4537" s="1" t="str">
        <f t="shared" si="8611"/>
        <v>0</v>
      </c>
      <c r="U4537" s="1" t="str">
        <f t="shared" si="8682"/>
        <v>0.0070</v>
      </c>
    </row>
    <row r="4538" s="1" customFormat="1" spans="1:21">
      <c r="A4538" s="1" t="str">
        <f>"4601992120760"</f>
        <v>4601992120760</v>
      </c>
      <c r="B4538" s="1" t="s">
        <v>4561</v>
      </c>
      <c r="C4538" s="1" t="s">
        <v>24</v>
      </c>
      <c r="D4538" s="1" t="str">
        <f t="shared" si="8607"/>
        <v>2021</v>
      </c>
      <c r="E4538" s="1" t="str">
        <f t="shared" ref="E4538:P4538" si="8693">"0"</f>
        <v>0</v>
      </c>
      <c r="F4538" s="1" t="str">
        <f t="shared" si="8693"/>
        <v>0</v>
      </c>
      <c r="G4538" s="1" t="str">
        <f t="shared" si="8693"/>
        <v>0</v>
      </c>
      <c r="H4538" s="1" t="str">
        <f t="shared" si="8693"/>
        <v>0</v>
      </c>
      <c r="I4538" s="1" t="str">
        <f t="shared" si="8693"/>
        <v>0</v>
      </c>
      <c r="J4538" s="1" t="str">
        <f t="shared" si="8693"/>
        <v>0</v>
      </c>
      <c r="K4538" s="1" t="str">
        <f t="shared" si="8693"/>
        <v>0</v>
      </c>
      <c r="L4538" s="1" t="str">
        <f t="shared" si="8693"/>
        <v>0</v>
      </c>
      <c r="M4538" s="1" t="str">
        <f t="shared" si="8693"/>
        <v>0</v>
      </c>
      <c r="N4538" s="1" t="str">
        <f t="shared" si="8693"/>
        <v>0</v>
      </c>
      <c r="O4538" s="1" t="str">
        <f t="shared" si="8693"/>
        <v>0</v>
      </c>
      <c r="P4538" s="1" t="str">
        <f t="shared" si="8693"/>
        <v>0</v>
      </c>
      <c r="Q4538" s="1" t="str">
        <f t="shared" si="8610"/>
        <v>0.0070</v>
      </c>
      <c r="R4538" s="1" t="s">
        <v>25</v>
      </c>
      <c r="T4538" s="1" t="str">
        <f t="shared" si="8611"/>
        <v>0</v>
      </c>
      <c r="U4538" s="1" t="str">
        <f t="shared" si="8682"/>
        <v>0.0070</v>
      </c>
    </row>
    <row r="4539" s="1" customFormat="1" spans="1:21">
      <c r="A4539" s="1" t="str">
        <f>"4601992120832"</f>
        <v>4601992120832</v>
      </c>
      <c r="B4539" s="1" t="s">
        <v>4562</v>
      </c>
      <c r="C4539" s="1" t="s">
        <v>24</v>
      </c>
      <c r="D4539" s="1" t="str">
        <f t="shared" si="8607"/>
        <v>2021</v>
      </c>
      <c r="E4539" s="1" t="str">
        <f t="shared" ref="E4539:P4539" si="8694">"0"</f>
        <v>0</v>
      </c>
      <c r="F4539" s="1" t="str">
        <f t="shared" si="8694"/>
        <v>0</v>
      </c>
      <c r="G4539" s="1" t="str">
        <f t="shared" si="8694"/>
        <v>0</v>
      </c>
      <c r="H4539" s="1" t="str">
        <f t="shared" si="8694"/>
        <v>0</v>
      </c>
      <c r="I4539" s="1" t="str">
        <f t="shared" si="8694"/>
        <v>0</v>
      </c>
      <c r="J4539" s="1" t="str">
        <f t="shared" si="8694"/>
        <v>0</v>
      </c>
      <c r="K4539" s="1" t="str">
        <f t="shared" si="8694"/>
        <v>0</v>
      </c>
      <c r="L4539" s="1" t="str">
        <f t="shared" si="8694"/>
        <v>0</v>
      </c>
      <c r="M4539" s="1" t="str">
        <f t="shared" si="8694"/>
        <v>0</v>
      </c>
      <c r="N4539" s="1" t="str">
        <f t="shared" si="8694"/>
        <v>0</v>
      </c>
      <c r="O4539" s="1" t="str">
        <f t="shared" si="8694"/>
        <v>0</v>
      </c>
      <c r="P4539" s="1" t="str">
        <f t="shared" si="8694"/>
        <v>0</v>
      </c>
      <c r="Q4539" s="1" t="str">
        <f t="shared" si="8610"/>
        <v>0.0070</v>
      </c>
      <c r="R4539" s="1" t="s">
        <v>25</v>
      </c>
      <c r="T4539" s="1" t="str">
        <f t="shared" si="8611"/>
        <v>0</v>
      </c>
      <c r="U4539" s="1" t="str">
        <f t="shared" si="8682"/>
        <v>0.0070</v>
      </c>
    </row>
    <row r="4540" s="1" customFormat="1" spans="1:21">
      <c r="A4540" s="1" t="str">
        <f>"4601992120941"</f>
        <v>4601992120941</v>
      </c>
      <c r="B4540" s="1" t="s">
        <v>4563</v>
      </c>
      <c r="C4540" s="1" t="s">
        <v>24</v>
      </c>
      <c r="D4540" s="1" t="str">
        <f t="shared" si="8607"/>
        <v>2021</v>
      </c>
      <c r="E4540" s="1" t="str">
        <f t="shared" ref="E4540:P4540" si="8695">"0"</f>
        <v>0</v>
      </c>
      <c r="F4540" s="1" t="str">
        <f t="shared" si="8695"/>
        <v>0</v>
      </c>
      <c r="G4540" s="1" t="str">
        <f t="shared" si="8695"/>
        <v>0</v>
      </c>
      <c r="H4540" s="1" t="str">
        <f t="shared" si="8695"/>
        <v>0</v>
      </c>
      <c r="I4540" s="1" t="str">
        <f t="shared" si="8695"/>
        <v>0</v>
      </c>
      <c r="J4540" s="1" t="str">
        <f t="shared" si="8695"/>
        <v>0</v>
      </c>
      <c r="K4540" s="1" t="str">
        <f t="shared" si="8695"/>
        <v>0</v>
      </c>
      <c r="L4540" s="1" t="str">
        <f t="shared" si="8695"/>
        <v>0</v>
      </c>
      <c r="M4540" s="1" t="str">
        <f t="shared" si="8695"/>
        <v>0</v>
      </c>
      <c r="N4540" s="1" t="str">
        <f t="shared" si="8695"/>
        <v>0</v>
      </c>
      <c r="O4540" s="1" t="str">
        <f t="shared" si="8695"/>
        <v>0</v>
      </c>
      <c r="P4540" s="1" t="str">
        <f t="shared" si="8695"/>
        <v>0</v>
      </c>
      <c r="Q4540" s="1" t="str">
        <f t="shared" si="8610"/>
        <v>0.0070</v>
      </c>
      <c r="R4540" s="1" t="s">
        <v>25</v>
      </c>
      <c r="T4540" s="1" t="str">
        <f t="shared" si="8611"/>
        <v>0</v>
      </c>
      <c r="U4540" s="1" t="str">
        <f t="shared" si="8682"/>
        <v>0.0070</v>
      </c>
    </row>
    <row r="4541" s="1" customFormat="1" spans="1:21">
      <c r="A4541" s="1" t="str">
        <f>"4601992062472"</f>
        <v>4601992062472</v>
      </c>
      <c r="B4541" s="1" t="s">
        <v>4564</v>
      </c>
      <c r="C4541" s="1" t="s">
        <v>24</v>
      </c>
      <c r="D4541" s="1" t="str">
        <f t="shared" si="8607"/>
        <v>2021</v>
      </c>
      <c r="E4541" s="1" t="str">
        <f>"12.09"</f>
        <v>12.09</v>
      </c>
      <c r="F4541" s="1" t="str">
        <f t="shared" ref="F4541:I4541" si="8696">"0"</f>
        <v>0</v>
      </c>
      <c r="G4541" s="1" t="str">
        <f t="shared" si="8696"/>
        <v>0</v>
      </c>
      <c r="H4541" s="1" t="str">
        <f t="shared" si="8696"/>
        <v>0</v>
      </c>
      <c r="I4541" s="1" t="str">
        <f t="shared" si="8696"/>
        <v>0</v>
      </c>
      <c r="J4541" s="1" t="str">
        <f>"3"</f>
        <v>3</v>
      </c>
      <c r="K4541" s="1" t="str">
        <f t="shared" ref="K4541:P4541" si="8697">"0"</f>
        <v>0</v>
      </c>
      <c r="L4541" s="1" t="str">
        <f t="shared" si="8697"/>
        <v>0</v>
      </c>
      <c r="M4541" s="1" t="str">
        <f t="shared" si="8697"/>
        <v>0</v>
      </c>
      <c r="N4541" s="1" t="str">
        <f t="shared" si="8697"/>
        <v>0</v>
      </c>
      <c r="O4541" s="1" t="str">
        <f t="shared" si="8697"/>
        <v>0</v>
      </c>
      <c r="P4541" s="1" t="str">
        <f t="shared" si="8697"/>
        <v>0</v>
      </c>
      <c r="Q4541" s="1" t="str">
        <f t="shared" si="8610"/>
        <v>0.0070</v>
      </c>
      <c r="R4541" s="1" t="s">
        <v>29</v>
      </c>
      <c r="S4541" s="1">
        <v>-0.0014</v>
      </c>
      <c r="T4541" s="1" t="str">
        <f t="shared" si="8611"/>
        <v>0</v>
      </c>
      <c r="U4541" s="1" t="str">
        <f>"0.0056"</f>
        <v>0.0056</v>
      </c>
    </row>
    <row r="4542" s="1" customFormat="1" spans="1:21">
      <c r="A4542" s="1" t="str">
        <f>"4601992121027"</f>
        <v>4601992121027</v>
      </c>
      <c r="B4542" s="1" t="s">
        <v>4565</v>
      </c>
      <c r="C4542" s="1" t="s">
        <v>24</v>
      </c>
      <c r="D4542" s="1" t="str">
        <f t="shared" si="8607"/>
        <v>2021</v>
      </c>
      <c r="E4542" s="1" t="str">
        <f t="shared" ref="E4542:P4542" si="8698">"0"</f>
        <v>0</v>
      </c>
      <c r="F4542" s="1" t="str">
        <f t="shared" si="8698"/>
        <v>0</v>
      </c>
      <c r="G4542" s="1" t="str">
        <f t="shared" si="8698"/>
        <v>0</v>
      </c>
      <c r="H4542" s="1" t="str">
        <f t="shared" si="8698"/>
        <v>0</v>
      </c>
      <c r="I4542" s="1" t="str">
        <f t="shared" si="8698"/>
        <v>0</v>
      </c>
      <c r="J4542" s="1" t="str">
        <f t="shared" si="8698"/>
        <v>0</v>
      </c>
      <c r="K4542" s="1" t="str">
        <f t="shared" si="8698"/>
        <v>0</v>
      </c>
      <c r="L4542" s="1" t="str">
        <f t="shared" si="8698"/>
        <v>0</v>
      </c>
      <c r="M4542" s="1" t="str">
        <f t="shared" si="8698"/>
        <v>0</v>
      </c>
      <c r="N4542" s="1" t="str">
        <f t="shared" si="8698"/>
        <v>0</v>
      </c>
      <c r="O4542" s="1" t="str">
        <f t="shared" si="8698"/>
        <v>0</v>
      </c>
      <c r="P4542" s="1" t="str">
        <f t="shared" si="8698"/>
        <v>0</v>
      </c>
      <c r="Q4542" s="1" t="str">
        <f t="shared" si="8610"/>
        <v>0.0070</v>
      </c>
      <c r="R4542" s="1" t="s">
        <v>25</v>
      </c>
      <c r="T4542" s="1" t="str">
        <f t="shared" si="8611"/>
        <v>0</v>
      </c>
      <c r="U4542" s="1" t="str">
        <f t="shared" ref="U4542:U4556" si="8699">"0.0070"</f>
        <v>0.0070</v>
      </c>
    </row>
    <row r="4543" s="1" customFormat="1" spans="1:21">
      <c r="A4543" s="1" t="str">
        <f>"4601992121031"</f>
        <v>4601992121031</v>
      </c>
      <c r="B4543" s="1" t="s">
        <v>4566</v>
      </c>
      <c r="C4543" s="1" t="s">
        <v>24</v>
      </c>
      <c r="D4543" s="1" t="str">
        <f t="shared" si="8607"/>
        <v>2021</v>
      </c>
      <c r="E4543" s="1" t="str">
        <f t="shared" ref="E4543:P4543" si="8700">"0"</f>
        <v>0</v>
      </c>
      <c r="F4543" s="1" t="str">
        <f t="shared" si="8700"/>
        <v>0</v>
      </c>
      <c r="G4543" s="1" t="str">
        <f t="shared" si="8700"/>
        <v>0</v>
      </c>
      <c r="H4543" s="1" t="str">
        <f t="shared" si="8700"/>
        <v>0</v>
      </c>
      <c r="I4543" s="1" t="str">
        <f t="shared" si="8700"/>
        <v>0</v>
      </c>
      <c r="J4543" s="1" t="str">
        <f t="shared" si="8700"/>
        <v>0</v>
      </c>
      <c r="K4543" s="1" t="str">
        <f t="shared" si="8700"/>
        <v>0</v>
      </c>
      <c r="L4543" s="1" t="str">
        <f t="shared" si="8700"/>
        <v>0</v>
      </c>
      <c r="M4543" s="1" t="str">
        <f t="shared" si="8700"/>
        <v>0</v>
      </c>
      <c r="N4543" s="1" t="str">
        <f t="shared" si="8700"/>
        <v>0</v>
      </c>
      <c r="O4543" s="1" t="str">
        <f t="shared" si="8700"/>
        <v>0</v>
      </c>
      <c r="P4543" s="1" t="str">
        <f t="shared" si="8700"/>
        <v>0</v>
      </c>
      <c r="Q4543" s="1" t="str">
        <f t="shared" si="8610"/>
        <v>0.0070</v>
      </c>
      <c r="R4543" s="1" t="s">
        <v>25</v>
      </c>
      <c r="T4543" s="1" t="str">
        <f t="shared" si="8611"/>
        <v>0</v>
      </c>
      <c r="U4543" s="1" t="str">
        <f t="shared" si="8699"/>
        <v>0.0070</v>
      </c>
    </row>
    <row r="4544" s="1" customFormat="1" spans="1:21">
      <c r="A4544" s="1" t="str">
        <f>"4601992120372"</f>
        <v>4601992120372</v>
      </c>
      <c r="B4544" s="1" t="s">
        <v>4567</v>
      </c>
      <c r="C4544" s="1" t="s">
        <v>24</v>
      </c>
      <c r="D4544" s="1" t="str">
        <f t="shared" si="8607"/>
        <v>2021</v>
      </c>
      <c r="E4544" s="1" t="str">
        <f>"13959.43"</f>
        <v>13959.43</v>
      </c>
      <c r="F4544" s="1" t="str">
        <f>"4352.30"</f>
        <v>4352.30</v>
      </c>
      <c r="G4544" s="1" t="str">
        <f t="shared" ref="G4544:L4544" si="8701">"0"</f>
        <v>0</v>
      </c>
      <c r="H4544" s="1" t="str">
        <f t="shared" si="8701"/>
        <v>0</v>
      </c>
      <c r="I4544" s="1" t="str">
        <f>"0.3118"</f>
        <v>0.3118</v>
      </c>
      <c r="J4544" s="1" t="str">
        <f>"1180"</f>
        <v>1180</v>
      </c>
      <c r="K4544" s="1" t="str">
        <f>"5"</f>
        <v>5</v>
      </c>
      <c r="L4544" s="1" t="str">
        <f t="shared" si="8701"/>
        <v>0</v>
      </c>
      <c r="M4544" s="1" t="str">
        <f>"0.0042"</f>
        <v>0.0042</v>
      </c>
      <c r="N4544" s="1" t="str">
        <f t="shared" ref="N4544:P4544" si="8702">"0"</f>
        <v>0</v>
      </c>
      <c r="O4544" s="1" t="str">
        <f t="shared" si="8702"/>
        <v>0</v>
      </c>
      <c r="P4544" s="1" t="str">
        <f t="shared" si="8702"/>
        <v>0</v>
      </c>
      <c r="Q4544" s="1" t="str">
        <f t="shared" si="8610"/>
        <v>0.0070</v>
      </c>
      <c r="R4544" s="1" t="s">
        <v>29</v>
      </c>
      <c r="S4544" s="1">
        <v>-0.0014</v>
      </c>
      <c r="T4544" s="1" t="str">
        <f t="shared" si="8611"/>
        <v>0</v>
      </c>
      <c r="U4544" s="1" t="str">
        <f>"0.0056"</f>
        <v>0.0056</v>
      </c>
    </row>
    <row r="4545" s="1" customFormat="1" spans="1:21">
      <c r="A4545" s="1" t="str">
        <f>"4601992121091"</f>
        <v>4601992121091</v>
      </c>
      <c r="B4545" s="1" t="s">
        <v>4568</v>
      </c>
      <c r="C4545" s="1" t="s">
        <v>24</v>
      </c>
      <c r="D4545" s="1" t="str">
        <f t="shared" si="8607"/>
        <v>2021</v>
      </c>
      <c r="E4545" s="1" t="str">
        <f t="shared" ref="E4545:P4545" si="8703">"0"</f>
        <v>0</v>
      </c>
      <c r="F4545" s="1" t="str">
        <f t="shared" si="8703"/>
        <v>0</v>
      </c>
      <c r="G4545" s="1" t="str">
        <f t="shared" si="8703"/>
        <v>0</v>
      </c>
      <c r="H4545" s="1" t="str">
        <f t="shared" si="8703"/>
        <v>0</v>
      </c>
      <c r="I4545" s="1" t="str">
        <f t="shared" si="8703"/>
        <v>0</v>
      </c>
      <c r="J4545" s="1" t="str">
        <f t="shared" si="8703"/>
        <v>0</v>
      </c>
      <c r="K4545" s="1" t="str">
        <f t="shared" si="8703"/>
        <v>0</v>
      </c>
      <c r="L4545" s="1" t="str">
        <f t="shared" si="8703"/>
        <v>0</v>
      </c>
      <c r="M4545" s="1" t="str">
        <f t="shared" si="8703"/>
        <v>0</v>
      </c>
      <c r="N4545" s="1" t="str">
        <f t="shared" si="8703"/>
        <v>0</v>
      </c>
      <c r="O4545" s="1" t="str">
        <f t="shared" si="8703"/>
        <v>0</v>
      </c>
      <c r="P4545" s="1" t="str">
        <f t="shared" si="8703"/>
        <v>0</v>
      </c>
      <c r="Q4545" s="1" t="str">
        <f t="shared" si="8610"/>
        <v>0.0070</v>
      </c>
      <c r="R4545" s="1" t="s">
        <v>25</v>
      </c>
      <c r="T4545" s="1" t="str">
        <f t="shared" si="8611"/>
        <v>0</v>
      </c>
      <c r="U4545" s="1" t="str">
        <f t="shared" si="8699"/>
        <v>0.0070</v>
      </c>
    </row>
    <row r="4546" s="1" customFormat="1" spans="1:21">
      <c r="A4546" s="1" t="str">
        <f>"4601992121242"</f>
        <v>4601992121242</v>
      </c>
      <c r="B4546" s="1" t="s">
        <v>4569</v>
      </c>
      <c r="C4546" s="1" t="s">
        <v>24</v>
      </c>
      <c r="D4546" s="1" t="str">
        <f t="shared" si="8607"/>
        <v>2021</v>
      </c>
      <c r="E4546" s="1" t="str">
        <f t="shared" ref="E4546:P4546" si="8704">"0"</f>
        <v>0</v>
      </c>
      <c r="F4546" s="1" t="str">
        <f t="shared" si="8704"/>
        <v>0</v>
      </c>
      <c r="G4546" s="1" t="str">
        <f t="shared" si="8704"/>
        <v>0</v>
      </c>
      <c r="H4546" s="1" t="str">
        <f t="shared" si="8704"/>
        <v>0</v>
      </c>
      <c r="I4546" s="1" t="str">
        <f t="shared" si="8704"/>
        <v>0</v>
      </c>
      <c r="J4546" s="1" t="str">
        <f t="shared" si="8704"/>
        <v>0</v>
      </c>
      <c r="K4546" s="1" t="str">
        <f t="shared" si="8704"/>
        <v>0</v>
      </c>
      <c r="L4546" s="1" t="str">
        <f t="shared" si="8704"/>
        <v>0</v>
      </c>
      <c r="M4546" s="1" t="str">
        <f t="shared" si="8704"/>
        <v>0</v>
      </c>
      <c r="N4546" s="1" t="str">
        <f t="shared" si="8704"/>
        <v>0</v>
      </c>
      <c r="O4546" s="1" t="str">
        <f t="shared" si="8704"/>
        <v>0</v>
      </c>
      <c r="P4546" s="1" t="str">
        <f t="shared" si="8704"/>
        <v>0</v>
      </c>
      <c r="Q4546" s="1" t="str">
        <f t="shared" si="8610"/>
        <v>0.0070</v>
      </c>
      <c r="R4546" s="1" t="s">
        <v>25</v>
      </c>
      <c r="T4546" s="1" t="str">
        <f t="shared" si="8611"/>
        <v>0</v>
      </c>
      <c r="U4546" s="1" t="str">
        <f t="shared" si="8699"/>
        <v>0.0070</v>
      </c>
    </row>
    <row r="4547" s="1" customFormat="1" spans="1:21">
      <c r="A4547" s="1" t="str">
        <f>"4601992121316"</f>
        <v>4601992121316</v>
      </c>
      <c r="B4547" s="1" t="s">
        <v>4570</v>
      </c>
      <c r="C4547" s="1" t="s">
        <v>24</v>
      </c>
      <c r="D4547" s="1" t="str">
        <f t="shared" ref="D4547:D4610" si="8705">"2021"</f>
        <v>2021</v>
      </c>
      <c r="E4547" s="1" t="str">
        <f t="shared" ref="E4547:P4547" si="8706">"0"</f>
        <v>0</v>
      </c>
      <c r="F4547" s="1" t="str">
        <f t="shared" si="8706"/>
        <v>0</v>
      </c>
      <c r="G4547" s="1" t="str">
        <f t="shared" si="8706"/>
        <v>0</v>
      </c>
      <c r="H4547" s="1" t="str">
        <f t="shared" si="8706"/>
        <v>0</v>
      </c>
      <c r="I4547" s="1" t="str">
        <f t="shared" si="8706"/>
        <v>0</v>
      </c>
      <c r="J4547" s="1" t="str">
        <f t="shared" si="8706"/>
        <v>0</v>
      </c>
      <c r="K4547" s="1" t="str">
        <f t="shared" si="8706"/>
        <v>0</v>
      </c>
      <c r="L4547" s="1" t="str">
        <f t="shared" si="8706"/>
        <v>0</v>
      </c>
      <c r="M4547" s="1" t="str">
        <f t="shared" si="8706"/>
        <v>0</v>
      </c>
      <c r="N4547" s="1" t="str">
        <f t="shared" si="8706"/>
        <v>0</v>
      </c>
      <c r="O4547" s="1" t="str">
        <f t="shared" si="8706"/>
        <v>0</v>
      </c>
      <c r="P4547" s="1" t="str">
        <f t="shared" si="8706"/>
        <v>0</v>
      </c>
      <c r="Q4547" s="1" t="str">
        <f t="shared" ref="Q4547:Q4610" si="8707">"0.0070"</f>
        <v>0.0070</v>
      </c>
      <c r="R4547" s="1" t="s">
        <v>25</v>
      </c>
      <c r="T4547" s="1" t="str">
        <f t="shared" ref="T4547:T4610" si="8708">"0"</f>
        <v>0</v>
      </c>
      <c r="U4547" s="1" t="str">
        <f t="shared" si="8699"/>
        <v>0.0070</v>
      </c>
    </row>
    <row r="4548" s="1" customFormat="1" spans="1:21">
      <c r="A4548" s="1" t="str">
        <f>"4601992121055"</f>
        <v>4601992121055</v>
      </c>
      <c r="B4548" s="1" t="s">
        <v>4571</v>
      </c>
      <c r="C4548" s="1" t="s">
        <v>24</v>
      </c>
      <c r="D4548" s="1" t="str">
        <f t="shared" si="8705"/>
        <v>2021</v>
      </c>
      <c r="E4548" s="1" t="str">
        <f>"12.09"</f>
        <v>12.09</v>
      </c>
      <c r="F4548" s="1" t="str">
        <f t="shared" ref="F4548:I4548" si="8709">"0"</f>
        <v>0</v>
      </c>
      <c r="G4548" s="1" t="str">
        <f t="shared" si="8709"/>
        <v>0</v>
      </c>
      <c r="H4548" s="1" t="str">
        <f t="shared" si="8709"/>
        <v>0</v>
      </c>
      <c r="I4548" s="1" t="str">
        <f t="shared" si="8709"/>
        <v>0</v>
      </c>
      <c r="J4548" s="1" t="str">
        <f>"1"</f>
        <v>1</v>
      </c>
      <c r="K4548" s="1" t="str">
        <f t="shared" ref="K4548:P4548" si="8710">"0"</f>
        <v>0</v>
      </c>
      <c r="L4548" s="1" t="str">
        <f t="shared" si="8710"/>
        <v>0</v>
      </c>
      <c r="M4548" s="1" t="str">
        <f t="shared" si="8710"/>
        <v>0</v>
      </c>
      <c r="N4548" s="1" t="str">
        <f t="shared" si="8710"/>
        <v>0</v>
      </c>
      <c r="O4548" s="1" t="str">
        <f t="shared" si="8710"/>
        <v>0</v>
      </c>
      <c r="P4548" s="1" t="str">
        <f t="shared" si="8710"/>
        <v>0</v>
      </c>
      <c r="Q4548" s="1" t="str">
        <f t="shared" si="8707"/>
        <v>0.0070</v>
      </c>
      <c r="R4548" s="1" t="s">
        <v>25</v>
      </c>
      <c r="T4548" s="1" t="str">
        <f t="shared" si="8708"/>
        <v>0</v>
      </c>
      <c r="U4548" s="1" t="str">
        <f t="shared" si="8699"/>
        <v>0.0070</v>
      </c>
    </row>
    <row r="4549" s="1" customFormat="1" spans="1:21">
      <c r="A4549" s="1" t="str">
        <f>"4601992121335"</f>
        <v>4601992121335</v>
      </c>
      <c r="B4549" s="1" t="s">
        <v>4572</v>
      </c>
      <c r="C4549" s="1" t="s">
        <v>24</v>
      </c>
      <c r="D4549" s="1" t="str">
        <f t="shared" si="8705"/>
        <v>2021</v>
      </c>
      <c r="E4549" s="1" t="str">
        <f t="shared" ref="E4549:P4549" si="8711">"0"</f>
        <v>0</v>
      </c>
      <c r="F4549" s="1" t="str">
        <f t="shared" si="8711"/>
        <v>0</v>
      </c>
      <c r="G4549" s="1" t="str">
        <f t="shared" si="8711"/>
        <v>0</v>
      </c>
      <c r="H4549" s="1" t="str">
        <f t="shared" si="8711"/>
        <v>0</v>
      </c>
      <c r="I4549" s="1" t="str">
        <f t="shared" si="8711"/>
        <v>0</v>
      </c>
      <c r="J4549" s="1" t="str">
        <f t="shared" si="8711"/>
        <v>0</v>
      </c>
      <c r="K4549" s="1" t="str">
        <f t="shared" si="8711"/>
        <v>0</v>
      </c>
      <c r="L4549" s="1" t="str">
        <f t="shared" si="8711"/>
        <v>0</v>
      </c>
      <c r="M4549" s="1" t="str">
        <f t="shared" si="8711"/>
        <v>0</v>
      </c>
      <c r="N4549" s="1" t="str">
        <f t="shared" si="8711"/>
        <v>0</v>
      </c>
      <c r="O4549" s="1" t="str">
        <f t="shared" si="8711"/>
        <v>0</v>
      </c>
      <c r="P4549" s="1" t="str">
        <f t="shared" si="8711"/>
        <v>0</v>
      </c>
      <c r="Q4549" s="1" t="str">
        <f t="shared" si="8707"/>
        <v>0.0070</v>
      </c>
      <c r="R4549" s="1" t="s">
        <v>25</v>
      </c>
      <c r="T4549" s="1" t="str">
        <f t="shared" si="8708"/>
        <v>0</v>
      </c>
      <c r="U4549" s="1" t="str">
        <f t="shared" si="8699"/>
        <v>0.0070</v>
      </c>
    </row>
    <row r="4550" s="1" customFormat="1" spans="1:21">
      <c r="A4550" s="1" t="str">
        <f>"4601992121249"</f>
        <v>4601992121249</v>
      </c>
      <c r="B4550" s="1" t="s">
        <v>4573</v>
      </c>
      <c r="C4550" s="1" t="s">
        <v>24</v>
      </c>
      <c r="D4550" s="1" t="str">
        <f t="shared" si="8705"/>
        <v>2021</v>
      </c>
      <c r="E4550" s="1" t="str">
        <f t="shared" ref="E4550:I4550" si="8712">"0"</f>
        <v>0</v>
      </c>
      <c r="F4550" s="1" t="str">
        <f t="shared" si="8712"/>
        <v>0</v>
      </c>
      <c r="G4550" s="1" t="str">
        <f t="shared" si="8712"/>
        <v>0</v>
      </c>
      <c r="H4550" s="1" t="str">
        <f t="shared" si="8712"/>
        <v>0</v>
      </c>
      <c r="I4550" s="1" t="str">
        <f t="shared" si="8712"/>
        <v>0</v>
      </c>
      <c r="J4550" s="1" t="str">
        <f>"28"</f>
        <v>28</v>
      </c>
      <c r="K4550" s="1" t="str">
        <f t="shared" ref="K4550:P4550" si="8713">"0"</f>
        <v>0</v>
      </c>
      <c r="L4550" s="1" t="str">
        <f t="shared" si="8713"/>
        <v>0</v>
      </c>
      <c r="M4550" s="1" t="str">
        <f t="shared" si="8713"/>
        <v>0</v>
      </c>
      <c r="N4550" s="1" t="str">
        <f t="shared" si="8713"/>
        <v>0</v>
      </c>
      <c r="O4550" s="1" t="str">
        <f t="shared" si="8713"/>
        <v>0</v>
      </c>
      <c r="P4550" s="1" t="str">
        <f t="shared" si="8713"/>
        <v>0</v>
      </c>
      <c r="Q4550" s="1" t="str">
        <f t="shared" si="8707"/>
        <v>0.0070</v>
      </c>
      <c r="R4550" s="1" t="s">
        <v>25</v>
      </c>
      <c r="T4550" s="1" t="str">
        <f t="shared" si="8708"/>
        <v>0</v>
      </c>
      <c r="U4550" s="1" t="str">
        <f t="shared" si="8699"/>
        <v>0.0070</v>
      </c>
    </row>
    <row r="4551" s="1" customFormat="1" spans="1:21">
      <c r="A4551" s="1" t="str">
        <f>"4601992121340"</f>
        <v>4601992121340</v>
      </c>
      <c r="B4551" s="1" t="s">
        <v>4574</v>
      </c>
      <c r="C4551" s="1" t="s">
        <v>24</v>
      </c>
      <c r="D4551" s="1" t="str">
        <f t="shared" si="8705"/>
        <v>2021</v>
      </c>
      <c r="E4551" s="1" t="str">
        <f t="shared" ref="E4551:P4551" si="8714">"0"</f>
        <v>0</v>
      </c>
      <c r="F4551" s="1" t="str">
        <f t="shared" si="8714"/>
        <v>0</v>
      </c>
      <c r="G4551" s="1" t="str">
        <f t="shared" si="8714"/>
        <v>0</v>
      </c>
      <c r="H4551" s="1" t="str">
        <f t="shared" si="8714"/>
        <v>0</v>
      </c>
      <c r="I4551" s="1" t="str">
        <f t="shared" si="8714"/>
        <v>0</v>
      </c>
      <c r="J4551" s="1" t="str">
        <f t="shared" si="8714"/>
        <v>0</v>
      </c>
      <c r="K4551" s="1" t="str">
        <f t="shared" si="8714"/>
        <v>0</v>
      </c>
      <c r="L4551" s="1" t="str">
        <f t="shared" si="8714"/>
        <v>0</v>
      </c>
      <c r="M4551" s="1" t="str">
        <f t="shared" si="8714"/>
        <v>0</v>
      </c>
      <c r="N4551" s="1" t="str">
        <f t="shared" si="8714"/>
        <v>0</v>
      </c>
      <c r="O4551" s="1" t="str">
        <f t="shared" si="8714"/>
        <v>0</v>
      </c>
      <c r="P4551" s="1" t="str">
        <f t="shared" si="8714"/>
        <v>0</v>
      </c>
      <c r="Q4551" s="1" t="str">
        <f t="shared" si="8707"/>
        <v>0.0070</v>
      </c>
      <c r="R4551" s="1" t="s">
        <v>25</v>
      </c>
      <c r="T4551" s="1" t="str">
        <f t="shared" si="8708"/>
        <v>0</v>
      </c>
      <c r="U4551" s="1" t="str">
        <f t="shared" si="8699"/>
        <v>0.0070</v>
      </c>
    </row>
    <row r="4552" s="1" customFormat="1" spans="1:21">
      <c r="A4552" s="1" t="str">
        <f>"4601992121556"</f>
        <v>4601992121556</v>
      </c>
      <c r="B4552" s="1" t="s">
        <v>4575</v>
      </c>
      <c r="C4552" s="1" t="s">
        <v>24</v>
      </c>
      <c r="D4552" s="1" t="str">
        <f t="shared" si="8705"/>
        <v>2021</v>
      </c>
      <c r="E4552" s="1" t="str">
        <f t="shared" ref="E4552:P4552" si="8715">"0"</f>
        <v>0</v>
      </c>
      <c r="F4552" s="1" t="str">
        <f t="shared" si="8715"/>
        <v>0</v>
      </c>
      <c r="G4552" s="1" t="str">
        <f t="shared" si="8715"/>
        <v>0</v>
      </c>
      <c r="H4552" s="1" t="str">
        <f t="shared" si="8715"/>
        <v>0</v>
      </c>
      <c r="I4552" s="1" t="str">
        <f t="shared" si="8715"/>
        <v>0</v>
      </c>
      <c r="J4552" s="1" t="str">
        <f t="shared" si="8715"/>
        <v>0</v>
      </c>
      <c r="K4552" s="1" t="str">
        <f t="shared" si="8715"/>
        <v>0</v>
      </c>
      <c r="L4552" s="1" t="str">
        <f t="shared" si="8715"/>
        <v>0</v>
      </c>
      <c r="M4552" s="1" t="str">
        <f t="shared" si="8715"/>
        <v>0</v>
      </c>
      <c r="N4552" s="1" t="str">
        <f t="shared" si="8715"/>
        <v>0</v>
      </c>
      <c r="O4552" s="1" t="str">
        <f t="shared" si="8715"/>
        <v>0</v>
      </c>
      <c r="P4552" s="1" t="str">
        <f t="shared" si="8715"/>
        <v>0</v>
      </c>
      <c r="Q4552" s="1" t="str">
        <f t="shared" si="8707"/>
        <v>0.0070</v>
      </c>
      <c r="R4552" s="1" t="s">
        <v>25</v>
      </c>
      <c r="T4552" s="1" t="str">
        <f t="shared" si="8708"/>
        <v>0</v>
      </c>
      <c r="U4552" s="1" t="str">
        <f t="shared" si="8699"/>
        <v>0.0070</v>
      </c>
    </row>
    <row r="4553" s="1" customFormat="1" spans="1:21">
      <c r="A4553" s="1" t="str">
        <f>"4601992121690"</f>
        <v>4601992121690</v>
      </c>
      <c r="B4553" s="1" t="s">
        <v>4576</v>
      </c>
      <c r="C4553" s="1" t="s">
        <v>24</v>
      </c>
      <c r="D4553" s="1" t="str">
        <f t="shared" si="8705"/>
        <v>2021</v>
      </c>
      <c r="E4553" s="1" t="str">
        <f t="shared" ref="E4553:P4553" si="8716">"0"</f>
        <v>0</v>
      </c>
      <c r="F4553" s="1" t="str">
        <f t="shared" si="8716"/>
        <v>0</v>
      </c>
      <c r="G4553" s="1" t="str">
        <f t="shared" si="8716"/>
        <v>0</v>
      </c>
      <c r="H4553" s="1" t="str">
        <f t="shared" si="8716"/>
        <v>0</v>
      </c>
      <c r="I4553" s="1" t="str">
        <f t="shared" si="8716"/>
        <v>0</v>
      </c>
      <c r="J4553" s="1" t="str">
        <f t="shared" si="8716"/>
        <v>0</v>
      </c>
      <c r="K4553" s="1" t="str">
        <f t="shared" si="8716"/>
        <v>0</v>
      </c>
      <c r="L4553" s="1" t="str">
        <f t="shared" si="8716"/>
        <v>0</v>
      </c>
      <c r="M4553" s="1" t="str">
        <f t="shared" si="8716"/>
        <v>0</v>
      </c>
      <c r="N4553" s="1" t="str">
        <f t="shared" si="8716"/>
        <v>0</v>
      </c>
      <c r="O4553" s="1" t="str">
        <f t="shared" si="8716"/>
        <v>0</v>
      </c>
      <c r="P4553" s="1" t="str">
        <f t="shared" si="8716"/>
        <v>0</v>
      </c>
      <c r="Q4553" s="1" t="str">
        <f t="shared" si="8707"/>
        <v>0.0070</v>
      </c>
      <c r="R4553" s="1" t="s">
        <v>25</v>
      </c>
      <c r="T4553" s="1" t="str">
        <f t="shared" si="8708"/>
        <v>0</v>
      </c>
      <c r="U4553" s="1" t="str">
        <f t="shared" si="8699"/>
        <v>0.0070</v>
      </c>
    </row>
    <row r="4554" s="1" customFormat="1" spans="1:21">
      <c r="A4554" s="1" t="str">
        <f>"4601992121674"</f>
        <v>4601992121674</v>
      </c>
      <c r="B4554" s="1" t="s">
        <v>4577</v>
      </c>
      <c r="C4554" s="1" t="s">
        <v>24</v>
      </c>
      <c r="D4554" s="1" t="str">
        <f t="shared" si="8705"/>
        <v>2021</v>
      </c>
      <c r="E4554" s="1" t="str">
        <f t="shared" ref="E4554:P4554" si="8717">"0"</f>
        <v>0</v>
      </c>
      <c r="F4554" s="1" t="str">
        <f t="shared" si="8717"/>
        <v>0</v>
      </c>
      <c r="G4554" s="1" t="str">
        <f t="shared" si="8717"/>
        <v>0</v>
      </c>
      <c r="H4554" s="1" t="str">
        <f t="shared" si="8717"/>
        <v>0</v>
      </c>
      <c r="I4554" s="1" t="str">
        <f t="shared" si="8717"/>
        <v>0</v>
      </c>
      <c r="J4554" s="1" t="str">
        <f t="shared" si="8717"/>
        <v>0</v>
      </c>
      <c r="K4554" s="1" t="str">
        <f t="shared" si="8717"/>
        <v>0</v>
      </c>
      <c r="L4554" s="1" t="str">
        <f t="shared" si="8717"/>
        <v>0</v>
      </c>
      <c r="M4554" s="1" t="str">
        <f t="shared" si="8717"/>
        <v>0</v>
      </c>
      <c r="N4554" s="1" t="str">
        <f t="shared" si="8717"/>
        <v>0</v>
      </c>
      <c r="O4554" s="1" t="str">
        <f t="shared" si="8717"/>
        <v>0</v>
      </c>
      <c r="P4554" s="1" t="str">
        <f t="shared" si="8717"/>
        <v>0</v>
      </c>
      <c r="Q4554" s="1" t="str">
        <f t="shared" si="8707"/>
        <v>0.0070</v>
      </c>
      <c r="R4554" s="1" t="s">
        <v>25</v>
      </c>
      <c r="T4554" s="1" t="str">
        <f t="shared" si="8708"/>
        <v>0</v>
      </c>
      <c r="U4554" s="1" t="str">
        <f t="shared" si="8699"/>
        <v>0.0070</v>
      </c>
    </row>
    <row r="4555" s="1" customFormat="1" spans="1:21">
      <c r="A4555" s="1" t="str">
        <f>"4601992121685"</f>
        <v>4601992121685</v>
      </c>
      <c r="B4555" s="1" t="s">
        <v>4578</v>
      </c>
      <c r="C4555" s="1" t="s">
        <v>24</v>
      </c>
      <c r="D4555" s="1" t="str">
        <f t="shared" si="8705"/>
        <v>2021</v>
      </c>
      <c r="E4555" s="1" t="str">
        <f t="shared" ref="E4555:P4555" si="8718">"0"</f>
        <v>0</v>
      </c>
      <c r="F4555" s="1" t="str">
        <f t="shared" si="8718"/>
        <v>0</v>
      </c>
      <c r="G4555" s="1" t="str">
        <f t="shared" si="8718"/>
        <v>0</v>
      </c>
      <c r="H4555" s="1" t="str">
        <f t="shared" si="8718"/>
        <v>0</v>
      </c>
      <c r="I4555" s="1" t="str">
        <f t="shared" si="8718"/>
        <v>0</v>
      </c>
      <c r="J4555" s="1" t="str">
        <f t="shared" si="8718"/>
        <v>0</v>
      </c>
      <c r="K4555" s="1" t="str">
        <f t="shared" si="8718"/>
        <v>0</v>
      </c>
      <c r="L4555" s="1" t="str">
        <f t="shared" si="8718"/>
        <v>0</v>
      </c>
      <c r="M4555" s="1" t="str">
        <f t="shared" si="8718"/>
        <v>0</v>
      </c>
      <c r="N4555" s="1" t="str">
        <f t="shared" si="8718"/>
        <v>0</v>
      </c>
      <c r="O4555" s="1" t="str">
        <f t="shared" si="8718"/>
        <v>0</v>
      </c>
      <c r="P4555" s="1" t="str">
        <f t="shared" si="8718"/>
        <v>0</v>
      </c>
      <c r="Q4555" s="1" t="str">
        <f t="shared" si="8707"/>
        <v>0.0070</v>
      </c>
      <c r="R4555" s="1" t="s">
        <v>25</v>
      </c>
      <c r="T4555" s="1" t="str">
        <f t="shared" si="8708"/>
        <v>0</v>
      </c>
      <c r="U4555" s="1" t="str">
        <f t="shared" si="8699"/>
        <v>0.0070</v>
      </c>
    </row>
    <row r="4556" s="1" customFormat="1" spans="1:21">
      <c r="A4556" s="1" t="str">
        <f>"4601992121752"</f>
        <v>4601992121752</v>
      </c>
      <c r="B4556" s="1" t="s">
        <v>4579</v>
      </c>
      <c r="C4556" s="1" t="s">
        <v>24</v>
      </c>
      <c r="D4556" s="1" t="str">
        <f t="shared" si="8705"/>
        <v>2021</v>
      </c>
      <c r="E4556" s="1" t="str">
        <f t="shared" ref="E4556:I4556" si="8719">"0"</f>
        <v>0</v>
      </c>
      <c r="F4556" s="1" t="str">
        <f t="shared" si="8719"/>
        <v>0</v>
      </c>
      <c r="G4556" s="1" t="str">
        <f t="shared" si="8719"/>
        <v>0</v>
      </c>
      <c r="H4556" s="1" t="str">
        <f t="shared" si="8719"/>
        <v>0</v>
      </c>
      <c r="I4556" s="1" t="str">
        <f t="shared" si="8719"/>
        <v>0</v>
      </c>
      <c r="J4556" s="1" t="str">
        <f>"8"</f>
        <v>8</v>
      </c>
      <c r="K4556" s="1" t="str">
        <f t="shared" ref="K4556:P4556" si="8720">"0"</f>
        <v>0</v>
      </c>
      <c r="L4556" s="1" t="str">
        <f t="shared" si="8720"/>
        <v>0</v>
      </c>
      <c r="M4556" s="1" t="str">
        <f t="shared" si="8720"/>
        <v>0</v>
      </c>
      <c r="N4556" s="1" t="str">
        <f t="shared" si="8720"/>
        <v>0</v>
      </c>
      <c r="O4556" s="1" t="str">
        <f t="shared" si="8720"/>
        <v>0</v>
      </c>
      <c r="P4556" s="1" t="str">
        <f t="shared" si="8720"/>
        <v>0</v>
      </c>
      <c r="Q4556" s="1" t="str">
        <f t="shared" si="8707"/>
        <v>0.0070</v>
      </c>
      <c r="R4556" s="1" t="s">
        <v>25</v>
      </c>
      <c r="T4556" s="1" t="str">
        <f t="shared" si="8708"/>
        <v>0</v>
      </c>
      <c r="U4556" s="1" t="str">
        <f t="shared" si="8699"/>
        <v>0.0070</v>
      </c>
    </row>
    <row r="4557" s="1" customFormat="1" spans="1:21">
      <c r="A4557" s="1" t="str">
        <f>"4601992121422"</f>
        <v>4601992121422</v>
      </c>
      <c r="B4557" s="1" t="s">
        <v>4580</v>
      </c>
      <c r="C4557" s="1" t="s">
        <v>24</v>
      </c>
      <c r="D4557" s="1" t="str">
        <f t="shared" si="8705"/>
        <v>2021</v>
      </c>
      <c r="E4557" s="1" t="str">
        <f>"5894.19"</f>
        <v>5894.19</v>
      </c>
      <c r="F4557" s="1" t="str">
        <f>"5375.62"</f>
        <v>5375.62</v>
      </c>
      <c r="G4557" s="1" t="str">
        <f t="shared" ref="G4557:L4557" si="8721">"0"</f>
        <v>0</v>
      </c>
      <c r="H4557" s="1" t="str">
        <f t="shared" si="8721"/>
        <v>0</v>
      </c>
      <c r="I4557" s="1" t="str">
        <f>"0.9120"</f>
        <v>0.9120</v>
      </c>
      <c r="J4557" s="1" t="str">
        <f>"591"</f>
        <v>591</v>
      </c>
      <c r="K4557" s="1" t="str">
        <f>"3"</f>
        <v>3</v>
      </c>
      <c r="L4557" s="1" t="str">
        <f t="shared" si="8721"/>
        <v>0</v>
      </c>
      <c r="M4557" s="1" t="str">
        <f>"0.0051"</f>
        <v>0.0051</v>
      </c>
      <c r="N4557" s="1" t="str">
        <f t="shared" ref="N4557:P4557" si="8722">"0"</f>
        <v>0</v>
      </c>
      <c r="O4557" s="1" t="str">
        <f t="shared" si="8722"/>
        <v>0</v>
      </c>
      <c r="P4557" s="1" t="str">
        <f t="shared" si="8722"/>
        <v>0</v>
      </c>
      <c r="Q4557" s="1" t="str">
        <f t="shared" si="8707"/>
        <v>0.0070</v>
      </c>
      <c r="R4557" s="1" t="s">
        <v>29</v>
      </c>
      <c r="S4557" s="1">
        <v>-0.0014</v>
      </c>
      <c r="T4557" s="1" t="str">
        <f t="shared" si="8708"/>
        <v>0</v>
      </c>
      <c r="U4557" s="1" t="str">
        <f t="shared" ref="U4557:U4563" si="8723">"0.0056"</f>
        <v>0.0056</v>
      </c>
    </row>
    <row r="4558" s="1" customFormat="1" spans="1:21">
      <c r="A4558" s="1" t="str">
        <f>"4601992121908"</f>
        <v>4601992121908</v>
      </c>
      <c r="B4558" s="1" t="s">
        <v>4581</v>
      </c>
      <c r="C4558" s="1" t="s">
        <v>24</v>
      </c>
      <c r="D4558" s="1" t="str">
        <f t="shared" si="8705"/>
        <v>2021</v>
      </c>
      <c r="E4558" s="1" t="str">
        <f>"12.09"</f>
        <v>12.09</v>
      </c>
      <c r="F4558" s="1" t="str">
        <f t="shared" ref="F4558:I4558" si="8724">"0"</f>
        <v>0</v>
      </c>
      <c r="G4558" s="1" t="str">
        <f t="shared" si="8724"/>
        <v>0</v>
      </c>
      <c r="H4558" s="1" t="str">
        <f t="shared" si="8724"/>
        <v>0</v>
      </c>
      <c r="I4558" s="1" t="str">
        <f t="shared" si="8724"/>
        <v>0</v>
      </c>
      <c r="J4558" s="1" t="str">
        <f>"1"</f>
        <v>1</v>
      </c>
      <c r="K4558" s="1" t="str">
        <f t="shared" ref="K4558:P4558" si="8725">"0"</f>
        <v>0</v>
      </c>
      <c r="L4558" s="1" t="str">
        <f t="shared" si="8725"/>
        <v>0</v>
      </c>
      <c r="M4558" s="1" t="str">
        <f t="shared" si="8725"/>
        <v>0</v>
      </c>
      <c r="N4558" s="1" t="str">
        <f t="shared" si="8725"/>
        <v>0</v>
      </c>
      <c r="O4558" s="1" t="str">
        <f t="shared" si="8725"/>
        <v>0</v>
      </c>
      <c r="P4558" s="1" t="str">
        <f t="shared" si="8725"/>
        <v>0</v>
      </c>
      <c r="Q4558" s="1" t="str">
        <f t="shared" si="8707"/>
        <v>0.0070</v>
      </c>
      <c r="R4558" s="1" t="s">
        <v>29</v>
      </c>
      <c r="S4558" s="1">
        <v>-0.0014</v>
      </c>
      <c r="T4558" s="1" t="str">
        <f t="shared" si="8708"/>
        <v>0</v>
      </c>
      <c r="U4558" s="1" t="str">
        <f t="shared" si="8723"/>
        <v>0.0056</v>
      </c>
    </row>
    <row r="4559" s="1" customFormat="1" spans="1:21">
      <c r="A4559" s="1" t="str">
        <f>"4601992121926"</f>
        <v>4601992121926</v>
      </c>
      <c r="B4559" s="1" t="s">
        <v>4582</v>
      </c>
      <c r="C4559" s="1" t="s">
        <v>24</v>
      </c>
      <c r="D4559" s="1" t="str">
        <f t="shared" si="8705"/>
        <v>2021</v>
      </c>
      <c r="E4559" s="1" t="str">
        <f>"23.96"</f>
        <v>23.96</v>
      </c>
      <c r="F4559" s="1" t="str">
        <f t="shared" ref="F4559:I4559" si="8726">"0"</f>
        <v>0</v>
      </c>
      <c r="G4559" s="1" t="str">
        <f t="shared" si="8726"/>
        <v>0</v>
      </c>
      <c r="H4559" s="1" t="str">
        <f t="shared" si="8726"/>
        <v>0</v>
      </c>
      <c r="I4559" s="1" t="str">
        <f t="shared" si="8726"/>
        <v>0</v>
      </c>
      <c r="J4559" s="1" t="str">
        <f t="shared" ref="J4559:J4564" si="8727">"2"</f>
        <v>2</v>
      </c>
      <c r="K4559" s="1" t="str">
        <f t="shared" ref="K4559:P4559" si="8728">"0"</f>
        <v>0</v>
      </c>
      <c r="L4559" s="1" t="str">
        <f t="shared" si="8728"/>
        <v>0</v>
      </c>
      <c r="M4559" s="1" t="str">
        <f t="shared" si="8728"/>
        <v>0</v>
      </c>
      <c r="N4559" s="1" t="str">
        <f t="shared" si="8728"/>
        <v>0</v>
      </c>
      <c r="O4559" s="1" t="str">
        <f t="shared" si="8728"/>
        <v>0</v>
      </c>
      <c r="P4559" s="1" t="str">
        <f t="shared" si="8728"/>
        <v>0</v>
      </c>
      <c r="Q4559" s="1" t="str">
        <f t="shared" si="8707"/>
        <v>0.0070</v>
      </c>
      <c r="R4559" s="1" t="s">
        <v>29</v>
      </c>
      <c r="S4559" s="1">
        <v>-0.0014</v>
      </c>
      <c r="T4559" s="1" t="str">
        <f t="shared" si="8708"/>
        <v>0</v>
      </c>
      <c r="U4559" s="1" t="str">
        <f t="shared" si="8723"/>
        <v>0.0056</v>
      </c>
    </row>
    <row r="4560" s="1" customFormat="1" spans="1:21">
      <c r="A4560" s="1" t="str">
        <f>"4601992020144"</f>
        <v>4601992020144</v>
      </c>
      <c r="B4560" s="1" t="s">
        <v>4583</v>
      </c>
      <c r="C4560" s="1" t="s">
        <v>24</v>
      </c>
      <c r="D4560" s="1" t="str">
        <f t="shared" si="8705"/>
        <v>2021</v>
      </c>
      <c r="E4560" s="1" t="str">
        <f>"48.36"</f>
        <v>48.36</v>
      </c>
      <c r="F4560" s="1" t="str">
        <f t="shared" ref="F4560:I4560" si="8729">"0"</f>
        <v>0</v>
      </c>
      <c r="G4560" s="1" t="str">
        <f t="shared" si="8729"/>
        <v>0</v>
      </c>
      <c r="H4560" s="1" t="str">
        <f t="shared" si="8729"/>
        <v>0</v>
      </c>
      <c r="I4560" s="1" t="str">
        <f t="shared" si="8729"/>
        <v>0</v>
      </c>
      <c r="J4560" s="1" t="str">
        <f t="shared" ref="J4560:J4565" si="8730">"4"</f>
        <v>4</v>
      </c>
      <c r="K4560" s="1" t="str">
        <f t="shared" ref="K4560:P4560" si="8731">"0"</f>
        <v>0</v>
      </c>
      <c r="L4560" s="1" t="str">
        <f t="shared" si="8731"/>
        <v>0</v>
      </c>
      <c r="M4560" s="1" t="str">
        <f t="shared" si="8731"/>
        <v>0</v>
      </c>
      <c r="N4560" s="1" t="str">
        <f t="shared" si="8731"/>
        <v>0</v>
      </c>
      <c r="O4560" s="1" t="str">
        <f t="shared" si="8731"/>
        <v>0</v>
      </c>
      <c r="P4560" s="1" t="str">
        <f t="shared" si="8731"/>
        <v>0</v>
      </c>
      <c r="Q4560" s="1" t="str">
        <f t="shared" si="8707"/>
        <v>0.0070</v>
      </c>
      <c r="R4560" s="1" t="s">
        <v>29</v>
      </c>
      <c r="S4560" s="1">
        <v>-0.0014</v>
      </c>
      <c r="T4560" s="1" t="str">
        <f t="shared" si="8708"/>
        <v>0</v>
      </c>
      <c r="U4560" s="1" t="str">
        <f t="shared" si="8723"/>
        <v>0.0056</v>
      </c>
    </row>
    <row r="4561" s="1" customFormat="1" spans="1:21">
      <c r="A4561" s="1" t="str">
        <f>"4601992121941"</f>
        <v>4601992121941</v>
      </c>
      <c r="B4561" s="1" t="s">
        <v>4584</v>
      </c>
      <c r="C4561" s="1" t="s">
        <v>24</v>
      </c>
      <c r="D4561" s="1" t="str">
        <f t="shared" si="8705"/>
        <v>2021</v>
      </c>
      <c r="E4561" s="1" t="str">
        <f>"108.93"</f>
        <v>108.93</v>
      </c>
      <c r="F4561" s="1" t="str">
        <f t="shared" ref="F4561:I4561" si="8732">"0"</f>
        <v>0</v>
      </c>
      <c r="G4561" s="1" t="str">
        <f t="shared" si="8732"/>
        <v>0</v>
      </c>
      <c r="H4561" s="1" t="str">
        <f t="shared" si="8732"/>
        <v>0</v>
      </c>
      <c r="I4561" s="1" t="str">
        <f t="shared" si="8732"/>
        <v>0</v>
      </c>
      <c r="J4561" s="1" t="str">
        <f>"21"</f>
        <v>21</v>
      </c>
      <c r="K4561" s="1" t="str">
        <f t="shared" ref="K4561:P4561" si="8733">"0"</f>
        <v>0</v>
      </c>
      <c r="L4561" s="1" t="str">
        <f t="shared" si="8733"/>
        <v>0</v>
      </c>
      <c r="M4561" s="1" t="str">
        <f t="shared" si="8733"/>
        <v>0</v>
      </c>
      <c r="N4561" s="1" t="str">
        <f t="shared" si="8733"/>
        <v>0</v>
      </c>
      <c r="O4561" s="1" t="str">
        <f t="shared" si="8733"/>
        <v>0</v>
      </c>
      <c r="P4561" s="1" t="str">
        <f t="shared" si="8733"/>
        <v>0</v>
      </c>
      <c r="Q4561" s="1" t="str">
        <f t="shared" si="8707"/>
        <v>0.0070</v>
      </c>
      <c r="R4561" s="1" t="s">
        <v>29</v>
      </c>
      <c r="S4561" s="1">
        <v>-0.0014</v>
      </c>
      <c r="T4561" s="1" t="str">
        <f t="shared" si="8708"/>
        <v>0</v>
      </c>
      <c r="U4561" s="1" t="str">
        <f t="shared" si="8723"/>
        <v>0.0056</v>
      </c>
    </row>
    <row r="4562" s="1" customFormat="1" spans="1:21">
      <c r="A4562" s="1" t="str">
        <f>"4601992121928"</f>
        <v>4601992121928</v>
      </c>
      <c r="B4562" s="1" t="s">
        <v>4585</v>
      </c>
      <c r="C4562" s="1" t="s">
        <v>24</v>
      </c>
      <c r="D4562" s="1" t="str">
        <f t="shared" si="8705"/>
        <v>2021</v>
      </c>
      <c r="E4562" s="1" t="str">
        <f>"36.27"</f>
        <v>36.27</v>
      </c>
      <c r="F4562" s="1" t="str">
        <f t="shared" ref="F4562:I4562" si="8734">"0"</f>
        <v>0</v>
      </c>
      <c r="G4562" s="1" t="str">
        <f t="shared" si="8734"/>
        <v>0</v>
      </c>
      <c r="H4562" s="1" t="str">
        <f t="shared" si="8734"/>
        <v>0</v>
      </c>
      <c r="I4562" s="1" t="str">
        <f t="shared" si="8734"/>
        <v>0</v>
      </c>
      <c r="J4562" s="1" t="str">
        <f t="shared" si="8730"/>
        <v>4</v>
      </c>
      <c r="K4562" s="1" t="str">
        <f t="shared" ref="K4562:P4562" si="8735">"0"</f>
        <v>0</v>
      </c>
      <c r="L4562" s="1" t="str">
        <f t="shared" si="8735"/>
        <v>0</v>
      </c>
      <c r="M4562" s="1" t="str">
        <f t="shared" si="8735"/>
        <v>0</v>
      </c>
      <c r="N4562" s="1" t="str">
        <f t="shared" si="8735"/>
        <v>0</v>
      </c>
      <c r="O4562" s="1" t="str">
        <f t="shared" si="8735"/>
        <v>0</v>
      </c>
      <c r="P4562" s="1" t="str">
        <f t="shared" si="8735"/>
        <v>0</v>
      </c>
      <c r="Q4562" s="1" t="str">
        <f t="shared" si="8707"/>
        <v>0.0070</v>
      </c>
      <c r="R4562" s="1" t="s">
        <v>29</v>
      </c>
      <c r="S4562" s="1">
        <v>-0.0014</v>
      </c>
      <c r="T4562" s="1" t="str">
        <f t="shared" si="8708"/>
        <v>0</v>
      </c>
      <c r="U4562" s="1" t="str">
        <f t="shared" si="8723"/>
        <v>0.0056</v>
      </c>
    </row>
    <row r="4563" s="1" customFormat="1" spans="1:21">
      <c r="A4563" s="1" t="str">
        <f>"4601992121949"</f>
        <v>4601992121949</v>
      </c>
      <c r="B4563" s="1" t="s">
        <v>4586</v>
      </c>
      <c r="C4563" s="1" t="s">
        <v>24</v>
      </c>
      <c r="D4563" s="1" t="str">
        <f t="shared" si="8705"/>
        <v>2021</v>
      </c>
      <c r="E4563" s="1" t="str">
        <f>"23.96"</f>
        <v>23.96</v>
      </c>
      <c r="F4563" s="1" t="str">
        <f t="shared" ref="F4563:I4563" si="8736">"0"</f>
        <v>0</v>
      </c>
      <c r="G4563" s="1" t="str">
        <f t="shared" si="8736"/>
        <v>0</v>
      </c>
      <c r="H4563" s="1" t="str">
        <f t="shared" si="8736"/>
        <v>0</v>
      </c>
      <c r="I4563" s="1" t="str">
        <f t="shared" si="8736"/>
        <v>0</v>
      </c>
      <c r="J4563" s="1" t="str">
        <f t="shared" si="8727"/>
        <v>2</v>
      </c>
      <c r="K4563" s="1" t="str">
        <f t="shared" ref="K4563:P4563" si="8737">"0"</f>
        <v>0</v>
      </c>
      <c r="L4563" s="1" t="str">
        <f t="shared" si="8737"/>
        <v>0</v>
      </c>
      <c r="M4563" s="1" t="str">
        <f t="shared" si="8737"/>
        <v>0</v>
      </c>
      <c r="N4563" s="1" t="str">
        <f t="shared" si="8737"/>
        <v>0</v>
      </c>
      <c r="O4563" s="1" t="str">
        <f t="shared" si="8737"/>
        <v>0</v>
      </c>
      <c r="P4563" s="1" t="str">
        <f t="shared" si="8737"/>
        <v>0</v>
      </c>
      <c r="Q4563" s="1" t="str">
        <f t="shared" si="8707"/>
        <v>0.0070</v>
      </c>
      <c r="R4563" s="1" t="s">
        <v>29</v>
      </c>
      <c r="S4563" s="1">
        <v>-0.0014</v>
      </c>
      <c r="T4563" s="1" t="str">
        <f t="shared" si="8708"/>
        <v>0</v>
      </c>
      <c r="U4563" s="1" t="str">
        <f t="shared" si="8723"/>
        <v>0.0056</v>
      </c>
    </row>
    <row r="4564" s="1" customFormat="1" spans="1:21">
      <c r="A4564" s="1" t="str">
        <f>"4601992121981"</f>
        <v>4601992121981</v>
      </c>
      <c r="B4564" s="1" t="s">
        <v>4587</v>
      </c>
      <c r="C4564" s="1" t="s">
        <v>24</v>
      </c>
      <c r="D4564" s="1" t="str">
        <f t="shared" si="8705"/>
        <v>2021</v>
      </c>
      <c r="E4564" s="1" t="str">
        <f t="shared" ref="E4564:I4564" si="8738">"0"</f>
        <v>0</v>
      </c>
      <c r="F4564" s="1" t="str">
        <f t="shared" si="8738"/>
        <v>0</v>
      </c>
      <c r="G4564" s="1" t="str">
        <f t="shared" si="8738"/>
        <v>0</v>
      </c>
      <c r="H4564" s="1" t="str">
        <f t="shared" si="8738"/>
        <v>0</v>
      </c>
      <c r="I4564" s="1" t="str">
        <f t="shared" si="8738"/>
        <v>0</v>
      </c>
      <c r="J4564" s="1" t="str">
        <f t="shared" si="8727"/>
        <v>2</v>
      </c>
      <c r="K4564" s="1" t="str">
        <f t="shared" ref="K4564:P4564" si="8739">"0"</f>
        <v>0</v>
      </c>
      <c r="L4564" s="1" t="str">
        <f t="shared" si="8739"/>
        <v>0</v>
      </c>
      <c r="M4564" s="1" t="str">
        <f t="shared" si="8739"/>
        <v>0</v>
      </c>
      <c r="N4564" s="1" t="str">
        <f t="shared" si="8739"/>
        <v>0</v>
      </c>
      <c r="O4564" s="1" t="str">
        <f t="shared" si="8739"/>
        <v>0</v>
      </c>
      <c r="P4564" s="1" t="str">
        <f t="shared" si="8739"/>
        <v>0</v>
      </c>
      <c r="Q4564" s="1" t="str">
        <f t="shared" si="8707"/>
        <v>0.0070</v>
      </c>
      <c r="R4564" s="1" t="s">
        <v>25</v>
      </c>
      <c r="T4564" s="1" t="str">
        <f t="shared" si="8708"/>
        <v>0</v>
      </c>
      <c r="U4564" s="1" t="str">
        <f t="shared" ref="U4564:U4568" si="8740">"0.0070"</f>
        <v>0.0070</v>
      </c>
    </row>
    <row r="4565" s="1" customFormat="1" spans="1:21">
      <c r="A4565" s="1" t="str">
        <f>"4601992121959"</f>
        <v>4601992121959</v>
      </c>
      <c r="B4565" s="1" t="s">
        <v>4588</v>
      </c>
      <c r="C4565" s="1" t="s">
        <v>24</v>
      </c>
      <c r="D4565" s="1" t="str">
        <f t="shared" si="8705"/>
        <v>2021</v>
      </c>
      <c r="E4565" s="1" t="str">
        <f>"35.94"</f>
        <v>35.94</v>
      </c>
      <c r="F4565" s="1" t="str">
        <f t="shared" ref="F4565:I4565" si="8741">"0"</f>
        <v>0</v>
      </c>
      <c r="G4565" s="1" t="str">
        <f t="shared" si="8741"/>
        <v>0</v>
      </c>
      <c r="H4565" s="1" t="str">
        <f t="shared" si="8741"/>
        <v>0</v>
      </c>
      <c r="I4565" s="1" t="str">
        <f t="shared" si="8741"/>
        <v>0</v>
      </c>
      <c r="J4565" s="1" t="str">
        <f t="shared" si="8730"/>
        <v>4</v>
      </c>
      <c r="K4565" s="1" t="str">
        <f t="shared" ref="K4565:P4565" si="8742">"0"</f>
        <v>0</v>
      </c>
      <c r="L4565" s="1" t="str">
        <f t="shared" si="8742"/>
        <v>0</v>
      </c>
      <c r="M4565" s="1" t="str">
        <f t="shared" si="8742"/>
        <v>0</v>
      </c>
      <c r="N4565" s="1" t="str">
        <f t="shared" si="8742"/>
        <v>0</v>
      </c>
      <c r="O4565" s="1" t="str">
        <f t="shared" si="8742"/>
        <v>0</v>
      </c>
      <c r="P4565" s="1" t="str">
        <f t="shared" si="8742"/>
        <v>0</v>
      </c>
      <c r="Q4565" s="1" t="str">
        <f t="shared" si="8707"/>
        <v>0.0070</v>
      </c>
      <c r="R4565" s="1" t="s">
        <v>29</v>
      </c>
      <c r="S4565" s="1">
        <v>-0.0014</v>
      </c>
      <c r="T4565" s="1" t="str">
        <f t="shared" si="8708"/>
        <v>0</v>
      </c>
      <c r="U4565" s="1" t="str">
        <f t="shared" ref="U4565:U4569" si="8743">"0.0056"</f>
        <v>0.0056</v>
      </c>
    </row>
    <row r="4566" s="1" customFormat="1" spans="1:21">
      <c r="A4566" s="1" t="str">
        <f>"4601992121994"</f>
        <v>4601992121994</v>
      </c>
      <c r="B4566" s="1" t="s">
        <v>4589</v>
      </c>
      <c r="C4566" s="1" t="s">
        <v>24</v>
      </c>
      <c r="D4566" s="1" t="str">
        <f t="shared" si="8705"/>
        <v>2021</v>
      </c>
      <c r="E4566" s="1" t="str">
        <f>"12.09"</f>
        <v>12.09</v>
      </c>
      <c r="F4566" s="1" t="str">
        <f t="shared" ref="F4566:I4566" si="8744">"0"</f>
        <v>0</v>
      </c>
      <c r="G4566" s="1" t="str">
        <f t="shared" si="8744"/>
        <v>0</v>
      </c>
      <c r="H4566" s="1" t="str">
        <f t="shared" si="8744"/>
        <v>0</v>
      </c>
      <c r="I4566" s="1" t="str">
        <f t="shared" si="8744"/>
        <v>0</v>
      </c>
      <c r="J4566" s="1" t="str">
        <f>"1"</f>
        <v>1</v>
      </c>
      <c r="K4566" s="1" t="str">
        <f t="shared" ref="K4566:P4566" si="8745">"0"</f>
        <v>0</v>
      </c>
      <c r="L4566" s="1" t="str">
        <f t="shared" si="8745"/>
        <v>0</v>
      </c>
      <c r="M4566" s="1" t="str">
        <f t="shared" si="8745"/>
        <v>0</v>
      </c>
      <c r="N4566" s="1" t="str">
        <f t="shared" si="8745"/>
        <v>0</v>
      </c>
      <c r="O4566" s="1" t="str">
        <f t="shared" si="8745"/>
        <v>0</v>
      </c>
      <c r="P4566" s="1" t="str">
        <f t="shared" si="8745"/>
        <v>0</v>
      </c>
      <c r="Q4566" s="1" t="str">
        <f t="shared" si="8707"/>
        <v>0.0070</v>
      </c>
      <c r="R4566" s="1" t="s">
        <v>25</v>
      </c>
      <c r="T4566" s="1" t="str">
        <f t="shared" si="8708"/>
        <v>0</v>
      </c>
      <c r="U4566" s="1" t="str">
        <f t="shared" si="8740"/>
        <v>0.0070</v>
      </c>
    </row>
    <row r="4567" s="1" customFormat="1" spans="1:21">
      <c r="A4567" s="1" t="str">
        <f>"4601992121977"</f>
        <v>4601992121977</v>
      </c>
      <c r="B4567" s="1" t="s">
        <v>4590</v>
      </c>
      <c r="C4567" s="1" t="s">
        <v>24</v>
      </c>
      <c r="D4567" s="1" t="str">
        <f t="shared" si="8705"/>
        <v>2021</v>
      </c>
      <c r="E4567" s="1" t="str">
        <f>"38.05"</f>
        <v>38.05</v>
      </c>
      <c r="F4567" s="1" t="str">
        <f t="shared" ref="F4567:I4567" si="8746">"0"</f>
        <v>0</v>
      </c>
      <c r="G4567" s="1" t="str">
        <f t="shared" si="8746"/>
        <v>0</v>
      </c>
      <c r="H4567" s="1" t="str">
        <f t="shared" si="8746"/>
        <v>0</v>
      </c>
      <c r="I4567" s="1" t="str">
        <f t="shared" si="8746"/>
        <v>0</v>
      </c>
      <c r="J4567" s="1" t="str">
        <f>"4"</f>
        <v>4</v>
      </c>
      <c r="K4567" s="1" t="str">
        <f t="shared" ref="K4567:P4567" si="8747">"0"</f>
        <v>0</v>
      </c>
      <c r="L4567" s="1" t="str">
        <f t="shared" si="8747"/>
        <v>0</v>
      </c>
      <c r="M4567" s="1" t="str">
        <f t="shared" si="8747"/>
        <v>0</v>
      </c>
      <c r="N4567" s="1" t="str">
        <f t="shared" si="8747"/>
        <v>0</v>
      </c>
      <c r="O4567" s="1" t="str">
        <f t="shared" si="8747"/>
        <v>0</v>
      </c>
      <c r="P4567" s="1" t="str">
        <f t="shared" si="8747"/>
        <v>0</v>
      </c>
      <c r="Q4567" s="1" t="str">
        <f t="shared" si="8707"/>
        <v>0.0070</v>
      </c>
      <c r="R4567" s="1" t="s">
        <v>29</v>
      </c>
      <c r="S4567" s="1">
        <v>-0.0014</v>
      </c>
      <c r="T4567" s="1" t="str">
        <f t="shared" si="8708"/>
        <v>0</v>
      </c>
      <c r="U4567" s="1" t="str">
        <f t="shared" si="8743"/>
        <v>0.0056</v>
      </c>
    </row>
    <row r="4568" s="1" customFormat="1" spans="1:21">
      <c r="A4568" s="1" t="str">
        <f>"4601992121996"</f>
        <v>4601992121996</v>
      </c>
      <c r="B4568" s="1" t="s">
        <v>4591</v>
      </c>
      <c r="C4568" s="1" t="s">
        <v>24</v>
      </c>
      <c r="D4568" s="1" t="str">
        <f t="shared" si="8705"/>
        <v>2021</v>
      </c>
      <c r="E4568" s="1" t="str">
        <f>"23.96"</f>
        <v>23.96</v>
      </c>
      <c r="F4568" s="1" t="str">
        <f t="shared" ref="F4568:I4568" si="8748">"0"</f>
        <v>0</v>
      </c>
      <c r="G4568" s="1" t="str">
        <f t="shared" si="8748"/>
        <v>0</v>
      </c>
      <c r="H4568" s="1" t="str">
        <f t="shared" si="8748"/>
        <v>0</v>
      </c>
      <c r="I4568" s="1" t="str">
        <f t="shared" si="8748"/>
        <v>0</v>
      </c>
      <c r="J4568" s="1" t="str">
        <f>"2"</f>
        <v>2</v>
      </c>
      <c r="K4568" s="1" t="str">
        <f t="shared" ref="K4568:P4568" si="8749">"0"</f>
        <v>0</v>
      </c>
      <c r="L4568" s="1" t="str">
        <f t="shared" si="8749"/>
        <v>0</v>
      </c>
      <c r="M4568" s="1" t="str">
        <f t="shared" si="8749"/>
        <v>0</v>
      </c>
      <c r="N4568" s="1" t="str">
        <f t="shared" si="8749"/>
        <v>0</v>
      </c>
      <c r="O4568" s="1" t="str">
        <f t="shared" si="8749"/>
        <v>0</v>
      </c>
      <c r="P4568" s="1" t="str">
        <f t="shared" si="8749"/>
        <v>0</v>
      </c>
      <c r="Q4568" s="1" t="str">
        <f t="shared" si="8707"/>
        <v>0.0070</v>
      </c>
      <c r="R4568" s="1" t="s">
        <v>25</v>
      </c>
      <c r="T4568" s="1" t="str">
        <f t="shared" si="8708"/>
        <v>0</v>
      </c>
      <c r="U4568" s="1" t="str">
        <f t="shared" si="8740"/>
        <v>0.0070</v>
      </c>
    </row>
    <row r="4569" s="1" customFormat="1" spans="1:21">
      <c r="A4569" s="1" t="str">
        <f>"4601992122002"</f>
        <v>4601992122002</v>
      </c>
      <c r="B4569" s="1" t="s">
        <v>4592</v>
      </c>
      <c r="C4569" s="1" t="s">
        <v>24</v>
      </c>
      <c r="D4569" s="1" t="str">
        <f t="shared" si="8705"/>
        <v>2021</v>
      </c>
      <c r="E4569" s="1" t="str">
        <f>"25.55"</f>
        <v>25.55</v>
      </c>
      <c r="F4569" s="1" t="str">
        <f t="shared" ref="F4569:I4569" si="8750">"0"</f>
        <v>0</v>
      </c>
      <c r="G4569" s="1" t="str">
        <f t="shared" si="8750"/>
        <v>0</v>
      </c>
      <c r="H4569" s="1" t="str">
        <f t="shared" si="8750"/>
        <v>0</v>
      </c>
      <c r="I4569" s="1" t="str">
        <f t="shared" si="8750"/>
        <v>0</v>
      </c>
      <c r="J4569" s="1" t="str">
        <f>"2"</f>
        <v>2</v>
      </c>
      <c r="K4569" s="1" t="str">
        <f t="shared" ref="K4569:P4569" si="8751">"0"</f>
        <v>0</v>
      </c>
      <c r="L4569" s="1" t="str">
        <f t="shared" si="8751"/>
        <v>0</v>
      </c>
      <c r="M4569" s="1" t="str">
        <f t="shared" si="8751"/>
        <v>0</v>
      </c>
      <c r="N4569" s="1" t="str">
        <f t="shared" si="8751"/>
        <v>0</v>
      </c>
      <c r="O4569" s="1" t="str">
        <f t="shared" si="8751"/>
        <v>0</v>
      </c>
      <c r="P4569" s="1" t="str">
        <f t="shared" si="8751"/>
        <v>0</v>
      </c>
      <c r="Q4569" s="1" t="str">
        <f t="shared" si="8707"/>
        <v>0.0070</v>
      </c>
      <c r="R4569" s="1" t="s">
        <v>29</v>
      </c>
      <c r="S4569" s="1">
        <v>-0.0014</v>
      </c>
      <c r="T4569" s="1" t="str">
        <f t="shared" si="8708"/>
        <v>0</v>
      </c>
      <c r="U4569" s="1" t="str">
        <f t="shared" si="8743"/>
        <v>0.0056</v>
      </c>
    </row>
    <row r="4570" s="1" customFormat="1" spans="1:21">
      <c r="A4570" s="1" t="str">
        <f>"4601992121983"</f>
        <v>4601992121983</v>
      </c>
      <c r="B4570" s="1" t="s">
        <v>4593</v>
      </c>
      <c r="C4570" s="1" t="s">
        <v>24</v>
      </c>
      <c r="D4570" s="1" t="str">
        <f t="shared" si="8705"/>
        <v>2021</v>
      </c>
      <c r="E4570" s="1" t="str">
        <f t="shared" ref="E4570:P4570" si="8752">"0"</f>
        <v>0</v>
      </c>
      <c r="F4570" s="1" t="str">
        <f t="shared" si="8752"/>
        <v>0</v>
      </c>
      <c r="G4570" s="1" t="str">
        <f t="shared" si="8752"/>
        <v>0</v>
      </c>
      <c r="H4570" s="1" t="str">
        <f t="shared" si="8752"/>
        <v>0</v>
      </c>
      <c r="I4570" s="1" t="str">
        <f t="shared" si="8752"/>
        <v>0</v>
      </c>
      <c r="J4570" s="1" t="str">
        <f t="shared" si="8752"/>
        <v>0</v>
      </c>
      <c r="K4570" s="1" t="str">
        <f t="shared" si="8752"/>
        <v>0</v>
      </c>
      <c r="L4570" s="1" t="str">
        <f t="shared" si="8752"/>
        <v>0</v>
      </c>
      <c r="M4570" s="1" t="str">
        <f t="shared" si="8752"/>
        <v>0</v>
      </c>
      <c r="N4570" s="1" t="str">
        <f t="shared" si="8752"/>
        <v>0</v>
      </c>
      <c r="O4570" s="1" t="str">
        <f t="shared" si="8752"/>
        <v>0</v>
      </c>
      <c r="P4570" s="1" t="str">
        <f t="shared" si="8752"/>
        <v>0</v>
      </c>
      <c r="Q4570" s="1" t="str">
        <f t="shared" si="8707"/>
        <v>0.0070</v>
      </c>
      <c r="R4570" s="1" t="s">
        <v>25</v>
      </c>
      <c r="T4570" s="1" t="str">
        <f t="shared" si="8708"/>
        <v>0</v>
      </c>
      <c r="U4570" s="1" t="str">
        <f t="shared" ref="U4570:U4574" si="8753">"0.0070"</f>
        <v>0.0070</v>
      </c>
    </row>
    <row r="4571" s="1" customFormat="1" spans="1:21">
      <c r="A4571" s="1" t="str">
        <f>"4601992122086"</f>
        <v>4601992122086</v>
      </c>
      <c r="B4571" s="1" t="s">
        <v>4594</v>
      </c>
      <c r="C4571" s="1" t="s">
        <v>24</v>
      </c>
      <c r="D4571" s="1" t="str">
        <f t="shared" si="8705"/>
        <v>2021</v>
      </c>
      <c r="E4571" s="1" t="str">
        <f t="shared" ref="E4571:P4571" si="8754">"0"</f>
        <v>0</v>
      </c>
      <c r="F4571" s="1" t="str">
        <f t="shared" si="8754"/>
        <v>0</v>
      </c>
      <c r="G4571" s="1" t="str">
        <f t="shared" si="8754"/>
        <v>0</v>
      </c>
      <c r="H4571" s="1" t="str">
        <f t="shared" si="8754"/>
        <v>0</v>
      </c>
      <c r="I4571" s="1" t="str">
        <f t="shared" si="8754"/>
        <v>0</v>
      </c>
      <c r="J4571" s="1" t="str">
        <f t="shared" si="8754"/>
        <v>0</v>
      </c>
      <c r="K4571" s="1" t="str">
        <f t="shared" si="8754"/>
        <v>0</v>
      </c>
      <c r="L4571" s="1" t="str">
        <f t="shared" si="8754"/>
        <v>0</v>
      </c>
      <c r="M4571" s="1" t="str">
        <f t="shared" si="8754"/>
        <v>0</v>
      </c>
      <c r="N4571" s="1" t="str">
        <f t="shared" si="8754"/>
        <v>0</v>
      </c>
      <c r="O4571" s="1" t="str">
        <f t="shared" si="8754"/>
        <v>0</v>
      </c>
      <c r="P4571" s="1" t="str">
        <f t="shared" si="8754"/>
        <v>0</v>
      </c>
      <c r="Q4571" s="1" t="str">
        <f t="shared" si="8707"/>
        <v>0.0070</v>
      </c>
      <c r="R4571" s="1" t="s">
        <v>25</v>
      </c>
      <c r="T4571" s="1" t="str">
        <f t="shared" si="8708"/>
        <v>0</v>
      </c>
      <c r="U4571" s="1" t="str">
        <f t="shared" si="8753"/>
        <v>0.0070</v>
      </c>
    </row>
    <row r="4572" s="1" customFormat="1" spans="1:21">
      <c r="A4572" s="1" t="str">
        <f>"4601992122003"</f>
        <v>4601992122003</v>
      </c>
      <c r="B4572" s="1" t="s">
        <v>4595</v>
      </c>
      <c r="C4572" s="1" t="s">
        <v>24</v>
      </c>
      <c r="D4572" s="1" t="str">
        <f t="shared" si="8705"/>
        <v>2021</v>
      </c>
      <c r="E4572" s="1" t="str">
        <f>"1976.35"</f>
        <v>1976.35</v>
      </c>
      <c r="F4572" s="1" t="str">
        <f t="shared" ref="F4572:I4572" si="8755">"0"</f>
        <v>0</v>
      </c>
      <c r="G4572" s="1" t="str">
        <f t="shared" si="8755"/>
        <v>0</v>
      </c>
      <c r="H4572" s="1" t="str">
        <f t="shared" si="8755"/>
        <v>0</v>
      </c>
      <c r="I4572" s="1" t="str">
        <f t="shared" si="8755"/>
        <v>0</v>
      </c>
      <c r="J4572" s="1" t="str">
        <f>"76"</f>
        <v>76</v>
      </c>
      <c r="K4572" s="1" t="str">
        <f t="shared" ref="K4572:P4572" si="8756">"0"</f>
        <v>0</v>
      </c>
      <c r="L4572" s="1" t="str">
        <f t="shared" si="8756"/>
        <v>0</v>
      </c>
      <c r="M4572" s="1" t="str">
        <f t="shared" si="8756"/>
        <v>0</v>
      </c>
      <c r="N4572" s="1" t="str">
        <f t="shared" si="8756"/>
        <v>0</v>
      </c>
      <c r="O4572" s="1" t="str">
        <f t="shared" si="8756"/>
        <v>0</v>
      </c>
      <c r="P4572" s="1" t="str">
        <f t="shared" si="8756"/>
        <v>0</v>
      </c>
      <c r="Q4572" s="1" t="str">
        <f t="shared" si="8707"/>
        <v>0.0070</v>
      </c>
      <c r="R4572" s="1" t="s">
        <v>29</v>
      </c>
      <c r="S4572" s="1">
        <v>-0.0014</v>
      </c>
      <c r="T4572" s="1" t="str">
        <f t="shared" si="8708"/>
        <v>0</v>
      </c>
      <c r="U4572" s="1" t="str">
        <f t="shared" ref="U4572:U4576" si="8757">"0.0056"</f>
        <v>0.0056</v>
      </c>
    </row>
    <row r="4573" s="1" customFormat="1" spans="1:21">
      <c r="A4573" s="1" t="str">
        <f>"4601992122129"</f>
        <v>4601992122129</v>
      </c>
      <c r="B4573" s="1" t="s">
        <v>4596</v>
      </c>
      <c r="C4573" s="1" t="s">
        <v>24</v>
      </c>
      <c r="D4573" s="1" t="str">
        <f t="shared" si="8705"/>
        <v>2021</v>
      </c>
      <c r="E4573" s="1" t="str">
        <f>"48.36"</f>
        <v>48.36</v>
      </c>
      <c r="F4573" s="1" t="str">
        <f t="shared" ref="F4573:I4573" si="8758">"0"</f>
        <v>0</v>
      </c>
      <c r="G4573" s="1" t="str">
        <f t="shared" si="8758"/>
        <v>0</v>
      </c>
      <c r="H4573" s="1" t="str">
        <f t="shared" si="8758"/>
        <v>0</v>
      </c>
      <c r="I4573" s="1" t="str">
        <f t="shared" si="8758"/>
        <v>0</v>
      </c>
      <c r="J4573" s="1" t="str">
        <f>"4"</f>
        <v>4</v>
      </c>
      <c r="K4573" s="1" t="str">
        <f t="shared" ref="K4573:P4573" si="8759">"0"</f>
        <v>0</v>
      </c>
      <c r="L4573" s="1" t="str">
        <f t="shared" si="8759"/>
        <v>0</v>
      </c>
      <c r="M4573" s="1" t="str">
        <f t="shared" si="8759"/>
        <v>0</v>
      </c>
      <c r="N4573" s="1" t="str">
        <f t="shared" si="8759"/>
        <v>0</v>
      </c>
      <c r="O4573" s="1" t="str">
        <f t="shared" si="8759"/>
        <v>0</v>
      </c>
      <c r="P4573" s="1" t="str">
        <f t="shared" si="8759"/>
        <v>0</v>
      </c>
      <c r="Q4573" s="1" t="str">
        <f t="shared" si="8707"/>
        <v>0.0070</v>
      </c>
      <c r="R4573" s="1" t="s">
        <v>29</v>
      </c>
      <c r="S4573" s="1">
        <v>-0.0014</v>
      </c>
      <c r="T4573" s="1" t="str">
        <f t="shared" si="8708"/>
        <v>0</v>
      </c>
      <c r="U4573" s="1" t="str">
        <f t="shared" si="8757"/>
        <v>0.0056</v>
      </c>
    </row>
    <row r="4574" s="1" customFormat="1" spans="1:21">
      <c r="A4574" s="1" t="str">
        <f>"4601992122141"</f>
        <v>4601992122141</v>
      </c>
      <c r="B4574" s="1" t="s">
        <v>4597</v>
      </c>
      <c r="C4574" s="1" t="s">
        <v>24</v>
      </c>
      <c r="D4574" s="1" t="str">
        <f t="shared" si="8705"/>
        <v>2021</v>
      </c>
      <c r="E4574" s="1" t="str">
        <f t="shared" ref="E4574:E4578" si="8760">"23.96"</f>
        <v>23.96</v>
      </c>
      <c r="F4574" s="1" t="str">
        <f t="shared" ref="F4574:I4574" si="8761">"0"</f>
        <v>0</v>
      </c>
      <c r="G4574" s="1" t="str">
        <f t="shared" si="8761"/>
        <v>0</v>
      </c>
      <c r="H4574" s="1" t="str">
        <f t="shared" si="8761"/>
        <v>0</v>
      </c>
      <c r="I4574" s="1" t="str">
        <f t="shared" si="8761"/>
        <v>0</v>
      </c>
      <c r="J4574" s="1" t="str">
        <f>"2"</f>
        <v>2</v>
      </c>
      <c r="K4574" s="1" t="str">
        <f t="shared" ref="K4574:P4574" si="8762">"0"</f>
        <v>0</v>
      </c>
      <c r="L4574" s="1" t="str">
        <f t="shared" si="8762"/>
        <v>0</v>
      </c>
      <c r="M4574" s="1" t="str">
        <f t="shared" si="8762"/>
        <v>0</v>
      </c>
      <c r="N4574" s="1" t="str">
        <f t="shared" si="8762"/>
        <v>0</v>
      </c>
      <c r="O4574" s="1" t="str">
        <f t="shared" si="8762"/>
        <v>0</v>
      </c>
      <c r="P4574" s="1" t="str">
        <f t="shared" si="8762"/>
        <v>0</v>
      </c>
      <c r="Q4574" s="1" t="str">
        <f t="shared" si="8707"/>
        <v>0.0070</v>
      </c>
      <c r="R4574" s="1" t="s">
        <v>25</v>
      </c>
      <c r="T4574" s="1" t="str">
        <f t="shared" si="8708"/>
        <v>0</v>
      </c>
      <c r="U4574" s="1" t="str">
        <f t="shared" si="8753"/>
        <v>0.0070</v>
      </c>
    </row>
    <row r="4575" s="1" customFormat="1" spans="1:21">
      <c r="A4575" s="1" t="str">
        <f>"4601992122131"</f>
        <v>4601992122131</v>
      </c>
      <c r="B4575" s="1" t="s">
        <v>4598</v>
      </c>
      <c r="C4575" s="1" t="s">
        <v>24</v>
      </c>
      <c r="D4575" s="1" t="str">
        <f t="shared" si="8705"/>
        <v>2021</v>
      </c>
      <c r="E4575" s="1" t="str">
        <f t="shared" si="8760"/>
        <v>23.96</v>
      </c>
      <c r="F4575" s="1" t="str">
        <f t="shared" ref="F4575:I4575" si="8763">"0"</f>
        <v>0</v>
      </c>
      <c r="G4575" s="1" t="str">
        <f t="shared" si="8763"/>
        <v>0</v>
      </c>
      <c r="H4575" s="1" t="str">
        <f t="shared" si="8763"/>
        <v>0</v>
      </c>
      <c r="I4575" s="1" t="str">
        <f t="shared" si="8763"/>
        <v>0</v>
      </c>
      <c r="J4575" s="1" t="str">
        <f>"2"</f>
        <v>2</v>
      </c>
      <c r="K4575" s="1" t="str">
        <f t="shared" ref="K4575:P4575" si="8764">"0"</f>
        <v>0</v>
      </c>
      <c r="L4575" s="1" t="str">
        <f t="shared" si="8764"/>
        <v>0</v>
      </c>
      <c r="M4575" s="1" t="str">
        <f t="shared" si="8764"/>
        <v>0</v>
      </c>
      <c r="N4575" s="1" t="str">
        <f t="shared" si="8764"/>
        <v>0</v>
      </c>
      <c r="O4575" s="1" t="str">
        <f t="shared" si="8764"/>
        <v>0</v>
      </c>
      <c r="P4575" s="1" t="str">
        <f t="shared" si="8764"/>
        <v>0</v>
      </c>
      <c r="Q4575" s="1" t="str">
        <f t="shared" si="8707"/>
        <v>0.0070</v>
      </c>
      <c r="R4575" s="1" t="s">
        <v>29</v>
      </c>
      <c r="S4575" s="1">
        <v>-0.0014</v>
      </c>
      <c r="T4575" s="1" t="str">
        <f t="shared" si="8708"/>
        <v>0</v>
      </c>
      <c r="U4575" s="1" t="str">
        <f t="shared" si="8757"/>
        <v>0.0056</v>
      </c>
    </row>
    <row r="4576" s="1" customFormat="1" spans="1:21">
      <c r="A4576" s="1" t="str">
        <f>"4601992122156"</f>
        <v>4601992122156</v>
      </c>
      <c r="B4576" s="1" t="s">
        <v>4599</v>
      </c>
      <c r="C4576" s="1" t="s">
        <v>24</v>
      </c>
      <c r="D4576" s="1" t="str">
        <f t="shared" si="8705"/>
        <v>2021</v>
      </c>
      <c r="E4576" s="1" t="str">
        <f>"11.98"</f>
        <v>11.98</v>
      </c>
      <c r="F4576" s="1" t="str">
        <f t="shared" ref="F4576:I4576" si="8765">"0"</f>
        <v>0</v>
      </c>
      <c r="G4576" s="1" t="str">
        <f t="shared" si="8765"/>
        <v>0</v>
      </c>
      <c r="H4576" s="1" t="str">
        <f t="shared" si="8765"/>
        <v>0</v>
      </c>
      <c r="I4576" s="1" t="str">
        <f t="shared" si="8765"/>
        <v>0</v>
      </c>
      <c r="J4576" s="1" t="str">
        <f>"1"</f>
        <v>1</v>
      </c>
      <c r="K4576" s="1" t="str">
        <f t="shared" ref="K4576:P4576" si="8766">"0"</f>
        <v>0</v>
      </c>
      <c r="L4576" s="1" t="str">
        <f t="shared" si="8766"/>
        <v>0</v>
      </c>
      <c r="M4576" s="1" t="str">
        <f t="shared" si="8766"/>
        <v>0</v>
      </c>
      <c r="N4576" s="1" t="str">
        <f t="shared" si="8766"/>
        <v>0</v>
      </c>
      <c r="O4576" s="1" t="str">
        <f t="shared" si="8766"/>
        <v>0</v>
      </c>
      <c r="P4576" s="1" t="str">
        <f t="shared" si="8766"/>
        <v>0</v>
      </c>
      <c r="Q4576" s="1" t="str">
        <f t="shared" si="8707"/>
        <v>0.0070</v>
      </c>
      <c r="R4576" s="1" t="s">
        <v>29</v>
      </c>
      <c r="S4576" s="1">
        <v>-0.0014</v>
      </c>
      <c r="T4576" s="1" t="str">
        <f t="shared" si="8708"/>
        <v>0</v>
      </c>
      <c r="U4576" s="1" t="str">
        <f t="shared" si="8757"/>
        <v>0.0056</v>
      </c>
    </row>
    <row r="4577" s="1" customFormat="1" spans="1:21">
      <c r="A4577" s="1" t="str">
        <f>"4601992122162"</f>
        <v>4601992122162</v>
      </c>
      <c r="B4577" s="1" t="s">
        <v>4600</v>
      </c>
      <c r="C4577" s="1" t="s">
        <v>24</v>
      </c>
      <c r="D4577" s="1" t="str">
        <f t="shared" si="8705"/>
        <v>2021</v>
      </c>
      <c r="E4577" s="1" t="str">
        <f t="shared" ref="E4577:P4577" si="8767">"0"</f>
        <v>0</v>
      </c>
      <c r="F4577" s="1" t="str">
        <f t="shared" si="8767"/>
        <v>0</v>
      </c>
      <c r="G4577" s="1" t="str">
        <f t="shared" si="8767"/>
        <v>0</v>
      </c>
      <c r="H4577" s="1" t="str">
        <f t="shared" si="8767"/>
        <v>0</v>
      </c>
      <c r="I4577" s="1" t="str">
        <f t="shared" si="8767"/>
        <v>0</v>
      </c>
      <c r="J4577" s="1" t="str">
        <f t="shared" si="8767"/>
        <v>0</v>
      </c>
      <c r="K4577" s="1" t="str">
        <f t="shared" si="8767"/>
        <v>0</v>
      </c>
      <c r="L4577" s="1" t="str">
        <f t="shared" si="8767"/>
        <v>0</v>
      </c>
      <c r="M4577" s="1" t="str">
        <f t="shared" si="8767"/>
        <v>0</v>
      </c>
      <c r="N4577" s="1" t="str">
        <f t="shared" si="8767"/>
        <v>0</v>
      </c>
      <c r="O4577" s="1" t="str">
        <f t="shared" si="8767"/>
        <v>0</v>
      </c>
      <c r="P4577" s="1" t="str">
        <f t="shared" si="8767"/>
        <v>0</v>
      </c>
      <c r="Q4577" s="1" t="str">
        <f t="shared" si="8707"/>
        <v>0.0070</v>
      </c>
      <c r="R4577" s="1" t="s">
        <v>25</v>
      </c>
      <c r="T4577" s="1" t="str">
        <f t="shared" si="8708"/>
        <v>0</v>
      </c>
      <c r="U4577" s="1" t="str">
        <f>"0.0070"</f>
        <v>0.0070</v>
      </c>
    </row>
    <row r="4578" s="1" customFormat="1" spans="1:21">
      <c r="A4578" s="1" t="str">
        <f>"4601992122161"</f>
        <v>4601992122161</v>
      </c>
      <c r="B4578" s="1" t="s">
        <v>4601</v>
      </c>
      <c r="C4578" s="1" t="s">
        <v>24</v>
      </c>
      <c r="D4578" s="1" t="str">
        <f t="shared" si="8705"/>
        <v>2021</v>
      </c>
      <c r="E4578" s="1" t="str">
        <f t="shared" si="8760"/>
        <v>23.96</v>
      </c>
      <c r="F4578" s="1" t="str">
        <f t="shared" ref="F4578:I4578" si="8768">"0"</f>
        <v>0</v>
      </c>
      <c r="G4578" s="1" t="str">
        <f t="shared" si="8768"/>
        <v>0</v>
      </c>
      <c r="H4578" s="1" t="str">
        <f t="shared" si="8768"/>
        <v>0</v>
      </c>
      <c r="I4578" s="1" t="str">
        <f t="shared" si="8768"/>
        <v>0</v>
      </c>
      <c r="J4578" s="1" t="str">
        <f>"3"</f>
        <v>3</v>
      </c>
      <c r="K4578" s="1" t="str">
        <f t="shared" ref="K4578:P4578" si="8769">"0"</f>
        <v>0</v>
      </c>
      <c r="L4578" s="1" t="str">
        <f t="shared" si="8769"/>
        <v>0</v>
      </c>
      <c r="M4578" s="1" t="str">
        <f t="shared" si="8769"/>
        <v>0</v>
      </c>
      <c r="N4578" s="1" t="str">
        <f t="shared" si="8769"/>
        <v>0</v>
      </c>
      <c r="O4578" s="1" t="str">
        <f t="shared" si="8769"/>
        <v>0</v>
      </c>
      <c r="P4578" s="1" t="str">
        <f t="shared" si="8769"/>
        <v>0</v>
      </c>
      <c r="Q4578" s="1" t="str">
        <f t="shared" si="8707"/>
        <v>0.0070</v>
      </c>
      <c r="R4578" s="1" t="s">
        <v>29</v>
      </c>
      <c r="S4578" s="1">
        <v>-0.0014</v>
      </c>
      <c r="T4578" s="1" t="str">
        <f t="shared" si="8708"/>
        <v>0</v>
      </c>
      <c r="U4578" s="1" t="str">
        <f t="shared" ref="U4578:U4589" si="8770">"0.0056"</f>
        <v>0.0056</v>
      </c>
    </row>
    <row r="4579" s="1" customFormat="1" spans="1:21">
      <c r="A4579" s="1" t="str">
        <f>"4601992122167"</f>
        <v>4601992122167</v>
      </c>
      <c r="B4579" s="1" t="s">
        <v>4602</v>
      </c>
      <c r="C4579" s="1" t="s">
        <v>24</v>
      </c>
      <c r="D4579" s="1" t="str">
        <f t="shared" si="8705"/>
        <v>2021</v>
      </c>
      <c r="E4579" s="1" t="str">
        <f>"11.98"</f>
        <v>11.98</v>
      </c>
      <c r="F4579" s="1" t="str">
        <f t="shared" ref="F4579:I4579" si="8771">"0"</f>
        <v>0</v>
      </c>
      <c r="G4579" s="1" t="str">
        <f t="shared" si="8771"/>
        <v>0</v>
      </c>
      <c r="H4579" s="1" t="str">
        <f t="shared" si="8771"/>
        <v>0</v>
      </c>
      <c r="I4579" s="1" t="str">
        <f t="shared" si="8771"/>
        <v>0</v>
      </c>
      <c r="J4579" s="1" t="str">
        <f>"1"</f>
        <v>1</v>
      </c>
      <c r="K4579" s="1" t="str">
        <f t="shared" ref="K4579:P4579" si="8772">"0"</f>
        <v>0</v>
      </c>
      <c r="L4579" s="1" t="str">
        <f t="shared" si="8772"/>
        <v>0</v>
      </c>
      <c r="M4579" s="1" t="str">
        <f t="shared" si="8772"/>
        <v>0</v>
      </c>
      <c r="N4579" s="1" t="str">
        <f t="shared" si="8772"/>
        <v>0</v>
      </c>
      <c r="O4579" s="1" t="str">
        <f t="shared" si="8772"/>
        <v>0</v>
      </c>
      <c r="P4579" s="1" t="str">
        <f t="shared" si="8772"/>
        <v>0</v>
      </c>
      <c r="Q4579" s="1" t="str">
        <f t="shared" si="8707"/>
        <v>0.0070</v>
      </c>
      <c r="R4579" s="1" t="s">
        <v>29</v>
      </c>
      <c r="S4579" s="1">
        <v>-0.0014</v>
      </c>
      <c r="T4579" s="1" t="str">
        <f t="shared" si="8708"/>
        <v>0</v>
      </c>
      <c r="U4579" s="1" t="str">
        <f t="shared" si="8770"/>
        <v>0.0056</v>
      </c>
    </row>
    <row r="4580" s="1" customFormat="1" spans="1:21">
      <c r="A4580" s="1" t="str">
        <f>"4601992122187"</f>
        <v>4601992122187</v>
      </c>
      <c r="B4580" s="1" t="s">
        <v>4603</v>
      </c>
      <c r="C4580" s="1" t="s">
        <v>24</v>
      </c>
      <c r="D4580" s="1" t="str">
        <f t="shared" si="8705"/>
        <v>2021</v>
      </c>
      <c r="E4580" s="1" t="str">
        <f>"96.72"</f>
        <v>96.72</v>
      </c>
      <c r="F4580" s="1" t="str">
        <f t="shared" ref="F4580:I4580" si="8773">"0"</f>
        <v>0</v>
      </c>
      <c r="G4580" s="1" t="str">
        <f t="shared" si="8773"/>
        <v>0</v>
      </c>
      <c r="H4580" s="1" t="str">
        <f t="shared" si="8773"/>
        <v>0</v>
      </c>
      <c r="I4580" s="1" t="str">
        <f t="shared" si="8773"/>
        <v>0</v>
      </c>
      <c r="J4580" s="1" t="str">
        <f>"11"</f>
        <v>11</v>
      </c>
      <c r="K4580" s="1" t="str">
        <f t="shared" ref="K4580:P4580" si="8774">"0"</f>
        <v>0</v>
      </c>
      <c r="L4580" s="1" t="str">
        <f t="shared" si="8774"/>
        <v>0</v>
      </c>
      <c r="M4580" s="1" t="str">
        <f t="shared" si="8774"/>
        <v>0</v>
      </c>
      <c r="N4580" s="1" t="str">
        <f t="shared" si="8774"/>
        <v>0</v>
      </c>
      <c r="O4580" s="1" t="str">
        <f t="shared" si="8774"/>
        <v>0</v>
      </c>
      <c r="P4580" s="1" t="str">
        <f t="shared" si="8774"/>
        <v>0</v>
      </c>
      <c r="Q4580" s="1" t="str">
        <f t="shared" si="8707"/>
        <v>0.0070</v>
      </c>
      <c r="R4580" s="1" t="s">
        <v>29</v>
      </c>
      <c r="S4580" s="1">
        <v>-0.0014</v>
      </c>
      <c r="T4580" s="1" t="str">
        <f t="shared" si="8708"/>
        <v>0</v>
      </c>
      <c r="U4580" s="1" t="str">
        <f t="shared" si="8770"/>
        <v>0.0056</v>
      </c>
    </row>
    <row r="4581" s="1" customFormat="1" spans="1:21">
      <c r="A4581" s="1" t="str">
        <f>"4601992122171"</f>
        <v>4601992122171</v>
      </c>
      <c r="B4581" s="1" t="s">
        <v>4604</v>
      </c>
      <c r="C4581" s="1" t="s">
        <v>24</v>
      </c>
      <c r="D4581" s="1" t="str">
        <f t="shared" si="8705"/>
        <v>2021</v>
      </c>
      <c r="E4581" s="1" t="str">
        <f>"74.98"</f>
        <v>74.98</v>
      </c>
      <c r="F4581" s="1" t="str">
        <f t="shared" ref="F4581:I4581" si="8775">"0"</f>
        <v>0</v>
      </c>
      <c r="G4581" s="1" t="str">
        <f t="shared" si="8775"/>
        <v>0</v>
      </c>
      <c r="H4581" s="1" t="str">
        <f t="shared" si="8775"/>
        <v>0</v>
      </c>
      <c r="I4581" s="1" t="str">
        <f t="shared" si="8775"/>
        <v>0</v>
      </c>
      <c r="J4581" s="1" t="str">
        <f>"7"</f>
        <v>7</v>
      </c>
      <c r="K4581" s="1" t="str">
        <f t="shared" ref="K4581:P4581" si="8776">"0"</f>
        <v>0</v>
      </c>
      <c r="L4581" s="1" t="str">
        <f t="shared" si="8776"/>
        <v>0</v>
      </c>
      <c r="M4581" s="1" t="str">
        <f t="shared" si="8776"/>
        <v>0</v>
      </c>
      <c r="N4581" s="1" t="str">
        <f t="shared" si="8776"/>
        <v>0</v>
      </c>
      <c r="O4581" s="1" t="str">
        <f t="shared" si="8776"/>
        <v>0</v>
      </c>
      <c r="P4581" s="1" t="str">
        <f t="shared" si="8776"/>
        <v>0</v>
      </c>
      <c r="Q4581" s="1" t="str">
        <f t="shared" si="8707"/>
        <v>0.0070</v>
      </c>
      <c r="R4581" s="1" t="s">
        <v>29</v>
      </c>
      <c r="S4581" s="1">
        <v>-0.0014</v>
      </c>
      <c r="T4581" s="1" t="str">
        <f t="shared" si="8708"/>
        <v>0</v>
      </c>
      <c r="U4581" s="1" t="str">
        <f t="shared" si="8770"/>
        <v>0.0056</v>
      </c>
    </row>
    <row r="4582" s="1" customFormat="1" spans="1:21">
      <c r="A4582" s="1" t="str">
        <f>"4601992122258"</f>
        <v>4601992122258</v>
      </c>
      <c r="B4582" s="1" t="s">
        <v>4605</v>
      </c>
      <c r="C4582" s="1" t="s">
        <v>24</v>
      </c>
      <c r="D4582" s="1" t="str">
        <f t="shared" si="8705"/>
        <v>2021</v>
      </c>
      <c r="E4582" s="1" t="str">
        <f>"47.92"</f>
        <v>47.92</v>
      </c>
      <c r="F4582" s="1" t="str">
        <f t="shared" ref="F4582:I4582" si="8777">"0"</f>
        <v>0</v>
      </c>
      <c r="G4582" s="1" t="str">
        <f t="shared" si="8777"/>
        <v>0</v>
      </c>
      <c r="H4582" s="1" t="str">
        <f t="shared" si="8777"/>
        <v>0</v>
      </c>
      <c r="I4582" s="1" t="str">
        <f t="shared" si="8777"/>
        <v>0</v>
      </c>
      <c r="J4582" s="1" t="str">
        <f>"4"</f>
        <v>4</v>
      </c>
      <c r="K4582" s="1" t="str">
        <f t="shared" ref="K4582:P4582" si="8778">"0"</f>
        <v>0</v>
      </c>
      <c r="L4582" s="1" t="str">
        <f t="shared" si="8778"/>
        <v>0</v>
      </c>
      <c r="M4582" s="1" t="str">
        <f t="shared" si="8778"/>
        <v>0</v>
      </c>
      <c r="N4582" s="1" t="str">
        <f t="shared" si="8778"/>
        <v>0</v>
      </c>
      <c r="O4582" s="1" t="str">
        <f t="shared" si="8778"/>
        <v>0</v>
      </c>
      <c r="P4582" s="1" t="str">
        <f t="shared" si="8778"/>
        <v>0</v>
      </c>
      <c r="Q4582" s="1" t="str">
        <f t="shared" si="8707"/>
        <v>0.0070</v>
      </c>
      <c r="R4582" s="1" t="s">
        <v>29</v>
      </c>
      <c r="S4582" s="1">
        <v>-0.0014</v>
      </c>
      <c r="T4582" s="1" t="str">
        <f t="shared" si="8708"/>
        <v>0</v>
      </c>
      <c r="U4582" s="1" t="str">
        <f t="shared" si="8770"/>
        <v>0.0056</v>
      </c>
    </row>
    <row r="4583" s="1" customFormat="1" spans="1:21">
      <c r="A4583" s="1" t="str">
        <f>"4601992122269"</f>
        <v>4601992122269</v>
      </c>
      <c r="B4583" s="1" t="s">
        <v>4606</v>
      </c>
      <c r="C4583" s="1" t="s">
        <v>24</v>
      </c>
      <c r="D4583" s="1" t="str">
        <f t="shared" si="8705"/>
        <v>2021</v>
      </c>
      <c r="E4583" s="1" t="str">
        <f>"47.92"</f>
        <v>47.92</v>
      </c>
      <c r="F4583" s="1" t="str">
        <f t="shared" ref="F4583:I4583" si="8779">"0"</f>
        <v>0</v>
      </c>
      <c r="G4583" s="1" t="str">
        <f t="shared" si="8779"/>
        <v>0</v>
      </c>
      <c r="H4583" s="1" t="str">
        <f t="shared" si="8779"/>
        <v>0</v>
      </c>
      <c r="I4583" s="1" t="str">
        <f t="shared" si="8779"/>
        <v>0</v>
      </c>
      <c r="J4583" s="1" t="str">
        <f>"4"</f>
        <v>4</v>
      </c>
      <c r="K4583" s="1" t="str">
        <f t="shared" ref="K4583:P4583" si="8780">"0"</f>
        <v>0</v>
      </c>
      <c r="L4583" s="1" t="str">
        <f t="shared" si="8780"/>
        <v>0</v>
      </c>
      <c r="M4583" s="1" t="str">
        <f t="shared" si="8780"/>
        <v>0</v>
      </c>
      <c r="N4583" s="1" t="str">
        <f t="shared" si="8780"/>
        <v>0</v>
      </c>
      <c r="O4583" s="1" t="str">
        <f t="shared" si="8780"/>
        <v>0</v>
      </c>
      <c r="P4583" s="1" t="str">
        <f t="shared" si="8780"/>
        <v>0</v>
      </c>
      <c r="Q4583" s="1" t="str">
        <f t="shared" si="8707"/>
        <v>0.0070</v>
      </c>
      <c r="R4583" s="1" t="s">
        <v>29</v>
      </c>
      <c r="S4583" s="1">
        <v>-0.0014</v>
      </c>
      <c r="T4583" s="1" t="str">
        <f t="shared" si="8708"/>
        <v>0</v>
      </c>
      <c r="U4583" s="1" t="str">
        <f t="shared" si="8770"/>
        <v>0.0056</v>
      </c>
    </row>
    <row r="4584" s="1" customFormat="1" spans="1:21">
      <c r="A4584" s="1" t="str">
        <f>"4601992122278"</f>
        <v>4601992122278</v>
      </c>
      <c r="B4584" s="1" t="s">
        <v>4607</v>
      </c>
      <c r="C4584" s="1" t="s">
        <v>24</v>
      </c>
      <c r="D4584" s="1" t="str">
        <f t="shared" si="8705"/>
        <v>2021</v>
      </c>
      <c r="E4584" s="1" t="str">
        <f>"23.96"</f>
        <v>23.96</v>
      </c>
      <c r="F4584" s="1" t="str">
        <f t="shared" ref="F4584:I4584" si="8781">"0"</f>
        <v>0</v>
      </c>
      <c r="G4584" s="1" t="str">
        <f t="shared" si="8781"/>
        <v>0</v>
      </c>
      <c r="H4584" s="1" t="str">
        <f t="shared" si="8781"/>
        <v>0</v>
      </c>
      <c r="I4584" s="1" t="str">
        <f t="shared" si="8781"/>
        <v>0</v>
      </c>
      <c r="J4584" s="1" t="str">
        <f>"2"</f>
        <v>2</v>
      </c>
      <c r="K4584" s="1" t="str">
        <f t="shared" ref="K4584:P4584" si="8782">"0"</f>
        <v>0</v>
      </c>
      <c r="L4584" s="1" t="str">
        <f t="shared" si="8782"/>
        <v>0</v>
      </c>
      <c r="M4584" s="1" t="str">
        <f t="shared" si="8782"/>
        <v>0</v>
      </c>
      <c r="N4584" s="1" t="str">
        <f t="shared" si="8782"/>
        <v>0</v>
      </c>
      <c r="O4584" s="1" t="str">
        <f t="shared" si="8782"/>
        <v>0</v>
      </c>
      <c r="P4584" s="1" t="str">
        <f t="shared" si="8782"/>
        <v>0</v>
      </c>
      <c r="Q4584" s="1" t="str">
        <f t="shared" si="8707"/>
        <v>0.0070</v>
      </c>
      <c r="R4584" s="1" t="s">
        <v>29</v>
      </c>
      <c r="S4584" s="1">
        <v>-0.0014</v>
      </c>
      <c r="T4584" s="1" t="str">
        <f t="shared" si="8708"/>
        <v>0</v>
      </c>
      <c r="U4584" s="1" t="str">
        <f t="shared" si="8770"/>
        <v>0.0056</v>
      </c>
    </row>
    <row r="4585" s="1" customFormat="1" spans="1:21">
      <c r="A4585" s="1" t="str">
        <f>"4601992122282"</f>
        <v>4601992122282</v>
      </c>
      <c r="B4585" s="1" t="s">
        <v>4608</v>
      </c>
      <c r="C4585" s="1" t="s">
        <v>24</v>
      </c>
      <c r="D4585" s="1" t="str">
        <f t="shared" si="8705"/>
        <v>2021</v>
      </c>
      <c r="E4585" s="1" t="str">
        <f>"23.96"</f>
        <v>23.96</v>
      </c>
      <c r="F4585" s="1" t="str">
        <f t="shared" ref="F4585:I4585" si="8783">"0"</f>
        <v>0</v>
      </c>
      <c r="G4585" s="1" t="str">
        <f t="shared" si="8783"/>
        <v>0</v>
      </c>
      <c r="H4585" s="1" t="str">
        <f t="shared" si="8783"/>
        <v>0</v>
      </c>
      <c r="I4585" s="1" t="str">
        <f t="shared" si="8783"/>
        <v>0</v>
      </c>
      <c r="J4585" s="1" t="str">
        <f>"2"</f>
        <v>2</v>
      </c>
      <c r="K4585" s="1" t="str">
        <f t="shared" ref="K4585:P4585" si="8784">"0"</f>
        <v>0</v>
      </c>
      <c r="L4585" s="1" t="str">
        <f t="shared" si="8784"/>
        <v>0</v>
      </c>
      <c r="M4585" s="1" t="str">
        <f t="shared" si="8784"/>
        <v>0</v>
      </c>
      <c r="N4585" s="1" t="str">
        <f t="shared" si="8784"/>
        <v>0</v>
      </c>
      <c r="O4585" s="1" t="str">
        <f t="shared" si="8784"/>
        <v>0</v>
      </c>
      <c r="P4585" s="1" t="str">
        <f t="shared" si="8784"/>
        <v>0</v>
      </c>
      <c r="Q4585" s="1" t="str">
        <f t="shared" si="8707"/>
        <v>0.0070</v>
      </c>
      <c r="R4585" s="1" t="s">
        <v>29</v>
      </c>
      <c r="S4585" s="1">
        <v>-0.0014</v>
      </c>
      <c r="T4585" s="1" t="str">
        <f t="shared" si="8708"/>
        <v>0</v>
      </c>
      <c r="U4585" s="1" t="str">
        <f t="shared" si="8770"/>
        <v>0.0056</v>
      </c>
    </row>
    <row r="4586" s="1" customFormat="1" spans="1:21">
      <c r="A4586" s="1" t="str">
        <f>"4601992000941"</f>
        <v>4601992000941</v>
      </c>
      <c r="B4586" s="1" t="s">
        <v>4609</v>
      </c>
      <c r="C4586" s="1" t="s">
        <v>24</v>
      </c>
      <c r="D4586" s="1" t="str">
        <f t="shared" si="8705"/>
        <v>2021</v>
      </c>
      <c r="E4586" s="1" t="str">
        <f>"67.60"</f>
        <v>67.60</v>
      </c>
      <c r="F4586" s="1" t="str">
        <f t="shared" ref="F4586:I4586" si="8785">"0"</f>
        <v>0</v>
      </c>
      <c r="G4586" s="1" t="str">
        <f t="shared" si="8785"/>
        <v>0</v>
      </c>
      <c r="H4586" s="1" t="str">
        <f t="shared" si="8785"/>
        <v>0</v>
      </c>
      <c r="I4586" s="1" t="str">
        <f t="shared" si="8785"/>
        <v>0</v>
      </c>
      <c r="J4586" s="1" t="str">
        <f>"5"</f>
        <v>5</v>
      </c>
      <c r="K4586" s="1" t="str">
        <f t="shared" ref="K4586:P4586" si="8786">"0"</f>
        <v>0</v>
      </c>
      <c r="L4586" s="1" t="str">
        <f t="shared" si="8786"/>
        <v>0</v>
      </c>
      <c r="M4586" s="1" t="str">
        <f t="shared" si="8786"/>
        <v>0</v>
      </c>
      <c r="N4586" s="1" t="str">
        <f t="shared" si="8786"/>
        <v>0</v>
      </c>
      <c r="O4586" s="1" t="str">
        <f t="shared" si="8786"/>
        <v>0</v>
      </c>
      <c r="P4586" s="1" t="str">
        <f t="shared" si="8786"/>
        <v>0</v>
      </c>
      <c r="Q4586" s="1" t="str">
        <f t="shared" si="8707"/>
        <v>0.0070</v>
      </c>
      <c r="R4586" s="1" t="s">
        <v>29</v>
      </c>
      <c r="S4586" s="1">
        <v>-0.0014</v>
      </c>
      <c r="T4586" s="1" t="str">
        <f t="shared" si="8708"/>
        <v>0</v>
      </c>
      <c r="U4586" s="1" t="str">
        <f t="shared" si="8770"/>
        <v>0.0056</v>
      </c>
    </row>
    <row r="4587" s="1" customFormat="1" spans="1:21">
      <c r="A4587" s="1" t="str">
        <f>"4601992122284"</f>
        <v>4601992122284</v>
      </c>
      <c r="B4587" s="1" t="s">
        <v>4610</v>
      </c>
      <c r="C4587" s="1" t="s">
        <v>24</v>
      </c>
      <c r="D4587" s="1" t="str">
        <f t="shared" si="8705"/>
        <v>2021</v>
      </c>
      <c r="E4587" s="1" t="str">
        <f>"213.73"</f>
        <v>213.73</v>
      </c>
      <c r="F4587" s="1" t="str">
        <f t="shared" ref="F4587:I4587" si="8787">"0"</f>
        <v>0</v>
      </c>
      <c r="G4587" s="1" t="str">
        <f t="shared" si="8787"/>
        <v>0</v>
      </c>
      <c r="H4587" s="1" t="str">
        <f t="shared" si="8787"/>
        <v>0</v>
      </c>
      <c r="I4587" s="1" t="str">
        <f t="shared" si="8787"/>
        <v>0</v>
      </c>
      <c r="J4587" s="1" t="str">
        <f>"19"</f>
        <v>19</v>
      </c>
      <c r="K4587" s="1" t="str">
        <f t="shared" ref="K4587:P4587" si="8788">"0"</f>
        <v>0</v>
      </c>
      <c r="L4587" s="1" t="str">
        <f t="shared" si="8788"/>
        <v>0</v>
      </c>
      <c r="M4587" s="1" t="str">
        <f t="shared" si="8788"/>
        <v>0</v>
      </c>
      <c r="N4587" s="1" t="str">
        <f t="shared" si="8788"/>
        <v>0</v>
      </c>
      <c r="O4587" s="1" t="str">
        <f t="shared" si="8788"/>
        <v>0</v>
      </c>
      <c r="P4587" s="1" t="str">
        <f t="shared" si="8788"/>
        <v>0</v>
      </c>
      <c r="Q4587" s="1" t="str">
        <f t="shared" si="8707"/>
        <v>0.0070</v>
      </c>
      <c r="R4587" s="1" t="s">
        <v>29</v>
      </c>
      <c r="S4587" s="1">
        <v>-0.0014</v>
      </c>
      <c r="T4587" s="1" t="str">
        <f t="shared" si="8708"/>
        <v>0</v>
      </c>
      <c r="U4587" s="1" t="str">
        <f t="shared" si="8770"/>
        <v>0.0056</v>
      </c>
    </row>
    <row r="4588" s="1" customFormat="1" spans="1:21">
      <c r="A4588" s="1" t="str">
        <f>"4601992122294"</f>
        <v>4601992122294</v>
      </c>
      <c r="B4588" s="1" t="s">
        <v>4611</v>
      </c>
      <c r="C4588" s="1" t="s">
        <v>24</v>
      </c>
      <c r="D4588" s="1" t="str">
        <f t="shared" si="8705"/>
        <v>2021</v>
      </c>
      <c r="E4588" s="1" t="str">
        <f>"24.18"</f>
        <v>24.18</v>
      </c>
      <c r="F4588" s="1" t="str">
        <f t="shared" ref="F4588:I4588" si="8789">"0"</f>
        <v>0</v>
      </c>
      <c r="G4588" s="1" t="str">
        <f t="shared" si="8789"/>
        <v>0</v>
      </c>
      <c r="H4588" s="1" t="str">
        <f t="shared" si="8789"/>
        <v>0</v>
      </c>
      <c r="I4588" s="1" t="str">
        <f t="shared" si="8789"/>
        <v>0</v>
      </c>
      <c r="J4588" s="1" t="str">
        <f t="shared" ref="J4588:J4592" si="8790">"3"</f>
        <v>3</v>
      </c>
      <c r="K4588" s="1" t="str">
        <f t="shared" ref="K4588:P4588" si="8791">"0"</f>
        <v>0</v>
      </c>
      <c r="L4588" s="1" t="str">
        <f t="shared" si="8791"/>
        <v>0</v>
      </c>
      <c r="M4588" s="1" t="str">
        <f t="shared" si="8791"/>
        <v>0</v>
      </c>
      <c r="N4588" s="1" t="str">
        <f t="shared" si="8791"/>
        <v>0</v>
      </c>
      <c r="O4588" s="1" t="str">
        <f t="shared" si="8791"/>
        <v>0</v>
      </c>
      <c r="P4588" s="1" t="str">
        <f t="shared" si="8791"/>
        <v>0</v>
      </c>
      <c r="Q4588" s="1" t="str">
        <f t="shared" si="8707"/>
        <v>0.0070</v>
      </c>
      <c r="R4588" s="1" t="s">
        <v>29</v>
      </c>
      <c r="S4588" s="1">
        <v>-0.0014</v>
      </c>
      <c r="T4588" s="1" t="str">
        <f t="shared" si="8708"/>
        <v>0</v>
      </c>
      <c r="U4588" s="1" t="str">
        <f t="shared" si="8770"/>
        <v>0.0056</v>
      </c>
    </row>
    <row r="4589" s="1" customFormat="1" spans="1:21">
      <c r="A4589" s="1" t="str">
        <f>"4601992122322"</f>
        <v>4601992122322</v>
      </c>
      <c r="B4589" s="1" t="s">
        <v>4612</v>
      </c>
      <c r="C4589" s="1" t="s">
        <v>24</v>
      </c>
      <c r="D4589" s="1" t="str">
        <f t="shared" si="8705"/>
        <v>2021</v>
      </c>
      <c r="E4589" s="1" t="str">
        <f>"11.98"</f>
        <v>11.98</v>
      </c>
      <c r="F4589" s="1" t="str">
        <f t="shared" ref="F4589:I4589" si="8792">"0"</f>
        <v>0</v>
      </c>
      <c r="G4589" s="1" t="str">
        <f t="shared" si="8792"/>
        <v>0</v>
      </c>
      <c r="H4589" s="1" t="str">
        <f t="shared" si="8792"/>
        <v>0</v>
      </c>
      <c r="I4589" s="1" t="str">
        <f t="shared" si="8792"/>
        <v>0</v>
      </c>
      <c r="J4589" s="1" t="str">
        <f>"1"</f>
        <v>1</v>
      </c>
      <c r="K4589" s="1" t="str">
        <f t="shared" ref="K4589:P4589" si="8793">"0"</f>
        <v>0</v>
      </c>
      <c r="L4589" s="1" t="str">
        <f t="shared" si="8793"/>
        <v>0</v>
      </c>
      <c r="M4589" s="1" t="str">
        <f t="shared" si="8793"/>
        <v>0</v>
      </c>
      <c r="N4589" s="1" t="str">
        <f t="shared" si="8793"/>
        <v>0</v>
      </c>
      <c r="O4589" s="1" t="str">
        <f t="shared" si="8793"/>
        <v>0</v>
      </c>
      <c r="P4589" s="1" t="str">
        <f t="shared" si="8793"/>
        <v>0</v>
      </c>
      <c r="Q4589" s="1" t="str">
        <f t="shared" si="8707"/>
        <v>0.0070</v>
      </c>
      <c r="R4589" s="1" t="s">
        <v>29</v>
      </c>
      <c r="S4589" s="1">
        <v>-0.0014</v>
      </c>
      <c r="T4589" s="1" t="str">
        <f t="shared" si="8708"/>
        <v>0</v>
      </c>
      <c r="U4589" s="1" t="str">
        <f t="shared" si="8770"/>
        <v>0.0056</v>
      </c>
    </row>
    <row r="4590" s="1" customFormat="1" spans="1:21">
      <c r="A4590" s="1" t="str">
        <f>"4601992122325"</f>
        <v>4601992122325</v>
      </c>
      <c r="B4590" s="1" t="s">
        <v>4613</v>
      </c>
      <c r="C4590" s="1" t="s">
        <v>24</v>
      </c>
      <c r="D4590" s="1" t="str">
        <f t="shared" si="8705"/>
        <v>2021</v>
      </c>
      <c r="E4590" s="1" t="str">
        <f t="shared" ref="E4590:G4590" si="8794">"0"</f>
        <v>0</v>
      </c>
      <c r="F4590" s="1" t="str">
        <f t="shared" si="8794"/>
        <v>0</v>
      </c>
      <c r="G4590" s="1" t="str">
        <f t="shared" si="8794"/>
        <v>0</v>
      </c>
      <c r="H4590" s="1" t="str">
        <f>"59.90"</f>
        <v>59.90</v>
      </c>
      <c r="I4590" s="1" t="str">
        <f t="shared" ref="I4590:P4590" si="8795">"0"</f>
        <v>0</v>
      </c>
      <c r="J4590" s="1" t="str">
        <f t="shared" si="8790"/>
        <v>3</v>
      </c>
      <c r="K4590" s="1" t="str">
        <f t="shared" si="8795"/>
        <v>0</v>
      </c>
      <c r="L4590" s="1" t="str">
        <f t="shared" si="8795"/>
        <v>0</v>
      </c>
      <c r="M4590" s="1" t="str">
        <f t="shared" si="8795"/>
        <v>0</v>
      </c>
      <c r="N4590" s="1" t="str">
        <f t="shared" si="8795"/>
        <v>0</v>
      </c>
      <c r="O4590" s="1" t="str">
        <f t="shared" si="8795"/>
        <v>0</v>
      </c>
      <c r="P4590" s="1" t="str">
        <f t="shared" si="8795"/>
        <v>0</v>
      </c>
      <c r="Q4590" s="1" t="str">
        <f t="shared" si="8707"/>
        <v>0.0070</v>
      </c>
      <c r="R4590" s="1" t="s">
        <v>25</v>
      </c>
      <c r="T4590" s="1" t="str">
        <f t="shared" si="8708"/>
        <v>0</v>
      </c>
      <c r="U4590" s="1" t="str">
        <f>"0.0070"</f>
        <v>0.0070</v>
      </c>
    </row>
    <row r="4591" s="1" customFormat="1" spans="1:21">
      <c r="A4591" s="1" t="str">
        <f>"4601992122327"</f>
        <v>4601992122327</v>
      </c>
      <c r="B4591" s="1" t="s">
        <v>4614</v>
      </c>
      <c r="C4591" s="1" t="s">
        <v>24</v>
      </c>
      <c r="D4591" s="1" t="str">
        <f t="shared" si="8705"/>
        <v>2021</v>
      </c>
      <c r="E4591" s="1" t="str">
        <f t="shared" ref="E4591:E4594" si="8796">"35.94"</f>
        <v>35.94</v>
      </c>
      <c r="F4591" s="1" t="str">
        <f t="shared" ref="F4591:I4591" si="8797">"0"</f>
        <v>0</v>
      </c>
      <c r="G4591" s="1" t="str">
        <f t="shared" si="8797"/>
        <v>0</v>
      </c>
      <c r="H4591" s="1" t="str">
        <f t="shared" si="8797"/>
        <v>0</v>
      </c>
      <c r="I4591" s="1" t="str">
        <f t="shared" si="8797"/>
        <v>0</v>
      </c>
      <c r="J4591" s="1" t="str">
        <f>"4"</f>
        <v>4</v>
      </c>
      <c r="K4591" s="1" t="str">
        <f t="shared" ref="K4591:P4591" si="8798">"0"</f>
        <v>0</v>
      </c>
      <c r="L4591" s="1" t="str">
        <f t="shared" si="8798"/>
        <v>0</v>
      </c>
      <c r="M4591" s="1" t="str">
        <f t="shared" si="8798"/>
        <v>0</v>
      </c>
      <c r="N4591" s="1" t="str">
        <f t="shared" si="8798"/>
        <v>0</v>
      </c>
      <c r="O4591" s="1" t="str">
        <f t="shared" si="8798"/>
        <v>0</v>
      </c>
      <c r="P4591" s="1" t="str">
        <f t="shared" si="8798"/>
        <v>0</v>
      </c>
      <c r="Q4591" s="1" t="str">
        <f t="shared" si="8707"/>
        <v>0.0070</v>
      </c>
      <c r="R4591" s="1" t="s">
        <v>29</v>
      </c>
      <c r="S4591" s="1">
        <v>-0.0014</v>
      </c>
      <c r="T4591" s="1" t="str">
        <f t="shared" si="8708"/>
        <v>0</v>
      </c>
      <c r="U4591" s="1" t="str">
        <f t="shared" ref="U4591:U4597" si="8799">"0.0056"</f>
        <v>0.0056</v>
      </c>
    </row>
    <row r="4592" s="1" customFormat="1" spans="1:21">
      <c r="A4592" s="1" t="str">
        <f>"4601992122332"</f>
        <v>4601992122332</v>
      </c>
      <c r="B4592" s="1" t="s">
        <v>4615</v>
      </c>
      <c r="C4592" s="1" t="s">
        <v>24</v>
      </c>
      <c r="D4592" s="1" t="str">
        <f t="shared" si="8705"/>
        <v>2021</v>
      </c>
      <c r="E4592" s="1" t="str">
        <f t="shared" si="8796"/>
        <v>35.94</v>
      </c>
      <c r="F4592" s="1" t="str">
        <f t="shared" ref="F4592:I4592" si="8800">"0"</f>
        <v>0</v>
      </c>
      <c r="G4592" s="1" t="str">
        <f t="shared" si="8800"/>
        <v>0</v>
      </c>
      <c r="H4592" s="1" t="str">
        <f t="shared" si="8800"/>
        <v>0</v>
      </c>
      <c r="I4592" s="1" t="str">
        <f t="shared" si="8800"/>
        <v>0</v>
      </c>
      <c r="J4592" s="1" t="str">
        <f t="shared" si="8790"/>
        <v>3</v>
      </c>
      <c r="K4592" s="1" t="str">
        <f t="shared" ref="K4592:P4592" si="8801">"0"</f>
        <v>0</v>
      </c>
      <c r="L4592" s="1" t="str">
        <f t="shared" si="8801"/>
        <v>0</v>
      </c>
      <c r="M4592" s="1" t="str">
        <f t="shared" si="8801"/>
        <v>0</v>
      </c>
      <c r="N4592" s="1" t="str">
        <f t="shared" si="8801"/>
        <v>0</v>
      </c>
      <c r="O4592" s="1" t="str">
        <f t="shared" si="8801"/>
        <v>0</v>
      </c>
      <c r="P4592" s="1" t="str">
        <f t="shared" si="8801"/>
        <v>0</v>
      </c>
      <c r="Q4592" s="1" t="str">
        <f t="shared" si="8707"/>
        <v>0.0070</v>
      </c>
      <c r="R4592" s="1" t="s">
        <v>29</v>
      </c>
      <c r="S4592" s="1">
        <v>-0.0014</v>
      </c>
      <c r="T4592" s="1" t="str">
        <f t="shared" si="8708"/>
        <v>0</v>
      </c>
      <c r="U4592" s="1" t="str">
        <f t="shared" si="8799"/>
        <v>0.0056</v>
      </c>
    </row>
    <row r="4593" s="1" customFormat="1" spans="1:21">
      <c r="A4593" s="1" t="str">
        <f>"4601992122353"</f>
        <v>4601992122353</v>
      </c>
      <c r="B4593" s="1" t="s">
        <v>4616</v>
      </c>
      <c r="C4593" s="1" t="s">
        <v>24</v>
      </c>
      <c r="D4593" s="1" t="str">
        <f t="shared" si="8705"/>
        <v>2021</v>
      </c>
      <c r="E4593" s="1" t="str">
        <f>"47.92"</f>
        <v>47.92</v>
      </c>
      <c r="F4593" s="1" t="str">
        <f t="shared" ref="F4593:I4593" si="8802">"0"</f>
        <v>0</v>
      </c>
      <c r="G4593" s="1" t="str">
        <f t="shared" si="8802"/>
        <v>0</v>
      </c>
      <c r="H4593" s="1" t="str">
        <f t="shared" si="8802"/>
        <v>0</v>
      </c>
      <c r="I4593" s="1" t="str">
        <f t="shared" si="8802"/>
        <v>0</v>
      </c>
      <c r="J4593" s="1" t="str">
        <f>"5"</f>
        <v>5</v>
      </c>
      <c r="K4593" s="1" t="str">
        <f t="shared" ref="K4593:P4593" si="8803">"0"</f>
        <v>0</v>
      </c>
      <c r="L4593" s="1" t="str">
        <f t="shared" si="8803"/>
        <v>0</v>
      </c>
      <c r="M4593" s="1" t="str">
        <f t="shared" si="8803"/>
        <v>0</v>
      </c>
      <c r="N4593" s="1" t="str">
        <f t="shared" si="8803"/>
        <v>0</v>
      </c>
      <c r="O4593" s="1" t="str">
        <f t="shared" si="8803"/>
        <v>0</v>
      </c>
      <c r="P4593" s="1" t="str">
        <f t="shared" si="8803"/>
        <v>0</v>
      </c>
      <c r="Q4593" s="1" t="str">
        <f t="shared" si="8707"/>
        <v>0.0070</v>
      </c>
      <c r="R4593" s="1" t="s">
        <v>29</v>
      </c>
      <c r="S4593" s="1">
        <v>-0.0014</v>
      </c>
      <c r="T4593" s="1" t="str">
        <f t="shared" si="8708"/>
        <v>0</v>
      </c>
      <c r="U4593" s="1" t="str">
        <f t="shared" si="8799"/>
        <v>0.0056</v>
      </c>
    </row>
    <row r="4594" s="1" customFormat="1" spans="1:21">
      <c r="A4594" s="1" t="str">
        <f>"4601992122383"</f>
        <v>4601992122383</v>
      </c>
      <c r="B4594" s="1" t="s">
        <v>4617</v>
      </c>
      <c r="C4594" s="1" t="s">
        <v>24</v>
      </c>
      <c r="D4594" s="1" t="str">
        <f t="shared" si="8705"/>
        <v>2021</v>
      </c>
      <c r="E4594" s="1" t="str">
        <f t="shared" si="8796"/>
        <v>35.94</v>
      </c>
      <c r="F4594" s="1" t="str">
        <f t="shared" ref="F4594:I4594" si="8804">"0"</f>
        <v>0</v>
      </c>
      <c r="G4594" s="1" t="str">
        <f t="shared" si="8804"/>
        <v>0</v>
      </c>
      <c r="H4594" s="1" t="str">
        <f t="shared" si="8804"/>
        <v>0</v>
      </c>
      <c r="I4594" s="1" t="str">
        <f t="shared" si="8804"/>
        <v>0</v>
      </c>
      <c r="J4594" s="1" t="str">
        <f t="shared" ref="J4594:J4597" si="8805">"2"</f>
        <v>2</v>
      </c>
      <c r="K4594" s="1" t="str">
        <f t="shared" ref="K4594:P4594" si="8806">"0"</f>
        <v>0</v>
      </c>
      <c r="L4594" s="1" t="str">
        <f t="shared" si="8806"/>
        <v>0</v>
      </c>
      <c r="M4594" s="1" t="str">
        <f t="shared" si="8806"/>
        <v>0</v>
      </c>
      <c r="N4594" s="1" t="str">
        <f t="shared" si="8806"/>
        <v>0</v>
      </c>
      <c r="O4594" s="1" t="str">
        <f t="shared" si="8806"/>
        <v>0</v>
      </c>
      <c r="P4594" s="1" t="str">
        <f t="shared" si="8806"/>
        <v>0</v>
      </c>
      <c r="Q4594" s="1" t="str">
        <f t="shared" si="8707"/>
        <v>0.0070</v>
      </c>
      <c r="R4594" s="1" t="s">
        <v>29</v>
      </c>
      <c r="S4594" s="1">
        <v>-0.0014</v>
      </c>
      <c r="T4594" s="1" t="str">
        <f t="shared" si="8708"/>
        <v>0</v>
      </c>
      <c r="U4594" s="1" t="str">
        <f t="shared" si="8799"/>
        <v>0.0056</v>
      </c>
    </row>
    <row r="4595" s="1" customFormat="1" spans="1:21">
      <c r="A4595" s="1" t="str">
        <f>"4601992122356"</f>
        <v>4601992122356</v>
      </c>
      <c r="B4595" s="1" t="s">
        <v>4618</v>
      </c>
      <c r="C4595" s="1" t="s">
        <v>24</v>
      </c>
      <c r="D4595" s="1" t="str">
        <f t="shared" si="8705"/>
        <v>2021</v>
      </c>
      <c r="E4595" s="1" t="str">
        <f>"24.85"</f>
        <v>24.85</v>
      </c>
      <c r="F4595" s="1" t="str">
        <f t="shared" ref="F4595:I4595" si="8807">"0"</f>
        <v>0</v>
      </c>
      <c r="G4595" s="1" t="str">
        <f t="shared" si="8807"/>
        <v>0</v>
      </c>
      <c r="H4595" s="1" t="str">
        <f t="shared" si="8807"/>
        <v>0</v>
      </c>
      <c r="I4595" s="1" t="str">
        <f t="shared" si="8807"/>
        <v>0</v>
      </c>
      <c r="J4595" s="1" t="str">
        <f t="shared" si="8805"/>
        <v>2</v>
      </c>
      <c r="K4595" s="1" t="str">
        <f t="shared" ref="K4595:P4595" si="8808">"0"</f>
        <v>0</v>
      </c>
      <c r="L4595" s="1" t="str">
        <f t="shared" si="8808"/>
        <v>0</v>
      </c>
      <c r="M4595" s="1" t="str">
        <f t="shared" si="8808"/>
        <v>0</v>
      </c>
      <c r="N4595" s="1" t="str">
        <f t="shared" si="8808"/>
        <v>0</v>
      </c>
      <c r="O4595" s="1" t="str">
        <f t="shared" si="8808"/>
        <v>0</v>
      </c>
      <c r="P4595" s="1" t="str">
        <f t="shared" si="8808"/>
        <v>0</v>
      </c>
      <c r="Q4595" s="1" t="str">
        <f t="shared" si="8707"/>
        <v>0.0070</v>
      </c>
      <c r="R4595" s="1" t="s">
        <v>29</v>
      </c>
      <c r="S4595" s="1">
        <v>-0.0014</v>
      </c>
      <c r="T4595" s="1" t="str">
        <f t="shared" si="8708"/>
        <v>0</v>
      </c>
      <c r="U4595" s="1" t="str">
        <f t="shared" si="8799"/>
        <v>0.0056</v>
      </c>
    </row>
    <row r="4596" s="1" customFormat="1" spans="1:21">
      <c r="A4596" s="1" t="str">
        <f>"4601992122474"</f>
        <v>4601992122474</v>
      </c>
      <c r="B4596" s="1" t="s">
        <v>4619</v>
      </c>
      <c r="C4596" s="1" t="s">
        <v>24</v>
      </c>
      <c r="D4596" s="1" t="str">
        <f t="shared" si="8705"/>
        <v>2021</v>
      </c>
      <c r="E4596" s="1" t="str">
        <f>"23.96"</f>
        <v>23.96</v>
      </c>
      <c r="F4596" s="1" t="str">
        <f t="shared" ref="F4596:I4596" si="8809">"0"</f>
        <v>0</v>
      </c>
      <c r="G4596" s="1" t="str">
        <f t="shared" si="8809"/>
        <v>0</v>
      </c>
      <c r="H4596" s="1" t="str">
        <f t="shared" si="8809"/>
        <v>0</v>
      </c>
      <c r="I4596" s="1" t="str">
        <f t="shared" si="8809"/>
        <v>0</v>
      </c>
      <c r="J4596" s="1" t="str">
        <f t="shared" si="8805"/>
        <v>2</v>
      </c>
      <c r="K4596" s="1" t="str">
        <f t="shared" ref="K4596:P4596" si="8810">"0"</f>
        <v>0</v>
      </c>
      <c r="L4596" s="1" t="str">
        <f t="shared" si="8810"/>
        <v>0</v>
      </c>
      <c r="M4596" s="1" t="str">
        <f t="shared" si="8810"/>
        <v>0</v>
      </c>
      <c r="N4596" s="1" t="str">
        <f t="shared" si="8810"/>
        <v>0</v>
      </c>
      <c r="O4596" s="1" t="str">
        <f t="shared" si="8810"/>
        <v>0</v>
      </c>
      <c r="P4596" s="1" t="str">
        <f t="shared" si="8810"/>
        <v>0</v>
      </c>
      <c r="Q4596" s="1" t="str">
        <f t="shared" si="8707"/>
        <v>0.0070</v>
      </c>
      <c r="R4596" s="1" t="s">
        <v>29</v>
      </c>
      <c r="S4596" s="1">
        <v>-0.0014</v>
      </c>
      <c r="T4596" s="1" t="str">
        <f t="shared" si="8708"/>
        <v>0</v>
      </c>
      <c r="U4596" s="1" t="str">
        <f t="shared" si="8799"/>
        <v>0.0056</v>
      </c>
    </row>
    <row r="4597" s="1" customFormat="1" spans="1:21">
      <c r="A4597" s="1" t="str">
        <f>"4601992122423"</f>
        <v>4601992122423</v>
      </c>
      <c r="B4597" s="1" t="s">
        <v>4620</v>
      </c>
      <c r="C4597" s="1" t="s">
        <v>24</v>
      </c>
      <c r="D4597" s="1" t="str">
        <f t="shared" si="8705"/>
        <v>2021</v>
      </c>
      <c r="E4597" s="1" t="str">
        <f>"23.96"</f>
        <v>23.96</v>
      </c>
      <c r="F4597" s="1" t="str">
        <f t="shared" ref="F4597:I4597" si="8811">"0"</f>
        <v>0</v>
      </c>
      <c r="G4597" s="1" t="str">
        <f t="shared" si="8811"/>
        <v>0</v>
      </c>
      <c r="H4597" s="1" t="str">
        <f t="shared" si="8811"/>
        <v>0</v>
      </c>
      <c r="I4597" s="1" t="str">
        <f t="shared" si="8811"/>
        <v>0</v>
      </c>
      <c r="J4597" s="1" t="str">
        <f t="shared" si="8805"/>
        <v>2</v>
      </c>
      <c r="K4597" s="1" t="str">
        <f t="shared" ref="K4597:P4597" si="8812">"0"</f>
        <v>0</v>
      </c>
      <c r="L4597" s="1" t="str">
        <f t="shared" si="8812"/>
        <v>0</v>
      </c>
      <c r="M4597" s="1" t="str">
        <f t="shared" si="8812"/>
        <v>0</v>
      </c>
      <c r="N4597" s="1" t="str">
        <f t="shared" si="8812"/>
        <v>0</v>
      </c>
      <c r="O4597" s="1" t="str">
        <f t="shared" si="8812"/>
        <v>0</v>
      </c>
      <c r="P4597" s="1" t="str">
        <f t="shared" si="8812"/>
        <v>0</v>
      </c>
      <c r="Q4597" s="1" t="str">
        <f t="shared" si="8707"/>
        <v>0.0070</v>
      </c>
      <c r="R4597" s="1" t="s">
        <v>29</v>
      </c>
      <c r="S4597" s="1">
        <v>-0.0014</v>
      </c>
      <c r="T4597" s="1" t="str">
        <f t="shared" si="8708"/>
        <v>0</v>
      </c>
      <c r="U4597" s="1" t="str">
        <f t="shared" si="8799"/>
        <v>0.0056</v>
      </c>
    </row>
    <row r="4598" s="1" customFormat="1" spans="1:21">
      <c r="A4598" s="1" t="str">
        <f>"4601992122479"</f>
        <v>4601992122479</v>
      </c>
      <c r="B4598" s="1" t="s">
        <v>4621</v>
      </c>
      <c r="C4598" s="1" t="s">
        <v>24</v>
      </c>
      <c r="D4598" s="1" t="str">
        <f t="shared" si="8705"/>
        <v>2021</v>
      </c>
      <c r="E4598" s="1" t="str">
        <f t="shared" ref="E4598:I4598" si="8813">"0"</f>
        <v>0</v>
      </c>
      <c r="F4598" s="1" t="str">
        <f t="shared" si="8813"/>
        <v>0</v>
      </c>
      <c r="G4598" s="1" t="str">
        <f t="shared" si="8813"/>
        <v>0</v>
      </c>
      <c r="H4598" s="1" t="str">
        <f t="shared" si="8813"/>
        <v>0</v>
      </c>
      <c r="I4598" s="1" t="str">
        <f t="shared" si="8813"/>
        <v>0</v>
      </c>
      <c r="J4598" s="1" t="str">
        <f>"5"</f>
        <v>5</v>
      </c>
      <c r="K4598" s="1" t="str">
        <f t="shared" ref="K4598:P4598" si="8814">"0"</f>
        <v>0</v>
      </c>
      <c r="L4598" s="1" t="str">
        <f t="shared" si="8814"/>
        <v>0</v>
      </c>
      <c r="M4598" s="1" t="str">
        <f t="shared" si="8814"/>
        <v>0</v>
      </c>
      <c r="N4598" s="1" t="str">
        <f t="shared" si="8814"/>
        <v>0</v>
      </c>
      <c r="O4598" s="1" t="str">
        <f t="shared" si="8814"/>
        <v>0</v>
      </c>
      <c r="P4598" s="1" t="str">
        <f t="shared" si="8814"/>
        <v>0</v>
      </c>
      <c r="Q4598" s="1" t="str">
        <f t="shared" si="8707"/>
        <v>0.0070</v>
      </c>
      <c r="R4598" s="1" t="s">
        <v>25</v>
      </c>
      <c r="T4598" s="1" t="str">
        <f t="shared" si="8708"/>
        <v>0</v>
      </c>
      <c r="U4598" s="1" t="str">
        <f t="shared" ref="U4598:U4607" si="8815">"0.0070"</f>
        <v>0.0070</v>
      </c>
    </row>
    <row r="4599" s="1" customFormat="1" spans="1:21">
      <c r="A4599" s="1" t="str">
        <f>"4601992122486"</f>
        <v>4601992122486</v>
      </c>
      <c r="B4599" s="1" t="s">
        <v>4622</v>
      </c>
      <c r="C4599" s="1" t="s">
        <v>24</v>
      </c>
      <c r="D4599" s="1" t="str">
        <f t="shared" si="8705"/>
        <v>2021</v>
      </c>
      <c r="E4599" s="1" t="str">
        <f>"95.81"</f>
        <v>95.81</v>
      </c>
      <c r="F4599" s="1" t="str">
        <f t="shared" ref="F4599:I4599" si="8816">"0"</f>
        <v>0</v>
      </c>
      <c r="G4599" s="1" t="str">
        <f t="shared" si="8816"/>
        <v>0</v>
      </c>
      <c r="H4599" s="1" t="str">
        <f t="shared" si="8816"/>
        <v>0</v>
      </c>
      <c r="I4599" s="1" t="str">
        <f t="shared" si="8816"/>
        <v>0</v>
      </c>
      <c r="J4599" s="1" t="str">
        <f>"7"</f>
        <v>7</v>
      </c>
      <c r="K4599" s="1" t="str">
        <f t="shared" ref="K4599:P4599" si="8817">"0"</f>
        <v>0</v>
      </c>
      <c r="L4599" s="1" t="str">
        <f t="shared" si="8817"/>
        <v>0</v>
      </c>
      <c r="M4599" s="1" t="str">
        <f t="shared" si="8817"/>
        <v>0</v>
      </c>
      <c r="N4599" s="1" t="str">
        <f t="shared" si="8817"/>
        <v>0</v>
      </c>
      <c r="O4599" s="1" t="str">
        <f t="shared" si="8817"/>
        <v>0</v>
      </c>
      <c r="P4599" s="1" t="str">
        <f t="shared" si="8817"/>
        <v>0</v>
      </c>
      <c r="Q4599" s="1" t="str">
        <f t="shared" si="8707"/>
        <v>0.0070</v>
      </c>
      <c r="R4599" s="1" t="s">
        <v>29</v>
      </c>
      <c r="S4599" s="1">
        <v>-0.0014</v>
      </c>
      <c r="T4599" s="1" t="str">
        <f t="shared" si="8708"/>
        <v>0</v>
      </c>
      <c r="U4599" s="1" t="str">
        <f>"0.0056"</f>
        <v>0.0056</v>
      </c>
    </row>
    <row r="4600" s="1" customFormat="1" spans="1:21">
      <c r="A4600" s="1" t="str">
        <f>"4601992122549"</f>
        <v>4601992122549</v>
      </c>
      <c r="B4600" s="1" t="s">
        <v>4623</v>
      </c>
      <c r="C4600" s="1" t="s">
        <v>24</v>
      </c>
      <c r="D4600" s="1" t="str">
        <f t="shared" si="8705"/>
        <v>2021</v>
      </c>
      <c r="E4600" s="1" t="str">
        <f t="shared" ref="E4600:P4600" si="8818">"0"</f>
        <v>0</v>
      </c>
      <c r="F4600" s="1" t="str">
        <f t="shared" si="8818"/>
        <v>0</v>
      </c>
      <c r="G4600" s="1" t="str">
        <f t="shared" si="8818"/>
        <v>0</v>
      </c>
      <c r="H4600" s="1" t="str">
        <f t="shared" si="8818"/>
        <v>0</v>
      </c>
      <c r="I4600" s="1" t="str">
        <f t="shared" si="8818"/>
        <v>0</v>
      </c>
      <c r="J4600" s="1" t="str">
        <f t="shared" si="8818"/>
        <v>0</v>
      </c>
      <c r="K4600" s="1" t="str">
        <f t="shared" si="8818"/>
        <v>0</v>
      </c>
      <c r="L4600" s="1" t="str">
        <f t="shared" si="8818"/>
        <v>0</v>
      </c>
      <c r="M4600" s="1" t="str">
        <f t="shared" si="8818"/>
        <v>0</v>
      </c>
      <c r="N4600" s="1" t="str">
        <f t="shared" si="8818"/>
        <v>0</v>
      </c>
      <c r="O4600" s="1" t="str">
        <f t="shared" si="8818"/>
        <v>0</v>
      </c>
      <c r="P4600" s="1" t="str">
        <f t="shared" si="8818"/>
        <v>0</v>
      </c>
      <c r="Q4600" s="1" t="str">
        <f t="shared" si="8707"/>
        <v>0.0070</v>
      </c>
      <c r="R4600" s="1" t="s">
        <v>25</v>
      </c>
      <c r="T4600" s="1" t="str">
        <f t="shared" si="8708"/>
        <v>0</v>
      </c>
      <c r="U4600" s="1" t="str">
        <f t="shared" si="8815"/>
        <v>0.0070</v>
      </c>
    </row>
    <row r="4601" s="1" customFormat="1" spans="1:21">
      <c r="A4601" s="1" t="str">
        <f>"4601992122511"</f>
        <v>4601992122511</v>
      </c>
      <c r="B4601" s="1" t="s">
        <v>4624</v>
      </c>
      <c r="C4601" s="1" t="s">
        <v>24</v>
      </c>
      <c r="D4601" s="1" t="str">
        <f t="shared" si="8705"/>
        <v>2021</v>
      </c>
      <c r="E4601" s="1" t="str">
        <f>"39.90"</f>
        <v>39.90</v>
      </c>
      <c r="F4601" s="1" t="str">
        <f t="shared" ref="F4601:I4601" si="8819">"0"</f>
        <v>0</v>
      </c>
      <c r="G4601" s="1" t="str">
        <f t="shared" si="8819"/>
        <v>0</v>
      </c>
      <c r="H4601" s="1" t="str">
        <f t="shared" si="8819"/>
        <v>0</v>
      </c>
      <c r="I4601" s="1" t="str">
        <f t="shared" si="8819"/>
        <v>0</v>
      </c>
      <c r="J4601" s="1" t="str">
        <f>"3"</f>
        <v>3</v>
      </c>
      <c r="K4601" s="1" t="str">
        <f t="shared" ref="K4601:P4601" si="8820">"0"</f>
        <v>0</v>
      </c>
      <c r="L4601" s="1" t="str">
        <f t="shared" si="8820"/>
        <v>0</v>
      </c>
      <c r="M4601" s="1" t="str">
        <f t="shared" si="8820"/>
        <v>0</v>
      </c>
      <c r="N4601" s="1" t="str">
        <f t="shared" si="8820"/>
        <v>0</v>
      </c>
      <c r="O4601" s="1" t="str">
        <f t="shared" si="8820"/>
        <v>0</v>
      </c>
      <c r="P4601" s="1" t="str">
        <f t="shared" si="8820"/>
        <v>0</v>
      </c>
      <c r="Q4601" s="1" t="str">
        <f t="shared" si="8707"/>
        <v>0.0070</v>
      </c>
      <c r="R4601" s="1" t="s">
        <v>29</v>
      </c>
      <c r="S4601" s="1">
        <v>-0.0014</v>
      </c>
      <c r="T4601" s="1" t="str">
        <f t="shared" si="8708"/>
        <v>0</v>
      </c>
      <c r="U4601" s="1" t="str">
        <f>"0.0056"</f>
        <v>0.0056</v>
      </c>
    </row>
    <row r="4602" s="1" customFormat="1" spans="1:21">
      <c r="A4602" s="1" t="str">
        <f>"4601992122659"</f>
        <v>4601992122659</v>
      </c>
      <c r="B4602" s="1" t="s">
        <v>4625</v>
      </c>
      <c r="C4602" s="1" t="s">
        <v>24</v>
      </c>
      <c r="D4602" s="1" t="str">
        <f t="shared" si="8705"/>
        <v>2021</v>
      </c>
      <c r="E4602" s="1" t="str">
        <f t="shared" ref="E4602:P4602" si="8821">"0"</f>
        <v>0</v>
      </c>
      <c r="F4602" s="1" t="str">
        <f t="shared" si="8821"/>
        <v>0</v>
      </c>
      <c r="G4602" s="1" t="str">
        <f t="shared" si="8821"/>
        <v>0</v>
      </c>
      <c r="H4602" s="1" t="str">
        <f t="shared" si="8821"/>
        <v>0</v>
      </c>
      <c r="I4602" s="1" t="str">
        <f t="shared" si="8821"/>
        <v>0</v>
      </c>
      <c r="J4602" s="1" t="str">
        <f t="shared" si="8821"/>
        <v>0</v>
      </c>
      <c r="K4602" s="1" t="str">
        <f t="shared" si="8821"/>
        <v>0</v>
      </c>
      <c r="L4602" s="1" t="str">
        <f t="shared" si="8821"/>
        <v>0</v>
      </c>
      <c r="M4602" s="1" t="str">
        <f t="shared" si="8821"/>
        <v>0</v>
      </c>
      <c r="N4602" s="1" t="str">
        <f t="shared" si="8821"/>
        <v>0</v>
      </c>
      <c r="O4602" s="1" t="str">
        <f t="shared" si="8821"/>
        <v>0</v>
      </c>
      <c r="P4602" s="1" t="str">
        <f t="shared" si="8821"/>
        <v>0</v>
      </c>
      <c r="Q4602" s="1" t="str">
        <f t="shared" si="8707"/>
        <v>0.0070</v>
      </c>
      <c r="R4602" s="1" t="s">
        <v>25</v>
      </c>
      <c r="T4602" s="1" t="str">
        <f t="shared" si="8708"/>
        <v>0</v>
      </c>
      <c r="U4602" s="1" t="str">
        <f t="shared" si="8815"/>
        <v>0.0070</v>
      </c>
    </row>
    <row r="4603" s="1" customFormat="1" spans="1:21">
      <c r="A4603" s="1" t="str">
        <f>"4601992122674"</f>
        <v>4601992122674</v>
      </c>
      <c r="B4603" s="1" t="s">
        <v>4626</v>
      </c>
      <c r="C4603" s="1" t="s">
        <v>24</v>
      </c>
      <c r="D4603" s="1" t="str">
        <f t="shared" si="8705"/>
        <v>2021</v>
      </c>
      <c r="E4603" s="1" t="str">
        <f t="shared" ref="E4603:P4603" si="8822">"0"</f>
        <v>0</v>
      </c>
      <c r="F4603" s="1" t="str">
        <f t="shared" si="8822"/>
        <v>0</v>
      </c>
      <c r="G4603" s="1" t="str">
        <f t="shared" si="8822"/>
        <v>0</v>
      </c>
      <c r="H4603" s="1" t="str">
        <f t="shared" si="8822"/>
        <v>0</v>
      </c>
      <c r="I4603" s="1" t="str">
        <f t="shared" si="8822"/>
        <v>0</v>
      </c>
      <c r="J4603" s="1" t="str">
        <f t="shared" si="8822"/>
        <v>0</v>
      </c>
      <c r="K4603" s="1" t="str">
        <f t="shared" si="8822"/>
        <v>0</v>
      </c>
      <c r="L4603" s="1" t="str">
        <f t="shared" si="8822"/>
        <v>0</v>
      </c>
      <c r="M4603" s="1" t="str">
        <f t="shared" si="8822"/>
        <v>0</v>
      </c>
      <c r="N4603" s="1" t="str">
        <f t="shared" si="8822"/>
        <v>0</v>
      </c>
      <c r="O4603" s="1" t="str">
        <f t="shared" si="8822"/>
        <v>0</v>
      </c>
      <c r="P4603" s="1" t="str">
        <f t="shared" si="8822"/>
        <v>0</v>
      </c>
      <c r="Q4603" s="1" t="str">
        <f t="shared" si="8707"/>
        <v>0.0070</v>
      </c>
      <c r="R4603" s="1" t="s">
        <v>25</v>
      </c>
      <c r="T4603" s="1" t="str">
        <f t="shared" si="8708"/>
        <v>0</v>
      </c>
      <c r="U4603" s="1" t="str">
        <f t="shared" si="8815"/>
        <v>0.0070</v>
      </c>
    </row>
    <row r="4604" s="1" customFormat="1" spans="1:21">
      <c r="A4604" s="1" t="str">
        <f>"4601992122696"</f>
        <v>4601992122696</v>
      </c>
      <c r="B4604" s="1" t="s">
        <v>4627</v>
      </c>
      <c r="C4604" s="1" t="s">
        <v>24</v>
      </c>
      <c r="D4604" s="1" t="str">
        <f t="shared" si="8705"/>
        <v>2021</v>
      </c>
      <c r="E4604" s="1" t="str">
        <f t="shared" ref="E4604:P4604" si="8823">"0"</f>
        <v>0</v>
      </c>
      <c r="F4604" s="1" t="str">
        <f t="shared" si="8823"/>
        <v>0</v>
      </c>
      <c r="G4604" s="1" t="str">
        <f t="shared" si="8823"/>
        <v>0</v>
      </c>
      <c r="H4604" s="1" t="str">
        <f t="shared" si="8823"/>
        <v>0</v>
      </c>
      <c r="I4604" s="1" t="str">
        <f t="shared" si="8823"/>
        <v>0</v>
      </c>
      <c r="J4604" s="1" t="str">
        <f t="shared" si="8823"/>
        <v>0</v>
      </c>
      <c r="K4604" s="1" t="str">
        <f t="shared" si="8823"/>
        <v>0</v>
      </c>
      <c r="L4604" s="1" t="str">
        <f t="shared" si="8823"/>
        <v>0</v>
      </c>
      <c r="M4604" s="1" t="str">
        <f t="shared" si="8823"/>
        <v>0</v>
      </c>
      <c r="N4604" s="1" t="str">
        <f t="shared" si="8823"/>
        <v>0</v>
      </c>
      <c r="O4604" s="1" t="str">
        <f t="shared" si="8823"/>
        <v>0</v>
      </c>
      <c r="P4604" s="1" t="str">
        <f t="shared" si="8823"/>
        <v>0</v>
      </c>
      <c r="Q4604" s="1" t="str">
        <f t="shared" si="8707"/>
        <v>0.0070</v>
      </c>
      <c r="R4604" s="1" t="s">
        <v>25</v>
      </c>
      <c r="T4604" s="1" t="str">
        <f t="shared" si="8708"/>
        <v>0</v>
      </c>
      <c r="U4604" s="1" t="str">
        <f t="shared" si="8815"/>
        <v>0.0070</v>
      </c>
    </row>
    <row r="4605" s="1" customFormat="1" spans="1:21">
      <c r="A4605" s="1" t="str">
        <f>"4601992122771"</f>
        <v>4601992122771</v>
      </c>
      <c r="B4605" s="1" t="s">
        <v>4628</v>
      </c>
      <c r="C4605" s="1" t="s">
        <v>24</v>
      </c>
      <c r="D4605" s="1" t="str">
        <f t="shared" si="8705"/>
        <v>2021</v>
      </c>
      <c r="E4605" s="1" t="str">
        <f t="shared" ref="E4605:P4605" si="8824">"0"</f>
        <v>0</v>
      </c>
      <c r="F4605" s="1" t="str">
        <f t="shared" si="8824"/>
        <v>0</v>
      </c>
      <c r="G4605" s="1" t="str">
        <f t="shared" si="8824"/>
        <v>0</v>
      </c>
      <c r="H4605" s="1" t="str">
        <f t="shared" si="8824"/>
        <v>0</v>
      </c>
      <c r="I4605" s="1" t="str">
        <f t="shared" si="8824"/>
        <v>0</v>
      </c>
      <c r="J4605" s="1" t="str">
        <f t="shared" si="8824"/>
        <v>0</v>
      </c>
      <c r="K4605" s="1" t="str">
        <f t="shared" si="8824"/>
        <v>0</v>
      </c>
      <c r="L4605" s="1" t="str">
        <f t="shared" si="8824"/>
        <v>0</v>
      </c>
      <c r="M4605" s="1" t="str">
        <f t="shared" si="8824"/>
        <v>0</v>
      </c>
      <c r="N4605" s="1" t="str">
        <f t="shared" si="8824"/>
        <v>0</v>
      </c>
      <c r="O4605" s="1" t="str">
        <f t="shared" si="8824"/>
        <v>0</v>
      </c>
      <c r="P4605" s="1" t="str">
        <f t="shared" si="8824"/>
        <v>0</v>
      </c>
      <c r="Q4605" s="1" t="str">
        <f t="shared" si="8707"/>
        <v>0.0070</v>
      </c>
      <c r="R4605" s="1" t="s">
        <v>25</v>
      </c>
      <c r="T4605" s="1" t="str">
        <f t="shared" si="8708"/>
        <v>0</v>
      </c>
      <c r="U4605" s="1" t="str">
        <f t="shared" si="8815"/>
        <v>0.0070</v>
      </c>
    </row>
    <row r="4606" s="1" customFormat="1" spans="1:21">
      <c r="A4606" s="1" t="str">
        <f>"4601992122881"</f>
        <v>4601992122881</v>
      </c>
      <c r="B4606" s="1" t="s">
        <v>4629</v>
      </c>
      <c r="C4606" s="1" t="s">
        <v>24</v>
      </c>
      <c r="D4606" s="1" t="str">
        <f t="shared" si="8705"/>
        <v>2021</v>
      </c>
      <c r="E4606" s="1" t="str">
        <f t="shared" ref="E4606:P4606" si="8825">"0"</f>
        <v>0</v>
      </c>
      <c r="F4606" s="1" t="str">
        <f t="shared" si="8825"/>
        <v>0</v>
      </c>
      <c r="G4606" s="1" t="str">
        <f t="shared" si="8825"/>
        <v>0</v>
      </c>
      <c r="H4606" s="1" t="str">
        <f t="shared" si="8825"/>
        <v>0</v>
      </c>
      <c r="I4606" s="1" t="str">
        <f t="shared" si="8825"/>
        <v>0</v>
      </c>
      <c r="J4606" s="1" t="str">
        <f t="shared" si="8825"/>
        <v>0</v>
      </c>
      <c r="K4606" s="1" t="str">
        <f t="shared" si="8825"/>
        <v>0</v>
      </c>
      <c r="L4606" s="1" t="str">
        <f t="shared" si="8825"/>
        <v>0</v>
      </c>
      <c r="M4606" s="1" t="str">
        <f t="shared" si="8825"/>
        <v>0</v>
      </c>
      <c r="N4606" s="1" t="str">
        <f t="shared" si="8825"/>
        <v>0</v>
      </c>
      <c r="O4606" s="1" t="str">
        <f t="shared" si="8825"/>
        <v>0</v>
      </c>
      <c r="P4606" s="1" t="str">
        <f t="shared" si="8825"/>
        <v>0</v>
      </c>
      <c r="Q4606" s="1" t="str">
        <f t="shared" si="8707"/>
        <v>0.0070</v>
      </c>
      <c r="R4606" s="1" t="s">
        <v>25</v>
      </c>
      <c r="T4606" s="1" t="str">
        <f t="shared" si="8708"/>
        <v>0</v>
      </c>
      <c r="U4606" s="1" t="str">
        <f t="shared" si="8815"/>
        <v>0.0070</v>
      </c>
    </row>
    <row r="4607" s="1" customFormat="1" spans="1:21">
      <c r="A4607" s="1" t="str">
        <f>"4601992122933"</f>
        <v>4601992122933</v>
      </c>
      <c r="B4607" s="1" t="s">
        <v>4630</v>
      </c>
      <c r="C4607" s="1" t="s">
        <v>24</v>
      </c>
      <c r="D4607" s="1" t="str">
        <f t="shared" si="8705"/>
        <v>2021</v>
      </c>
      <c r="E4607" s="1" t="str">
        <f t="shared" ref="E4607:P4607" si="8826">"0"</f>
        <v>0</v>
      </c>
      <c r="F4607" s="1" t="str">
        <f t="shared" si="8826"/>
        <v>0</v>
      </c>
      <c r="G4607" s="1" t="str">
        <f t="shared" si="8826"/>
        <v>0</v>
      </c>
      <c r="H4607" s="1" t="str">
        <f t="shared" si="8826"/>
        <v>0</v>
      </c>
      <c r="I4607" s="1" t="str">
        <f t="shared" si="8826"/>
        <v>0</v>
      </c>
      <c r="J4607" s="1" t="str">
        <f t="shared" si="8826"/>
        <v>0</v>
      </c>
      <c r="K4607" s="1" t="str">
        <f t="shared" si="8826"/>
        <v>0</v>
      </c>
      <c r="L4607" s="1" t="str">
        <f t="shared" si="8826"/>
        <v>0</v>
      </c>
      <c r="M4607" s="1" t="str">
        <f t="shared" si="8826"/>
        <v>0</v>
      </c>
      <c r="N4607" s="1" t="str">
        <f t="shared" si="8826"/>
        <v>0</v>
      </c>
      <c r="O4607" s="1" t="str">
        <f t="shared" si="8826"/>
        <v>0</v>
      </c>
      <c r="P4607" s="1" t="str">
        <f t="shared" si="8826"/>
        <v>0</v>
      </c>
      <c r="Q4607" s="1" t="str">
        <f t="shared" si="8707"/>
        <v>0.0070</v>
      </c>
      <c r="R4607" s="1" t="s">
        <v>25</v>
      </c>
      <c r="T4607" s="1" t="str">
        <f t="shared" si="8708"/>
        <v>0</v>
      </c>
      <c r="U4607" s="1" t="str">
        <f t="shared" si="8815"/>
        <v>0.0070</v>
      </c>
    </row>
    <row r="4608" s="1" customFormat="1" spans="1:21">
      <c r="A4608" s="1" t="str">
        <f>"4601992122765"</f>
        <v>4601992122765</v>
      </c>
      <c r="B4608" s="1" t="s">
        <v>4631</v>
      </c>
      <c r="C4608" s="1" t="s">
        <v>24</v>
      </c>
      <c r="D4608" s="1" t="str">
        <f t="shared" si="8705"/>
        <v>2021</v>
      </c>
      <c r="E4608" s="1" t="str">
        <f>"35.94"</f>
        <v>35.94</v>
      </c>
      <c r="F4608" s="1" t="str">
        <f t="shared" ref="F4608:I4608" si="8827">"0"</f>
        <v>0</v>
      </c>
      <c r="G4608" s="1" t="str">
        <f t="shared" si="8827"/>
        <v>0</v>
      </c>
      <c r="H4608" s="1" t="str">
        <f t="shared" si="8827"/>
        <v>0</v>
      </c>
      <c r="I4608" s="1" t="str">
        <f t="shared" si="8827"/>
        <v>0</v>
      </c>
      <c r="J4608" s="1" t="str">
        <f>"3"</f>
        <v>3</v>
      </c>
      <c r="K4608" s="1" t="str">
        <f t="shared" ref="K4608:P4608" si="8828">"0"</f>
        <v>0</v>
      </c>
      <c r="L4608" s="1" t="str">
        <f t="shared" si="8828"/>
        <v>0</v>
      </c>
      <c r="M4608" s="1" t="str">
        <f t="shared" si="8828"/>
        <v>0</v>
      </c>
      <c r="N4608" s="1" t="str">
        <f t="shared" si="8828"/>
        <v>0</v>
      </c>
      <c r="O4608" s="1" t="str">
        <f t="shared" si="8828"/>
        <v>0</v>
      </c>
      <c r="P4608" s="1" t="str">
        <f t="shared" si="8828"/>
        <v>0</v>
      </c>
      <c r="Q4608" s="1" t="str">
        <f t="shared" si="8707"/>
        <v>0.0070</v>
      </c>
      <c r="R4608" s="1" t="s">
        <v>29</v>
      </c>
      <c r="S4608" s="1">
        <v>-0.0014</v>
      </c>
      <c r="T4608" s="1" t="str">
        <f t="shared" si="8708"/>
        <v>0</v>
      </c>
      <c r="U4608" s="1" t="str">
        <f>"0.0056"</f>
        <v>0.0056</v>
      </c>
    </row>
    <row r="4609" s="1" customFormat="1" spans="1:21">
      <c r="A4609" s="1" t="str">
        <f>"4601992122821"</f>
        <v>4601992122821</v>
      </c>
      <c r="B4609" s="1" t="s">
        <v>4632</v>
      </c>
      <c r="C4609" s="1" t="s">
        <v>24</v>
      </c>
      <c r="D4609" s="1" t="str">
        <f t="shared" si="8705"/>
        <v>2021</v>
      </c>
      <c r="E4609" s="1" t="str">
        <f>"11.98"</f>
        <v>11.98</v>
      </c>
      <c r="F4609" s="1" t="str">
        <f t="shared" ref="F4609:I4609" si="8829">"0"</f>
        <v>0</v>
      </c>
      <c r="G4609" s="1" t="str">
        <f t="shared" si="8829"/>
        <v>0</v>
      </c>
      <c r="H4609" s="1" t="str">
        <f t="shared" si="8829"/>
        <v>0</v>
      </c>
      <c r="I4609" s="1" t="str">
        <f t="shared" si="8829"/>
        <v>0</v>
      </c>
      <c r="J4609" s="1" t="str">
        <f>"1"</f>
        <v>1</v>
      </c>
      <c r="K4609" s="1" t="str">
        <f t="shared" ref="K4609:P4609" si="8830">"0"</f>
        <v>0</v>
      </c>
      <c r="L4609" s="1" t="str">
        <f t="shared" si="8830"/>
        <v>0</v>
      </c>
      <c r="M4609" s="1" t="str">
        <f t="shared" si="8830"/>
        <v>0</v>
      </c>
      <c r="N4609" s="1" t="str">
        <f t="shared" si="8830"/>
        <v>0</v>
      </c>
      <c r="O4609" s="1" t="str">
        <f t="shared" si="8830"/>
        <v>0</v>
      </c>
      <c r="P4609" s="1" t="str">
        <f t="shared" si="8830"/>
        <v>0</v>
      </c>
      <c r="Q4609" s="1" t="str">
        <f t="shared" si="8707"/>
        <v>0.0070</v>
      </c>
      <c r="R4609" s="1" t="s">
        <v>29</v>
      </c>
      <c r="S4609" s="1">
        <v>-0.0014</v>
      </c>
      <c r="T4609" s="1" t="str">
        <f t="shared" si="8708"/>
        <v>0</v>
      </c>
      <c r="U4609" s="1" t="str">
        <f>"0.0056"</f>
        <v>0.0056</v>
      </c>
    </row>
    <row r="4610" s="1" customFormat="1" spans="1:21">
      <c r="A4610" s="1" t="str">
        <f>"4601992122955"</f>
        <v>4601992122955</v>
      </c>
      <c r="B4610" s="1" t="s">
        <v>4633</v>
      </c>
      <c r="C4610" s="1" t="s">
        <v>24</v>
      </c>
      <c r="D4610" s="1" t="str">
        <f t="shared" si="8705"/>
        <v>2021</v>
      </c>
      <c r="E4610" s="1" t="str">
        <f t="shared" ref="E4610:P4610" si="8831">"0"</f>
        <v>0</v>
      </c>
      <c r="F4610" s="1" t="str">
        <f t="shared" si="8831"/>
        <v>0</v>
      </c>
      <c r="G4610" s="1" t="str">
        <f t="shared" si="8831"/>
        <v>0</v>
      </c>
      <c r="H4610" s="1" t="str">
        <f t="shared" si="8831"/>
        <v>0</v>
      </c>
      <c r="I4610" s="1" t="str">
        <f t="shared" si="8831"/>
        <v>0</v>
      </c>
      <c r="J4610" s="1" t="str">
        <f t="shared" si="8831"/>
        <v>0</v>
      </c>
      <c r="K4610" s="1" t="str">
        <f t="shared" si="8831"/>
        <v>0</v>
      </c>
      <c r="L4610" s="1" t="str">
        <f t="shared" si="8831"/>
        <v>0</v>
      </c>
      <c r="M4610" s="1" t="str">
        <f t="shared" si="8831"/>
        <v>0</v>
      </c>
      <c r="N4610" s="1" t="str">
        <f t="shared" si="8831"/>
        <v>0</v>
      </c>
      <c r="O4610" s="1" t="str">
        <f t="shared" si="8831"/>
        <v>0</v>
      </c>
      <c r="P4610" s="1" t="str">
        <f t="shared" si="8831"/>
        <v>0</v>
      </c>
      <c r="Q4610" s="1" t="str">
        <f t="shared" si="8707"/>
        <v>0.0070</v>
      </c>
      <c r="R4610" s="1" t="s">
        <v>25</v>
      </c>
      <c r="T4610" s="1" t="str">
        <f t="shared" si="8708"/>
        <v>0</v>
      </c>
      <c r="U4610" s="1" t="str">
        <f t="shared" ref="U4610:U4647" si="8832">"0.0070"</f>
        <v>0.0070</v>
      </c>
    </row>
    <row r="4611" s="1" customFormat="1" spans="1:21">
      <c r="A4611" s="1" t="str">
        <f>"4601992122957"</f>
        <v>4601992122957</v>
      </c>
      <c r="B4611" s="1" t="s">
        <v>4634</v>
      </c>
      <c r="C4611" s="1" t="s">
        <v>24</v>
      </c>
      <c r="D4611" s="1" t="str">
        <f t="shared" ref="D4611:D4674" si="8833">"2021"</f>
        <v>2021</v>
      </c>
      <c r="E4611" s="1" t="str">
        <f t="shared" ref="E4611:P4611" si="8834">"0"</f>
        <v>0</v>
      </c>
      <c r="F4611" s="1" t="str">
        <f t="shared" si="8834"/>
        <v>0</v>
      </c>
      <c r="G4611" s="1" t="str">
        <f t="shared" si="8834"/>
        <v>0</v>
      </c>
      <c r="H4611" s="1" t="str">
        <f t="shared" si="8834"/>
        <v>0</v>
      </c>
      <c r="I4611" s="1" t="str">
        <f t="shared" si="8834"/>
        <v>0</v>
      </c>
      <c r="J4611" s="1" t="str">
        <f t="shared" si="8834"/>
        <v>0</v>
      </c>
      <c r="K4611" s="1" t="str">
        <f t="shared" si="8834"/>
        <v>0</v>
      </c>
      <c r="L4611" s="1" t="str">
        <f t="shared" si="8834"/>
        <v>0</v>
      </c>
      <c r="M4611" s="1" t="str">
        <f t="shared" si="8834"/>
        <v>0</v>
      </c>
      <c r="N4611" s="1" t="str">
        <f t="shared" si="8834"/>
        <v>0</v>
      </c>
      <c r="O4611" s="1" t="str">
        <f t="shared" si="8834"/>
        <v>0</v>
      </c>
      <c r="P4611" s="1" t="str">
        <f t="shared" si="8834"/>
        <v>0</v>
      </c>
      <c r="Q4611" s="1" t="str">
        <f t="shared" ref="Q4611:Q4674" si="8835">"0.0070"</f>
        <v>0.0070</v>
      </c>
      <c r="R4611" s="1" t="s">
        <v>25</v>
      </c>
      <c r="T4611" s="1" t="str">
        <f t="shared" ref="T4611:T4674" si="8836">"0"</f>
        <v>0</v>
      </c>
      <c r="U4611" s="1" t="str">
        <f t="shared" si="8832"/>
        <v>0.0070</v>
      </c>
    </row>
    <row r="4612" s="1" customFormat="1" spans="1:21">
      <c r="A4612" s="1" t="str">
        <f>"4601992123244"</f>
        <v>4601992123244</v>
      </c>
      <c r="B4612" s="1" t="s">
        <v>4635</v>
      </c>
      <c r="C4612" s="1" t="s">
        <v>24</v>
      </c>
      <c r="D4612" s="1" t="str">
        <f t="shared" si="8833"/>
        <v>2021</v>
      </c>
      <c r="E4612" s="1" t="str">
        <f t="shared" ref="E4612:P4612" si="8837">"0"</f>
        <v>0</v>
      </c>
      <c r="F4612" s="1" t="str">
        <f t="shared" si="8837"/>
        <v>0</v>
      </c>
      <c r="G4612" s="1" t="str">
        <f t="shared" si="8837"/>
        <v>0</v>
      </c>
      <c r="H4612" s="1" t="str">
        <f t="shared" si="8837"/>
        <v>0</v>
      </c>
      <c r="I4612" s="1" t="str">
        <f t="shared" si="8837"/>
        <v>0</v>
      </c>
      <c r="J4612" s="1" t="str">
        <f t="shared" si="8837"/>
        <v>0</v>
      </c>
      <c r="K4612" s="1" t="str">
        <f t="shared" si="8837"/>
        <v>0</v>
      </c>
      <c r="L4612" s="1" t="str">
        <f t="shared" si="8837"/>
        <v>0</v>
      </c>
      <c r="M4612" s="1" t="str">
        <f t="shared" si="8837"/>
        <v>0</v>
      </c>
      <c r="N4612" s="1" t="str">
        <f t="shared" si="8837"/>
        <v>0</v>
      </c>
      <c r="O4612" s="1" t="str">
        <f t="shared" si="8837"/>
        <v>0</v>
      </c>
      <c r="P4612" s="1" t="str">
        <f t="shared" si="8837"/>
        <v>0</v>
      </c>
      <c r="Q4612" s="1" t="str">
        <f t="shared" si="8835"/>
        <v>0.0070</v>
      </c>
      <c r="R4612" s="1" t="s">
        <v>25</v>
      </c>
      <c r="T4612" s="1" t="str">
        <f t="shared" si="8836"/>
        <v>0</v>
      </c>
      <c r="U4612" s="1" t="str">
        <f t="shared" si="8832"/>
        <v>0.0070</v>
      </c>
    </row>
    <row r="4613" s="1" customFormat="1" spans="1:21">
      <c r="A4613" s="1" t="str">
        <f>"4601992123260"</f>
        <v>4601992123260</v>
      </c>
      <c r="B4613" s="1" t="s">
        <v>4636</v>
      </c>
      <c r="C4613" s="1" t="s">
        <v>24</v>
      </c>
      <c r="D4613" s="1" t="str">
        <f t="shared" si="8833"/>
        <v>2021</v>
      </c>
      <c r="E4613" s="1" t="str">
        <f t="shared" ref="E4613:P4613" si="8838">"0"</f>
        <v>0</v>
      </c>
      <c r="F4613" s="1" t="str">
        <f t="shared" si="8838"/>
        <v>0</v>
      </c>
      <c r="G4613" s="1" t="str">
        <f t="shared" si="8838"/>
        <v>0</v>
      </c>
      <c r="H4613" s="1" t="str">
        <f t="shared" si="8838"/>
        <v>0</v>
      </c>
      <c r="I4613" s="1" t="str">
        <f t="shared" si="8838"/>
        <v>0</v>
      </c>
      <c r="J4613" s="1" t="str">
        <f t="shared" si="8838"/>
        <v>0</v>
      </c>
      <c r="K4613" s="1" t="str">
        <f t="shared" si="8838"/>
        <v>0</v>
      </c>
      <c r="L4613" s="1" t="str">
        <f t="shared" si="8838"/>
        <v>0</v>
      </c>
      <c r="M4613" s="1" t="str">
        <f t="shared" si="8838"/>
        <v>0</v>
      </c>
      <c r="N4613" s="1" t="str">
        <f t="shared" si="8838"/>
        <v>0</v>
      </c>
      <c r="O4613" s="1" t="str">
        <f t="shared" si="8838"/>
        <v>0</v>
      </c>
      <c r="P4613" s="1" t="str">
        <f t="shared" si="8838"/>
        <v>0</v>
      </c>
      <c r="Q4613" s="1" t="str">
        <f t="shared" si="8835"/>
        <v>0.0070</v>
      </c>
      <c r="R4613" s="1" t="s">
        <v>25</v>
      </c>
      <c r="T4613" s="1" t="str">
        <f t="shared" si="8836"/>
        <v>0</v>
      </c>
      <c r="U4613" s="1" t="str">
        <f t="shared" si="8832"/>
        <v>0.0070</v>
      </c>
    </row>
    <row r="4614" s="1" customFormat="1" spans="1:21">
      <c r="A4614" s="1" t="str">
        <f>"4601992123276"</f>
        <v>4601992123276</v>
      </c>
      <c r="B4614" s="1" t="s">
        <v>4637</v>
      </c>
      <c r="C4614" s="1" t="s">
        <v>24</v>
      </c>
      <c r="D4614" s="1" t="str">
        <f t="shared" si="8833"/>
        <v>2021</v>
      </c>
      <c r="E4614" s="1" t="str">
        <f t="shared" ref="E4614:P4614" si="8839">"0"</f>
        <v>0</v>
      </c>
      <c r="F4614" s="1" t="str">
        <f t="shared" si="8839"/>
        <v>0</v>
      </c>
      <c r="G4614" s="1" t="str">
        <f t="shared" si="8839"/>
        <v>0</v>
      </c>
      <c r="H4614" s="1" t="str">
        <f t="shared" si="8839"/>
        <v>0</v>
      </c>
      <c r="I4614" s="1" t="str">
        <f t="shared" si="8839"/>
        <v>0</v>
      </c>
      <c r="J4614" s="1" t="str">
        <f t="shared" si="8839"/>
        <v>0</v>
      </c>
      <c r="K4614" s="1" t="str">
        <f t="shared" si="8839"/>
        <v>0</v>
      </c>
      <c r="L4614" s="1" t="str">
        <f t="shared" si="8839"/>
        <v>0</v>
      </c>
      <c r="M4614" s="1" t="str">
        <f t="shared" si="8839"/>
        <v>0</v>
      </c>
      <c r="N4614" s="1" t="str">
        <f t="shared" si="8839"/>
        <v>0</v>
      </c>
      <c r="O4614" s="1" t="str">
        <f t="shared" si="8839"/>
        <v>0</v>
      </c>
      <c r="P4614" s="1" t="str">
        <f t="shared" si="8839"/>
        <v>0</v>
      </c>
      <c r="Q4614" s="1" t="str">
        <f t="shared" si="8835"/>
        <v>0.0070</v>
      </c>
      <c r="R4614" s="1" t="s">
        <v>25</v>
      </c>
      <c r="T4614" s="1" t="str">
        <f t="shared" si="8836"/>
        <v>0</v>
      </c>
      <c r="U4614" s="1" t="str">
        <f t="shared" si="8832"/>
        <v>0.0070</v>
      </c>
    </row>
    <row r="4615" s="1" customFormat="1" spans="1:21">
      <c r="A4615" s="1" t="str">
        <f>"4601992123330"</f>
        <v>4601992123330</v>
      </c>
      <c r="B4615" s="1" t="s">
        <v>4638</v>
      </c>
      <c r="C4615" s="1" t="s">
        <v>24</v>
      </c>
      <c r="D4615" s="1" t="str">
        <f t="shared" si="8833"/>
        <v>2021</v>
      </c>
      <c r="E4615" s="1" t="str">
        <f t="shared" ref="E4615:P4615" si="8840">"0"</f>
        <v>0</v>
      </c>
      <c r="F4615" s="1" t="str">
        <f t="shared" si="8840"/>
        <v>0</v>
      </c>
      <c r="G4615" s="1" t="str">
        <f t="shared" si="8840"/>
        <v>0</v>
      </c>
      <c r="H4615" s="1" t="str">
        <f t="shared" si="8840"/>
        <v>0</v>
      </c>
      <c r="I4615" s="1" t="str">
        <f t="shared" si="8840"/>
        <v>0</v>
      </c>
      <c r="J4615" s="1" t="str">
        <f t="shared" si="8840"/>
        <v>0</v>
      </c>
      <c r="K4615" s="1" t="str">
        <f t="shared" si="8840"/>
        <v>0</v>
      </c>
      <c r="L4615" s="1" t="str">
        <f t="shared" si="8840"/>
        <v>0</v>
      </c>
      <c r="M4615" s="1" t="str">
        <f t="shared" si="8840"/>
        <v>0</v>
      </c>
      <c r="N4615" s="1" t="str">
        <f t="shared" si="8840"/>
        <v>0</v>
      </c>
      <c r="O4615" s="1" t="str">
        <f t="shared" si="8840"/>
        <v>0</v>
      </c>
      <c r="P4615" s="1" t="str">
        <f t="shared" si="8840"/>
        <v>0</v>
      </c>
      <c r="Q4615" s="1" t="str">
        <f t="shared" si="8835"/>
        <v>0.0070</v>
      </c>
      <c r="R4615" s="1" t="s">
        <v>25</v>
      </c>
      <c r="T4615" s="1" t="str">
        <f t="shared" si="8836"/>
        <v>0</v>
      </c>
      <c r="U4615" s="1" t="str">
        <f t="shared" si="8832"/>
        <v>0.0070</v>
      </c>
    </row>
    <row r="4616" s="1" customFormat="1" spans="1:21">
      <c r="A4616" s="1" t="str">
        <f>"4601992123418"</f>
        <v>4601992123418</v>
      </c>
      <c r="B4616" s="1" t="s">
        <v>4639</v>
      </c>
      <c r="C4616" s="1" t="s">
        <v>24</v>
      </c>
      <c r="D4616" s="1" t="str">
        <f t="shared" si="8833"/>
        <v>2021</v>
      </c>
      <c r="E4616" s="1" t="str">
        <f t="shared" ref="E4616:P4616" si="8841">"0"</f>
        <v>0</v>
      </c>
      <c r="F4616" s="1" t="str">
        <f t="shared" si="8841"/>
        <v>0</v>
      </c>
      <c r="G4616" s="1" t="str">
        <f t="shared" si="8841"/>
        <v>0</v>
      </c>
      <c r="H4616" s="1" t="str">
        <f t="shared" si="8841"/>
        <v>0</v>
      </c>
      <c r="I4616" s="1" t="str">
        <f t="shared" si="8841"/>
        <v>0</v>
      </c>
      <c r="J4616" s="1" t="str">
        <f t="shared" si="8841"/>
        <v>0</v>
      </c>
      <c r="K4616" s="1" t="str">
        <f t="shared" si="8841"/>
        <v>0</v>
      </c>
      <c r="L4616" s="1" t="str">
        <f t="shared" si="8841"/>
        <v>0</v>
      </c>
      <c r="M4616" s="1" t="str">
        <f t="shared" si="8841"/>
        <v>0</v>
      </c>
      <c r="N4616" s="1" t="str">
        <f t="shared" si="8841"/>
        <v>0</v>
      </c>
      <c r="O4616" s="1" t="str">
        <f t="shared" si="8841"/>
        <v>0</v>
      </c>
      <c r="P4616" s="1" t="str">
        <f t="shared" si="8841"/>
        <v>0</v>
      </c>
      <c r="Q4616" s="1" t="str">
        <f t="shared" si="8835"/>
        <v>0.0070</v>
      </c>
      <c r="R4616" s="1" t="s">
        <v>25</v>
      </c>
      <c r="T4616" s="1" t="str">
        <f t="shared" si="8836"/>
        <v>0</v>
      </c>
      <c r="U4616" s="1" t="str">
        <f t="shared" si="8832"/>
        <v>0.0070</v>
      </c>
    </row>
    <row r="4617" s="1" customFormat="1" spans="1:21">
      <c r="A4617" s="1" t="str">
        <f>"4601992123334"</f>
        <v>4601992123334</v>
      </c>
      <c r="B4617" s="1" t="s">
        <v>4640</v>
      </c>
      <c r="C4617" s="1" t="s">
        <v>24</v>
      </c>
      <c r="D4617" s="1" t="str">
        <f t="shared" si="8833"/>
        <v>2021</v>
      </c>
      <c r="E4617" s="1" t="str">
        <f t="shared" ref="E4617:P4617" si="8842">"0"</f>
        <v>0</v>
      </c>
      <c r="F4617" s="1" t="str">
        <f t="shared" si="8842"/>
        <v>0</v>
      </c>
      <c r="G4617" s="1" t="str">
        <f t="shared" si="8842"/>
        <v>0</v>
      </c>
      <c r="H4617" s="1" t="str">
        <f t="shared" si="8842"/>
        <v>0</v>
      </c>
      <c r="I4617" s="1" t="str">
        <f t="shared" si="8842"/>
        <v>0</v>
      </c>
      <c r="J4617" s="1" t="str">
        <f t="shared" si="8842"/>
        <v>0</v>
      </c>
      <c r="K4617" s="1" t="str">
        <f t="shared" si="8842"/>
        <v>0</v>
      </c>
      <c r="L4617" s="1" t="str">
        <f t="shared" si="8842"/>
        <v>0</v>
      </c>
      <c r="M4617" s="1" t="str">
        <f t="shared" si="8842"/>
        <v>0</v>
      </c>
      <c r="N4617" s="1" t="str">
        <f t="shared" si="8842"/>
        <v>0</v>
      </c>
      <c r="O4617" s="1" t="str">
        <f t="shared" si="8842"/>
        <v>0</v>
      </c>
      <c r="P4617" s="1" t="str">
        <f t="shared" si="8842"/>
        <v>0</v>
      </c>
      <c r="Q4617" s="1" t="str">
        <f t="shared" si="8835"/>
        <v>0.0070</v>
      </c>
      <c r="R4617" s="1" t="s">
        <v>25</v>
      </c>
      <c r="T4617" s="1" t="str">
        <f t="shared" si="8836"/>
        <v>0</v>
      </c>
      <c r="U4617" s="1" t="str">
        <f t="shared" si="8832"/>
        <v>0.0070</v>
      </c>
    </row>
    <row r="4618" s="1" customFormat="1" spans="1:21">
      <c r="A4618" s="1" t="str">
        <f>"4601992123424"</f>
        <v>4601992123424</v>
      </c>
      <c r="B4618" s="1" t="s">
        <v>4641</v>
      </c>
      <c r="C4618" s="1" t="s">
        <v>24</v>
      </c>
      <c r="D4618" s="1" t="str">
        <f t="shared" si="8833"/>
        <v>2021</v>
      </c>
      <c r="E4618" s="1" t="str">
        <f t="shared" ref="E4618:P4618" si="8843">"0"</f>
        <v>0</v>
      </c>
      <c r="F4618" s="1" t="str">
        <f t="shared" si="8843"/>
        <v>0</v>
      </c>
      <c r="G4618" s="1" t="str">
        <f t="shared" si="8843"/>
        <v>0</v>
      </c>
      <c r="H4618" s="1" t="str">
        <f t="shared" si="8843"/>
        <v>0</v>
      </c>
      <c r="I4618" s="1" t="str">
        <f t="shared" si="8843"/>
        <v>0</v>
      </c>
      <c r="J4618" s="1" t="str">
        <f t="shared" si="8843"/>
        <v>0</v>
      </c>
      <c r="K4618" s="1" t="str">
        <f t="shared" si="8843"/>
        <v>0</v>
      </c>
      <c r="L4618" s="1" t="str">
        <f t="shared" si="8843"/>
        <v>0</v>
      </c>
      <c r="M4618" s="1" t="str">
        <f t="shared" si="8843"/>
        <v>0</v>
      </c>
      <c r="N4618" s="1" t="str">
        <f t="shared" si="8843"/>
        <v>0</v>
      </c>
      <c r="O4618" s="1" t="str">
        <f t="shared" si="8843"/>
        <v>0</v>
      </c>
      <c r="P4618" s="1" t="str">
        <f t="shared" si="8843"/>
        <v>0</v>
      </c>
      <c r="Q4618" s="1" t="str">
        <f t="shared" si="8835"/>
        <v>0.0070</v>
      </c>
      <c r="R4618" s="1" t="s">
        <v>25</v>
      </c>
      <c r="T4618" s="1" t="str">
        <f t="shared" si="8836"/>
        <v>0</v>
      </c>
      <c r="U4618" s="1" t="str">
        <f t="shared" si="8832"/>
        <v>0.0070</v>
      </c>
    </row>
    <row r="4619" s="1" customFormat="1" spans="1:21">
      <c r="A4619" s="1" t="str">
        <f>"4601992123583"</f>
        <v>4601992123583</v>
      </c>
      <c r="B4619" s="1" t="s">
        <v>4642</v>
      </c>
      <c r="C4619" s="1" t="s">
        <v>24</v>
      </c>
      <c r="D4619" s="1" t="str">
        <f t="shared" si="8833"/>
        <v>2021</v>
      </c>
      <c r="E4619" s="1" t="str">
        <f t="shared" ref="E4619:P4619" si="8844">"0"</f>
        <v>0</v>
      </c>
      <c r="F4619" s="1" t="str">
        <f t="shared" si="8844"/>
        <v>0</v>
      </c>
      <c r="G4619" s="1" t="str">
        <f t="shared" si="8844"/>
        <v>0</v>
      </c>
      <c r="H4619" s="1" t="str">
        <f t="shared" si="8844"/>
        <v>0</v>
      </c>
      <c r="I4619" s="1" t="str">
        <f t="shared" si="8844"/>
        <v>0</v>
      </c>
      <c r="J4619" s="1" t="str">
        <f t="shared" si="8844"/>
        <v>0</v>
      </c>
      <c r="K4619" s="1" t="str">
        <f t="shared" si="8844"/>
        <v>0</v>
      </c>
      <c r="L4619" s="1" t="str">
        <f t="shared" si="8844"/>
        <v>0</v>
      </c>
      <c r="M4619" s="1" t="str">
        <f t="shared" si="8844"/>
        <v>0</v>
      </c>
      <c r="N4619" s="1" t="str">
        <f t="shared" si="8844"/>
        <v>0</v>
      </c>
      <c r="O4619" s="1" t="str">
        <f t="shared" si="8844"/>
        <v>0</v>
      </c>
      <c r="P4619" s="1" t="str">
        <f t="shared" si="8844"/>
        <v>0</v>
      </c>
      <c r="Q4619" s="1" t="str">
        <f t="shared" si="8835"/>
        <v>0.0070</v>
      </c>
      <c r="R4619" s="1" t="s">
        <v>25</v>
      </c>
      <c r="T4619" s="1" t="str">
        <f t="shared" si="8836"/>
        <v>0</v>
      </c>
      <c r="U4619" s="1" t="str">
        <f t="shared" si="8832"/>
        <v>0.0070</v>
      </c>
    </row>
    <row r="4620" s="1" customFormat="1" spans="1:21">
      <c r="A4620" s="1" t="str">
        <f>"4601992123447"</f>
        <v>4601992123447</v>
      </c>
      <c r="B4620" s="1" t="s">
        <v>4643</v>
      </c>
      <c r="C4620" s="1" t="s">
        <v>24</v>
      </c>
      <c r="D4620" s="1" t="str">
        <f t="shared" si="8833"/>
        <v>2021</v>
      </c>
      <c r="E4620" s="1" t="str">
        <f t="shared" ref="E4620:P4620" si="8845">"0"</f>
        <v>0</v>
      </c>
      <c r="F4620" s="1" t="str">
        <f t="shared" si="8845"/>
        <v>0</v>
      </c>
      <c r="G4620" s="1" t="str">
        <f t="shared" si="8845"/>
        <v>0</v>
      </c>
      <c r="H4620" s="1" t="str">
        <f t="shared" si="8845"/>
        <v>0</v>
      </c>
      <c r="I4620" s="1" t="str">
        <f t="shared" si="8845"/>
        <v>0</v>
      </c>
      <c r="J4620" s="1" t="str">
        <f t="shared" si="8845"/>
        <v>0</v>
      </c>
      <c r="K4620" s="1" t="str">
        <f t="shared" si="8845"/>
        <v>0</v>
      </c>
      <c r="L4620" s="1" t="str">
        <f t="shared" si="8845"/>
        <v>0</v>
      </c>
      <c r="M4620" s="1" t="str">
        <f t="shared" si="8845"/>
        <v>0</v>
      </c>
      <c r="N4620" s="1" t="str">
        <f t="shared" si="8845"/>
        <v>0</v>
      </c>
      <c r="O4620" s="1" t="str">
        <f t="shared" si="8845"/>
        <v>0</v>
      </c>
      <c r="P4620" s="1" t="str">
        <f t="shared" si="8845"/>
        <v>0</v>
      </c>
      <c r="Q4620" s="1" t="str">
        <f t="shared" si="8835"/>
        <v>0.0070</v>
      </c>
      <c r="R4620" s="1" t="s">
        <v>25</v>
      </c>
      <c r="T4620" s="1" t="str">
        <f t="shared" si="8836"/>
        <v>0</v>
      </c>
      <c r="U4620" s="1" t="str">
        <f t="shared" si="8832"/>
        <v>0.0070</v>
      </c>
    </row>
    <row r="4621" s="1" customFormat="1" spans="1:21">
      <c r="A4621" s="1" t="str">
        <f>"4601992123320"</f>
        <v>4601992123320</v>
      </c>
      <c r="B4621" s="1" t="s">
        <v>4644</v>
      </c>
      <c r="C4621" s="1" t="s">
        <v>24</v>
      </c>
      <c r="D4621" s="1" t="str">
        <f t="shared" si="8833"/>
        <v>2021</v>
      </c>
      <c r="E4621" s="1" t="str">
        <f t="shared" ref="E4621:I4621" si="8846">"0"</f>
        <v>0</v>
      </c>
      <c r="F4621" s="1" t="str">
        <f t="shared" si="8846"/>
        <v>0</v>
      </c>
      <c r="G4621" s="1" t="str">
        <f t="shared" si="8846"/>
        <v>0</v>
      </c>
      <c r="H4621" s="1" t="str">
        <f t="shared" si="8846"/>
        <v>0</v>
      </c>
      <c r="I4621" s="1" t="str">
        <f t="shared" si="8846"/>
        <v>0</v>
      </c>
      <c r="J4621" s="1" t="str">
        <f>"3"</f>
        <v>3</v>
      </c>
      <c r="K4621" s="1" t="str">
        <f t="shared" ref="K4621:P4621" si="8847">"0"</f>
        <v>0</v>
      </c>
      <c r="L4621" s="1" t="str">
        <f t="shared" si="8847"/>
        <v>0</v>
      </c>
      <c r="M4621" s="1" t="str">
        <f t="shared" si="8847"/>
        <v>0</v>
      </c>
      <c r="N4621" s="1" t="str">
        <f t="shared" si="8847"/>
        <v>0</v>
      </c>
      <c r="O4621" s="1" t="str">
        <f t="shared" si="8847"/>
        <v>0</v>
      </c>
      <c r="P4621" s="1" t="str">
        <f t="shared" si="8847"/>
        <v>0</v>
      </c>
      <c r="Q4621" s="1" t="str">
        <f t="shared" si="8835"/>
        <v>0.0070</v>
      </c>
      <c r="R4621" s="1" t="s">
        <v>25</v>
      </c>
      <c r="T4621" s="1" t="str">
        <f t="shared" si="8836"/>
        <v>0</v>
      </c>
      <c r="U4621" s="1" t="str">
        <f t="shared" si="8832"/>
        <v>0.0070</v>
      </c>
    </row>
    <row r="4622" s="1" customFormat="1" spans="1:21">
      <c r="A4622" s="1" t="str">
        <f>"4601992123729"</f>
        <v>4601992123729</v>
      </c>
      <c r="B4622" s="1" t="s">
        <v>4645</v>
      </c>
      <c r="C4622" s="1" t="s">
        <v>24</v>
      </c>
      <c r="D4622" s="1" t="str">
        <f t="shared" si="8833"/>
        <v>2021</v>
      </c>
      <c r="E4622" s="1" t="str">
        <f t="shared" ref="E4622:P4622" si="8848">"0"</f>
        <v>0</v>
      </c>
      <c r="F4622" s="1" t="str">
        <f t="shared" si="8848"/>
        <v>0</v>
      </c>
      <c r="G4622" s="1" t="str">
        <f t="shared" si="8848"/>
        <v>0</v>
      </c>
      <c r="H4622" s="1" t="str">
        <f t="shared" si="8848"/>
        <v>0</v>
      </c>
      <c r="I4622" s="1" t="str">
        <f t="shared" si="8848"/>
        <v>0</v>
      </c>
      <c r="J4622" s="1" t="str">
        <f t="shared" si="8848"/>
        <v>0</v>
      </c>
      <c r="K4622" s="1" t="str">
        <f t="shared" si="8848"/>
        <v>0</v>
      </c>
      <c r="L4622" s="1" t="str">
        <f t="shared" si="8848"/>
        <v>0</v>
      </c>
      <c r="M4622" s="1" t="str">
        <f t="shared" si="8848"/>
        <v>0</v>
      </c>
      <c r="N4622" s="1" t="str">
        <f t="shared" si="8848"/>
        <v>0</v>
      </c>
      <c r="O4622" s="1" t="str">
        <f t="shared" si="8848"/>
        <v>0</v>
      </c>
      <c r="P4622" s="1" t="str">
        <f t="shared" si="8848"/>
        <v>0</v>
      </c>
      <c r="Q4622" s="1" t="str">
        <f t="shared" si="8835"/>
        <v>0.0070</v>
      </c>
      <c r="R4622" s="1" t="s">
        <v>25</v>
      </c>
      <c r="T4622" s="1" t="str">
        <f t="shared" si="8836"/>
        <v>0</v>
      </c>
      <c r="U4622" s="1" t="str">
        <f t="shared" si="8832"/>
        <v>0.0070</v>
      </c>
    </row>
    <row r="4623" s="1" customFormat="1" spans="1:21">
      <c r="A4623" s="1" t="str">
        <f>"4601992123589"</f>
        <v>4601992123589</v>
      </c>
      <c r="B4623" s="1" t="s">
        <v>4646</v>
      </c>
      <c r="C4623" s="1" t="s">
        <v>24</v>
      </c>
      <c r="D4623" s="1" t="str">
        <f t="shared" si="8833"/>
        <v>2021</v>
      </c>
      <c r="E4623" s="1" t="str">
        <f t="shared" ref="E4623:P4623" si="8849">"0"</f>
        <v>0</v>
      </c>
      <c r="F4623" s="1" t="str">
        <f t="shared" si="8849"/>
        <v>0</v>
      </c>
      <c r="G4623" s="1" t="str">
        <f t="shared" si="8849"/>
        <v>0</v>
      </c>
      <c r="H4623" s="1" t="str">
        <f t="shared" si="8849"/>
        <v>0</v>
      </c>
      <c r="I4623" s="1" t="str">
        <f t="shared" si="8849"/>
        <v>0</v>
      </c>
      <c r="J4623" s="1" t="str">
        <f t="shared" si="8849"/>
        <v>0</v>
      </c>
      <c r="K4623" s="1" t="str">
        <f t="shared" si="8849"/>
        <v>0</v>
      </c>
      <c r="L4623" s="1" t="str">
        <f t="shared" si="8849"/>
        <v>0</v>
      </c>
      <c r="M4623" s="1" t="str">
        <f t="shared" si="8849"/>
        <v>0</v>
      </c>
      <c r="N4623" s="1" t="str">
        <f t="shared" si="8849"/>
        <v>0</v>
      </c>
      <c r="O4623" s="1" t="str">
        <f t="shared" si="8849"/>
        <v>0</v>
      </c>
      <c r="P4623" s="1" t="str">
        <f t="shared" si="8849"/>
        <v>0</v>
      </c>
      <c r="Q4623" s="1" t="str">
        <f t="shared" si="8835"/>
        <v>0.0070</v>
      </c>
      <c r="R4623" s="1" t="s">
        <v>25</v>
      </c>
      <c r="T4623" s="1" t="str">
        <f t="shared" si="8836"/>
        <v>0</v>
      </c>
      <c r="U4623" s="1" t="str">
        <f t="shared" si="8832"/>
        <v>0.0070</v>
      </c>
    </row>
    <row r="4624" s="1" customFormat="1" spans="1:21">
      <c r="A4624" s="1" t="str">
        <f>"4601992123873"</f>
        <v>4601992123873</v>
      </c>
      <c r="B4624" s="1" t="s">
        <v>4647</v>
      </c>
      <c r="C4624" s="1" t="s">
        <v>24</v>
      </c>
      <c r="D4624" s="1" t="str">
        <f t="shared" si="8833"/>
        <v>2021</v>
      </c>
      <c r="E4624" s="1" t="str">
        <f t="shared" ref="E4624:P4624" si="8850">"0"</f>
        <v>0</v>
      </c>
      <c r="F4624" s="1" t="str">
        <f t="shared" si="8850"/>
        <v>0</v>
      </c>
      <c r="G4624" s="1" t="str">
        <f t="shared" si="8850"/>
        <v>0</v>
      </c>
      <c r="H4624" s="1" t="str">
        <f t="shared" si="8850"/>
        <v>0</v>
      </c>
      <c r="I4624" s="1" t="str">
        <f t="shared" si="8850"/>
        <v>0</v>
      </c>
      <c r="J4624" s="1" t="str">
        <f t="shared" si="8850"/>
        <v>0</v>
      </c>
      <c r="K4624" s="1" t="str">
        <f t="shared" si="8850"/>
        <v>0</v>
      </c>
      <c r="L4624" s="1" t="str">
        <f t="shared" si="8850"/>
        <v>0</v>
      </c>
      <c r="M4624" s="1" t="str">
        <f t="shared" si="8850"/>
        <v>0</v>
      </c>
      <c r="N4624" s="1" t="str">
        <f t="shared" si="8850"/>
        <v>0</v>
      </c>
      <c r="O4624" s="1" t="str">
        <f t="shared" si="8850"/>
        <v>0</v>
      </c>
      <c r="P4624" s="1" t="str">
        <f t="shared" si="8850"/>
        <v>0</v>
      </c>
      <c r="Q4624" s="1" t="str">
        <f t="shared" si="8835"/>
        <v>0.0070</v>
      </c>
      <c r="R4624" s="1" t="s">
        <v>25</v>
      </c>
      <c r="T4624" s="1" t="str">
        <f t="shared" si="8836"/>
        <v>0</v>
      </c>
      <c r="U4624" s="1" t="str">
        <f t="shared" si="8832"/>
        <v>0.0070</v>
      </c>
    </row>
    <row r="4625" s="1" customFormat="1" spans="1:21">
      <c r="A4625" s="1" t="str">
        <f>"4601992123725"</f>
        <v>4601992123725</v>
      </c>
      <c r="B4625" s="1" t="s">
        <v>4648</v>
      </c>
      <c r="C4625" s="1" t="s">
        <v>24</v>
      </c>
      <c r="D4625" s="1" t="str">
        <f t="shared" si="8833"/>
        <v>2021</v>
      </c>
      <c r="E4625" s="1" t="str">
        <f t="shared" ref="E4625:I4625" si="8851">"0"</f>
        <v>0</v>
      </c>
      <c r="F4625" s="1" t="str">
        <f t="shared" si="8851"/>
        <v>0</v>
      </c>
      <c r="G4625" s="1" t="str">
        <f t="shared" si="8851"/>
        <v>0</v>
      </c>
      <c r="H4625" s="1" t="str">
        <f t="shared" si="8851"/>
        <v>0</v>
      </c>
      <c r="I4625" s="1" t="str">
        <f t="shared" si="8851"/>
        <v>0</v>
      </c>
      <c r="J4625" s="1" t="str">
        <f>"2"</f>
        <v>2</v>
      </c>
      <c r="K4625" s="1" t="str">
        <f t="shared" ref="K4625:P4625" si="8852">"0"</f>
        <v>0</v>
      </c>
      <c r="L4625" s="1" t="str">
        <f t="shared" si="8852"/>
        <v>0</v>
      </c>
      <c r="M4625" s="1" t="str">
        <f t="shared" si="8852"/>
        <v>0</v>
      </c>
      <c r="N4625" s="1" t="str">
        <f t="shared" si="8852"/>
        <v>0</v>
      </c>
      <c r="O4625" s="1" t="str">
        <f t="shared" si="8852"/>
        <v>0</v>
      </c>
      <c r="P4625" s="1" t="str">
        <f t="shared" si="8852"/>
        <v>0</v>
      </c>
      <c r="Q4625" s="1" t="str">
        <f t="shared" si="8835"/>
        <v>0.0070</v>
      </c>
      <c r="R4625" s="1" t="s">
        <v>25</v>
      </c>
      <c r="T4625" s="1" t="str">
        <f t="shared" si="8836"/>
        <v>0</v>
      </c>
      <c r="U4625" s="1" t="str">
        <f t="shared" si="8832"/>
        <v>0.0070</v>
      </c>
    </row>
    <row r="4626" s="1" customFormat="1" spans="1:21">
      <c r="A4626" s="1" t="str">
        <f>"4601992123995"</f>
        <v>4601992123995</v>
      </c>
      <c r="B4626" s="1" t="s">
        <v>4649</v>
      </c>
      <c r="C4626" s="1" t="s">
        <v>24</v>
      </c>
      <c r="D4626" s="1" t="str">
        <f t="shared" si="8833"/>
        <v>2021</v>
      </c>
      <c r="E4626" s="1" t="str">
        <f t="shared" ref="E4626:P4626" si="8853">"0"</f>
        <v>0</v>
      </c>
      <c r="F4626" s="1" t="str">
        <f t="shared" si="8853"/>
        <v>0</v>
      </c>
      <c r="G4626" s="1" t="str">
        <f t="shared" si="8853"/>
        <v>0</v>
      </c>
      <c r="H4626" s="1" t="str">
        <f t="shared" si="8853"/>
        <v>0</v>
      </c>
      <c r="I4626" s="1" t="str">
        <f t="shared" si="8853"/>
        <v>0</v>
      </c>
      <c r="J4626" s="1" t="str">
        <f t="shared" si="8853"/>
        <v>0</v>
      </c>
      <c r="K4626" s="1" t="str">
        <f t="shared" si="8853"/>
        <v>0</v>
      </c>
      <c r="L4626" s="1" t="str">
        <f t="shared" si="8853"/>
        <v>0</v>
      </c>
      <c r="M4626" s="1" t="str">
        <f t="shared" si="8853"/>
        <v>0</v>
      </c>
      <c r="N4626" s="1" t="str">
        <f t="shared" si="8853"/>
        <v>0</v>
      </c>
      <c r="O4626" s="1" t="str">
        <f t="shared" si="8853"/>
        <v>0</v>
      </c>
      <c r="P4626" s="1" t="str">
        <f t="shared" si="8853"/>
        <v>0</v>
      </c>
      <c r="Q4626" s="1" t="str">
        <f t="shared" si="8835"/>
        <v>0.0070</v>
      </c>
      <c r="R4626" s="1" t="s">
        <v>25</v>
      </c>
      <c r="T4626" s="1" t="str">
        <f t="shared" si="8836"/>
        <v>0</v>
      </c>
      <c r="U4626" s="1" t="str">
        <f t="shared" si="8832"/>
        <v>0.0070</v>
      </c>
    </row>
    <row r="4627" s="1" customFormat="1" spans="1:21">
      <c r="A4627" s="1" t="str">
        <f>"4601992123874"</f>
        <v>4601992123874</v>
      </c>
      <c r="B4627" s="1" t="s">
        <v>4650</v>
      </c>
      <c r="C4627" s="1" t="s">
        <v>24</v>
      </c>
      <c r="D4627" s="1" t="str">
        <f t="shared" si="8833"/>
        <v>2021</v>
      </c>
      <c r="E4627" s="1" t="str">
        <f t="shared" ref="E4627:P4627" si="8854">"0"</f>
        <v>0</v>
      </c>
      <c r="F4627" s="1" t="str">
        <f t="shared" si="8854"/>
        <v>0</v>
      </c>
      <c r="G4627" s="1" t="str">
        <f t="shared" si="8854"/>
        <v>0</v>
      </c>
      <c r="H4627" s="1" t="str">
        <f t="shared" si="8854"/>
        <v>0</v>
      </c>
      <c r="I4627" s="1" t="str">
        <f t="shared" si="8854"/>
        <v>0</v>
      </c>
      <c r="J4627" s="1" t="str">
        <f t="shared" si="8854"/>
        <v>0</v>
      </c>
      <c r="K4627" s="1" t="str">
        <f t="shared" si="8854"/>
        <v>0</v>
      </c>
      <c r="L4627" s="1" t="str">
        <f t="shared" si="8854"/>
        <v>0</v>
      </c>
      <c r="M4627" s="1" t="str">
        <f t="shared" si="8854"/>
        <v>0</v>
      </c>
      <c r="N4627" s="1" t="str">
        <f t="shared" si="8854"/>
        <v>0</v>
      </c>
      <c r="O4627" s="1" t="str">
        <f t="shared" si="8854"/>
        <v>0</v>
      </c>
      <c r="P4627" s="1" t="str">
        <f t="shared" si="8854"/>
        <v>0</v>
      </c>
      <c r="Q4627" s="1" t="str">
        <f t="shared" si="8835"/>
        <v>0.0070</v>
      </c>
      <c r="R4627" s="1" t="s">
        <v>25</v>
      </c>
      <c r="T4627" s="1" t="str">
        <f t="shared" si="8836"/>
        <v>0</v>
      </c>
      <c r="U4627" s="1" t="str">
        <f t="shared" si="8832"/>
        <v>0.0070</v>
      </c>
    </row>
    <row r="4628" s="1" customFormat="1" spans="1:21">
      <c r="A4628" s="1" t="str">
        <f>"4601992124552"</f>
        <v>4601992124552</v>
      </c>
      <c r="B4628" s="1" t="s">
        <v>4651</v>
      </c>
      <c r="C4628" s="1" t="s">
        <v>24</v>
      </c>
      <c r="D4628" s="1" t="str">
        <f t="shared" si="8833"/>
        <v>2021</v>
      </c>
      <c r="E4628" s="1" t="str">
        <f t="shared" ref="E4628:P4628" si="8855">"0"</f>
        <v>0</v>
      </c>
      <c r="F4628" s="1" t="str">
        <f t="shared" si="8855"/>
        <v>0</v>
      </c>
      <c r="G4628" s="1" t="str">
        <f t="shared" si="8855"/>
        <v>0</v>
      </c>
      <c r="H4628" s="1" t="str">
        <f t="shared" si="8855"/>
        <v>0</v>
      </c>
      <c r="I4628" s="1" t="str">
        <f t="shared" si="8855"/>
        <v>0</v>
      </c>
      <c r="J4628" s="1" t="str">
        <f t="shared" si="8855"/>
        <v>0</v>
      </c>
      <c r="K4628" s="1" t="str">
        <f t="shared" si="8855"/>
        <v>0</v>
      </c>
      <c r="L4628" s="1" t="str">
        <f t="shared" si="8855"/>
        <v>0</v>
      </c>
      <c r="M4628" s="1" t="str">
        <f t="shared" si="8855"/>
        <v>0</v>
      </c>
      <c r="N4628" s="1" t="str">
        <f t="shared" si="8855"/>
        <v>0</v>
      </c>
      <c r="O4628" s="1" t="str">
        <f t="shared" si="8855"/>
        <v>0</v>
      </c>
      <c r="P4628" s="1" t="str">
        <f t="shared" si="8855"/>
        <v>0</v>
      </c>
      <c r="Q4628" s="1" t="str">
        <f t="shared" si="8835"/>
        <v>0.0070</v>
      </c>
      <c r="R4628" s="1" t="s">
        <v>25</v>
      </c>
      <c r="T4628" s="1" t="str">
        <f t="shared" si="8836"/>
        <v>0</v>
      </c>
      <c r="U4628" s="1" t="str">
        <f t="shared" si="8832"/>
        <v>0.0070</v>
      </c>
    </row>
    <row r="4629" s="1" customFormat="1" spans="1:21">
      <c r="A4629" s="1" t="str">
        <f>"4601992124340"</f>
        <v>4601992124340</v>
      </c>
      <c r="B4629" s="1" t="s">
        <v>4652</v>
      </c>
      <c r="C4629" s="1" t="s">
        <v>24</v>
      </c>
      <c r="D4629" s="1" t="str">
        <f t="shared" si="8833"/>
        <v>2021</v>
      </c>
      <c r="E4629" s="1" t="str">
        <f t="shared" ref="E4629:P4629" si="8856">"0"</f>
        <v>0</v>
      </c>
      <c r="F4629" s="1" t="str">
        <f t="shared" si="8856"/>
        <v>0</v>
      </c>
      <c r="G4629" s="1" t="str">
        <f t="shared" si="8856"/>
        <v>0</v>
      </c>
      <c r="H4629" s="1" t="str">
        <f t="shared" si="8856"/>
        <v>0</v>
      </c>
      <c r="I4629" s="1" t="str">
        <f t="shared" si="8856"/>
        <v>0</v>
      </c>
      <c r="J4629" s="1" t="str">
        <f t="shared" si="8856"/>
        <v>0</v>
      </c>
      <c r="K4629" s="1" t="str">
        <f t="shared" si="8856"/>
        <v>0</v>
      </c>
      <c r="L4629" s="1" t="str">
        <f t="shared" si="8856"/>
        <v>0</v>
      </c>
      <c r="M4629" s="1" t="str">
        <f t="shared" si="8856"/>
        <v>0</v>
      </c>
      <c r="N4629" s="1" t="str">
        <f t="shared" si="8856"/>
        <v>0</v>
      </c>
      <c r="O4629" s="1" t="str">
        <f t="shared" si="8856"/>
        <v>0</v>
      </c>
      <c r="P4629" s="1" t="str">
        <f t="shared" si="8856"/>
        <v>0</v>
      </c>
      <c r="Q4629" s="1" t="str">
        <f t="shared" si="8835"/>
        <v>0.0070</v>
      </c>
      <c r="R4629" s="1" t="s">
        <v>25</v>
      </c>
      <c r="T4629" s="1" t="str">
        <f t="shared" si="8836"/>
        <v>0</v>
      </c>
      <c r="U4629" s="1" t="str">
        <f t="shared" si="8832"/>
        <v>0.0070</v>
      </c>
    </row>
    <row r="4630" s="1" customFormat="1" spans="1:21">
      <c r="A4630" s="1" t="str">
        <f>"4601992124610"</f>
        <v>4601992124610</v>
      </c>
      <c r="B4630" s="1" t="s">
        <v>4653</v>
      </c>
      <c r="C4630" s="1" t="s">
        <v>24</v>
      </c>
      <c r="D4630" s="1" t="str">
        <f t="shared" si="8833"/>
        <v>2021</v>
      </c>
      <c r="E4630" s="1" t="str">
        <f t="shared" ref="E4630:P4630" si="8857">"0"</f>
        <v>0</v>
      </c>
      <c r="F4630" s="1" t="str">
        <f t="shared" si="8857"/>
        <v>0</v>
      </c>
      <c r="G4630" s="1" t="str">
        <f t="shared" si="8857"/>
        <v>0</v>
      </c>
      <c r="H4630" s="1" t="str">
        <f t="shared" si="8857"/>
        <v>0</v>
      </c>
      <c r="I4630" s="1" t="str">
        <f t="shared" si="8857"/>
        <v>0</v>
      </c>
      <c r="J4630" s="1" t="str">
        <f t="shared" si="8857"/>
        <v>0</v>
      </c>
      <c r="K4630" s="1" t="str">
        <f t="shared" si="8857"/>
        <v>0</v>
      </c>
      <c r="L4630" s="1" t="str">
        <f t="shared" si="8857"/>
        <v>0</v>
      </c>
      <c r="M4630" s="1" t="str">
        <f t="shared" si="8857"/>
        <v>0</v>
      </c>
      <c r="N4630" s="1" t="str">
        <f t="shared" si="8857"/>
        <v>0</v>
      </c>
      <c r="O4630" s="1" t="str">
        <f t="shared" si="8857"/>
        <v>0</v>
      </c>
      <c r="P4630" s="1" t="str">
        <f t="shared" si="8857"/>
        <v>0</v>
      </c>
      <c r="Q4630" s="1" t="str">
        <f t="shared" si="8835"/>
        <v>0.0070</v>
      </c>
      <c r="R4630" s="1" t="s">
        <v>25</v>
      </c>
      <c r="T4630" s="1" t="str">
        <f t="shared" si="8836"/>
        <v>0</v>
      </c>
      <c r="U4630" s="1" t="str">
        <f t="shared" si="8832"/>
        <v>0.0070</v>
      </c>
    </row>
    <row r="4631" s="1" customFormat="1" spans="1:21">
      <c r="A4631" s="1" t="str">
        <f>"4601992124120"</f>
        <v>4601992124120</v>
      </c>
      <c r="B4631" s="1" t="s">
        <v>4654</v>
      </c>
      <c r="C4631" s="1" t="s">
        <v>24</v>
      </c>
      <c r="D4631" s="1" t="str">
        <f t="shared" si="8833"/>
        <v>2021</v>
      </c>
      <c r="E4631" s="1" t="str">
        <f t="shared" ref="E4631:I4631" si="8858">"0"</f>
        <v>0</v>
      </c>
      <c r="F4631" s="1" t="str">
        <f t="shared" si="8858"/>
        <v>0</v>
      </c>
      <c r="G4631" s="1" t="str">
        <f t="shared" si="8858"/>
        <v>0</v>
      </c>
      <c r="H4631" s="1" t="str">
        <f t="shared" si="8858"/>
        <v>0</v>
      </c>
      <c r="I4631" s="1" t="str">
        <f t="shared" si="8858"/>
        <v>0</v>
      </c>
      <c r="J4631" s="1" t="str">
        <f>"3"</f>
        <v>3</v>
      </c>
      <c r="K4631" s="1" t="str">
        <f t="shared" ref="K4631:P4631" si="8859">"0"</f>
        <v>0</v>
      </c>
      <c r="L4631" s="1" t="str">
        <f t="shared" si="8859"/>
        <v>0</v>
      </c>
      <c r="M4631" s="1" t="str">
        <f t="shared" si="8859"/>
        <v>0</v>
      </c>
      <c r="N4631" s="1" t="str">
        <f t="shared" si="8859"/>
        <v>0</v>
      </c>
      <c r="O4631" s="1" t="str">
        <f t="shared" si="8859"/>
        <v>0</v>
      </c>
      <c r="P4631" s="1" t="str">
        <f t="shared" si="8859"/>
        <v>0</v>
      </c>
      <c r="Q4631" s="1" t="str">
        <f t="shared" si="8835"/>
        <v>0.0070</v>
      </c>
      <c r="R4631" s="1" t="s">
        <v>25</v>
      </c>
      <c r="T4631" s="1" t="str">
        <f t="shared" si="8836"/>
        <v>0</v>
      </c>
      <c r="U4631" s="1" t="str">
        <f t="shared" si="8832"/>
        <v>0.0070</v>
      </c>
    </row>
    <row r="4632" s="1" customFormat="1" spans="1:21">
      <c r="A4632" s="1" t="str">
        <f>"4601992124772"</f>
        <v>4601992124772</v>
      </c>
      <c r="B4632" s="1" t="s">
        <v>4655</v>
      </c>
      <c r="C4632" s="1" t="s">
        <v>24</v>
      </c>
      <c r="D4632" s="1" t="str">
        <f t="shared" si="8833"/>
        <v>2021</v>
      </c>
      <c r="E4632" s="1" t="str">
        <f t="shared" ref="E4632:P4632" si="8860">"0"</f>
        <v>0</v>
      </c>
      <c r="F4632" s="1" t="str">
        <f t="shared" si="8860"/>
        <v>0</v>
      </c>
      <c r="G4632" s="1" t="str">
        <f t="shared" si="8860"/>
        <v>0</v>
      </c>
      <c r="H4632" s="1" t="str">
        <f t="shared" si="8860"/>
        <v>0</v>
      </c>
      <c r="I4632" s="1" t="str">
        <f t="shared" si="8860"/>
        <v>0</v>
      </c>
      <c r="J4632" s="1" t="str">
        <f t="shared" si="8860"/>
        <v>0</v>
      </c>
      <c r="K4632" s="1" t="str">
        <f t="shared" si="8860"/>
        <v>0</v>
      </c>
      <c r="L4632" s="1" t="str">
        <f t="shared" si="8860"/>
        <v>0</v>
      </c>
      <c r="M4632" s="1" t="str">
        <f t="shared" si="8860"/>
        <v>0</v>
      </c>
      <c r="N4632" s="1" t="str">
        <f t="shared" si="8860"/>
        <v>0</v>
      </c>
      <c r="O4632" s="1" t="str">
        <f t="shared" si="8860"/>
        <v>0</v>
      </c>
      <c r="P4632" s="1" t="str">
        <f t="shared" si="8860"/>
        <v>0</v>
      </c>
      <c r="Q4632" s="1" t="str">
        <f t="shared" si="8835"/>
        <v>0.0070</v>
      </c>
      <c r="R4632" s="1" t="s">
        <v>25</v>
      </c>
      <c r="T4632" s="1" t="str">
        <f t="shared" si="8836"/>
        <v>0</v>
      </c>
      <c r="U4632" s="1" t="str">
        <f t="shared" si="8832"/>
        <v>0.0070</v>
      </c>
    </row>
    <row r="4633" s="1" customFormat="1" spans="1:21">
      <c r="A4633" s="1" t="str">
        <f>"4601992124743"</f>
        <v>4601992124743</v>
      </c>
      <c r="B4633" s="1" t="s">
        <v>4656</v>
      </c>
      <c r="C4633" s="1" t="s">
        <v>24</v>
      </c>
      <c r="D4633" s="1" t="str">
        <f t="shared" si="8833"/>
        <v>2021</v>
      </c>
      <c r="E4633" s="1" t="str">
        <f t="shared" ref="E4633:P4633" si="8861">"0"</f>
        <v>0</v>
      </c>
      <c r="F4633" s="1" t="str">
        <f t="shared" si="8861"/>
        <v>0</v>
      </c>
      <c r="G4633" s="1" t="str">
        <f t="shared" si="8861"/>
        <v>0</v>
      </c>
      <c r="H4633" s="1" t="str">
        <f t="shared" si="8861"/>
        <v>0</v>
      </c>
      <c r="I4633" s="1" t="str">
        <f t="shared" si="8861"/>
        <v>0</v>
      </c>
      <c r="J4633" s="1" t="str">
        <f t="shared" si="8861"/>
        <v>0</v>
      </c>
      <c r="K4633" s="1" t="str">
        <f t="shared" si="8861"/>
        <v>0</v>
      </c>
      <c r="L4633" s="1" t="str">
        <f t="shared" si="8861"/>
        <v>0</v>
      </c>
      <c r="M4633" s="1" t="str">
        <f t="shared" si="8861"/>
        <v>0</v>
      </c>
      <c r="N4633" s="1" t="str">
        <f t="shared" si="8861"/>
        <v>0</v>
      </c>
      <c r="O4633" s="1" t="str">
        <f t="shared" si="8861"/>
        <v>0</v>
      </c>
      <c r="P4633" s="1" t="str">
        <f t="shared" si="8861"/>
        <v>0</v>
      </c>
      <c r="Q4633" s="1" t="str">
        <f t="shared" si="8835"/>
        <v>0.0070</v>
      </c>
      <c r="R4633" s="1" t="s">
        <v>25</v>
      </c>
      <c r="T4633" s="1" t="str">
        <f t="shared" si="8836"/>
        <v>0</v>
      </c>
      <c r="U4633" s="1" t="str">
        <f t="shared" si="8832"/>
        <v>0.0070</v>
      </c>
    </row>
    <row r="4634" s="1" customFormat="1" spans="1:21">
      <c r="A4634" s="1" t="str">
        <f>"4601992124800"</f>
        <v>4601992124800</v>
      </c>
      <c r="B4634" s="1" t="s">
        <v>4657</v>
      </c>
      <c r="C4634" s="1" t="s">
        <v>24</v>
      </c>
      <c r="D4634" s="1" t="str">
        <f t="shared" si="8833"/>
        <v>2021</v>
      </c>
      <c r="E4634" s="1" t="str">
        <f t="shared" ref="E4634:P4634" si="8862">"0"</f>
        <v>0</v>
      </c>
      <c r="F4634" s="1" t="str">
        <f t="shared" si="8862"/>
        <v>0</v>
      </c>
      <c r="G4634" s="1" t="str">
        <f t="shared" si="8862"/>
        <v>0</v>
      </c>
      <c r="H4634" s="1" t="str">
        <f t="shared" si="8862"/>
        <v>0</v>
      </c>
      <c r="I4634" s="1" t="str">
        <f t="shared" si="8862"/>
        <v>0</v>
      </c>
      <c r="J4634" s="1" t="str">
        <f t="shared" si="8862"/>
        <v>0</v>
      </c>
      <c r="K4634" s="1" t="str">
        <f t="shared" si="8862"/>
        <v>0</v>
      </c>
      <c r="L4634" s="1" t="str">
        <f t="shared" si="8862"/>
        <v>0</v>
      </c>
      <c r="M4634" s="1" t="str">
        <f t="shared" si="8862"/>
        <v>0</v>
      </c>
      <c r="N4634" s="1" t="str">
        <f t="shared" si="8862"/>
        <v>0</v>
      </c>
      <c r="O4634" s="1" t="str">
        <f t="shared" si="8862"/>
        <v>0</v>
      </c>
      <c r="P4634" s="1" t="str">
        <f t="shared" si="8862"/>
        <v>0</v>
      </c>
      <c r="Q4634" s="1" t="str">
        <f t="shared" si="8835"/>
        <v>0.0070</v>
      </c>
      <c r="R4634" s="1" t="s">
        <v>25</v>
      </c>
      <c r="T4634" s="1" t="str">
        <f t="shared" si="8836"/>
        <v>0</v>
      </c>
      <c r="U4634" s="1" t="str">
        <f t="shared" si="8832"/>
        <v>0.0070</v>
      </c>
    </row>
    <row r="4635" s="1" customFormat="1" spans="1:21">
      <c r="A4635" s="1" t="str">
        <f>"4601992124753"</f>
        <v>4601992124753</v>
      </c>
      <c r="B4635" s="1" t="s">
        <v>4658</v>
      </c>
      <c r="C4635" s="1" t="s">
        <v>24</v>
      </c>
      <c r="D4635" s="1" t="str">
        <f t="shared" si="8833"/>
        <v>2021</v>
      </c>
      <c r="E4635" s="1" t="str">
        <f t="shared" ref="E4635:P4635" si="8863">"0"</f>
        <v>0</v>
      </c>
      <c r="F4635" s="1" t="str">
        <f t="shared" si="8863"/>
        <v>0</v>
      </c>
      <c r="G4635" s="1" t="str">
        <f t="shared" si="8863"/>
        <v>0</v>
      </c>
      <c r="H4635" s="1" t="str">
        <f t="shared" si="8863"/>
        <v>0</v>
      </c>
      <c r="I4635" s="1" t="str">
        <f t="shared" si="8863"/>
        <v>0</v>
      </c>
      <c r="J4635" s="1" t="str">
        <f t="shared" si="8863"/>
        <v>0</v>
      </c>
      <c r="K4635" s="1" t="str">
        <f t="shared" si="8863"/>
        <v>0</v>
      </c>
      <c r="L4635" s="1" t="str">
        <f t="shared" si="8863"/>
        <v>0</v>
      </c>
      <c r="M4635" s="1" t="str">
        <f t="shared" si="8863"/>
        <v>0</v>
      </c>
      <c r="N4635" s="1" t="str">
        <f t="shared" si="8863"/>
        <v>0</v>
      </c>
      <c r="O4635" s="1" t="str">
        <f t="shared" si="8863"/>
        <v>0</v>
      </c>
      <c r="P4635" s="1" t="str">
        <f t="shared" si="8863"/>
        <v>0</v>
      </c>
      <c r="Q4635" s="1" t="str">
        <f t="shared" si="8835"/>
        <v>0.0070</v>
      </c>
      <c r="R4635" s="1" t="s">
        <v>25</v>
      </c>
      <c r="T4635" s="1" t="str">
        <f t="shared" si="8836"/>
        <v>0</v>
      </c>
      <c r="U4635" s="1" t="str">
        <f t="shared" si="8832"/>
        <v>0.0070</v>
      </c>
    </row>
    <row r="4636" s="1" customFormat="1" spans="1:21">
      <c r="A4636" s="1" t="str">
        <f>"4601992124921"</f>
        <v>4601992124921</v>
      </c>
      <c r="B4636" s="1" t="s">
        <v>4659</v>
      </c>
      <c r="C4636" s="1" t="s">
        <v>24</v>
      </c>
      <c r="D4636" s="1" t="str">
        <f t="shared" si="8833"/>
        <v>2021</v>
      </c>
      <c r="E4636" s="1" t="str">
        <f t="shared" ref="E4636:P4636" si="8864">"0"</f>
        <v>0</v>
      </c>
      <c r="F4636" s="1" t="str">
        <f t="shared" si="8864"/>
        <v>0</v>
      </c>
      <c r="G4636" s="1" t="str">
        <f t="shared" si="8864"/>
        <v>0</v>
      </c>
      <c r="H4636" s="1" t="str">
        <f t="shared" si="8864"/>
        <v>0</v>
      </c>
      <c r="I4636" s="1" t="str">
        <f t="shared" si="8864"/>
        <v>0</v>
      </c>
      <c r="J4636" s="1" t="str">
        <f t="shared" si="8864"/>
        <v>0</v>
      </c>
      <c r="K4636" s="1" t="str">
        <f t="shared" si="8864"/>
        <v>0</v>
      </c>
      <c r="L4636" s="1" t="str">
        <f t="shared" si="8864"/>
        <v>0</v>
      </c>
      <c r="M4636" s="1" t="str">
        <f t="shared" si="8864"/>
        <v>0</v>
      </c>
      <c r="N4636" s="1" t="str">
        <f t="shared" si="8864"/>
        <v>0</v>
      </c>
      <c r="O4636" s="1" t="str">
        <f t="shared" si="8864"/>
        <v>0</v>
      </c>
      <c r="P4636" s="1" t="str">
        <f t="shared" si="8864"/>
        <v>0</v>
      </c>
      <c r="Q4636" s="1" t="str">
        <f t="shared" si="8835"/>
        <v>0.0070</v>
      </c>
      <c r="R4636" s="1" t="s">
        <v>25</v>
      </c>
      <c r="T4636" s="1" t="str">
        <f t="shared" si="8836"/>
        <v>0</v>
      </c>
      <c r="U4636" s="1" t="str">
        <f t="shared" si="8832"/>
        <v>0.0070</v>
      </c>
    </row>
    <row r="4637" s="1" customFormat="1" spans="1:21">
      <c r="A4637" s="1" t="str">
        <f>"4601992124812"</f>
        <v>4601992124812</v>
      </c>
      <c r="B4637" s="1" t="s">
        <v>4660</v>
      </c>
      <c r="C4637" s="1" t="s">
        <v>24</v>
      </c>
      <c r="D4637" s="1" t="str">
        <f t="shared" si="8833"/>
        <v>2021</v>
      </c>
      <c r="E4637" s="1" t="str">
        <f t="shared" ref="E4637:P4637" si="8865">"0"</f>
        <v>0</v>
      </c>
      <c r="F4637" s="1" t="str">
        <f t="shared" si="8865"/>
        <v>0</v>
      </c>
      <c r="G4637" s="1" t="str">
        <f t="shared" si="8865"/>
        <v>0</v>
      </c>
      <c r="H4637" s="1" t="str">
        <f t="shared" si="8865"/>
        <v>0</v>
      </c>
      <c r="I4637" s="1" t="str">
        <f t="shared" si="8865"/>
        <v>0</v>
      </c>
      <c r="J4637" s="1" t="str">
        <f t="shared" si="8865"/>
        <v>0</v>
      </c>
      <c r="K4637" s="1" t="str">
        <f t="shared" si="8865"/>
        <v>0</v>
      </c>
      <c r="L4637" s="1" t="str">
        <f t="shared" si="8865"/>
        <v>0</v>
      </c>
      <c r="M4637" s="1" t="str">
        <f t="shared" si="8865"/>
        <v>0</v>
      </c>
      <c r="N4637" s="1" t="str">
        <f t="shared" si="8865"/>
        <v>0</v>
      </c>
      <c r="O4637" s="1" t="str">
        <f t="shared" si="8865"/>
        <v>0</v>
      </c>
      <c r="P4637" s="1" t="str">
        <f t="shared" si="8865"/>
        <v>0</v>
      </c>
      <c r="Q4637" s="1" t="str">
        <f t="shared" si="8835"/>
        <v>0.0070</v>
      </c>
      <c r="R4637" s="1" t="s">
        <v>25</v>
      </c>
      <c r="T4637" s="1" t="str">
        <f t="shared" si="8836"/>
        <v>0</v>
      </c>
      <c r="U4637" s="1" t="str">
        <f t="shared" si="8832"/>
        <v>0.0070</v>
      </c>
    </row>
    <row r="4638" s="1" customFormat="1" spans="1:21">
      <c r="A4638" s="1" t="str">
        <f>"4601992124973"</f>
        <v>4601992124973</v>
      </c>
      <c r="B4638" s="1" t="s">
        <v>4661</v>
      </c>
      <c r="C4638" s="1" t="s">
        <v>24</v>
      </c>
      <c r="D4638" s="1" t="str">
        <f t="shared" si="8833"/>
        <v>2021</v>
      </c>
      <c r="E4638" s="1" t="str">
        <f t="shared" ref="E4638:P4638" si="8866">"0"</f>
        <v>0</v>
      </c>
      <c r="F4638" s="1" t="str">
        <f t="shared" si="8866"/>
        <v>0</v>
      </c>
      <c r="G4638" s="1" t="str">
        <f t="shared" si="8866"/>
        <v>0</v>
      </c>
      <c r="H4638" s="1" t="str">
        <f t="shared" si="8866"/>
        <v>0</v>
      </c>
      <c r="I4638" s="1" t="str">
        <f t="shared" si="8866"/>
        <v>0</v>
      </c>
      <c r="J4638" s="1" t="str">
        <f t="shared" si="8866"/>
        <v>0</v>
      </c>
      <c r="K4638" s="1" t="str">
        <f t="shared" si="8866"/>
        <v>0</v>
      </c>
      <c r="L4638" s="1" t="str">
        <f t="shared" si="8866"/>
        <v>0</v>
      </c>
      <c r="M4638" s="1" t="str">
        <f t="shared" si="8866"/>
        <v>0</v>
      </c>
      <c r="N4638" s="1" t="str">
        <f t="shared" si="8866"/>
        <v>0</v>
      </c>
      <c r="O4638" s="1" t="str">
        <f t="shared" si="8866"/>
        <v>0</v>
      </c>
      <c r="P4638" s="1" t="str">
        <f t="shared" si="8866"/>
        <v>0</v>
      </c>
      <c r="Q4638" s="1" t="str">
        <f t="shared" si="8835"/>
        <v>0.0070</v>
      </c>
      <c r="R4638" s="1" t="s">
        <v>25</v>
      </c>
      <c r="T4638" s="1" t="str">
        <f t="shared" si="8836"/>
        <v>0</v>
      </c>
      <c r="U4638" s="1" t="str">
        <f t="shared" si="8832"/>
        <v>0.0070</v>
      </c>
    </row>
    <row r="4639" s="1" customFormat="1" spans="1:21">
      <c r="A4639" s="1" t="str">
        <f>"4601992125229"</f>
        <v>4601992125229</v>
      </c>
      <c r="B4639" s="1" t="s">
        <v>4662</v>
      </c>
      <c r="C4639" s="1" t="s">
        <v>24</v>
      </c>
      <c r="D4639" s="1" t="str">
        <f t="shared" si="8833"/>
        <v>2021</v>
      </c>
      <c r="E4639" s="1" t="str">
        <f t="shared" ref="E4639:P4639" si="8867">"0"</f>
        <v>0</v>
      </c>
      <c r="F4639" s="1" t="str">
        <f t="shared" si="8867"/>
        <v>0</v>
      </c>
      <c r="G4639" s="1" t="str">
        <f t="shared" si="8867"/>
        <v>0</v>
      </c>
      <c r="H4639" s="1" t="str">
        <f t="shared" si="8867"/>
        <v>0</v>
      </c>
      <c r="I4639" s="1" t="str">
        <f t="shared" si="8867"/>
        <v>0</v>
      </c>
      <c r="J4639" s="1" t="str">
        <f t="shared" si="8867"/>
        <v>0</v>
      </c>
      <c r="K4639" s="1" t="str">
        <f t="shared" si="8867"/>
        <v>0</v>
      </c>
      <c r="L4639" s="1" t="str">
        <f t="shared" si="8867"/>
        <v>0</v>
      </c>
      <c r="M4639" s="1" t="str">
        <f t="shared" si="8867"/>
        <v>0</v>
      </c>
      <c r="N4639" s="1" t="str">
        <f t="shared" si="8867"/>
        <v>0</v>
      </c>
      <c r="O4639" s="1" t="str">
        <f t="shared" si="8867"/>
        <v>0</v>
      </c>
      <c r="P4639" s="1" t="str">
        <f t="shared" si="8867"/>
        <v>0</v>
      </c>
      <c r="Q4639" s="1" t="str">
        <f t="shared" si="8835"/>
        <v>0.0070</v>
      </c>
      <c r="R4639" s="1" t="s">
        <v>25</v>
      </c>
      <c r="T4639" s="1" t="str">
        <f t="shared" si="8836"/>
        <v>0</v>
      </c>
      <c r="U4639" s="1" t="str">
        <f t="shared" si="8832"/>
        <v>0.0070</v>
      </c>
    </row>
    <row r="4640" s="1" customFormat="1" spans="1:21">
      <c r="A4640" s="1" t="str">
        <f>"4601992124893"</f>
        <v>4601992124893</v>
      </c>
      <c r="B4640" s="1" t="s">
        <v>4663</v>
      </c>
      <c r="C4640" s="1" t="s">
        <v>24</v>
      </c>
      <c r="D4640" s="1" t="str">
        <f t="shared" si="8833"/>
        <v>2021</v>
      </c>
      <c r="E4640" s="1" t="str">
        <f t="shared" ref="E4640:I4640" si="8868">"0"</f>
        <v>0</v>
      </c>
      <c r="F4640" s="1" t="str">
        <f t="shared" si="8868"/>
        <v>0</v>
      </c>
      <c r="G4640" s="1" t="str">
        <f t="shared" si="8868"/>
        <v>0</v>
      </c>
      <c r="H4640" s="1" t="str">
        <f t="shared" si="8868"/>
        <v>0</v>
      </c>
      <c r="I4640" s="1" t="str">
        <f t="shared" si="8868"/>
        <v>0</v>
      </c>
      <c r="J4640" s="1" t="str">
        <f>"4"</f>
        <v>4</v>
      </c>
      <c r="K4640" s="1" t="str">
        <f t="shared" ref="K4640:P4640" si="8869">"0"</f>
        <v>0</v>
      </c>
      <c r="L4640" s="1" t="str">
        <f t="shared" si="8869"/>
        <v>0</v>
      </c>
      <c r="M4640" s="1" t="str">
        <f t="shared" si="8869"/>
        <v>0</v>
      </c>
      <c r="N4640" s="1" t="str">
        <f t="shared" si="8869"/>
        <v>0</v>
      </c>
      <c r="O4640" s="1" t="str">
        <f t="shared" si="8869"/>
        <v>0</v>
      </c>
      <c r="P4640" s="1" t="str">
        <f t="shared" si="8869"/>
        <v>0</v>
      </c>
      <c r="Q4640" s="1" t="str">
        <f t="shared" si="8835"/>
        <v>0.0070</v>
      </c>
      <c r="R4640" s="1" t="s">
        <v>25</v>
      </c>
      <c r="T4640" s="1" t="str">
        <f t="shared" si="8836"/>
        <v>0</v>
      </c>
      <c r="U4640" s="1" t="str">
        <f t="shared" si="8832"/>
        <v>0.0070</v>
      </c>
    </row>
    <row r="4641" s="1" customFormat="1" spans="1:21">
      <c r="A4641" s="1" t="str">
        <f>"4601992125311"</f>
        <v>4601992125311</v>
      </c>
      <c r="B4641" s="1" t="s">
        <v>4664</v>
      </c>
      <c r="C4641" s="1" t="s">
        <v>24</v>
      </c>
      <c r="D4641" s="1" t="str">
        <f t="shared" si="8833"/>
        <v>2021</v>
      </c>
      <c r="E4641" s="1" t="str">
        <f t="shared" ref="E4641:P4641" si="8870">"0"</f>
        <v>0</v>
      </c>
      <c r="F4641" s="1" t="str">
        <f t="shared" si="8870"/>
        <v>0</v>
      </c>
      <c r="G4641" s="1" t="str">
        <f t="shared" si="8870"/>
        <v>0</v>
      </c>
      <c r="H4641" s="1" t="str">
        <f t="shared" si="8870"/>
        <v>0</v>
      </c>
      <c r="I4641" s="1" t="str">
        <f t="shared" si="8870"/>
        <v>0</v>
      </c>
      <c r="J4641" s="1" t="str">
        <f t="shared" si="8870"/>
        <v>0</v>
      </c>
      <c r="K4641" s="1" t="str">
        <f t="shared" si="8870"/>
        <v>0</v>
      </c>
      <c r="L4641" s="1" t="str">
        <f t="shared" si="8870"/>
        <v>0</v>
      </c>
      <c r="M4641" s="1" t="str">
        <f t="shared" si="8870"/>
        <v>0</v>
      </c>
      <c r="N4641" s="1" t="str">
        <f t="shared" si="8870"/>
        <v>0</v>
      </c>
      <c r="O4641" s="1" t="str">
        <f t="shared" si="8870"/>
        <v>0</v>
      </c>
      <c r="P4641" s="1" t="str">
        <f t="shared" si="8870"/>
        <v>0</v>
      </c>
      <c r="Q4641" s="1" t="str">
        <f t="shared" si="8835"/>
        <v>0.0070</v>
      </c>
      <c r="R4641" s="1" t="s">
        <v>25</v>
      </c>
      <c r="T4641" s="1" t="str">
        <f t="shared" si="8836"/>
        <v>0</v>
      </c>
      <c r="U4641" s="1" t="str">
        <f t="shared" si="8832"/>
        <v>0.0070</v>
      </c>
    </row>
    <row r="4642" s="1" customFormat="1" spans="1:21">
      <c r="A4642" s="1" t="str">
        <f>"4601992125347"</f>
        <v>4601992125347</v>
      </c>
      <c r="B4642" s="1" t="s">
        <v>4665</v>
      </c>
      <c r="C4642" s="1" t="s">
        <v>24</v>
      </c>
      <c r="D4642" s="1" t="str">
        <f t="shared" si="8833"/>
        <v>2021</v>
      </c>
      <c r="E4642" s="1" t="str">
        <f t="shared" ref="E4642:P4642" si="8871">"0"</f>
        <v>0</v>
      </c>
      <c r="F4642" s="1" t="str">
        <f t="shared" si="8871"/>
        <v>0</v>
      </c>
      <c r="G4642" s="1" t="str">
        <f t="shared" si="8871"/>
        <v>0</v>
      </c>
      <c r="H4642" s="1" t="str">
        <f t="shared" si="8871"/>
        <v>0</v>
      </c>
      <c r="I4642" s="1" t="str">
        <f t="shared" si="8871"/>
        <v>0</v>
      </c>
      <c r="J4642" s="1" t="str">
        <f t="shared" si="8871"/>
        <v>0</v>
      </c>
      <c r="K4642" s="1" t="str">
        <f t="shared" si="8871"/>
        <v>0</v>
      </c>
      <c r="L4642" s="1" t="str">
        <f t="shared" si="8871"/>
        <v>0</v>
      </c>
      <c r="M4642" s="1" t="str">
        <f t="shared" si="8871"/>
        <v>0</v>
      </c>
      <c r="N4642" s="1" t="str">
        <f t="shared" si="8871"/>
        <v>0</v>
      </c>
      <c r="O4642" s="1" t="str">
        <f t="shared" si="8871"/>
        <v>0</v>
      </c>
      <c r="P4642" s="1" t="str">
        <f t="shared" si="8871"/>
        <v>0</v>
      </c>
      <c r="Q4642" s="1" t="str">
        <f t="shared" si="8835"/>
        <v>0.0070</v>
      </c>
      <c r="R4642" s="1" t="s">
        <v>25</v>
      </c>
      <c r="T4642" s="1" t="str">
        <f t="shared" si="8836"/>
        <v>0</v>
      </c>
      <c r="U4642" s="1" t="str">
        <f t="shared" si="8832"/>
        <v>0.0070</v>
      </c>
    </row>
    <row r="4643" s="1" customFormat="1" spans="1:21">
      <c r="A4643" s="1" t="str">
        <f>"4601992125271"</f>
        <v>4601992125271</v>
      </c>
      <c r="B4643" s="1" t="s">
        <v>4666</v>
      </c>
      <c r="C4643" s="1" t="s">
        <v>24</v>
      </c>
      <c r="D4643" s="1" t="str">
        <f t="shared" si="8833"/>
        <v>2021</v>
      </c>
      <c r="E4643" s="1" t="str">
        <f t="shared" ref="E4643:I4643" si="8872">"0"</f>
        <v>0</v>
      </c>
      <c r="F4643" s="1" t="str">
        <f t="shared" si="8872"/>
        <v>0</v>
      </c>
      <c r="G4643" s="1" t="str">
        <f t="shared" si="8872"/>
        <v>0</v>
      </c>
      <c r="H4643" s="1" t="str">
        <f t="shared" si="8872"/>
        <v>0</v>
      </c>
      <c r="I4643" s="1" t="str">
        <f t="shared" si="8872"/>
        <v>0</v>
      </c>
      <c r="J4643" s="1" t="str">
        <f>"1"</f>
        <v>1</v>
      </c>
      <c r="K4643" s="1" t="str">
        <f t="shared" ref="K4643:P4643" si="8873">"0"</f>
        <v>0</v>
      </c>
      <c r="L4643" s="1" t="str">
        <f t="shared" si="8873"/>
        <v>0</v>
      </c>
      <c r="M4643" s="1" t="str">
        <f t="shared" si="8873"/>
        <v>0</v>
      </c>
      <c r="N4643" s="1" t="str">
        <f t="shared" si="8873"/>
        <v>0</v>
      </c>
      <c r="O4643" s="1" t="str">
        <f t="shared" si="8873"/>
        <v>0</v>
      </c>
      <c r="P4643" s="1" t="str">
        <f t="shared" si="8873"/>
        <v>0</v>
      </c>
      <c r="Q4643" s="1" t="str">
        <f t="shared" si="8835"/>
        <v>0.0070</v>
      </c>
      <c r="R4643" s="1" t="s">
        <v>25</v>
      </c>
      <c r="T4643" s="1" t="str">
        <f t="shared" si="8836"/>
        <v>0</v>
      </c>
      <c r="U4643" s="1" t="str">
        <f t="shared" si="8832"/>
        <v>0.0070</v>
      </c>
    </row>
    <row r="4644" s="1" customFormat="1" spans="1:21">
      <c r="A4644" s="1" t="str">
        <f>"4601992125281"</f>
        <v>4601992125281</v>
      </c>
      <c r="B4644" s="1" t="s">
        <v>4667</v>
      </c>
      <c r="C4644" s="1" t="s">
        <v>24</v>
      </c>
      <c r="D4644" s="1" t="str">
        <f t="shared" si="8833"/>
        <v>2021</v>
      </c>
      <c r="E4644" s="1" t="str">
        <f>"23.96"</f>
        <v>23.96</v>
      </c>
      <c r="F4644" s="1" t="str">
        <f t="shared" ref="F4644:I4644" si="8874">"0"</f>
        <v>0</v>
      </c>
      <c r="G4644" s="1" t="str">
        <f t="shared" si="8874"/>
        <v>0</v>
      </c>
      <c r="H4644" s="1" t="str">
        <f t="shared" si="8874"/>
        <v>0</v>
      </c>
      <c r="I4644" s="1" t="str">
        <f t="shared" si="8874"/>
        <v>0</v>
      </c>
      <c r="J4644" s="1" t="str">
        <f>"4"</f>
        <v>4</v>
      </c>
      <c r="K4644" s="1" t="str">
        <f t="shared" ref="K4644:P4644" si="8875">"0"</f>
        <v>0</v>
      </c>
      <c r="L4644" s="1" t="str">
        <f t="shared" si="8875"/>
        <v>0</v>
      </c>
      <c r="M4644" s="1" t="str">
        <f t="shared" si="8875"/>
        <v>0</v>
      </c>
      <c r="N4644" s="1" t="str">
        <f t="shared" si="8875"/>
        <v>0</v>
      </c>
      <c r="O4644" s="1" t="str">
        <f t="shared" si="8875"/>
        <v>0</v>
      </c>
      <c r="P4644" s="1" t="str">
        <f t="shared" si="8875"/>
        <v>0</v>
      </c>
      <c r="Q4644" s="1" t="str">
        <f t="shared" si="8835"/>
        <v>0.0070</v>
      </c>
      <c r="R4644" s="1" t="s">
        <v>25</v>
      </c>
      <c r="T4644" s="1" t="str">
        <f t="shared" si="8836"/>
        <v>0</v>
      </c>
      <c r="U4644" s="1" t="str">
        <f t="shared" si="8832"/>
        <v>0.0070</v>
      </c>
    </row>
    <row r="4645" s="1" customFormat="1" spans="1:21">
      <c r="A4645" s="1" t="str">
        <f>"4601992125615"</f>
        <v>4601992125615</v>
      </c>
      <c r="B4645" s="1" t="s">
        <v>4668</v>
      </c>
      <c r="C4645" s="1" t="s">
        <v>24</v>
      </c>
      <c r="D4645" s="1" t="str">
        <f t="shared" si="8833"/>
        <v>2021</v>
      </c>
      <c r="E4645" s="1" t="str">
        <f t="shared" ref="E4645:P4645" si="8876">"0"</f>
        <v>0</v>
      </c>
      <c r="F4645" s="1" t="str">
        <f t="shared" si="8876"/>
        <v>0</v>
      </c>
      <c r="G4645" s="1" t="str">
        <f t="shared" si="8876"/>
        <v>0</v>
      </c>
      <c r="H4645" s="1" t="str">
        <f t="shared" si="8876"/>
        <v>0</v>
      </c>
      <c r="I4645" s="1" t="str">
        <f t="shared" si="8876"/>
        <v>0</v>
      </c>
      <c r="J4645" s="1" t="str">
        <f t="shared" si="8876"/>
        <v>0</v>
      </c>
      <c r="K4645" s="1" t="str">
        <f t="shared" si="8876"/>
        <v>0</v>
      </c>
      <c r="L4645" s="1" t="str">
        <f t="shared" si="8876"/>
        <v>0</v>
      </c>
      <c r="M4645" s="1" t="str">
        <f t="shared" si="8876"/>
        <v>0</v>
      </c>
      <c r="N4645" s="1" t="str">
        <f t="shared" si="8876"/>
        <v>0</v>
      </c>
      <c r="O4645" s="1" t="str">
        <f t="shared" si="8876"/>
        <v>0</v>
      </c>
      <c r="P4645" s="1" t="str">
        <f t="shared" si="8876"/>
        <v>0</v>
      </c>
      <c r="Q4645" s="1" t="str">
        <f t="shared" si="8835"/>
        <v>0.0070</v>
      </c>
      <c r="R4645" s="1" t="s">
        <v>25</v>
      </c>
      <c r="T4645" s="1" t="str">
        <f t="shared" si="8836"/>
        <v>0</v>
      </c>
      <c r="U4645" s="1" t="str">
        <f t="shared" si="8832"/>
        <v>0.0070</v>
      </c>
    </row>
    <row r="4646" s="1" customFormat="1" spans="1:21">
      <c r="A4646" s="1" t="str">
        <f>"4601992126997"</f>
        <v>4601992126997</v>
      </c>
      <c r="B4646" s="1" t="s">
        <v>4669</v>
      </c>
      <c r="C4646" s="1" t="s">
        <v>24</v>
      </c>
      <c r="D4646" s="1" t="str">
        <f t="shared" si="8833"/>
        <v>2021</v>
      </c>
      <c r="E4646" s="1" t="str">
        <f t="shared" ref="E4646:P4646" si="8877">"0"</f>
        <v>0</v>
      </c>
      <c r="F4646" s="1" t="str">
        <f t="shared" si="8877"/>
        <v>0</v>
      </c>
      <c r="G4646" s="1" t="str">
        <f t="shared" si="8877"/>
        <v>0</v>
      </c>
      <c r="H4646" s="1" t="str">
        <f t="shared" si="8877"/>
        <v>0</v>
      </c>
      <c r="I4646" s="1" t="str">
        <f t="shared" si="8877"/>
        <v>0</v>
      </c>
      <c r="J4646" s="1" t="str">
        <f t="shared" si="8877"/>
        <v>0</v>
      </c>
      <c r="K4646" s="1" t="str">
        <f t="shared" si="8877"/>
        <v>0</v>
      </c>
      <c r="L4646" s="1" t="str">
        <f t="shared" si="8877"/>
        <v>0</v>
      </c>
      <c r="M4646" s="1" t="str">
        <f t="shared" si="8877"/>
        <v>0</v>
      </c>
      <c r="N4646" s="1" t="str">
        <f t="shared" si="8877"/>
        <v>0</v>
      </c>
      <c r="O4646" s="1" t="str">
        <f t="shared" si="8877"/>
        <v>0</v>
      </c>
      <c r="P4646" s="1" t="str">
        <f t="shared" si="8877"/>
        <v>0</v>
      </c>
      <c r="Q4646" s="1" t="str">
        <f t="shared" si="8835"/>
        <v>0.0070</v>
      </c>
      <c r="R4646" s="1" t="s">
        <v>25</v>
      </c>
      <c r="T4646" s="1" t="str">
        <f t="shared" si="8836"/>
        <v>0</v>
      </c>
      <c r="U4646" s="1" t="str">
        <f t="shared" si="8832"/>
        <v>0.0070</v>
      </c>
    </row>
    <row r="4647" s="1" customFormat="1" spans="1:21">
      <c r="A4647" s="1" t="str">
        <f>"4601992126941"</f>
        <v>4601992126941</v>
      </c>
      <c r="B4647" s="1" t="s">
        <v>4670</v>
      </c>
      <c r="C4647" s="1" t="s">
        <v>24</v>
      </c>
      <c r="D4647" s="1" t="str">
        <f t="shared" si="8833"/>
        <v>2021</v>
      </c>
      <c r="E4647" s="1" t="str">
        <f t="shared" ref="E4647:P4647" si="8878">"0"</f>
        <v>0</v>
      </c>
      <c r="F4647" s="1" t="str">
        <f t="shared" si="8878"/>
        <v>0</v>
      </c>
      <c r="G4647" s="1" t="str">
        <f t="shared" si="8878"/>
        <v>0</v>
      </c>
      <c r="H4647" s="1" t="str">
        <f t="shared" si="8878"/>
        <v>0</v>
      </c>
      <c r="I4647" s="1" t="str">
        <f t="shared" si="8878"/>
        <v>0</v>
      </c>
      <c r="J4647" s="1" t="str">
        <f t="shared" si="8878"/>
        <v>0</v>
      </c>
      <c r="K4647" s="1" t="str">
        <f t="shared" si="8878"/>
        <v>0</v>
      </c>
      <c r="L4647" s="1" t="str">
        <f t="shared" si="8878"/>
        <v>0</v>
      </c>
      <c r="M4647" s="1" t="str">
        <f t="shared" si="8878"/>
        <v>0</v>
      </c>
      <c r="N4647" s="1" t="str">
        <f t="shared" si="8878"/>
        <v>0</v>
      </c>
      <c r="O4647" s="1" t="str">
        <f t="shared" si="8878"/>
        <v>0</v>
      </c>
      <c r="P4647" s="1" t="str">
        <f t="shared" si="8878"/>
        <v>0</v>
      </c>
      <c r="Q4647" s="1" t="str">
        <f t="shared" si="8835"/>
        <v>0.0070</v>
      </c>
      <c r="R4647" s="1" t="s">
        <v>25</v>
      </c>
      <c r="T4647" s="1" t="str">
        <f t="shared" si="8836"/>
        <v>0</v>
      </c>
      <c r="U4647" s="1" t="str">
        <f t="shared" si="8832"/>
        <v>0.0070</v>
      </c>
    </row>
    <row r="4648" s="1" customFormat="1" spans="1:21">
      <c r="A4648" s="1" t="str">
        <f>"4601992125854"</f>
        <v>4601992125854</v>
      </c>
      <c r="B4648" s="1" t="s">
        <v>4671</v>
      </c>
      <c r="C4648" s="1" t="s">
        <v>24</v>
      </c>
      <c r="D4648" s="1" t="str">
        <f t="shared" si="8833"/>
        <v>2021</v>
      </c>
      <c r="E4648" s="1" t="str">
        <f>"35.94"</f>
        <v>35.94</v>
      </c>
      <c r="F4648" s="1" t="str">
        <f t="shared" ref="F4648:I4648" si="8879">"0"</f>
        <v>0</v>
      </c>
      <c r="G4648" s="1" t="str">
        <f t="shared" si="8879"/>
        <v>0</v>
      </c>
      <c r="H4648" s="1" t="str">
        <f t="shared" si="8879"/>
        <v>0</v>
      </c>
      <c r="I4648" s="1" t="str">
        <f t="shared" si="8879"/>
        <v>0</v>
      </c>
      <c r="J4648" s="1" t="str">
        <f>"3"</f>
        <v>3</v>
      </c>
      <c r="K4648" s="1" t="str">
        <f t="shared" ref="K4648:P4648" si="8880">"0"</f>
        <v>0</v>
      </c>
      <c r="L4648" s="1" t="str">
        <f t="shared" si="8880"/>
        <v>0</v>
      </c>
      <c r="M4648" s="1" t="str">
        <f t="shared" si="8880"/>
        <v>0</v>
      </c>
      <c r="N4648" s="1" t="str">
        <f t="shared" si="8880"/>
        <v>0</v>
      </c>
      <c r="O4648" s="1" t="str">
        <f t="shared" si="8880"/>
        <v>0</v>
      </c>
      <c r="P4648" s="1" t="str">
        <f t="shared" si="8880"/>
        <v>0</v>
      </c>
      <c r="Q4648" s="1" t="str">
        <f t="shared" si="8835"/>
        <v>0.0070</v>
      </c>
      <c r="R4648" s="1" t="s">
        <v>29</v>
      </c>
      <c r="S4648" s="1">
        <v>-0.0014</v>
      </c>
      <c r="T4648" s="1" t="str">
        <f t="shared" si="8836"/>
        <v>0</v>
      </c>
      <c r="U4648" s="1" t="str">
        <f t="shared" ref="U4648:U4651" si="8881">"0.0056"</f>
        <v>0.0056</v>
      </c>
    </row>
    <row r="4649" s="1" customFormat="1" spans="1:21">
      <c r="A4649" s="1" t="str">
        <f>"4601992125714"</f>
        <v>4601992125714</v>
      </c>
      <c r="B4649" s="1" t="s">
        <v>4672</v>
      </c>
      <c r="C4649" s="1" t="s">
        <v>24</v>
      </c>
      <c r="D4649" s="1" t="str">
        <f t="shared" si="8833"/>
        <v>2021</v>
      </c>
      <c r="E4649" s="1" t="str">
        <f>"11.98"</f>
        <v>11.98</v>
      </c>
      <c r="F4649" s="1" t="str">
        <f t="shared" ref="F4649:I4649" si="8882">"0"</f>
        <v>0</v>
      </c>
      <c r="G4649" s="1" t="str">
        <f t="shared" si="8882"/>
        <v>0</v>
      </c>
      <c r="H4649" s="1" t="str">
        <f t="shared" si="8882"/>
        <v>0</v>
      </c>
      <c r="I4649" s="1" t="str">
        <f t="shared" si="8882"/>
        <v>0</v>
      </c>
      <c r="J4649" s="1" t="str">
        <f>"1"</f>
        <v>1</v>
      </c>
      <c r="K4649" s="1" t="str">
        <f t="shared" ref="K4649:P4649" si="8883">"0"</f>
        <v>0</v>
      </c>
      <c r="L4649" s="1" t="str">
        <f t="shared" si="8883"/>
        <v>0</v>
      </c>
      <c r="M4649" s="1" t="str">
        <f t="shared" si="8883"/>
        <v>0</v>
      </c>
      <c r="N4649" s="1" t="str">
        <f t="shared" si="8883"/>
        <v>0</v>
      </c>
      <c r="O4649" s="1" t="str">
        <f t="shared" si="8883"/>
        <v>0</v>
      </c>
      <c r="P4649" s="1" t="str">
        <f t="shared" si="8883"/>
        <v>0</v>
      </c>
      <c r="Q4649" s="1" t="str">
        <f t="shared" si="8835"/>
        <v>0.0070</v>
      </c>
      <c r="R4649" s="1" t="s">
        <v>29</v>
      </c>
      <c r="S4649" s="1">
        <v>-0.0014</v>
      </c>
      <c r="T4649" s="1" t="str">
        <f t="shared" si="8836"/>
        <v>0</v>
      </c>
      <c r="U4649" s="1" t="str">
        <f t="shared" si="8881"/>
        <v>0.0056</v>
      </c>
    </row>
    <row r="4650" s="1" customFormat="1" spans="1:21">
      <c r="A4650" s="1" t="str">
        <f>"4601992127142"</f>
        <v>4601992127142</v>
      </c>
      <c r="B4650" s="1" t="s">
        <v>4673</v>
      </c>
      <c r="C4650" s="1" t="s">
        <v>24</v>
      </c>
      <c r="D4650" s="1" t="str">
        <f t="shared" si="8833"/>
        <v>2021</v>
      </c>
      <c r="E4650" s="1" t="str">
        <f>"11.98"</f>
        <v>11.98</v>
      </c>
      <c r="F4650" s="1" t="str">
        <f t="shared" ref="F4650:I4650" si="8884">"0"</f>
        <v>0</v>
      </c>
      <c r="G4650" s="1" t="str">
        <f t="shared" si="8884"/>
        <v>0</v>
      </c>
      <c r="H4650" s="1" t="str">
        <f t="shared" si="8884"/>
        <v>0</v>
      </c>
      <c r="I4650" s="1" t="str">
        <f t="shared" si="8884"/>
        <v>0</v>
      </c>
      <c r="J4650" s="1" t="str">
        <f>"1"</f>
        <v>1</v>
      </c>
      <c r="K4650" s="1" t="str">
        <f t="shared" ref="K4650:P4650" si="8885">"0"</f>
        <v>0</v>
      </c>
      <c r="L4650" s="1" t="str">
        <f t="shared" si="8885"/>
        <v>0</v>
      </c>
      <c r="M4650" s="1" t="str">
        <f t="shared" si="8885"/>
        <v>0</v>
      </c>
      <c r="N4650" s="1" t="str">
        <f t="shared" si="8885"/>
        <v>0</v>
      </c>
      <c r="O4650" s="1" t="str">
        <f t="shared" si="8885"/>
        <v>0</v>
      </c>
      <c r="P4650" s="1" t="str">
        <f t="shared" si="8885"/>
        <v>0</v>
      </c>
      <c r="Q4650" s="1" t="str">
        <f t="shared" si="8835"/>
        <v>0.0070</v>
      </c>
      <c r="R4650" s="1" t="s">
        <v>25</v>
      </c>
      <c r="T4650" s="1" t="str">
        <f t="shared" si="8836"/>
        <v>0</v>
      </c>
      <c r="U4650" s="1" t="str">
        <f t="shared" ref="U4650:U4653" si="8886">"0.0070"</f>
        <v>0.0070</v>
      </c>
    </row>
    <row r="4651" s="1" customFormat="1" spans="1:21">
      <c r="A4651" s="1" t="str">
        <f>"4601992127894"</f>
        <v>4601992127894</v>
      </c>
      <c r="B4651" s="1" t="s">
        <v>4674</v>
      </c>
      <c r="C4651" s="1" t="s">
        <v>24</v>
      </c>
      <c r="D4651" s="1" t="str">
        <f t="shared" si="8833"/>
        <v>2021</v>
      </c>
      <c r="E4651" s="1" t="str">
        <f>"23.96"</f>
        <v>23.96</v>
      </c>
      <c r="F4651" s="1" t="str">
        <f t="shared" ref="F4651:I4651" si="8887">"0"</f>
        <v>0</v>
      </c>
      <c r="G4651" s="1" t="str">
        <f t="shared" si="8887"/>
        <v>0</v>
      </c>
      <c r="H4651" s="1" t="str">
        <f t="shared" si="8887"/>
        <v>0</v>
      </c>
      <c r="I4651" s="1" t="str">
        <f t="shared" si="8887"/>
        <v>0</v>
      </c>
      <c r="J4651" s="1" t="str">
        <f>"2"</f>
        <v>2</v>
      </c>
      <c r="K4651" s="1" t="str">
        <f t="shared" ref="K4651:P4651" si="8888">"0"</f>
        <v>0</v>
      </c>
      <c r="L4651" s="1" t="str">
        <f t="shared" si="8888"/>
        <v>0</v>
      </c>
      <c r="M4651" s="1" t="str">
        <f t="shared" si="8888"/>
        <v>0</v>
      </c>
      <c r="N4651" s="1" t="str">
        <f t="shared" si="8888"/>
        <v>0</v>
      </c>
      <c r="O4651" s="1" t="str">
        <f t="shared" si="8888"/>
        <v>0</v>
      </c>
      <c r="P4651" s="1" t="str">
        <f t="shared" si="8888"/>
        <v>0</v>
      </c>
      <c r="Q4651" s="1" t="str">
        <f t="shared" si="8835"/>
        <v>0.0070</v>
      </c>
      <c r="R4651" s="1" t="s">
        <v>29</v>
      </c>
      <c r="S4651" s="1">
        <v>-0.0014</v>
      </c>
      <c r="T4651" s="1" t="str">
        <f t="shared" si="8836"/>
        <v>0</v>
      </c>
      <c r="U4651" s="1" t="str">
        <f t="shared" si="8881"/>
        <v>0.0056</v>
      </c>
    </row>
    <row r="4652" s="1" customFormat="1" spans="1:21">
      <c r="A4652" s="1" t="str">
        <f>"4601992131944"</f>
        <v>4601992131944</v>
      </c>
      <c r="B4652" s="1" t="s">
        <v>4675</v>
      </c>
      <c r="C4652" s="1" t="s">
        <v>24</v>
      </c>
      <c r="D4652" s="1" t="str">
        <f t="shared" si="8833"/>
        <v>2021</v>
      </c>
      <c r="E4652" s="1" t="str">
        <f>"24.50"</f>
        <v>24.50</v>
      </c>
      <c r="F4652" s="1" t="str">
        <f t="shared" ref="F4652:I4652" si="8889">"0"</f>
        <v>0</v>
      </c>
      <c r="G4652" s="1" t="str">
        <f t="shared" si="8889"/>
        <v>0</v>
      </c>
      <c r="H4652" s="1" t="str">
        <f t="shared" si="8889"/>
        <v>0</v>
      </c>
      <c r="I4652" s="1" t="str">
        <f t="shared" si="8889"/>
        <v>0</v>
      </c>
      <c r="J4652" s="1" t="str">
        <f>"2"</f>
        <v>2</v>
      </c>
      <c r="K4652" s="1" t="str">
        <f t="shared" ref="K4652:P4652" si="8890">"0"</f>
        <v>0</v>
      </c>
      <c r="L4652" s="1" t="str">
        <f t="shared" si="8890"/>
        <v>0</v>
      </c>
      <c r="M4652" s="1" t="str">
        <f t="shared" si="8890"/>
        <v>0</v>
      </c>
      <c r="N4652" s="1" t="str">
        <f t="shared" si="8890"/>
        <v>0</v>
      </c>
      <c r="O4652" s="1" t="str">
        <f t="shared" si="8890"/>
        <v>0</v>
      </c>
      <c r="P4652" s="1" t="str">
        <f t="shared" si="8890"/>
        <v>0</v>
      </c>
      <c r="Q4652" s="1" t="str">
        <f t="shared" si="8835"/>
        <v>0.0070</v>
      </c>
      <c r="R4652" s="1" t="s">
        <v>25</v>
      </c>
      <c r="T4652" s="1" t="str">
        <f t="shared" si="8836"/>
        <v>0</v>
      </c>
      <c r="U4652" s="1" t="str">
        <f t="shared" si="8886"/>
        <v>0.0070</v>
      </c>
    </row>
    <row r="4653" s="1" customFormat="1" spans="1:21">
      <c r="A4653" s="1" t="str">
        <f>"4601992132150"</f>
        <v>4601992132150</v>
      </c>
      <c r="B4653" s="1" t="s">
        <v>4676</v>
      </c>
      <c r="C4653" s="1" t="s">
        <v>24</v>
      </c>
      <c r="D4653" s="1" t="str">
        <f t="shared" si="8833"/>
        <v>2021</v>
      </c>
      <c r="E4653" s="1" t="str">
        <f t="shared" ref="E4653:P4653" si="8891">"0"</f>
        <v>0</v>
      </c>
      <c r="F4653" s="1" t="str">
        <f t="shared" si="8891"/>
        <v>0</v>
      </c>
      <c r="G4653" s="1" t="str">
        <f t="shared" si="8891"/>
        <v>0</v>
      </c>
      <c r="H4653" s="1" t="str">
        <f t="shared" si="8891"/>
        <v>0</v>
      </c>
      <c r="I4653" s="1" t="str">
        <f t="shared" si="8891"/>
        <v>0</v>
      </c>
      <c r="J4653" s="1" t="str">
        <f t="shared" si="8891"/>
        <v>0</v>
      </c>
      <c r="K4653" s="1" t="str">
        <f t="shared" si="8891"/>
        <v>0</v>
      </c>
      <c r="L4653" s="1" t="str">
        <f t="shared" si="8891"/>
        <v>0</v>
      </c>
      <c r="M4653" s="1" t="str">
        <f t="shared" si="8891"/>
        <v>0</v>
      </c>
      <c r="N4653" s="1" t="str">
        <f t="shared" si="8891"/>
        <v>0</v>
      </c>
      <c r="O4653" s="1" t="str">
        <f t="shared" si="8891"/>
        <v>0</v>
      </c>
      <c r="P4653" s="1" t="str">
        <f t="shared" si="8891"/>
        <v>0</v>
      </c>
      <c r="Q4653" s="1" t="str">
        <f t="shared" si="8835"/>
        <v>0.0070</v>
      </c>
      <c r="R4653" s="1" t="s">
        <v>25</v>
      </c>
      <c r="T4653" s="1" t="str">
        <f t="shared" si="8836"/>
        <v>0</v>
      </c>
      <c r="U4653" s="1" t="str">
        <f t="shared" si="8886"/>
        <v>0.0070</v>
      </c>
    </row>
    <row r="4654" s="1" customFormat="1" spans="1:21">
      <c r="A4654" s="1" t="str">
        <f>"4601992132001"</f>
        <v>4601992132001</v>
      </c>
      <c r="B4654" s="1" t="s">
        <v>4677</v>
      </c>
      <c r="C4654" s="1" t="s">
        <v>24</v>
      </c>
      <c r="D4654" s="1" t="str">
        <f t="shared" si="8833"/>
        <v>2021</v>
      </c>
      <c r="E4654" s="1" t="str">
        <f>"23.96"</f>
        <v>23.96</v>
      </c>
      <c r="F4654" s="1" t="str">
        <f t="shared" ref="F4654:I4654" si="8892">"0"</f>
        <v>0</v>
      </c>
      <c r="G4654" s="1" t="str">
        <f t="shared" si="8892"/>
        <v>0</v>
      </c>
      <c r="H4654" s="1" t="str">
        <f t="shared" si="8892"/>
        <v>0</v>
      </c>
      <c r="I4654" s="1" t="str">
        <f t="shared" si="8892"/>
        <v>0</v>
      </c>
      <c r="J4654" s="1" t="str">
        <f>"3"</f>
        <v>3</v>
      </c>
      <c r="K4654" s="1" t="str">
        <f t="shared" ref="K4654:P4654" si="8893">"0"</f>
        <v>0</v>
      </c>
      <c r="L4654" s="1" t="str">
        <f t="shared" si="8893"/>
        <v>0</v>
      </c>
      <c r="M4654" s="1" t="str">
        <f t="shared" si="8893"/>
        <v>0</v>
      </c>
      <c r="N4654" s="1" t="str">
        <f t="shared" si="8893"/>
        <v>0</v>
      </c>
      <c r="O4654" s="1" t="str">
        <f t="shared" si="8893"/>
        <v>0</v>
      </c>
      <c r="P4654" s="1" t="str">
        <f t="shared" si="8893"/>
        <v>0</v>
      </c>
      <c r="Q4654" s="1" t="str">
        <f t="shared" si="8835"/>
        <v>0.0070</v>
      </c>
      <c r="R4654" s="1" t="s">
        <v>29</v>
      </c>
      <c r="S4654" s="1">
        <v>-0.0014</v>
      </c>
      <c r="T4654" s="1" t="str">
        <f t="shared" si="8836"/>
        <v>0</v>
      </c>
      <c r="U4654" s="1" t="str">
        <f>"0.0056"</f>
        <v>0.0056</v>
      </c>
    </row>
    <row r="4655" s="1" customFormat="1" spans="1:21">
      <c r="A4655" s="1" t="str">
        <f>"4601992127533"</f>
        <v>4601992127533</v>
      </c>
      <c r="B4655" s="1" t="s">
        <v>4678</v>
      </c>
      <c r="C4655" s="1" t="s">
        <v>24</v>
      </c>
      <c r="D4655" s="1" t="str">
        <f t="shared" si="8833"/>
        <v>2021</v>
      </c>
      <c r="E4655" s="1" t="str">
        <f>"11.98"</f>
        <v>11.98</v>
      </c>
      <c r="F4655" s="1" t="str">
        <f t="shared" ref="F4655:I4655" si="8894">"0"</f>
        <v>0</v>
      </c>
      <c r="G4655" s="1" t="str">
        <f t="shared" si="8894"/>
        <v>0</v>
      </c>
      <c r="H4655" s="1" t="str">
        <f t="shared" si="8894"/>
        <v>0</v>
      </c>
      <c r="I4655" s="1" t="str">
        <f t="shared" si="8894"/>
        <v>0</v>
      </c>
      <c r="J4655" s="1" t="str">
        <f>"1"</f>
        <v>1</v>
      </c>
      <c r="K4655" s="1" t="str">
        <f t="shared" ref="K4655:P4655" si="8895">"0"</f>
        <v>0</v>
      </c>
      <c r="L4655" s="1" t="str">
        <f t="shared" si="8895"/>
        <v>0</v>
      </c>
      <c r="M4655" s="1" t="str">
        <f t="shared" si="8895"/>
        <v>0</v>
      </c>
      <c r="N4655" s="1" t="str">
        <f t="shared" si="8895"/>
        <v>0</v>
      </c>
      <c r="O4655" s="1" t="str">
        <f t="shared" si="8895"/>
        <v>0</v>
      </c>
      <c r="P4655" s="1" t="str">
        <f t="shared" si="8895"/>
        <v>0</v>
      </c>
      <c r="Q4655" s="1" t="str">
        <f t="shared" si="8835"/>
        <v>0.0070</v>
      </c>
      <c r="R4655" s="1" t="s">
        <v>25</v>
      </c>
      <c r="T4655" s="1" t="str">
        <f t="shared" si="8836"/>
        <v>0</v>
      </c>
      <c r="U4655" s="1" t="str">
        <f t="shared" ref="U4655:U4658" si="8896">"0.0070"</f>
        <v>0.0070</v>
      </c>
    </row>
    <row r="4656" s="1" customFormat="1" spans="1:21">
      <c r="A4656" s="1" t="str">
        <f>"4601992132412"</f>
        <v>4601992132412</v>
      </c>
      <c r="B4656" s="1" t="s">
        <v>4679</v>
      </c>
      <c r="C4656" s="1" t="s">
        <v>24</v>
      </c>
      <c r="D4656" s="1" t="str">
        <f t="shared" si="8833"/>
        <v>2021</v>
      </c>
      <c r="E4656" s="1" t="str">
        <f t="shared" ref="E4656:P4656" si="8897">"0"</f>
        <v>0</v>
      </c>
      <c r="F4656" s="1" t="str">
        <f t="shared" si="8897"/>
        <v>0</v>
      </c>
      <c r="G4656" s="1" t="str">
        <f t="shared" si="8897"/>
        <v>0</v>
      </c>
      <c r="H4656" s="1" t="str">
        <f t="shared" si="8897"/>
        <v>0</v>
      </c>
      <c r="I4656" s="1" t="str">
        <f t="shared" si="8897"/>
        <v>0</v>
      </c>
      <c r="J4656" s="1" t="str">
        <f t="shared" si="8897"/>
        <v>0</v>
      </c>
      <c r="K4656" s="1" t="str">
        <f t="shared" si="8897"/>
        <v>0</v>
      </c>
      <c r="L4656" s="1" t="str">
        <f t="shared" si="8897"/>
        <v>0</v>
      </c>
      <c r="M4656" s="1" t="str">
        <f t="shared" si="8897"/>
        <v>0</v>
      </c>
      <c r="N4656" s="1" t="str">
        <f t="shared" si="8897"/>
        <v>0</v>
      </c>
      <c r="O4656" s="1" t="str">
        <f t="shared" si="8897"/>
        <v>0</v>
      </c>
      <c r="P4656" s="1" t="str">
        <f t="shared" si="8897"/>
        <v>0</v>
      </c>
      <c r="Q4656" s="1" t="str">
        <f t="shared" si="8835"/>
        <v>0.0070</v>
      </c>
      <c r="R4656" s="1" t="s">
        <v>25</v>
      </c>
      <c r="T4656" s="1" t="str">
        <f t="shared" si="8836"/>
        <v>0</v>
      </c>
      <c r="U4656" s="1" t="str">
        <f t="shared" si="8896"/>
        <v>0.0070</v>
      </c>
    </row>
    <row r="4657" s="1" customFormat="1" spans="1:21">
      <c r="A4657" s="1" t="str">
        <f>"4601992132666"</f>
        <v>4601992132666</v>
      </c>
      <c r="B4657" s="1" t="s">
        <v>4680</v>
      </c>
      <c r="C4657" s="1" t="s">
        <v>24</v>
      </c>
      <c r="D4657" s="1" t="str">
        <f t="shared" si="8833"/>
        <v>2021</v>
      </c>
      <c r="E4657" s="1" t="str">
        <f t="shared" ref="E4657:P4657" si="8898">"0"</f>
        <v>0</v>
      </c>
      <c r="F4657" s="1" t="str">
        <f t="shared" si="8898"/>
        <v>0</v>
      </c>
      <c r="G4657" s="1" t="str">
        <f t="shared" si="8898"/>
        <v>0</v>
      </c>
      <c r="H4657" s="1" t="str">
        <f t="shared" si="8898"/>
        <v>0</v>
      </c>
      <c r="I4657" s="1" t="str">
        <f t="shared" si="8898"/>
        <v>0</v>
      </c>
      <c r="J4657" s="1" t="str">
        <f t="shared" si="8898"/>
        <v>0</v>
      </c>
      <c r="K4657" s="1" t="str">
        <f t="shared" si="8898"/>
        <v>0</v>
      </c>
      <c r="L4657" s="1" t="str">
        <f t="shared" si="8898"/>
        <v>0</v>
      </c>
      <c r="M4657" s="1" t="str">
        <f t="shared" si="8898"/>
        <v>0</v>
      </c>
      <c r="N4657" s="1" t="str">
        <f t="shared" si="8898"/>
        <v>0</v>
      </c>
      <c r="O4657" s="1" t="str">
        <f t="shared" si="8898"/>
        <v>0</v>
      </c>
      <c r="P4657" s="1" t="str">
        <f t="shared" si="8898"/>
        <v>0</v>
      </c>
      <c r="Q4657" s="1" t="str">
        <f t="shared" si="8835"/>
        <v>0.0070</v>
      </c>
      <c r="R4657" s="1" t="s">
        <v>25</v>
      </c>
      <c r="T4657" s="1" t="str">
        <f t="shared" si="8836"/>
        <v>0</v>
      </c>
      <c r="U4657" s="1" t="str">
        <f t="shared" si="8896"/>
        <v>0.0070</v>
      </c>
    </row>
    <row r="4658" s="1" customFormat="1" spans="1:21">
      <c r="A4658" s="1" t="str">
        <f>"4601992133341"</f>
        <v>4601992133341</v>
      </c>
      <c r="B4658" s="1" t="s">
        <v>4681</v>
      </c>
      <c r="C4658" s="1" t="s">
        <v>24</v>
      </c>
      <c r="D4658" s="1" t="str">
        <f t="shared" si="8833"/>
        <v>2021</v>
      </c>
      <c r="E4658" s="1" t="str">
        <f t="shared" ref="E4658:P4658" si="8899">"0"</f>
        <v>0</v>
      </c>
      <c r="F4658" s="1" t="str">
        <f t="shared" si="8899"/>
        <v>0</v>
      </c>
      <c r="G4658" s="1" t="str">
        <f t="shared" si="8899"/>
        <v>0</v>
      </c>
      <c r="H4658" s="1" t="str">
        <f t="shared" si="8899"/>
        <v>0</v>
      </c>
      <c r="I4658" s="1" t="str">
        <f t="shared" si="8899"/>
        <v>0</v>
      </c>
      <c r="J4658" s="1" t="str">
        <f t="shared" si="8899"/>
        <v>0</v>
      </c>
      <c r="K4658" s="1" t="str">
        <f t="shared" si="8899"/>
        <v>0</v>
      </c>
      <c r="L4658" s="1" t="str">
        <f t="shared" si="8899"/>
        <v>0</v>
      </c>
      <c r="M4658" s="1" t="str">
        <f t="shared" si="8899"/>
        <v>0</v>
      </c>
      <c r="N4658" s="1" t="str">
        <f t="shared" si="8899"/>
        <v>0</v>
      </c>
      <c r="O4658" s="1" t="str">
        <f t="shared" si="8899"/>
        <v>0</v>
      </c>
      <c r="P4658" s="1" t="str">
        <f t="shared" si="8899"/>
        <v>0</v>
      </c>
      <c r="Q4658" s="1" t="str">
        <f t="shared" si="8835"/>
        <v>0.0070</v>
      </c>
      <c r="R4658" s="1" t="s">
        <v>25</v>
      </c>
      <c r="T4658" s="1" t="str">
        <f t="shared" si="8836"/>
        <v>0</v>
      </c>
      <c r="U4658" s="1" t="str">
        <f t="shared" si="8896"/>
        <v>0.0070</v>
      </c>
    </row>
    <row r="4659" s="1" customFormat="1" spans="1:21">
      <c r="A4659" s="1" t="str">
        <f>"4601992132629"</f>
        <v>4601992132629</v>
      </c>
      <c r="B4659" s="1" t="s">
        <v>4682</v>
      </c>
      <c r="C4659" s="1" t="s">
        <v>24</v>
      </c>
      <c r="D4659" s="1" t="str">
        <f t="shared" si="8833"/>
        <v>2021</v>
      </c>
      <c r="E4659" s="1" t="str">
        <f>"11.98"</f>
        <v>11.98</v>
      </c>
      <c r="F4659" s="1" t="str">
        <f t="shared" ref="F4659:I4659" si="8900">"0"</f>
        <v>0</v>
      </c>
      <c r="G4659" s="1" t="str">
        <f t="shared" si="8900"/>
        <v>0</v>
      </c>
      <c r="H4659" s="1" t="str">
        <f t="shared" si="8900"/>
        <v>0</v>
      </c>
      <c r="I4659" s="1" t="str">
        <f t="shared" si="8900"/>
        <v>0</v>
      </c>
      <c r="J4659" s="1" t="str">
        <f>"2"</f>
        <v>2</v>
      </c>
      <c r="K4659" s="1" t="str">
        <f t="shared" ref="K4659:P4659" si="8901">"0"</f>
        <v>0</v>
      </c>
      <c r="L4659" s="1" t="str">
        <f t="shared" si="8901"/>
        <v>0</v>
      </c>
      <c r="M4659" s="1" t="str">
        <f t="shared" si="8901"/>
        <v>0</v>
      </c>
      <c r="N4659" s="1" t="str">
        <f t="shared" si="8901"/>
        <v>0</v>
      </c>
      <c r="O4659" s="1" t="str">
        <f t="shared" si="8901"/>
        <v>0</v>
      </c>
      <c r="P4659" s="1" t="str">
        <f t="shared" si="8901"/>
        <v>0</v>
      </c>
      <c r="Q4659" s="1" t="str">
        <f t="shared" si="8835"/>
        <v>0.0070</v>
      </c>
      <c r="R4659" s="1" t="s">
        <v>29</v>
      </c>
      <c r="S4659" s="1">
        <v>-0.0014</v>
      </c>
      <c r="T4659" s="1" t="str">
        <f t="shared" si="8836"/>
        <v>0</v>
      </c>
      <c r="U4659" s="1" t="str">
        <f>"0.0056"</f>
        <v>0.0056</v>
      </c>
    </row>
    <row r="4660" s="1" customFormat="1" spans="1:21">
      <c r="A4660" s="1" t="str">
        <f>"4601992133646"</f>
        <v>4601992133646</v>
      </c>
      <c r="B4660" s="1" t="s">
        <v>4683</v>
      </c>
      <c r="C4660" s="1" t="s">
        <v>24</v>
      </c>
      <c r="D4660" s="1" t="str">
        <f t="shared" si="8833"/>
        <v>2021</v>
      </c>
      <c r="E4660" s="1" t="str">
        <f t="shared" ref="E4660:P4660" si="8902">"0"</f>
        <v>0</v>
      </c>
      <c r="F4660" s="1" t="str">
        <f t="shared" si="8902"/>
        <v>0</v>
      </c>
      <c r="G4660" s="1" t="str">
        <f t="shared" si="8902"/>
        <v>0</v>
      </c>
      <c r="H4660" s="1" t="str">
        <f t="shared" si="8902"/>
        <v>0</v>
      </c>
      <c r="I4660" s="1" t="str">
        <f t="shared" si="8902"/>
        <v>0</v>
      </c>
      <c r="J4660" s="1" t="str">
        <f t="shared" si="8902"/>
        <v>0</v>
      </c>
      <c r="K4660" s="1" t="str">
        <f t="shared" si="8902"/>
        <v>0</v>
      </c>
      <c r="L4660" s="1" t="str">
        <f t="shared" si="8902"/>
        <v>0</v>
      </c>
      <c r="M4660" s="1" t="str">
        <f t="shared" si="8902"/>
        <v>0</v>
      </c>
      <c r="N4660" s="1" t="str">
        <f t="shared" si="8902"/>
        <v>0</v>
      </c>
      <c r="O4660" s="1" t="str">
        <f t="shared" si="8902"/>
        <v>0</v>
      </c>
      <c r="P4660" s="1" t="str">
        <f t="shared" si="8902"/>
        <v>0</v>
      </c>
      <c r="Q4660" s="1" t="str">
        <f t="shared" si="8835"/>
        <v>0.0070</v>
      </c>
      <c r="R4660" s="1" t="s">
        <v>25</v>
      </c>
      <c r="T4660" s="1" t="str">
        <f t="shared" si="8836"/>
        <v>0</v>
      </c>
      <c r="U4660" s="1" t="str">
        <f t="shared" ref="U4660:U4664" si="8903">"0.0070"</f>
        <v>0.0070</v>
      </c>
    </row>
    <row r="4661" s="1" customFormat="1" spans="1:21">
      <c r="A4661" s="1" t="str">
        <f>"4601992133692"</f>
        <v>4601992133692</v>
      </c>
      <c r="B4661" s="1" t="s">
        <v>4684</v>
      </c>
      <c r="C4661" s="1" t="s">
        <v>24</v>
      </c>
      <c r="D4661" s="1" t="str">
        <f t="shared" si="8833"/>
        <v>2021</v>
      </c>
      <c r="E4661" s="1" t="str">
        <f t="shared" ref="E4661:P4661" si="8904">"0"</f>
        <v>0</v>
      </c>
      <c r="F4661" s="1" t="str">
        <f t="shared" si="8904"/>
        <v>0</v>
      </c>
      <c r="G4661" s="1" t="str">
        <f t="shared" si="8904"/>
        <v>0</v>
      </c>
      <c r="H4661" s="1" t="str">
        <f t="shared" si="8904"/>
        <v>0</v>
      </c>
      <c r="I4661" s="1" t="str">
        <f t="shared" si="8904"/>
        <v>0</v>
      </c>
      <c r="J4661" s="1" t="str">
        <f t="shared" si="8904"/>
        <v>0</v>
      </c>
      <c r="K4661" s="1" t="str">
        <f t="shared" si="8904"/>
        <v>0</v>
      </c>
      <c r="L4661" s="1" t="str">
        <f t="shared" si="8904"/>
        <v>0</v>
      </c>
      <c r="M4661" s="1" t="str">
        <f t="shared" si="8904"/>
        <v>0</v>
      </c>
      <c r="N4661" s="1" t="str">
        <f t="shared" si="8904"/>
        <v>0</v>
      </c>
      <c r="O4661" s="1" t="str">
        <f t="shared" si="8904"/>
        <v>0</v>
      </c>
      <c r="P4661" s="1" t="str">
        <f t="shared" si="8904"/>
        <v>0</v>
      </c>
      <c r="Q4661" s="1" t="str">
        <f t="shared" si="8835"/>
        <v>0.0070</v>
      </c>
      <c r="R4661" s="1" t="s">
        <v>25</v>
      </c>
      <c r="T4661" s="1" t="str">
        <f t="shared" si="8836"/>
        <v>0</v>
      </c>
      <c r="U4661" s="1" t="str">
        <f t="shared" si="8903"/>
        <v>0.0070</v>
      </c>
    </row>
    <row r="4662" s="1" customFormat="1" spans="1:21">
      <c r="A4662" s="1" t="str">
        <f>"4601992133526"</f>
        <v>4601992133526</v>
      </c>
      <c r="B4662" s="1" t="s">
        <v>4685</v>
      </c>
      <c r="C4662" s="1" t="s">
        <v>24</v>
      </c>
      <c r="D4662" s="1" t="str">
        <f t="shared" si="8833"/>
        <v>2021</v>
      </c>
      <c r="E4662" s="1" t="str">
        <f t="shared" ref="E4662:I4662" si="8905">"0"</f>
        <v>0</v>
      </c>
      <c r="F4662" s="1" t="str">
        <f t="shared" si="8905"/>
        <v>0</v>
      </c>
      <c r="G4662" s="1" t="str">
        <f t="shared" si="8905"/>
        <v>0</v>
      </c>
      <c r="H4662" s="1" t="str">
        <f t="shared" si="8905"/>
        <v>0</v>
      </c>
      <c r="I4662" s="1" t="str">
        <f t="shared" si="8905"/>
        <v>0</v>
      </c>
      <c r="J4662" s="1" t="str">
        <f>"1"</f>
        <v>1</v>
      </c>
      <c r="K4662" s="1" t="str">
        <f t="shared" ref="K4662:P4662" si="8906">"0"</f>
        <v>0</v>
      </c>
      <c r="L4662" s="1" t="str">
        <f t="shared" si="8906"/>
        <v>0</v>
      </c>
      <c r="M4662" s="1" t="str">
        <f t="shared" si="8906"/>
        <v>0</v>
      </c>
      <c r="N4662" s="1" t="str">
        <f t="shared" si="8906"/>
        <v>0</v>
      </c>
      <c r="O4662" s="1" t="str">
        <f t="shared" si="8906"/>
        <v>0</v>
      </c>
      <c r="P4662" s="1" t="str">
        <f t="shared" si="8906"/>
        <v>0</v>
      </c>
      <c r="Q4662" s="1" t="str">
        <f t="shared" si="8835"/>
        <v>0.0070</v>
      </c>
      <c r="R4662" s="1" t="s">
        <v>25</v>
      </c>
      <c r="T4662" s="1" t="str">
        <f t="shared" si="8836"/>
        <v>0</v>
      </c>
      <c r="U4662" s="1" t="str">
        <f t="shared" si="8903"/>
        <v>0.0070</v>
      </c>
    </row>
    <row r="4663" s="1" customFormat="1" spans="1:21">
      <c r="A4663" s="1" t="str">
        <f>"4601992134148"</f>
        <v>4601992134148</v>
      </c>
      <c r="B4663" s="1" t="s">
        <v>4686</v>
      </c>
      <c r="C4663" s="1" t="s">
        <v>24</v>
      </c>
      <c r="D4663" s="1" t="str">
        <f t="shared" si="8833"/>
        <v>2021</v>
      </c>
      <c r="E4663" s="1" t="str">
        <f t="shared" ref="E4663:P4663" si="8907">"0"</f>
        <v>0</v>
      </c>
      <c r="F4663" s="1" t="str">
        <f t="shared" si="8907"/>
        <v>0</v>
      </c>
      <c r="G4663" s="1" t="str">
        <f t="shared" si="8907"/>
        <v>0</v>
      </c>
      <c r="H4663" s="1" t="str">
        <f t="shared" si="8907"/>
        <v>0</v>
      </c>
      <c r="I4663" s="1" t="str">
        <f t="shared" si="8907"/>
        <v>0</v>
      </c>
      <c r="J4663" s="1" t="str">
        <f t="shared" si="8907"/>
        <v>0</v>
      </c>
      <c r="K4663" s="1" t="str">
        <f t="shared" si="8907"/>
        <v>0</v>
      </c>
      <c r="L4663" s="1" t="str">
        <f t="shared" si="8907"/>
        <v>0</v>
      </c>
      <c r="M4663" s="1" t="str">
        <f t="shared" si="8907"/>
        <v>0</v>
      </c>
      <c r="N4663" s="1" t="str">
        <f t="shared" si="8907"/>
        <v>0</v>
      </c>
      <c r="O4663" s="1" t="str">
        <f t="shared" si="8907"/>
        <v>0</v>
      </c>
      <c r="P4663" s="1" t="str">
        <f t="shared" si="8907"/>
        <v>0</v>
      </c>
      <c r="Q4663" s="1" t="str">
        <f t="shared" si="8835"/>
        <v>0.0070</v>
      </c>
      <c r="R4663" s="1" t="s">
        <v>25</v>
      </c>
      <c r="T4663" s="1" t="str">
        <f t="shared" si="8836"/>
        <v>0</v>
      </c>
      <c r="U4663" s="1" t="str">
        <f t="shared" si="8903"/>
        <v>0.0070</v>
      </c>
    </row>
    <row r="4664" s="1" customFormat="1" spans="1:21">
      <c r="A4664" s="1" t="str">
        <f>"4601992133934"</f>
        <v>4601992133934</v>
      </c>
      <c r="B4664" s="1" t="s">
        <v>4687</v>
      </c>
      <c r="C4664" s="1" t="s">
        <v>24</v>
      </c>
      <c r="D4664" s="1" t="str">
        <f t="shared" si="8833"/>
        <v>2021</v>
      </c>
      <c r="E4664" s="1" t="str">
        <f t="shared" ref="E4664:P4664" si="8908">"0"</f>
        <v>0</v>
      </c>
      <c r="F4664" s="1" t="str">
        <f t="shared" si="8908"/>
        <v>0</v>
      </c>
      <c r="G4664" s="1" t="str">
        <f t="shared" si="8908"/>
        <v>0</v>
      </c>
      <c r="H4664" s="1" t="str">
        <f t="shared" si="8908"/>
        <v>0</v>
      </c>
      <c r="I4664" s="1" t="str">
        <f t="shared" si="8908"/>
        <v>0</v>
      </c>
      <c r="J4664" s="1" t="str">
        <f t="shared" si="8908"/>
        <v>0</v>
      </c>
      <c r="K4664" s="1" t="str">
        <f t="shared" si="8908"/>
        <v>0</v>
      </c>
      <c r="L4664" s="1" t="str">
        <f t="shared" si="8908"/>
        <v>0</v>
      </c>
      <c r="M4664" s="1" t="str">
        <f t="shared" si="8908"/>
        <v>0</v>
      </c>
      <c r="N4664" s="1" t="str">
        <f t="shared" si="8908"/>
        <v>0</v>
      </c>
      <c r="O4664" s="1" t="str">
        <f t="shared" si="8908"/>
        <v>0</v>
      </c>
      <c r="P4664" s="1" t="str">
        <f t="shared" si="8908"/>
        <v>0</v>
      </c>
      <c r="Q4664" s="1" t="str">
        <f t="shared" si="8835"/>
        <v>0.0070</v>
      </c>
      <c r="R4664" s="1" t="s">
        <v>25</v>
      </c>
      <c r="T4664" s="1" t="str">
        <f t="shared" si="8836"/>
        <v>0</v>
      </c>
      <c r="U4664" s="1" t="str">
        <f t="shared" si="8903"/>
        <v>0.0070</v>
      </c>
    </row>
    <row r="4665" s="1" customFormat="1" spans="1:21">
      <c r="A4665" s="1" t="str">
        <f>"4601992134435"</f>
        <v>4601992134435</v>
      </c>
      <c r="B4665" s="1" t="s">
        <v>4688</v>
      </c>
      <c r="C4665" s="1" t="s">
        <v>24</v>
      </c>
      <c r="D4665" s="1" t="str">
        <f t="shared" si="8833"/>
        <v>2021</v>
      </c>
      <c r="E4665" s="1" t="str">
        <f>"107.82"</f>
        <v>107.82</v>
      </c>
      <c r="F4665" s="1" t="str">
        <f t="shared" ref="F4665:I4665" si="8909">"0"</f>
        <v>0</v>
      </c>
      <c r="G4665" s="1" t="str">
        <f t="shared" si="8909"/>
        <v>0</v>
      </c>
      <c r="H4665" s="1" t="str">
        <f t="shared" si="8909"/>
        <v>0</v>
      </c>
      <c r="I4665" s="1" t="str">
        <f t="shared" si="8909"/>
        <v>0</v>
      </c>
      <c r="J4665" s="1" t="str">
        <f>"7"</f>
        <v>7</v>
      </c>
      <c r="K4665" s="1" t="str">
        <f t="shared" ref="K4665:P4665" si="8910">"0"</f>
        <v>0</v>
      </c>
      <c r="L4665" s="1" t="str">
        <f t="shared" si="8910"/>
        <v>0</v>
      </c>
      <c r="M4665" s="1" t="str">
        <f t="shared" si="8910"/>
        <v>0</v>
      </c>
      <c r="N4665" s="1" t="str">
        <f t="shared" si="8910"/>
        <v>0</v>
      </c>
      <c r="O4665" s="1" t="str">
        <f t="shared" si="8910"/>
        <v>0</v>
      </c>
      <c r="P4665" s="1" t="str">
        <f t="shared" si="8910"/>
        <v>0</v>
      </c>
      <c r="Q4665" s="1" t="str">
        <f t="shared" si="8835"/>
        <v>0.0070</v>
      </c>
      <c r="R4665" s="1" t="s">
        <v>29</v>
      </c>
      <c r="S4665" s="1">
        <v>-0.0014</v>
      </c>
      <c r="T4665" s="1" t="str">
        <f t="shared" si="8836"/>
        <v>0</v>
      </c>
      <c r="U4665" s="1" t="str">
        <f t="shared" ref="U4665:U4668" si="8911">"0.0056"</f>
        <v>0.0056</v>
      </c>
    </row>
    <row r="4666" s="1" customFormat="1" spans="1:21">
      <c r="A4666" s="1" t="str">
        <f>"4601992134554"</f>
        <v>4601992134554</v>
      </c>
      <c r="B4666" s="1" t="s">
        <v>4689</v>
      </c>
      <c r="C4666" s="1" t="s">
        <v>24</v>
      </c>
      <c r="D4666" s="1" t="str">
        <f t="shared" si="8833"/>
        <v>2021</v>
      </c>
      <c r="E4666" s="1" t="str">
        <f>"24.50"</f>
        <v>24.50</v>
      </c>
      <c r="F4666" s="1" t="str">
        <f t="shared" ref="F4666:I4666" si="8912">"0"</f>
        <v>0</v>
      </c>
      <c r="G4666" s="1" t="str">
        <f t="shared" si="8912"/>
        <v>0</v>
      </c>
      <c r="H4666" s="1" t="str">
        <f t="shared" si="8912"/>
        <v>0</v>
      </c>
      <c r="I4666" s="1" t="str">
        <f t="shared" si="8912"/>
        <v>0</v>
      </c>
      <c r="J4666" s="1" t="str">
        <f t="shared" ref="J4666:J4671" si="8913">"2"</f>
        <v>2</v>
      </c>
      <c r="K4666" s="1" t="str">
        <f t="shared" ref="K4666:P4666" si="8914">"0"</f>
        <v>0</v>
      </c>
      <c r="L4666" s="1" t="str">
        <f t="shared" si="8914"/>
        <v>0</v>
      </c>
      <c r="M4666" s="1" t="str">
        <f t="shared" si="8914"/>
        <v>0</v>
      </c>
      <c r="N4666" s="1" t="str">
        <f t="shared" si="8914"/>
        <v>0</v>
      </c>
      <c r="O4666" s="1" t="str">
        <f t="shared" si="8914"/>
        <v>0</v>
      </c>
      <c r="P4666" s="1" t="str">
        <f t="shared" si="8914"/>
        <v>0</v>
      </c>
      <c r="Q4666" s="1" t="str">
        <f t="shared" si="8835"/>
        <v>0.0070</v>
      </c>
      <c r="R4666" s="1" t="s">
        <v>29</v>
      </c>
      <c r="S4666" s="1">
        <v>-0.0014</v>
      </c>
      <c r="T4666" s="1" t="str">
        <f t="shared" si="8836"/>
        <v>0</v>
      </c>
      <c r="U4666" s="1" t="str">
        <f t="shared" si="8911"/>
        <v>0.0056</v>
      </c>
    </row>
    <row r="4667" s="1" customFormat="1" spans="1:21">
      <c r="A4667" s="1" t="str">
        <f>"4601992009244"</f>
        <v>4601992009244</v>
      </c>
      <c r="B4667" s="1" t="s">
        <v>4690</v>
      </c>
      <c r="C4667" s="1" t="s">
        <v>24</v>
      </c>
      <c r="D4667" s="1" t="str">
        <f t="shared" si="8833"/>
        <v>2021</v>
      </c>
      <c r="E4667" s="1" t="str">
        <f>"253.89"</f>
        <v>253.89</v>
      </c>
      <c r="F4667" s="1" t="str">
        <f t="shared" ref="F4667:I4667" si="8915">"0"</f>
        <v>0</v>
      </c>
      <c r="G4667" s="1" t="str">
        <f t="shared" si="8915"/>
        <v>0</v>
      </c>
      <c r="H4667" s="1" t="str">
        <f>"12.09"</f>
        <v>12.09</v>
      </c>
      <c r="I4667" s="1" t="str">
        <f t="shared" si="8915"/>
        <v>0</v>
      </c>
      <c r="J4667" s="1" t="str">
        <f>"20"</f>
        <v>20</v>
      </c>
      <c r="K4667" s="1" t="str">
        <f t="shared" ref="K4667:P4667" si="8916">"0"</f>
        <v>0</v>
      </c>
      <c r="L4667" s="1" t="str">
        <f t="shared" si="8916"/>
        <v>0</v>
      </c>
      <c r="M4667" s="1" t="str">
        <f t="shared" si="8916"/>
        <v>0</v>
      </c>
      <c r="N4667" s="1" t="str">
        <f t="shared" si="8916"/>
        <v>0</v>
      </c>
      <c r="O4667" s="1" t="str">
        <f t="shared" si="8916"/>
        <v>0</v>
      </c>
      <c r="P4667" s="1" t="str">
        <f t="shared" si="8916"/>
        <v>0</v>
      </c>
      <c r="Q4667" s="1" t="str">
        <f t="shared" si="8835"/>
        <v>0.0070</v>
      </c>
      <c r="R4667" s="1" t="s">
        <v>25</v>
      </c>
      <c r="T4667" s="1" t="str">
        <f t="shared" si="8836"/>
        <v>0</v>
      </c>
      <c r="U4667" s="1" t="str">
        <f>"0.0070"</f>
        <v>0.0070</v>
      </c>
    </row>
    <row r="4668" s="1" customFormat="1" spans="1:21">
      <c r="A4668" s="1" t="str">
        <f>"4601992134556"</f>
        <v>4601992134556</v>
      </c>
      <c r="B4668" s="1" t="s">
        <v>4691</v>
      </c>
      <c r="C4668" s="1" t="s">
        <v>24</v>
      </c>
      <c r="D4668" s="1" t="str">
        <f t="shared" si="8833"/>
        <v>2021</v>
      </c>
      <c r="E4668" s="1" t="str">
        <f t="shared" ref="E4668:E4671" si="8917">"24.18"</f>
        <v>24.18</v>
      </c>
      <c r="F4668" s="1" t="str">
        <f t="shared" ref="F4668:I4668" si="8918">"0"</f>
        <v>0</v>
      </c>
      <c r="G4668" s="1" t="str">
        <f t="shared" si="8918"/>
        <v>0</v>
      </c>
      <c r="H4668" s="1" t="str">
        <f t="shared" si="8918"/>
        <v>0</v>
      </c>
      <c r="I4668" s="1" t="str">
        <f t="shared" si="8918"/>
        <v>0</v>
      </c>
      <c r="J4668" s="1" t="str">
        <f>"3"</f>
        <v>3</v>
      </c>
      <c r="K4668" s="1" t="str">
        <f t="shared" ref="K4668:P4668" si="8919">"0"</f>
        <v>0</v>
      </c>
      <c r="L4668" s="1" t="str">
        <f t="shared" si="8919"/>
        <v>0</v>
      </c>
      <c r="M4668" s="1" t="str">
        <f t="shared" si="8919"/>
        <v>0</v>
      </c>
      <c r="N4668" s="1" t="str">
        <f t="shared" si="8919"/>
        <v>0</v>
      </c>
      <c r="O4668" s="1" t="str">
        <f t="shared" si="8919"/>
        <v>0</v>
      </c>
      <c r="P4668" s="1" t="str">
        <f t="shared" si="8919"/>
        <v>0</v>
      </c>
      <c r="Q4668" s="1" t="str">
        <f t="shared" si="8835"/>
        <v>0.0070</v>
      </c>
      <c r="R4668" s="1" t="s">
        <v>29</v>
      </c>
      <c r="S4668" s="1">
        <v>-0.0014</v>
      </c>
      <c r="T4668" s="1" t="str">
        <f t="shared" si="8836"/>
        <v>0</v>
      </c>
      <c r="U4668" s="1" t="str">
        <f t="shared" si="8911"/>
        <v>0.0056</v>
      </c>
    </row>
    <row r="4669" s="1" customFormat="1" spans="1:21">
      <c r="A4669" s="1" t="str">
        <f>"4601992134585"</f>
        <v>4601992134585</v>
      </c>
      <c r="B4669" s="1" t="s">
        <v>4692</v>
      </c>
      <c r="C4669" s="1" t="s">
        <v>24</v>
      </c>
      <c r="D4669" s="1" t="str">
        <f t="shared" si="8833"/>
        <v>2021</v>
      </c>
      <c r="E4669" s="1" t="str">
        <f t="shared" si="8917"/>
        <v>24.18</v>
      </c>
      <c r="F4669" s="1" t="str">
        <f t="shared" ref="F4669:I4669" si="8920">"0"</f>
        <v>0</v>
      </c>
      <c r="G4669" s="1" t="str">
        <f t="shared" si="8920"/>
        <v>0</v>
      </c>
      <c r="H4669" s="1" t="str">
        <f t="shared" si="8920"/>
        <v>0</v>
      </c>
      <c r="I4669" s="1" t="str">
        <f t="shared" si="8920"/>
        <v>0</v>
      </c>
      <c r="J4669" s="1" t="str">
        <f t="shared" si="8913"/>
        <v>2</v>
      </c>
      <c r="K4669" s="1" t="str">
        <f t="shared" ref="K4669:P4669" si="8921">"0"</f>
        <v>0</v>
      </c>
      <c r="L4669" s="1" t="str">
        <f t="shared" si="8921"/>
        <v>0</v>
      </c>
      <c r="M4669" s="1" t="str">
        <f t="shared" si="8921"/>
        <v>0</v>
      </c>
      <c r="N4669" s="1" t="str">
        <f t="shared" si="8921"/>
        <v>0</v>
      </c>
      <c r="O4669" s="1" t="str">
        <f t="shared" si="8921"/>
        <v>0</v>
      </c>
      <c r="P4669" s="1" t="str">
        <f t="shared" si="8921"/>
        <v>0</v>
      </c>
      <c r="Q4669" s="1" t="str">
        <f t="shared" si="8835"/>
        <v>0.0070</v>
      </c>
      <c r="R4669" s="1" t="s">
        <v>25</v>
      </c>
      <c r="T4669" s="1" t="str">
        <f t="shared" si="8836"/>
        <v>0</v>
      </c>
      <c r="U4669" s="1" t="str">
        <f>"0.0070"</f>
        <v>0.0070</v>
      </c>
    </row>
    <row r="4670" s="1" customFormat="1" spans="1:21">
      <c r="A4670" s="1" t="str">
        <f>"4601992134639"</f>
        <v>4601992134639</v>
      </c>
      <c r="B4670" s="1" t="s">
        <v>4693</v>
      </c>
      <c r="C4670" s="1" t="s">
        <v>24</v>
      </c>
      <c r="D4670" s="1" t="str">
        <f t="shared" si="8833"/>
        <v>2021</v>
      </c>
      <c r="E4670" s="1" t="str">
        <f>"11.98"</f>
        <v>11.98</v>
      </c>
      <c r="F4670" s="1" t="str">
        <f t="shared" ref="F4670:I4670" si="8922">"0"</f>
        <v>0</v>
      </c>
      <c r="G4670" s="1" t="str">
        <f t="shared" si="8922"/>
        <v>0</v>
      </c>
      <c r="H4670" s="1" t="str">
        <f t="shared" si="8922"/>
        <v>0</v>
      </c>
      <c r="I4670" s="1" t="str">
        <f t="shared" si="8922"/>
        <v>0</v>
      </c>
      <c r="J4670" s="1" t="str">
        <f>"1"</f>
        <v>1</v>
      </c>
      <c r="K4670" s="1" t="str">
        <f t="shared" ref="K4670:P4670" si="8923">"0"</f>
        <v>0</v>
      </c>
      <c r="L4670" s="1" t="str">
        <f t="shared" si="8923"/>
        <v>0</v>
      </c>
      <c r="M4670" s="1" t="str">
        <f t="shared" si="8923"/>
        <v>0</v>
      </c>
      <c r="N4670" s="1" t="str">
        <f t="shared" si="8923"/>
        <v>0</v>
      </c>
      <c r="O4670" s="1" t="str">
        <f t="shared" si="8923"/>
        <v>0</v>
      </c>
      <c r="P4670" s="1" t="str">
        <f t="shared" si="8923"/>
        <v>0</v>
      </c>
      <c r="Q4670" s="1" t="str">
        <f t="shared" si="8835"/>
        <v>0.0070</v>
      </c>
      <c r="R4670" s="1" t="s">
        <v>29</v>
      </c>
      <c r="S4670" s="1">
        <v>-0.0014</v>
      </c>
      <c r="T4670" s="1" t="str">
        <f t="shared" si="8836"/>
        <v>0</v>
      </c>
      <c r="U4670" s="1" t="str">
        <f t="shared" ref="U4670:U4686" si="8924">"0.0056"</f>
        <v>0.0056</v>
      </c>
    </row>
    <row r="4671" s="1" customFormat="1" spans="1:21">
      <c r="A4671" s="1" t="str">
        <f>"4601992134588"</f>
        <v>4601992134588</v>
      </c>
      <c r="B4671" s="1" t="s">
        <v>4694</v>
      </c>
      <c r="C4671" s="1" t="s">
        <v>24</v>
      </c>
      <c r="D4671" s="1" t="str">
        <f t="shared" si="8833"/>
        <v>2021</v>
      </c>
      <c r="E4671" s="1" t="str">
        <f t="shared" si="8917"/>
        <v>24.18</v>
      </c>
      <c r="F4671" s="1" t="str">
        <f t="shared" ref="F4671:I4671" si="8925">"0"</f>
        <v>0</v>
      </c>
      <c r="G4671" s="1" t="str">
        <f t="shared" si="8925"/>
        <v>0</v>
      </c>
      <c r="H4671" s="1" t="str">
        <f t="shared" si="8925"/>
        <v>0</v>
      </c>
      <c r="I4671" s="1" t="str">
        <f t="shared" si="8925"/>
        <v>0</v>
      </c>
      <c r="J4671" s="1" t="str">
        <f t="shared" si="8913"/>
        <v>2</v>
      </c>
      <c r="K4671" s="1" t="str">
        <f t="shared" ref="K4671:P4671" si="8926">"0"</f>
        <v>0</v>
      </c>
      <c r="L4671" s="1" t="str">
        <f t="shared" si="8926"/>
        <v>0</v>
      </c>
      <c r="M4671" s="1" t="str">
        <f t="shared" si="8926"/>
        <v>0</v>
      </c>
      <c r="N4671" s="1" t="str">
        <f t="shared" si="8926"/>
        <v>0</v>
      </c>
      <c r="O4671" s="1" t="str">
        <f t="shared" si="8926"/>
        <v>0</v>
      </c>
      <c r="P4671" s="1" t="str">
        <f t="shared" si="8926"/>
        <v>0</v>
      </c>
      <c r="Q4671" s="1" t="str">
        <f t="shared" si="8835"/>
        <v>0.0070</v>
      </c>
      <c r="R4671" s="1" t="s">
        <v>29</v>
      </c>
      <c r="S4671" s="1">
        <v>-0.0014</v>
      </c>
      <c r="T4671" s="1" t="str">
        <f t="shared" si="8836"/>
        <v>0</v>
      </c>
      <c r="U4671" s="1" t="str">
        <f t="shared" si="8924"/>
        <v>0.0056</v>
      </c>
    </row>
    <row r="4672" s="1" customFormat="1" spans="1:21">
      <c r="A4672" s="1" t="str">
        <f>"4601992134609"</f>
        <v>4601992134609</v>
      </c>
      <c r="B4672" s="1" t="s">
        <v>4695</v>
      </c>
      <c r="C4672" s="1" t="s">
        <v>24</v>
      </c>
      <c r="D4672" s="1" t="str">
        <f t="shared" si="8833"/>
        <v>2021</v>
      </c>
      <c r="E4672" s="1" t="str">
        <f>"35.94"</f>
        <v>35.94</v>
      </c>
      <c r="F4672" s="1" t="str">
        <f t="shared" ref="F4672:I4672" si="8927">"0"</f>
        <v>0</v>
      </c>
      <c r="G4672" s="1" t="str">
        <f t="shared" si="8927"/>
        <v>0</v>
      </c>
      <c r="H4672" s="1" t="str">
        <f t="shared" si="8927"/>
        <v>0</v>
      </c>
      <c r="I4672" s="1" t="str">
        <f t="shared" si="8927"/>
        <v>0</v>
      </c>
      <c r="J4672" s="1" t="str">
        <f>"3"</f>
        <v>3</v>
      </c>
      <c r="K4672" s="1" t="str">
        <f t="shared" ref="K4672:P4672" si="8928">"0"</f>
        <v>0</v>
      </c>
      <c r="L4672" s="1" t="str">
        <f t="shared" si="8928"/>
        <v>0</v>
      </c>
      <c r="M4672" s="1" t="str">
        <f t="shared" si="8928"/>
        <v>0</v>
      </c>
      <c r="N4672" s="1" t="str">
        <f t="shared" si="8928"/>
        <v>0</v>
      </c>
      <c r="O4672" s="1" t="str">
        <f t="shared" si="8928"/>
        <v>0</v>
      </c>
      <c r="P4672" s="1" t="str">
        <f t="shared" si="8928"/>
        <v>0</v>
      </c>
      <c r="Q4672" s="1" t="str">
        <f t="shared" si="8835"/>
        <v>0.0070</v>
      </c>
      <c r="R4672" s="1" t="s">
        <v>29</v>
      </c>
      <c r="S4672" s="1">
        <v>-0.0014</v>
      </c>
      <c r="T4672" s="1" t="str">
        <f t="shared" si="8836"/>
        <v>0</v>
      </c>
      <c r="U4672" s="1" t="str">
        <f t="shared" si="8924"/>
        <v>0.0056</v>
      </c>
    </row>
    <row r="4673" s="1" customFormat="1" spans="1:21">
      <c r="A4673" s="1" t="str">
        <f>"4601992134692"</f>
        <v>4601992134692</v>
      </c>
      <c r="B4673" s="1" t="s">
        <v>4696</v>
      </c>
      <c r="C4673" s="1" t="s">
        <v>24</v>
      </c>
      <c r="D4673" s="1" t="str">
        <f t="shared" si="8833"/>
        <v>2021</v>
      </c>
      <c r="E4673" s="1" t="str">
        <f>"23.96"</f>
        <v>23.96</v>
      </c>
      <c r="F4673" s="1" t="str">
        <f t="shared" ref="F4673:I4673" si="8929">"0"</f>
        <v>0</v>
      </c>
      <c r="G4673" s="1" t="str">
        <f t="shared" si="8929"/>
        <v>0</v>
      </c>
      <c r="H4673" s="1" t="str">
        <f t="shared" si="8929"/>
        <v>0</v>
      </c>
      <c r="I4673" s="1" t="str">
        <f t="shared" si="8929"/>
        <v>0</v>
      </c>
      <c r="J4673" s="1" t="str">
        <f>"2"</f>
        <v>2</v>
      </c>
      <c r="K4673" s="1" t="str">
        <f t="shared" ref="K4673:P4673" si="8930">"0"</f>
        <v>0</v>
      </c>
      <c r="L4673" s="1" t="str">
        <f t="shared" si="8930"/>
        <v>0</v>
      </c>
      <c r="M4673" s="1" t="str">
        <f t="shared" si="8930"/>
        <v>0</v>
      </c>
      <c r="N4673" s="1" t="str">
        <f t="shared" si="8930"/>
        <v>0</v>
      </c>
      <c r="O4673" s="1" t="str">
        <f t="shared" si="8930"/>
        <v>0</v>
      </c>
      <c r="P4673" s="1" t="str">
        <f t="shared" si="8930"/>
        <v>0</v>
      </c>
      <c r="Q4673" s="1" t="str">
        <f t="shared" si="8835"/>
        <v>0.0070</v>
      </c>
      <c r="R4673" s="1" t="s">
        <v>29</v>
      </c>
      <c r="S4673" s="1">
        <v>-0.0014</v>
      </c>
      <c r="T4673" s="1" t="str">
        <f t="shared" si="8836"/>
        <v>0</v>
      </c>
      <c r="U4673" s="1" t="str">
        <f t="shared" si="8924"/>
        <v>0.0056</v>
      </c>
    </row>
    <row r="4674" s="1" customFormat="1" spans="1:21">
      <c r="A4674" s="1" t="str">
        <f>"4601992134669"</f>
        <v>4601992134669</v>
      </c>
      <c r="B4674" s="1" t="s">
        <v>4697</v>
      </c>
      <c r="C4674" s="1" t="s">
        <v>24</v>
      </c>
      <c r="D4674" s="1" t="str">
        <f t="shared" si="8833"/>
        <v>2021</v>
      </c>
      <c r="E4674" s="1" t="str">
        <f>"23.96"</f>
        <v>23.96</v>
      </c>
      <c r="F4674" s="1" t="str">
        <f t="shared" ref="F4674:I4674" si="8931">"0"</f>
        <v>0</v>
      </c>
      <c r="G4674" s="1" t="str">
        <f t="shared" si="8931"/>
        <v>0</v>
      </c>
      <c r="H4674" s="1" t="str">
        <f t="shared" si="8931"/>
        <v>0</v>
      </c>
      <c r="I4674" s="1" t="str">
        <f t="shared" si="8931"/>
        <v>0</v>
      </c>
      <c r="J4674" s="1" t="str">
        <f>"3"</f>
        <v>3</v>
      </c>
      <c r="K4674" s="1" t="str">
        <f t="shared" ref="K4674:P4674" si="8932">"0"</f>
        <v>0</v>
      </c>
      <c r="L4674" s="1" t="str">
        <f t="shared" si="8932"/>
        <v>0</v>
      </c>
      <c r="M4674" s="1" t="str">
        <f t="shared" si="8932"/>
        <v>0</v>
      </c>
      <c r="N4674" s="1" t="str">
        <f t="shared" si="8932"/>
        <v>0</v>
      </c>
      <c r="O4674" s="1" t="str">
        <f t="shared" si="8932"/>
        <v>0</v>
      </c>
      <c r="P4674" s="1" t="str">
        <f t="shared" si="8932"/>
        <v>0</v>
      </c>
      <c r="Q4674" s="1" t="str">
        <f t="shared" si="8835"/>
        <v>0.0070</v>
      </c>
      <c r="R4674" s="1" t="s">
        <v>29</v>
      </c>
      <c r="S4674" s="1">
        <v>-0.0014</v>
      </c>
      <c r="T4674" s="1" t="str">
        <f t="shared" si="8836"/>
        <v>0</v>
      </c>
      <c r="U4674" s="1" t="str">
        <f t="shared" si="8924"/>
        <v>0.0056</v>
      </c>
    </row>
    <row r="4675" s="1" customFormat="1" spans="1:21">
      <c r="A4675" s="1" t="str">
        <f>"4601992134697"</f>
        <v>4601992134697</v>
      </c>
      <c r="B4675" s="1" t="s">
        <v>4698</v>
      </c>
      <c r="C4675" s="1" t="s">
        <v>24</v>
      </c>
      <c r="D4675" s="1" t="str">
        <f t="shared" ref="D4675:D4738" si="8933">"2021"</f>
        <v>2021</v>
      </c>
      <c r="E4675" s="1" t="str">
        <f>"179.70"</f>
        <v>179.70</v>
      </c>
      <c r="F4675" s="1" t="str">
        <f t="shared" ref="F4675:I4675" si="8934">"0"</f>
        <v>0</v>
      </c>
      <c r="G4675" s="1" t="str">
        <f t="shared" si="8934"/>
        <v>0</v>
      </c>
      <c r="H4675" s="1" t="str">
        <f t="shared" si="8934"/>
        <v>0</v>
      </c>
      <c r="I4675" s="1" t="str">
        <f t="shared" si="8934"/>
        <v>0</v>
      </c>
      <c r="J4675" s="1" t="str">
        <f>"13"</f>
        <v>13</v>
      </c>
      <c r="K4675" s="1" t="str">
        <f t="shared" ref="K4675:P4675" si="8935">"0"</f>
        <v>0</v>
      </c>
      <c r="L4675" s="1" t="str">
        <f t="shared" si="8935"/>
        <v>0</v>
      </c>
      <c r="M4675" s="1" t="str">
        <f t="shared" si="8935"/>
        <v>0</v>
      </c>
      <c r="N4675" s="1" t="str">
        <f t="shared" si="8935"/>
        <v>0</v>
      </c>
      <c r="O4675" s="1" t="str">
        <f t="shared" si="8935"/>
        <v>0</v>
      </c>
      <c r="P4675" s="1" t="str">
        <f t="shared" si="8935"/>
        <v>0</v>
      </c>
      <c r="Q4675" s="1" t="str">
        <f t="shared" ref="Q4675:Q4738" si="8936">"0.0070"</f>
        <v>0.0070</v>
      </c>
      <c r="R4675" s="1" t="s">
        <v>29</v>
      </c>
      <c r="S4675" s="1">
        <v>-0.0014</v>
      </c>
      <c r="T4675" s="1" t="str">
        <f t="shared" ref="T4675:T4738" si="8937">"0"</f>
        <v>0</v>
      </c>
      <c r="U4675" s="1" t="str">
        <f t="shared" si="8924"/>
        <v>0.0056</v>
      </c>
    </row>
    <row r="4676" s="1" customFormat="1" spans="1:21">
      <c r="A4676" s="1" t="str">
        <f>"4601992134726"</f>
        <v>4601992134726</v>
      </c>
      <c r="B4676" s="1" t="s">
        <v>4699</v>
      </c>
      <c r="C4676" s="1" t="s">
        <v>24</v>
      </c>
      <c r="D4676" s="1" t="str">
        <f t="shared" si="8933"/>
        <v>2021</v>
      </c>
      <c r="E4676" s="1" t="str">
        <f t="shared" ref="E4676:E4679" si="8938">"11.98"</f>
        <v>11.98</v>
      </c>
      <c r="F4676" s="1" t="str">
        <f t="shared" ref="F4676:I4676" si="8939">"0"</f>
        <v>0</v>
      </c>
      <c r="G4676" s="1" t="str">
        <f t="shared" si="8939"/>
        <v>0</v>
      </c>
      <c r="H4676" s="1" t="str">
        <f t="shared" si="8939"/>
        <v>0</v>
      </c>
      <c r="I4676" s="1" t="str">
        <f t="shared" si="8939"/>
        <v>0</v>
      </c>
      <c r="J4676" s="1" t="str">
        <f>"2"</f>
        <v>2</v>
      </c>
      <c r="K4676" s="1" t="str">
        <f t="shared" ref="K4676:P4676" si="8940">"0"</f>
        <v>0</v>
      </c>
      <c r="L4676" s="1" t="str">
        <f t="shared" si="8940"/>
        <v>0</v>
      </c>
      <c r="M4676" s="1" t="str">
        <f t="shared" si="8940"/>
        <v>0</v>
      </c>
      <c r="N4676" s="1" t="str">
        <f t="shared" si="8940"/>
        <v>0</v>
      </c>
      <c r="O4676" s="1" t="str">
        <f t="shared" si="8940"/>
        <v>0</v>
      </c>
      <c r="P4676" s="1" t="str">
        <f t="shared" si="8940"/>
        <v>0</v>
      </c>
      <c r="Q4676" s="1" t="str">
        <f t="shared" si="8936"/>
        <v>0.0070</v>
      </c>
      <c r="R4676" s="1" t="s">
        <v>29</v>
      </c>
      <c r="S4676" s="1">
        <v>-0.0014</v>
      </c>
      <c r="T4676" s="1" t="str">
        <f t="shared" si="8937"/>
        <v>0</v>
      </c>
      <c r="U4676" s="1" t="str">
        <f t="shared" si="8924"/>
        <v>0.0056</v>
      </c>
    </row>
    <row r="4677" s="1" customFormat="1" spans="1:21">
      <c r="A4677" s="1" t="str">
        <f>"4601992134766"</f>
        <v>4601992134766</v>
      </c>
      <c r="B4677" s="1" t="s">
        <v>4700</v>
      </c>
      <c r="C4677" s="1" t="s">
        <v>24</v>
      </c>
      <c r="D4677" s="1" t="str">
        <f t="shared" si="8933"/>
        <v>2021</v>
      </c>
      <c r="E4677" s="1" t="str">
        <f t="shared" si="8938"/>
        <v>11.98</v>
      </c>
      <c r="F4677" s="1" t="str">
        <f t="shared" ref="F4677:I4677" si="8941">"0"</f>
        <v>0</v>
      </c>
      <c r="G4677" s="1" t="str">
        <f t="shared" si="8941"/>
        <v>0</v>
      </c>
      <c r="H4677" s="1" t="str">
        <f t="shared" si="8941"/>
        <v>0</v>
      </c>
      <c r="I4677" s="1" t="str">
        <f t="shared" si="8941"/>
        <v>0</v>
      </c>
      <c r="J4677" s="1" t="str">
        <f t="shared" ref="J4677:J4679" si="8942">"1"</f>
        <v>1</v>
      </c>
      <c r="K4677" s="1" t="str">
        <f t="shared" ref="K4677:P4677" si="8943">"0"</f>
        <v>0</v>
      </c>
      <c r="L4677" s="1" t="str">
        <f t="shared" si="8943"/>
        <v>0</v>
      </c>
      <c r="M4677" s="1" t="str">
        <f t="shared" si="8943"/>
        <v>0</v>
      </c>
      <c r="N4677" s="1" t="str">
        <f t="shared" si="8943"/>
        <v>0</v>
      </c>
      <c r="O4677" s="1" t="str">
        <f t="shared" si="8943"/>
        <v>0</v>
      </c>
      <c r="P4677" s="1" t="str">
        <f t="shared" si="8943"/>
        <v>0</v>
      </c>
      <c r="Q4677" s="1" t="str">
        <f t="shared" si="8936"/>
        <v>0.0070</v>
      </c>
      <c r="R4677" s="1" t="s">
        <v>29</v>
      </c>
      <c r="S4677" s="1">
        <v>-0.0014</v>
      </c>
      <c r="T4677" s="1" t="str">
        <f t="shared" si="8937"/>
        <v>0</v>
      </c>
      <c r="U4677" s="1" t="str">
        <f t="shared" si="8924"/>
        <v>0.0056</v>
      </c>
    </row>
    <row r="4678" s="1" customFormat="1" spans="1:21">
      <c r="A4678" s="1" t="str">
        <f>"4601992134769"</f>
        <v>4601992134769</v>
      </c>
      <c r="B4678" s="1" t="s">
        <v>4701</v>
      </c>
      <c r="C4678" s="1" t="s">
        <v>24</v>
      </c>
      <c r="D4678" s="1" t="str">
        <f t="shared" si="8933"/>
        <v>2021</v>
      </c>
      <c r="E4678" s="1" t="str">
        <f t="shared" si="8938"/>
        <v>11.98</v>
      </c>
      <c r="F4678" s="1" t="str">
        <f t="shared" ref="F4678:I4678" si="8944">"0"</f>
        <v>0</v>
      </c>
      <c r="G4678" s="1" t="str">
        <f t="shared" si="8944"/>
        <v>0</v>
      </c>
      <c r="H4678" s="1" t="str">
        <f t="shared" si="8944"/>
        <v>0</v>
      </c>
      <c r="I4678" s="1" t="str">
        <f t="shared" si="8944"/>
        <v>0</v>
      </c>
      <c r="J4678" s="1" t="str">
        <f t="shared" si="8942"/>
        <v>1</v>
      </c>
      <c r="K4678" s="1" t="str">
        <f t="shared" ref="K4678:P4678" si="8945">"0"</f>
        <v>0</v>
      </c>
      <c r="L4678" s="1" t="str">
        <f t="shared" si="8945"/>
        <v>0</v>
      </c>
      <c r="M4678" s="1" t="str">
        <f t="shared" si="8945"/>
        <v>0</v>
      </c>
      <c r="N4678" s="1" t="str">
        <f t="shared" si="8945"/>
        <v>0</v>
      </c>
      <c r="O4678" s="1" t="str">
        <f t="shared" si="8945"/>
        <v>0</v>
      </c>
      <c r="P4678" s="1" t="str">
        <f t="shared" si="8945"/>
        <v>0</v>
      </c>
      <c r="Q4678" s="1" t="str">
        <f t="shared" si="8936"/>
        <v>0.0070</v>
      </c>
      <c r="R4678" s="1" t="s">
        <v>29</v>
      </c>
      <c r="S4678" s="1">
        <v>-0.0014</v>
      </c>
      <c r="T4678" s="1" t="str">
        <f t="shared" si="8937"/>
        <v>0</v>
      </c>
      <c r="U4678" s="1" t="str">
        <f t="shared" si="8924"/>
        <v>0.0056</v>
      </c>
    </row>
    <row r="4679" s="1" customFormat="1" spans="1:21">
      <c r="A4679" s="1" t="str">
        <f>"4601992134800"</f>
        <v>4601992134800</v>
      </c>
      <c r="B4679" s="1" t="s">
        <v>4702</v>
      </c>
      <c r="C4679" s="1" t="s">
        <v>24</v>
      </c>
      <c r="D4679" s="1" t="str">
        <f t="shared" si="8933"/>
        <v>2021</v>
      </c>
      <c r="E4679" s="1" t="str">
        <f t="shared" si="8938"/>
        <v>11.98</v>
      </c>
      <c r="F4679" s="1" t="str">
        <f t="shared" ref="F4679:I4679" si="8946">"0"</f>
        <v>0</v>
      </c>
      <c r="G4679" s="1" t="str">
        <f t="shared" si="8946"/>
        <v>0</v>
      </c>
      <c r="H4679" s="1" t="str">
        <f t="shared" si="8946"/>
        <v>0</v>
      </c>
      <c r="I4679" s="1" t="str">
        <f t="shared" si="8946"/>
        <v>0</v>
      </c>
      <c r="J4679" s="1" t="str">
        <f t="shared" si="8942"/>
        <v>1</v>
      </c>
      <c r="K4679" s="1" t="str">
        <f t="shared" ref="K4679:P4679" si="8947">"0"</f>
        <v>0</v>
      </c>
      <c r="L4679" s="1" t="str">
        <f t="shared" si="8947"/>
        <v>0</v>
      </c>
      <c r="M4679" s="1" t="str">
        <f t="shared" si="8947"/>
        <v>0</v>
      </c>
      <c r="N4679" s="1" t="str">
        <f t="shared" si="8947"/>
        <v>0</v>
      </c>
      <c r="O4679" s="1" t="str">
        <f t="shared" si="8947"/>
        <v>0</v>
      </c>
      <c r="P4679" s="1" t="str">
        <f t="shared" si="8947"/>
        <v>0</v>
      </c>
      <c r="Q4679" s="1" t="str">
        <f t="shared" si="8936"/>
        <v>0.0070</v>
      </c>
      <c r="R4679" s="1" t="s">
        <v>29</v>
      </c>
      <c r="S4679" s="1">
        <v>-0.0014</v>
      </c>
      <c r="T4679" s="1" t="str">
        <f t="shared" si="8937"/>
        <v>0</v>
      </c>
      <c r="U4679" s="1" t="str">
        <f t="shared" si="8924"/>
        <v>0.0056</v>
      </c>
    </row>
    <row r="4680" s="1" customFormat="1" spans="1:21">
      <c r="A4680" s="1" t="str">
        <f>"4601992134783"</f>
        <v>4601992134783</v>
      </c>
      <c r="B4680" s="1" t="s">
        <v>4703</v>
      </c>
      <c r="C4680" s="1" t="s">
        <v>24</v>
      </c>
      <c r="D4680" s="1" t="str">
        <f t="shared" si="8933"/>
        <v>2021</v>
      </c>
      <c r="E4680" s="1" t="str">
        <f>"35.94"</f>
        <v>35.94</v>
      </c>
      <c r="F4680" s="1" t="str">
        <f t="shared" ref="F4680:I4680" si="8948">"0"</f>
        <v>0</v>
      </c>
      <c r="G4680" s="1" t="str">
        <f t="shared" si="8948"/>
        <v>0</v>
      </c>
      <c r="H4680" s="1" t="str">
        <f t="shared" si="8948"/>
        <v>0</v>
      </c>
      <c r="I4680" s="1" t="str">
        <f t="shared" si="8948"/>
        <v>0</v>
      </c>
      <c r="J4680" s="1" t="str">
        <f>"3"</f>
        <v>3</v>
      </c>
      <c r="K4680" s="1" t="str">
        <f t="shared" ref="K4680:P4680" si="8949">"0"</f>
        <v>0</v>
      </c>
      <c r="L4680" s="1" t="str">
        <f t="shared" si="8949"/>
        <v>0</v>
      </c>
      <c r="M4680" s="1" t="str">
        <f t="shared" si="8949"/>
        <v>0</v>
      </c>
      <c r="N4680" s="1" t="str">
        <f t="shared" si="8949"/>
        <v>0</v>
      </c>
      <c r="O4680" s="1" t="str">
        <f t="shared" si="8949"/>
        <v>0</v>
      </c>
      <c r="P4680" s="1" t="str">
        <f t="shared" si="8949"/>
        <v>0</v>
      </c>
      <c r="Q4680" s="1" t="str">
        <f t="shared" si="8936"/>
        <v>0.0070</v>
      </c>
      <c r="R4680" s="1" t="s">
        <v>29</v>
      </c>
      <c r="S4680" s="1">
        <v>-0.0014</v>
      </c>
      <c r="T4680" s="1" t="str">
        <f t="shared" si="8937"/>
        <v>0</v>
      </c>
      <c r="U4680" s="1" t="str">
        <f t="shared" si="8924"/>
        <v>0.0056</v>
      </c>
    </row>
    <row r="4681" s="1" customFormat="1" spans="1:21">
      <c r="A4681" s="1" t="str">
        <f>"4601992134788"</f>
        <v>4601992134788</v>
      </c>
      <c r="B4681" s="1" t="s">
        <v>4704</v>
      </c>
      <c r="C4681" s="1" t="s">
        <v>24</v>
      </c>
      <c r="D4681" s="1" t="str">
        <f t="shared" si="8933"/>
        <v>2021</v>
      </c>
      <c r="E4681" s="1" t="str">
        <f>"35.94"</f>
        <v>35.94</v>
      </c>
      <c r="F4681" s="1" t="str">
        <f t="shared" ref="F4681:I4681" si="8950">"0"</f>
        <v>0</v>
      </c>
      <c r="G4681" s="1" t="str">
        <f t="shared" si="8950"/>
        <v>0</v>
      </c>
      <c r="H4681" s="1" t="str">
        <f t="shared" si="8950"/>
        <v>0</v>
      </c>
      <c r="I4681" s="1" t="str">
        <f t="shared" si="8950"/>
        <v>0</v>
      </c>
      <c r="J4681" s="1" t="str">
        <f>"4"</f>
        <v>4</v>
      </c>
      <c r="K4681" s="1" t="str">
        <f t="shared" ref="K4681:P4681" si="8951">"0"</f>
        <v>0</v>
      </c>
      <c r="L4681" s="1" t="str">
        <f t="shared" si="8951"/>
        <v>0</v>
      </c>
      <c r="M4681" s="1" t="str">
        <f t="shared" si="8951"/>
        <v>0</v>
      </c>
      <c r="N4681" s="1" t="str">
        <f t="shared" si="8951"/>
        <v>0</v>
      </c>
      <c r="O4681" s="1" t="str">
        <f t="shared" si="8951"/>
        <v>0</v>
      </c>
      <c r="P4681" s="1" t="str">
        <f t="shared" si="8951"/>
        <v>0</v>
      </c>
      <c r="Q4681" s="1" t="str">
        <f t="shared" si="8936"/>
        <v>0.0070</v>
      </c>
      <c r="R4681" s="1" t="s">
        <v>29</v>
      </c>
      <c r="S4681" s="1">
        <v>-0.0014</v>
      </c>
      <c r="T4681" s="1" t="str">
        <f t="shared" si="8937"/>
        <v>0</v>
      </c>
      <c r="U4681" s="1" t="str">
        <f t="shared" si="8924"/>
        <v>0.0056</v>
      </c>
    </row>
    <row r="4682" s="1" customFormat="1" spans="1:21">
      <c r="A4682" s="1" t="str">
        <f>"4601992134797"</f>
        <v>4601992134797</v>
      </c>
      <c r="B4682" s="1" t="s">
        <v>4705</v>
      </c>
      <c r="C4682" s="1" t="s">
        <v>24</v>
      </c>
      <c r="D4682" s="1" t="str">
        <f t="shared" si="8933"/>
        <v>2021</v>
      </c>
      <c r="E4682" s="1" t="str">
        <f>"23.96"</f>
        <v>23.96</v>
      </c>
      <c r="F4682" s="1" t="str">
        <f t="shared" ref="F4682:I4682" si="8952">"0"</f>
        <v>0</v>
      </c>
      <c r="G4682" s="1" t="str">
        <f t="shared" si="8952"/>
        <v>0</v>
      </c>
      <c r="H4682" s="1" t="str">
        <f t="shared" si="8952"/>
        <v>0</v>
      </c>
      <c r="I4682" s="1" t="str">
        <f t="shared" si="8952"/>
        <v>0</v>
      </c>
      <c r="J4682" s="1" t="str">
        <f>"1"</f>
        <v>1</v>
      </c>
      <c r="K4682" s="1" t="str">
        <f t="shared" ref="K4682:P4682" si="8953">"0"</f>
        <v>0</v>
      </c>
      <c r="L4682" s="1" t="str">
        <f t="shared" si="8953"/>
        <v>0</v>
      </c>
      <c r="M4682" s="1" t="str">
        <f t="shared" si="8953"/>
        <v>0</v>
      </c>
      <c r="N4682" s="1" t="str">
        <f t="shared" si="8953"/>
        <v>0</v>
      </c>
      <c r="O4682" s="1" t="str">
        <f t="shared" si="8953"/>
        <v>0</v>
      </c>
      <c r="P4682" s="1" t="str">
        <f t="shared" si="8953"/>
        <v>0</v>
      </c>
      <c r="Q4682" s="1" t="str">
        <f t="shared" si="8936"/>
        <v>0.0070</v>
      </c>
      <c r="R4682" s="1" t="s">
        <v>29</v>
      </c>
      <c r="S4682" s="1">
        <v>-0.0014</v>
      </c>
      <c r="T4682" s="1" t="str">
        <f t="shared" si="8937"/>
        <v>0</v>
      </c>
      <c r="U4682" s="1" t="str">
        <f t="shared" si="8924"/>
        <v>0.0056</v>
      </c>
    </row>
    <row r="4683" s="1" customFormat="1" spans="1:21">
      <c r="A4683" s="1" t="str">
        <f>"4601992134803"</f>
        <v>4601992134803</v>
      </c>
      <c r="B4683" s="1" t="s">
        <v>4706</v>
      </c>
      <c r="C4683" s="1" t="s">
        <v>24</v>
      </c>
      <c r="D4683" s="1" t="str">
        <f t="shared" si="8933"/>
        <v>2021</v>
      </c>
      <c r="E4683" s="1" t="str">
        <f>"11.98"</f>
        <v>11.98</v>
      </c>
      <c r="F4683" s="1" t="str">
        <f t="shared" ref="F4683:I4683" si="8954">"0"</f>
        <v>0</v>
      </c>
      <c r="G4683" s="1" t="str">
        <f t="shared" si="8954"/>
        <v>0</v>
      </c>
      <c r="H4683" s="1" t="str">
        <f t="shared" si="8954"/>
        <v>0</v>
      </c>
      <c r="I4683" s="1" t="str">
        <f t="shared" si="8954"/>
        <v>0</v>
      </c>
      <c r="J4683" s="1" t="str">
        <f>"1"</f>
        <v>1</v>
      </c>
      <c r="K4683" s="1" t="str">
        <f t="shared" ref="K4683:P4683" si="8955">"0"</f>
        <v>0</v>
      </c>
      <c r="L4683" s="1" t="str">
        <f t="shared" si="8955"/>
        <v>0</v>
      </c>
      <c r="M4683" s="1" t="str">
        <f t="shared" si="8955"/>
        <v>0</v>
      </c>
      <c r="N4683" s="1" t="str">
        <f t="shared" si="8955"/>
        <v>0</v>
      </c>
      <c r="O4683" s="1" t="str">
        <f t="shared" si="8955"/>
        <v>0</v>
      </c>
      <c r="P4683" s="1" t="str">
        <f t="shared" si="8955"/>
        <v>0</v>
      </c>
      <c r="Q4683" s="1" t="str">
        <f t="shared" si="8936"/>
        <v>0.0070</v>
      </c>
      <c r="R4683" s="1" t="s">
        <v>29</v>
      </c>
      <c r="S4683" s="1">
        <v>-0.0014</v>
      </c>
      <c r="T4683" s="1" t="str">
        <f t="shared" si="8937"/>
        <v>0</v>
      </c>
      <c r="U4683" s="1" t="str">
        <f t="shared" si="8924"/>
        <v>0.0056</v>
      </c>
    </row>
    <row r="4684" s="1" customFormat="1" spans="1:21">
      <c r="A4684" s="1" t="str">
        <f>"4601992134842"</f>
        <v>4601992134842</v>
      </c>
      <c r="B4684" s="1" t="s">
        <v>4707</v>
      </c>
      <c r="C4684" s="1" t="s">
        <v>24</v>
      </c>
      <c r="D4684" s="1" t="str">
        <f t="shared" si="8933"/>
        <v>2021</v>
      </c>
      <c r="E4684" s="1" t="str">
        <f>"83.93"</f>
        <v>83.93</v>
      </c>
      <c r="F4684" s="1" t="str">
        <f t="shared" ref="F4684:I4684" si="8956">"0"</f>
        <v>0</v>
      </c>
      <c r="G4684" s="1" t="str">
        <f t="shared" si="8956"/>
        <v>0</v>
      </c>
      <c r="H4684" s="1" t="str">
        <f t="shared" si="8956"/>
        <v>0</v>
      </c>
      <c r="I4684" s="1" t="str">
        <f t="shared" si="8956"/>
        <v>0</v>
      </c>
      <c r="J4684" s="1" t="str">
        <f>"8"</f>
        <v>8</v>
      </c>
      <c r="K4684" s="1" t="str">
        <f t="shared" ref="K4684:P4684" si="8957">"0"</f>
        <v>0</v>
      </c>
      <c r="L4684" s="1" t="str">
        <f t="shared" si="8957"/>
        <v>0</v>
      </c>
      <c r="M4684" s="1" t="str">
        <f t="shared" si="8957"/>
        <v>0</v>
      </c>
      <c r="N4684" s="1" t="str">
        <f t="shared" si="8957"/>
        <v>0</v>
      </c>
      <c r="O4684" s="1" t="str">
        <f t="shared" si="8957"/>
        <v>0</v>
      </c>
      <c r="P4684" s="1" t="str">
        <f t="shared" si="8957"/>
        <v>0</v>
      </c>
      <c r="Q4684" s="1" t="str">
        <f t="shared" si="8936"/>
        <v>0.0070</v>
      </c>
      <c r="R4684" s="1" t="s">
        <v>29</v>
      </c>
      <c r="S4684" s="1">
        <v>-0.0014</v>
      </c>
      <c r="T4684" s="1" t="str">
        <f t="shared" si="8937"/>
        <v>0</v>
      </c>
      <c r="U4684" s="1" t="str">
        <f t="shared" si="8924"/>
        <v>0.0056</v>
      </c>
    </row>
    <row r="4685" s="1" customFormat="1" spans="1:21">
      <c r="A4685" s="1" t="str">
        <f>"4601992134836"</f>
        <v>4601992134836</v>
      </c>
      <c r="B4685" s="1" t="s">
        <v>4708</v>
      </c>
      <c r="C4685" s="1" t="s">
        <v>24</v>
      </c>
      <c r="D4685" s="1" t="str">
        <f t="shared" si="8933"/>
        <v>2021</v>
      </c>
      <c r="E4685" s="1" t="str">
        <f>"36.35"</f>
        <v>36.35</v>
      </c>
      <c r="F4685" s="1" t="str">
        <f t="shared" ref="F4685:I4685" si="8958">"0"</f>
        <v>0</v>
      </c>
      <c r="G4685" s="1" t="str">
        <f t="shared" si="8958"/>
        <v>0</v>
      </c>
      <c r="H4685" s="1" t="str">
        <f t="shared" si="8958"/>
        <v>0</v>
      </c>
      <c r="I4685" s="1" t="str">
        <f t="shared" si="8958"/>
        <v>0</v>
      </c>
      <c r="J4685" s="1" t="str">
        <f>"6"</f>
        <v>6</v>
      </c>
      <c r="K4685" s="1" t="str">
        <f t="shared" ref="K4685:P4685" si="8959">"0"</f>
        <v>0</v>
      </c>
      <c r="L4685" s="1" t="str">
        <f t="shared" si="8959"/>
        <v>0</v>
      </c>
      <c r="M4685" s="1" t="str">
        <f t="shared" si="8959"/>
        <v>0</v>
      </c>
      <c r="N4685" s="1" t="str">
        <f t="shared" si="8959"/>
        <v>0</v>
      </c>
      <c r="O4685" s="1" t="str">
        <f t="shared" si="8959"/>
        <v>0</v>
      </c>
      <c r="P4685" s="1" t="str">
        <f t="shared" si="8959"/>
        <v>0</v>
      </c>
      <c r="Q4685" s="1" t="str">
        <f t="shared" si="8936"/>
        <v>0.0070</v>
      </c>
      <c r="R4685" s="1" t="s">
        <v>29</v>
      </c>
      <c r="S4685" s="1">
        <v>-0.0014</v>
      </c>
      <c r="T4685" s="1" t="str">
        <f t="shared" si="8937"/>
        <v>0</v>
      </c>
      <c r="U4685" s="1" t="str">
        <f t="shared" si="8924"/>
        <v>0.0056</v>
      </c>
    </row>
    <row r="4686" s="1" customFormat="1" spans="1:21">
      <c r="A4686" s="1" t="str">
        <f>"4601992134837"</f>
        <v>4601992134837</v>
      </c>
      <c r="B4686" s="1" t="s">
        <v>4709</v>
      </c>
      <c r="C4686" s="1" t="s">
        <v>24</v>
      </c>
      <c r="D4686" s="1" t="str">
        <f t="shared" si="8933"/>
        <v>2021</v>
      </c>
      <c r="E4686" s="1" t="str">
        <f>"23.96"</f>
        <v>23.96</v>
      </c>
      <c r="F4686" s="1" t="str">
        <f t="shared" ref="F4686:I4686" si="8960">"0"</f>
        <v>0</v>
      </c>
      <c r="G4686" s="1" t="str">
        <f t="shared" si="8960"/>
        <v>0</v>
      </c>
      <c r="H4686" s="1" t="str">
        <f t="shared" si="8960"/>
        <v>0</v>
      </c>
      <c r="I4686" s="1" t="str">
        <f t="shared" si="8960"/>
        <v>0</v>
      </c>
      <c r="J4686" s="1" t="str">
        <f>"3"</f>
        <v>3</v>
      </c>
      <c r="K4686" s="1" t="str">
        <f t="shared" ref="K4686:P4686" si="8961">"0"</f>
        <v>0</v>
      </c>
      <c r="L4686" s="1" t="str">
        <f t="shared" si="8961"/>
        <v>0</v>
      </c>
      <c r="M4686" s="1" t="str">
        <f t="shared" si="8961"/>
        <v>0</v>
      </c>
      <c r="N4686" s="1" t="str">
        <f t="shared" si="8961"/>
        <v>0</v>
      </c>
      <c r="O4686" s="1" t="str">
        <f t="shared" si="8961"/>
        <v>0</v>
      </c>
      <c r="P4686" s="1" t="str">
        <f t="shared" si="8961"/>
        <v>0</v>
      </c>
      <c r="Q4686" s="1" t="str">
        <f t="shared" si="8936"/>
        <v>0.0070</v>
      </c>
      <c r="R4686" s="1" t="s">
        <v>29</v>
      </c>
      <c r="S4686" s="1">
        <v>-0.0014</v>
      </c>
      <c r="T4686" s="1" t="str">
        <f t="shared" si="8937"/>
        <v>0</v>
      </c>
      <c r="U4686" s="1" t="str">
        <f t="shared" si="8924"/>
        <v>0.0056</v>
      </c>
    </row>
    <row r="4687" s="1" customFormat="1" spans="1:21">
      <c r="A4687" s="1" t="str">
        <f>"4601992134951"</f>
        <v>4601992134951</v>
      </c>
      <c r="B4687" s="1" t="s">
        <v>4710</v>
      </c>
      <c r="C4687" s="1" t="s">
        <v>24</v>
      </c>
      <c r="D4687" s="1" t="str">
        <f t="shared" si="8933"/>
        <v>2021</v>
      </c>
      <c r="E4687" s="1" t="str">
        <f t="shared" ref="E4687:P4687" si="8962">"0"</f>
        <v>0</v>
      </c>
      <c r="F4687" s="1" t="str">
        <f t="shared" si="8962"/>
        <v>0</v>
      </c>
      <c r="G4687" s="1" t="str">
        <f t="shared" si="8962"/>
        <v>0</v>
      </c>
      <c r="H4687" s="1" t="str">
        <f t="shared" si="8962"/>
        <v>0</v>
      </c>
      <c r="I4687" s="1" t="str">
        <f t="shared" si="8962"/>
        <v>0</v>
      </c>
      <c r="J4687" s="1" t="str">
        <f t="shared" si="8962"/>
        <v>0</v>
      </c>
      <c r="K4687" s="1" t="str">
        <f t="shared" si="8962"/>
        <v>0</v>
      </c>
      <c r="L4687" s="1" t="str">
        <f t="shared" si="8962"/>
        <v>0</v>
      </c>
      <c r="M4687" s="1" t="str">
        <f t="shared" si="8962"/>
        <v>0</v>
      </c>
      <c r="N4687" s="1" t="str">
        <f t="shared" si="8962"/>
        <v>0</v>
      </c>
      <c r="O4687" s="1" t="str">
        <f t="shared" si="8962"/>
        <v>0</v>
      </c>
      <c r="P4687" s="1" t="str">
        <f t="shared" si="8962"/>
        <v>0</v>
      </c>
      <c r="Q4687" s="1" t="str">
        <f t="shared" si="8936"/>
        <v>0.0070</v>
      </c>
      <c r="R4687" s="1" t="s">
        <v>25</v>
      </c>
      <c r="T4687" s="1" t="str">
        <f t="shared" si="8937"/>
        <v>0</v>
      </c>
      <c r="U4687" s="1" t="str">
        <f>"0.0070"</f>
        <v>0.0070</v>
      </c>
    </row>
    <row r="4688" s="1" customFormat="1" spans="1:21">
      <c r="A4688" s="1" t="str">
        <f>"4601992134908"</f>
        <v>4601992134908</v>
      </c>
      <c r="B4688" s="1" t="s">
        <v>4711</v>
      </c>
      <c r="C4688" s="1" t="s">
        <v>24</v>
      </c>
      <c r="D4688" s="1" t="str">
        <f t="shared" si="8933"/>
        <v>2021</v>
      </c>
      <c r="E4688" s="1" t="str">
        <f t="shared" ref="E4688:E4693" si="8963">"11.98"</f>
        <v>11.98</v>
      </c>
      <c r="F4688" s="1" t="str">
        <f t="shared" ref="F4688:I4688" si="8964">"0"</f>
        <v>0</v>
      </c>
      <c r="G4688" s="1" t="str">
        <f t="shared" si="8964"/>
        <v>0</v>
      </c>
      <c r="H4688" s="1" t="str">
        <f t="shared" si="8964"/>
        <v>0</v>
      </c>
      <c r="I4688" s="1" t="str">
        <f t="shared" si="8964"/>
        <v>0</v>
      </c>
      <c r="J4688" s="1" t="str">
        <f t="shared" ref="J4688:J4693" si="8965">"1"</f>
        <v>1</v>
      </c>
      <c r="K4688" s="1" t="str">
        <f t="shared" ref="K4688:P4688" si="8966">"0"</f>
        <v>0</v>
      </c>
      <c r="L4688" s="1" t="str">
        <f t="shared" si="8966"/>
        <v>0</v>
      </c>
      <c r="M4688" s="1" t="str">
        <f t="shared" si="8966"/>
        <v>0</v>
      </c>
      <c r="N4688" s="1" t="str">
        <f t="shared" si="8966"/>
        <v>0</v>
      </c>
      <c r="O4688" s="1" t="str">
        <f t="shared" si="8966"/>
        <v>0</v>
      </c>
      <c r="P4688" s="1" t="str">
        <f t="shared" si="8966"/>
        <v>0</v>
      </c>
      <c r="Q4688" s="1" t="str">
        <f t="shared" si="8936"/>
        <v>0.0070</v>
      </c>
      <c r="R4688" s="1" t="s">
        <v>29</v>
      </c>
      <c r="S4688" s="1">
        <v>-0.0014</v>
      </c>
      <c r="T4688" s="1" t="str">
        <f t="shared" si="8937"/>
        <v>0</v>
      </c>
      <c r="U4688" s="1" t="str">
        <f t="shared" ref="U4688:U4691" si="8967">"0.0056"</f>
        <v>0.0056</v>
      </c>
    </row>
    <row r="4689" s="1" customFormat="1" spans="1:21">
      <c r="A4689" s="1" t="str">
        <f>"4601992134912"</f>
        <v>4601992134912</v>
      </c>
      <c r="B4689" s="1" t="s">
        <v>4712</v>
      </c>
      <c r="C4689" s="1" t="s">
        <v>24</v>
      </c>
      <c r="D4689" s="1" t="str">
        <f t="shared" si="8933"/>
        <v>2021</v>
      </c>
      <c r="E4689" s="1" t="str">
        <f>"12.09"</f>
        <v>12.09</v>
      </c>
      <c r="F4689" s="1" t="str">
        <f t="shared" ref="F4689:I4689" si="8968">"0"</f>
        <v>0</v>
      </c>
      <c r="G4689" s="1" t="str">
        <f t="shared" si="8968"/>
        <v>0</v>
      </c>
      <c r="H4689" s="1" t="str">
        <f t="shared" si="8968"/>
        <v>0</v>
      </c>
      <c r="I4689" s="1" t="str">
        <f t="shared" si="8968"/>
        <v>0</v>
      </c>
      <c r="J4689" s="1" t="str">
        <f t="shared" ref="J4689:J4692" si="8969">"2"</f>
        <v>2</v>
      </c>
      <c r="K4689" s="1" t="str">
        <f t="shared" ref="K4689:P4689" si="8970">"0"</f>
        <v>0</v>
      </c>
      <c r="L4689" s="1" t="str">
        <f t="shared" si="8970"/>
        <v>0</v>
      </c>
      <c r="M4689" s="1" t="str">
        <f t="shared" si="8970"/>
        <v>0</v>
      </c>
      <c r="N4689" s="1" t="str">
        <f t="shared" si="8970"/>
        <v>0</v>
      </c>
      <c r="O4689" s="1" t="str">
        <f t="shared" si="8970"/>
        <v>0</v>
      </c>
      <c r="P4689" s="1" t="str">
        <f t="shared" si="8970"/>
        <v>0</v>
      </c>
      <c r="Q4689" s="1" t="str">
        <f t="shared" si="8936"/>
        <v>0.0070</v>
      </c>
      <c r="R4689" s="1" t="s">
        <v>29</v>
      </c>
      <c r="S4689" s="1">
        <v>-0.0014</v>
      </c>
      <c r="T4689" s="1" t="str">
        <f t="shared" si="8937"/>
        <v>0</v>
      </c>
      <c r="U4689" s="1" t="str">
        <f t="shared" si="8967"/>
        <v>0.0056</v>
      </c>
    </row>
    <row r="4690" s="1" customFormat="1" spans="1:21">
      <c r="A4690" s="1" t="str">
        <f>"4601992134926"</f>
        <v>4601992134926</v>
      </c>
      <c r="B4690" s="1" t="s">
        <v>4713</v>
      </c>
      <c r="C4690" s="1" t="s">
        <v>24</v>
      </c>
      <c r="D4690" s="1" t="str">
        <f t="shared" si="8933"/>
        <v>2021</v>
      </c>
      <c r="E4690" s="1" t="str">
        <f>"23.96"</f>
        <v>23.96</v>
      </c>
      <c r="F4690" s="1" t="str">
        <f t="shared" ref="F4690:I4690" si="8971">"0"</f>
        <v>0</v>
      </c>
      <c r="G4690" s="1" t="str">
        <f t="shared" si="8971"/>
        <v>0</v>
      </c>
      <c r="H4690" s="1" t="str">
        <f t="shared" si="8971"/>
        <v>0</v>
      </c>
      <c r="I4690" s="1" t="str">
        <f t="shared" si="8971"/>
        <v>0</v>
      </c>
      <c r="J4690" s="1" t="str">
        <f t="shared" si="8969"/>
        <v>2</v>
      </c>
      <c r="K4690" s="1" t="str">
        <f t="shared" ref="K4690:P4690" si="8972">"0"</f>
        <v>0</v>
      </c>
      <c r="L4690" s="1" t="str">
        <f t="shared" si="8972"/>
        <v>0</v>
      </c>
      <c r="M4690" s="1" t="str">
        <f t="shared" si="8972"/>
        <v>0</v>
      </c>
      <c r="N4690" s="1" t="str">
        <f t="shared" si="8972"/>
        <v>0</v>
      </c>
      <c r="O4690" s="1" t="str">
        <f t="shared" si="8972"/>
        <v>0</v>
      </c>
      <c r="P4690" s="1" t="str">
        <f t="shared" si="8972"/>
        <v>0</v>
      </c>
      <c r="Q4690" s="1" t="str">
        <f t="shared" si="8936"/>
        <v>0.0070</v>
      </c>
      <c r="R4690" s="1" t="s">
        <v>29</v>
      </c>
      <c r="S4690" s="1">
        <v>-0.0014</v>
      </c>
      <c r="T4690" s="1" t="str">
        <f t="shared" si="8937"/>
        <v>0</v>
      </c>
      <c r="U4690" s="1" t="str">
        <f t="shared" si="8967"/>
        <v>0.0056</v>
      </c>
    </row>
    <row r="4691" s="1" customFormat="1" spans="1:21">
      <c r="A4691" s="1" t="str">
        <f>"4601992134965"</f>
        <v>4601992134965</v>
      </c>
      <c r="B4691" s="1" t="s">
        <v>4714</v>
      </c>
      <c r="C4691" s="1" t="s">
        <v>24</v>
      </c>
      <c r="D4691" s="1" t="str">
        <f t="shared" si="8933"/>
        <v>2021</v>
      </c>
      <c r="E4691" s="1" t="str">
        <f t="shared" si="8963"/>
        <v>11.98</v>
      </c>
      <c r="F4691" s="1" t="str">
        <f t="shared" ref="F4691:I4691" si="8973">"0"</f>
        <v>0</v>
      </c>
      <c r="G4691" s="1" t="str">
        <f t="shared" si="8973"/>
        <v>0</v>
      </c>
      <c r="H4691" s="1" t="str">
        <f t="shared" si="8973"/>
        <v>0</v>
      </c>
      <c r="I4691" s="1" t="str">
        <f t="shared" si="8973"/>
        <v>0</v>
      </c>
      <c r="J4691" s="1" t="str">
        <f t="shared" si="8965"/>
        <v>1</v>
      </c>
      <c r="K4691" s="1" t="str">
        <f t="shared" ref="K4691:P4691" si="8974">"0"</f>
        <v>0</v>
      </c>
      <c r="L4691" s="1" t="str">
        <f t="shared" si="8974"/>
        <v>0</v>
      </c>
      <c r="M4691" s="1" t="str">
        <f t="shared" si="8974"/>
        <v>0</v>
      </c>
      <c r="N4691" s="1" t="str">
        <f t="shared" si="8974"/>
        <v>0</v>
      </c>
      <c r="O4691" s="1" t="str">
        <f t="shared" si="8974"/>
        <v>0</v>
      </c>
      <c r="P4691" s="1" t="str">
        <f t="shared" si="8974"/>
        <v>0</v>
      </c>
      <c r="Q4691" s="1" t="str">
        <f t="shared" si="8936"/>
        <v>0.0070</v>
      </c>
      <c r="R4691" s="1" t="s">
        <v>29</v>
      </c>
      <c r="S4691" s="1">
        <v>-0.0014</v>
      </c>
      <c r="T4691" s="1" t="str">
        <f t="shared" si="8937"/>
        <v>0</v>
      </c>
      <c r="U4691" s="1" t="str">
        <f t="shared" si="8967"/>
        <v>0.0056</v>
      </c>
    </row>
    <row r="4692" s="1" customFormat="1" spans="1:21">
      <c r="A4692" s="1" t="str">
        <f>"4601992135000"</f>
        <v>4601992135000</v>
      </c>
      <c r="B4692" s="1" t="s">
        <v>4715</v>
      </c>
      <c r="C4692" s="1" t="s">
        <v>24</v>
      </c>
      <c r="D4692" s="1" t="str">
        <f t="shared" si="8933"/>
        <v>2021</v>
      </c>
      <c r="E4692" s="1" t="str">
        <f t="shared" ref="E4692:I4692" si="8975">"0"</f>
        <v>0</v>
      </c>
      <c r="F4692" s="1" t="str">
        <f t="shared" si="8975"/>
        <v>0</v>
      </c>
      <c r="G4692" s="1" t="str">
        <f t="shared" si="8975"/>
        <v>0</v>
      </c>
      <c r="H4692" s="1" t="str">
        <f t="shared" si="8975"/>
        <v>0</v>
      </c>
      <c r="I4692" s="1" t="str">
        <f t="shared" si="8975"/>
        <v>0</v>
      </c>
      <c r="J4692" s="1" t="str">
        <f t="shared" si="8969"/>
        <v>2</v>
      </c>
      <c r="K4692" s="1" t="str">
        <f t="shared" ref="K4692:P4692" si="8976">"0"</f>
        <v>0</v>
      </c>
      <c r="L4692" s="1" t="str">
        <f t="shared" si="8976"/>
        <v>0</v>
      </c>
      <c r="M4692" s="1" t="str">
        <f t="shared" si="8976"/>
        <v>0</v>
      </c>
      <c r="N4692" s="1" t="str">
        <f t="shared" si="8976"/>
        <v>0</v>
      </c>
      <c r="O4692" s="1" t="str">
        <f t="shared" si="8976"/>
        <v>0</v>
      </c>
      <c r="P4692" s="1" t="str">
        <f t="shared" si="8976"/>
        <v>0</v>
      </c>
      <c r="Q4692" s="1" t="str">
        <f t="shared" si="8936"/>
        <v>0.0070</v>
      </c>
      <c r="R4692" s="1" t="s">
        <v>25</v>
      </c>
      <c r="T4692" s="1" t="str">
        <f t="shared" si="8937"/>
        <v>0</v>
      </c>
      <c r="U4692" s="1" t="str">
        <f>"0.0070"</f>
        <v>0.0070</v>
      </c>
    </row>
    <row r="4693" s="1" customFormat="1" spans="1:21">
      <c r="A4693" s="1" t="str">
        <f>"4601992134987"</f>
        <v>4601992134987</v>
      </c>
      <c r="B4693" s="1" t="s">
        <v>4716</v>
      </c>
      <c r="C4693" s="1" t="s">
        <v>24</v>
      </c>
      <c r="D4693" s="1" t="str">
        <f t="shared" si="8933"/>
        <v>2021</v>
      </c>
      <c r="E4693" s="1" t="str">
        <f t="shared" si="8963"/>
        <v>11.98</v>
      </c>
      <c r="F4693" s="1" t="str">
        <f t="shared" ref="F4693:I4693" si="8977">"0"</f>
        <v>0</v>
      </c>
      <c r="G4693" s="1" t="str">
        <f t="shared" si="8977"/>
        <v>0</v>
      </c>
      <c r="H4693" s="1" t="str">
        <f t="shared" si="8977"/>
        <v>0</v>
      </c>
      <c r="I4693" s="1" t="str">
        <f t="shared" si="8977"/>
        <v>0</v>
      </c>
      <c r="J4693" s="1" t="str">
        <f t="shared" si="8965"/>
        <v>1</v>
      </c>
      <c r="K4693" s="1" t="str">
        <f t="shared" ref="K4693:P4693" si="8978">"0"</f>
        <v>0</v>
      </c>
      <c r="L4693" s="1" t="str">
        <f t="shared" si="8978"/>
        <v>0</v>
      </c>
      <c r="M4693" s="1" t="str">
        <f t="shared" si="8978"/>
        <v>0</v>
      </c>
      <c r="N4693" s="1" t="str">
        <f t="shared" si="8978"/>
        <v>0</v>
      </c>
      <c r="O4693" s="1" t="str">
        <f t="shared" si="8978"/>
        <v>0</v>
      </c>
      <c r="P4693" s="1" t="str">
        <f t="shared" si="8978"/>
        <v>0</v>
      </c>
      <c r="Q4693" s="1" t="str">
        <f t="shared" si="8936"/>
        <v>0.0070</v>
      </c>
      <c r="R4693" s="1" t="s">
        <v>29</v>
      </c>
      <c r="S4693" s="1">
        <v>-0.0014</v>
      </c>
      <c r="T4693" s="1" t="str">
        <f t="shared" si="8937"/>
        <v>0</v>
      </c>
      <c r="U4693" s="1" t="str">
        <f t="shared" ref="U4693:U4696" si="8979">"0.0056"</f>
        <v>0.0056</v>
      </c>
    </row>
    <row r="4694" s="1" customFormat="1" spans="1:21">
      <c r="A4694" s="1" t="str">
        <f>"4601992135111"</f>
        <v>4601992135111</v>
      </c>
      <c r="B4694" s="1" t="s">
        <v>4717</v>
      </c>
      <c r="C4694" s="1" t="s">
        <v>24</v>
      </c>
      <c r="D4694" s="1" t="str">
        <f t="shared" si="8933"/>
        <v>2021</v>
      </c>
      <c r="E4694" s="1" t="str">
        <f>"23.96"</f>
        <v>23.96</v>
      </c>
      <c r="F4694" s="1" t="str">
        <f t="shared" ref="F4694:I4694" si="8980">"0"</f>
        <v>0</v>
      </c>
      <c r="G4694" s="1" t="str">
        <f t="shared" si="8980"/>
        <v>0</v>
      </c>
      <c r="H4694" s="1" t="str">
        <f t="shared" si="8980"/>
        <v>0</v>
      </c>
      <c r="I4694" s="1" t="str">
        <f t="shared" si="8980"/>
        <v>0</v>
      </c>
      <c r="J4694" s="1" t="str">
        <f t="shared" ref="J4694:J4699" si="8981">"2"</f>
        <v>2</v>
      </c>
      <c r="K4694" s="1" t="str">
        <f t="shared" ref="K4694:P4694" si="8982">"0"</f>
        <v>0</v>
      </c>
      <c r="L4694" s="1" t="str">
        <f t="shared" si="8982"/>
        <v>0</v>
      </c>
      <c r="M4694" s="1" t="str">
        <f t="shared" si="8982"/>
        <v>0</v>
      </c>
      <c r="N4694" s="1" t="str">
        <f t="shared" si="8982"/>
        <v>0</v>
      </c>
      <c r="O4694" s="1" t="str">
        <f t="shared" si="8982"/>
        <v>0</v>
      </c>
      <c r="P4694" s="1" t="str">
        <f t="shared" si="8982"/>
        <v>0</v>
      </c>
      <c r="Q4694" s="1" t="str">
        <f t="shared" si="8936"/>
        <v>0.0070</v>
      </c>
      <c r="R4694" s="1" t="s">
        <v>29</v>
      </c>
      <c r="S4694" s="1">
        <v>-0.0014</v>
      </c>
      <c r="T4694" s="1" t="str">
        <f t="shared" si="8937"/>
        <v>0</v>
      </c>
      <c r="U4694" s="1" t="str">
        <f t="shared" si="8979"/>
        <v>0.0056</v>
      </c>
    </row>
    <row r="4695" s="1" customFormat="1" spans="1:21">
      <c r="A4695" s="1" t="str">
        <f>"4601992135136"</f>
        <v>4601992135136</v>
      </c>
      <c r="B4695" s="1" t="s">
        <v>4718</v>
      </c>
      <c r="C4695" s="1" t="s">
        <v>24</v>
      </c>
      <c r="D4695" s="1" t="str">
        <f t="shared" si="8933"/>
        <v>2021</v>
      </c>
      <c r="E4695" s="1" t="str">
        <f>"11.98"</f>
        <v>11.98</v>
      </c>
      <c r="F4695" s="1" t="str">
        <f t="shared" ref="F4695:I4695" si="8983">"0"</f>
        <v>0</v>
      </c>
      <c r="G4695" s="1" t="str">
        <f t="shared" si="8983"/>
        <v>0</v>
      </c>
      <c r="H4695" s="1" t="str">
        <f t="shared" si="8983"/>
        <v>0</v>
      </c>
      <c r="I4695" s="1" t="str">
        <f t="shared" si="8983"/>
        <v>0</v>
      </c>
      <c r="J4695" s="1" t="str">
        <f>"1"</f>
        <v>1</v>
      </c>
      <c r="K4695" s="1" t="str">
        <f t="shared" ref="K4695:P4695" si="8984">"0"</f>
        <v>0</v>
      </c>
      <c r="L4695" s="1" t="str">
        <f t="shared" si="8984"/>
        <v>0</v>
      </c>
      <c r="M4695" s="1" t="str">
        <f t="shared" si="8984"/>
        <v>0</v>
      </c>
      <c r="N4695" s="1" t="str">
        <f t="shared" si="8984"/>
        <v>0</v>
      </c>
      <c r="O4695" s="1" t="str">
        <f t="shared" si="8984"/>
        <v>0</v>
      </c>
      <c r="P4695" s="1" t="str">
        <f t="shared" si="8984"/>
        <v>0</v>
      </c>
      <c r="Q4695" s="1" t="str">
        <f t="shared" si="8936"/>
        <v>0.0070</v>
      </c>
      <c r="R4695" s="1" t="s">
        <v>29</v>
      </c>
      <c r="S4695" s="1">
        <v>-0.0014</v>
      </c>
      <c r="T4695" s="1" t="str">
        <f t="shared" si="8937"/>
        <v>0</v>
      </c>
      <c r="U4695" s="1" t="str">
        <f t="shared" si="8979"/>
        <v>0.0056</v>
      </c>
    </row>
    <row r="4696" s="1" customFormat="1" spans="1:21">
      <c r="A4696" s="1" t="str">
        <f>"4601992050285"</f>
        <v>4601992050285</v>
      </c>
      <c r="B4696" s="1" t="s">
        <v>4719</v>
      </c>
      <c r="C4696" s="1" t="s">
        <v>24</v>
      </c>
      <c r="D4696" s="1" t="str">
        <f t="shared" si="8933"/>
        <v>2021</v>
      </c>
      <c r="E4696" s="1" t="str">
        <f>"24.18"</f>
        <v>24.18</v>
      </c>
      <c r="F4696" s="1" t="str">
        <f t="shared" ref="F4696:I4696" si="8985">"0"</f>
        <v>0</v>
      </c>
      <c r="G4696" s="1" t="str">
        <f t="shared" si="8985"/>
        <v>0</v>
      </c>
      <c r="H4696" s="1" t="str">
        <f t="shared" si="8985"/>
        <v>0</v>
      </c>
      <c r="I4696" s="1" t="str">
        <f t="shared" si="8985"/>
        <v>0</v>
      </c>
      <c r="J4696" s="1" t="str">
        <f>"3"</f>
        <v>3</v>
      </c>
      <c r="K4696" s="1" t="str">
        <f t="shared" ref="K4696:P4696" si="8986">"0"</f>
        <v>0</v>
      </c>
      <c r="L4696" s="1" t="str">
        <f t="shared" si="8986"/>
        <v>0</v>
      </c>
      <c r="M4696" s="1" t="str">
        <f t="shared" si="8986"/>
        <v>0</v>
      </c>
      <c r="N4696" s="1" t="str">
        <f t="shared" si="8986"/>
        <v>0</v>
      </c>
      <c r="O4696" s="1" t="str">
        <f t="shared" si="8986"/>
        <v>0</v>
      </c>
      <c r="P4696" s="1" t="str">
        <f t="shared" si="8986"/>
        <v>0</v>
      </c>
      <c r="Q4696" s="1" t="str">
        <f t="shared" si="8936"/>
        <v>0.0070</v>
      </c>
      <c r="R4696" s="1" t="s">
        <v>29</v>
      </c>
      <c r="S4696" s="1">
        <v>-0.0014</v>
      </c>
      <c r="T4696" s="1" t="str">
        <f t="shared" si="8937"/>
        <v>0</v>
      </c>
      <c r="U4696" s="1" t="str">
        <f t="shared" si="8979"/>
        <v>0.0056</v>
      </c>
    </row>
    <row r="4697" s="1" customFormat="1" spans="1:21">
      <c r="A4697" s="1" t="str">
        <f>"4601992135175"</f>
        <v>4601992135175</v>
      </c>
      <c r="B4697" s="1" t="s">
        <v>4720</v>
      </c>
      <c r="C4697" s="1" t="s">
        <v>24</v>
      </c>
      <c r="D4697" s="1" t="str">
        <f t="shared" si="8933"/>
        <v>2021</v>
      </c>
      <c r="E4697" s="1" t="str">
        <f>"24.59"</f>
        <v>24.59</v>
      </c>
      <c r="F4697" s="1" t="str">
        <f t="shared" ref="F4697:I4697" si="8987">"0"</f>
        <v>0</v>
      </c>
      <c r="G4697" s="1" t="str">
        <f t="shared" si="8987"/>
        <v>0</v>
      </c>
      <c r="H4697" s="1" t="str">
        <f t="shared" si="8987"/>
        <v>0</v>
      </c>
      <c r="I4697" s="1" t="str">
        <f t="shared" si="8987"/>
        <v>0</v>
      </c>
      <c r="J4697" s="1" t="str">
        <f t="shared" si="8981"/>
        <v>2</v>
      </c>
      <c r="K4697" s="1" t="str">
        <f t="shared" ref="K4697:P4697" si="8988">"0"</f>
        <v>0</v>
      </c>
      <c r="L4697" s="1" t="str">
        <f t="shared" si="8988"/>
        <v>0</v>
      </c>
      <c r="M4697" s="1" t="str">
        <f t="shared" si="8988"/>
        <v>0</v>
      </c>
      <c r="N4697" s="1" t="str">
        <f t="shared" si="8988"/>
        <v>0</v>
      </c>
      <c r="O4697" s="1" t="str">
        <f t="shared" si="8988"/>
        <v>0</v>
      </c>
      <c r="P4697" s="1" t="str">
        <f t="shared" si="8988"/>
        <v>0</v>
      </c>
      <c r="Q4697" s="1" t="str">
        <f t="shared" si="8936"/>
        <v>0.0070</v>
      </c>
      <c r="R4697" s="1" t="s">
        <v>25</v>
      </c>
      <c r="T4697" s="1" t="str">
        <f t="shared" si="8937"/>
        <v>0</v>
      </c>
      <c r="U4697" s="1" t="str">
        <f t="shared" ref="U4697:U4703" si="8989">"0.0070"</f>
        <v>0.0070</v>
      </c>
    </row>
    <row r="4698" s="1" customFormat="1" spans="1:21">
      <c r="A4698" s="1" t="str">
        <f>"4601992135156"</f>
        <v>4601992135156</v>
      </c>
      <c r="B4698" s="1" t="s">
        <v>4721</v>
      </c>
      <c r="C4698" s="1" t="s">
        <v>24</v>
      </c>
      <c r="D4698" s="1" t="str">
        <f t="shared" si="8933"/>
        <v>2021</v>
      </c>
      <c r="E4698" s="1" t="str">
        <f>"105.00"</f>
        <v>105.00</v>
      </c>
      <c r="F4698" s="1" t="str">
        <f t="shared" ref="F4698:I4698" si="8990">"0"</f>
        <v>0</v>
      </c>
      <c r="G4698" s="1" t="str">
        <f t="shared" si="8990"/>
        <v>0</v>
      </c>
      <c r="H4698" s="1" t="str">
        <f t="shared" si="8990"/>
        <v>0</v>
      </c>
      <c r="I4698" s="1" t="str">
        <f t="shared" si="8990"/>
        <v>0</v>
      </c>
      <c r="J4698" s="1" t="str">
        <f>"4"</f>
        <v>4</v>
      </c>
      <c r="K4698" s="1" t="str">
        <f t="shared" ref="K4698:P4698" si="8991">"0"</f>
        <v>0</v>
      </c>
      <c r="L4698" s="1" t="str">
        <f t="shared" si="8991"/>
        <v>0</v>
      </c>
      <c r="M4698" s="1" t="str">
        <f t="shared" si="8991"/>
        <v>0</v>
      </c>
      <c r="N4698" s="1" t="str">
        <f t="shared" si="8991"/>
        <v>0</v>
      </c>
      <c r="O4698" s="1" t="str">
        <f t="shared" si="8991"/>
        <v>0</v>
      </c>
      <c r="P4698" s="1" t="str">
        <f t="shared" si="8991"/>
        <v>0</v>
      </c>
      <c r="Q4698" s="1" t="str">
        <f t="shared" si="8936"/>
        <v>0.0070</v>
      </c>
      <c r="R4698" s="1" t="s">
        <v>29</v>
      </c>
      <c r="S4698" s="1">
        <v>-0.0014</v>
      </c>
      <c r="T4698" s="1" t="str">
        <f t="shared" si="8937"/>
        <v>0</v>
      </c>
      <c r="U4698" s="1" t="str">
        <f>"0.0056"</f>
        <v>0.0056</v>
      </c>
    </row>
    <row r="4699" s="1" customFormat="1" spans="1:21">
      <c r="A4699" s="1" t="str">
        <f>"4601992135188"</f>
        <v>4601992135188</v>
      </c>
      <c r="B4699" s="1" t="s">
        <v>4722</v>
      </c>
      <c r="C4699" s="1" t="s">
        <v>24</v>
      </c>
      <c r="D4699" s="1" t="str">
        <f t="shared" si="8933"/>
        <v>2021</v>
      </c>
      <c r="E4699" s="1" t="str">
        <f>"24.18"</f>
        <v>24.18</v>
      </c>
      <c r="F4699" s="1" t="str">
        <f t="shared" ref="F4699:I4699" si="8992">"0"</f>
        <v>0</v>
      </c>
      <c r="G4699" s="1" t="str">
        <f t="shared" si="8992"/>
        <v>0</v>
      </c>
      <c r="H4699" s="1" t="str">
        <f t="shared" si="8992"/>
        <v>0</v>
      </c>
      <c r="I4699" s="1" t="str">
        <f t="shared" si="8992"/>
        <v>0</v>
      </c>
      <c r="J4699" s="1" t="str">
        <f t="shared" si="8981"/>
        <v>2</v>
      </c>
      <c r="K4699" s="1" t="str">
        <f t="shared" ref="K4699:P4699" si="8993">"0"</f>
        <v>0</v>
      </c>
      <c r="L4699" s="1" t="str">
        <f t="shared" si="8993"/>
        <v>0</v>
      </c>
      <c r="M4699" s="1" t="str">
        <f t="shared" si="8993"/>
        <v>0</v>
      </c>
      <c r="N4699" s="1" t="str">
        <f t="shared" si="8993"/>
        <v>0</v>
      </c>
      <c r="O4699" s="1" t="str">
        <f t="shared" si="8993"/>
        <v>0</v>
      </c>
      <c r="P4699" s="1" t="str">
        <f t="shared" si="8993"/>
        <v>0</v>
      </c>
      <c r="Q4699" s="1" t="str">
        <f t="shared" si="8936"/>
        <v>0.0070</v>
      </c>
      <c r="R4699" s="1" t="s">
        <v>29</v>
      </c>
      <c r="S4699" s="1">
        <v>-0.0014</v>
      </c>
      <c r="T4699" s="1" t="str">
        <f t="shared" si="8937"/>
        <v>0</v>
      </c>
      <c r="U4699" s="1" t="str">
        <f>"0.0056"</f>
        <v>0.0056</v>
      </c>
    </row>
    <row r="4700" s="1" customFormat="1" spans="1:21">
      <c r="A4700" s="1" t="str">
        <f>"4601992135233"</f>
        <v>4601992135233</v>
      </c>
      <c r="B4700" s="1" t="s">
        <v>4723</v>
      </c>
      <c r="C4700" s="1" t="s">
        <v>24</v>
      </c>
      <c r="D4700" s="1" t="str">
        <f t="shared" si="8933"/>
        <v>2021</v>
      </c>
      <c r="E4700" s="1" t="str">
        <f t="shared" ref="E4700:P4700" si="8994">"0"</f>
        <v>0</v>
      </c>
      <c r="F4700" s="1" t="str">
        <f t="shared" si="8994"/>
        <v>0</v>
      </c>
      <c r="G4700" s="1" t="str">
        <f t="shared" si="8994"/>
        <v>0</v>
      </c>
      <c r="H4700" s="1" t="str">
        <f t="shared" si="8994"/>
        <v>0</v>
      </c>
      <c r="I4700" s="1" t="str">
        <f t="shared" si="8994"/>
        <v>0</v>
      </c>
      <c r="J4700" s="1" t="str">
        <f t="shared" si="8994"/>
        <v>0</v>
      </c>
      <c r="K4700" s="1" t="str">
        <f t="shared" si="8994"/>
        <v>0</v>
      </c>
      <c r="L4700" s="1" t="str">
        <f t="shared" si="8994"/>
        <v>0</v>
      </c>
      <c r="M4700" s="1" t="str">
        <f t="shared" si="8994"/>
        <v>0</v>
      </c>
      <c r="N4700" s="1" t="str">
        <f t="shared" si="8994"/>
        <v>0</v>
      </c>
      <c r="O4700" s="1" t="str">
        <f t="shared" si="8994"/>
        <v>0</v>
      </c>
      <c r="P4700" s="1" t="str">
        <f t="shared" si="8994"/>
        <v>0</v>
      </c>
      <c r="Q4700" s="1" t="str">
        <f t="shared" si="8936"/>
        <v>0.0070</v>
      </c>
      <c r="R4700" s="1" t="s">
        <v>25</v>
      </c>
      <c r="T4700" s="1" t="str">
        <f t="shared" si="8937"/>
        <v>0</v>
      </c>
      <c r="U4700" s="1" t="str">
        <f t="shared" si="8989"/>
        <v>0.0070</v>
      </c>
    </row>
    <row r="4701" s="1" customFormat="1" spans="1:21">
      <c r="A4701" s="1" t="str">
        <f>"4601992135206"</f>
        <v>4601992135206</v>
      </c>
      <c r="B4701" s="1" t="s">
        <v>4724</v>
      </c>
      <c r="C4701" s="1" t="s">
        <v>24</v>
      </c>
      <c r="D4701" s="1" t="str">
        <f t="shared" si="8933"/>
        <v>2021</v>
      </c>
      <c r="E4701" s="1" t="str">
        <f t="shared" ref="E4701:I4701" si="8995">"0"</f>
        <v>0</v>
      </c>
      <c r="F4701" s="1" t="str">
        <f t="shared" si="8995"/>
        <v>0</v>
      </c>
      <c r="G4701" s="1" t="str">
        <f t="shared" si="8995"/>
        <v>0</v>
      </c>
      <c r="H4701" s="1" t="str">
        <f t="shared" si="8995"/>
        <v>0</v>
      </c>
      <c r="I4701" s="1" t="str">
        <f t="shared" si="8995"/>
        <v>0</v>
      </c>
      <c r="J4701" s="1" t="str">
        <f>"1"</f>
        <v>1</v>
      </c>
      <c r="K4701" s="1" t="str">
        <f t="shared" ref="K4701:P4701" si="8996">"0"</f>
        <v>0</v>
      </c>
      <c r="L4701" s="1" t="str">
        <f t="shared" si="8996"/>
        <v>0</v>
      </c>
      <c r="M4701" s="1" t="str">
        <f t="shared" si="8996"/>
        <v>0</v>
      </c>
      <c r="N4701" s="1" t="str">
        <f t="shared" si="8996"/>
        <v>0</v>
      </c>
      <c r="O4701" s="1" t="str">
        <f t="shared" si="8996"/>
        <v>0</v>
      </c>
      <c r="P4701" s="1" t="str">
        <f t="shared" si="8996"/>
        <v>0</v>
      </c>
      <c r="Q4701" s="1" t="str">
        <f t="shared" si="8936"/>
        <v>0.0070</v>
      </c>
      <c r="R4701" s="1" t="s">
        <v>25</v>
      </c>
      <c r="T4701" s="1" t="str">
        <f t="shared" si="8937"/>
        <v>0</v>
      </c>
      <c r="U4701" s="1" t="str">
        <f t="shared" si="8989"/>
        <v>0.0070</v>
      </c>
    </row>
    <row r="4702" s="1" customFormat="1" spans="1:21">
      <c r="A4702" s="1" t="str">
        <f>"4601992135301"</f>
        <v>4601992135301</v>
      </c>
      <c r="B4702" s="1" t="s">
        <v>4725</v>
      </c>
      <c r="C4702" s="1" t="s">
        <v>24</v>
      </c>
      <c r="D4702" s="1" t="str">
        <f t="shared" si="8933"/>
        <v>2021</v>
      </c>
      <c r="E4702" s="1" t="str">
        <f t="shared" ref="E4702:P4702" si="8997">"0"</f>
        <v>0</v>
      </c>
      <c r="F4702" s="1" t="str">
        <f t="shared" si="8997"/>
        <v>0</v>
      </c>
      <c r="G4702" s="1" t="str">
        <f t="shared" si="8997"/>
        <v>0</v>
      </c>
      <c r="H4702" s="1" t="str">
        <f t="shared" si="8997"/>
        <v>0</v>
      </c>
      <c r="I4702" s="1" t="str">
        <f t="shared" si="8997"/>
        <v>0</v>
      </c>
      <c r="J4702" s="1" t="str">
        <f t="shared" si="8997"/>
        <v>0</v>
      </c>
      <c r="K4702" s="1" t="str">
        <f t="shared" si="8997"/>
        <v>0</v>
      </c>
      <c r="L4702" s="1" t="str">
        <f t="shared" si="8997"/>
        <v>0</v>
      </c>
      <c r="M4702" s="1" t="str">
        <f t="shared" si="8997"/>
        <v>0</v>
      </c>
      <c r="N4702" s="1" t="str">
        <f t="shared" si="8997"/>
        <v>0</v>
      </c>
      <c r="O4702" s="1" t="str">
        <f t="shared" si="8997"/>
        <v>0</v>
      </c>
      <c r="P4702" s="1" t="str">
        <f t="shared" si="8997"/>
        <v>0</v>
      </c>
      <c r="Q4702" s="1" t="str">
        <f t="shared" si="8936"/>
        <v>0.0070</v>
      </c>
      <c r="R4702" s="1" t="s">
        <v>25</v>
      </c>
      <c r="T4702" s="1" t="str">
        <f t="shared" si="8937"/>
        <v>0</v>
      </c>
      <c r="U4702" s="1" t="str">
        <f t="shared" si="8989"/>
        <v>0.0070</v>
      </c>
    </row>
    <row r="4703" s="1" customFormat="1" spans="1:21">
      <c r="A4703" s="1" t="str">
        <f>"4601992135434"</f>
        <v>4601992135434</v>
      </c>
      <c r="B4703" s="1" t="s">
        <v>4726</v>
      </c>
      <c r="C4703" s="1" t="s">
        <v>24</v>
      </c>
      <c r="D4703" s="1" t="str">
        <f t="shared" si="8933"/>
        <v>2021</v>
      </c>
      <c r="E4703" s="1" t="str">
        <f t="shared" ref="E4703:P4703" si="8998">"0"</f>
        <v>0</v>
      </c>
      <c r="F4703" s="1" t="str">
        <f t="shared" si="8998"/>
        <v>0</v>
      </c>
      <c r="G4703" s="1" t="str">
        <f t="shared" si="8998"/>
        <v>0</v>
      </c>
      <c r="H4703" s="1" t="str">
        <f t="shared" si="8998"/>
        <v>0</v>
      </c>
      <c r="I4703" s="1" t="str">
        <f t="shared" si="8998"/>
        <v>0</v>
      </c>
      <c r="J4703" s="1" t="str">
        <f t="shared" si="8998"/>
        <v>0</v>
      </c>
      <c r="K4703" s="1" t="str">
        <f t="shared" si="8998"/>
        <v>0</v>
      </c>
      <c r="L4703" s="1" t="str">
        <f t="shared" si="8998"/>
        <v>0</v>
      </c>
      <c r="M4703" s="1" t="str">
        <f t="shared" si="8998"/>
        <v>0</v>
      </c>
      <c r="N4703" s="1" t="str">
        <f t="shared" si="8998"/>
        <v>0</v>
      </c>
      <c r="O4703" s="1" t="str">
        <f t="shared" si="8998"/>
        <v>0</v>
      </c>
      <c r="P4703" s="1" t="str">
        <f t="shared" si="8998"/>
        <v>0</v>
      </c>
      <c r="Q4703" s="1" t="str">
        <f t="shared" si="8936"/>
        <v>0.0070</v>
      </c>
      <c r="R4703" s="1" t="s">
        <v>25</v>
      </c>
      <c r="T4703" s="1" t="str">
        <f t="shared" si="8937"/>
        <v>0</v>
      </c>
      <c r="U4703" s="1" t="str">
        <f t="shared" si="8989"/>
        <v>0.0070</v>
      </c>
    </row>
    <row r="4704" s="1" customFormat="1" spans="1:21">
      <c r="A4704" s="1" t="str">
        <f>"4601992014962"</f>
        <v>4601992014962</v>
      </c>
      <c r="B4704" s="1" t="s">
        <v>4727</v>
      </c>
      <c r="C4704" s="1" t="s">
        <v>24</v>
      </c>
      <c r="D4704" s="1" t="str">
        <f t="shared" si="8933"/>
        <v>2021</v>
      </c>
      <c r="E4704" s="1" t="str">
        <f>"1737.10"</f>
        <v>1737.10</v>
      </c>
      <c r="F4704" s="1" t="str">
        <f t="shared" ref="F4704:I4704" si="8999">"0"</f>
        <v>0</v>
      </c>
      <c r="G4704" s="1" t="str">
        <f t="shared" si="8999"/>
        <v>0</v>
      </c>
      <c r="H4704" s="1" t="str">
        <f t="shared" si="8999"/>
        <v>0</v>
      </c>
      <c r="I4704" s="1" t="str">
        <f t="shared" si="8999"/>
        <v>0</v>
      </c>
      <c r="J4704" s="1" t="str">
        <f>"150"</f>
        <v>150</v>
      </c>
      <c r="K4704" s="1" t="str">
        <f t="shared" ref="K4704:P4704" si="9000">"0"</f>
        <v>0</v>
      </c>
      <c r="L4704" s="1" t="str">
        <f t="shared" si="9000"/>
        <v>0</v>
      </c>
      <c r="M4704" s="1" t="str">
        <f t="shared" si="9000"/>
        <v>0</v>
      </c>
      <c r="N4704" s="1" t="str">
        <f t="shared" si="9000"/>
        <v>0</v>
      </c>
      <c r="O4704" s="1" t="str">
        <f t="shared" si="9000"/>
        <v>0</v>
      </c>
      <c r="P4704" s="1" t="str">
        <f t="shared" si="9000"/>
        <v>0</v>
      </c>
      <c r="Q4704" s="1" t="str">
        <f t="shared" si="8936"/>
        <v>0.0070</v>
      </c>
      <c r="R4704" s="1" t="s">
        <v>29</v>
      </c>
      <c r="S4704" s="1">
        <v>-0.0014</v>
      </c>
      <c r="T4704" s="1" t="str">
        <f t="shared" si="8937"/>
        <v>0</v>
      </c>
      <c r="U4704" s="1" t="str">
        <f>"0.0056"</f>
        <v>0.0056</v>
      </c>
    </row>
    <row r="4705" s="1" customFormat="1" spans="1:21">
      <c r="A4705" s="1" t="str">
        <f>"4601992135463"</f>
        <v>4601992135463</v>
      </c>
      <c r="B4705" s="1" t="s">
        <v>4728</v>
      </c>
      <c r="C4705" s="1" t="s">
        <v>24</v>
      </c>
      <c r="D4705" s="1" t="str">
        <f t="shared" si="8933"/>
        <v>2021</v>
      </c>
      <c r="E4705" s="1" t="str">
        <f t="shared" ref="E4705:P4705" si="9001">"0"</f>
        <v>0</v>
      </c>
      <c r="F4705" s="1" t="str">
        <f t="shared" si="9001"/>
        <v>0</v>
      </c>
      <c r="G4705" s="1" t="str">
        <f t="shared" si="9001"/>
        <v>0</v>
      </c>
      <c r="H4705" s="1" t="str">
        <f t="shared" si="9001"/>
        <v>0</v>
      </c>
      <c r="I4705" s="1" t="str">
        <f t="shared" si="9001"/>
        <v>0</v>
      </c>
      <c r="J4705" s="1" t="str">
        <f t="shared" si="9001"/>
        <v>0</v>
      </c>
      <c r="K4705" s="1" t="str">
        <f t="shared" si="9001"/>
        <v>0</v>
      </c>
      <c r="L4705" s="1" t="str">
        <f t="shared" si="9001"/>
        <v>0</v>
      </c>
      <c r="M4705" s="1" t="str">
        <f t="shared" si="9001"/>
        <v>0</v>
      </c>
      <c r="N4705" s="1" t="str">
        <f t="shared" si="9001"/>
        <v>0</v>
      </c>
      <c r="O4705" s="1" t="str">
        <f t="shared" si="9001"/>
        <v>0</v>
      </c>
      <c r="P4705" s="1" t="str">
        <f t="shared" si="9001"/>
        <v>0</v>
      </c>
      <c r="Q4705" s="1" t="str">
        <f t="shared" si="8936"/>
        <v>0.0070</v>
      </c>
      <c r="R4705" s="1" t="s">
        <v>25</v>
      </c>
      <c r="T4705" s="1" t="str">
        <f t="shared" si="8937"/>
        <v>0</v>
      </c>
      <c r="U4705" s="1" t="str">
        <f t="shared" ref="U4705:U4711" si="9002">"0.0070"</f>
        <v>0.0070</v>
      </c>
    </row>
    <row r="4706" s="1" customFormat="1" spans="1:21">
      <c r="A4706" s="1" t="str">
        <f>"4601992135566"</f>
        <v>4601992135566</v>
      </c>
      <c r="B4706" s="1" t="s">
        <v>4729</v>
      </c>
      <c r="C4706" s="1" t="s">
        <v>24</v>
      </c>
      <c r="D4706" s="1" t="str">
        <f t="shared" si="8933"/>
        <v>2021</v>
      </c>
      <c r="E4706" s="1" t="str">
        <f t="shared" ref="E4706:P4706" si="9003">"0"</f>
        <v>0</v>
      </c>
      <c r="F4706" s="1" t="str">
        <f t="shared" si="9003"/>
        <v>0</v>
      </c>
      <c r="G4706" s="1" t="str">
        <f t="shared" si="9003"/>
        <v>0</v>
      </c>
      <c r="H4706" s="1" t="str">
        <f t="shared" si="9003"/>
        <v>0</v>
      </c>
      <c r="I4706" s="1" t="str">
        <f t="shared" si="9003"/>
        <v>0</v>
      </c>
      <c r="J4706" s="1" t="str">
        <f t="shared" si="9003"/>
        <v>0</v>
      </c>
      <c r="K4706" s="1" t="str">
        <f t="shared" si="9003"/>
        <v>0</v>
      </c>
      <c r="L4706" s="1" t="str">
        <f t="shared" si="9003"/>
        <v>0</v>
      </c>
      <c r="M4706" s="1" t="str">
        <f t="shared" si="9003"/>
        <v>0</v>
      </c>
      <c r="N4706" s="1" t="str">
        <f t="shared" si="9003"/>
        <v>0</v>
      </c>
      <c r="O4706" s="1" t="str">
        <f t="shared" si="9003"/>
        <v>0</v>
      </c>
      <c r="P4706" s="1" t="str">
        <f t="shared" si="9003"/>
        <v>0</v>
      </c>
      <c r="Q4706" s="1" t="str">
        <f t="shared" si="8936"/>
        <v>0.0070</v>
      </c>
      <c r="R4706" s="1" t="s">
        <v>25</v>
      </c>
      <c r="T4706" s="1" t="str">
        <f t="shared" si="8937"/>
        <v>0</v>
      </c>
      <c r="U4706" s="1" t="str">
        <f t="shared" si="9002"/>
        <v>0.0070</v>
      </c>
    </row>
    <row r="4707" s="1" customFormat="1" spans="1:21">
      <c r="A4707" s="1" t="str">
        <f>"4601992135692"</f>
        <v>4601992135692</v>
      </c>
      <c r="B4707" s="1" t="s">
        <v>4730</v>
      </c>
      <c r="C4707" s="1" t="s">
        <v>24</v>
      </c>
      <c r="D4707" s="1" t="str">
        <f t="shared" si="8933"/>
        <v>2021</v>
      </c>
      <c r="E4707" s="1" t="str">
        <f t="shared" ref="E4707:P4707" si="9004">"0"</f>
        <v>0</v>
      </c>
      <c r="F4707" s="1" t="str">
        <f t="shared" si="9004"/>
        <v>0</v>
      </c>
      <c r="G4707" s="1" t="str">
        <f t="shared" si="9004"/>
        <v>0</v>
      </c>
      <c r="H4707" s="1" t="str">
        <f t="shared" si="9004"/>
        <v>0</v>
      </c>
      <c r="I4707" s="1" t="str">
        <f t="shared" si="9004"/>
        <v>0</v>
      </c>
      <c r="J4707" s="1" t="str">
        <f t="shared" si="9004"/>
        <v>0</v>
      </c>
      <c r="K4707" s="1" t="str">
        <f t="shared" si="9004"/>
        <v>0</v>
      </c>
      <c r="L4707" s="1" t="str">
        <f t="shared" si="9004"/>
        <v>0</v>
      </c>
      <c r="M4707" s="1" t="str">
        <f t="shared" si="9004"/>
        <v>0</v>
      </c>
      <c r="N4707" s="1" t="str">
        <f t="shared" si="9004"/>
        <v>0</v>
      </c>
      <c r="O4707" s="1" t="str">
        <f t="shared" si="9004"/>
        <v>0</v>
      </c>
      <c r="P4707" s="1" t="str">
        <f t="shared" si="9004"/>
        <v>0</v>
      </c>
      <c r="Q4707" s="1" t="str">
        <f t="shared" si="8936"/>
        <v>0.0070</v>
      </c>
      <c r="R4707" s="1" t="s">
        <v>25</v>
      </c>
      <c r="T4707" s="1" t="str">
        <f t="shared" si="8937"/>
        <v>0</v>
      </c>
      <c r="U4707" s="1" t="str">
        <f t="shared" si="9002"/>
        <v>0.0070</v>
      </c>
    </row>
    <row r="4708" s="1" customFormat="1" spans="1:21">
      <c r="A4708" s="1" t="str">
        <f>"4601992135543"</f>
        <v>4601992135543</v>
      </c>
      <c r="B4708" s="1" t="s">
        <v>4731</v>
      </c>
      <c r="C4708" s="1" t="s">
        <v>24</v>
      </c>
      <c r="D4708" s="1" t="str">
        <f t="shared" si="8933"/>
        <v>2021</v>
      </c>
      <c r="E4708" s="1" t="str">
        <f t="shared" ref="E4708:I4708" si="9005">"0"</f>
        <v>0</v>
      </c>
      <c r="F4708" s="1" t="str">
        <f t="shared" si="9005"/>
        <v>0</v>
      </c>
      <c r="G4708" s="1" t="str">
        <f t="shared" si="9005"/>
        <v>0</v>
      </c>
      <c r="H4708" s="1" t="str">
        <f t="shared" si="9005"/>
        <v>0</v>
      </c>
      <c r="I4708" s="1" t="str">
        <f t="shared" si="9005"/>
        <v>0</v>
      </c>
      <c r="J4708" s="1" t="str">
        <f>"2"</f>
        <v>2</v>
      </c>
      <c r="K4708" s="1" t="str">
        <f t="shared" ref="K4708:P4708" si="9006">"0"</f>
        <v>0</v>
      </c>
      <c r="L4708" s="1" t="str">
        <f t="shared" si="9006"/>
        <v>0</v>
      </c>
      <c r="M4708" s="1" t="str">
        <f t="shared" si="9006"/>
        <v>0</v>
      </c>
      <c r="N4708" s="1" t="str">
        <f t="shared" si="9006"/>
        <v>0</v>
      </c>
      <c r="O4708" s="1" t="str">
        <f t="shared" si="9006"/>
        <v>0</v>
      </c>
      <c r="P4708" s="1" t="str">
        <f t="shared" si="9006"/>
        <v>0</v>
      </c>
      <c r="Q4708" s="1" t="str">
        <f t="shared" si="8936"/>
        <v>0.0070</v>
      </c>
      <c r="R4708" s="1" t="s">
        <v>25</v>
      </c>
      <c r="T4708" s="1" t="str">
        <f t="shared" si="8937"/>
        <v>0</v>
      </c>
      <c r="U4708" s="1" t="str">
        <f t="shared" si="9002"/>
        <v>0.0070</v>
      </c>
    </row>
    <row r="4709" s="1" customFormat="1" spans="1:21">
      <c r="A4709" s="1" t="str">
        <f>"4601992135867"</f>
        <v>4601992135867</v>
      </c>
      <c r="B4709" s="1" t="s">
        <v>4732</v>
      </c>
      <c r="C4709" s="1" t="s">
        <v>24</v>
      </c>
      <c r="D4709" s="1" t="str">
        <f t="shared" si="8933"/>
        <v>2021</v>
      </c>
      <c r="E4709" s="1" t="str">
        <f t="shared" ref="E4709:P4709" si="9007">"0"</f>
        <v>0</v>
      </c>
      <c r="F4709" s="1" t="str">
        <f t="shared" si="9007"/>
        <v>0</v>
      </c>
      <c r="G4709" s="1" t="str">
        <f t="shared" si="9007"/>
        <v>0</v>
      </c>
      <c r="H4709" s="1" t="str">
        <f t="shared" si="9007"/>
        <v>0</v>
      </c>
      <c r="I4709" s="1" t="str">
        <f t="shared" si="9007"/>
        <v>0</v>
      </c>
      <c r="J4709" s="1" t="str">
        <f t="shared" si="9007"/>
        <v>0</v>
      </c>
      <c r="K4709" s="1" t="str">
        <f t="shared" si="9007"/>
        <v>0</v>
      </c>
      <c r="L4709" s="1" t="str">
        <f t="shared" si="9007"/>
        <v>0</v>
      </c>
      <c r="M4709" s="1" t="str">
        <f t="shared" si="9007"/>
        <v>0</v>
      </c>
      <c r="N4709" s="1" t="str">
        <f t="shared" si="9007"/>
        <v>0</v>
      </c>
      <c r="O4709" s="1" t="str">
        <f t="shared" si="9007"/>
        <v>0</v>
      </c>
      <c r="P4709" s="1" t="str">
        <f t="shared" si="9007"/>
        <v>0</v>
      </c>
      <c r="Q4709" s="1" t="str">
        <f t="shared" si="8936"/>
        <v>0.0070</v>
      </c>
      <c r="R4709" s="1" t="s">
        <v>25</v>
      </c>
      <c r="T4709" s="1" t="str">
        <f t="shared" si="8937"/>
        <v>0</v>
      </c>
      <c r="U4709" s="1" t="str">
        <f t="shared" si="9002"/>
        <v>0.0070</v>
      </c>
    </row>
    <row r="4710" s="1" customFormat="1" spans="1:21">
      <c r="A4710" s="1" t="str">
        <f>"4601992135962"</f>
        <v>4601992135962</v>
      </c>
      <c r="B4710" s="1" t="s">
        <v>4733</v>
      </c>
      <c r="C4710" s="1" t="s">
        <v>24</v>
      </c>
      <c r="D4710" s="1" t="str">
        <f t="shared" si="8933"/>
        <v>2021</v>
      </c>
      <c r="E4710" s="1" t="str">
        <f t="shared" ref="E4710:P4710" si="9008">"0"</f>
        <v>0</v>
      </c>
      <c r="F4710" s="1" t="str">
        <f t="shared" si="9008"/>
        <v>0</v>
      </c>
      <c r="G4710" s="1" t="str">
        <f t="shared" si="9008"/>
        <v>0</v>
      </c>
      <c r="H4710" s="1" t="str">
        <f t="shared" si="9008"/>
        <v>0</v>
      </c>
      <c r="I4710" s="1" t="str">
        <f t="shared" si="9008"/>
        <v>0</v>
      </c>
      <c r="J4710" s="1" t="str">
        <f t="shared" si="9008"/>
        <v>0</v>
      </c>
      <c r="K4710" s="1" t="str">
        <f t="shared" si="9008"/>
        <v>0</v>
      </c>
      <c r="L4710" s="1" t="str">
        <f t="shared" si="9008"/>
        <v>0</v>
      </c>
      <c r="M4710" s="1" t="str">
        <f t="shared" si="9008"/>
        <v>0</v>
      </c>
      <c r="N4710" s="1" t="str">
        <f t="shared" si="9008"/>
        <v>0</v>
      </c>
      <c r="O4710" s="1" t="str">
        <f t="shared" si="9008"/>
        <v>0</v>
      </c>
      <c r="P4710" s="1" t="str">
        <f t="shared" si="9008"/>
        <v>0</v>
      </c>
      <c r="Q4710" s="1" t="str">
        <f t="shared" si="8936"/>
        <v>0.0070</v>
      </c>
      <c r="R4710" s="1" t="s">
        <v>25</v>
      </c>
      <c r="T4710" s="1" t="str">
        <f t="shared" si="8937"/>
        <v>0</v>
      </c>
      <c r="U4710" s="1" t="str">
        <f t="shared" si="9002"/>
        <v>0.0070</v>
      </c>
    </row>
    <row r="4711" s="1" customFormat="1" spans="1:21">
      <c r="A4711" s="1" t="str">
        <f>"4601992136028"</f>
        <v>4601992136028</v>
      </c>
      <c r="B4711" s="1" t="s">
        <v>4734</v>
      </c>
      <c r="C4711" s="1" t="s">
        <v>24</v>
      </c>
      <c r="D4711" s="1" t="str">
        <f t="shared" si="8933"/>
        <v>2021</v>
      </c>
      <c r="E4711" s="1" t="str">
        <f t="shared" ref="E4711:P4711" si="9009">"0"</f>
        <v>0</v>
      </c>
      <c r="F4711" s="1" t="str">
        <f t="shared" si="9009"/>
        <v>0</v>
      </c>
      <c r="G4711" s="1" t="str">
        <f t="shared" si="9009"/>
        <v>0</v>
      </c>
      <c r="H4711" s="1" t="str">
        <f t="shared" si="9009"/>
        <v>0</v>
      </c>
      <c r="I4711" s="1" t="str">
        <f t="shared" si="9009"/>
        <v>0</v>
      </c>
      <c r="J4711" s="1" t="str">
        <f t="shared" si="9009"/>
        <v>0</v>
      </c>
      <c r="K4711" s="1" t="str">
        <f t="shared" si="9009"/>
        <v>0</v>
      </c>
      <c r="L4711" s="1" t="str">
        <f t="shared" si="9009"/>
        <v>0</v>
      </c>
      <c r="M4711" s="1" t="str">
        <f t="shared" si="9009"/>
        <v>0</v>
      </c>
      <c r="N4711" s="1" t="str">
        <f t="shared" si="9009"/>
        <v>0</v>
      </c>
      <c r="O4711" s="1" t="str">
        <f t="shared" si="9009"/>
        <v>0</v>
      </c>
      <c r="P4711" s="1" t="str">
        <f t="shared" si="9009"/>
        <v>0</v>
      </c>
      <c r="Q4711" s="1" t="str">
        <f t="shared" si="8936"/>
        <v>0.0070</v>
      </c>
      <c r="R4711" s="1" t="s">
        <v>25</v>
      </c>
      <c r="T4711" s="1" t="str">
        <f t="shared" si="8937"/>
        <v>0</v>
      </c>
      <c r="U4711" s="1" t="str">
        <f t="shared" si="9002"/>
        <v>0.0070</v>
      </c>
    </row>
    <row r="4712" s="1" customFormat="1" spans="1:21">
      <c r="A4712" s="1" t="str">
        <f>"4601992135932"</f>
        <v>4601992135932</v>
      </c>
      <c r="B4712" s="1" t="s">
        <v>4735</v>
      </c>
      <c r="C4712" s="1" t="s">
        <v>24</v>
      </c>
      <c r="D4712" s="1" t="str">
        <f t="shared" si="8933"/>
        <v>2021</v>
      </c>
      <c r="E4712" s="1" t="str">
        <f>"11.98"</f>
        <v>11.98</v>
      </c>
      <c r="F4712" s="1" t="str">
        <f t="shared" ref="F4712:I4712" si="9010">"0"</f>
        <v>0</v>
      </c>
      <c r="G4712" s="1" t="str">
        <f t="shared" si="9010"/>
        <v>0</v>
      </c>
      <c r="H4712" s="1" t="str">
        <f t="shared" si="9010"/>
        <v>0</v>
      </c>
      <c r="I4712" s="1" t="str">
        <f t="shared" si="9010"/>
        <v>0</v>
      </c>
      <c r="J4712" s="1" t="str">
        <f>"6"</f>
        <v>6</v>
      </c>
      <c r="K4712" s="1" t="str">
        <f t="shared" ref="K4712:P4712" si="9011">"0"</f>
        <v>0</v>
      </c>
      <c r="L4712" s="1" t="str">
        <f t="shared" si="9011"/>
        <v>0</v>
      </c>
      <c r="M4712" s="1" t="str">
        <f t="shared" si="9011"/>
        <v>0</v>
      </c>
      <c r="N4712" s="1" t="str">
        <f t="shared" si="9011"/>
        <v>0</v>
      </c>
      <c r="O4712" s="1" t="str">
        <f t="shared" si="9011"/>
        <v>0</v>
      </c>
      <c r="P4712" s="1" t="str">
        <f t="shared" si="9011"/>
        <v>0</v>
      </c>
      <c r="Q4712" s="1" t="str">
        <f t="shared" si="8936"/>
        <v>0.0070</v>
      </c>
      <c r="R4712" s="1" t="s">
        <v>29</v>
      </c>
      <c r="S4712" s="1">
        <v>-0.0014</v>
      </c>
      <c r="T4712" s="1" t="str">
        <f t="shared" si="8937"/>
        <v>0</v>
      </c>
      <c r="U4712" s="1" t="str">
        <f t="shared" ref="U4712:U4714" si="9012">"0.0056"</f>
        <v>0.0056</v>
      </c>
    </row>
    <row r="4713" s="1" customFormat="1" spans="1:21">
      <c r="A4713" s="1" t="str">
        <f>"4601992135934"</f>
        <v>4601992135934</v>
      </c>
      <c r="B4713" s="1" t="s">
        <v>4736</v>
      </c>
      <c r="C4713" s="1" t="s">
        <v>24</v>
      </c>
      <c r="D4713" s="1" t="str">
        <f t="shared" si="8933"/>
        <v>2021</v>
      </c>
      <c r="E4713" s="1" t="str">
        <f>"83.86"</f>
        <v>83.86</v>
      </c>
      <c r="F4713" s="1" t="str">
        <f t="shared" ref="F4713:I4713" si="9013">"0"</f>
        <v>0</v>
      </c>
      <c r="G4713" s="1" t="str">
        <f t="shared" si="9013"/>
        <v>0</v>
      </c>
      <c r="H4713" s="1" t="str">
        <f t="shared" si="9013"/>
        <v>0</v>
      </c>
      <c r="I4713" s="1" t="str">
        <f t="shared" si="9013"/>
        <v>0</v>
      </c>
      <c r="J4713" s="1" t="str">
        <f>"11"</f>
        <v>11</v>
      </c>
      <c r="K4713" s="1" t="str">
        <f t="shared" ref="K4713:P4713" si="9014">"0"</f>
        <v>0</v>
      </c>
      <c r="L4713" s="1" t="str">
        <f t="shared" si="9014"/>
        <v>0</v>
      </c>
      <c r="M4713" s="1" t="str">
        <f t="shared" si="9014"/>
        <v>0</v>
      </c>
      <c r="N4713" s="1" t="str">
        <f t="shared" si="9014"/>
        <v>0</v>
      </c>
      <c r="O4713" s="1" t="str">
        <f t="shared" si="9014"/>
        <v>0</v>
      </c>
      <c r="P4713" s="1" t="str">
        <f t="shared" si="9014"/>
        <v>0</v>
      </c>
      <c r="Q4713" s="1" t="str">
        <f t="shared" si="8936"/>
        <v>0.0070</v>
      </c>
      <c r="R4713" s="1" t="s">
        <v>29</v>
      </c>
      <c r="S4713" s="1">
        <v>-0.0014</v>
      </c>
      <c r="T4713" s="1" t="str">
        <f t="shared" si="8937"/>
        <v>0</v>
      </c>
      <c r="U4713" s="1" t="str">
        <f t="shared" si="9012"/>
        <v>0.0056</v>
      </c>
    </row>
    <row r="4714" s="1" customFormat="1" spans="1:21">
      <c r="A4714" s="1" t="str">
        <f>"4601992136026"</f>
        <v>4601992136026</v>
      </c>
      <c r="B4714" s="1" t="s">
        <v>4737</v>
      </c>
      <c r="C4714" s="1" t="s">
        <v>24</v>
      </c>
      <c r="D4714" s="1" t="str">
        <f t="shared" si="8933"/>
        <v>2021</v>
      </c>
      <c r="E4714" s="1" t="str">
        <f>"24.07"</f>
        <v>24.07</v>
      </c>
      <c r="F4714" s="1" t="str">
        <f t="shared" ref="F4714:I4714" si="9015">"0"</f>
        <v>0</v>
      </c>
      <c r="G4714" s="1" t="str">
        <f t="shared" si="9015"/>
        <v>0</v>
      </c>
      <c r="H4714" s="1" t="str">
        <f t="shared" si="9015"/>
        <v>0</v>
      </c>
      <c r="I4714" s="1" t="str">
        <f t="shared" si="9015"/>
        <v>0</v>
      </c>
      <c r="J4714" s="1" t="str">
        <f>"2"</f>
        <v>2</v>
      </c>
      <c r="K4714" s="1" t="str">
        <f t="shared" ref="K4714:P4714" si="9016">"0"</f>
        <v>0</v>
      </c>
      <c r="L4714" s="1" t="str">
        <f t="shared" si="9016"/>
        <v>0</v>
      </c>
      <c r="M4714" s="1" t="str">
        <f t="shared" si="9016"/>
        <v>0</v>
      </c>
      <c r="N4714" s="1" t="str">
        <f t="shared" si="9016"/>
        <v>0</v>
      </c>
      <c r="O4714" s="1" t="str">
        <f t="shared" si="9016"/>
        <v>0</v>
      </c>
      <c r="P4714" s="1" t="str">
        <f t="shared" si="9016"/>
        <v>0</v>
      </c>
      <c r="Q4714" s="1" t="str">
        <f t="shared" si="8936"/>
        <v>0.0070</v>
      </c>
      <c r="R4714" s="1" t="s">
        <v>29</v>
      </c>
      <c r="S4714" s="1">
        <v>-0.0014</v>
      </c>
      <c r="T4714" s="1" t="str">
        <f t="shared" si="8937"/>
        <v>0</v>
      </c>
      <c r="U4714" s="1" t="str">
        <f t="shared" si="9012"/>
        <v>0.0056</v>
      </c>
    </row>
    <row r="4715" s="1" customFormat="1" spans="1:21">
      <c r="A4715" s="1" t="str">
        <f>"4601992136038"</f>
        <v>4601992136038</v>
      </c>
      <c r="B4715" s="1" t="s">
        <v>4738</v>
      </c>
      <c r="C4715" s="1" t="s">
        <v>24</v>
      </c>
      <c r="D4715" s="1" t="str">
        <f t="shared" si="8933"/>
        <v>2021</v>
      </c>
      <c r="E4715" s="1" t="str">
        <f t="shared" ref="E4715:P4715" si="9017">"0"</f>
        <v>0</v>
      </c>
      <c r="F4715" s="1" t="str">
        <f t="shared" si="9017"/>
        <v>0</v>
      </c>
      <c r="G4715" s="1" t="str">
        <f t="shared" si="9017"/>
        <v>0</v>
      </c>
      <c r="H4715" s="1" t="str">
        <f t="shared" si="9017"/>
        <v>0</v>
      </c>
      <c r="I4715" s="1" t="str">
        <f t="shared" si="9017"/>
        <v>0</v>
      </c>
      <c r="J4715" s="1" t="str">
        <f t="shared" si="9017"/>
        <v>0</v>
      </c>
      <c r="K4715" s="1" t="str">
        <f t="shared" si="9017"/>
        <v>0</v>
      </c>
      <c r="L4715" s="1" t="str">
        <f t="shared" si="9017"/>
        <v>0</v>
      </c>
      <c r="M4715" s="1" t="str">
        <f t="shared" si="9017"/>
        <v>0</v>
      </c>
      <c r="N4715" s="1" t="str">
        <f t="shared" si="9017"/>
        <v>0</v>
      </c>
      <c r="O4715" s="1" t="str">
        <f t="shared" si="9017"/>
        <v>0</v>
      </c>
      <c r="P4715" s="1" t="str">
        <f t="shared" si="9017"/>
        <v>0</v>
      </c>
      <c r="Q4715" s="1" t="str">
        <f t="shared" si="8936"/>
        <v>0.0070</v>
      </c>
      <c r="R4715" s="1" t="s">
        <v>25</v>
      </c>
      <c r="T4715" s="1" t="str">
        <f t="shared" si="8937"/>
        <v>0</v>
      </c>
      <c r="U4715" s="1" t="str">
        <f t="shared" ref="U4715:U4718" si="9018">"0.0070"</f>
        <v>0.0070</v>
      </c>
    </row>
    <row r="4716" s="1" customFormat="1" spans="1:21">
      <c r="A4716" s="1" t="str">
        <f>"4601992136068"</f>
        <v>4601992136068</v>
      </c>
      <c r="B4716" s="1" t="s">
        <v>4739</v>
      </c>
      <c r="C4716" s="1" t="s">
        <v>24</v>
      </c>
      <c r="D4716" s="1" t="str">
        <f t="shared" si="8933"/>
        <v>2021</v>
      </c>
      <c r="E4716" s="1" t="str">
        <f t="shared" ref="E4716:P4716" si="9019">"0"</f>
        <v>0</v>
      </c>
      <c r="F4716" s="1" t="str">
        <f t="shared" si="9019"/>
        <v>0</v>
      </c>
      <c r="G4716" s="1" t="str">
        <f t="shared" si="9019"/>
        <v>0</v>
      </c>
      <c r="H4716" s="1" t="str">
        <f t="shared" si="9019"/>
        <v>0</v>
      </c>
      <c r="I4716" s="1" t="str">
        <f t="shared" si="9019"/>
        <v>0</v>
      </c>
      <c r="J4716" s="1" t="str">
        <f t="shared" si="9019"/>
        <v>0</v>
      </c>
      <c r="K4716" s="1" t="str">
        <f t="shared" si="9019"/>
        <v>0</v>
      </c>
      <c r="L4716" s="1" t="str">
        <f t="shared" si="9019"/>
        <v>0</v>
      </c>
      <c r="M4716" s="1" t="str">
        <f t="shared" si="9019"/>
        <v>0</v>
      </c>
      <c r="N4716" s="1" t="str">
        <f t="shared" si="9019"/>
        <v>0</v>
      </c>
      <c r="O4716" s="1" t="str">
        <f t="shared" si="9019"/>
        <v>0</v>
      </c>
      <c r="P4716" s="1" t="str">
        <f t="shared" si="9019"/>
        <v>0</v>
      </c>
      <c r="Q4716" s="1" t="str">
        <f t="shared" si="8936"/>
        <v>0.0070</v>
      </c>
      <c r="R4716" s="1" t="s">
        <v>25</v>
      </c>
      <c r="T4716" s="1" t="str">
        <f t="shared" si="8937"/>
        <v>0</v>
      </c>
      <c r="U4716" s="1" t="str">
        <f t="shared" si="9018"/>
        <v>0.0070</v>
      </c>
    </row>
    <row r="4717" s="1" customFormat="1" spans="1:21">
      <c r="A4717" s="1" t="str">
        <f>"4601992136132"</f>
        <v>4601992136132</v>
      </c>
      <c r="B4717" s="1" t="s">
        <v>4740</v>
      </c>
      <c r="C4717" s="1" t="s">
        <v>24</v>
      </c>
      <c r="D4717" s="1" t="str">
        <f t="shared" si="8933"/>
        <v>2021</v>
      </c>
      <c r="E4717" s="1" t="str">
        <f t="shared" ref="E4717:P4717" si="9020">"0"</f>
        <v>0</v>
      </c>
      <c r="F4717" s="1" t="str">
        <f t="shared" si="9020"/>
        <v>0</v>
      </c>
      <c r="G4717" s="1" t="str">
        <f t="shared" si="9020"/>
        <v>0</v>
      </c>
      <c r="H4717" s="1" t="str">
        <f t="shared" si="9020"/>
        <v>0</v>
      </c>
      <c r="I4717" s="1" t="str">
        <f t="shared" si="9020"/>
        <v>0</v>
      </c>
      <c r="J4717" s="1" t="str">
        <f t="shared" si="9020"/>
        <v>0</v>
      </c>
      <c r="K4717" s="1" t="str">
        <f t="shared" si="9020"/>
        <v>0</v>
      </c>
      <c r="L4717" s="1" t="str">
        <f t="shared" si="9020"/>
        <v>0</v>
      </c>
      <c r="M4717" s="1" t="str">
        <f t="shared" si="9020"/>
        <v>0</v>
      </c>
      <c r="N4717" s="1" t="str">
        <f t="shared" si="9020"/>
        <v>0</v>
      </c>
      <c r="O4717" s="1" t="str">
        <f t="shared" si="9020"/>
        <v>0</v>
      </c>
      <c r="P4717" s="1" t="str">
        <f t="shared" si="9020"/>
        <v>0</v>
      </c>
      <c r="Q4717" s="1" t="str">
        <f t="shared" si="8936"/>
        <v>0.0070</v>
      </c>
      <c r="R4717" s="1" t="s">
        <v>25</v>
      </c>
      <c r="T4717" s="1" t="str">
        <f t="shared" si="8937"/>
        <v>0</v>
      </c>
      <c r="U4717" s="1" t="str">
        <f t="shared" si="9018"/>
        <v>0.0070</v>
      </c>
    </row>
    <row r="4718" s="1" customFormat="1" spans="1:21">
      <c r="A4718" s="1" t="str">
        <f>"4601992136222"</f>
        <v>4601992136222</v>
      </c>
      <c r="B4718" s="1" t="s">
        <v>4741</v>
      </c>
      <c r="C4718" s="1" t="s">
        <v>24</v>
      </c>
      <c r="D4718" s="1" t="str">
        <f t="shared" si="8933"/>
        <v>2021</v>
      </c>
      <c r="E4718" s="1" t="str">
        <f t="shared" ref="E4718:P4718" si="9021">"0"</f>
        <v>0</v>
      </c>
      <c r="F4718" s="1" t="str">
        <f t="shared" si="9021"/>
        <v>0</v>
      </c>
      <c r="G4718" s="1" t="str">
        <f t="shared" si="9021"/>
        <v>0</v>
      </c>
      <c r="H4718" s="1" t="str">
        <f t="shared" si="9021"/>
        <v>0</v>
      </c>
      <c r="I4718" s="1" t="str">
        <f t="shared" si="9021"/>
        <v>0</v>
      </c>
      <c r="J4718" s="1" t="str">
        <f t="shared" si="9021"/>
        <v>0</v>
      </c>
      <c r="K4718" s="1" t="str">
        <f t="shared" si="9021"/>
        <v>0</v>
      </c>
      <c r="L4718" s="1" t="str">
        <f t="shared" si="9021"/>
        <v>0</v>
      </c>
      <c r="M4718" s="1" t="str">
        <f t="shared" si="9021"/>
        <v>0</v>
      </c>
      <c r="N4718" s="1" t="str">
        <f t="shared" si="9021"/>
        <v>0</v>
      </c>
      <c r="O4718" s="1" t="str">
        <f t="shared" si="9021"/>
        <v>0</v>
      </c>
      <c r="P4718" s="1" t="str">
        <f t="shared" si="9021"/>
        <v>0</v>
      </c>
      <c r="Q4718" s="1" t="str">
        <f t="shared" si="8936"/>
        <v>0.0070</v>
      </c>
      <c r="R4718" s="1" t="s">
        <v>25</v>
      </c>
      <c r="T4718" s="1" t="str">
        <f t="shared" si="8937"/>
        <v>0</v>
      </c>
      <c r="U4718" s="1" t="str">
        <f t="shared" si="9018"/>
        <v>0.0070</v>
      </c>
    </row>
    <row r="4719" s="1" customFormat="1" spans="1:21">
      <c r="A4719" s="1" t="str">
        <f>"4601992136047"</f>
        <v>4601992136047</v>
      </c>
      <c r="B4719" s="1" t="s">
        <v>4742</v>
      </c>
      <c r="C4719" s="1" t="s">
        <v>24</v>
      </c>
      <c r="D4719" s="1" t="str">
        <f t="shared" si="8933"/>
        <v>2021</v>
      </c>
      <c r="E4719" s="1" t="str">
        <f>"24.50"</f>
        <v>24.50</v>
      </c>
      <c r="F4719" s="1" t="str">
        <f t="shared" ref="F4719:I4719" si="9022">"0"</f>
        <v>0</v>
      </c>
      <c r="G4719" s="1" t="str">
        <f t="shared" si="9022"/>
        <v>0</v>
      </c>
      <c r="H4719" s="1" t="str">
        <f t="shared" si="9022"/>
        <v>0</v>
      </c>
      <c r="I4719" s="1" t="str">
        <f t="shared" si="9022"/>
        <v>0</v>
      </c>
      <c r="J4719" s="1" t="str">
        <f>"3"</f>
        <v>3</v>
      </c>
      <c r="K4719" s="1" t="str">
        <f t="shared" ref="K4719:P4719" si="9023">"0"</f>
        <v>0</v>
      </c>
      <c r="L4719" s="1" t="str">
        <f t="shared" si="9023"/>
        <v>0</v>
      </c>
      <c r="M4719" s="1" t="str">
        <f t="shared" si="9023"/>
        <v>0</v>
      </c>
      <c r="N4719" s="1" t="str">
        <f t="shared" si="9023"/>
        <v>0</v>
      </c>
      <c r="O4719" s="1" t="str">
        <f t="shared" si="9023"/>
        <v>0</v>
      </c>
      <c r="P4719" s="1" t="str">
        <f t="shared" si="9023"/>
        <v>0</v>
      </c>
      <c r="Q4719" s="1" t="str">
        <f t="shared" si="8936"/>
        <v>0.0070</v>
      </c>
      <c r="R4719" s="1" t="s">
        <v>29</v>
      </c>
      <c r="S4719" s="1">
        <v>-0.0014</v>
      </c>
      <c r="T4719" s="1" t="str">
        <f t="shared" si="8937"/>
        <v>0</v>
      </c>
      <c r="U4719" s="1" t="str">
        <f>"0.0056"</f>
        <v>0.0056</v>
      </c>
    </row>
    <row r="4720" s="1" customFormat="1" spans="1:21">
      <c r="A4720" s="1" t="str">
        <f>"4601992136452"</f>
        <v>4601992136452</v>
      </c>
      <c r="B4720" s="1" t="s">
        <v>4743</v>
      </c>
      <c r="C4720" s="1" t="s">
        <v>24</v>
      </c>
      <c r="D4720" s="1" t="str">
        <f t="shared" si="8933"/>
        <v>2021</v>
      </c>
      <c r="E4720" s="1" t="str">
        <f t="shared" ref="E4720:P4720" si="9024">"0"</f>
        <v>0</v>
      </c>
      <c r="F4720" s="1" t="str">
        <f t="shared" si="9024"/>
        <v>0</v>
      </c>
      <c r="G4720" s="1" t="str">
        <f t="shared" si="9024"/>
        <v>0</v>
      </c>
      <c r="H4720" s="1" t="str">
        <f t="shared" si="9024"/>
        <v>0</v>
      </c>
      <c r="I4720" s="1" t="str">
        <f t="shared" si="9024"/>
        <v>0</v>
      </c>
      <c r="J4720" s="1" t="str">
        <f t="shared" si="9024"/>
        <v>0</v>
      </c>
      <c r="K4720" s="1" t="str">
        <f t="shared" si="9024"/>
        <v>0</v>
      </c>
      <c r="L4720" s="1" t="str">
        <f t="shared" si="9024"/>
        <v>0</v>
      </c>
      <c r="M4720" s="1" t="str">
        <f t="shared" si="9024"/>
        <v>0</v>
      </c>
      <c r="N4720" s="1" t="str">
        <f t="shared" si="9024"/>
        <v>0</v>
      </c>
      <c r="O4720" s="1" t="str">
        <f t="shared" si="9024"/>
        <v>0</v>
      </c>
      <c r="P4720" s="1" t="str">
        <f t="shared" si="9024"/>
        <v>0</v>
      </c>
      <c r="Q4720" s="1" t="str">
        <f t="shared" si="8936"/>
        <v>0.0070</v>
      </c>
      <c r="R4720" s="1" t="s">
        <v>25</v>
      </c>
      <c r="T4720" s="1" t="str">
        <f t="shared" si="8937"/>
        <v>0</v>
      </c>
      <c r="U4720" s="1" t="str">
        <f t="shared" ref="U4720:U4734" si="9025">"0.0070"</f>
        <v>0.0070</v>
      </c>
    </row>
    <row r="4721" s="1" customFormat="1" spans="1:21">
      <c r="A4721" s="1" t="str">
        <f>"4601992136548"</f>
        <v>4601992136548</v>
      </c>
      <c r="B4721" s="1" t="s">
        <v>4744</v>
      </c>
      <c r="C4721" s="1" t="s">
        <v>24</v>
      </c>
      <c r="D4721" s="1" t="str">
        <f t="shared" si="8933"/>
        <v>2021</v>
      </c>
      <c r="E4721" s="1" t="str">
        <f t="shared" ref="E4721:P4721" si="9026">"0"</f>
        <v>0</v>
      </c>
      <c r="F4721" s="1" t="str">
        <f t="shared" si="9026"/>
        <v>0</v>
      </c>
      <c r="G4721" s="1" t="str">
        <f t="shared" si="9026"/>
        <v>0</v>
      </c>
      <c r="H4721" s="1" t="str">
        <f t="shared" si="9026"/>
        <v>0</v>
      </c>
      <c r="I4721" s="1" t="str">
        <f t="shared" si="9026"/>
        <v>0</v>
      </c>
      <c r="J4721" s="1" t="str">
        <f t="shared" si="9026"/>
        <v>0</v>
      </c>
      <c r="K4721" s="1" t="str">
        <f t="shared" si="9026"/>
        <v>0</v>
      </c>
      <c r="L4721" s="1" t="str">
        <f t="shared" si="9026"/>
        <v>0</v>
      </c>
      <c r="M4721" s="1" t="str">
        <f t="shared" si="9026"/>
        <v>0</v>
      </c>
      <c r="N4721" s="1" t="str">
        <f t="shared" si="9026"/>
        <v>0</v>
      </c>
      <c r="O4721" s="1" t="str">
        <f t="shared" si="9026"/>
        <v>0</v>
      </c>
      <c r="P4721" s="1" t="str">
        <f t="shared" si="9026"/>
        <v>0</v>
      </c>
      <c r="Q4721" s="1" t="str">
        <f t="shared" si="8936"/>
        <v>0.0070</v>
      </c>
      <c r="R4721" s="1" t="s">
        <v>25</v>
      </c>
      <c r="T4721" s="1" t="str">
        <f t="shared" si="8937"/>
        <v>0</v>
      </c>
      <c r="U4721" s="1" t="str">
        <f t="shared" si="9025"/>
        <v>0.0070</v>
      </c>
    </row>
    <row r="4722" s="1" customFormat="1" spans="1:21">
      <c r="A4722" s="1" t="str">
        <f>"4601992136323"</f>
        <v>4601992136323</v>
      </c>
      <c r="B4722" s="1" t="s">
        <v>4745</v>
      </c>
      <c r="C4722" s="1" t="s">
        <v>24</v>
      </c>
      <c r="D4722" s="1" t="str">
        <f t="shared" si="8933"/>
        <v>2021</v>
      </c>
      <c r="E4722" s="1" t="str">
        <f>"11.98"</f>
        <v>11.98</v>
      </c>
      <c r="F4722" s="1" t="str">
        <f t="shared" ref="F4722:I4722" si="9027">"0"</f>
        <v>0</v>
      </c>
      <c r="G4722" s="1" t="str">
        <f t="shared" si="9027"/>
        <v>0</v>
      </c>
      <c r="H4722" s="1" t="str">
        <f t="shared" si="9027"/>
        <v>0</v>
      </c>
      <c r="I4722" s="1" t="str">
        <f t="shared" si="9027"/>
        <v>0</v>
      </c>
      <c r="J4722" s="1" t="str">
        <f>"1"</f>
        <v>1</v>
      </c>
      <c r="K4722" s="1" t="str">
        <f t="shared" ref="K4722:P4722" si="9028">"0"</f>
        <v>0</v>
      </c>
      <c r="L4722" s="1" t="str">
        <f t="shared" si="9028"/>
        <v>0</v>
      </c>
      <c r="M4722" s="1" t="str">
        <f t="shared" si="9028"/>
        <v>0</v>
      </c>
      <c r="N4722" s="1" t="str">
        <f t="shared" si="9028"/>
        <v>0</v>
      </c>
      <c r="O4722" s="1" t="str">
        <f t="shared" si="9028"/>
        <v>0</v>
      </c>
      <c r="P4722" s="1" t="str">
        <f t="shared" si="9028"/>
        <v>0</v>
      </c>
      <c r="Q4722" s="1" t="str">
        <f t="shared" si="8936"/>
        <v>0.0070</v>
      </c>
      <c r="R4722" s="1" t="s">
        <v>29</v>
      </c>
      <c r="S4722" s="1">
        <v>-0.0014</v>
      </c>
      <c r="T4722" s="1" t="str">
        <f t="shared" si="8937"/>
        <v>0</v>
      </c>
      <c r="U4722" s="1" t="str">
        <f>"0.0056"</f>
        <v>0.0056</v>
      </c>
    </row>
    <row r="4723" s="1" customFormat="1" spans="1:21">
      <c r="A4723" s="1" t="str">
        <f>"4601992136562"</f>
        <v>4601992136562</v>
      </c>
      <c r="B4723" s="1" t="s">
        <v>4746</v>
      </c>
      <c r="C4723" s="1" t="s">
        <v>24</v>
      </c>
      <c r="D4723" s="1" t="str">
        <f t="shared" si="8933"/>
        <v>2021</v>
      </c>
      <c r="E4723" s="1" t="str">
        <f t="shared" ref="E4723:P4723" si="9029">"0"</f>
        <v>0</v>
      </c>
      <c r="F4723" s="1" t="str">
        <f t="shared" si="9029"/>
        <v>0</v>
      </c>
      <c r="G4723" s="1" t="str">
        <f t="shared" si="9029"/>
        <v>0</v>
      </c>
      <c r="H4723" s="1" t="str">
        <f t="shared" si="9029"/>
        <v>0</v>
      </c>
      <c r="I4723" s="1" t="str">
        <f t="shared" si="9029"/>
        <v>0</v>
      </c>
      <c r="J4723" s="1" t="str">
        <f t="shared" si="9029"/>
        <v>0</v>
      </c>
      <c r="K4723" s="1" t="str">
        <f t="shared" si="9029"/>
        <v>0</v>
      </c>
      <c r="L4723" s="1" t="str">
        <f t="shared" si="9029"/>
        <v>0</v>
      </c>
      <c r="M4723" s="1" t="str">
        <f t="shared" si="9029"/>
        <v>0</v>
      </c>
      <c r="N4723" s="1" t="str">
        <f t="shared" si="9029"/>
        <v>0</v>
      </c>
      <c r="O4723" s="1" t="str">
        <f t="shared" si="9029"/>
        <v>0</v>
      </c>
      <c r="P4723" s="1" t="str">
        <f t="shared" si="9029"/>
        <v>0</v>
      </c>
      <c r="Q4723" s="1" t="str">
        <f t="shared" si="8936"/>
        <v>0.0070</v>
      </c>
      <c r="R4723" s="1" t="s">
        <v>25</v>
      </c>
      <c r="T4723" s="1" t="str">
        <f t="shared" si="8937"/>
        <v>0</v>
      </c>
      <c r="U4723" s="1" t="str">
        <f t="shared" si="9025"/>
        <v>0.0070</v>
      </c>
    </row>
    <row r="4724" s="1" customFormat="1" spans="1:21">
      <c r="A4724" s="1" t="str">
        <f>"4601992136715"</f>
        <v>4601992136715</v>
      </c>
      <c r="B4724" s="1" t="s">
        <v>4747</v>
      </c>
      <c r="C4724" s="1" t="s">
        <v>24</v>
      </c>
      <c r="D4724" s="1" t="str">
        <f t="shared" si="8933"/>
        <v>2021</v>
      </c>
      <c r="E4724" s="1" t="str">
        <f t="shared" ref="E4724:P4724" si="9030">"0"</f>
        <v>0</v>
      </c>
      <c r="F4724" s="1" t="str">
        <f t="shared" si="9030"/>
        <v>0</v>
      </c>
      <c r="G4724" s="1" t="str">
        <f t="shared" si="9030"/>
        <v>0</v>
      </c>
      <c r="H4724" s="1" t="str">
        <f t="shared" si="9030"/>
        <v>0</v>
      </c>
      <c r="I4724" s="1" t="str">
        <f t="shared" si="9030"/>
        <v>0</v>
      </c>
      <c r="J4724" s="1" t="str">
        <f t="shared" si="9030"/>
        <v>0</v>
      </c>
      <c r="K4724" s="1" t="str">
        <f t="shared" si="9030"/>
        <v>0</v>
      </c>
      <c r="L4724" s="1" t="str">
        <f t="shared" si="9030"/>
        <v>0</v>
      </c>
      <c r="M4724" s="1" t="str">
        <f t="shared" si="9030"/>
        <v>0</v>
      </c>
      <c r="N4724" s="1" t="str">
        <f t="shared" si="9030"/>
        <v>0</v>
      </c>
      <c r="O4724" s="1" t="str">
        <f t="shared" si="9030"/>
        <v>0</v>
      </c>
      <c r="P4724" s="1" t="str">
        <f t="shared" si="9030"/>
        <v>0</v>
      </c>
      <c r="Q4724" s="1" t="str">
        <f t="shared" si="8936"/>
        <v>0.0070</v>
      </c>
      <c r="R4724" s="1" t="s">
        <v>25</v>
      </c>
      <c r="T4724" s="1" t="str">
        <f t="shared" si="8937"/>
        <v>0</v>
      </c>
      <c r="U4724" s="1" t="str">
        <f t="shared" si="9025"/>
        <v>0.0070</v>
      </c>
    </row>
    <row r="4725" s="1" customFormat="1" spans="1:21">
      <c r="A4725" s="1" t="str">
        <f>"4601992136851"</f>
        <v>4601992136851</v>
      </c>
      <c r="B4725" s="1" t="s">
        <v>4748</v>
      </c>
      <c r="C4725" s="1" t="s">
        <v>24</v>
      </c>
      <c r="D4725" s="1" t="str">
        <f t="shared" si="8933"/>
        <v>2021</v>
      </c>
      <c r="E4725" s="1" t="str">
        <f t="shared" ref="E4725:P4725" si="9031">"0"</f>
        <v>0</v>
      </c>
      <c r="F4725" s="1" t="str">
        <f t="shared" si="9031"/>
        <v>0</v>
      </c>
      <c r="G4725" s="1" t="str">
        <f t="shared" si="9031"/>
        <v>0</v>
      </c>
      <c r="H4725" s="1" t="str">
        <f t="shared" si="9031"/>
        <v>0</v>
      </c>
      <c r="I4725" s="1" t="str">
        <f t="shared" si="9031"/>
        <v>0</v>
      </c>
      <c r="J4725" s="1" t="str">
        <f t="shared" si="9031"/>
        <v>0</v>
      </c>
      <c r="K4725" s="1" t="str">
        <f t="shared" si="9031"/>
        <v>0</v>
      </c>
      <c r="L4725" s="1" t="str">
        <f t="shared" si="9031"/>
        <v>0</v>
      </c>
      <c r="M4725" s="1" t="str">
        <f t="shared" si="9031"/>
        <v>0</v>
      </c>
      <c r="N4725" s="1" t="str">
        <f t="shared" si="9031"/>
        <v>0</v>
      </c>
      <c r="O4725" s="1" t="str">
        <f t="shared" si="9031"/>
        <v>0</v>
      </c>
      <c r="P4725" s="1" t="str">
        <f t="shared" si="9031"/>
        <v>0</v>
      </c>
      <c r="Q4725" s="1" t="str">
        <f t="shared" si="8936"/>
        <v>0.0070</v>
      </c>
      <c r="R4725" s="1" t="s">
        <v>25</v>
      </c>
      <c r="T4725" s="1" t="str">
        <f t="shared" si="8937"/>
        <v>0</v>
      </c>
      <c r="U4725" s="1" t="str">
        <f t="shared" si="9025"/>
        <v>0.0070</v>
      </c>
    </row>
    <row r="4726" s="1" customFormat="1" spans="1:21">
      <c r="A4726" s="1" t="str">
        <f>"4601992136910"</f>
        <v>4601992136910</v>
      </c>
      <c r="B4726" s="1" t="s">
        <v>4749</v>
      </c>
      <c r="C4726" s="1" t="s">
        <v>24</v>
      </c>
      <c r="D4726" s="1" t="str">
        <f t="shared" si="8933"/>
        <v>2021</v>
      </c>
      <c r="E4726" s="1" t="str">
        <f t="shared" ref="E4726:P4726" si="9032">"0"</f>
        <v>0</v>
      </c>
      <c r="F4726" s="1" t="str">
        <f t="shared" si="9032"/>
        <v>0</v>
      </c>
      <c r="G4726" s="1" t="str">
        <f t="shared" si="9032"/>
        <v>0</v>
      </c>
      <c r="H4726" s="1" t="str">
        <f t="shared" si="9032"/>
        <v>0</v>
      </c>
      <c r="I4726" s="1" t="str">
        <f t="shared" si="9032"/>
        <v>0</v>
      </c>
      <c r="J4726" s="1" t="str">
        <f t="shared" si="9032"/>
        <v>0</v>
      </c>
      <c r="K4726" s="1" t="str">
        <f t="shared" si="9032"/>
        <v>0</v>
      </c>
      <c r="L4726" s="1" t="str">
        <f t="shared" si="9032"/>
        <v>0</v>
      </c>
      <c r="M4726" s="1" t="str">
        <f t="shared" si="9032"/>
        <v>0</v>
      </c>
      <c r="N4726" s="1" t="str">
        <f t="shared" si="9032"/>
        <v>0</v>
      </c>
      <c r="O4726" s="1" t="str">
        <f t="shared" si="9032"/>
        <v>0</v>
      </c>
      <c r="P4726" s="1" t="str">
        <f t="shared" si="9032"/>
        <v>0</v>
      </c>
      <c r="Q4726" s="1" t="str">
        <f t="shared" si="8936"/>
        <v>0.0070</v>
      </c>
      <c r="R4726" s="1" t="s">
        <v>25</v>
      </c>
      <c r="T4726" s="1" t="str">
        <f t="shared" si="8937"/>
        <v>0</v>
      </c>
      <c r="U4726" s="1" t="str">
        <f t="shared" si="9025"/>
        <v>0.0070</v>
      </c>
    </row>
    <row r="4727" s="1" customFormat="1" spans="1:21">
      <c r="A4727" s="1" t="str">
        <f>"4601992136961"</f>
        <v>4601992136961</v>
      </c>
      <c r="B4727" s="1" t="s">
        <v>4750</v>
      </c>
      <c r="C4727" s="1" t="s">
        <v>24</v>
      </c>
      <c r="D4727" s="1" t="str">
        <f t="shared" si="8933"/>
        <v>2021</v>
      </c>
      <c r="E4727" s="1" t="str">
        <f t="shared" ref="E4727:P4727" si="9033">"0"</f>
        <v>0</v>
      </c>
      <c r="F4727" s="1" t="str">
        <f t="shared" si="9033"/>
        <v>0</v>
      </c>
      <c r="G4727" s="1" t="str">
        <f t="shared" si="9033"/>
        <v>0</v>
      </c>
      <c r="H4727" s="1" t="str">
        <f t="shared" si="9033"/>
        <v>0</v>
      </c>
      <c r="I4727" s="1" t="str">
        <f t="shared" si="9033"/>
        <v>0</v>
      </c>
      <c r="J4727" s="1" t="str">
        <f t="shared" si="9033"/>
        <v>0</v>
      </c>
      <c r="K4727" s="1" t="str">
        <f t="shared" si="9033"/>
        <v>0</v>
      </c>
      <c r="L4727" s="1" t="str">
        <f t="shared" si="9033"/>
        <v>0</v>
      </c>
      <c r="M4727" s="1" t="str">
        <f t="shared" si="9033"/>
        <v>0</v>
      </c>
      <c r="N4727" s="1" t="str">
        <f t="shared" si="9033"/>
        <v>0</v>
      </c>
      <c r="O4727" s="1" t="str">
        <f t="shared" si="9033"/>
        <v>0</v>
      </c>
      <c r="P4727" s="1" t="str">
        <f t="shared" si="9033"/>
        <v>0</v>
      </c>
      <c r="Q4727" s="1" t="str">
        <f t="shared" si="8936"/>
        <v>0.0070</v>
      </c>
      <c r="R4727" s="1" t="s">
        <v>25</v>
      </c>
      <c r="T4727" s="1" t="str">
        <f t="shared" si="8937"/>
        <v>0</v>
      </c>
      <c r="U4727" s="1" t="str">
        <f t="shared" si="9025"/>
        <v>0.0070</v>
      </c>
    </row>
    <row r="4728" s="1" customFormat="1" spans="1:21">
      <c r="A4728" s="1" t="str">
        <f>"4601992136985"</f>
        <v>4601992136985</v>
      </c>
      <c r="B4728" s="1" t="s">
        <v>4751</v>
      </c>
      <c r="C4728" s="1" t="s">
        <v>24</v>
      </c>
      <c r="D4728" s="1" t="str">
        <f t="shared" si="8933"/>
        <v>2021</v>
      </c>
      <c r="E4728" s="1" t="str">
        <f t="shared" ref="E4728:P4728" si="9034">"0"</f>
        <v>0</v>
      </c>
      <c r="F4728" s="1" t="str">
        <f t="shared" si="9034"/>
        <v>0</v>
      </c>
      <c r="G4728" s="1" t="str">
        <f t="shared" si="9034"/>
        <v>0</v>
      </c>
      <c r="H4728" s="1" t="str">
        <f t="shared" si="9034"/>
        <v>0</v>
      </c>
      <c r="I4728" s="1" t="str">
        <f t="shared" si="9034"/>
        <v>0</v>
      </c>
      <c r="J4728" s="1" t="str">
        <f t="shared" si="9034"/>
        <v>0</v>
      </c>
      <c r="K4728" s="1" t="str">
        <f t="shared" si="9034"/>
        <v>0</v>
      </c>
      <c r="L4728" s="1" t="str">
        <f t="shared" si="9034"/>
        <v>0</v>
      </c>
      <c r="M4728" s="1" t="str">
        <f t="shared" si="9034"/>
        <v>0</v>
      </c>
      <c r="N4728" s="1" t="str">
        <f t="shared" si="9034"/>
        <v>0</v>
      </c>
      <c r="O4728" s="1" t="str">
        <f t="shared" si="9034"/>
        <v>0</v>
      </c>
      <c r="P4728" s="1" t="str">
        <f t="shared" si="9034"/>
        <v>0</v>
      </c>
      <c r="Q4728" s="1" t="str">
        <f t="shared" si="8936"/>
        <v>0.0070</v>
      </c>
      <c r="R4728" s="1" t="s">
        <v>25</v>
      </c>
      <c r="T4728" s="1" t="str">
        <f t="shared" si="8937"/>
        <v>0</v>
      </c>
      <c r="U4728" s="1" t="str">
        <f t="shared" si="9025"/>
        <v>0.0070</v>
      </c>
    </row>
    <row r="4729" s="1" customFormat="1" spans="1:21">
      <c r="A4729" s="1" t="str">
        <f>"4601992136772"</f>
        <v>4601992136772</v>
      </c>
      <c r="B4729" s="1" t="s">
        <v>4752</v>
      </c>
      <c r="C4729" s="1" t="s">
        <v>24</v>
      </c>
      <c r="D4729" s="1" t="str">
        <f t="shared" si="8933"/>
        <v>2021</v>
      </c>
      <c r="E4729" s="1" t="str">
        <f t="shared" ref="E4729:I4729" si="9035">"0"</f>
        <v>0</v>
      </c>
      <c r="F4729" s="1" t="str">
        <f t="shared" si="9035"/>
        <v>0</v>
      </c>
      <c r="G4729" s="1" t="str">
        <f t="shared" si="9035"/>
        <v>0</v>
      </c>
      <c r="H4729" s="1" t="str">
        <f t="shared" si="9035"/>
        <v>0</v>
      </c>
      <c r="I4729" s="1" t="str">
        <f t="shared" si="9035"/>
        <v>0</v>
      </c>
      <c r="J4729" s="1" t="str">
        <f>"4"</f>
        <v>4</v>
      </c>
      <c r="K4729" s="1" t="str">
        <f t="shared" ref="K4729:P4729" si="9036">"0"</f>
        <v>0</v>
      </c>
      <c r="L4729" s="1" t="str">
        <f t="shared" si="9036"/>
        <v>0</v>
      </c>
      <c r="M4729" s="1" t="str">
        <f t="shared" si="9036"/>
        <v>0</v>
      </c>
      <c r="N4729" s="1" t="str">
        <f t="shared" si="9036"/>
        <v>0</v>
      </c>
      <c r="O4729" s="1" t="str">
        <f t="shared" si="9036"/>
        <v>0</v>
      </c>
      <c r="P4729" s="1" t="str">
        <f t="shared" si="9036"/>
        <v>0</v>
      </c>
      <c r="Q4729" s="1" t="str">
        <f t="shared" si="8936"/>
        <v>0.0070</v>
      </c>
      <c r="R4729" s="1" t="s">
        <v>25</v>
      </c>
      <c r="T4729" s="1" t="str">
        <f t="shared" si="8937"/>
        <v>0</v>
      </c>
      <c r="U4729" s="1" t="str">
        <f t="shared" si="9025"/>
        <v>0.0070</v>
      </c>
    </row>
    <row r="4730" s="1" customFormat="1" spans="1:21">
      <c r="A4730" s="1" t="str">
        <f>"4601992137067"</f>
        <v>4601992137067</v>
      </c>
      <c r="B4730" s="1" t="s">
        <v>4753</v>
      </c>
      <c r="C4730" s="1" t="s">
        <v>24</v>
      </c>
      <c r="D4730" s="1" t="str">
        <f t="shared" si="8933"/>
        <v>2021</v>
      </c>
      <c r="E4730" s="1" t="str">
        <f t="shared" ref="E4730:P4730" si="9037">"0"</f>
        <v>0</v>
      </c>
      <c r="F4730" s="1" t="str">
        <f t="shared" si="9037"/>
        <v>0</v>
      </c>
      <c r="G4730" s="1" t="str">
        <f t="shared" si="9037"/>
        <v>0</v>
      </c>
      <c r="H4730" s="1" t="str">
        <f t="shared" si="9037"/>
        <v>0</v>
      </c>
      <c r="I4730" s="1" t="str">
        <f t="shared" si="9037"/>
        <v>0</v>
      </c>
      <c r="J4730" s="1" t="str">
        <f t="shared" si="9037"/>
        <v>0</v>
      </c>
      <c r="K4730" s="1" t="str">
        <f t="shared" si="9037"/>
        <v>0</v>
      </c>
      <c r="L4730" s="1" t="str">
        <f t="shared" si="9037"/>
        <v>0</v>
      </c>
      <c r="M4730" s="1" t="str">
        <f t="shared" si="9037"/>
        <v>0</v>
      </c>
      <c r="N4730" s="1" t="str">
        <f t="shared" si="9037"/>
        <v>0</v>
      </c>
      <c r="O4730" s="1" t="str">
        <f t="shared" si="9037"/>
        <v>0</v>
      </c>
      <c r="P4730" s="1" t="str">
        <f t="shared" si="9037"/>
        <v>0</v>
      </c>
      <c r="Q4730" s="1" t="str">
        <f t="shared" si="8936"/>
        <v>0.0070</v>
      </c>
      <c r="R4730" s="1" t="s">
        <v>25</v>
      </c>
      <c r="T4730" s="1" t="str">
        <f t="shared" si="8937"/>
        <v>0</v>
      </c>
      <c r="U4730" s="1" t="str">
        <f t="shared" si="9025"/>
        <v>0.0070</v>
      </c>
    </row>
    <row r="4731" s="1" customFormat="1" spans="1:21">
      <c r="A4731" s="1" t="str">
        <f>"4601992137157"</f>
        <v>4601992137157</v>
      </c>
      <c r="B4731" s="1" t="s">
        <v>4754</v>
      </c>
      <c r="C4731" s="1" t="s">
        <v>24</v>
      </c>
      <c r="D4731" s="1" t="str">
        <f t="shared" si="8933"/>
        <v>2021</v>
      </c>
      <c r="E4731" s="1" t="str">
        <f t="shared" ref="E4731:P4731" si="9038">"0"</f>
        <v>0</v>
      </c>
      <c r="F4731" s="1" t="str">
        <f t="shared" si="9038"/>
        <v>0</v>
      </c>
      <c r="G4731" s="1" t="str">
        <f t="shared" si="9038"/>
        <v>0</v>
      </c>
      <c r="H4731" s="1" t="str">
        <f t="shared" si="9038"/>
        <v>0</v>
      </c>
      <c r="I4731" s="1" t="str">
        <f t="shared" si="9038"/>
        <v>0</v>
      </c>
      <c r="J4731" s="1" t="str">
        <f t="shared" si="9038"/>
        <v>0</v>
      </c>
      <c r="K4731" s="1" t="str">
        <f t="shared" si="9038"/>
        <v>0</v>
      </c>
      <c r="L4731" s="1" t="str">
        <f t="shared" si="9038"/>
        <v>0</v>
      </c>
      <c r="M4731" s="1" t="str">
        <f t="shared" si="9038"/>
        <v>0</v>
      </c>
      <c r="N4731" s="1" t="str">
        <f t="shared" si="9038"/>
        <v>0</v>
      </c>
      <c r="O4731" s="1" t="str">
        <f t="shared" si="9038"/>
        <v>0</v>
      </c>
      <c r="P4731" s="1" t="str">
        <f t="shared" si="9038"/>
        <v>0</v>
      </c>
      <c r="Q4731" s="1" t="str">
        <f t="shared" si="8936"/>
        <v>0.0070</v>
      </c>
      <c r="R4731" s="1" t="s">
        <v>25</v>
      </c>
      <c r="T4731" s="1" t="str">
        <f t="shared" si="8937"/>
        <v>0</v>
      </c>
      <c r="U4731" s="1" t="str">
        <f t="shared" si="9025"/>
        <v>0.0070</v>
      </c>
    </row>
    <row r="4732" s="1" customFormat="1" spans="1:21">
      <c r="A4732" s="1" t="str">
        <f>"4601992137130"</f>
        <v>4601992137130</v>
      </c>
      <c r="B4732" s="1" t="s">
        <v>4755</v>
      </c>
      <c r="C4732" s="1" t="s">
        <v>24</v>
      </c>
      <c r="D4732" s="1" t="str">
        <f t="shared" si="8933"/>
        <v>2021</v>
      </c>
      <c r="E4732" s="1" t="str">
        <f t="shared" ref="E4732:P4732" si="9039">"0"</f>
        <v>0</v>
      </c>
      <c r="F4732" s="1" t="str">
        <f t="shared" si="9039"/>
        <v>0</v>
      </c>
      <c r="G4732" s="1" t="str">
        <f t="shared" si="9039"/>
        <v>0</v>
      </c>
      <c r="H4732" s="1" t="str">
        <f t="shared" si="9039"/>
        <v>0</v>
      </c>
      <c r="I4732" s="1" t="str">
        <f t="shared" si="9039"/>
        <v>0</v>
      </c>
      <c r="J4732" s="1" t="str">
        <f t="shared" si="9039"/>
        <v>0</v>
      </c>
      <c r="K4732" s="1" t="str">
        <f t="shared" si="9039"/>
        <v>0</v>
      </c>
      <c r="L4732" s="1" t="str">
        <f t="shared" si="9039"/>
        <v>0</v>
      </c>
      <c r="M4732" s="1" t="str">
        <f t="shared" si="9039"/>
        <v>0</v>
      </c>
      <c r="N4732" s="1" t="str">
        <f t="shared" si="9039"/>
        <v>0</v>
      </c>
      <c r="O4732" s="1" t="str">
        <f t="shared" si="9039"/>
        <v>0</v>
      </c>
      <c r="P4732" s="1" t="str">
        <f t="shared" si="9039"/>
        <v>0</v>
      </c>
      <c r="Q4732" s="1" t="str">
        <f t="shared" si="8936"/>
        <v>0.0070</v>
      </c>
      <c r="R4732" s="1" t="s">
        <v>25</v>
      </c>
      <c r="T4732" s="1" t="str">
        <f t="shared" si="8937"/>
        <v>0</v>
      </c>
      <c r="U4732" s="1" t="str">
        <f t="shared" si="9025"/>
        <v>0.0070</v>
      </c>
    </row>
    <row r="4733" s="1" customFormat="1" spans="1:21">
      <c r="A4733" s="1" t="str">
        <f>"4601992137377"</f>
        <v>4601992137377</v>
      </c>
      <c r="B4733" s="1" t="s">
        <v>4756</v>
      </c>
      <c r="C4733" s="1" t="s">
        <v>24</v>
      </c>
      <c r="D4733" s="1" t="str">
        <f t="shared" si="8933"/>
        <v>2021</v>
      </c>
      <c r="E4733" s="1" t="str">
        <f t="shared" ref="E4733:P4733" si="9040">"0"</f>
        <v>0</v>
      </c>
      <c r="F4733" s="1" t="str">
        <f t="shared" si="9040"/>
        <v>0</v>
      </c>
      <c r="G4733" s="1" t="str">
        <f t="shared" si="9040"/>
        <v>0</v>
      </c>
      <c r="H4733" s="1" t="str">
        <f t="shared" si="9040"/>
        <v>0</v>
      </c>
      <c r="I4733" s="1" t="str">
        <f t="shared" si="9040"/>
        <v>0</v>
      </c>
      <c r="J4733" s="1" t="str">
        <f t="shared" si="9040"/>
        <v>0</v>
      </c>
      <c r="K4733" s="1" t="str">
        <f t="shared" si="9040"/>
        <v>0</v>
      </c>
      <c r="L4733" s="1" t="str">
        <f t="shared" si="9040"/>
        <v>0</v>
      </c>
      <c r="M4733" s="1" t="str">
        <f t="shared" si="9040"/>
        <v>0</v>
      </c>
      <c r="N4733" s="1" t="str">
        <f t="shared" si="9040"/>
        <v>0</v>
      </c>
      <c r="O4733" s="1" t="str">
        <f t="shared" si="9040"/>
        <v>0</v>
      </c>
      <c r="P4733" s="1" t="str">
        <f t="shared" si="9040"/>
        <v>0</v>
      </c>
      <c r="Q4733" s="1" t="str">
        <f t="shared" si="8936"/>
        <v>0.0070</v>
      </c>
      <c r="R4733" s="1" t="s">
        <v>25</v>
      </c>
      <c r="T4733" s="1" t="str">
        <f t="shared" si="8937"/>
        <v>0</v>
      </c>
      <c r="U4733" s="1" t="str">
        <f t="shared" si="9025"/>
        <v>0.0070</v>
      </c>
    </row>
    <row r="4734" s="1" customFormat="1" spans="1:21">
      <c r="A4734" s="1" t="str">
        <f>"4601992137503"</f>
        <v>4601992137503</v>
      </c>
      <c r="B4734" s="1" t="s">
        <v>4757</v>
      </c>
      <c r="C4734" s="1" t="s">
        <v>24</v>
      </c>
      <c r="D4734" s="1" t="str">
        <f t="shared" si="8933"/>
        <v>2021</v>
      </c>
      <c r="E4734" s="1" t="str">
        <f t="shared" ref="E4734:P4734" si="9041">"0"</f>
        <v>0</v>
      </c>
      <c r="F4734" s="1" t="str">
        <f t="shared" si="9041"/>
        <v>0</v>
      </c>
      <c r="G4734" s="1" t="str">
        <f t="shared" si="9041"/>
        <v>0</v>
      </c>
      <c r="H4734" s="1" t="str">
        <f t="shared" si="9041"/>
        <v>0</v>
      </c>
      <c r="I4734" s="1" t="str">
        <f t="shared" si="9041"/>
        <v>0</v>
      </c>
      <c r="J4734" s="1" t="str">
        <f t="shared" si="9041"/>
        <v>0</v>
      </c>
      <c r="K4734" s="1" t="str">
        <f t="shared" si="9041"/>
        <v>0</v>
      </c>
      <c r="L4734" s="1" t="str">
        <f t="shared" si="9041"/>
        <v>0</v>
      </c>
      <c r="M4734" s="1" t="str">
        <f t="shared" si="9041"/>
        <v>0</v>
      </c>
      <c r="N4734" s="1" t="str">
        <f t="shared" si="9041"/>
        <v>0</v>
      </c>
      <c r="O4734" s="1" t="str">
        <f t="shared" si="9041"/>
        <v>0</v>
      </c>
      <c r="P4734" s="1" t="str">
        <f t="shared" si="9041"/>
        <v>0</v>
      </c>
      <c r="Q4734" s="1" t="str">
        <f t="shared" si="8936"/>
        <v>0.0070</v>
      </c>
      <c r="R4734" s="1" t="s">
        <v>25</v>
      </c>
      <c r="T4734" s="1" t="str">
        <f t="shared" si="8937"/>
        <v>0</v>
      </c>
      <c r="U4734" s="1" t="str">
        <f t="shared" si="9025"/>
        <v>0.0070</v>
      </c>
    </row>
    <row r="4735" s="1" customFormat="1" spans="1:21">
      <c r="A4735" s="1" t="str">
        <f>"4601992137065"</f>
        <v>4601992137065</v>
      </c>
      <c r="B4735" s="1" t="s">
        <v>4758</v>
      </c>
      <c r="C4735" s="1" t="s">
        <v>24</v>
      </c>
      <c r="D4735" s="1" t="str">
        <f t="shared" si="8933"/>
        <v>2021</v>
      </c>
      <c r="E4735" s="1" t="str">
        <f>"12.53"</f>
        <v>12.53</v>
      </c>
      <c r="F4735" s="1" t="str">
        <f t="shared" ref="F4735:I4735" si="9042">"0"</f>
        <v>0</v>
      </c>
      <c r="G4735" s="1" t="str">
        <f t="shared" si="9042"/>
        <v>0</v>
      </c>
      <c r="H4735" s="1" t="str">
        <f t="shared" si="9042"/>
        <v>0</v>
      </c>
      <c r="I4735" s="1" t="str">
        <f t="shared" si="9042"/>
        <v>0</v>
      </c>
      <c r="J4735" s="1" t="str">
        <f>"1"</f>
        <v>1</v>
      </c>
      <c r="K4735" s="1" t="str">
        <f t="shared" ref="K4735:P4735" si="9043">"0"</f>
        <v>0</v>
      </c>
      <c r="L4735" s="1" t="str">
        <f t="shared" si="9043"/>
        <v>0</v>
      </c>
      <c r="M4735" s="1" t="str">
        <f t="shared" si="9043"/>
        <v>0</v>
      </c>
      <c r="N4735" s="1" t="str">
        <f t="shared" si="9043"/>
        <v>0</v>
      </c>
      <c r="O4735" s="1" t="str">
        <f t="shared" si="9043"/>
        <v>0</v>
      </c>
      <c r="P4735" s="1" t="str">
        <f t="shared" si="9043"/>
        <v>0</v>
      </c>
      <c r="Q4735" s="1" t="str">
        <f t="shared" si="8936"/>
        <v>0.0070</v>
      </c>
      <c r="R4735" s="1" t="s">
        <v>29</v>
      </c>
      <c r="S4735" s="1">
        <v>-0.0014</v>
      </c>
      <c r="T4735" s="1" t="str">
        <f t="shared" si="8937"/>
        <v>0</v>
      </c>
      <c r="U4735" s="1" t="str">
        <f>"0.0056"</f>
        <v>0.0056</v>
      </c>
    </row>
    <row r="4736" s="1" customFormat="1" spans="1:21">
      <c r="A4736" s="1" t="str">
        <f>"4601992137549"</f>
        <v>4601992137549</v>
      </c>
      <c r="B4736" s="1" t="s">
        <v>4759</v>
      </c>
      <c r="C4736" s="1" t="s">
        <v>24</v>
      </c>
      <c r="D4736" s="1" t="str">
        <f t="shared" si="8933"/>
        <v>2021</v>
      </c>
      <c r="E4736" s="1" t="str">
        <f t="shared" ref="E4736:P4736" si="9044">"0"</f>
        <v>0</v>
      </c>
      <c r="F4736" s="1" t="str">
        <f t="shared" si="9044"/>
        <v>0</v>
      </c>
      <c r="G4736" s="1" t="str">
        <f t="shared" si="9044"/>
        <v>0</v>
      </c>
      <c r="H4736" s="1" t="str">
        <f t="shared" si="9044"/>
        <v>0</v>
      </c>
      <c r="I4736" s="1" t="str">
        <f t="shared" si="9044"/>
        <v>0</v>
      </c>
      <c r="J4736" s="1" t="str">
        <f t="shared" si="9044"/>
        <v>0</v>
      </c>
      <c r="K4736" s="1" t="str">
        <f t="shared" si="9044"/>
        <v>0</v>
      </c>
      <c r="L4736" s="1" t="str">
        <f t="shared" si="9044"/>
        <v>0</v>
      </c>
      <c r="M4736" s="1" t="str">
        <f t="shared" si="9044"/>
        <v>0</v>
      </c>
      <c r="N4736" s="1" t="str">
        <f t="shared" si="9044"/>
        <v>0</v>
      </c>
      <c r="O4736" s="1" t="str">
        <f t="shared" si="9044"/>
        <v>0</v>
      </c>
      <c r="P4736" s="1" t="str">
        <f t="shared" si="9044"/>
        <v>0</v>
      </c>
      <c r="Q4736" s="1" t="str">
        <f t="shared" si="8936"/>
        <v>0.0070</v>
      </c>
      <c r="R4736" s="1" t="s">
        <v>25</v>
      </c>
      <c r="T4736" s="1" t="str">
        <f t="shared" si="8937"/>
        <v>0</v>
      </c>
      <c r="U4736" s="1" t="str">
        <f t="shared" ref="U4736:U4741" si="9045">"0.0070"</f>
        <v>0.0070</v>
      </c>
    </row>
    <row r="4737" s="1" customFormat="1" spans="1:21">
      <c r="A4737" s="1" t="str">
        <f>"4601992137558"</f>
        <v>4601992137558</v>
      </c>
      <c r="B4737" s="1" t="s">
        <v>4760</v>
      </c>
      <c r="C4737" s="1" t="s">
        <v>24</v>
      </c>
      <c r="D4737" s="1" t="str">
        <f t="shared" si="8933"/>
        <v>2021</v>
      </c>
      <c r="E4737" s="1" t="str">
        <f t="shared" ref="E4737:P4737" si="9046">"0"</f>
        <v>0</v>
      </c>
      <c r="F4737" s="1" t="str">
        <f t="shared" si="9046"/>
        <v>0</v>
      </c>
      <c r="G4737" s="1" t="str">
        <f t="shared" si="9046"/>
        <v>0</v>
      </c>
      <c r="H4737" s="1" t="str">
        <f t="shared" si="9046"/>
        <v>0</v>
      </c>
      <c r="I4737" s="1" t="str">
        <f t="shared" si="9046"/>
        <v>0</v>
      </c>
      <c r="J4737" s="1" t="str">
        <f t="shared" si="9046"/>
        <v>0</v>
      </c>
      <c r="K4737" s="1" t="str">
        <f t="shared" si="9046"/>
        <v>0</v>
      </c>
      <c r="L4737" s="1" t="str">
        <f t="shared" si="9046"/>
        <v>0</v>
      </c>
      <c r="M4737" s="1" t="str">
        <f t="shared" si="9046"/>
        <v>0</v>
      </c>
      <c r="N4737" s="1" t="str">
        <f t="shared" si="9046"/>
        <v>0</v>
      </c>
      <c r="O4737" s="1" t="str">
        <f t="shared" si="9046"/>
        <v>0</v>
      </c>
      <c r="P4737" s="1" t="str">
        <f t="shared" si="9046"/>
        <v>0</v>
      </c>
      <c r="Q4737" s="1" t="str">
        <f t="shared" si="8936"/>
        <v>0.0070</v>
      </c>
      <c r="R4737" s="1" t="s">
        <v>25</v>
      </c>
      <c r="T4737" s="1" t="str">
        <f t="shared" si="8937"/>
        <v>0</v>
      </c>
      <c r="U4737" s="1" t="str">
        <f t="shared" si="9045"/>
        <v>0.0070</v>
      </c>
    </row>
    <row r="4738" s="1" customFormat="1" spans="1:21">
      <c r="A4738" s="1" t="str">
        <f>"4601992137587"</f>
        <v>4601992137587</v>
      </c>
      <c r="B4738" s="1" t="s">
        <v>4761</v>
      </c>
      <c r="C4738" s="1" t="s">
        <v>24</v>
      </c>
      <c r="D4738" s="1" t="str">
        <f t="shared" si="8933"/>
        <v>2021</v>
      </c>
      <c r="E4738" s="1" t="str">
        <f t="shared" ref="E4738:P4738" si="9047">"0"</f>
        <v>0</v>
      </c>
      <c r="F4738" s="1" t="str">
        <f t="shared" si="9047"/>
        <v>0</v>
      </c>
      <c r="G4738" s="1" t="str">
        <f t="shared" si="9047"/>
        <v>0</v>
      </c>
      <c r="H4738" s="1" t="str">
        <f t="shared" si="9047"/>
        <v>0</v>
      </c>
      <c r="I4738" s="1" t="str">
        <f t="shared" si="9047"/>
        <v>0</v>
      </c>
      <c r="J4738" s="1" t="str">
        <f t="shared" si="9047"/>
        <v>0</v>
      </c>
      <c r="K4738" s="1" t="str">
        <f t="shared" si="9047"/>
        <v>0</v>
      </c>
      <c r="L4738" s="1" t="str">
        <f t="shared" si="9047"/>
        <v>0</v>
      </c>
      <c r="M4738" s="1" t="str">
        <f t="shared" si="9047"/>
        <v>0</v>
      </c>
      <c r="N4738" s="1" t="str">
        <f t="shared" si="9047"/>
        <v>0</v>
      </c>
      <c r="O4738" s="1" t="str">
        <f t="shared" si="9047"/>
        <v>0</v>
      </c>
      <c r="P4738" s="1" t="str">
        <f t="shared" si="9047"/>
        <v>0</v>
      </c>
      <c r="Q4738" s="1" t="str">
        <f t="shared" si="8936"/>
        <v>0.0070</v>
      </c>
      <c r="R4738" s="1" t="s">
        <v>25</v>
      </c>
      <c r="T4738" s="1" t="str">
        <f t="shared" si="8937"/>
        <v>0</v>
      </c>
      <c r="U4738" s="1" t="str">
        <f t="shared" si="9045"/>
        <v>0.0070</v>
      </c>
    </row>
    <row r="4739" s="1" customFormat="1" spans="1:21">
      <c r="A4739" s="1" t="str">
        <f>"4601992137565"</f>
        <v>4601992137565</v>
      </c>
      <c r="B4739" s="1" t="s">
        <v>4762</v>
      </c>
      <c r="C4739" s="1" t="s">
        <v>24</v>
      </c>
      <c r="D4739" s="1" t="str">
        <f t="shared" ref="D4739:D4802" si="9048">"2021"</f>
        <v>2021</v>
      </c>
      <c r="E4739" s="1" t="str">
        <f t="shared" ref="E4739:P4739" si="9049">"0"</f>
        <v>0</v>
      </c>
      <c r="F4739" s="1" t="str">
        <f t="shared" si="9049"/>
        <v>0</v>
      </c>
      <c r="G4739" s="1" t="str">
        <f t="shared" si="9049"/>
        <v>0</v>
      </c>
      <c r="H4739" s="1" t="str">
        <f t="shared" si="9049"/>
        <v>0</v>
      </c>
      <c r="I4739" s="1" t="str">
        <f t="shared" si="9049"/>
        <v>0</v>
      </c>
      <c r="J4739" s="1" t="str">
        <f t="shared" si="9049"/>
        <v>0</v>
      </c>
      <c r="K4739" s="1" t="str">
        <f t="shared" si="9049"/>
        <v>0</v>
      </c>
      <c r="L4739" s="1" t="str">
        <f t="shared" si="9049"/>
        <v>0</v>
      </c>
      <c r="M4739" s="1" t="str">
        <f t="shared" si="9049"/>
        <v>0</v>
      </c>
      <c r="N4739" s="1" t="str">
        <f t="shared" si="9049"/>
        <v>0</v>
      </c>
      <c r="O4739" s="1" t="str">
        <f t="shared" si="9049"/>
        <v>0</v>
      </c>
      <c r="P4739" s="1" t="str">
        <f t="shared" si="9049"/>
        <v>0</v>
      </c>
      <c r="Q4739" s="1" t="str">
        <f t="shared" ref="Q4739:Q4802" si="9050">"0.0070"</f>
        <v>0.0070</v>
      </c>
      <c r="R4739" s="1" t="s">
        <v>25</v>
      </c>
      <c r="T4739" s="1" t="str">
        <f t="shared" ref="T4739:T4802" si="9051">"0"</f>
        <v>0</v>
      </c>
      <c r="U4739" s="1" t="str">
        <f t="shared" si="9045"/>
        <v>0.0070</v>
      </c>
    </row>
    <row r="4740" s="1" customFormat="1" spans="1:21">
      <c r="A4740" s="1" t="str">
        <f>"4601992137648"</f>
        <v>4601992137648</v>
      </c>
      <c r="B4740" s="1" t="s">
        <v>4763</v>
      </c>
      <c r="C4740" s="1" t="s">
        <v>24</v>
      </c>
      <c r="D4740" s="1" t="str">
        <f t="shared" si="9048"/>
        <v>2021</v>
      </c>
      <c r="E4740" s="1" t="str">
        <f t="shared" ref="E4740:P4740" si="9052">"0"</f>
        <v>0</v>
      </c>
      <c r="F4740" s="1" t="str">
        <f t="shared" si="9052"/>
        <v>0</v>
      </c>
      <c r="G4740" s="1" t="str">
        <f t="shared" si="9052"/>
        <v>0</v>
      </c>
      <c r="H4740" s="1" t="str">
        <f t="shared" si="9052"/>
        <v>0</v>
      </c>
      <c r="I4740" s="1" t="str">
        <f t="shared" si="9052"/>
        <v>0</v>
      </c>
      <c r="J4740" s="1" t="str">
        <f t="shared" si="9052"/>
        <v>0</v>
      </c>
      <c r="K4740" s="1" t="str">
        <f t="shared" si="9052"/>
        <v>0</v>
      </c>
      <c r="L4740" s="1" t="str">
        <f t="shared" si="9052"/>
        <v>0</v>
      </c>
      <c r="M4740" s="1" t="str">
        <f t="shared" si="9052"/>
        <v>0</v>
      </c>
      <c r="N4740" s="1" t="str">
        <f t="shared" si="9052"/>
        <v>0</v>
      </c>
      <c r="O4740" s="1" t="str">
        <f t="shared" si="9052"/>
        <v>0</v>
      </c>
      <c r="P4740" s="1" t="str">
        <f t="shared" si="9052"/>
        <v>0</v>
      </c>
      <c r="Q4740" s="1" t="str">
        <f t="shared" si="9050"/>
        <v>0.0070</v>
      </c>
      <c r="R4740" s="1" t="s">
        <v>25</v>
      </c>
      <c r="T4740" s="1" t="str">
        <f t="shared" si="9051"/>
        <v>0</v>
      </c>
      <c r="U4740" s="1" t="str">
        <f t="shared" si="9045"/>
        <v>0.0070</v>
      </c>
    </row>
    <row r="4741" s="1" customFormat="1" spans="1:21">
      <c r="A4741" s="1" t="str">
        <f>"4601992137766"</f>
        <v>4601992137766</v>
      </c>
      <c r="B4741" s="1" t="s">
        <v>4764</v>
      </c>
      <c r="C4741" s="1" t="s">
        <v>24</v>
      </c>
      <c r="D4741" s="1" t="str">
        <f t="shared" si="9048"/>
        <v>2021</v>
      </c>
      <c r="E4741" s="1" t="str">
        <f t="shared" ref="E4741:P4741" si="9053">"0"</f>
        <v>0</v>
      </c>
      <c r="F4741" s="1" t="str">
        <f t="shared" si="9053"/>
        <v>0</v>
      </c>
      <c r="G4741" s="1" t="str">
        <f t="shared" si="9053"/>
        <v>0</v>
      </c>
      <c r="H4741" s="1" t="str">
        <f t="shared" si="9053"/>
        <v>0</v>
      </c>
      <c r="I4741" s="1" t="str">
        <f t="shared" si="9053"/>
        <v>0</v>
      </c>
      <c r="J4741" s="1" t="str">
        <f t="shared" si="9053"/>
        <v>0</v>
      </c>
      <c r="K4741" s="1" t="str">
        <f t="shared" si="9053"/>
        <v>0</v>
      </c>
      <c r="L4741" s="1" t="str">
        <f t="shared" si="9053"/>
        <v>0</v>
      </c>
      <c r="M4741" s="1" t="str">
        <f t="shared" si="9053"/>
        <v>0</v>
      </c>
      <c r="N4741" s="1" t="str">
        <f t="shared" si="9053"/>
        <v>0</v>
      </c>
      <c r="O4741" s="1" t="str">
        <f t="shared" si="9053"/>
        <v>0</v>
      </c>
      <c r="P4741" s="1" t="str">
        <f t="shared" si="9053"/>
        <v>0</v>
      </c>
      <c r="Q4741" s="1" t="str">
        <f t="shared" si="9050"/>
        <v>0.0070</v>
      </c>
      <c r="R4741" s="1" t="s">
        <v>25</v>
      </c>
      <c r="T4741" s="1" t="str">
        <f t="shared" si="9051"/>
        <v>0</v>
      </c>
      <c r="U4741" s="1" t="str">
        <f t="shared" si="9045"/>
        <v>0.0070</v>
      </c>
    </row>
    <row r="4742" s="1" customFormat="1" spans="1:21">
      <c r="A4742" s="1" t="str">
        <f>"4601992137608"</f>
        <v>4601992137608</v>
      </c>
      <c r="B4742" s="1" t="s">
        <v>4765</v>
      </c>
      <c r="C4742" s="1" t="s">
        <v>24</v>
      </c>
      <c r="D4742" s="1" t="str">
        <f t="shared" si="9048"/>
        <v>2021</v>
      </c>
      <c r="E4742" s="1" t="str">
        <f>"12.25"</f>
        <v>12.25</v>
      </c>
      <c r="F4742" s="1" t="str">
        <f t="shared" ref="F4742:I4742" si="9054">"0"</f>
        <v>0</v>
      </c>
      <c r="G4742" s="1" t="str">
        <f t="shared" si="9054"/>
        <v>0</v>
      </c>
      <c r="H4742" s="1" t="str">
        <f t="shared" si="9054"/>
        <v>0</v>
      </c>
      <c r="I4742" s="1" t="str">
        <f t="shared" si="9054"/>
        <v>0</v>
      </c>
      <c r="J4742" s="1" t="str">
        <f>"4"</f>
        <v>4</v>
      </c>
      <c r="K4742" s="1" t="str">
        <f t="shared" ref="K4742:P4742" si="9055">"0"</f>
        <v>0</v>
      </c>
      <c r="L4742" s="1" t="str">
        <f t="shared" si="9055"/>
        <v>0</v>
      </c>
      <c r="M4742" s="1" t="str">
        <f t="shared" si="9055"/>
        <v>0</v>
      </c>
      <c r="N4742" s="1" t="str">
        <f t="shared" si="9055"/>
        <v>0</v>
      </c>
      <c r="O4742" s="1" t="str">
        <f t="shared" si="9055"/>
        <v>0</v>
      </c>
      <c r="P4742" s="1" t="str">
        <f t="shared" si="9055"/>
        <v>0</v>
      </c>
      <c r="Q4742" s="1" t="str">
        <f t="shared" si="9050"/>
        <v>0.0070</v>
      </c>
      <c r="R4742" s="1" t="s">
        <v>29</v>
      </c>
      <c r="S4742" s="1">
        <v>-0.0014</v>
      </c>
      <c r="T4742" s="1" t="str">
        <f t="shared" si="9051"/>
        <v>0</v>
      </c>
      <c r="U4742" s="1" t="str">
        <f>"0.0056"</f>
        <v>0.0056</v>
      </c>
    </row>
    <row r="4743" s="1" customFormat="1" spans="1:21">
      <c r="A4743" s="1" t="str">
        <f>"4601992137904"</f>
        <v>4601992137904</v>
      </c>
      <c r="B4743" s="1" t="s">
        <v>4766</v>
      </c>
      <c r="C4743" s="1" t="s">
        <v>24</v>
      </c>
      <c r="D4743" s="1" t="str">
        <f t="shared" si="9048"/>
        <v>2021</v>
      </c>
      <c r="E4743" s="1" t="str">
        <f t="shared" ref="E4743:P4743" si="9056">"0"</f>
        <v>0</v>
      </c>
      <c r="F4743" s="1" t="str">
        <f t="shared" si="9056"/>
        <v>0</v>
      </c>
      <c r="G4743" s="1" t="str">
        <f t="shared" si="9056"/>
        <v>0</v>
      </c>
      <c r="H4743" s="1" t="str">
        <f t="shared" si="9056"/>
        <v>0</v>
      </c>
      <c r="I4743" s="1" t="str">
        <f t="shared" si="9056"/>
        <v>0</v>
      </c>
      <c r="J4743" s="1" t="str">
        <f t="shared" si="9056"/>
        <v>0</v>
      </c>
      <c r="K4743" s="1" t="str">
        <f t="shared" si="9056"/>
        <v>0</v>
      </c>
      <c r="L4743" s="1" t="str">
        <f t="shared" si="9056"/>
        <v>0</v>
      </c>
      <c r="M4743" s="1" t="str">
        <f t="shared" si="9056"/>
        <v>0</v>
      </c>
      <c r="N4743" s="1" t="str">
        <f t="shared" si="9056"/>
        <v>0</v>
      </c>
      <c r="O4743" s="1" t="str">
        <f t="shared" si="9056"/>
        <v>0</v>
      </c>
      <c r="P4743" s="1" t="str">
        <f t="shared" si="9056"/>
        <v>0</v>
      </c>
      <c r="Q4743" s="1" t="str">
        <f t="shared" si="9050"/>
        <v>0.0070</v>
      </c>
      <c r="R4743" s="1" t="s">
        <v>25</v>
      </c>
      <c r="T4743" s="1" t="str">
        <f t="shared" si="9051"/>
        <v>0</v>
      </c>
      <c r="U4743" s="1" t="str">
        <f t="shared" ref="U4743:U4748" si="9057">"0.0070"</f>
        <v>0.0070</v>
      </c>
    </row>
    <row r="4744" s="1" customFormat="1" spans="1:21">
      <c r="A4744" s="1" t="str">
        <f>"4601992137981"</f>
        <v>4601992137981</v>
      </c>
      <c r="B4744" s="1" t="s">
        <v>4767</v>
      </c>
      <c r="C4744" s="1" t="s">
        <v>24</v>
      </c>
      <c r="D4744" s="1" t="str">
        <f t="shared" si="9048"/>
        <v>2021</v>
      </c>
      <c r="E4744" s="1" t="str">
        <f t="shared" ref="E4744:P4744" si="9058">"0"</f>
        <v>0</v>
      </c>
      <c r="F4744" s="1" t="str">
        <f t="shared" si="9058"/>
        <v>0</v>
      </c>
      <c r="G4744" s="1" t="str">
        <f t="shared" si="9058"/>
        <v>0</v>
      </c>
      <c r="H4744" s="1" t="str">
        <f t="shared" si="9058"/>
        <v>0</v>
      </c>
      <c r="I4744" s="1" t="str">
        <f t="shared" si="9058"/>
        <v>0</v>
      </c>
      <c r="J4744" s="1" t="str">
        <f t="shared" si="9058"/>
        <v>0</v>
      </c>
      <c r="K4744" s="1" t="str">
        <f t="shared" si="9058"/>
        <v>0</v>
      </c>
      <c r="L4744" s="1" t="str">
        <f t="shared" si="9058"/>
        <v>0</v>
      </c>
      <c r="M4744" s="1" t="str">
        <f t="shared" si="9058"/>
        <v>0</v>
      </c>
      <c r="N4744" s="1" t="str">
        <f t="shared" si="9058"/>
        <v>0</v>
      </c>
      <c r="O4744" s="1" t="str">
        <f t="shared" si="9058"/>
        <v>0</v>
      </c>
      <c r="P4744" s="1" t="str">
        <f t="shared" si="9058"/>
        <v>0</v>
      </c>
      <c r="Q4744" s="1" t="str">
        <f t="shared" si="9050"/>
        <v>0.0070</v>
      </c>
      <c r="R4744" s="1" t="s">
        <v>25</v>
      </c>
      <c r="T4744" s="1" t="str">
        <f t="shared" si="9051"/>
        <v>0</v>
      </c>
      <c r="U4744" s="1" t="str">
        <f t="shared" si="9057"/>
        <v>0.0070</v>
      </c>
    </row>
    <row r="4745" s="1" customFormat="1" spans="1:21">
      <c r="A4745" s="1" t="str">
        <f>"4601992137768"</f>
        <v>4601992137768</v>
      </c>
      <c r="B4745" s="1" t="s">
        <v>4768</v>
      </c>
      <c r="C4745" s="1" t="s">
        <v>24</v>
      </c>
      <c r="D4745" s="1" t="str">
        <f t="shared" si="9048"/>
        <v>2021</v>
      </c>
      <c r="E4745" s="1" t="str">
        <f t="shared" ref="E4745:I4745" si="9059">"0"</f>
        <v>0</v>
      </c>
      <c r="F4745" s="1" t="str">
        <f t="shared" si="9059"/>
        <v>0</v>
      </c>
      <c r="G4745" s="1" t="str">
        <f t="shared" si="9059"/>
        <v>0</v>
      </c>
      <c r="H4745" s="1" t="str">
        <f t="shared" si="9059"/>
        <v>0</v>
      </c>
      <c r="I4745" s="1" t="str">
        <f t="shared" si="9059"/>
        <v>0</v>
      </c>
      <c r="J4745" s="1" t="str">
        <f>"1"</f>
        <v>1</v>
      </c>
      <c r="K4745" s="1" t="str">
        <f t="shared" ref="K4745:P4745" si="9060">"0"</f>
        <v>0</v>
      </c>
      <c r="L4745" s="1" t="str">
        <f t="shared" si="9060"/>
        <v>0</v>
      </c>
      <c r="M4745" s="1" t="str">
        <f t="shared" si="9060"/>
        <v>0</v>
      </c>
      <c r="N4745" s="1" t="str">
        <f t="shared" si="9060"/>
        <v>0</v>
      </c>
      <c r="O4745" s="1" t="str">
        <f t="shared" si="9060"/>
        <v>0</v>
      </c>
      <c r="P4745" s="1" t="str">
        <f t="shared" si="9060"/>
        <v>0</v>
      </c>
      <c r="Q4745" s="1" t="str">
        <f t="shared" si="9050"/>
        <v>0.0070</v>
      </c>
      <c r="R4745" s="1" t="s">
        <v>25</v>
      </c>
      <c r="T4745" s="1" t="str">
        <f t="shared" si="9051"/>
        <v>0</v>
      </c>
      <c r="U4745" s="1" t="str">
        <f t="shared" si="9057"/>
        <v>0.0070</v>
      </c>
    </row>
    <row r="4746" s="1" customFormat="1" spans="1:21">
      <c r="A4746" s="1" t="str">
        <f>"4601992138093"</f>
        <v>4601992138093</v>
      </c>
      <c r="B4746" s="1" t="s">
        <v>4769</v>
      </c>
      <c r="C4746" s="1" t="s">
        <v>24</v>
      </c>
      <c r="D4746" s="1" t="str">
        <f t="shared" si="9048"/>
        <v>2021</v>
      </c>
      <c r="E4746" s="1" t="str">
        <f t="shared" ref="E4746:P4746" si="9061">"0"</f>
        <v>0</v>
      </c>
      <c r="F4746" s="1" t="str">
        <f t="shared" si="9061"/>
        <v>0</v>
      </c>
      <c r="G4746" s="1" t="str">
        <f t="shared" si="9061"/>
        <v>0</v>
      </c>
      <c r="H4746" s="1" t="str">
        <f t="shared" si="9061"/>
        <v>0</v>
      </c>
      <c r="I4746" s="1" t="str">
        <f t="shared" si="9061"/>
        <v>0</v>
      </c>
      <c r="J4746" s="1" t="str">
        <f t="shared" si="9061"/>
        <v>0</v>
      </c>
      <c r="K4746" s="1" t="str">
        <f t="shared" si="9061"/>
        <v>0</v>
      </c>
      <c r="L4746" s="1" t="str">
        <f t="shared" si="9061"/>
        <v>0</v>
      </c>
      <c r="M4746" s="1" t="str">
        <f t="shared" si="9061"/>
        <v>0</v>
      </c>
      <c r="N4746" s="1" t="str">
        <f t="shared" si="9061"/>
        <v>0</v>
      </c>
      <c r="O4746" s="1" t="str">
        <f t="shared" si="9061"/>
        <v>0</v>
      </c>
      <c r="P4746" s="1" t="str">
        <f t="shared" si="9061"/>
        <v>0</v>
      </c>
      <c r="Q4746" s="1" t="str">
        <f t="shared" si="9050"/>
        <v>0.0070</v>
      </c>
      <c r="R4746" s="1" t="s">
        <v>25</v>
      </c>
      <c r="T4746" s="1" t="str">
        <f t="shared" si="9051"/>
        <v>0</v>
      </c>
      <c r="U4746" s="1" t="str">
        <f t="shared" si="9057"/>
        <v>0.0070</v>
      </c>
    </row>
    <row r="4747" s="1" customFormat="1" spans="1:21">
      <c r="A4747" s="1" t="str">
        <f>"4601992138252"</f>
        <v>4601992138252</v>
      </c>
      <c r="B4747" s="1" t="s">
        <v>4770</v>
      </c>
      <c r="C4747" s="1" t="s">
        <v>24</v>
      </c>
      <c r="D4747" s="1" t="str">
        <f t="shared" si="9048"/>
        <v>2021</v>
      </c>
      <c r="E4747" s="1" t="str">
        <f t="shared" ref="E4747:P4747" si="9062">"0"</f>
        <v>0</v>
      </c>
      <c r="F4747" s="1" t="str">
        <f t="shared" si="9062"/>
        <v>0</v>
      </c>
      <c r="G4747" s="1" t="str">
        <f t="shared" si="9062"/>
        <v>0</v>
      </c>
      <c r="H4747" s="1" t="str">
        <f t="shared" si="9062"/>
        <v>0</v>
      </c>
      <c r="I4747" s="1" t="str">
        <f t="shared" si="9062"/>
        <v>0</v>
      </c>
      <c r="J4747" s="1" t="str">
        <f t="shared" si="9062"/>
        <v>0</v>
      </c>
      <c r="K4747" s="1" t="str">
        <f t="shared" si="9062"/>
        <v>0</v>
      </c>
      <c r="L4747" s="1" t="str">
        <f t="shared" si="9062"/>
        <v>0</v>
      </c>
      <c r="M4747" s="1" t="str">
        <f t="shared" si="9062"/>
        <v>0</v>
      </c>
      <c r="N4747" s="1" t="str">
        <f t="shared" si="9062"/>
        <v>0</v>
      </c>
      <c r="O4747" s="1" t="str">
        <f t="shared" si="9062"/>
        <v>0</v>
      </c>
      <c r="P4747" s="1" t="str">
        <f t="shared" si="9062"/>
        <v>0</v>
      </c>
      <c r="Q4747" s="1" t="str">
        <f t="shared" si="9050"/>
        <v>0.0070</v>
      </c>
      <c r="R4747" s="1" t="s">
        <v>25</v>
      </c>
      <c r="T4747" s="1" t="str">
        <f t="shared" si="9051"/>
        <v>0</v>
      </c>
      <c r="U4747" s="1" t="str">
        <f t="shared" si="9057"/>
        <v>0.0070</v>
      </c>
    </row>
    <row r="4748" s="1" customFormat="1" spans="1:21">
      <c r="A4748" s="1" t="str">
        <f>"4601992138411"</f>
        <v>4601992138411</v>
      </c>
      <c r="B4748" s="1" t="s">
        <v>4771</v>
      </c>
      <c r="C4748" s="1" t="s">
        <v>24</v>
      </c>
      <c r="D4748" s="1" t="str">
        <f t="shared" si="9048"/>
        <v>2021</v>
      </c>
      <c r="E4748" s="1" t="str">
        <f t="shared" ref="E4748:P4748" si="9063">"0"</f>
        <v>0</v>
      </c>
      <c r="F4748" s="1" t="str">
        <f t="shared" si="9063"/>
        <v>0</v>
      </c>
      <c r="G4748" s="1" t="str">
        <f t="shared" si="9063"/>
        <v>0</v>
      </c>
      <c r="H4748" s="1" t="str">
        <f t="shared" si="9063"/>
        <v>0</v>
      </c>
      <c r="I4748" s="1" t="str">
        <f t="shared" si="9063"/>
        <v>0</v>
      </c>
      <c r="J4748" s="1" t="str">
        <f t="shared" si="9063"/>
        <v>0</v>
      </c>
      <c r="K4748" s="1" t="str">
        <f t="shared" si="9063"/>
        <v>0</v>
      </c>
      <c r="L4748" s="1" t="str">
        <f t="shared" si="9063"/>
        <v>0</v>
      </c>
      <c r="M4748" s="1" t="str">
        <f t="shared" si="9063"/>
        <v>0</v>
      </c>
      <c r="N4748" s="1" t="str">
        <f t="shared" si="9063"/>
        <v>0</v>
      </c>
      <c r="O4748" s="1" t="str">
        <f t="shared" si="9063"/>
        <v>0</v>
      </c>
      <c r="P4748" s="1" t="str">
        <f t="shared" si="9063"/>
        <v>0</v>
      </c>
      <c r="Q4748" s="1" t="str">
        <f t="shared" si="9050"/>
        <v>0.0070</v>
      </c>
      <c r="R4748" s="1" t="s">
        <v>25</v>
      </c>
      <c r="T4748" s="1" t="str">
        <f t="shared" si="9051"/>
        <v>0</v>
      </c>
      <c r="U4748" s="1" t="str">
        <f t="shared" si="9057"/>
        <v>0.0070</v>
      </c>
    </row>
    <row r="4749" s="1" customFormat="1" spans="1:21">
      <c r="A4749" s="1" t="str">
        <f>"4601992138216"</f>
        <v>4601992138216</v>
      </c>
      <c r="B4749" s="1" t="s">
        <v>4772</v>
      </c>
      <c r="C4749" s="1" t="s">
        <v>24</v>
      </c>
      <c r="D4749" s="1" t="str">
        <f t="shared" si="9048"/>
        <v>2021</v>
      </c>
      <c r="E4749" s="1" t="str">
        <f>"12.09"</f>
        <v>12.09</v>
      </c>
      <c r="F4749" s="1" t="str">
        <f t="shared" ref="F4749:I4749" si="9064">"0"</f>
        <v>0</v>
      </c>
      <c r="G4749" s="1" t="str">
        <f t="shared" si="9064"/>
        <v>0</v>
      </c>
      <c r="H4749" s="1" t="str">
        <f t="shared" si="9064"/>
        <v>0</v>
      </c>
      <c r="I4749" s="1" t="str">
        <f t="shared" si="9064"/>
        <v>0</v>
      </c>
      <c r="J4749" s="1" t="str">
        <f>"1"</f>
        <v>1</v>
      </c>
      <c r="K4749" s="1" t="str">
        <f t="shared" ref="K4749:P4749" si="9065">"0"</f>
        <v>0</v>
      </c>
      <c r="L4749" s="1" t="str">
        <f t="shared" si="9065"/>
        <v>0</v>
      </c>
      <c r="M4749" s="1" t="str">
        <f t="shared" si="9065"/>
        <v>0</v>
      </c>
      <c r="N4749" s="1" t="str">
        <f t="shared" si="9065"/>
        <v>0</v>
      </c>
      <c r="O4749" s="1" t="str">
        <f t="shared" si="9065"/>
        <v>0</v>
      </c>
      <c r="P4749" s="1" t="str">
        <f t="shared" si="9065"/>
        <v>0</v>
      </c>
      <c r="Q4749" s="1" t="str">
        <f t="shared" si="9050"/>
        <v>0.0070</v>
      </c>
      <c r="R4749" s="1" t="s">
        <v>29</v>
      </c>
      <c r="S4749" s="1">
        <v>-0.0014</v>
      </c>
      <c r="T4749" s="1" t="str">
        <f t="shared" si="9051"/>
        <v>0</v>
      </c>
      <c r="U4749" s="1" t="str">
        <f>"0.0056"</f>
        <v>0.0056</v>
      </c>
    </row>
    <row r="4750" s="1" customFormat="1" spans="1:21">
      <c r="A4750" s="1" t="str">
        <f>"4601992138271"</f>
        <v>4601992138271</v>
      </c>
      <c r="B4750" s="1" t="s">
        <v>4773</v>
      </c>
      <c r="C4750" s="1" t="s">
        <v>24</v>
      </c>
      <c r="D4750" s="1" t="str">
        <f t="shared" si="9048"/>
        <v>2021</v>
      </c>
      <c r="E4750" s="1" t="str">
        <f t="shared" ref="E4750:P4750" si="9066">"0"</f>
        <v>0</v>
      </c>
      <c r="F4750" s="1" t="str">
        <f t="shared" si="9066"/>
        <v>0</v>
      </c>
      <c r="G4750" s="1" t="str">
        <f t="shared" si="9066"/>
        <v>0</v>
      </c>
      <c r="H4750" s="1" t="str">
        <f t="shared" si="9066"/>
        <v>0</v>
      </c>
      <c r="I4750" s="1" t="str">
        <f t="shared" si="9066"/>
        <v>0</v>
      </c>
      <c r="J4750" s="1" t="str">
        <f t="shared" si="9066"/>
        <v>0</v>
      </c>
      <c r="K4750" s="1" t="str">
        <f t="shared" si="9066"/>
        <v>0</v>
      </c>
      <c r="L4750" s="1" t="str">
        <f t="shared" si="9066"/>
        <v>0</v>
      </c>
      <c r="M4750" s="1" t="str">
        <f t="shared" si="9066"/>
        <v>0</v>
      </c>
      <c r="N4750" s="1" t="str">
        <f t="shared" si="9066"/>
        <v>0</v>
      </c>
      <c r="O4750" s="1" t="str">
        <f t="shared" si="9066"/>
        <v>0</v>
      </c>
      <c r="P4750" s="1" t="str">
        <f t="shared" si="9066"/>
        <v>0</v>
      </c>
      <c r="Q4750" s="1" t="str">
        <f t="shared" si="9050"/>
        <v>0.0070</v>
      </c>
      <c r="R4750" s="1" t="s">
        <v>25</v>
      </c>
      <c r="T4750" s="1" t="str">
        <f t="shared" si="9051"/>
        <v>0</v>
      </c>
      <c r="U4750" s="1" t="str">
        <f t="shared" ref="U4750:U4763" si="9067">"0.0070"</f>
        <v>0.0070</v>
      </c>
    </row>
    <row r="4751" s="1" customFormat="1" spans="1:21">
      <c r="A4751" s="1" t="str">
        <f>"4601992138472"</f>
        <v>4601992138472</v>
      </c>
      <c r="B4751" s="1" t="s">
        <v>4774</v>
      </c>
      <c r="C4751" s="1" t="s">
        <v>24</v>
      </c>
      <c r="D4751" s="1" t="str">
        <f t="shared" si="9048"/>
        <v>2021</v>
      </c>
      <c r="E4751" s="1" t="str">
        <f t="shared" ref="E4751:P4751" si="9068">"0"</f>
        <v>0</v>
      </c>
      <c r="F4751" s="1" t="str">
        <f t="shared" si="9068"/>
        <v>0</v>
      </c>
      <c r="G4751" s="1" t="str">
        <f t="shared" si="9068"/>
        <v>0</v>
      </c>
      <c r="H4751" s="1" t="str">
        <f t="shared" si="9068"/>
        <v>0</v>
      </c>
      <c r="I4751" s="1" t="str">
        <f t="shared" si="9068"/>
        <v>0</v>
      </c>
      <c r="J4751" s="1" t="str">
        <f t="shared" si="9068"/>
        <v>0</v>
      </c>
      <c r="K4751" s="1" t="str">
        <f t="shared" si="9068"/>
        <v>0</v>
      </c>
      <c r="L4751" s="1" t="str">
        <f t="shared" si="9068"/>
        <v>0</v>
      </c>
      <c r="M4751" s="1" t="str">
        <f t="shared" si="9068"/>
        <v>0</v>
      </c>
      <c r="N4751" s="1" t="str">
        <f t="shared" si="9068"/>
        <v>0</v>
      </c>
      <c r="O4751" s="1" t="str">
        <f t="shared" si="9068"/>
        <v>0</v>
      </c>
      <c r="P4751" s="1" t="str">
        <f t="shared" si="9068"/>
        <v>0</v>
      </c>
      <c r="Q4751" s="1" t="str">
        <f t="shared" si="9050"/>
        <v>0.0070</v>
      </c>
      <c r="R4751" s="1" t="s">
        <v>25</v>
      </c>
      <c r="T4751" s="1" t="str">
        <f t="shared" si="9051"/>
        <v>0</v>
      </c>
      <c r="U4751" s="1" t="str">
        <f t="shared" si="9067"/>
        <v>0.0070</v>
      </c>
    </row>
    <row r="4752" s="1" customFormat="1" spans="1:21">
      <c r="A4752" s="1" t="str">
        <f>"4601992138475"</f>
        <v>4601992138475</v>
      </c>
      <c r="B4752" s="1" t="s">
        <v>4775</v>
      </c>
      <c r="C4752" s="1" t="s">
        <v>24</v>
      </c>
      <c r="D4752" s="1" t="str">
        <f t="shared" si="9048"/>
        <v>2021</v>
      </c>
      <c r="E4752" s="1" t="str">
        <f t="shared" ref="E4752:P4752" si="9069">"0"</f>
        <v>0</v>
      </c>
      <c r="F4752" s="1" t="str">
        <f t="shared" si="9069"/>
        <v>0</v>
      </c>
      <c r="G4752" s="1" t="str">
        <f t="shared" si="9069"/>
        <v>0</v>
      </c>
      <c r="H4752" s="1" t="str">
        <f t="shared" si="9069"/>
        <v>0</v>
      </c>
      <c r="I4752" s="1" t="str">
        <f t="shared" si="9069"/>
        <v>0</v>
      </c>
      <c r="J4752" s="1" t="str">
        <f t="shared" si="9069"/>
        <v>0</v>
      </c>
      <c r="K4752" s="1" t="str">
        <f t="shared" si="9069"/>
        <v>0</v>
      </c>
      <c r="L4752" s="1" t="str">
        <f t="shared" si="9069"/>
        <v>0</v>
      </c>
      <c r="M4752" s="1" t="str">
        <f t="shared" si="9069"/>
        <v>0</v>
      </c>
      <c r="N4752" s="1" t="str">
        <f t="shared" si="9069"/>
        <v>0</v>
      </c>
      <c r="O4752" s="1" t="str">
        <f t="shared" si="9069"/>
        <v>0</v>
      </c>
      <c r="P4752" s="1" t="str">
        <f t="shared" si="9069"/>
        <v>0</v>
      </c>
      <c r="Q4752" s="1" t="str">
        <f t="shared" si="9050"/>
        <v>0.0070</v>
      </c>
      <c r="R4752" s="1" t="s">
        <v>25</v>
      </c>
      <c r="T4752" s="1" t="str">
        <f t="shared" si="9051"/>
        <v>0</v>
      </c>
      <c r="U4752" s="1" t="str">
        <f t="shared" si="9067"/>
        <v>0.0070</v>
      </c>
    </row>
    <row r="4753" s="1" customFormat="1" spans="1:21">
      <c r="A4753" s="1" t="str">
        <f>"4601992138595"</f>
        <v>4601992138595</v>
      </c>
      <c r="B4753" s="1" t="s">
        <v>4776</v>
      </c>
      <c r="C4753" s="1" t="s">
        <v>24</v>
      </c>
      <c r="D4753" s="1" t="str">
        <f t="shared" si="9048"/>
        <v>2021</v>
      </c>
      <c r="E4753" s="1" t="str">
        <f t="shared" ref="E4753:P4753" si="9070">"0"</f>
        <v>0</v>
      </c>
      <c r="F4753" s="1" t="str">
        <f t="shared" si="9070"/>
        <v>0</v>
      </c>
      <c r="G4753" s="1" t="str">
        <f t="shared" si="9070"/>
        <v>0</v>
      </c>
      <c r="H4753" s="1" t="str">
        <f t="shared" si="9070"/>
        <v>0</v>
      </c>
      <c r="I4753" s="1" t="str">
        <f t="shared" si="9070"/>
        <v>0</v>
      </c>
      <c r="J4753" s="1" t="str">
        <f t="shared" si="9070"/>
        <v>0</v>
      </c>
      <c r="K4753" s="1" t="str">
        <f t="shared" si="9070"/>
        <v>0</v>
      </c>
      <c r="L4753" s="1" t="str">
        <f t="shared" si="9070"/>
        <v>0</v>
      </c>
      <c r="M4753" s="1" t="str">
        <f t="shared" si="9070"/>
        <v>0</v>
      </c>
      <c r="N4753" s="1" t="str">
        <f t="shared" si="9070"/>
        <v>0</v>
      </c>
      <c r="O4753" s="1" t="str">
        <f t="shared" si="9070"/>
        <v>0</v>
      </c>
      <c r="P4753" s="1" t="str">
        <f t="shared" si="9070"/>
        <v>0</v>
      </c>
      <c r="Q4753" s="1" t="str">
        <f t="shared" si="9050"/>
        <v>0.0070</v>
      </c>
      <c r="R4753" s="1" t="s">
        <v>25</v>
      </c>
      <c r="T4753" s="1" t="str">
        <f t="shared" si="9051"/>
        <v>0</v>
      </c>
      <c r="U4753" s="1" t="str">
        <f t="shared" si="9067"/>
        <v>0.0070</v>
      </c>
    </row>
    <row r="4754" s="1" customFormat="1" spans="1:21">
      <c r="A4754" s="1" t="str">
        <f>"4601992138796"</f>
        <v>4601992138796</v>
      </c>
      <c r="B4754" s="1" t="s">
        <v>4777</v>
      </c>
      <c r="C4754" s="1" t="s">
        <v>24</v>
      </c>
      <c r="D4754" s="1" t="str">
        <f t="shared" si="9048"/>
        <v>2021</v>
      </c>
      <c r="E4754" s="1" t="str">
        <f t="shared" ref="E4754:P4754" si="9071">"0"</f>
        <v>0</v>
      </c>
      <c r="F4754" s="1" t="str">
        <f t="shared" si="9071"/>
        <v>0</v>
      </c>
      <c r="G4754" s="1" t="str">
        <f t="shared" si="9071"/>
        <v>0</v>
      </c>
      <c r="H4754" s="1" t="str">
        <f t="shared" si="9071"/>
        <v>0</v>
      </c>
      <c r="I4754" s="1" t="str">
        <f t="shared" si="9071"/>
        <v>0</v>
      </c>
      <c r="J4754" s="1" t="str">
        <f t="shared" si="9071"/>
        <v>0</v>
      </c>
      <c r="K4754" s="1" t="str">
        <f t="shared" si="9071"/>
        <v>0</v>
      </c>
      <c r="L4754" s="1" t="str">
        <f t="shared" si="9071"/>
        <v>0</v>
      </c>
      <c r="M4754" s="1" t="str">
        <f t="shared" si="9071"/>
        <v>0</v>
      </c>
      <c r="N4754" s="1" t="str">
        <f t="shared" si="9071"/>
        <v>0</v>
      </c>
      <c r="O4754" s="1" t="str">
        <f t="shared" si="9071"/>
        <v>0</v>
      </c>
      <c r="P4754" s="1" t="str">
        <f t="shared" si="9071"/>
        <v>0</v>
      </c>
      <c r="Q4754" s="1" t="str">
        <f t="shared" si="9050"/>
        <v>0.0070</v>
      </c>
      <c r="R4754" s="1" t="s">
        <v>25</v>
      </c>
      <c r="T4754" s="1" t="str">
        <f t="shared" si="9051"/>
        <v>0</v>
      </c>
      <c r="U4754" s="1" t="str">
        <f t="shared" si="9067"/>
        <v>0.0070</v>
      </c>
    </row>
    <row r="4755" s="1" customFormat="1" spans="1:21">
      <c r="A4755" s="1" t="str">
        <f>"4601992138827"</f>
        <v>4601992138827</v>
      </c>
      <c r="B4755" s="1" t="s">
        <v>4778</v>
      </c>
      <c r="C4755" s="1" t="s">
        <v>24</v>
      </c>
      <c r="D4755" s="1" t="str">
        <f t="shared" si="9048"/>
        <v>2021</v>
      </c>
      <c r="E4755" s="1" t="str">
        <f t="shared" ref="E4755:P4755" si="9072">"0"</f>
        <v>0</v>
      </c>
      <c r="F4755" s="1" t="str">
        <f t="shared" si="9072"/>
        <v>0</v>
      </c>
      <c r="G4755" s="1" t="str">
        <f t="shared" si="9072"/>
        <v>0</v>
      </c>
      <c r="H4755" s="1" t="str">
        <f t="shared" si="9072"/>
        <v>0</v>
      </c>
      <c r="I4755" s="1" t="str">
        <f t="shared" si="9072"/>
        <v>0</v>
      </c>
      <c r="J4755" s="1" t="str">
        <f t="shared" si="9072"/>
        <v>0</v>
      </c>
      <c r="K4755" s="1" t="str">
        <f t="shared" si="9072"/>
        <v>0</v>
      </c>
      <c r="L4755" s="1" t="str">
        <f t="shared" si="9072"/>
        <v>0</v>
      </c>
      <c r="M4755" s="1" t="str">
        <f t="shared" si="9072"/>
        <v>0</v>
      </c>
      <c r="N4755" s="1" t="str">
        <f t="shared" si="9072"/>
        <v>0</v>
      </c>
      <c r="O4755" s="1" t="str">
        <f t="shared" si="9072"/>
        <v>0</v>
      </c>
      <c r="P4755" s="1" t="str">
        <f t="shared" si="9072"/>
        <v>0</v>
      </c>
      <c r="Q4755" s="1" t="str">
        <f t="shared" si="9050"/>
        <v>0.0070</v>
      </c>
      <c r="R4755" s="1" t="s">
        <v>25</v>
      </c>
      <c r="T4755" s="1" t="str">
        <f t="shared" si="9051"/>
        <v>0</v>
      </c>
      <c r="U4755" s="1" t="str">
        <f t="shared" si="9067"/>
        <v>0.0070</v>
      </c>
    </row>
    <row r="4756" s="1" customFormat="1" spans="1:21">
      <c r="A4756" s="1" t="str">
        <f>"4601992138957"</f>
        <v>4601992138957</v>
      </c>
      <c r="B4756" s="1" t="s">
        <v>4779</v>
      </c>
      <c r="C4756" s="1" t="s">
        <v>24</v>
      </c>
      <c r="D4756" s="1" t="str">
        <f t="shared" si="9048"/>
        <v>2021</v>
      </c>
      <c r="E4756" s="1" t="str">
        <f t="shared" ref="E4756:P4756" si="9073">"0"</f>
        <v>0</v>
      </c>
      <c r="F4756" s="1" t="str">
        <f t="shared" si="9073"/>
        <v>0</v>
      </c>
      <c r="G4756" s="1" t="str">
        <f t="shared" si="9073"/>
        <v>0</v>
      </c>
      <c r="H4756" s="1" t="str">
        <f t="shared" si="9073"/>
        <v>0</v>
      </c>
      <c r="I4756" s="1" t="str">
        <f t="shared" si="9073"/>
        <v>0</v>
      </c>
      <c r="J4756" s="1" t="str">
        <f t="shared" si="9073"/>
        <v>0</v>
      </c>
      <c r="K4756" s="1" t="str">
        <f t="shared" si="9073"/>
        <v>0</v>
      </c>
      <c r="L4756" s="1" t="str">
        <f t="shared" si="9073"/>
        <v>0</v>
      </c>
      <c r="M4756" s="1" t="str">
        <f t="shared" si="9073"/>
        <v>0</v>
      </c>
      <c r="N4756" s="1" t="str">
        <f t="shared" si="9073"/>
        <v>0</v>
      </c>
      <c r="O4756" s="1" t="str">
        <f t="shared" si="9073"/>
        <v>0</v>
      </c>
      <c r="P4756" s="1" t="str">
        <f t="shared" si="9073"/>
        <v>0</v>
      </c>
      <c r="Q4756" s="1" t="str">
        <f t="shared" si="9050"/>
        <v>0.0070</v>
      </c>
      <c r="R4756" s="1" t="s">
        <v>25</v>
      </c>
      <c r="T4756" s="1" t="str">
        <f t="shared" si="9051"/>
        <v>0</v>
      </c>
      <c r="U4756" s="1" t="str">
        <f t="shared" si="9067"/>
        <v>0.0070</v>
      </c>
    </row>
    <row r="4757" s="1" customFormat="1" spans="1:21">
      <c r="A4757" s="1" t="str">
        <f>"4601992139111"</f>
        <v>4601992139111</v>
      </c>
      <c r="B4757" s="1" t="s">
        <v>4780</v>
      </c>
      <c r="C4757" s="1" t="s">
        <v>24</v>
      </c>
      <c r="D4757" s="1" t="str">
        <f t="shared" si="9048"/>
        <v>2021</v>
      </c>
      <c r="E4757" s="1" t="str">
        <f t="shared" ref="E4757:P4757" si="9074">"0"</f>
        <v>0</v>
      </c>
      <c r="F4757" s="1" t="str">
        <f t="shared" si="9074"/>
        <v>0</v>
      </c>
      <c r="G4757" s="1" t="str">
        <f t="shared" si="9074"/>
        <v>0</v>
      </c>
      <c r="H4757" s="1" t="str">
        <f t="shared" si="9074"/>
        <v>0</v>
      </c>
      <c r="I4757" s="1" t="str">
        <f t="shared" si="9074"/>
        <v>0</v>
      </c>
      <c r="J4757" s="1" t="str">
        <f t="shared" si="9074"/>
        <v>0</v>
      </c>
      <c r="K4757" s="1" t="str">
        <f t="shared" si="9074"/>
        <v>0</v>
      </c>
      <c r="L4757" s="1" t="str">
        <f t="shared" si="9074"/>
        <v>0</v>
      </c>
      <c r="M4757" s="1" t="str">
        <f t="shared" si="9074"/>
        <v>0</v>
      </c>
      <c r="N4757" s="1" t="str">
        <f t="shared" si="9074"/>
        <v>0</v>
      </c>
      <c r="O4757" s="1" t="str">
        <f t="shared" si="9074"/>
        <v>0</v>
      </c>
      <c r="P4757" s="1" t="str">
        <f t="shared" si="9074"/>
        <v>0</v>
      </c>
      <c r="Q4757" s="1" t="str">
        <f t="shared" si="9050"/>
        <v>0.0070</v>
      </c>
      <c r="R4757" s="1" t="s">
        <v>25</v>
      </c>
      <c r="T4757" s="1" t="str">
        <f t="shared" si="9051"/>
        <v>0</v>
      </c>
      <c r="U4757" s="1" t="str">
        <f t="shared" si="9067"/>
        <v>0.0070</v>
      </c>
    </row>
    <row r="4758" s="1" customFormat="1" spans="1:21">
      <c r="A4758" s="1" t="str">
        <f>"4601992139156"</f>
        <v>4601992139156</v>
      </c>
      <c r="B4758" s="1" t="s">
        <v>4781</v>
      </c>
      <c r="C4758" s="1" t="s">
        <v>24</v>
      </c>
      <c r="D4758" s="1" t="str">
        <f t="shared" si="9048"/>
        <v>2021</v>
      </c>
      <c r="E4758" s="1" t="str">
        <f t="shared" ref="E4758:P4758" si="9075">"0"</f>
        <v>0</v>
      </c>
      <c r="F4758" s="1" t="str">
        <f t="shared" si="9075"/>
        <v>0</v>
      </c>
      <c r="G4758" s="1" t="str">
        <f t="shared" si="9075"/>
        <v>0</v>
      </c>
      <c r="H4758" s="1" t="str">
        <f t="shared" si="9075"/>
        <v>0</v>
      </c>
      <c r="I4758" s="1" t="str">
        <f t="shared" si="9075"/>
        <v>0</v>
      </c>
      <c r="J4758" s="1" t="str">
        <f t="shared" si="9075"/>
        <v>0</v>
      </c>
      <c r="K4758" s="1" t="str">
        <f t="shared" si="9075"/>
        <v>0</v>
      </c>
      <c r="L4758" s="1" t="str">
        <f t="shared" si="9075"/>
        <v>0</v>
      </c>
      <c r="M4758" s="1" t="str">
        <f t="shared" si="9075"/>
        <v>0</v>
      </c>
      <c r="N4758" s="1" t="str">
        <f t="shared" si="9075"/>
        <v>0</v>
      </c>
      <c r="O4758" s="1" t="str">
        <f t="shared" si="9075"/>
        <v>0</v>
      </c>
      <c r="P4758" s="1" t="str">
        <f t="shared" si="9075"/>
        <v>0</v>
      </c>
      <c r="Q4758" s="1" t="str">
        <f t="shared" si="9050"/>
        <v>0.0070</v>
      </c>
      <c r="R4758" s="1" t="s">
        <v>25</v>
      </c>
      <c r="T4758" s="1" t="str">
        <f t="shared" si="9051"/>
        <v>0</v>
      </c>
      <c r="U4758" s="1" t="str">
        <f t="shared" si="9067"/>
        <v>0.0070</v>
      </c>
    </row>
    <row r="4759" s="1" customFormat="1" spans="1:21">
      <c r="A4759" s="1" t="str">
        <f>"4601992138886"</f>
        <v>4601992138886</v>
      </c>
      <c r="B4759" s="1" t="s">
        <v>4782</v>
      </c>
      <c r="C4759" s="1" t="s">
        <v>24</v>
      </c>
      <c r="D4759" s="1" t="str">
        <f t="shared" si="9048"/>
        <v>2021</v>
      </c>
      <c r="E4759" s="1" t="str">
        <f t="shared" ref="E4759:I4759" si="9076">"0"</f>
        <v>0</v>
      </c>
      <c r="F4759" s="1" t="str">
        <f t="shared" si="9076"/>
        <v>0</v>
      </c>
      <c r="G4759" s="1" t="str">
        <f t="shared" si="9076"/>
        <v>0</v>
      </c>
      <c r="H4759" s="1" t="str">
        <f t="shared" si="9076"/>
        <v>0</v>
      </c>
      <c r="I4759" s="1" t="str">
        <f t="shared" si="9076"/>
        <v>0</v>
      </c>
      <c r="J4759" s="1" t="str">
        <f t="shared" ref="J4759:J4763" si="9077">"1"</f>
        <v>1</v>
      </c>
      <c r="K4759" s="1" t="str">
        <f t="shared" ref="K4759:P4759" si="9078">"0"</f>
        <v>0</v>
      </c>
      <c r="L4759" s="1" t="str">
        <f t="shared" si="9078"/>
        <v>0</v>
      </c>
      <c r="M4759" s="1" t="str">
        <f t="shared" si="9078"/>
        <v>0</v>
      </c>
      <c r="N4759" s="1" t="str">
        <f t="shared" si="9078"/>
        <v>0</v>
      </c>
      <c r="O4759" s="1" t="str">
        <f t="shared" si="9078"/>
        <v>0</v>
      </c>
      <c r="P4759" s="1" t="str">
        <f t="shared" si="9078"/>
        <v>0</v>
      </c>
      <c r="Q4759" s="1" t="str">
        <f t="shared" si="9050"/>
        <v>0.0070</v>
      </c>
      <c r="R4759" s="1" t="s">
        <v>25</v>
      </c>
      <c r="T4759" s="1" t="str">
        <f t="shared" si="9051"/>
        <v>0</v>
      </c>
      <c r="U4759" s="1" t="str">
        <f t="shared" si="9067"/>
        <v>0.0070</v>
      </c>
    </row>
    <row r="4760" s="1" customFormat="1" spans="1:21">
      <c r="A4760" s="1" t="str">
        <f>"4601992139196"</f>
        <v>4601992139196</v>
      </c>
      <c r="B4760" s="1" t="s">
        <v>4783</v>
      </c>
      <c r="C4760" s="1" t="s">
        <v>24</v>
      </c>
      <c r="D4760" s="1" t="str">
        <f t="shared" si="9048"/>
        <v>2021</v>
      </c>
      <c r="E4760" s="1" t="str">
        <f t="shared" ref="E4760:P4760" si="9079">"0"</f>
        <v>0</v>
      </c>
      <c r="F4760" s="1" t="str">
        <f t="shared" si="9079"/>
        <v>0</v>
      </c>
      <c r="G4760" s="1" t="str">
        <f t="shared" si="9079"/>
        <v>0</v>
      </c>
      <c r="H4760" s="1" t="str">
        <f t="shared" si="9079"/>
        <v>0</v>
      </c>
      <c r="I4760" s="1" t="str">
        <f t="shared" si="9079"/>
        <v>0</v>
      </c>
      <c r="J4760" s="1" t="str">
        <f t="shared" si="9079"/>
        <v>0</v>
      </c>
      <c r="K4760" s="1" t="str">
        <f t="shared" si="9079"/>
        <v>0</v>
      </c>
      <c r="L4760" s="1" t="str">
        <f t="shared" si="9079"/>
        <v>0</v>
      </c>
      <c r="M4760" s="1" t="str">
        <f t="shared" si="9079"/>
        <v>0</v>
      </c>
      <c r="N4760" s="1" t="str">
        <f t="shared" si="9079"/>
        <v>0</v>
      </c>
      <c r="O4760" s="1" t="str">
        <f t="shared" si="9079"/>
        <v>0</v>
      </c>
      <c r="P4760" s="1" t="str">
        <f t="shared" si="9079"/>
        <v>0</v>
      </c>
      <c r="Q4760" s="1" t="str">
        <f t="shared" si="9050"/>
        <v>0.0070</v>
      </c>
      <c r="R4760" s="1" t="s">
        <v>25</v>
      </c>
      <c r="T4760" s="1" t="str">
        <f t="shared" si="9051"/>
        <v>0</v>
      </c>
      <c r="U4760" s="1" t="str">
        <f t="shared" si="9067"/>
        <v>0.0070</v>
      </c>
    </row>
    <row r="4761" s="1" customFormat="1" spans="1:21">
      <c r="A4761" s="1" t="str">
        <f>"4601992143148"</f>
        <v>4601992143148</v>
      </c>
      <c r="B4761" s="1" t="s">
        <v>4784</v>
      </c>
      <c r="C4761" s="1" t="s">
        <v>24</v>
      </c>
      <c r="D4761" s="1" t="str">
        <f t="shared" si="9048"/>
        <v>2021</v>
      </c>
      <c r="E4761" s="1" t="str">
        <f t="shared" ref="E4761:P4761" si="9080">"0"</f>
        <v>0</v>
      </c>
      <c r="F4761" s="1" t="str">
        <f t="shared" si="9080"/>
        <v>0</v>
      </c>
      <c r="G4761" s="1" t="str">
        <f t="shared" si="9080"/>
        <v>0</v>
      </c>
      <c r="H4761" s="1" t="str">
        <f t="shared" si="9080"/>
        <v>0</v>
      </c>
      <c r="I4761" s="1" t="str">
        <f t="shared" si="9080"/>
        <v>0</v>
      </c>
      <c r="J4761" s="1" t="str">
        <f t="shared" si="9080"/>
        <v>0</v>
      </c>
      <c r="K4761" s="1" t="str">
        <f t="shared" si="9080"/>
        <v>0</v>
      </c>
      <c r="L4761" s="1" t="str">
        <f t="shared" si="9080"/>
        <v>0</v>
      </c>
      <c r="M4761" s="1" t="str">
        <f t="shared" si="9080"/>
        <v>0</v>
      </c>
      <c r="N4761" s="1" t="str">
        <f t="shared" si="9080"/>
        <v>0</v>
      </c>
      <c r="O4761" s="1" t="str">
        <f t="shared" si="9080"/>
        <v>0</v>
      </c>
      <c r="P4761" s="1" t="str">
        <f t="shared" si="9080"/>
        <v>0</v>
      </c>
      <c r="Q4761" s="1" t="str">
        <f t="shared" si="9050"/>
        <v>0.0070</v>
      </c>
      <c r="R4761" s="1" t="s">
        <v>25</v>
      </c>
      <c r="T4761" s="1" t="str">
        <f t="shared" si="9051"/>
        <v>0</v>
      </c>
      <c r="U4761" s="1" t="str">
        <f t="shared" si="9067"/>
        <v>0.0070</v>
      </c>
    </row>
    <row r="4762" s="1" customFormat="1" spans="1:21">
      <c r="A4762" s="1" t="str">
        <f>"4601992141451"</f>
        <v>4601992141451</v>
      </c>
      <c r="B4762" s="1" t="s">
        <v>4785</v>
      </c>
      <c r="C4762" s="1" t="s">
        <v>24</v>
      </c>
      <c r="D4762" s="1" t="str">
        <f t="shared" si="9048"/>
        <v>2021</v>
      </c>
      <c r="E4762" s="1" t="str">
        <f t="shared" ref="E4762:I4762" si="9081">"0"</f>
        <v>0</v>
      </c>
      <c r="F4762" s="1" t="str">
        <f t="shared" si="9081"/>
        <v>0</v>
      </c>
      <c r="G4762" s="1" t="str">
        <f t="shared" si="9081"/>
        <v>0</v>
      </c>
      <c r="H4762" s="1" t="str">
        <f t="shared" si="9081"/>
        <v>0</v>
      </c>
      <c r="I4762" s="1" t="str">
        <f t="shared" si="9081"/>
        <v>0</v>
      </c>
      <c r="J4762" s="1" t="str">
        <f t="shared" si="9077"/>
        <v>1</v>
      </c>
      <c r="K4762" s="1" t="str">
        <f t="shared" ref="K4762:P4762" si="9082">"0"</f>
        <v>0</v>
      </c>
      <c r="L4762" s="1" t="str">
        <f t="shared" si="9082"/>
        <v>0</v>
      </c>
      <c r="M4762" s="1" t="str">
        <f t="shared" si="9082"/>
        <v>0</v>
      </c>
      <c r="N4762" s="1" t="str">
        <f t="shared" si="9082"/>
        <v>0</v>
      </c>
      <c r="O4762" s="1" t="str">
        <f t="shared" si="9082"/>
        <v>0</v>
      </c>
      <c r="P4762" s="1" t="str">
        <f t="shared" si="9082"/>
        <v>0</v>
      </c>
      <c r="Q4762" s="1" t="str">
        <f t="shared" si="9050"/>
        <v>0.0070</v>
      </c>
      <c r="R4762" s="1" t="s">
        <v>25</v>
      </c>
      <c r="T4762" s="1" t="str">
        <f t="shared" si="9051"/>
        <v>0</v>
      </c>
      <c r="U4762" s="1" t="str">
        <f t="shared" si="9067"/>
        <v>0.0070</v>
      </c>
    </row>
    <row r="4763" s="1" customFormat="1" spans="1:21">
      <c r="A4763" s="1" t="str">
        <f>"4601992142490"</f>
        <v>4601992142490</v>
      </c>
      <c r="B4763" s="1" t="s">
        <v>4786</v>
      </c>
      <c r="C4763" s="1" t="s">
        <v>24</v>
      </c>
      <c r="D4763" s="1" t="str">
        <f t="shared" si="9048"/>
        <v>2021</v>
      </c>
      <c r="E4763" s="1" t="str">
        <f>"12.25"</f>
        <v>12.25</v>
      </c>
      <c r="F4763" s="1" t="str">
        <f t="shared" ref="F4763:I4763" si="9083">"0"</f>
        <v>0</v>
      </c>
      <c r="G4763" s="1" t="str">
        <f t="shared" si="9083"/>
        <v>0</v>
      </c>
      <c r="H4763" s="1" t="str">
        <f t="shared" si="9083"/>
        <v>0</v>
      </c>
      <c r="I4763" s="1" t="str">
        <f t="shared" si="9083"/>
        <v>0</v>
      </c>
      <c r="J4763" s="1" t="str">
        <f t="shared" si="9077"/>
        <v>1</v>
      </c>
      <c r="K4763" s="1" t="str">
        <f t="shared" ref="K4763:P4763" si="9084">"0"</f>
        <v>0</v>
      </c>
      <c r="L4763" s="1" t="str">
        <f t="shared" si="9084"/>
        <v>0</v>
      </c>
      <c r="M4763" s="1" t="str">
        <f t="shared" si="9084"/>
        <v>0</v>
      </c>
      <c r="N4763" s="1" t="str">
        <f t="shared" si="9084"/>
        <v>0</v>
      </c>
      <c r="O4763" s="1" t="str">
        <f t="shared" si="9084"/>
        <v>0</v>
      </c>
      <c r="P4763" s="1" t="str">
        <f t="shared" si="9084"/>
        <v>0</v>
      </c>
      <c r="Q4763" s="1" t="str">
        <f t="shared" si="9050"/>
        <v>0.0070</v>
      </c>
      <c r="R4763" s="1" t="s">
        <v>25</v>
      </c>
      <c r="T4763" s="1" t="str">
        <f t="shared" si="9051"/>
        <v>0</v>
      </c>
      <c r="U4763" s="1" t="str">
        <f t="shared" si="9067"/>
        <v>0.0070</v>
      </c>
    </row>
    <row r="4764" s="1" customFormat="1" spans="1:21">
      <c r="A4764" s="1" t="str">
        <f>"4601992143964"</f>
        <v>4601992143964</v>
      </c>
      <c r="B4764" s="1" t="s">
        <v>4787</v>
      </c>
      <c r="C4764" s="1" t="s">
        <v>24</v>
      </c>
      <c r="D4764" s="1" t="str">
        <f t="shared" si="9048"/>
        <v>2021</v>
      </c>
      <c r="E4764" s="1" t="str">
        <f>"71.94"</f>
        <v>71.94</v>
      </c>
      <c r="F4764" s="1" t="str">
        <f t="shared" ref="F4764:I4764" si="9085">"0"</f>
        <v>0</v>
      </c>
      <c r="G4764" s="1" t="str">
        <f t="shared" si="9085"/>
        <v>0</v>
      </c>
      <c r="H4764" s="1" t="str">
        <f t="shared" si="9085"/>
        <v>0</v>
      </c>
      <c r="I4764" s="1" t="str">
        <f t="shared" si="9085"/>
        <v>0</v>
      </c>
      <c r="J4764" s="1" t="str">
        <f>"5"</f>
        <v>5</v>
      </c>
      <c r="K4764" s="1" t="str">
        <f t="shared" ref="K4764:P4764" si="9086">"0"</f>
        <v>0</v>
      </c>
      <c r="L4764" s="1" t="str">
        <f t="shared" si="9086"/>
        <v>0</v>
      </c>
      <c r="M4764" s="1" t="str">
        <f t="shared" si="9086"/>
        <v>0</v>
      </c>
      <c r="N4764" s="1" t="str">
        <f t="shared" si="9086"/>
        <v>0</v>
      </c>
      <c r="O4764" s="1" t="str">
        <f t="shared" si="9086"/>
        <v>0</v>
      </c>
      <c r="P4764" s="1" t="str">
        <f t="shared" si="9086"/>
        <v>0</v>
      </c>
      <c r="Q4764" s="1" t="str">
        <f t="shared" si="9050"/>
        <v>0.0070</v>
      </c>
      <c r="R4764" s="1" t="s">
        <v>29</v>
      </c>
      <c r="S4764" s="1">
        <v>-0.0014</v>
      </c>
      <c r="T4764" s="1" t="str">
        <f t="shared" si="9051"/>
        <v>0</v>
      </c>
      <c r="U4764" s="1" t="str">
        <f t="shared" ref="U4764:U4767" si="9087">"0.0056"</f>
        <v>0.0056</v>
      </c>
    </row>
    <row r="4765" s="1" customFormat="1" spans="1:21">
      <c r="A4765" s="1" t="str">
        <f>"4601992144544"</f>
        <v>4601992144544</v>
      </c>
      <c r="B4765" s="1" t="s">
        <v>4788</v>
      </c>
      <c r="C4765" s="1" t="s">
        <v>24</v>
      </c>
      <c r="D4765" s="1" t="str">
        <f t="shared" si="9048"/>
        <v>2021</v>
      </c>
      <c r="E4765" s="1" t="str">
        <f>"12.09"</f>
        <v>12.09</v>
      </c>
      <c r="F4765" s="1" t="str">
        <f t="shared" ref="F4765:I4765" si="9088">"0"</f>
        <v>0</v>
      </c>
      <c r="G4765" s="1" t="str">
        <f t="shared" si="9088"/>
        <v>0</v>
      </c>
      <c r="H4765" s="1" t="str">
        <f t="shared" si="9088"/>
        <v>0</v>
      </c>
      <c r="I4765" s="1" t="str">
        <f t="shared" si="9088"/>
        <v>0</v>
      </c>
      <c r="J4765" s="1" t="str">
        <f t="shared" ref="J4765:J4770" si="9089">"1"</f>
        <v>1</v>
      </c>
      <c r="K4765" s="1" t="str">
        <f t="shared" ref="K4765:P4765" si="9090">"0"</f>
        <v>0</v>
      </c>
      <c r="L4765" s="1" t="str">
        <f t="shared" si="9090"/>
        <v>0</v>
      </c>
      <c r="M4765" s="1" t="str">
        <f t="shared" si="9090"/>
        <v>0</v>
      </c>
      <c r="N4765" s="1" t="str">
        <f t="shared" si="9090"/>
        <v>0</v>
      </c>
      <c r="O4765" s="1" t="str">
        <f t="shared" si="9090"/>
        <v>0</v>
      </c>
      <c r="P4765" s="1" t="str">
        <f t="shared" si="9090"/>
        <v>0</v>
      </c>
      <c r="Q4765" s="1" t="str">
        <f t="shared" si="9050"/>
        <v>0.0070</v>
      </c>
      <c r="R4765" s="1" t="s">
        <v>29</v>
      </c>
      <c r="S4765" s="1">
        <v>-0.0014</v>
      </c>
      <c r="T4765" s="1" t="str">
        <f t="shared" si="9051"/>
        <v>0</v>
      </c>
      <c r="U4765" s="1" t="str">
        <f t="shared" si="9087"/>
        <v>0.0056</v>
      </c>
    </row>
    <row r="4766" s="1" customFormat="1" spans="1:21">
      <c r="A4766" s="1" t="str">
        <f>"4601992144157"</f>
        <v>4601992144157</v>
      </c>
      <c r="B4766" s="1" t="s">
        <v>4789</v>
      </c>
      <c r="C4766" s="1" t="s">
        <v>24</v>
      </c>
      <c r="D4766" s="1" t="str">
        <f t="shared" si="9048"/>
        <v>2021</v>
      </c>
      <c r="E4766" s="1" t="str">
        <f t="shared" ref="E4766:I4766" si="9091">"0"</f>
        <v>0</v>
      </c>
      <c r="F4766" s="1" t="str">
        <f t="shared" si="9091"/>
        <v>0</v>
      </c>
      <c r="G4766" s="1" t="str">
        <f t="shared" si="9091"/>
        <v>0</v>
      </c>
      <c r="H4766" s="1" t="str">
        <f t="shared" si="9091"/>
        <v>0</v>
      </c>
      <c r="I4766" s="1" t="str">
        <f t="shared" si="9091"/>
        <v>0</v>
      </c>
      <c r="J4766" s="1" t="str">
        <f t="shared" si="9089"/>
        <v>1</v>
      </c>
      <c r="K4766" s="1" t="str">
        <f t="shared" ref="K4766:P4766" si="9092">"0"</f>
        <v>0</v>
      </c>
      <c r="L4766" s="1" t="str">
        <f t="shared" si="9092"/>
        <v>0</v>
      </c>
      <c r="M4766" s="1" t="str">
        <f t="shared" si="9092"/>
        <v>0</v>
      </c>
      <c r="N4766" s="1" t="str">
        <f t="shared" si="9092"/>
        <v>0</v>
      </c>
      <c r="O4766" s="1" t="str">
        <f t="shared" si="9092"/>
        <v>0</v>
      </c>
      <c r="P4766" s="1" t="str">
        <f t="shared" si="9092"/>
        <v>0</v>
      </c>
      <c r="Q4766" s="1" t="str">
        <f t="shared" si="9050"/>
        <v>0.0070</v>
      </c>
      <c r="R4766" s="1" t="s">
        <v>25</v>
      </c>
      <c r="T4766" s="1" t="str">
        <f t="shared" si="9051"/>
        <v>0</v>
      </c>
      <c r="U4766" s="1" t="str">
        <f t="shared" ref="U4766:U4771" si="9093">"0.0070"</f>
        <v>0.0070</v>
      </c>
    </row>
    <row r="4767" s="1" customFormat="1" spans="1:21">
      <c r="A4767" s="1" t="str">
        <f>"4601992145753"</f>
        <v>4601992145753</v>
      </c>
      <c r="B4767" s="1" t="s">
        <v>4790</v>
      </c>
      <c r="C4767" s="1" t="s">
        <v>24</v>
      </c>
      <c r="D4767" s="1" t="str">
        <f t="shared" si="9048"/>
        <v>2021</v>
      </c>
      <c r="E4767" s="1" t="str">
        <f>"11.98"</f>
        <v>11.98</v>
      </c>
      <c r="F4767" s="1" t="str">
        <f t="shared" ref="F4767:I4767" si="9094">"0"</f>
        <v>0</v>
      </c>
      <c r="G4767" s="1" t="str">
        <f t="shared" si="9094"/>
        <v>0</v>
      </c>
      <c r="H4767" s="1" t="str">
        <f t="shared" si="9094"/>
        <v>0</v>
      </c>
      <c r="I4767" s="1" t="str">
        <f t="shared" si="9094"/>
        <v>0</v>
      </c>
      <c r="J4767" s="1" t="str">
        <f>"2"</f>
        <v>2</v>
      </c>
      <c r="K4767" s="1" t="str">
        <f t="shared" ref="K4767:P4767" si="9095">"0"</f>
        <v>0</v>
      </c>
      <c r="L4767" s="1" t="str">
        <f t="shared" si="9095"/>
        <v>0</v>
      </c>
      <c r="M4767" s="1" t="str">
        <f t="shared" si="9095"/>
        <v>0</v>
      </c>
      <c r="N4767" s="1" t="str">
        <f t="shared" si="9095"/>
        <v>0</v>
      </c>
      <c r="O4767" s="1" t="str">
        <f t="shared" si="9095"/>
        <v>0</v>
      </c>
      <c r="P4767" s="1" t="str">
        <f t="shared" si="9095"/>
        <v>0</v>
      </c>
      <c r="Q4767" s="1" t="str">
        <f t="shared" si="9050"/>
        <v>0.0070</v>
      </c>
      <c r="R4767" s="1" t="s">
        <v>29</v>
      </c>
      <c r="S4767" s="1">
        <v>-0.0014</v>
      </c>
      <c r="T4767" s="1" t="str">
        <f t="shared" si="9051"/>
        <v>0</v>
      </c>
      <c r="U4767" s="1" t="str">
        <f t="shared" si="9087"/>
        <v>0.0056</v>
      </c>
    </row>
    <row r="4768" s="1" customFormat="1" spans="1:21">
      <c r="A4768" s="1" t="str">
        <f>"4601992145814"</f>
        <v>4601992145814</v>
      </c>
      <c r="B4768" s="1" t="s">
        <v>4791</v>
      </c>
      <c r="C4768" s="1" t="s">
        <v>24</v>
      </c>
      <c r="D4768" s="1" t="str">
        <f t="shared" si="9048"/>
        <v>2021</v>
      </c>
      <c r="E4768" s="1" t="str">
        <f t="shared" ref="E4768:P4768" si="9096">"0"</f>
        <v>0</v>
      </c>
      <c r="F4768" s="1" t="str">
        <f t="shared" si="9096"/>
        <v>0</v>
      </c>
      <c r="G4768" s="1" t="str">
        <f t="shared" si="9096"/>
        <v>0</v>
      </c>
      <c r="H4768" s="1" t="str">
        <f t="shared" si="9096"/>
        <v>0</v>
      </c>
      <c r="I4768" s="1" t="str">
        <f t="shared" si="9096"/>
        <v>0</v>
      </c>
      <c r="J4768" s="1" t="str">
        <f t="shared" si="9096"/>
        <v>0</v>
      </c>
      <c r="K4768" s="1" t="str">
        <f t="shared" si="9096"/>
        <v>0</v>
      </c>
      <c r="L4768" s="1" t="str">
        <f t="shared" si="9096"/>
        <v>0</v>
      </c>
      <c r="M4768" s="1" t="str">
        <f t="shared" si="9096"/>
        <v>0</v>
      </c>
      <c r="N4768" s="1" t="str">
        <f t="shared" si="9096"/>
        <v>0</v>
      </c>
      <c r="O4768" s="1" t="str">
        <f t="shared" si="9096"/>
        <v>0</v>
      </c>
      <c r="P4768" s="1" t="str">
        <f t="shared" si="9096"/>
        <v>0</v>
      </c>
      <c r="Q4768" s="1" t="str">
        <f t="shared" si="9050"/>
        <v>0.0070</v>
      </c>
      <c r="R4768" s="1" t="s">
        <v>25</v>
      </c>
      <c r="T4768" s="1" t="str">
        <f t="shared" si="9051"/>
        <v>0</v>
      </c>
      <c r="U4768" s="1" t="str">
        <f t="shared" si="9093"/>
        <v>0.0070</v>
      </c>
    </row>
    <row r="4769" s="1" customFormat="1" spans="1:21">
      <c r="A4769" s="1" t="str">
        <f>"4601992144623"</f>
        <v>4601992144623</v>
      </c>
      <c r="B4769" s="1" t="s">
        <v>4792</v>
      </c>
      <c r="C4769" s="1" t="s">
        <v>24</v>
      </c>
      <c r="D4769" s="1" t="str">
        <f t="shared" si="9048"/>
        <v>2021</v>
      </c>
      <c r="E4769" s="1" t="str">
        <f>"35.94"</f>
        <v>35.94</v>
      </c>
      <c r="F4769" s="1" t="str">
        <f t="shared" ref="F4769:I4769" si="9097">"0"</f>
        <v>0</v>
      </c>
      <c r="G4769" s="1" t="str">
        <f t="shared" si="9097"/>
        <v>0</v>
      </c>
      <c r="H4769" s="1" t="str">
        <f t="shared" si="9097"/>
        <v>0</v>
      </c>
      <c r="I4769" s="1" t="str">
        <f t="shared" si="9097"/>
        <v>0</v>
      </c>
      <c r="J4769" s="1" t="str">
        <f t="shared" ref="J4769:J4774" si="9098">"3"</f>
        <v>3</v>
      </c>
      <c r="K4769" s="1" t="str">
        <f t="shared" ref="K4769:P4769" si="9099">"0"</f>
        <v>0</v>
      </c>
      <c r="L4769" s="1" t="str">
        <f t="shared" si="9099"/>
        <v>0</v>
      </c>
      <c r="M4769" s="1" t="str">
        <f t="shared" si="9099"/>
        <v>0</v>
      </c>
      <c r="N4769" s="1" t="str">
        <f t="shared" si="9099"/>
        <v>0</v>
      </c>
      <c r="O4769" s="1" t="str">
        <f t="shared" si="9099"/>
        <v>0</v>
      </c>
      <c r="P4769" s="1" t="str">
        <f t="shared" si="9099"/>
        <v>0</v>
      </c>
      <c r="Q4769" s="1" t="str">
        <f t="shared" si="9050"/>
        <v>0.0070</v>
      </c>
      <c r="R4769" s="1" t="s">
        <v>29</v>
      </c>
      <c r="S4769" s="1">
        <v>-0.0014</v>
      </c>
      <c r="T4769" s="1" t="str">
        <f t="shared" si="9051"/>
        <v>0</v>
      </c>
      <c r="U4769" s="1" t="str">
        <f t="shared" ref="U4769:U4772" si="9100">"0.0056"</f>
        <v>0.0056</v>
      </c>
    </row>
    <row r="4770" s="1" customFormat="1" spans="1:21">
      <c r="A4770" s="1" t="str">
        <f>"4601992145825"</f>
        <v>4601992145825</v>
      </c>
      <c r="B4770" s="1" t="s">
        <v>4793</v>
      </c>
      <c r="C4770" s="1" t="s">
        <v>24</v>
      </c>
      <c r="D4770" s="1" t="str">
        <f t="shared" si="9048"/>
        <v>2021</v>
      </c>
      <c r="E4770" s="1" t="str">
        <f>"24.50"</f>
        <v>24.50</v>
      </c>
      <c r="F4770" s="1" t="str">
        <f t="shared" ref="F4770:I4770" si="9101">"0"</f>
        <v>0</v>
      </c>
      <c r="G4770" s="1" t="str">
        <f t="shared" si="9101"/>
        <v>0</v>
      </c>
      <c r="H4770" s="1" t="str">
        <f t="shared" si="9101"/>
        <v>0</v>
      </c>
      <c r="I4770" s="1" t="str">
        <f t="shared" si="9101"/>
        <v>0</v>
      </c>
      <c r="J4770" s="1" t="str">
        <f t="shared" si="9089"/>
        <v>1</v>
      </c>
      <c r="K4770" s="1" t="str">
        <f t="shared" ref="K4770:P4770" si="9102">"0"</f>
        <v>0</v>
      </c>
      <c r="L4770" s="1" t="str">
        <f t="shared" si="9102"/>
        <v>0</v>
      </c>
      <c r="M4770" s="1" t="str">
        <f t="shared" si="9102"/>
        <v>0</v>
      </c>
      <c r="N4770" s="1" t="str">
        <f t="shared" si="9102"/>
        <v>0</v>
      </c>
      <c r="O4770" s="1" t="str">
        <f t="shared" si="9102"/>
        <v>0</v>
      </c>
      <c r="P4770" s="1" t="str">
        <f t="shared" si="9102"/>
        <v>0</v>
      </c>
      <c r="Q4770" s="1" t="str">
        <f t="shared" si="9050"/>
        <v>0.0070</v>
      </c>
      <c r="R4770" s="1" t="s">
        <v>29</v>
      </c>
      <c r="S4770" s="1">
        <v>-0.0014</v>
      </c>
      <c r="T4770" s="1" t="str">
        <f t="shared" si="9051"/>
        <v>0</v>
      </c>
      <c r="U4770" s="1" t="str">
        <f t="shared" si="9100"/>
        <v>0.0056</v>
      </c>
    </row>
    <row r="4771" s="1" customFormat="1" spans="1:21">
      <c r="A4771" s="1" t="str">
        <f>"4601992145784"</f>
        <v>4601992145784</v>
      </c>
      <c r="B4771" s="1" t="s">
        <v>4794</v>
      </c>
      <c r="C4771" s="1" t="s">
        <v>24</v>
      </c>
      <c r="D4771" s="1" t="str">
        <f t="shared" si="9048"/>
        <v>2021</v>
      </c>
      <c r="E4771" s="1" t="str">
        <f t="shared" ref="E4771:I4771" si="9103">"0"</f>
        <v>0</v>
      </c>
      <c r="F4771" s="1" t="str">
        <f t="shared" si="9103"/>
        <v>0</v>
      </c>
      <c r="G4771" s="1" t="str">
        <f t="shared" si="9103"/>
        <v>0</v>
      </c>
      <c r="H4771" s="1" t="str">
        <f t="shared" si="9103"/>
        <v>0</v>
      </c>
      <c r="I4771" s="1" t="str">
        <f t="shared" si="9103"/>
        <v>0</v>
      </c>
      <c r="J4771" s="1" t="str">
        <f>"5"</f>
        <v>5</v>
      </c>
      <c r="K4771" s="1" t="str">
        <f t="shared" ref="K4771:P4771" si="9104">"0"</f>
        <v>0</v>
      </c>
      <c r="L4771" s="1" t="str">
        <f t="shared" si="9104"/>
        <v>0</v>
      </c>
      <c r="M4771" s="1" t="str">
        <f t="shared" si="9104"/>
        <v>0</v>
      </c>
      <c r="N4771" s="1" t="str">
        <f t="shared" si="9104"/>
        <v>0</v>
      </c>
      <c r="O4771" s="1" t="str">
        <f t="shared" si="9104"/>
        <v>0</v>
      </c>
      <c r="P4771" s="1" t="str">
        <f t="shared" si="9104"/>
        <v>0</v>
      </c>
      <c r="Q4771" s="1" t="str">
        <f t="shared" si="9050"/>
        <v>0.0070</v>
      </c>
      <c r="R4771" s="1" t="s">
        <v>25</v>
      </c>
      <c r="T4771" s="1" t="str">
        <f t="shared" si="9051"/>
        <v>0</v>
      </c>
      <c r="U4771" s="1" t="str">
        <f t="shared" si="9093"/>
        <v>0.0070</v>
      </c>
    </row>
    <row r="4772" s="1" customFormat="1" spans="1:21">
      <c r="A4772" s="1" t="str">
        <f>"4601992145899"</f>
        <v>4601992145899</v>
      </c>
      <c r="B4772" s="1" t="s">
        <v>4795</v>
      </c>
      <c r="C4772" s="1" t="s">
        <v>24</v>
      </c>
      <c r="D4772" s="1" t="str">
        <f t="shared" si="9048"/>
        <v>2021</v>
      </c>
      <c r="E4772" s="1" t="str">
        <f>"23.96"</f>
        <v>23.96</v>
      </c>
      <c r="F4772" s="1" t="str">
        <f t="shared" ref="F4772:I4772" si="9105">"0"</f>
        <v>0</v>
      </c>
      <c r="G4772" s="1" t="str">
        <f t="shared" si="9105"/>
        <v>0</v>
      </c>
      <c r="H4772" s="1" t="str">
        <f t="shared" si="9105"/>
        <v>0</v>
      </c>
      <c r="I4772" s="1" t="str">
        <f t="shared" si="9105"/>
        <v>0</v>
      </c>
      <c r="J4772" s="1" t="str">
        <f t="shared" si="9098"/>
        <v>3</v>
      </c>
      <c r="K4772" s="1" t="str">
        <f t="shared" ref="K4772:P4772" si="9106">"0"</f>
        <v>0</v>
      </c>
      <c r="L4772" s="1" t="str">
        <f t="shared" si="9106"/>
        <v>0</v>
      </c>
      <c r="M4772" s="1" t="str">
        <f t="shared" si="9106"/>
        <v>0</v>
      </c>
      <c r="N4772" s="1" t="str">
        <f t="shared" si="9106"/>
        <v>0</v>
      </c>
      <c r="O4772" s="1" t="str">
        <f t="shared" si="9106"/>
        <v>0</v>
      </c>
      <c r="P4772" s="1" t="str">
        <f t="shared" si="9106"/>
        <v>0</v>
      </c>
      <c r="Q4772" s="1" t="str">
        <f t="shared" si="9050"/>
        <v>0.0070</v>
      </c>
      <c r="R4772" s="1" t="s">
        <v>29</v>
      </c>
      <c r="S4772" s="1">
        <v>-0.0014</v>
      </c>
      <c r="T4772" s="1" t="str">
        <f t="shared" si="9051"/>
        <v>0</v>
      </c>
      <c r="U4772" s="1" t="str">
        <f t="shared" si="9100"/>
        <v>0.0056</v>
      </c>
    </row>
    <row r="4773" s="1" customFormat="1" spans="1:21">
      <c r="A4773" s="1" t="str">
        <f>"4601992145923"</f>
        <v>4601992145923</v>
      </c>
      <c r="B4773" s="1" t="s">
        <v>4796</v>
      </c>
      <c r="C4773" s="1" t="s">
        <v>24</v>
      </c>
      <c r="D4773" s="1" t="str">
        <f t="shared" si="9048"/>
        <v>2021</v>
      </c>
      <c r="E4773" s="1" t="str">
        <f t="shared" ref="E4773:P4773" si="9107">"0"</f>
        <v>0</v>
      </c>
      <c r="F4773" s="1" t="str">
        <f t="shared" si="9107"/>
        <v>0</v>
      </c>
      <c r="G4773" s="1" t="str">
        <f t="shared" si="9107"/>
        <v>0</v>
      </c>
      <c r="H4773" s="1" t="str">
        <f t="shared" si="9107"/>
        <v>0</v>
      </c>
      <c r="I4773" s="1" t="str">
        <f t="shared" si="9107"/>
        <v>0</v>
      </c>
      <c r="J4773" s="1" t="str">
        <f t="shared" si="9107"/>
        <v>0</v>
      </c>
      <c r="K4773" s="1" t="str">
        <f t="shared" si="9107"/>
        <v>0</v>
      </c>
      <c r="L4773" s="1" t="str">
        <f t="shared" si="9107"/>
        <v>0</v>
      </c>
      <c r="M4773" s="1" t="str">
        <f t="shared" si="9107"/>
        <v>0</v>
      </c>
      <c r="N4773" s="1" t="str">
        <f t="shared" si="9107"/>
        <v>0</v>
      </c>
      <c r="O4773" s="1" t="str">
        <f t="shared" si="9107"/>
        <v>0</v>
      </c>
      <c r="P4773" s="1" t="str">
        <f t="shared" si="9107"/>
        <v>0</v>
      </c>
      <c r="Q4773" s="1" t="str">
        <f t="shared" si="9050"/>
        <v>0.0070</v>
      </c>
      <c r="R4773" s="1" t="s">
        <v>25</v>
      </c>
      <c r="T4773" s="1" t="str">
        <f t="shared" si="9051"/>
        <v>0</v>
      </c>
      <c r="U4773" s="1" t="str">
        <f t="shared" ref="U4773:U4777" si="9108">"0.0070"</f>
        <v>0.0070</v>
      </c>
    </row>
    <row r="4774" s="1" customFormat="1" spans="1:21">
      <c r="A4774" s="1" t="str">
        <f>"4601992145870"</f>
        <v>4601992145870</v>
      </c>
      <c r="B4774" s="1" t="s">
        <v>4797</v>
      </c>
      <c r="C4774" s="1" t="s">
        <v>24</v>
      </c>
      <c r="D4774" s="1" t="str">
        <f t="shared" si="9048"/>
        <v>2021</v>
      </c>
      <c r="E4774" s="1" t="str">
        <f>"24.34"</f>
        <v>24.34</v>
      </c>
      <c r="F4774" s="1" t="str">
        <f t="shared" ref="F4774:I4774" si="9109">"0"</f>
        <v>0</v>
      </c>
      <c r="G4774" s="1" t="str">
        <f t="shared" si="9109"/>
        <v>0</v>
      </c>
      <c r="H4774" s="1" t="str">
        <f t="shared" si="9109"/>
        <v>0</v>
      </c>
      <c r="I4774" s="1" t="str">
        <f t="shared" si="9109"/>
        <v>0</v>
      </c>
      <c r="J4774" s="1" t="str">
        <f t="shared" si="9098"/>
        <v>3</v>
      </c>
      <c r="K4774" s="1" t="str">
        <f t="shared" ref="K4774:P4774" si="9110">"0"</f>
        <v>0</v>
      </c>
      <c r="L4774" s="1" t="str">
        <f t="shared" si="9110"/>
        <v>0</v>
      </c>
      <c r="M4774" s="1" t="str">
        <f t="shared" si="9110"/>
        <v>0</v>
      </c>
      <c r="N4774" s="1" t="str">
        <f t="shared" si="9110"/>
        <v>0</v>
      </c>
      <c r="O4774" s="1" t="str">
        <f t="shared" si="9110"/>
        <v>0</v>
      </c>
      <c r="P4774" s="1" t="str">
        <f t="shared" si="9110"/>
        <v>0</v>
      </c>
      <c r="Q4774" s="1" t="str">
        <f t="shared" si="9050"/>
        <v>0.0070</v>
      </c>
      <c r="R4774" s="1" t="s">
        <v>29</v>
      </c>
      <c r="S4774" s="1">
        <v>-0.0014</v>
      </c>
      <c r="T4774" s="1" t="str">
        <f t="shared" si="9051"/>
        <v>0</v>
      </c>
      <c r="U4774" s="1" t="str">
        <f t="shared" ref="U4774:U4780" si="9111">"0.0056"</f>
        <v>0.0056</v>
      </c>
    </row>
    <row r="4775" s="1" customFormat="1" spans="1:21">
      <c r="A4775" s="1" t="str">
        <f>"4601992145931"</f>
        <v>4601992145931</v>
      </c>
      <c r="B4775" s="1" t="s">
        <v>4798</v>
      </c>
      <c r="C4775" s="1" t="s">
        <v>24</v>
      </c>
      <c r="D4775" s="1" t="str">
        <f t="shared" si="9048"/>
        <v>2021</v>
      </c>
      <c r="E4775" s="1" t="str">
        <f t="shared" ref="E4775:P4775" si="9112">"0"</f>
        <v>0</v>
      </c>
      <c r="F4775" s="1" t="str">
        <f t="shared" si="9112"/>
        <v>0</v>
      </c>
      <c r="G4775" s="1" t="str">
        <f t="shared" si="9112"/>
        <v>0</v>
      </c>
      <c r="H4775" s="1" t="str">
        <f t="shared" si="9112"/>
        <v>0</v>
      </c>
      <c r="I4775" s="1" t="str">
        <f t="shared" si="9112"/>
        <v>0</v>
      </c>
      <c r="J4775" s="1" t="str">
        <f t="shared" si="9112"/>
        <v>0</v>
      </c>
      <c r="K4775" s="1" t="str">
        <f t="shared" si="9112"/>
        <v>0</v>
      </c>
      <c r="L4775" s="1" t="str">
        <f t="shared" si="9112"/>
        <v>0</v>
      </c>
      <c r="M4775" s="1" t="str">
        <f t="shared" si="9112"/>
        <v>0</v>
      </c>
      <c r="N4775" s="1" t="str">
        <f t="shared" si="9112"/>
        <v>0</v>
      </c>
      <c r="O4775" s="1" t="str">
        <f t="shared" si="9112"/>
        <v>0</v>
      </c>
      <c r="P4775" s="1" t="str">
        <f t="shared" si="9112"/>
        <v>0</v>
      </c>
      <c r="Q4775" s="1" t="str">
        <f t="shared" si="9050"/>
        <v>0.0070</v>
      </c>
      <c r="R4775" s="1" t="s">
        <v>25</v>
      </c>
      <c r="T4775" s="1" t="str">
        <f t="shared" si="9051"/>
        <v>0</v>
      </c>
      <c r="U4775" s="1" t="str">
        <f t="shared" si="9108"/>
        <v>0.0070</v>
      </c>
    </row>
    <row r="4776" s="1" customFormat="1" spans="1:21">
      <c r="A4776" s="1" t="str">
        <f>"4601992145950"</f>
        <v>4601992145950</v>
      </c>
      <c r="B4776" s="1" t="s">
        <v>4799</v>
      </c>
      <c r="C4776" s="1" t="s">
        <v>24</v>
      </c>
      <c r="D4776" s="1" t="str">
        <f t="shared" si="9048"/>
        <v>2021</v>
      </c>
      <c r="E4776" s="1" t="str">
        <f t="shared" ref="E4776:P4776" si="9113">"0"</f>
        <v>0</v>
      </c>
      <c r="F4776" s="1" t="str">
        <f t="shared" si="9113"/>
        <v>0</v>
      </c>
      <c r="G4776" s="1" t="str">
        <f t="shared" si="9113"/>
        <v>0</v>
      </c>
      <c r="H4776" s="1" t="str">
        <f t="shared" si="9113"/>
        <v>0</v>
      </c>
      <c r="I4776" s="1" t="str">
        <f t="shared" si="9113"/>
        <v>0</v>
      </c>
      <c r="J4776" s="1" t="str">
        <f t="shared" si="9113"/>
        <v>0</v>
      </c>
      <c r="K4776" s="1" t="str">
        <f t="shared" si="9113"/>
        <v>0</v>
      </c>
      <c r="L4776" s="1" t="str">
        <f t="shared" si="9113"/>
        <v>0</v>
      </c>
      <c r="M4776" s="1" t="str">
        <f t="shared" si="9113"/>
        <v>0</v>
      </c>
      <c r="N4776" s="1" t="str">
        <f t="shared" si="9113"/>
        <v>0</v>
      </c>
      <c r="O4776" s="1" t="str">
        <f t="shared" si="9113"/>
        <v>0</v>
      </c>
      <c r="P4776" s="1" t="str">
        <f t="shared" si="9113"/>
        <v>0</v>
      </c>
      <c r="Q4776" s="1" t="str">
        <f t="shared" si="9050"/>
        <v>0.0070</v>
      </c>
      <c r="R4776" s="1" t="s">
        <v>25</v>
      </c>
      <c r="T4776" s="1" t="str">
        <f t="shared" si="9051"/>
        <v>0</v>
      </c>
      <c r="U4776" s="1" t="str">
        <f t="shared" si="9108"/>
        <v>0.0070</v>
      </c>
    </row>
    <row r="4777" s="1" customFormat="1" spans="1:21">
      <c r="A4777" s="1" t="str">
        <f>"4601992146015"</f>
        <v>4601992146015</v>
      </c>
      <c r="B4777" s="1" t="s">
        <v>4800</v>
      </c>
      <c r="C4777" s="1" t="s">
        <v>24</v>
      </c>
      <c r="D4777" s="1" t="str">
        <f t="shared" si="9048"/>
        <v>2021</v>
      </c>
      <c r="E4777" s="1" t="str">
        <f>"12.09"</f>
        <v>12.09</v>
      </c>
      <c r="F4777" s="1" t="str">
        <f t="shared" ref="F4777:I4777" si="9114">"0"</f>
        <v>0</v>
      </c>
      <c r="G4777" s="1" t="str">
        <f t="shared" si="9114"/>
        <v>0</v>
      </c>
      <c r="H4777" s="1" t="str">
        <f t="shared" si="9114"/>
        <v>0</v>
      </c>
      <c r="I4777" s="1" t="str">
        <f t="shared" si="9114"/>
        <v>0</v>
      </c>
      <c r="J4777" s="1" t="str">
        <f>"1"</f>
        <v>1</v>
      </c>
      <c r="K4777" s="1" t="str">
        <f t="shared" ref="K4777:P4777" si="9115">"0"</f>
        <v>0</v>
      </c>
      <c r="L4777" s="1" t="str">
        <f t="shared" si="9115"/>
        <v>0</v>
      </c>
      <c r="M4777" s="1" t="str">
        <f t="shared" si="9115"/>
        <v>0</v>
      </c>
      <c r="N4777" s="1" t="str">
        <f t="shared" si="9115"/>
        <v>0</v>
      </c>
      <c r="O4777" s="1" t="str">
        <f t="shared" si="9115"/>
        <v>0</v>
      </c>
      <c r="P4777" s="1" t="str">
        <f t="shared" si="9115"/>
        <v>0</v>
      </c>
      <c r="Q4777" s="1" t="str">
        <f t="shared" si="9050"/>
        <v>0.0070</v>
      </c>
      <c r="R4777" s="1" t="s">
        <v>25</v>
      </c>
      <c r="T4777" s="1" t="str">
        <f t="shared" si="9051"/>
        <v>0</v>
      </c>
      <c r="U4777" s="1" t="str">
        <f t="shared" si="9108"/>
        <v>0.0070</v>
      </c>
    </row>
    <row r="4778" s="1" customFormat="1" spans="1:21">
      <c r="A4778" s="1" t="str">
        <f>"4601992025478"</f>
        <v>4601992025478</v>
      </c>
      <c r="B4778" s="1" t="s">
        <v>4801</v>
      </c>
      <c r="C4778" s="1" t="s">
        <v>24</v>
      </c>
      <c r="D4778" s="1" t="str">
        <f t="shared" si="9048"/>
        <v>2021</v>
      </c>
      <c r="E4778" s="1" t="str">
        <f>"95.84"</f>
        <v>95.84</v>
      </c>
      <c r="F4778" s="1" t="str">
        <f t="shared" ref="F4778:I4778" si="9116">"0"</f>
        <v>0</v>
      </c>
      <c r="G4778" s="1" t="str">
        <f t="shared" si="9116"/>
        <v>0</v>
      </c>
      <c r="H4778" s="1" t="str">
        <f t="shared" si="9116"/>
        <v>0</v>
      </c>
      <c r="I4778" s="1" t="str">
        <f t="shared" si="9116"/>
        <v>0</v>
      </c>
      <c r="J4778" s="1" t="str">
        <f>"8"</f>
        <v>8</v>
      </c>
      <c r="K4778" s="1" t="str">
        <f t="shared" ref="K4778:P4778" si="9117">"0"</f>
        <v>0</v>
      </c>
      <c r="L4778" s="1" t="str">
        <f t="shared" si="9117"/>
        <v>0</v>
      </c>
      <c r="M4778" s="1" t="str">
        <f t="shared" si="9117"/>
        <v>0</v>
      </c>
      <c r="N4778" s="1" t="str">
        <f t="shared" si="9117"/>
        <v>0</v>
      </c>
      <c r="O4778" s="1" t="str">
        <f t="shared" si="9117"/>
        <v>0</v>
      </c>
      <c r="P4778" s="1" t="str">
        <f t="shared" si="9117"/>
        <v>0</v>
      </c>
      <c r="Q4778" s="1" t="str">
        <f t="shared" si="9050"/>
        <v>0.0070</v>
      </c>
      <c r="R4778" s="1" t="s">
        <v>29</v>
      </c>
      <c r="S4778" s="1">
        <v>-0.0014</v>
      </c>
      <c r="T4778" s="1" t="str">
        <f t="shared" si="9051"/>
        <v>0</v>
      </c>
      <c r="U4778" s="1" t="str">
        <f t="shared" si="9111"/>
        <v>0.0056</v>
      </c>
    </row>
    <row r="4779" s="1" customFormat="1" spans="1:21">
      <c r="A4779" s="1" t="str">
        <f>"4601992145958"</f>
        <v>4601992145958</v>
      </c>
      <c r="B4779" s="1" t="s">
        <v>4802</v>
      </c>
      <c r="C4779" s="1" t="s">
        <v>24</v>
      </c>
      <c r="D4779" s="1" t="str">
        <f t="shared" si="9048"/>
        <v>2021</v>
      </c>
      <c r="E4779" s="1" t="str">
        <f>"23.96"</f>
        <v>23.96</v>
      </c>
      <c r="F4779" s="1" t="str">
        <f t="shared" ref="F4779:I4779" si="9118">"0"</f>
        <v>0</v>
      </c>
      <c r="G4779" s="1" t="str">
        <f t="shared" si="9118"/>
        <v>0</v>
      </c>
      <c r="H4779" s="1" t="str">
        <f t="shared" si="9118"/>
        <v>0</v>
      </c>
      <c r="I4779" s="1" t="str">
        <f t="shared" si="9118"/>
        <v>0</v>
      </c>
      <c r="J4779" s="1" t="str">
        <f>"2"</f>
        <v>2</v>
      </c>
      <c r="K4779" s="1" t="str">
        <f t="shared" ref="K4779:P4779" si="9119">"0"</f>
        <v>0</v>
      </c>
      <c r="L4779" s="1" t="str">
        <f t="shared" si="9119"/>
        <v>0</v>
      </c>
      <c r="M4779" s="1" t="str">
        <f t="shared" si="9119"/>
        <v>0</v>
      </c>
      <c r="N4779" s="1" t="str">
        <f t="shared" si="9119"/>
        <v>0</v>
      </c>
      <c r="O4779" s="1" t="str">
        <f t="shared" si="9119"/>
        <v>0</v>
      </c>
      <c r="P4779" s="1" t="str">
        <f t="shared" si="9119"/>
        <v>0</v>
      </c>
      <c r="Q4779" s="1" t="str">
        <f t="shared" si="9050"/>
        <v>0.0070</v>
      </c>
      <c r="R4779" s="1" t="s">
        <v>29</v>
      </c>
      <c r="S4779" s="1">
        <v>-0.0014</v>
      </c>
      <c r="T4779" s="1" t="str">
        <f t="shared" si="9051"/>
        <v>0</v>
      </c>
      <c r="U4779" s="1" t="str">
        <f t="shared" si="9111"/>
        <v>0.0056</v>
      </c>
    </row>
    <row r="4780" s="1" customFormat="1" spans="1:21">
      <c r="A4780" s="1" t="str">
        <f>"4601992146105"</f>
        <v>4601992146105</v>
      </c>
      <c r="B4780" s="1" t="s">
        <v>4803</v>
      </c>
      <c r="C4780" s="1" t="s">
        <v>24</v>
      </c>
      <c r="D4780" s="1" t="str">
        <f t="shared" si="9048"/>
        <v>2021</v>
      </c>
      <c r="E4780" s="1" t="str">
        <f>"17.50"</f>
        <v>17.50</v>
      </c>
      <c r="F4780" s="1" t="str">
        <f t="shared" ref="F4780:I4780" si="9120">"0"</f>
        <v>0</v>
      </c>
      <c r="G4780" s="1" t="str">
        <f t="shared" si="9120"/>
        <v>0</v>
      </c>
      <c r="H4780" s="1" t="str">
        <f t="shared" si="9120"/>
        <v>0</v>
      </c>
      <c r="I4780" s="1" t="str">
        <f t="shared" si="9120"/>
        <v>0</v>
      </c>
      <c r="J4780" s="1" t="str">
        <f>"1"</f>
        <v>1</v>
      </c>
      <c r="K4780" s="1" t="str">
        <f t="shared" ref="K4780:P4780" si="9121">"0"</f>
        <v>0</v>
      </c>
      <c r="L4780" s="1" t="str">
        <f t="shared" si="9121"/>
        <v>0</v>
      </c>
      <c r="M4780" s="1" t="str">
        <f t="shared" si="9121"/>
        <v>0</v>
      </c>
      <c r="N4780" s="1" t="str">
        <f t="shared" si="9121"/>
        <v>0</v>
      </c>
      <c r="O4780" s="1" t="str">
        <f t="shared" si="9121"/>
        <v>0</v>
      </c>
      <c r="P4780" s="1" t="str">
        <f t="shared" si="9121"/>
        <v>0</v>
      </c>
      <c r="Q4780" s="1" t="str">
        <f t="shared" si="9050"/>
        <v>0.0070</v>
      </c>
      <c r="R4780" s="1" t="s">
        <v>29</v>
      </c>
      <c r="S4780" s="1">
        <v>-0.0014</v>
      </c>
      <c r="T4780" s="1" t="str">
        <f t="shared" si="9051"/>
        <v>0</v>
      </c>
      <c r="U4780" s="1" t="str">
        <f t="shared" si="9111"/>
        <v>0.0056</v>
      </c>
    </row>
    <row r="4781" s="1" customFormat="1" spans="1:21">
      <c r="A4781" s="1" t="str">
        <f>"4601992146120"</f>
        <v>4601992146120</v>
      </c>
      <c r="B4781" s="1" t="s">
        <v>4804</v>
      </c>
      <c r="C4781" s="1" t="s">
        <v>24</v>
      </c>
      <c r="D4781" s="1" t="str">
        <f t="shared" si="9048"/>
        <v>2021</v>
      </c>
      <c r="E4781" s="1" t="str">
        <f t="shared" ref="E4781:P4781" si="9122">"0"</f>
        <v>0</v>
      </c>
      <c r="F4781" s="1" t="str">
        <f t="shared" si="9122"/>
        <v>0</v>
      </c>
      <c r="G4781" s="1" t="str">
        <f t="shared" si="9122"/>
        <v>0</v>
      </c>
      <c r="H4781" s="1" t="str">
        <f t="shared" si="9122"/>
        <v>0</v>
      </c>
      <c r="I4781" s="1" t="str">
        <f t="shared" si="9122"/>
        <v>0</v>
      </c>
      <c r="J4781" s="1" t="str">
        <f t="shared" si="9122"/>
        <v>0</v>
      </c>
      <c r="K4781" s="1" t="str">
        <f t="shared" si="9122"/>
        <v>0</v>
      </c>
      <c r="L4781" s="1" t="str">
        <f t="shared" si="9122"/>
        <v>0</v>
      </c>
      <c r="M4781" s="1" t="str">
        <f t="shared" si="9122"/>
        <v>0</v>
      </c>
      <c r="N4781" s="1" t="str">
        <f t="shared" si="9122"/>
        <v>0</v>
      </c>
      <c r="O4781" s="1" t="str">
        <f t="shared" si="9122"/>
        <v>0</v>
      </c>
      <c r="P4781" s="1" t="str">
        <f t="shared" si="9122"/>
        <v>0</v>
      </c>
      <c r="Q4781" s="1" t="str">
        <f t="shared" si="9050"/>
        <v>0.0070</v>
      </c>
      <c r="R4781" s="1" t="s">
        <v>25</v>
      </c>
      <c r="T4781" s="1" t="str">
        <f t="shared" si="9051"/>
        <v>0</v>
      </c>
      <c r="U4781" s="1" t="str">
        <f t="shared" ref="U4781:U4788" si="9123">"0.0070"</f>
        <v>0.0070</v>
      </c>
    </row>
    <row r="4782" s="1" customFormat="1" spans="1:21">
      <c r="A4782" s="1" t="str">
        <f>"4601992146175"</f>
        <v>4601992146175</v>
      </c>
      <c r="B4782" s="1" t="s">
        <v>4805</v>
      </c>
      <c r="C4782" s="1" t="s">
        <v>24</v>
      </c>
      <c r="D4782" s="1" t="str">
        <f t="shared" si="9048"/>
        <v>2021</v>
      </c>
      <c r="E4782" s="1" t="str">
        <f t="shared" ref="E4782:P4782" si="9124">"0"</f>
        <v>0</v>
      </c>
      <c r="F4782" s="1" t="str">
        <f t="shared" si="9124"/>
        <v>0</v>
      </c>
      <c r="G4782" s="1" t="str">
        <f t="shared" si="9124"/>
        <v>0</v>
      </c>
      <c r="H4782" s="1" t="str">
        <f t="shared" si="9124"/>
        <v>0</v>
      </c>
      <c r="I4782" s="1" t="str">
        <f t="shared" si="9124"/>
        <v>0</v>
      </c>
      <c r="J4782" s="1" t="str">
        <f t="shared" si="9124"/>
        <v>0</v>
      </c>
      <c r="K4782" s="1" t="str">
        <f t="shared" si="9124"/>
        <v>0</v>
      </c>
      <c r="L4782" s="1" t="str">
        <f t="shared" si="9124"/>
        <v>0</v>
      </c>
      <c r="M4782" s="1" t="str">
        <f t="shared" si="9124"/>
        <v>0</v>
      </c>
      <c r="N4782" s="1" t="str">
        <f t="shared" si="9124"/>
        <v>0</v>
      </c>
      <c r="O4782" s="1" t="str">
        <f t="shared" si="9124"/>
        <v>0</v>
      </c>
      <c r="P4782" s="1" t="str">
        <f t="shared" si="9124"/>
        <v>0</v>
      </c>
      <c r="Q4782" s="1" t="str">
        <f t="shared" si="9050"/>
        <v>0.0070</v>
      </c>
      <c r="R4782" s="1" t="s">
        <v>25</v>
      </c>
      <c r="T4782" s="1" t="str">
        <f t="shared" si="9051"/>
        <v>0</v>
      </c>
      <c r="U4782" s="1" t="str">
        <f t="shared" si="9123"/>
        <v>0.0070</v>
      </c>
    </row>
    <row r="4783" s="1" customFormat="1" spans="1:21">
      <c r="A4783" s="1" t="str">
        <f>"4601992146118"</f>
        <v>4601992146118</v>
      </c>
      <c r="B4783" s="1" t="s">
        <v>4806</v>
      </c>
      <c r="C4783" s="1" t="s">
        <v>24</v>
      </c>
      <c r="D4783" s="1" t="str">
        <f t="shared" si="9048"/>
        <v>2021</v>
      </c>
      <c r="E4783" s="1" t="str">
        <f>"24.07"</f>
        <v>24.07</v>
      </c>
      <c r="F4783" s="1" t="str">
        <f t="shared" ref="F4783:I4783" si="9125">"0"</f>
        <v>0</v>
      </c>
      <c r="G4783" s="1" t="str">
        <f t="shared" si="9125"/>
        <v>0</v>
      </c>
      <c r="H4783" s="1" t="str">
        <f t="shared" si="9125"/>
        <v>0</v>
      </c>
      <c r="I4783" s="1" t="str">
        <f t="shared" si="9125"/>
        <v>0</v>
      </c>
      <c r="J4783" s="1" t="str">
        <f>"3"</f>
        <v>3</v>
      </c>
      <c r="K4783" s="1" t="str">
        <f t="shared" ref="K4783:P4783" si="9126">"0"</f>
        <v>0</v>
      </c>
      <c r="L4783" s="1" t="str">
        <f t="shared" si="9126"/>
        <v>0</v>
      </c>
      <c r="M4783" s="1" t="str">
        <f t="shared" si="9126"/>
        <v>0</v>
      </c>
      <c r="N4783" s="1" t="str">
        <f t="shared" si="9126"/>
        <v>0</v>
      </c>
      <c r="O4783" s="1" t="str">
        <f t="shared" si="9126"/>
        <v>0</v>
      </c>
      <c r="P4783" s="1" t="str">
        <f t="shared" si="9126"/>
        <v>0</v>
      </c>
      <c r="Q4783" s="1" t="str">
        <f t="shared" si="9050"/>
        <v>0.0070</v>
      </c>
      <c r="R4783" s="1" t="s">
        <v>29</v>
      </c>
      <c r="S4783" s="1">
        <v>-0.0014</v>
      </c>
      <c r="T4783" s="1" t="str">
        <f t="shared" si="9051"/>
        <v>0</v>
      </c>
      <c r="U4783" s="1" t="str">
        <f>"0.0056"</f>
        <v>0.0056</v>
      </c>
    </row>
    <row r="4784" s="1" customFormat="1" spans="1:21">
      <c r="A4784" s="1" t="str">
        <f>"4601992146163"</f>
        <v>4601992146163</v>
      </c>
      <c r="B4784" s="1" t="s">
        <v>4807</v>
      </c>
      <c r="C4784" s="1" t="s">
        <v>24</v>
      </c>
      <c r="D4784" s="1" t="str">
        <f t="shared" si="9048"/>
        <v>2021</v>
      </c>
      <c r="E4784" s="1" t="str">
        <f t="shared" ref="E4784:I4784" si="9127">"0"</f>
        <v>0</v>
      </c>
      <c r="F4784" s="1" t="str">
        <f t="shared" si="9127"/>
        <v>0</v>
      </c>
      <c r="G4784" s="1" t="str">
        <f t="shared" si="9127"/>
        <v>0</v>
      </c>
      <c r="H4784" s="1" t="str">
        <f t="shared" si="9127"/>
        <v>0</v>
      </c>
      <c r="I4784" s="1" t="str">
        <f t="shared" si="9127"/>
        <v>0</v>
      </c>
      <c r="J4784" s="1" t="str">
        <f>"1"</f>
        <v>1</v>
      </c>
      <c r="K4784" s="1" t="str">
        <f t="shared" ref="K4784:P4784" si="9128">"0"</f>
        <v>0</v>
      </c>
      <c r="L4784" s="1" t="str">
        <f t="shared" si="9128"/>
        <v>0</v>
      </c>
      <c r="M4784" s="1" t="str">
        <f t="shared" si="9128"/>
        <v>0</v>
      </c>
      <c r="N4784" s="1" t="str">
        <f t="shared" si="9128"/>
        <v>0</v>
      </c>
      <c r="O4784" s="1" t="str">
        <f t="shared" si="9128"/>
        <v>0</v>
      </c>
      <c r="P4784" s="1" t="str">
        <f t="shared" si="9128"/>
        <v>0</v>
      </c>
      <c r="Q4784" s="1" t="str">
        <f t="shared" si="9050"/>
        <v>0.0070</v>
      </c>
      <c r="R4784" s="1" t="s">
        <v>25</v>
      </c>
      <c r="T4784" s="1" t="str">
        <f t="shared" si="9051"/>
        <v>0</v>
      </c>
      <c r="U4784" s="1" t="str">
        <f t="shared" si="9123"/>
        <v>0.0070</v>
      </c>
    </row>
    <row r="4785" s="1" customFormat="1" spans="1:21">
      <c r="A4785" s="1" t="str">
        <f>"4601992146255"</f>
        <v>4601992146255</v>
      </c>
      <c r="B4785" s="1" t="s">
        <v>4808</v>
      </c>
      <c r="C4785" s="1" t="s">
        <v>24</v>
      </c>
      <c r="D4785" s="1" t="str">
        <f t="shared" si="9048"/>
        <v>2021</v>
      </c>
      <c r="E4785" s="1" t="str">
        <f t="shared" ref="E4785:P4785" si="9129">"0"</f>
        <v>0</v>
      </c>
      <c r="F4785" s="1" t="str">
        <f t="shared" si="9129"/>
        <v>0</v>
      </c>
      <c r="G4785" s="1" t="str">
        <f t="shared" si="9129"/>
        <v>0</v>
      </c>
      <c r="H4785" s="1" t="str">
        <f t="shared" si="9129"/>
        <v>0</v>
      </c>
      <c r="I4785" s="1" t="str">
        <f t="shared" si="9129"/>
        <v>0</v>
      </c>
      <c r="J4785" s="1" t="str">
        <f t="shared" si="9129"/>
        <v>0</v>
      </c>
      <c r="K4785" s="1" t="str">
        <f t="shared" si="9129"/>
        <v>0</v>
      </c>
      <c r="L4785" s="1" t="str">
        <f t="shared" si="9129"/>
        <v>0</v>
      </c>
      <c r="M4785" s="1" t="str">
        <f t="shared" si="9129"/>
        <v>0</v>
      </c>
      <c r="N4785" s="1" t="str">
        <f t="shared" si="9129"/>
        <v>0</v>
      </c>
      <c r="O4785" s="1" t="str">
        <f t="shared" si="9129"/>
        <v>0</v>
      </c>
      <c r="P4785" s="1" t="str">
        <f t="shared" si="9129"/>
        <v>0</v>
      </c>
      <c r="Q4785" s="1" t="str">
        <f t="shared" si="9050"/>
        <v>0.0070</v>
      </c>
      <c r="R4785" s="1" t="s">
        <v>25</v>
      </c>
      <c r="T4785" s="1" t="str">
        <f t="shared" si="9051"/>
        <v>0</v>
      </c>
      <c r="U4785" s="1" t="str">
        <f t="shared" si="9123"/>
        <v>0.0070</v>
      </c>
    </row>
    <row r="4786" s="1" customFormat="1" spans="1:21">
      <c r="A4786" s="1" t="str">
        <f>"4601992146301"</f>
        <v>4601992146301</v>
      </c>
      <c r="B4786" s="1" t="s">
        <v>4809</v>
      </c>
      <c r="C4786" s="1" t="s">
        <v>24</v>
      </c>
      <c r="D4786" s="1" t="str">
        <f t="shared" si="9048"/>
        <v>2021</v>
      </c>
      <c r="E4786" s="1" t="str">
        <f t="shared" ref="E4786:P4786" si="9130">"0"</f>
        <v>0</v>
      </c>
      <c r="F4786" s="1" t="str">
        <f t="shared" si="9130"/>
        <v>0</v>
      </c>
      <c r="G4786" s="1" t="str">
        <f t="shared" si="9130"/>
        <v>0</v>
      </c>
      <c r="H4786" s="1" t="str">
        <f t="shared" si="9130"/>
        <v>0</v>
      </c>
      <c r="I4786" s="1" t="str">
        <f t="shared" si="9130"/>
        <v>0</v>
      </c>
      <c r="J4786" s="1" t="str">
        <f t="shared" si="9130"/>
        <v>0</v>
      </c>
      <c r="K4786" s="1" t="str">
        <f t="shared" si="9130"/>
        <v>0</v>
      </c>
      <c r="L4786" s="1" t="str">
        <f t="shared" si="9130"/>
        <v>0</v>
      </c>
      <c r="M4786" s="1" t="str">
        <f t="shared" si="9130"/>
        <v>0</v>
      </c>
      <c r="N4786" s="1" t="str">
        <f t="shared" si="9130"/>
        <v>0</v>
      </c>
      <c r="O4786" s="1" t="str">
        <f t="shared" si="9130"/>
        <v>0</v>
      </c>
      <c r="P4786" s="1" t="str">
        <f t="shared" si="9130"/>
        <v>0</v>
      </c>
      <c r="Q4786" s="1" t="str">
        <f t="shared" si="9050"/>
        <v>0.0070</v>
      </c>
      <c r="R4786" s="1" t="s">
        <v>25</v>
      </c>
      <c r="T4786" s="1" t="str">
        <f t="shared" si="9051"/>
        <v>0</v>
      </c>
      <c r="U4786" s="1" t="str">
        <f t="shared" si="9123"/>
        <v>0.0070</v>
      </c>
    </row>
    <row r="4787" s="1" customFormat="1" spans="1:21">
      <c r="A4787" s="1" t="str">
        <f>"4601992146548"</f>
        <v>4601992146548</v>
      </c>
      <c r="B4787" s="1" t="s">
        <v>4810</v>
      </c>
      <c r="C4787" s="1" t="s">
        <v>24</v>
      </c>
      <c r="D4787" s="1" t="str">
        <f t="shared" si="9048"/>
        <v>2021</v>
      </c>
      <c r="E4787" s="1" t="str">
        <f t="shared" ref="E4787:P4787" si="9131">"0"</f>
        <v>0</v>
      </c>
      <c r="F4787" s="1" t="str">
        <f t="shared" si="9131"/>
        <v>0</v>
      </c>
      <c r="G4787" s="1" t="str">
        <f t="shared" si="9131"/>
        <v>0</v>
      </c>
      <c r="H4787" s="1" t="str">
        <f t="shared" si="9131"/>
        <v>0</v>
      </c>
      <c r="I4787" s="1" t="str">
        <f t="shared" si="9131"/>
        <v>0</v>
      </c>
      <c r="J4787" s="1" t="str">
        <f t="shared" si="9131"/>
        <v>0</v>
      </c>
      <c r="K4787" s="1" t="str">
        <f t="shared" si="9131"/>
        <v>0</v>
      </c>
      <c r="L4787" s="1" t="str">
        <f t="shared" si="9131"/>
        <v>0</v>
      </c>
      <c r="M4787" s="1" t="str">
        <f t="shared" si="9131"/>
        <v>0</v>
      </c>
      <c r="N4787" s="1" t="str">
        <f t="shared" si="9131"/>
        <v>0</v>
      </c>
      <c r="O4787" s="1" t="str">
        <f t="shared" si="9131"/>
        <v>0</v>
      </c>
      <c r="P4787" s="1" t="str">
        <f t="shared" si="9131"/>
        <v>0</v>
      </c>
      <c r="Q4787" s="1" t="str">
        <f t="shared" si="9050"/>
        <v>0.0070</v>
      </c>
      <c r="R4787" s="1" t="s">
        <v>25</v>
      </c>
      <c r="T4787" s="1" t="str">
        <f t="shared" si="9051"/>
        <v>0</v>
      </c>
      <c r="U4787" s="1" t="str">
        <f t="shared" si="9123"/>
        <v>0.0070</v>
      </c>
    </row>
    <row r="4788" s="1" customFormat="1" spans="1:21">
      <c r="A4788" s="1" t="str">
        <f>"4601992146571"</f>
        <v>4601992146571</v>
      </c>
      <c r="B4788" s="1" t="s">
        <v>4811</v>
      </c>
      <c r="C4788" s="1" t="s">
        <v>24</v>
      </c>
      <c r="D4788" s="1" t="str">
        <f t="shared" si="9048"/>
        <v>2021</v>
      </c>
      <c r="E4788" s="1" t="str">
        <f t="shared" ref="E4788:P4788" si="9132">"0"</f>
        <v>0</v>
      </c>
      <c r="F4788" s="1" t="str">
        <f t="shared" si="9132"/>
        <v>0</v>
      </c>
      <c r="G4788" s="1" t="str">
        <f t="shared" si="9132"/>
        <v>0</v>
      </c>
      <c r="H4788" s="1" t="str">
        <f t="shared" si="9132"/>
        <v>0</v>
      </c>
      <c r="I4788" s="1" t="str">
        <f t="shared" si="9132"/>
        <v>0</v>
      </c>
      <c r="J4788" s="1" t="str">
        <f t="shared" si="9132"/>
        <v>0</v>
      </c>
      <c r="K4788" s="1" t="str">
        <f t="shared" si="9132"/>
        <v>0</v>
      </c>
      <c r="L4788" s="1" t="str">
        <f t="shared" si="9132"/>
        <v>0</v>
      </c>
      <c r="M4788" s="1" t="str">
        <f t="shared" si="9132"/>
        <v>0</v>
      </c>
      <c r="N4788" s="1" t="str">
        <f t="shared" si="9132"/>
        <v>0</v>
      </c>
      <c r="O4788" s="1" t="str">
        <f t="shared" si="9132"/>
        <v>0</v>
      </c>
      <c r="P4788" s="1" t="str">
        <f t="shared" si="9132"/>
        <v>0</v>
      </c>
      <c r="Q4788" s="1" t="str">
        <f t="shared" si="9050"/>
        <v>0.0070</v>
      </c>
      <c r="R4788" s="1" t="s">
        <v>25</v>
      </c>
      <c r="T4788" s="1" t="str">
        <f t="shared" si="9051"/>
        <v>0</v>
      </c>
      <c r="U4788" s="1" t="str">
        <f t="shared" si="9123"/>
        <v>0.0070</v>
      </c>
    </row>
    <row r="4789" s="1" customFormat="1" spans="1:21">
      <c r="A4789" s="1" t="str">
        <f>"4601992146191"</f>
        <v>4601992146191</v>
      </c>
      <c r="B4789" s="1" t="s">
        <v>4812</v>
      </c>
      <c r="C4789" s="1" t="s">
        <v>24</v>
      </c>
      <c r="D4789" s="1" t="str">
        <f t="shared" si="9048"/>
        <v>2021</v>
      </c>
      <c r="E4789" s="1" t="str">
        <f>"48.14"</f>
        <v>48.14</v>
      </c>
      <c r="F4789" s="1" t="str">
        <f t="shared" ref="F4789:I4789" si="9133">"0"</f>
        <v>0</v>
      </c>
      <c r="G4789" s="1" t="str">
        <f t="shared" si="9133"/>
        <v>0</v>
      </c>
      <c r="H4789" s="1" t="str">
        <f t="shared" si="9133"/>
        <v>0</v>
      </c>
      <c r="I4789" s="1" t="str">
        <f t="shared" si="9133"/>
        <v>0</v>
      </c>
      <c r="J4789" s="1" t="str">
        <f>"10"</f>
        <v>10</v>
      </c>
      <c r="K4789" s="1" t="str">
        <f t="shared" ref="K4789:P4789" si="9134">"0"</f>
        <v>0</v>
      </c>
      <c r="L4789" s="1" t="str">
        <f t="shared" si="9134"/>
        <v>0</v>
      </c>
      <c r="M4789" s="1" t="str">
        <f t="shared" si="9134"/>
        <v>0</v>
      </c>
      <c r="N4789" s="1" t="str">
        <f t="shared" si="9134"/>
        <v>0</v>
      </c>
      <c r="O4789" s="1" t="str">
        <f t="shared" si="9134"/>
        <v>0</v>
      </c>
      <c r="P4789" s="1" t="str">
        <f t="shared" si="9134"/>
        <v>0</v>
      </c>
      <c r="Q4789" s="1" t="str">
        <f t="shared" si="9050"/>
        <v>0.0070</v>
      </c>
      <c r="R4789" s="1" t="s">
        <v>29</v>
      </c>
      <c r="S4789" s="1">
        <v>-0.0014</v>
      </c>
      <c r="T4789" s="1" t="str">
        <f t="shared" si="9051"/>
        <v>0</v>
      </c>
      <c r="U4789" s="1" t="str">
        <f>"0.0056"</f>
        <v>0.0056</v>
      </c>
    </row>
    <row r="4790" s="1" customFormat="1" spans="1:21">
      <c r="A4790" s="1" t="str">
        <f>"4601992146642"</f>
        <v>4601992146642</v>
      </c>
      <c r="B4790" s="1" t="s">
        <v>4813</v>
      </c>
      <c r="C4790" s="1" t="s">
        <v>24</v>
      </c>
      <c r="D4790" s="1" t="str">
        <f t="shared" si="9048"/>
        <v>2021</v>
      </c>
      <c r="E4790" s="1" t="str">
        <f t="shared" ref="E4790:P4790" si="9135">"0"</f>
        <v>0</v>
      </c>
      <c r="F4790" s="1" t="str">
        <f t="shared" si="9135"/>
        <v>0</v>
      </c>
      <c r="G4790" s="1" t="str">
        <f t="shared" si="9135"/>
        <v>0</v>
      </c>
      <c r="H4790" s="1" t="str">
        <f t="shared" si="9135"/>
        <v>0</v>
      </c>
      <c r="I4790" s="1" t="str">
        <f t="shared" si="9135"/>
        <v>0</v>
      </c>
      <c r="J4790" s="1" t="str">
        <f t="shared" si="9135"/>
        <v>0</v>
      </c>
      <c r="K4790" s="1" t="str">
        <f t="shared" si="9135"/>
        <v>0</v>
      </c>
      <c r="L4790" s="1" t="str">
        <f t="shared" si="9135"/>
        <v>0</v>
      </c>
      <c r="M4790" s="1" t="str">
        <f t="shared" si="9135"/>
        <v>0</v>
      </c>
      <c r="N4790" s="1" t="str">
        <f t="shared" si="9135"/>
        <v>0</v>
      </c>
      <c r="O4790" s="1" t="str">
        <f t="shared" si="9135"/>
        <v>0</v>
      </c>
      <c r="P4790" s="1" t="str">
        <f t="shared" si="9135"/>
        <v>0</v>
      </c>
      <c r="Q4790" s="1" t="str">
        <f t="shared" si="9050"/>
        <v>0.0070</v>
      </c>
      <c r="R4790" s="1" t="s">
        <v>25</v>
      </c>
      <c r="T4790" s="1" t="str">
        <f t="shared" si="9051"/>
        <v>0</v>
      </c>
      <c r="U4790" s="1" t="str">
        <f t="shared" ref="U4790:U4797" si="9136">"0.0070"</f>
        <v>0.0070</v>
      </c>
    </row>
    <row r="4791" s="1" customFormat="1" spans="1:21">
      <c r="A4791" s="1" t="str">
        <f>"4601992146656"</f>
        <v>4601992146656</v>
      </c>
      <c r="B4791" s="1" t="s">
        <v>4814</v>
      </c>
      <c r="C4791" s="1" t="s">
        <v>24</v>
      </c>
      <c r="D4791" s="1" t="str">
        <f t="shared" si="9048"/>
        <v>2021</v>
      </c>
      <c r="E4791" s="1" t="str">
        <f t="shared" ref="E4791:P4791" si="9137">"0"</f>
        <v>0</v>
      </c>
      <c r="F4791" s="1" t="str">
        <f t="shared" si="9137"/>
        <v>0</v>
      </c>
      <c r="G4791" s="1" t="str">
        <f t="shared" si="9137"/>
        <v>0</v>
      </c>
      <c r="H4791" s="1" t="str">
        <f t="shared" si="9137"/>
        <v>0</v>
      </c>
      <c r="I4791" s="1" t="str">
        <f t="shared" si="9137"/>
        <v>0</v>
      </c>
      <c r="J4791" s="1" t="str">
        <f t="shared" si="9137"/>
        <v>0</v>
      </c>
      <c r="K4791" s="1" t="str">
        <f t="shared" si="9137"/>
        <v>0</v>
      </c>
      <c r="L4791" s="1" t="str">
        <f t="shared" si="9137"/>
        <v>0</v>
      </c>
      <c r="M4791" s="1" t="str">
        <f t="shared" si="9137"/>
        <v>0</v>
      </c>
      <c r="N4791" s="1" t="str">
        <f t="shared" si="9137"/>
        <v>0</v>
      </c>
      <c r="O4791" s="1" t="str">
        <f t="shared" si="9137"/>
        <v>0</v>
      </c>
      <c r="P4791" s="1" t="str">
        <f t="shared" si="9137"/>
        <v>0</v>
      </c>
      <c r="Q4791" s="1" t="str">
        <f t="shared" si="9050"/>
        <v>0.0070</v>
      </c>
      <c r="R4791" s="1" t="s">
        <v>25</v>
      </c>
      <c r="T4791" s="1" t="str">
        <f t="shared" si="9051"/>
        <v>0</v>
      </c>
      <c r="U4791" s="1" t="str">
        <f t="shared" si="9136"/>
        <v>0.0070</v>
      </c>
    </row>
    <row r="4792" s="1" customFormat="1" spans="1:21">
      <c r="A4792" s="1" t="str">
        <f>"4601992146665"</f>
        <v>4601992146665</v>
      </c>
      <c r="B4792" s="1" t="s">
        <v>4815</v>
      </c>
      <c r="C4792" s="1" t="s">
        <v>24</v>
      </c>
      <c r="D4792" s="1" t="str">
        <f t="shared" si="9048"/>
        <v>2021</v>
      </c>
      <c r="E4792" s="1" t="str">
        <f t="shared" ref="E4792:P4792" si="9138">"0"</f>
        <v>0</v>
      </c>
      <c r="F4792" s="1" t="str">
        <f t="shared" si="9138"/>
        <v>0</v>
      </c>
      <c r="G4792" s="1" t="str">
        <f t="shared" si="9138"/>
        <v>0</v>
      </c>
      <c r="H4792" s="1" t="str">
        <f t="shared" si="9138"/>
        <v>0</v>
      </c>
      <c r="I4792" s="1" t="str">
        <f t="shared" si="9138"/>
        <v>0</v>
      </c>
      <c r="J4792" s="1" t="str">
        <f t="shared" si="9138"/>
        <v>0</v>
      </c>
      <c r="K4792" s="1" t="str">
        <f t="shared" si="9138"/>
        <v>0</v>
      </c>
      <c r="L4792" s="1" t="str">
        <f t="shared" si="9138"/>
        <v>0</v>
      </c>
      <c r="M4792" s="1" t="str">
        <f t="shared" si="9138"/>
        <v>0</v>
      </c>
      <c r="N4792" s="1" t="str">
        <f t="shared" si="9138"/>
        <v>0</v>
      </c>
      <c r="O4792" s="1" t="str">
        <f t="shared" si="9138"/>
        <v>0</v>
      </c>
      <c r="P4792" s="1" t="str">
        <f t="shared" si="9138"/>
        <v>0</v>
      </c>
      <c r="Q4792" s="1" t="str">
        <f t="shared" si="9050"/>
        <v>0.0070</v>
      </c>
      <c r="R4792" s="1" t="s">
        <v>25</v>
      </c>
      <c r="T4792" s="1" t="str">
        <f t="shared" si="9051"/>
        <v>0</v>
      </c>
      <c r="U4792" s="1" t="str">
        <f t="shared" si="9136"/>
        <v>0.0070</v>
      </c>
    </row>
    <row r="4793" s="1" customFormat="1" spans="1:21">
      <c r="A4793" s="1" t="str">
        <f>"4601992146683"</f>
        <v>4601992146683</v>
      </c>
      <c r="B4793" s="1" t="s">
        <v>4816</v>
      </c>
      <c r="C4793" s="1" t="s">
        <v>24</v>
      </c>
      <c r="D4793" s="1" t="str">
        <f t="shared" si="9048"/>
        <v>2021</v>
      </c>
      <c r="E4793" s="1" t="str">
        <f t="shared" ref="E4793:P4793" si="9139">"0"</f>
        <v>0</v>
      </c>
      <c r="F4793" s="1" t="str">
        <f t="shared" si="9139"/>
        <v>0</v>
      </c>
      <c r="G4793" s="1" t="str">
        <f t="shared" si="9139"/>
        <v>0</v>
      </c>
      <c r="H4793" s="1" t="str">
        <f t="shared" si="9139"/>
        <v>0</v>
      </c>
      <c r="I4793" s="1" t="str">
        <f t="shared" si="9139"/>
        <v>0</v>
      </c>
      <c r="J4793" s="1" t="str">
        <f t="shared" si="9139"/>
        <v>0</v>
      </c>
      <c r="K4793" s="1" t="str">
        <f t="shared" si="9139"/>
        <v>0</v>
      </c>
      <c r="L4793" s="1" t="str">
        <f t="shared" si="9139"/>
        <v>0</v>
      </c>
      <c r="M4793" s="1" t="str">
        <f t="shared" si="9139"/>
        <v>0</v>
      </c>
      <c r="N4793" s="1" t="str">
        <f t="shared" si="9139"/>
        <v>0</v>
      </c>
      <c r="O4793" s="1" t="str">
        <f t="shared" si="9139"/>
        <v>0</v>
      </c>
      <c r="P4793" s="1" t="str">
        <f t="shared" si="9139"/>
        <v>0</v>
      </c>
      <c r="Q4793" s="1" t="str">
        <f t="shared" si="9050"/>
        <v>0.0070</v>
      </c>
      <c r="R4793" s="1" t="s">
        <v>25</v>
      </c>
      <c r="T4793" s="1" t="str">
        <f t="shared" si="9051"/>
        <v>0</v>
      </c>
      <c r="U4793" s="1" t="str">
        <f t="shared" si="9136"/>
        <v>0.0070</v>
      </c>
    </row>
    <row r="4794" s="1" customFormat="1" spans="1:21">
      <c r="A4794" s="1" t="str">
        <f>"4601992146694"</f>
        <v>4601992146694</v>
      </c>
      <c r="B4794" s="1" t="s">
        <v>4817</v>
      </c>
      <c r="C4794" s="1" t="s">
        <v>24</v>
      </c>
      <c r="D4794" s="1" t="str">
        <f t="shared" si="9048"/>
        <v>2021</v>
      </c>
      <c r="E4794" s="1" t="str">
        <f t="shared" ref="E4794:P4794" si="9140">"0"</f>
        <v>0</v>
      </c>
      <c r="F4794" s="1" t="str">
        <f t="shared" si="9140"/>
        <v>0</v>
      </c>
      <c r="G4794" s="1" t="str">
        <f t="shared" si="9140"/>
        <v>0</v>
      </c>
      <c r="H4794" s="1" t="str">
        <f t="shared" si="9140"/>
        <v>0</v>
      </c>
      <c r="I4794" s="1" t="str">
        <f t="shared" si="9140"/>
        <v>0</v>
      </c>
      <c r="J4794" s="1" t="str">
        <f t="shared" si="9140"/>
        <v>0</v>
      </c>
      <c r="K4794" s="1" t="str">
        <f t="shared" si="9140"/>
        <v>0</v>
      </c>
      <c r="L4794" s="1" t="str">
        <f t="shared" si="9140"/>
        <v>0</v>
      </c>
      <c r="M4794" s="1" t="str">
        <f t="shared" si="9140"/>
        <v>0</v>
      </c>
      <c r="N4794" s="1" t="str">
        <f t="shared" si="9140"/>
        <v>0</v>
      </c>
      <c r="O4794" s="1" t="str">
        <f t="shared" si="9140"/>
        <v>0</v>
      </c>
      <c r="P4794" s="1" t="str">
        <f t="shared" si="9140"/>
        <v>0</v>
      </c>
      <c r="Q4794" s="1" t="str">
        <f t="shared" si="9050"/>
        <v>0.0070</v>
      </c>
      <c r="R4794" s="1" t="s">
        <v>25</v>
      </c>
      <c r="T4794" s="1" t="str">
        <f t="shared" si="9051"/>
        <v>0</v>
      </c>
      <c r="U4794" s="1" t="str">
        <f t="shared" si="9136"/>
        <v>0.0070</v>
      </c>
    </row>
    <row r="4795" s="1" customFormat="1" spans="1:21">
      <c r="A4795" s="1" t="str">
        <f>"4601992146686"</f>
        <v>4601992146686</v>
      </c>
      <c r="B4795" s="1" t="s">
        <v>4818</v>
      </c>
      <c r="C4795" s="1" t="s">
        <v>24</v>
      </c>
      <c r="D4795" s="1" t="str">
        <f t="shared" si="9048"/>
        <v>2021</v>
      </c>
      <c r="E4795" s="1" t="str">
        <f t="shared" ref="E4795:P4795" si="9141">"0"</f>
        <v>0</v>
      </c>
      <c r="F4795" s="1" t="str">
        <f t="shared" si="9141"/>
        <v>0</v>
      </c>
      <c r="G4795" s="1" t="str">
        <f t="shared" si="9141"/>
        <v>0</v>
      </c>
      <c r="H4795" s="1" t="str">
        <f t="shared" si="9141"/>
        <v>0</v>
      </c>
      <c r="I4795" s="1" t="str">
        <f t="shared" si="9141"/>
        <v>0</v>
      </c>
      <c r="J4795" s="1" t="str">
        <f t="shared" si="9141"/>
        <v>0</v>
      </c>
      <c r="K4795" s="1" t="str">
        <f t="shared" si="9141"/>
        <v>0</v>
      </c>
      <c r="L4795" s="1" t="str">
        <f t="shared" si="9141"/>
        <v>0</v>
      </c>
      <c r="M4795" s="1" t="str">
        <f t="shared" si="9141"/>
        <v>0</v>
      </c>
      <c r="N4795" s="1" t="str">
        <f t="shared" si="9141"/>
        <v>0</v>
      </c>
      <c r="O4795" s="1" t="str">
        <f t="shared" si="9141"/>
        <v>0</v>
      </c>
      <c r="P4795" s="1" t="str">
        <f t="shared" si="9141"/>
        <v>0</v>
      </c>
      <c r="Q4795" s="1" t="str">
        <f t="shared" si="9050"/>
        <v>0.0070</v>
      </c>
      <c r="R4795" s="1" t="s">
        <v>25</v>
      </c>
      <c r="T4795" s="1" t="str">
        <f t="shared" si="9051"/>
        <v>0</v>
      </c>
      <c r="U4795" s="1" t="str">
        <f t="shared" si="9136"/>
        <v>0.0070</v>
      </c>
    </row>
    <row r="4796" s="1" customFormat="1" spans="1:21">
      <c r="A4796" s="1" t="str">
        <f>"4601992146739"</f>
        <v>4601992146739</v>
      </c>
      <c r="B4796" s="1" t="s">
        <v>4819</v>
      </c>
      <c r="C4796" s="1" t="s">
        <v>24</v>
      </c>
      <c r="D4796" s="1" t="str">
        <f t="shared" si="9048"/>
        <v>2021</v>
      </c>
      <c r="E4796" s="1" t="str">
        <f t="shared" ref="E4796:P4796" si="9142">"0"</f>
        <v>0</v>
      </c>
      <c r="F4796" s="1" t="str">
        <f t="shared" si="9142"/>
        <v>0</v>
      </c>
      <c r="G4796" s="1" t="str">
        <f t="shared" si="9142"/>
        <v>0</v>
      </c>
      <c r="H4796" s="1" t="str">
        <f t="shared" si="9142"/>
        <v>0</v>
      </c>
      <c r="I4796" s="1" t="str">
        <f t="shared" si="9142"/>
        <v>0</v>
      </c>
      <c r="J4796" s="1" t="str">
        <f t="shared" si="9142"/>
        <v>0</v>
      </c>
      <c r="K4796" s="1" t="str">
        <f t="shared" si="9142"/>
        <v>0</v>
      </c>
      <c r="L4796" s="1" t="str">
        <f t="shared" si="9142"/>
        <v>0</v>
      </c>
      <c r="M4796" s="1" t="str">
        <f t="shared" si="9142"/>
        <v>0</v>
      </c>
      <c r="N4796" s="1" t="str">
        <f t="shared" si="9142"/>
        <v>0</v>
      </c>
      <c r="O4796" s="1" t="str">
        <f t="shared" si="9142"/>
        <v>0</v>
      </c>
      <c r="P4796" s="1" t="str">
        <f t="shared" si="9142"/>
        <v>0</v>
      </c>
      <c r="Q4796" s="1" t="str">
        <f t="shared" si="9050"/>
        <v>0.0070</v>
      </c>
      <c r="R4796" s="1" t="s">
        <v>25</v>
      </c>
      <c r="T4796" s="1" t="str">
        <f t="shared" si="9051"/>
        <v>0</v>
      </c>
      <c r="U4796" s="1" t="str">
        <f t="shared" si="9136"/>
        <v>0.0070</v>
      </c>
    </row>
    <row r="4797" s="1" customFormat="1" spans="1:21">
      <c r="A4797" s="1" t="str">
        <f>"4601992146786"</f>
        <v>4601992146786</v>
      </c>
      <c r="B4797" s="1" t="s">
        <v>4820</v>
      </c>
      <c r="C4797" s="1" t="s">
        <v>24</v>
      </c>
      <c r="D4797" s="1" t="str">
        <f t="shared" si="9048"/>
        <v>2021</v>
      </c>
      <c r="E4797" s="1" t="str">
        <f t="shared" ref="E4797:I4797" si="9143">"0"</f>
        <v>0</v>
      </c>
      <c r="F4797" s="1" t="str">
        <f t="shared" si="9143"/>
        <v>0</v>
      </c>
      <c r="G4797" s="1" t="str">
        <f t="shared" si="9143"/>
        <v>0</v>
      </c>
      <c r="H4797" s="1" t="str">
        <f t="shared" si="9143"/>
        <v>0</v>
      </c>
      <c r="I4797" s="1" t="str">
        <f t="shared" si="9143"/>
        <v>0</v>
      </c>
      <c r="J4797" s="1" t="str">
        <f>"1"</f>
        <v>1</v>
      </c>
      <c r="K4797" s="1" t="str">
        <f t="shared" ref="K4797:P4797" si="9144">"0"</f>
        <v>0</v>
      </c>
      <c r="L4797" s="1" t="str">
        <f t="shared" si="9144"/>
        <v>0</v>
      </c>
      <c r="M4797" s="1" t="str">
        <f t="shared" si="9144"/>
        <v>0</v>
      </c>
      <c r="N4797" s="1" t="str">
        <f t="shared" si="9144"/>
        <v>0</v>
      </c>
      <c r="O4797" s="1" t="str">
        <f t="shared" si="9144"/>
        <v>0</v>
      </c>
      <c r="P4797" s="1" t="str">
        <f t="shared" si="9144"/>
        <v>0</v>
      </c>
      <c r="Q4797" s="1" t="str">
        <f t="shared" si="9050"/>
        <v>0.0070</v>
      </c>
      <c r="R4797" s="1" t="s">
        <v>25</v>
      </c>
      <c r="T4797" s="1" t="str">
        <f t="shared" si="9051"/>
        <v>0</v>
      </c>
      <c r="U4797" s="1" t="str">
        <f t="shared" si="9136"/>
        <v>0.0070</v>
      </c>
    </row>
    <row r="4798" s="1" customFormat="1" spans="1:21">
      <c r="A4798" s="1" t="str">
        <f>"4601992052550"</f>
        <v>4601992052550</v>
      </c>
      <c r="B4798" s="1" t="s">
        <v>4821</v>
      </c>
      <c r="C4798" s="1" t="s">
        <v>24</v>
      </c>
      <c r="D4798" s="1" t="str">
        <f t="shared" si="9048"/>
        <v>2021</v>
      </c>
      <c r="E4798" s="1" t="str">
        <f>"35.94"</f>
        <v>35.94</v>
      </c>
      <c r="F4798" s="1" t="str">
        <f t="shared" ref="F4798:I4798" si="9145">"0"</f>
        <v>0</v>
      </c>
      <c r="G4798" s="1" t="str">
        <f t="shared" si="9145"/>
        <v>0</v>
      </c>
      <c r="H4798" s="1" t="str">
        <f t="shared" si="9145"/>
        <v>0</v>
      </c>
      <c r="I4798" s="1" t="str">
        <f t="shared" si="9145"/>
        <v>0</v>
      </c>
      <c r="J4798" s="1" t="str">
        <f>"3"</f>
        <v>3</v>
      </c>
      <c r="K4798" s="1" t="str">
        <f t="shared" ref="K4798:P4798" si="9146">"0"</f>
        <v>0</v>
      </c>
      <c r="L4798" s="1" t="str">
        <f t="shared" si="9146"/>
        <v>0</v>
      </c>
      <c r="M4798" s="1" t="str">
        <f t="shared" si="9146"/>
        <v>0</v>
      </c>
      <c r="N4798" s="1" t="str">
        <f t="shared" si="9146"/>
        <v>0</v>
      </c>
      <c r="O4798" s="1" t="str">
        <f t="shared" si="9146"/>
        <v>0</v>
      </c>
      <c r="P4798" s="1" t="str">
        <f t="shared" si="9146"/>
        <v>0</v>
      </c>
      <c r="Q4798" s="1" t="str">
        <f t="shared" si="9050"/>
        <v>0.0070</v>
      </c>
      <c r="R4798" s="1" t="s">
        <v>29</v>
      </c>
      <c r="S4798" s="1">
        <v>-0.0014</v>
      </c>
      <c r="T4798" s="1" t="str">
        <f t="shared" si="9051"/>
        <v>0</v>
      </c>
      <c r="U4798" s="1" t="str">
        <f t="shared" ref="U4798:U4801" si="9147">"0.0056"</f>
        <v>0.0056</v>
      </c>
    </row>
    <row r="4799" s="1" customFormat="1" spans="1:21">
      <c r="A4799" s="1" t="str">
        <f>"4601992146916"</f>
        <v>4601992146916</v>
      </c>
      <c r="B4799" s="1" t="s">
        <v>4822</v>
      </c>
      <c r="C4799" s="1" t="s">
        <v>24</v>
      </c>
      <c r="D4799" s="1" t="str">
        <f t="shared" si="9048"/>
        <v>2021</v>
      </c>
      <c r="E4799" s="1" t="str">
        <f>"11.98"</f>
        <v>11.98</v>
      </c>
      <c r="F4799" s="1" t="str">
        <f t="shared" ref="F4799:I4799" si="9148">"0"</f>
        <v>0</v>
      </c>
      <c r="G4799" s="1" t="str">
        <f t="shared" si="9148"/>
        <v>0</v>
      </c>
      <c r="H4799" s="1" t="str">
        <f t="shared" si="9148"/>
        <v>0</v>
      </c>
      <c r="I4799" s="1" t="str">
        <f t="shared" si="9148"/>
        <v>0</v>
      </c>
      <c r="J4799" s="1" t="str">
        <f>"1"</f>
        <v>1</v>
      </c>
      <c r="K4799" s="1" t="str">
        <f t="shared" ref="K4799:P4799" si="9149">"0"</f>
        <v>0</v>
      </c>
      <c r="L4799" s="1" t="str">
        <f t="shared" si="9149"/>
        <v>0</v>
      </c>
      <c r="M4799" s="1" t="str">
        <f t="shared" si="9149"/>
        <v>0</v>
      </c>
      <c r="N4799" s="1" t="str">
        <f t="shared" si="9149"/>
        <v>0</v>
      </c>
      <c r="O4799" s="1" t="str">
        <f t="shared" si="9149"/>
        <v>0</v>
      </c>
      <c r="P4799" s="1" t="str">
        <f t="shared" si="9149"/>
        <v>0</v>
      </c>
      <c r="Q4799" s="1" t="str">
        <f t="shared" si="9050"/>
        <v>0.0070</v>
      </c>
      <c r="R4799" s="1" t="s">
        <v>29</v>
      </c>
      <c r="S4799" s="1">
        <v>-0.0014</v>
      </c>
      <c r="T4799" s="1" t="str">
        <f t="shared" si="9051"/>
        <v>0</v>
      </c>
      <c r="U4799" s="1" t="str">
        <f t="shared" si="9147"/>
        <v>0.0056</v>
      </c>
    </row>
    <row r="4800" s="1" customFormat="1" spans="1:21">
      <c r="A4800" s="1" t="str">
        <f>"4601992147040"</f>
        <v>4601992147040</v>
      </c>
      <c r="B4800" s="1" t="s">
        <v>4823</v>
      </c>
      <c r="C4800" s="1" t="s">
        <v>24</v>
      </c>
      <c r="D4800" s="1" t="str">
        <f t="shared" si="9048"/>
        <v>2021</v>
      </c>
      <c r="E4800" s="1" t="str">
        <f t="shared" ref="E4800:P4800" si="9150">"0"</f>
        <v>0</v>
      </c>
      <c r="F4800" s="1" t="str">
        <f t="shared" si="9150"/>
        <v>0</v>
      </c>
      <c r="G4800" s="1" t="str">
        <f t="shared" si="9150"/>
        <v>0</v>
      </c>
      <c r="H4800" s="1" t="str">
        <f t="shared" si="9150"/>
        <v>0</v>
      </c>
      <c r="I4800" s="1" t="str">
        <f t="shared" si="9150"/>
        <v>0</v>
      </c>
      <c r="J4800" s="1" t="str">
        <f t="shared" si="9150"/>
        <v>0</v>
      </c>
      <c r="K4800" s="1" t="str">
        <f t="shared" si="9150"/>
        <v>0</v>
      </c>
      <c r="L4800" s="1" t="str">
        <f t="shared" si="9150"/>
        <v>0</v>
      </c>
      <c r="M4800" s="1" t="str">
        <f t="shared" si="9150"/>
        <v>0</v>
      </c>
      <c r="N4800" s="1" t="str">
        <f t="shared" si="9150"/>
        <v>0</v>
      </c>
      <c r="O4800" s="1" t="str">
        <f t="shared" si="9150"/>
        <v>0</v>
      </c>
      <c r="P4800" s="1" t="str">
        <f t="shared" si="9150"/>
        <v>0</v>
      </c>
      <c r="Q4800" s="1" t="str">
        <f t="shared" si="9050"/>
        <v>0.0070</v>
      </c>
      <c r="R4800" s="1" t="s">
        <v>25</v>
      </c>
      <c r="T4800" s="1" t="str">
        <f t="shared" si="9051"/>
        <v>0</v>
      </c>
      <c r="U4800" s="1" t="str">
        <f t="shared" ref="U4800:U4811" si="9151">"0.0070"</f>
        <v>0.0070</v>
      </c>
    </row>
    <row r="4801" s="1" customFormat="1" spans="1:21">
      <c r="A4801" s="1" t="str">
        <f>"4601992010297"</f>
        <v>4601992010297</v>
      </c>
      <c r="B4801" s="1" t="s">
        <v>4824</v>
      </c>
      <c r="C4801" s="1" t="s">
        <v>24</v>
      </c>
      <c r="D4801" s="1" t="str">
        <f t="shared" si="9048"/>
        <v>2021</v>
      </c>
      <c r="E4801" s="1" t="str">
        <f>"59.90"</f>
        <v>59.90</v>
      </c>
      <c r="F4801" s="1" t="str">
        <f t="shared" ref="F4801:I4801" si="9152">"0"</f>
        <v>0</v>
      </c>
      <c r="G4801" s="1" t="str">
        <f t="shared" si="9152"/>
        <v>0</v>
      </c>
      <c r="H4801" s="1" t="str">
        <f t="shared" si="9152"/>
        <v>0</v>
      </c>
      <c r="I4801" s="1" t="str">
        <f t="shared" si="9152"/>
        <v>0</v>
      </c>
      <c r="J4801" s="1" t="str">
        <f>"5"</f>
        <v>5</v>
      </c>
      <c r="K4801" s="1" t="str">
        <f t="shared" ref="K4801:P4801" si="9153">"0"</f>
        <v>0</v>
      </c>
      <c r="L4801" s="1" t="str">
        <f t="shared" si="9153"/>
        <v>0</v>
      </c>
      <c r="M4801" s="1" t="str">
        <f t="shared" si="9153"/>
        <v>0</v>
      </c>
      <c r="N4801" s="1" t="str">
        <f t="shared" si="9153"/>
        <v>0</v>
      </c>
      <c r="O4801" s="1" t="str">
        <f t="shared" si="9153"/>
        <v>0</v>
      </c>
      <c r="P4801" s="1" t="str">
        <f t="shared" si="9153"/>
        <v>0</v>
      </c>
      <c r="Q4801" s="1" t="str">
        <f t="shared" si="9050"/>
        <v>0.0070</v>
      </c>
      <c r="R4801" s="1" t="s">
        <v>29</v>
      </c>
      <c r="S4801" s="1">
        <v>-0.0014</v>
      </c>
      <c r="T4801" s="1" t="str">
        <f t="shared" si="9051"/>
        <v>0</v>
      </c>
      <c r="U4801" s="1" t="str">
        <f t="shared" si="9147"/>
        <v>0.0056</v>
      </c>
    </row>
    <row r="4802" s="1" customFormat="1" spans="1:21">
      <c r="A4802" s="1" t="str">
        <f>"4601992147121"</f>
        <v>4601992147121</v>
      </c>
      <c r="B4802" s="1" t="s">
        <v>4825</v>
      </c>
      <c r="C4802" s="1" t="s">
        <v>24</v>
      </c>
      <c r="D4802" s="1" t="str">
        <f t="shared" si="9048"/>
        <v>2021</v>
      </c>
      <c r="E4802" s="1" t="str">
        <f t="shared" ref="E4802:P4802" si="9154">"0"</f>
        <v>0</v>
      </c>
      <c r="F4802" s="1" t="str">
        <f t="shared" si="9154"/>
        <v>0</v>
      </c>
      <c r="G4802" s="1" t="str">
        <f t="shared" si="9154"/>
        <v>0</v>
      </c>
      <c r="H4802" s="1" t="str">
        <f t="shared" si="9154"/>
        <v>0</v>
      </c>
      <c r="I4802" s="1" t="str">
        <f t="shared" si="9154"/>
        <v>0</v>
      </c>
      <c r="J4802" s="1" t="str">
        <f t="shared" si="9154"/>
        <v>0</v>
      </c>
      <c r="K4802" s="1" t="str">
        <f t="shared" si="9154"/>
        <v>0</v>
      </c>
      <c r="L4802" s="1" t="str">
        <f t="shared" si="9154"/>
        <v>0</v>
      </c>
      <c r="M4802" s="1" t="str">
        <f t="shared" si="9154"/>
        <v>0</v>
      </c>
      <c r="N4802" s="1" t="str">
        <f t="shared" si="9154"/>
        <v>0</v>
      </c>
      <c r="O4802" s="1" t="str">
        <f t="shared" si="9154"/>
        <v>0</v>
      </c>
      <c r="P4802" s="1" t="str">
        <f t="shared" si="9154"/>
        <v>0</v>
      </c>
      <c r="Q4802" s="1" t="str">
        <f t="shared" si="9050"/>
        <v>0.0070</v>
      </c>
      <c r="R4802" s="1" t="s">
        <v>25</v>
      </c>
      <c r="T4802" s="1" t="str">
        <f t="shared" si="9051"/>
        <v>0</v>
      </c>
      <c r="U4802" s="1" t="str">
        <f t="shared" si="9151"/>
        <v>0.0070</v>
      </c>
    </row>
    <row r="4803" s="1" customFormat="1" spans="1:21">
      <c r="A4803" s="1" t="str">
        <f>"4601992147342"</f>
        <v>4601992147342</v>
      </c>
      <c r="B4803" s="1" t="s">
        <v>4826</v>
      </c>
      <c r="C4803" s="1" t="s">
        <v>24</v>
      </c>
      <c r="D4803" s="1" t="str">
        <f t="shared" ref="D4803:D4866" si="9155">"2021"</f>
        <v>2021</v>
      </c>
      <c r="E4803" s="1" t="str">
        <f t="shared" ref="E4803:P4803" si="9156">"0"</f>
        <v>0</v>
      </c>
      <c r="F4803" s="1" t="str">
        <f t="shared" si="9156"/>
        <v>0</v>
      </c>
      <c r="G4803" s="1" t="str">
        <f t="shared" si="9156"/>
        <v>0</v>
      </c>
      <c r="H4803" s="1" t="str">
        <f t="shared" si="9156"/>
        <v>0</v>
      </c>
      <c r="I4803" s="1" t="str">
        <f t="shared" si="9156"/>
        <v>0</v>
      </c>
      <c r="J4803" s="1" t="str">
        <f t="shared" si="9156"/>
        <v>0</v>
      </c>
      <c r="K4803" s="1" t="str">
        <f t="shared" si="9156"/>
        <v>0</v>
      </c>
      <c r="L4803" s="1" t="str">
        <f t="shared" si="9156"/>
        <v>0</v>
      </c>
      <c r="M4803" s="1" t="str">
        <f t="shared" si="9156"/>
        <v>0</v>
      </c>
      <c r="N4803" s="1" t="str">
        <f t="shared" si="9156"/>
        <v>0</v>
      </c>
      <c r="O4803" s="1" t="str">
        <f t="shared" si="9156"/>
        <v>0</v>
      </c>
      <c r="P4803" s="1" t="str">
        <f t="shared" si="9156"/>
        <v>0</v>
      </c>
      <c r="Q4803" s="1" t="str">
        <f t="shared" ref="Q4803:Q4866" si="9157">"0.0070"</f>
        <v>0.0070</v>
      </c>
      <c r="R4803" s="1" t="s">
        <v>25</v>
      </c>
      <c r="T4803" s="1" t="str">
        <f t="shared" ref="T4803:T4866" si="9158">"0"</f>
        <v>0</v>
      </c>
      <c r="U4803" s="1" t="str">
        <f t="shared" si="9151"/>
        <v>0.0070</v>
      </c>
    </row>
    <row r="4804" s="1" customFormat="1" spans="1:21">
      <c r="A4804" s="1" t="str">
        <f>"4601992147878"</f>
        <v>4601992147878</v>
      </c>
      <c r="B4804" s="1" t="s">
        <v>4827</v>
      </c>
      <c r="C4804" s="1" t="s">
        <v>24</v>
      </c>
      <c r="D4804" s="1" t="str">
        <f t="shared" si="9155"/>
        <v>2021</v>
      </c>
      <c r="E4804" s="1" t="str">
        <f t="shared" ref="E4804:P4804" si="9159">"0"</f>
        <v>0</v>
      </c>
      <c r="F4804" s="1" t="str">
        <f t="shared" si="9159"/>
        <v>0</v>
      </c>
      <c r="G4804" s="1" t="str">
        <f t="shared" si="9159"/>
        <v>0</v>
      </c>
      <c r="H4804" s="1" t="str">
        <f t="shared" si="9159"/>
        <v>0</v>
      </c>
      <c r="I4804" s="1" t="str">
        <f t="shared" si="9159"/>
        <v>0</v>
      </c>
      <c r="J4804" s="1" t="str">
        <f t="shared" si="9159"/>
        <v>0</v>
      </c>
      <c r="K4804" s="1" t="str">
        <f t="shared" si="9159"/>
        <v>0</v>
      </c>
      <c r="L4804" s="1" t="str">
        <f t="shared" si="9159"/>
        <v>0</v>
      </c>
      <c r="M4804" s="1" t="str">
        <f t="shared" si="9159"/>
        <v>0</v>
      </c>
      <c r="N4804" s="1" t="str">
        <f t="shared" si="9159"/>
        <v>0</v>
      </c>
      <c r="O4804" s="1" t="str">
        <f t="shared" si="9159"/>
        <v>0</v>
      </c>
      <c r="P4804" s="1" t="str">
        <f t="shared" si="9159"/>
        <v>0</v>
      </c>
      <c r="Q4804" s="1" t="str">
        <f t="shared" si="9157"/>
        <v>0.0070</v>
      </c>
      <c r="R4804" s="1" t="s">
        <v>25</v>
      </c>
      <c r="T4804" s="1" t="str">
        <f t="shared" si="9158"/>
        <v>0</v>
      </c>
      <c r="U4804" s="1" t="str">
        <f t="shared" si="9151"/>
        <v>0.0070</v>
      </c>
    </row>
    <row r="4805" s="1" customFormat="1" spans="1:21">
      <c r="A4805" s="1" t="str">
        <f>"4601992147417"</f>
        <v>4601992147417</v>
      </c>
      <c r="B4805" s="1" t="s">
        <v>4828</v>
      </c>
      <c r="C4805" s="1" t="s">
        <v>24</v>
      </c>
      <c r="D4805" s="1" t="str">
        <f t="shared" si="9155"/>
        <v>2021</v>
      </c>
      <c r="E4805" s="1" t="str">
        <f t="shared" ref="E4805:P4805" si="9160">"0"</f>
        <v>0</v>
      </c>
      <c r="F4805" s="1" t="str">
        <f t="shared" si="9160"/>
        <v>0</v>
      </c>
      <c r="G4805" s="1" t="str">
        <f t="shared" si="9160"/>
        <v>0</v>
      </c>
      <c r="H4805" s="1" t="str">
        <f t="shared" si="9160"/>
        <v>0</v>
      </c>
      <c r="I4805" s="1" t="str">
        <f t="shared" si="9160"/>
        <v>0</v>
      </c>
      <c r="J4805" s="1" t="str">
        <f t="shared" si="9160"/>
        <v>0</v>
      </c>
      <c r="K4805" s="1" t="str">
        <f t="shared" si="9160"/>
        <v>0</v>
      </c>
      <c r="L4805" s="1" t="str">
        <f t="shared" si="9160"/>
        <v>0</v>
      </c>
      <c r="M4805" s="1" t="str">
        <f t="shared" si="9160"/>
        <v>0</v>
      </c>
      <c r="N4805" s="1" t="str">
        <f t="shared" si="9160"/>
        <v>0</v>
      </c>
      <c r="O4805" s="1" t="str">
        <f t="shared" si="9160"/>
        <v>0</v>
      </c>
      <c r="P4805" s="1" t="str">
        <f t="shared" si="9160"/>
        <v>0</v>
      </c>
      <c r="Q4805" s="1" t="str">
        <f t="shared" si="9157"/>
        <v>0.0070</v>
      </c>
      <c r="R4805" s="1" t="s">
        <v>25</v>
      </c>
      <c r="T4805" s="1" t="str">
        <f t="shared" si="9158"/>
        <v>0</v>
      </c>
      <c r="U4805" s="1" t="str">
        <f t="shared" si="9151"/>
        <v>0.0070</v>
      </c>
    </row>
    <row r="4806" s="1" customFormat="1" spans="1:21">
      <c r="A4806" s="1" t="str">
        <f>"4601992147273"</f>
        <v>4601992147273</v>
      </c>
      <c r="B4806" s="1" t="s">
        <v>4829</v>
      </c>
      <c r="C4806" s="1" t="s">
        <v>24</v>
      </c>
      <c r="D4806" s="1" t="str">
        <f t="shared" si="9155"/>
        <v>2021</v>
      </c>
      <c r="E4806" s="1" t="str">
        <f t="shared" ref="E4806:I4806" si="9161">"0"</f>
        <v>0</v>
      </c>
      <c r="F4806" s="1" t="str">
        <f t="shared" si="9161"/>
        <v>0</v>
      </c>
      <c r="G4806" s="1" t="str">
        <f t="shared" si="9161"/>
        <v>0</v>
      </c>
      <c r="H4806" s="1" t="str">
        <f t="shared" si="9161"/>
        <v>0</v>
      </c>
      <c r="I4806" s="1" t="str">
        <f t="shared" si="9161"/>
        <v>0</v>
      </c>
      <c r="J4806" s="1" t="str">
        <f>"2"</f>
        <v>2</v>
      </c>
      <c r="K4806" s="1" t="str">
        <f t="shared" ref="K4806:P4806" si="9162">"0"</f>
        <v>0</v>
      </c>
      <c r="L4806" s="1" t="str">
        <f t="shared" si="9162"/>
        <v>0</v>
      </c>
      <c r="M4806" s="1" t="str">
        <f t="shared" si="9162"/>
        <v>0</v>
      </c>
      <c r="N4806" s="1" t="str">
        <f t="shared" si="9162"/>
        <v>0</v>
      </c>
      <c r="O4806" s="1" t="str">
        <f t="shared" si="9162"/>
        <v>0</v>
      </c>
      <c r="P4806" s="1" t="str">
        <f t="shared" si="9162"/>
        <v>0</v>
      </c>
      <c r="Q4806" s="1" t="str">
        <f t="shared" si="9157"/>
        <v>0.0070</v>
      </c>
      <c r="R4806" s="1" t="s">
        <v>25</v>
      </c>
      <c r="T4806" s="1" t="str">
        <f t="shared" si="9158"/>
        <v>0</v>
      </c>
      <c r="U4806" s="1" t="str">
        <f t="shared" si="9151"/>
        <v>0.0070</v>
      </c>
    </row>
    <row r="4807" s="1" customFormat="1" spans="1:21">
      <c r="A4807" s="1" t="str">
        <f>"4601992147958"</f>
        <v>4601992147958</v>
      </c>
      <c r="B4807" s="1" t="s">
        <v>4830</v>
      </c>
      <c r="C4807" s="1" t="s">
        <v>24</v>
      </c>
      <c r="D4807" s="1" t="str">
        <f t="shared" si="9155"/>
        <v>2021</v>
      </c>
      <c r="E4807" s="1" t="str">
        <f t="shared" ref="E4807:P4807" si="9163">"0"</f>
        <v>0</v>
      </c>
      <c r="F4807" s="1" t="str">
        <f t="shared" si="9163"/>
        <v>0</v>
      </c>
      <c r="G4807" s="1" t="str">
        <f t="shared" si="9163"/>
        <v>0</v>
      </c>
      <c r="H4807" s="1" t="str">
        <f t="shared" si="9163"/>
        <v>0</v>
      </c>
      <c r="I4807" s="1" t="str">
        <f t="shared" si="9163"/>
        <v>0</v>
      </c>
      <c r="J4807" s="1" t="str">
        <f t="shared" si="9163"/>
        <v>0</v>
      </c>
      <c r="K4807" s="1" t="str">
        <f t="shared" si="9163"/>
        <v>0</v>
      </c>
      <c r="L4807" s="1" t="str">
        <f t="shared" si="9163"/>
        <v>0</v>
      </c>
      <c r="M4807" s="1" t="str">
        <f t="shared" si="9163"/>
        <v>0</v>
      </c>
      <c r="N4807" s="1" t="str">
        <f t="shared" si="9163"/>
        <v>0</v>
      </c>
      <c r="O4807" s="1" t="str">
        <f t="shared" si="9163"/>
        <v>0</v>
      </c>
      <c r="P4807" s="1" t="str">
        <f t="shared" si="9163"/>
        <v>0</v>
      </c>
      <c r="Q4807" s="1" t="str">
        <f t="shared" si="9157"/>
        <v>0.0070</v>
      </c>
      <c r="R4807" s="1" t="s">
        <v>25</v>
      </c>
      <c r="T4807" s="1" t="str">
        <f t="shared" si="9158"/>
        <v>0</v>
      </c>
      <c r="U4807" s="1" t="str">
        <f t="shared" si="9151"/>
        <v>0.0070</v>
      </c>
    </row>
    <row r="4808" s="1" customFormat="1" spans="1:21">
      <c r="A4808" s="1" t="str">
        <f>"4601992147993"</f>
        <v>4601992147993</v>
      </c>
      <c r="B4808" s="1" t="s">
        <v>4831</v>
      </c>
      <c r="C4808" s="1" t="s">
        <v>24</v>
      </c>
      <c r="D4808" s="1" t="str">
        <f t="shared" si="9155"/>
        <v>2021</v>
      </c>
      <c r="E4808" s="1" t="str">
        <f t="shared" ref="E4808:P4808" si="9164">"0"</f>
        <v>0</v>
      </c>
      <c r="F4808" s="1" t="str">
        <f t="shared" si="9164"/>
        <v>0</v>
      </c>
      <c r="G4808" s="1" t="str">
        <f t="shared" si="9164"/>
        <v>0</v>
      </c>
      <c r="H4808" s="1" t="str">
        <f t="shared" si="9164"/>
        <v>0</v>
      </c>
      <c r="I4808" s="1" t="str">
        <f t="shared" si="9164"/>
        <v>0</v>
      </c>
      <c r="J4808" s="1" t="str">
        <f t="shared" si="9164"/>
        <v>0</v>
      </c>
      <c r="K4808" s="1" t="str">
        <f t="shared" si="9164"/>
        <v>0</v>
      </c>
      <c r="L4808" s="1" t="str">
        <f t="shared" si="9164"/>
        <v>0</v>
      </c>
      <c r="M4808" s="1" t="str">
        <f t="shared" si="9164"/>
        <v>0</v>
      </c>
      <c r="N4808" s="1" t="str">
        <f t="shared" si="9164"/>
        <v>0</v>
      </c>
      <c r="O4808" s="1" t="str">
        <f t="shared" si="9164"/>
        <v>0</v>
      </c>
      <c r="P4808" s="1" t="str">
        <f t="shared" si="9164"/>
        <v>0</v>
      </c>
      <c r="Q4808" s="1" t="str">
        <f t="shared" si="9157"/>
        <v>0.0070</v>
      </c>
      <c r="R4808" s="1" t="s">
        <v>25</v>
      </c>
      <c r="T4808" s="1" t="str">
        <f t="shared" si="9158"/>
        <v>0</v>
      </c>
      <c r="U4808" s="1" t="str">
        <f t="shared" si="9151"/>
        <v>0.0070</v>
      </c>
    </row>
    <row r="4809" s="1" customFormat="1" spans="1:21">
      <c r="A4809" s="1" t="str">
        <f>"4601992147880"</f>
        <v>4601992147880</v>
      </c>
      <c r="B4809" s="1" t="s">
        <v>4832</v>
      </c>
      <c r="C4809" s="1" t="s">
        <v>24</v>
      </c>
      <c r="D4809" s="1" t="str">
        <f t="shared" si="9155"/>
        <v>2021</v>
      </c>
      <c r="E4809" s="1" t="str">
        <f t="shared" ref="E4809:I4809" si="9165">"0"</f>
        <v>0</v>
      </c>
      <c r="F4809" s="1" t="str">
        <f t="shared" si="9165"/>
        <v>0</v>
      </c>
      <c r="G4809" s="1" t="str">
        <f t="shared" si="9165"/>
        <v>0</v>
      </c>
      <c r="H4809" s="1" t="str">
        <f t="shared" si="9165"/>
        <v>0</v>
      </c>
      <c r="I4809" s="1" t="str">
        <f t="shared" si="9165"/>
        <v>0</v>
      </c>
      <c r="J4809" s="1" t="str">
        <f>"1"</f>
        <v>1</v>
      </c>
      <c r="K4809" s="1" t="str">
        <f t="shared" ref="K4809:P4809" si="9166">"0"</f>
        <v>0</v>
      </c>
      <c r="L4809" s="1" t="str">
        <f t="shared" si="9166"/>
        <v>0</v>
      </c>
      <c r="M4809" s="1" t="str">
        <f t="shared" si="9166"/>
        <v>0</v>
      </c>
      <c r="N4809" s="1" t="str">
        <f t="shared" si="9166"/>
        <v>0</v>
      </c>
      <c r="O4809" s="1" t="str">
        <f t="shared" si="9166"/>
        <v>0</v>
      </c>
      <c r="P4809" s="1" t="str">
        <f t="shared" si="9166"/>
        <v>0</v>
      </c>
      <c r="Q4809" s="1" t="str">
        <f t="shared" si="9157"/>
        <v>0.0070</v>
      </c>
      <c r="R4809" s="1" t="s">
        <v>25</v>
      </c>
      <c r="T4809" s="1" t="str">
        <f t="shared" si="9158"/>
        <v>0</v>
      </c>
      <c r="U4809" s="1" t="str">
        <f t="shared" si="9151"/>
        <v>0.0070</v>
      </c>
    </row>
    <row r="4810" s="1" customFormat="1" spans="1:21">
      <c r="A4810" s="1" t="str">
        <f>"4601992148077"</f>
        <v>4601992148077</v>
      </c>
      <c r="B4810" s="1" t="s">
        <v>4833</v>
      </c>
      <c r="C4810" s="1" t="s">
        <v>24</v>
      </c>
      <c r="D4810" s="1" t="str">
        <f t="shared" si="9155"/>
        <v>2021</v>
      </c>
      <c r="E4810" s="1" t="str">
        <f t="shared" ref="E4810:P4810" si="9167">"0"</f>
        <v>0</v>
      </c>
      <c r="F4810" s="1" t="str">
        <f t="shared" si="9167"/>
        <v>0</v>
      </c>
      <c r="G4810" s="1" t="str">
        <f t="shared" si="9167"/>
        <v>0</v>
      </c>
      <c r="H4810" s="1" t="str">
        <f t="shared" si="9167"/>
        <v>0</v>
      </c>
      <c r="I4810" s="1" t="str">
        <f t="shared" si="9167"/>
        <v>0</v>
      </c>
      <c r="J4810" s="1" t="str">
        <f t="shared" si="9167"/>
        <v>0</v>
      </c>
      <c r="K4810" s="1" t="str">
        <f t="shared" si="9167"/>
        <v>0</v>
      </c>
      <c r="L4810" s="1" t="str">
        <f t="shared" si="9167"/>
        <v>0</v>
      </c>
      <c r="M4810" s="1" t="str">
        <f t="shared" si="9167"/>
        <v>0</v>
      </c>
      <c r="N4810" s="1" t="str">
        <f t="shared" si="9167"/>
        <v>0</v>
      </c>
      <c r="O4810" s="1" t="str">
        <f t="shared" si="9167"/>
        <v>0</v>
      </c>
      <c r="P4810" s="1" t="str">
        <f t="shared" si="9167"/>
        <v>0</v>
      </c>
      <c r="Q4810" s="1" t="str">
        <f t="shared" si="9157"/>
        <v>0.0070</v>
      </c>
      <c r="R4810" s="1" t="s">
        <v>25</v>
      </c>
      <c r="T4810" s="1" t="str">
        <f t="shared" si="9158"/>
        <v>0</v>
      </c>
      <c r="U4810" s="1" t="str">
        <f t="shared" si="9151"/>
        <v>0.0070</v>
      </c>
    </row>
    <row r="4811" s="1" customFormat="1" spans="1:21">
      <c r="A4811" s="1" t="str">
        <f>"4601992148082"</f>
        <v>4601992148082</v>
      </c>
      <c r="B4811" s="1" t="s">
        <v>4834</v>
      </c>
      <c r="C4811" s="1" t="s">
        <v>24</v>
      </c>
      <c r="D4811" s="1" t="str">
        <f t="shared" si="9155"/>
        <v>2021</v>
      </c>
      <c r="E4811" s="1" t="str">
        <f t="shared" ref="E4811:P4811" si="9168">"0"</f>
        <v>0</v>
      </c>
      <c r="F4811" s="1" t="str">
        <f t="shared" si="9168"/>
        <v>0</v>
      </c>
      <c r="G4811" s="1" t="str">
        <f t="shared" si="9168"/>
        <v>0</v>
      </c>
      <c r="H4811" s="1" t="str">
        <f t="shared" si="9168"/>
        <v>0</v>
      </c>
      <c r="I4811" s="1" t="str">
        <f t="shared" si="9168"/>
        <v>0</v>
      </c>
      <c r="J4811" s="1" t="str">
        <f t="shared" si="9168"/>
        <v>0</v>
      </c>
      <c r="K4811" s="1" t="str">
        <f t="shared" si="9168"/>
        <v>0</v>
      </c>
      <c r="L4811" s="1" t="str">
        <f t="shared" si="9168"/>
        <v>0</v>
      </c>
      <c r="M4811" s="1" t="str">
        <f t="shared" si="9168"/>
        <v>0</v>
      </c>
      <c r="N4811" s="1" t="str">
        <f t="shared" si="9168"/>
        <v>0</v>
      </c>
      <c r="O4811" s="1" t="str">
        <f t="shared" si="9168"/>
        <v>0</v>
      </c>
      <c r="P4811" s="1" t="str">
        <f t="shared" si="9168"/>
        <v>0</v>
      </c>
      <c r="Q4811" s="1" t="str">
        <f t="shared" si="9157"/>
        <v>0.0070</v>
      </c>
      <c r="R4811" s="1" t="s">
        <v>25</v>
      </c>
      <c r="T4811" s="1" t="str">
        <f t="shared" si="9158"/>
        <v>0</v>
      </c>
      <c r="U4811" s="1" t="str">
        <f t="shared" si="9151"/>
        <v>0.0070</v>
      </c>
    </row>
    <row r="4812" s="1" customFormat="1" spans="1:21">
      <c r="A4812" s="1" t="str">
        <f>"4601992080246"</f>
        <v>4601992080246</v>
      </c>
      <c r="B4812" s="1" t="s">
        <v>4835</v>
      </c>
      <c r="C4812" s="1" t="s">
        <v>24</v>
      </c>
      <c r="D4812" s="1" t="str">
        <f t="shared" si="9155"/>
        <v>2021</v>
      </c>
      <c r="E4812" s="1" t="str">
        <f>"36.76"</f>
        <v>36.76</v>
      </c>
      <c r="F4812" s="1" t="str">
        <f t="shared" ref="F4812:I4812" si="9169">"0"</f>
        <v>0</v>
      </c>
      <c r="G4812" s="1" t="str">
        <f t="shared" si="9169"/>
        <v>0</v>
      </c>
      <c r="H4812" s="1" t="str">
        <f t="shared" si="9169"/>
        <v>0</v>
      </c>
      <c r="I4812" s="1" t="str">
        <f t="shared" si="9169"/>
        <v>0</v>
      </c>
      <c r="J4812" s="1" t="str">
        <f>"3"</f>
        <v>3</v>
      </c>
      <c r="K4812" s="1" t="str">
        <f t="shared" ref="K4812:P4812" si="9170">"0"</f>
        <v>0</v>
      </c>
      <c r="L4812" s="1" t="str">
        <f t="shared" si="9170"/>
        <v>0</v>
      </c>
      <c r="M4812" s="1" t="str">
        <f t="shared" si="9170"/>
        <v>0</v>
      </c>
      <c r="N4812" s="1" t="str">
        <f t="shared" si="9170"/>
        <v>0</v>
      </c>
      <c r="O4812" s="1" t="str">
        <f t="shared" si="9170"/>
        <v>0</v>
      </c>
      <c r="P4812" s="1" t="str">
        <f t="shared" si="9170"/>
        <v>0</v>
      </c>
      <c r="Q4812" s="1" t="str">
        <f t="shared" si="9157"/>
        <v>0.0070</v>
      </c>
      <c r="R4812" s="1" t="s">
        <v>29</v>
      </c>
      <c r="S4812" s="1">
        <v>-0.0014</v>
      </c>
      <c r="T4812" s="1" t="str">
        <f t="shared" si="9158"/>
        <v>0</v>
      </c>
      <c r="U4812" s="1" t="str">
        <f>"0.0056"</f>
        <v>0.0056</v>
      </c>
    </row>
    <row r="4813" s="1" customFormat="1" spans="1:21">
      <c r="A4813" s="1" t="str">
        <f>"4601992148140"</f>
        <v>4601992148140</v>
      </c>
      <c r="B4813" s="1" t="s">
        <v>4836</v>
      </c>
      <c r="C4813" s="1" t="s">
        <v>24</v>
      </c>
      <c r="D4813" s="1" t="str">
        <f t="shared" si="9155"/>
        <v>2021</v>
      </c>
      <c r="E4813" s="1" t="str">
        <f t="shared" ref="E4813:P4813" si="9171">"0"</f>
        <v>0</v>
      </c>
      <c r="F4813" s="1" t="str">
        <f t="shared" si="9171"/>
        <v>0</v>
      </c>
      <c r="G4813" s="1" t="str">
        <f t="shared" si="9171"/>
        <v>0</v>
      </c>
      <c r="H4813" s="1" t="str">
        <f t="shared" si="9171"/>
        <v>0</v>
      </c>
      <c r="I4813" s="1" t="str">
        <f t="shared" si="9171"/>
        <v>0</v>
      </c>
      <c r="J4813" s="1" t="str">
        <f t="shared" si="9171"/>
        <v>0</v>
      </c>
      <c r="K4813" s="1" t="str">
        <f t="shared" si="9171"/>
        <v>0</v>
      </c>
      <c r="L4813" s="1" t="str">
        <f t="shared" si="9171"/>
        <v>0</v>
      </c>
      <c r="M4813" s="1" t="str">
        <f t="shared" si="9171"/>
        <v>0</v>
      </c>
      <c r="N4813" s="1" t="str">
        <f t="shared" si="9171"/>
        <v>0</v>
      </c>
      <c r="O4813" s="1" t="str">
        <f t="shared" si="9171"/>
        <v>0</v>
      </c>
      <c r="P4813" s="1" t="str">
        <f t="shared" si="9171"/>
        <v>0</v>
      </c>
      <c r="Q4813" s="1" t="str">
        <f t="shared" si="9157"/>
        <v>0.0070</v>
      </c>
      <c r="R4813" s="1" t="s">
        <v>25</v>
      </c>
      <c r="T4813" s="1" t="str">
        <f t="shared" si="9158"/>
        <v>0</v>
      </c>
      <c r="U4813" s="1" t="str">
        <f t="shared" ref="U4813:U4825" si="9172">"0.0070"</f>
        <v>0.0070</v>
      </c>
    </row>
    <row r="4814" s="1" customFormat="1" spans="1:21">
      <c r="A4814" s="1" t="str">
        <f>"4601992148109"</f>
        <v>4601992148109</v>
      </c>
      <c r="B4814" s="1" t="s">
        <v>4837</v>
      </c>
      <c r="C4814" s="1" t="s">
        <v>24</v>
      </c>
      <c r="D4814" s="1" t="str">
        <f t="shared" si="9155"/>
        <v>2021</v>
      </c>
      <c r="E4814" s="1" t="str">
        <f t="shared" ref="E4814:P4814" si="9173">"0"</f>
        <v>0</v>
      </c>
      <c r="F4814" s="1" t="str">
        <f t="shared" si="9173"/>
        <v>0</v>
      </c>
      <c r="G4814" s="1" t="str">
        <f t="shared" si="9173"/>
        <v>0</v>
      </c>
      <c r="H4814" s="1" t="str">
        <f t="shared" si="9173"/>
        <v>0</v>
      </c>
      <c r="I4814" s="1" t="str">
        <f t="shared" si="9173"/>
        <v>0</v>
      </c>
      <c r="J4814" s="1" t="str">
        <f t="shared" si="9173"/>
        <v>0</v>
      </c>
      <c r="K4814" s="1" t="str">
        <f t="shared" si="9173"/>
        <v>0</v>
      </c>
      <c r="L4814" s="1" t="str">
        <f t="shared" si="9173"/>
        <v>0</v>
      </c>
      <c r="M4814" s="1" t="str">
        <f t="shared" si="9173"/>
        <v>0</v>
      </c>
      <c r="N4814" s="1" t="str">
        <f t="shared" si="9173"/>
        <v>0</v>
      </c>
      <c r="O4814" s="1" t="str">
        <f t="shared" si="9173"/>
        <v>0</v>
      </c>
      <c r="P4814" s="1" t="str">
        <f t="shared" si="9173"/>
        <v>0</v>
      </c>
      <c r="Q4814" s="1" t="str">
        <f t="shared" si="9157"/>
        <v>0.0070</v>
      </c>
      <c r="R4814" s="1" t="s">
        <v>25</v>
      </c>
      <c r="T4814" s="1" t="str">
        <f t="shared" si="9158"/>
        <v>0</v>
      </c>
      <c r="U4814" s="1" t="str">
        <f t="shared" si="9172"/>
        <v>0.0070</v>
      </c>
    </row>
    <row r="4815" s="1" customFormat="1" spans="1:21">
      <c r="A4815" s="1" t="str">
        <f>"4601992148152"</f>
        <v>4601992148152</v>
      </c>
      <c r="B4815" s="1" t="s">
        <v>4838</v>
      </c>
      <c r="C4815" s="1" t="s">
        <v>24</v>
      </c>
      <c r="D4815" s="1" t="str">
        <f t="shared" si="9155"/>
        <v>2021</v>
      </c>
      <c r="E4815" s="1" t="str">
        <f t="shared" ref="E4815:P4815" si="9174">"0"</f>
        <v>0</v>
      </c>
      <c r="F4815" s="1" t="str">
        <f t="shared" si="9174"/>
        <v>0</v>
      </c>
      <c r="G4815" s="1" t="str">
        <f t="shared" si="9174"/>
        <v>0</v>
      </c>
      <c r="H4815" s="1" t="str">
        <f t="shared" si="9174"/>
        <v>0</v>
      </c>
      <c r="I4815" s="1" t="str">
        <f t="shared" si="9174"/>
        <v>0</v>
      </c>
      <c r="J4815" s="1" t="str">
        <f t="shared" si="9174"/>
        <v>0</v>
      </c>
      <c r="K4815" s="1" t="str">
        <f t="shared" si="9174"/>
        <v>0</v>
      </c>
      <c r="L4815" s="1" t="str">
        <f t="shared" si="9174"/>
        <v>0</v>
      </c>
      <c r="M4815" s="1" t="str">
        <f t="shared" si="9174"/>
        <v>0</v>
      </c>
      <c r="N4815" s="1" t="str">
        <f t="shared" si="9174"/>
        <v>0</v>
      </c>
      <c r="O4815" s="1" t="str">
        <f t="shared" si="9174"/>
        <v>0</v>
      </c>
      <c r="P4815" s="1" t="str">
        <f t="shared" si="9174"/>
        <v>0</v>
      </c>
      <c r="Q4815" s="1" t="str">
        <f t="shared" si="9157"/>
        <v>0.0070</v>
      </c>
      <c r="R4815" s="1" t="s">
        <v>25</v>
      </c>
      <c r="T4815" s="1" t="str">
        <f t="shared" si="9158"/>
        <v>0</v>
      </c>
      <c r="U4815" s="1" t="str">
        <f t="shared" si="9172"/>
        <v>0.0070</v>
      </c>
    </row>
    <row r="4816" s="1" customFormat="1" spans="1:21">
      <c r="A4816" s="1" t="str">
        <f>"4601992148169"</f>
        <v>4601992148169</v>
      </c>
      <c r="B4816" s="1" t="s">
        <v>4839</v>
      </c>
      <c r="C4816" s="1" t="s">
        <v>24</v>
      </c>
      <c r="D4816" s="1" t="str">
        <f t="shared" si="9155"/>
        <v>2021</v>
      </c>
      <c r="E4816" s="1" t="str">
        <f t="shared" ref="E4816:P4816" si="9175">"0"</f>
        <v>0</v>
      </c>
      <c r="F4816" s="1" t="str">
        <f t="shared" si="9175"/>
        <v>0</v>
      </c>
      <c r="G4816" s="1" t="str">
        <f t="shared" si="9175"/>
        <v>0</v>
      </c>
      <c r="H4816" s="1" t="str">
        <f t="shared" si="9175"/>
        <v>0</v>
      </c>
      <c r="I4816" s="1" t="str">
        <f t="shared" si="9175"/>
        <v>0</v>
      </c>
      <c r="J4816" s="1" t="str">
        <f t="shared" si="9175"/>
        <v>0</v>
      </c>
      <c r="K4816" s="1" t="str">
        <f t="shared" si="9175"/>
        <v>0</v>
      </c>
      <c r="L4816" s="1" t="str">
        <f t="shared" si="9175"/>
        <v>0</v>
      </c>
      <c r="M4816" s="1" t="str">
        <f t="shared" si="9175"/>
        <v>0</v>
      </c>
      <c r="N4816" s="1" t="str">
        <f t="shared" si="9175"/>
        <v>0</v>
      </c>
      <c r="O4816" s="1" t="str">
        <f t="shared" si="9175"/>
        <v>0</v>
      </c>
      <c r="P4816" s="1" t="str">
        <f t="shared" si="9175"/>
        <v>0</v>
      </c>
      <c r="Q4816" s="1" t="str">
        <f t="shared" si="9157"/>
        <v>0.0070</v>
      </c>
      <c r="R4816" s="1" t="s">
        <v>25</v>
      </c>
      <c r="T4816" s="1" t="str">
        <f t="shared" si="9158"/>
        <v>0</v>
      </c>
      <c r="U4816" s="1" t="str">
        <f t="shared" si="9172"/>
        <v>0.0070</v>
      </c>
    </row>
    <row r="4817" s="1" customFormat="1" spans="1:21">
      <c r="A4817" s="1" t="str">
        <f>"4601992148398"</f>
        <v>4601992148398</v>
      </c>
      <c r="B4817" s="1" t="s">
        <v>4840</v>
      </c>
      <c r="C4817" s="1" t="s">
        <v>24</v>
      </c>
      <c r="D4817" s="1" t="str">
        <f t="shared" si="9155"/>
        <v>2021</v>
      </c>
      <c r="E4817" s="1" t="str">
        <f t="shared" ref="E4817:P4817" si="9176">"0"</f>
        <v>0</v>
      </c>
      <c r="F4817" s="1" t="str">
        <f t="shared" si="9176"/>
        <v>0</v>
      </c>
      <c r="G4817" s="1" t="str">
        <f t="shared" si="9176"/>
        <v>0</v>
      </c>
      <c r="H4817" s="1" t="str">
        <f t="shared" si="9176"/>
        <v>0</v>
      </c>
      <c r="I4817" s="1" t="str">
        <f t="shared" si="9176"/>
        <v>0</v>
      </c>
      <c r="J4817" s="1" t="str">
        <f t="shared" si="9176"/>
        <v>0</v>
      </c>
      <c r="K4817" s="1" t="str">
        <f t="shared" si="9176"/>
        <v>0</v>
      </c>
      <c r="L4817" s="1" t="str">
        <f t="shared" si="9176"/>
        <v>0</v>
      </c>
      <c r="M4817" s="1" t="str">
        <f t="shared" si="9176"/>
        <v>0</v>
      </c>
      <c r="N4817" s="1" t="str">
        <f t="shared" si="9176"/>
        <v>0</v>
      </c>
      <c r="O4817" s="1" t="str">
        <f t="shared" si="9176"/>
        <v>0</v>
      </c>
      <c r="P4817" s="1" t="str">
        <f t="shared" si="9176"/>
        <v>0</v>
      </c>
      <c r="Q4817" s="1" t="str">
        <f t="shared" si="9157"/>
        <v>0.0070</v>
      </c>
      <c r="R4817" s="1" t="s">
        <v>25</v>
      </c>
      <c r="T4817" s="1" t="str">
        <f t="shared" si="9158"/>
        <v>0</v>
      </c>
      <c r="U4817" s="1" t="str">
        <f t="shared" si="9172"/>
        <v>0.0070</v>
      </c>
    </row>
    <row r="4818" s="1" customFormat="1" spans="1:21">
      <c r="A4818" s="1" t="str">
        <f>"4601992148181"</f>
        <v>4601992148181</v>
      </c>
      <c r="B4818" s="1" t="s">
        <v>4841</v>
      </c>
      <c r="C4818" s="1" t="s">
        <v>24</v>
      </c>
      <c r="D4818" s="1" t="str">
        <f t="shared" si="9155"/>
        <v>2021</v>
      </c>
      <c r="E4818" s="1" t="str">
        <f t="shared" ref="E4818:P4818" si="9177">"0"</f>
        <v>0</v>
      </c>
      <c r="F4818" s="1" t="str">
        <f t="shared" si="9177"/>
        <v>0</v>
      </c>
      <c r="G4818" s="1" t="str">
        <f t="shared" si="9177"/>
        <v>0</v>
      </c>
      <c r="H4818" s="1" t="str">
        <f t="shared" si="9177"/>
        <v>0</v>
      </c>
      <c r="I4818" s="1" t="str">
        <f t="shared" si="9177"/>
        <v>0</v>
      </c>
      <c r="J4818" s="1" t="str">
        <f t="shared" si="9177"/>
        <v>0</v>
      </c>
      <c r="K4818" s="1" t="str">
        <f t="shared" si="9177"/>
        <v>0</v>
      </c>
      <c r="L4818" s="1" t="str">
        <f t="shared" si="9177"/>
        <v>0</v>
      </c>
      <c r="M4818" s="1" t="str">
        <f t="shared" si="9177"/>
        <v>0</v>
      </c>
      <c r="N4818" s="1" t="str">
        <f t="shared" si="9177"/>
        <v>0</v>
      </c>
      <c r="O4818" s="1" t="str">
        <f t="shared" si="9177"/>
        <v>0</v>
      </c>
      <c r="P4818" s="1" t="str">
        <f t="shared" si="9177"/>
        <v>0</v>
      </c>
      <c r="Q4818" s="1" t="str">
        <f t="shared" si="9157"/>
        <v>0.0070</v>
      </c>
      <c r="R4818" s="1" t="s">
        <v>25</v>
      </c>
      <c r="T4818" s="1" t="str">
        <f t="shared" si="9158"/>
        <v>0</v>
      </c>
      <c r="U4818" s="1" t="str">
        <f t="shared" si="9172"/>
        <v>0.0070</v>
      </c>
    </row>
    <row r="4819" s="1" customFormat="1" spans="1:21">
      <c r="A4819" s="1" t="str">
        <f>"4601992148277"</f>
        <v>4601992148277</v>
      </c>
      <c r="B4819" s="1" t="s">
        <v>4842</v>
      </c>
      <c r="C4819" s="1" t="s">
        <v>24</v>
      </c>
      <c r="D4819" s="1" t="str">
        <f t="shared" si="9155"/>
        <v>2021</v>
      </c>
      <c r="E4819" s="1" t="str">
        <f t="shared" ref="E4819:P4819" si="9178">"0"</f>
        <v>0</v>
      </c>
      <c r="F4819" s="1" t="str">
        <f t="shared" si="9178"/>
        <v>0</v>
      </c>
      <c r="G4819" s="1" t="str">
        <f t="shared" si="9178"/>
        <v>0</v>
      </c>
      <c r="H4819" s="1" t="str">
        <f t="shared" si="9178"/>
        <v>0</v>
      </c>
      <c r="I4819" s="1" t="str">
        <f t="shared" si="9178"/>
        <v>0</v>
      </c>
      <c r="J4819" s="1" t="str">
        <f t="shared" si="9178"/>
        <v>0</v>
      </c>
      <c r="K4819" s="1" t="str">
        <f t="shared" si="9178"/>
        <v>0</v>
      </c>
      <c r="L4819" s="1" t="str">
        <f t="shared" si="9178"/>
        <v>0</v>
      </c>
      <c r="M4819" s="1" t="str">
        <f t="shared" si="9178"/>
        <v>0</v>
      </c>
      <c r="N4819" s="1" t="str">
        <f t="shared" si="9178"/>
        <v>0</v>
      </c>
      <c r="O4819" s="1" t="str">
        <f t="shared" si="9178"/>
        <v>0</v>
      </c>
      <c r="P4819" s="1" t="str">
        <f t="shared" si="9178"/>
        <v>0</v>
      </c>
      <c r="Q4819" s="1" t="str">
        <f t="shared" si="9157"/>
        <v>0.0070</v>
      </c>
      <c r="R4819" s="1" t="s">
        <v>25</v>
      </c>
      <c r="T4819" s="1" t="str">
        <f t="shared" si="9158"/>
        <v>0</v>
      </c>
      <c r="U4819" s="1" t="str">
        <f t="shared" si="9172"/>
        <v>0.0070</v>
      </c>
    </row>
    <row r="4820" s="1" customFormat="1" spans="1:21">
      <c r="A4820" s="1" t="str">
        <f>"4601992148400"</f>
        <v>4601992148400</v>
      </c>
      <c r="B4820" s="1" t="s">
        <v>4843</v>
      </c>
      <c r="C4820" s="1" t="s">
        <v>24</v>
      </c>
      <c r="D4820" s="1" t="str">
        <f t="shared" si="9155"/>
        <v>2021</v>
      </c>
      <c r="E4820" s="1" t="str">
        <f t="shared" ref="E4820:P4820" si="9179">"0"</f>
        <v>0</v>
      </c>
      <c r="F4820" s="1" t="str">
        <f t="shared" si="9179"/>
        <v>0</v>
      </c>
      <c r="G4820" s="1" t="str">
        <f t="shared" si="9179"/>
        <v>0</v>
      </c>
      <c r="H4820" s="1" t="str">
        <f t="shared" si="9179"/>
        <v>0</v>
      </c>
      <c r="I4820" s="1" t="str">
        <f t="shared" si="9179"/>
        <v>0</v>
      </c>
      <c r="J4820" s="1" t="str">
        <f t="shared" si="9179"/>
        <v>0</v>
      </c>
      <c r="K4820" s="1" t="str">
        <f t="shared" si="9179"/>
        <v>0</v>
      </c>
      <c r="L4820" s="1" t="str">
        <f t="shared" si="9179"/>
        <v>0</v>
      </c>
      <c r="M4820" s="1" t="str">
        <f t="shared" si="9179"/>
        <v>0</v>
      </c>
      <c r="N4820" s="1" t="str">
        <f t="shared" si="9179"/>
        <v>0</v>
      </c>
      <c r="O4820" s="1" t="str">
        <f t="shared" si="9179"/>
        <v>0</v>
      </c>
      <c r="P4820" s="1" t="str">
        <f t="shared" si="9179"/>
        <v>0</v>
      </c>
      <c r="Q4820" s="1" t="str">
        <f t="shared" si="9157"/>
        <v>0.0070</v>
      </c>
      <c r="R4820" s="1" t="s">
        <v>25</v>
      </c>
      <c r="T4820" s="1" t="str">
        <f t="shared" si="9158"/>
        <v>0</v>
      </c>
      <c r="U4820" s="1" t="str">
        <f t="shared" si="9172"/>
        <v>0.0070</v>
      </c>
    </row>
    <row r="4821" s="1" customFormat="1" spans="1:21">
      <c r="A4821" s="1" t="str">
        <f>"4601992148451"</f>
        <v>4601992148451</v>
      </c>
      <c r="B4821" s="1" t="s">
        <v>4844</v>
      </c>
      <c r="C4821" s="1" t="s">
        <v>24</v>
      </c>
      <c r="D4821" s="1" t="str">
        <f t="shared" si="9155"/>
        <v>2021</v>
      </c>
      <c r="E4821" s="1" t="str">
        <f t="shared" ref="E4821:P4821" si="9180">"0"</f>
        <v>0</v>
      </c>
      <c r="F4821" s="1" t="str">
        <f t="shared" si="9180"/>
        <v>0</v>
      </c>
      <c r="G4821" s="1" t="str">
        <f t="shared" si="9180"/>
        <v>0</v>
      </c>
      <c r="H4821" s="1" t="str">
        <f t="shared" si="9180"/>
        <v>0</v>
      </c>
      <c r="I4821" s="1" t="str">
        <f t="shared" si="9180"/>
        <v>0</v>
      </c>
      <c r="J4821" s="1" t="str">
        <f t="shared" si="9180"/>
        <v>0</v>
      </c>
      <c r="K4821" s="1" t="str">
        <f t="shared" si="9180"/>
        <v>0</v>
      </c>
      <c r="L4821" s="1" t="str">
        <f t="shared" si="9180"/>
        <v>0</v>
      </c>
      <c r="M4821" s="1" t="str">
        <f t="shared" si="9180"/>
        <v>0</v>
      </c>
      <c r="N4821" s="1" t="str">
        <f t="shared" si="9180"/>
        <v>0</v>
      </c>
      <c r="O4821" s="1" t="str">
        <f t="shared" si="9180"/>
        <v>0</v>
      </c>
      <c r="P4821" s="1" t="str">
        <f t="shared" si="9180"/>
        <v>0</v>
      </c>
      <c r="Q4821" s="1" t="str">
        <f t="shared" si="9157"/>
        <v>0.0070</v>
      </c>
      <c r="R4821" s="1" t="s">
        <v>25</v>
      </c>
      <c r="T4821" s="1" t="str">
        <f t="shared" si="9158"/>
        <v>0</v>
      </c>
      <c r="U4821" s="1" t="str">
        <f t="shared" si="9172"/>
        <v>0.0070</v>
      </c>
    </row>
    <row r="4822" s="1" customFormat="1" spans="1:21">
      <c r="A4822" s="1" t="str">
        <f>"4601992148446"</f>
        <v>4601992148446</v>
      </c>
      <c r="B4822" s="1" t="s">
        <v>4845</v>
      </c>
      <c r="C4822" s="1" t="s">
        <v>24</v>
      </c>
      <c r="D4822" s="1" t="str">
        <f t="shared" si="9155"/>
        <v>2021</v>
      </c>
      <c r="E4822" s="1" t="str">
        <f t="shared" ref="E4822:P4822" si="9181">"0"</f>
        <v>0</v>
      </c>
      <c r="F4822" s="1" t="str">
        <f t="shared" si="9181"/>
        <v>0</v>
      </c>
      <c r="G4822" s="1" t="str">
        <f t="shared" si="9181"/>
        <v>0</v>
      </c>
      <c r="H4822" s="1" t="str">
        <f t="shared" si="9181"/>
        <v>0</v>
      </c>
      <c r="I4822" s="1" t="str">
        <f t="shared" si="9181"/>
        <v>0</v>
      </c>
      <c r="J4822" s="1" t="str">
        <f t="shared" si="9181"/>
        <v>0</v>
      </c>
      <c r="K4822" s="1" t="str">
        <f t="shared" si="9181"/>
        <v>0</v>
      </c>
      <c r="L4822" s="1" t="str">
        <f t="shared" si="9181"/>
        <v>0</v>
      </c>
      <c r="M4822" s="1" t="str">
        <f t="shared" si="9181"/>
        <v>0</v>
      </c>
      <c r="N4822" s="1" t="str">
        <f t="shared" si="9181"/>
        <v>0</v>
      </c>
      <c r="O4822" s="1" t="str">
        <f t="shared" si="9181"/>
        <v>0</v>
      </c>
      <c r="P4822" s="1" t="str">
        <f t="shared" si="9181"/>
        <v>0</v>
      </c>
      <c r="Q4822" s="1" t="str">
        <f t="shared" si="9157"/>
        <v>0.0070</v>
      </c>
      <c r="R4822" s="1" t="s">
        <v>25</v>
      </c>
      <c r="T4822" s="1" t="str">
        <f t="shared" si="9158"/>
        <v>0</v>
      </c>
      <c r="U4822" s="1" t="str">
        <f t="shared" si="9172"/>
        <v>0.0070</v>
      </c>
    </row>
    <row r="4823" s="1" customFormat="1" spans="1:21">
      <c r="A4823" s="1" t="str">
        <f>"4601992148590"</f>
        <v>4601992148590</v>
      </c>
      <c r="B4823" s="1" t="s">
        <v>4846</v>
      </c>
      <c r="C4823" s="1" t="s">
        <v>24</v>
      </c>
      <c r="D4823" s="1" t="str">
        <f t="shared" si="9155"/>
        <v>2021</v>
      </c>
      <c r="E4823" s="1" t="str">
        <f t="shared" ref="E4823:P4823" si="9182">"0"</f>
        <v>0</v>
      </c>
      <c r="F4823" s="1" t="str">
        <f t="shared" si="9182"/>
        <v>0</v>
      </c>
      <c r="G4823" s="1" t="str">
        <f t="shared" si="9182"/>
        <v>0</v>
      </c>
      <c r="H4823" s="1" t="str">
        <f t="shared" si="9182"/>
        <v>0</v>
      </c>
      <c r="I4823" s="1" t="str">
        <f t="shared" si="9182"/>
        <v>0</v>
      </c>
      <c r="J4823" s="1" t="str">
        <f t="shared" si="9182"/>
        <v>0</v>
      </c>
      <c r="K4823" s="1" t="str">
        <f t="shared" si="9182"/>
        <v>0</v>
      </c>
      <c r="L4823" s="1" t="str">
        <f t="shared" si="9182"/>
        <v>0</v>
      </c>
      <c r="M4823" s="1" t="str">
        <f t="shared" si="9182"/>
        <v>0</v>
      </c>
      <c r="N4823" s="1" t="str">
        <f t="shared" si="9182"/>
        <v>0</v>
      </c>
      <c r="O4823" s="1" t="str">
        <f t="shared" si="9182"/>
        <v>0</v>
      </c>
      <c r="P4823" s="1" t="str">
        <f t="shared" si="9182"/>
        <v>0</v>
      </c>
      <c r="Q4823" s="1" t="str">
        <f t="shared" si="9157"/>
        <v>0.0070</v>
      </c>
      <c r="R4823" s="1" t="s">
        <v>25</v>
      </c>
      <c r="T4823" s="1" t="str">
        <f t="shared" si="9158"/>
        <v>0</v>
      </c>
      <c r="U4823" s="1" t="str">
        <f t="shared" si="9172"/>
        <v>0.0070</v>
      </c>
    </row>
    <row r="4824" s="1" customFormat="1" spans="1:21">
      <c r="A4824" s="1" t="str">
        <f>"4601992148661"</f>
        <v>4601992148661</v>
      </c>
      <c r="B4824" s="1" t="s">
        <v>4847</v>
      </c>
      <c r="C4824" s="1" t="s">
        <v>24</v>
      </c>
      <c r="D4824" s="1" t="str">
        <f t="shared" si="9155"/>
        <v>2021</v>
      </c>
      <c r="E4824" s="1" t="str">
        <f t="shared" ref="E4824:P4824" si="9183">"0"</f>
        <v>0</v>
      </c>
      <c r="F4824" s="1" t="str">
        <f t="shared" si="9183"/>
        <v>0</v>
      </c>
      <c r="G4824" s="1" t="str">
        <f t="shared" si="9183"/>
        <v>0</v>
      </c>
      <c r="H4824" s="1" t="str">
        <f t="shared" si="9183"/>
        <v>0</v>
      </c>
      <c r="I4824" s="1" t="str">
        <f t="shared" si="9183"/>
        <v>0</v>
      </c>
      <c r="J4824" s="1" t="str">
        <f t="shared" si="9183"/>
        <v>0</v>
      </c>
      <c r="K4824" s="1" t="str">
        <f t="shared" si="9183"/>
        <v>0</v>
      </c>
      <c r="L4824" s="1" t="str">
        <f t="shared" si="9183"/>
        <v>0</v>
      </c>
      <c r="M4824" s="1" t="str">
        <f t="shared" si="9183"/>
        <v>0</v>
      </c>
      <c r="N4824" s="1" t="str">
        <f t="shared" si="9183"/>
        <v>0</v>
      </c>
      <c r="O4824" s="1" t="str">
        <f t="shared" si="9183"/>
        <v>0</v>
      </c>
      <c r="P4824" s="1" t="str">
        <f t="shared" si="9183"/>
        <v>0</v>
      </c>
      <c r="Q4824" s="1" t="str">
        <f t="shared" si="9157"/>
        <v>0.0070</v>
      </c>
      <c r="R4824" s="1" t="s">
        <v>25</v>
      </c>
      <c r="T4824" s="1" t="str">
        <f t="shared" si="9158"/>
        <v>0</v>
      </c>
      <c r="U4824" s="1" t="str">
        <f t="shared" si="9172"/>
        <v>0.0070</v>
      </c>
    </row>
    <row r="4825" s="1" customFormat="1" spans="1:21">
      <c r="A4825" s="1" t="str">
        <f>"4601992150162"</f>
        <v>4601992150162</v>
      </c>
      <c r="B4825" s="1" t="s">
        <v>4848</v>
      </c>
      <c r="C4825" s="1" t="s">
        <v>24</v>
      </c>
      <c r="D4825" s="1" t="str">
        <f t="shared" si="9155"/>
        <v>2021</v>
      </c>
      <c r="E4825" s="1" t="str">
        <f t="shared" ref="E4825:P4825" si="9184">"0"</f>
        <v>0</v>
      </c>
      <c r="F4825" s="1" t="str">
        <f t="shared" si="9184"/>
        <v>0</v>
      </c>
      <c r="G4825" s="1" t="str">
        <f t="shared" si="9184"/>
        <v>0</v>
      </c>
      <c r="H4825" s="1" t="str">
        <f t="shared" si="9184"/>
        <v>0</v>
      </c>
      <c r="I4825" s="1" t="str">
        <f t="shared" si="9184"/>
        <v>0</v>
      </c>
      <c r="J4825" s="1" t="str">
        <f t="shared" si="9184"/>
        <v>0</v>
      </c>
      <c r="K4825" s="1" t="str">
        <f t="shared" si="9184"/>
        <v>0</v>
      </c>
      <c r="L4825" s="1" t="str">
        <f t="shared" si="9184"/>
        <v>0</v>
      </c>
      <c r="M4825" s="1" t="str">
        <f t="shared" si="9184"/>
        <v>0</v>
      </c>
      <c r="N4825" s="1" t="str">
        <f t="shared" si="9184"/>
        <v>0</v>
      </c>
      <c r="O4825" s="1" t="str">
        <f t="shared" si="9184"/>
        <v>0</v>
      </c>
      <c r="P4825" s="1" t="str">
        <f t="shared" si="9184"/>
        <v>0</v>
      </c>
      <c r="Q4825" s="1" t="str">
        <f t="shared" si="9157"/>
        <v>0.0070</v>
      </c>
      <c r="R4825" s="1" t="s">
        <v>25</v>
      </c>
      <c r="T4825" s="1" t="str">
        <f t="shared" si="9158"/>
        <v>0</v>
      </c>
      <c r="U4825" s="1" t="str">
        <f t="shared" si="9172"/>
        <v>0.0070</v>
      </c>
    </row>
    <row r="4826" s="1" customFormat="1" spans="1:21">
      <c r="A4826" s="1" t="str">
        <f>"4601992148702"</f>
        <v>4601992148702</v>
      </c>
      <c r="B4826" s="1" t="s">
        <v>4849</v>
      </c>
      <c r="C4826" s="1" t="s">
        <v>24</v>
      </c>
      <c r="D4826" s="1" t="str">
        <f t="shared" si="9155"/>
        <v>2021</v>
      </c>
      <c r="E4826" s="1" t="str">
        <f>"11.98"</f>
        <v>11.98</v>
      </c>
      <c r="F4826" s="1" t="str">
        <f t="shared" ref="F4826:I4826" si="9185">"0"</f>
        <v>0</v>
      </c>
      <c r="G4826" s="1" t="str">
        <f t="shared" si="9185"/>
        <v>0</v>
      </c>
      <c r="H4826" s="1" t="str">
        <f t="shared" si="9185"/>
        <v>0</v>
      </c>
      <c r="I4826" s="1" t="str">
        <f t="shared" si="9185"/>
        <v>0</v>
      </c>
      <c r="J4826" s="1" t="str">
        <f>"1"</f>
        <v>1</v>
      </c>
      <c r="K4826" s="1" t="str">
        <f t="shared" ref="K4826:P4826" si="9186">"0"</f>
        <v>0</v>
      </c>
      <c r="L4826" s="1" t="str">
        <f t="shared" si="9186"/>
        <v>0</v>
      </c>
      <c r="M4826" s="1" t="str">
        <f t="shared" si="9186"/>
        <v>0</v>
      </c>
      <c r="N4826" s="1" t="str">
        <f t="shared" si="9186"/>
        <v>0</v>
      </c>
      <c r="O4826" s="1" t="str">
        <f t="shared" si="9186"/>
        <v>0</v>
      </c>
      <c r="P4826" s="1" t="str">
        <f t="shared" si="9186"/>
        <v>0</v>
      </c>
      <c r="Q4826" s="1" t="str">
        <f t="shared" si="9157"/>
        <v>0.0070</v>
      </c>
      <c r="R4826" s="1" t="s">
        <v>29</v>
      </c>
      <c r="S4826" s="1">
        <v>-0.0014</v>
      </c>
      <c r="T4826" s="1" t="str">
        <f t="shared" si="9158"/>
        <v>0</v>
      </c>
      <c r="U4826" s="1" t="str">
        <f t="shared" ref="U4826:U4829" si="9187">"0.0056"</f>
        <v>0.0056</v>
      </c>
    </row>
    <row r="4827" s="1" customFormat="1" spans="1:21">
      <c r="A4827" s="1" t="str">
        <f>"4601992150319"</f>
        <v>4601992150319</v>
      </c>
      <c r="B4827" s="1" t="s">
        <v>4850</v>
      </c>
      <c r="C4827" s="1" t="s">
        <v>24</v>
      </c>
      <c r="D4827" s="1" t="str">
        <f t="shared" si="9155"/>
        <v>2021</v>
      </c>
      <c r="E4827" s="1" t="str">
        <f>"24.18"</f>
        <v>24.18</v>
      </c>
      <c r="F4827" s="1" t="str">
        <f t="shared" ref="F4827:I4827" si="9188">"0"</f>
        <v>0</v>
      </c>
      <c r="G4827" s="1" t="str">
        <f t="shared" si="9188"/>
        <v>0</v>
      </c>
      <c r="H4827" s="1" t="str">
        <f t="shared" si="9188"/>
        <v>0</v>
      </c>
      <c r="I4827" s="1" t="str">
        <f t="shared" si="9188"/>
        <v>0</v>
      </c>
      <c r="J4827" s="1" t="str">
        <f>"3"</f>
        <v>3</v>
      </c>
      <c r="K4827" s="1" t="str">
        <f t="shared" ref="K4827:P4827" si="9189">"0"</f>
        <v>0</v>
      </c>
      <c r="L4827" s="1" t="str">
        <f t="shared" si="9189"/>
        <v>0</v>
      </c>
      <c r="M4827" s="1" t="str">
        <f t="shared" si="9189"/>
        <v>0</v>
      </c>
      <c r="N4827" s="1" t="str">
        <f t="shared" si="9189"/>
        <v>0</v>
      </c>
      <c r="O4827" s="1" t="str">
        <f t="shared" si="9189"/>
        <v>0</v>
      </c>
      <c r="P4827" s="1" t="str">
        <f t="shared" si="9189"/>
        <v>0</v>
      </c>
      <c r="Q4827" s="1" t="str">
        <f t="shared" si="9157"/>
        <v>0.0070</v>
      </c>
      <c r="R4827" s="1" t="s">
        <v>29</v>
      </c>
      <c r="S4827" s="1">
        <v>-0.0014</v>
      </c>
      <c r="T4827" s="1" t="str">
        <f t="shared" si="9158"/>
        <v>0</v>
      </c>
      <c r="U4827" s="1" t="str">
        <f t="shared" si="9187"/>
        <v>0.0056</v>
      </c>
    </row>
    <row r="4828" s="1" customFormat="1" spans="1:21">
      <c r="A4828" s="1" t="str">
        <f>"4601991424333"</f>
        <v>4601991424333</v>
      </c>
      <c r="B4828" s="1" t="s">
        <v>4851</v>
      </c>
      <c r="C4828" s="1" t="s">
        <v>24</v>
      </c>
      <c r="D4828" s="1" t="str">
        <f t="shared" si="9155"/>
        <v>2021</v>
      </c>
      <c r="E4828" s="1" t="str">
        <f>"38.68"</f>
        <v>38.68</v>
      </c>
      <c r="F4828" s="1" t="str">
        <f t="shared" ref="F4828:I4828" si="9190">"0"</f>
        <v>0</v>
      </c>
      <c r="G4828" s="1" t="str">
        <f t="shared" si="9190"/>
        <v>0</v>
      </c>
      <c r="H4828" s="1" t="str">
        <f t="shared" si="9190"/>
        <v>0</v>
      </c>
      <c r="I4828" s="1" t="str">
        <f t="shared" si="9190"/>
        <v>0</v>
      </c>
      <c r="J4828" s="1" t="str">
        <f>"4"</f>
        <v>4</v>
      </c>
      <c r="K4828" s="1" t="str">
        <f t="shared" ref="K4828:P4828" si="9191">"0"</f>
        <v>0</v>
      </c>
      <c r="L4828" s="1" t="str">
        <f t="shared" si="9191"/>
        <v>0</v>
      </c>
      <c r="M4828" s="1" t="str">
        <f t="shared" si="9191"/>
        <v>0</v>
      </c>
      <c r="N4828" s="1" t="str">
        <f t="shared" si="9191"/>
        <v>0</v>
      </c>
      <c r="O4828" s="1" t="str">
        <f t="shared" si="9191"/>
        <v>0</v>
      </c>
      <c r="P4828" s="1" t="str">
        <f t="shared" si="9191"/>
        <v>0</v>
      </c>
      <c r="Q4828" s="1" t="str">
        <f t="shared" si="9157"/>
        <v>0.0070</v>
      </c>
      <c r="R4828" s="1" t="s">
        <v>29</v>
      </c>
      <c r="S4828" s="1">
        <v>-0.0014</v>
      </c>
      <c r="T4828" s="1" t="str">
        <f t="shared" si="9158"/>
        <v>0</v>
      </c>
      <c r="U4828" s="1" t="str">
        <f t="shared" si="9187"/>
        <v>0.0056</v>
      </c>
    </row>
    <row r="4829" s="1" customFormat="1" spans="1:21">
      <c r="A4829" s="1" t="str">
        <f>"4601992150322"</f>
        <v>4601992150322</v>
      </c>
      <c r="B4829" s="1" t="s">
        <v>4852</v>
      </c>
      <c r="C4829" s="1" t="s">
        <v>24</v>
      </c>
      <c r="D4829" s="1" t="str">
        <f t="shared" si="9155"/>
        <v>2021</v>
      </c>
      <c r="E4829" s="1" t="str">
        <f>"62.36"</f>
        <v>62.36</v>
      </c>
      <c r="F4829" s="1" t="str">
        <f t="shared" ref="F4829:I4829" si="9192">"0"</f>
        <v>0</v>
      </c>
      <c r="G4829" s="1" t="str">
        <f t="shared" si="9192"/>
        <v>0</v>
      </c>
      <c r="H4829" s="1" t="str">
        <f t="shared" si="9192"/>
        <v>0</v>
      </c>
      <c r="I4829" s="1" t="str">
        <f t="shared" si="9192"/>
        <v>0</v>
      </c>
      <c r="J4829" s="1" t="str">
        <f>"8"</f>
        <v>8</v>
      </c>
      <c r="K4829" s="1" t="str">
        <f t="shared" ref="K4829:P4829" si="9193">"0"</f>
        <v>0</v>
      </c>
      <c r="L4829" s="1" t="str">
        <f t="shared" si="9193"/>
        <v>0</v>
      </c>
      <c r="M4829" s="1" t="str">
        <f t="shared" si="9193"/>
        <v>0</v>
      </c>
      <c r="N4829" s="1" t="str">
        <f t="shared" si="9193"/>
        <v>0</v>
      </c>
      <c r="O4829" s="1" t="str">
        <f t="shared" si="9193"/>
        <v>0</v>
      </c>
      <c r="P4829" s="1" t="str">
        <f t="shared" si="9193"/>
        <v>0</v>
      </c>
      <c r="Q4829" s="1" t="str">
        <f t="shared" si="9157"/>
        <v>0.0070</v>
      </c>
      <c r="R4829" s="1" t="s">
        <v>29</v>
      </c>
      <c r="S4829" s="1">
        <v>-0.0014</v>
      </c>
      <c r="T4829" s="1" t="str">
        <f t="shared" si="9158"/>
        <v>0</v>
      </c>
      <c r="U4829" s="1" t="str">
        <f t="shared" si="9187"/>
        <v>0.0056</v>
      </c>
    </row>
    <row r="4830" s="1" customFormat="1" spans="1:21">
      <c r="A4830" s="1" t="str">
        <f>"4601992150325"</f>
        <v>4601992150325</v>
      </c>
      <c r="B4830" s="1" t="s">
        <v>4853</v>
      </c>
      <c r="C4830" s="1" t="s">
        <v>24</v>
      </c>
      <c r="D4830" s="1" t="str">
        <f t="shared" si="9155"/>
        <v>2021</v>
      </c>
      <c r="E4830" s="1" t="str">
        <f t="shared" ref="E4830:I4830" si="9194">"0"</f>
        <v>0</v>
      </c>
      <c r="F4830" s="1" t="str">
        <f t="shared" si="9194"/>
        <v>0</v>
      </c>
      <c r="G4830" s="1" t="str">
        <f t="shared" si="9194"/>
        <v>0</v>
      </c>
      <c r="H4830" s="1" t="str">
        <f t="shared" si="9194"/>
        <v>0</v>
      </c>
      <c r="I4830" s="1" t="str">
        <f t="shared" si="9194"/>
        <v>0</v>
      </c>
      <c r="J4830" s="1" t="str">
        <f>"1"</f>
        <v>1</v>
      </c>
      <c r="K4830" s="1" t="str">
        <f t="shared" ref="K4830:P4830" si="9195">"0"</f>
        <v>0</v>
      </c>
      <c r="L4830" s="1" t="str">
        <f t="shared" si="9195"/>
        <v>0</v>
      </c>
      <c r="M4830" s="1" t="str">
        <f t="shared" si="9195"/>
        <v>0</v>
      </c>
      <c r="N4830" s="1" t="str">
        <f t="shared" si="9195"/>
        <v>0</v>
      </c>
      <c r="O4830" s="1" t="str">
        <f t="shared" si="9195"/>
        <v>0</v>
      </c>
      <c r="P4830" s="1" t="str">
        <f t="shared" si="9195"/>
        <v>0</v>
      </c>
      <c r="Q4830" s="1" t="str">
        <f t="shared" si="9157"/>
        <v>0.0070</v>
      </c>
      <c r="R4830" s="1" t="s">
        <v>25</v>
      </c>
      <c r="T4830" s="1" t="str">
        <f t="shared" si="9158"/>
        <v>0</v>
      </c>
      <c r="U4830" s="1" t="str">
        <f>"0.0070"</f>
        <v>0.0070</v>
      </c>
    </row>
    <row r="4831" s="1" customFormat="1" spans="1:21">
      <c r="A4831" s="1" t="str">
        <f>"4601992150328"</f>
        <v>4601992150328</v>
      </c>
      <c r="B4831" s="1" t="s">
        <v>4854</v>
      </c>
      <c r="C4831" s="1" t="s">
        <v>24</v>
      </c>
      <c r="D4831" s="1" t="str">
        <f t="shared" si="9155"/>
        <v>2021</v>
      </c>
      <c r="E4831" s="1" t="str">
        <f t="shared" ref="E4831:E4833" si="9196">"23.96"</f>
        <v>23.96</v>
      </c>
      <c r="F4831" s="1" t="str">
        <f t="shared" ref="F4831:I4831" si="9197">"0"</f>
        <v>0</v>
      </c>
      <c r="G4831" s="1" t="str">
        <f t="shared" si="9197"/>
        <v>0</v>
      </c>
      <c r="H4831" s="1" t="str">
        <f t="shared" si="9197"/>
        <v>0</v>
      </c>
      <c r="I4831" s="1" t="str">
        <f t="shared" si="9197"/>
        <v>0</v>
      </c>
      <c r="J4831" s="1" t="str">
        <f t="shared" ref="J4831:J4836" si="9198">"2"</f>
        <v>2</v>
      </c>
      <c r="K4831" s="1" t="str">
        <f t="shared" ref="K4831:P4831" si="9199">"0"</f>
        <v>0</v>
      </c>
      <c r="L4831" s="1" t="str">
        <f t="shared" si="9199"/>
        <v>0</v>
      </c>
      <c r="M4831" s="1" t="str">
        <f t="shared" si="9199"/>
        <v>0</v>
      </c>
      <c r="N4831" s="1" t="str">
        <f t="shared" si="9199"/>
        <v>0</v>
      </c>
      <c r="O4831" s="1" t="str">
        <f t="shared" si="9199"/>
        <v>0</v>
      </c>
      <c r="P4831" s="1" t="str">
        <f t="shared" si="9199"/>
        <v>0</v>
      </c>
      <c r="Q4831" s="1" t="str">
        <f t="shared" si="9157"/>
        <v>0.0070</v>
      </c>
      <c r="R4831" s="1" t="s">
        <v>29</v>
      </c>
      <c r="S4831" s="1">
        <v>-0.0014</v>
      </c>
      <c r="T4831" s="1" t="str">
        <f t="shared" si="9158"/>
        <v>0</v>
      </c>
      <c r="U4831" s="1" t="str">
        <f t="shared" ref="U4831:U4838" si="9200">"0.0056"</f>
        <v>0.0056</v>
      </c>
    </row>
    <row r="4832" s="1" customFormat="1" spans="1:21">
      <c r="A4832" s="1" t="str">
        <f>"4601992150333"</f>
        <v>4601992150333</v>
      </c>
      <c r="B4832" s="1" t="s">
        <v>4855</v>
      </c>
      <c r="C4832" s="1" t="s">
        <v>24</v>
      </c>
      <c r="D4832" s="1" t="str">
        <f t="shared" si="9155"/>
        <v>2021</v>
      </c>
      <c r="E4832" s="1" t="str">
        <f t="shared" si="9196"/>
        <v>23.96</v>
      </c>
      <c r="F4832" s="1" t="str">
        <f t="shared" ref="F4832:I4832" si="9201">"0"</f>
        <v>0</v>
      </c>
      <c r="G4832" s="1" t="str">
        <f t="shared" si="9201"/>
        <v>0</v>
      </c>
      <c r="H4832" s="1" t="str">
        <f t="shared" si="9201"/>
        <v>0</v>
      </c>
      <c r="I4832" s="1" t="str">
        <f t="shared" si="9201"/>
        <v>0</v>
      </c>
      <c r="J4832" s="1" t="str">
        <f>"3"</f>
        <v>3</v>
      </c>
      <c r="K4832" s="1" t="str">
        <f t="shared" ref="K4832:P4832" si="9202">"0"</f>
        <v>0</v>
      </c>
      <c r="L4832" s="1" t="str">
        <f t="shared" si="9202"/>
        <v>0</v>
      </c>
      <c r="M4832" s="1" t="str">
        <f t="shared" si="9202"/>
        <v>0</v>
      </c>
      <c r="N4832" s="1" t="str">
        <f t="shared" si="9202"/>
        <v>0</v>
      </c>
      <c r="O4832" s="1" t="str">
        <f t="shared" si="9202"/>
        <v>0</v>
      </c>
      <c r="P4832" s="1" t="str">
        <f t="shared" si="9202"/>
        <v>0</v>
      </c>
      <c r="Q4832" s="1" t="str">
        <f t="shared" si="9157"/>
        <v>0.0070</v>
      </c>
      <c r="R4832" s="1" t="s">
        <v>29</v>
      </c>
      <c r="S4832" s="1">
        <v>-0.0014</v>
      </c>
      <c r="T4832" s="1" t="str">
        <f t="shared" si="9158"/>
        <v>0</v>
      </c>
      <c r="U4832" s="1" t="str">
        <f t="shared" si="9200"/>
        <v>0.0056</v>
      </c>
    </row>
    <row r="4833" s="1" customFormat="1" spans="1:21">
      <c r="A4833" s="1" t="str">
        <f>"4601992150377"</f>
        <v>4601992150377</v>
      </c>
      <c r="B4833" s="1" t="s">
        <v>4856</v>
      </c>
      <c r="C4833" s="1" t="s">
        <v>24</v>
      </c>
      <c r="D4833" s="1" t="str">
        <f t="shared" si="9155"/>
        <v>2021</v>
      </c>
      <c r="E4833" s="1" t="str">
        <f t="shared" si="9196"/>
        <v>23.96</v>
      </c>
      <c r="F4833" s="1" t="str">
        <f t="shared" ref="F4833:I4833" si="9203">"0"</f>
        <v>0</v>
      </c>
      <c r="G4833" s="1" t="str">
        <f t="shared" si="9203"/>
        <v>0</v>
      </c>
      <c r="H4833" s="1" t="str">
        <f t="shared" si="9203"/>
        <v>0</v>
      </c>
      <c r="I4833" s="1" t="str">
        <f t="shared" si="9203"/>
        <v>0</v>
      </c>
      <c r="J4833" s="1" t="str">
        <f t="shared" si="9198"/>
        <v>2</v>
      </c>
      <c r="K4833" s="1" t="str">
        <f t="shared" ref="K4833:P4833" si="9204">"0"</f>
        <v>0</v>
      </c>
      <c r="L4833" s="1" t="str">
        <f t="shared" si="9204"/>
        <v>0</v>
      </c>
      <c r="M4833" s="1" t="str">
        <f t="shared" si="9204"/>
        <v>0</v>
      </c>
      <c r="N4833" s="1" t="str">
        <f t="shared" si="9204"/>
        <v>0</v>
      </c>
      <c r="O4833" s="1" t="str">
        <f t="shared" si="9204"/>
        <v>0</v>
      </c>
      <c r="P4833" s="1" t="str">
        <f t="shared" si="9204"/>
        <v>0</v>
      </c>
      <c r="Q4833" s="1" t="str">
        <f t="shared" si="9157"/>
        <v>0.0070</v>
      </c>
      <c r="R4833" s="1" t="s">
        <v>29</v>
      </c>
      <c r="S4833" s="1">
        <v>-0.0014</v>
      </c>
      <c r="T4833" s="1" t="str">
        <f t="shared" si="9158"/>
        <v>0</v>
      </c>
      <c r="U4833" s="1" t="str">
        <f t="shared" si="9200"/>
        <v>0.0056</v>
      </c>
    </row>
    <row r="4834" s="1" customFormat="1" spans="1:21">
      <c r="A4834" s="1" t="str">
        <f>"4601992150354"</f>
        <v>4601992150354</v>
      </c>
      <c r="B4834" s="1" t="s">
        <v>4857</v>
      </c>
      <c r="C4834" s="1" t="s">
        <v>24</v>
      </c>
      <c r="D4834" s="1" t="str">
        <f t="shared" si="9155"/>
        <v>2021</v>
      </c>
      <c r="E4834" s="1" t="str">
        <f>"743.77"</f>
        <v>743.77</v>
      </c>
      <c r="F4834" s="1" t="str">
        <f t="shared" ref="F4834:I4834" si="9205">"0"</f>
        <v>0</v>
      </c>
      <c r="G4834" s="1" t="str">
        <f t="shared" si="9205"/>
        <v>0</v>
      </c>
      <c r="H4834" s="1" t="str">
        <f t="shared" si="9205"/>
        <v>0</v>
      </c>
      <c r="I4834" s="1" t="str">
        <f t="shared" si="9205"/>
        <v>0</v>
      </c>
      <c r="J4834" s="1" t="str">
        <f>"40"</f>
        <v>40</v>
      </c>
      <c r="K4834" s="1" t="str">
        <f t="shared" ref="K4834:P4834" si="9206">"0"</f>
        <v>0</v>
      </c>
      <c r="L4834" s="1" t="str">
        <f t="shared" si="9206"/>
        <v>0</v>
      </c>
      <c r="M4834" s="1" t="str">
        <f t="shared" si="9206"/>
        <v>0</v>
      </c>
      <c r="N4834" s="1" t="str">
        <f t="shared" si="9206"/>
        <v>0</v>
      </c>
      <c r="O4834" s="1" t="str">
        <f t="shared" si="9206"/>
        <v>0</v>
      </c>
      <c r="P4834" s="1" t="str">
        <f t="shared" si="9206"/>
        <v>0</v>
      </c>
      <c r="Q4834" s="1" t="str">
        <f t="shared" si="9157"/>
        <v>0.0070</v>
      </c>
      <c r="R4834" s="1" t="s">
        <v>29</v>
      </c>
      <c r="S4834" s="1">
        <v>-0.0014</v>
      </c>
      <c r="T4834" s="1" t="str">
        <f t="shared" si="9158"/>
        <v>0</v>
      </c>
      <c r="U4834" s="1" t="str">
        <f t="shared" si="9200"/>
        <v>0.0056</v>
      </c>
    </row>
    <row r="4835" s="1" customFormat="1" spans="1:21">
      <c r="A4835" s="1" t="str">
        <f>"4601992150408"</f>
        <v>4601992150408</v>
      </c>
      <c r="B4835" s="1" t="s">
        <v>4858</v>
      </c>
      <c r="C4835" s="1" t="s">
        <v>24</v>
      </c>
      <c r="D4835" s="1" t="str">
        <f t="shared" si="9155"/>
        <v>2021</v>
      </c>
      <c r="E4835" s="1" t="str">
        <f>"24.50"</f>
        <v>24.50</v>
      </c>
      <c r="F4835" s="1" t="str">
        <f t="shared" ref="F4835:I4835" si="9207">"0"</f>
        <v>0</v>
      </c>
      <c r="G4835" s="1" t="str">
        <f t="shared" si="9207"/>
        <v>0</v>
      </c>
      <c r="H4835" s="1" t="str">
        <f t="shared" si="9207"/>
        <v>0</v>
      </c>
      <c r="I4835" s="1" t="str">
        <f t="shared" si="9207"/>
        <v>0</v>
      </c>
      <c r="J4835" s="1" t="str">
        <f t="shared" si="9198"/>
        <v>2</v>
      </c>
      <c r="K4835" s="1" t="str">
        <f t="shared" ref="K4835:P4835" si="9208">"0"</f>
        <v>0</v>
      </c>
      <c r="L4835" s="1" t="str">
        <f t="shared" si="9208"/>
        <v>0</v>
      </c>
      <c r="M4835" s="1" t="str">
        <f t="shared" si="9208"/>
        <v>0</v>
      </c>
      <c r="N4835" s="1" t="str">
        <f t="shared" si="9208"/>
        <v>0</v>
      </c>
      <c r="O4835" s="1" t="str">
        <f t="shared" si="9208"/>
        <v>0</v>
      </c>
      <c r="P4835" s="1" t="str">
        <f t="shared" si="9208"/>
        <v>0</v>
      </c>
      <c r="Q4835" s="1" t="str">
        <f t="shared" si="9157"/>
        <v>0.0070</v>
      </c>
      <c r="R4835" s="1" t="s">
        <v>29</v>
      </c>
      <c r="S4835" s="1">
        <v>-0.0014</v>
      </c>
      <c r="T4835" s="1" t="str">
        <f t="shared" si="9158"/>
        <v>0</v>
      </c>
      <c r="U4835" s="1" t="str">
        <f t="shared" si="9200"/>
        <v>0.0056</v>
      </c>
    </row>
    <row r="4836" s="1" customFormat="1" spans="1:21">
      <c r="A4836" s="1" t="str">
        <f>"4601992150392"</f>
        <v>4601992150392</v>
      </c>
      <c r="B4836" s="1" t="s">
        <v>4859</v>
      </c>
      <c r="C4836" s="1" t="s">
        <v>24</v>
      </c>
      <c r="D4836" s="1" t="str">
        <f t="shared" si="9155"/>
        <v>2021</v>
      </c>
      <c r="E4836" s="1" t="str">
        <f>"12.25"</f>
        <v>12.25</v>
      </c>
      <c r="F4836" s="1" t="str">
        <f t="shared" ref="F4836:I4836" si="9209">"0"</f>
        <v>0</v>
      </c>
      <c r="G4836" s="1" t="str">
        <f t="shared" si="9209"/>
        <v>0</v>
      </c>
      <c r="H4836" s="1" t="str">
        <f t="shared" si="9209"/>
        <v>0</v>
      </c>
      <c r="I4836" s="1" t="str">
        <f t="shared" si="9209"/>
        <v>0</v>
      </c>
      <c r="J4836" s="1" t="str">
        <f t="shared" si="9198"/>
        <v>2</v>
      </c>
      <c r="K4836" s="1" t="str">
        <f t="shared" ref="K4836:P4836" si="9210">"0"</f>
        <v>0</v>
      </c>
      <c r="L4836" s="1" t="str">
        <f t="shared" si="9210"/>
        <v>0</v>
      </c>
      <c r="M4836" s="1" t="str">
        <f t="shared" si="9210"/>
        <v>0</v>
      </c>
      <c r="N4836" s="1" t="str">
        <f t="shared" si="9210"/>
        <v>0</v>
      </c>
      <c r="O4836" s="1" t="str">
        <f t="shared" si="9210"/>
        <v>0</v>
      </c>
      <c r="P4836" s="1" t="str">
        <f t="shared" si="9210"/>
        <v>0</v>
      </c>
      <c r="Q4836" s="1" t="str">
        <f t="shared" si="9157"/>
        <v>0.0070</v>
      </c>
      <c r="R4836" s="1" t="s">
        <v>29</v>
      </c>
      <c r="S4836" s="1">
        <v>-0.0014</v>
      </c>
      <c r="T4836" s="1" t="str">
        <f t="shared" si="9158"/>
        <v>0</v>
      </c>
      <c r="U4836" s="1" t="str">
        <f t="shared" si="9200"/>
        <v>0.0056</v>
      </c>
    </row>
    <row r="4837" s="1" customFormat="1" spans="1:21">
      <c r="A4837" s="1" t="str">
        <f>"4601992150440"</f>
        <v>4601992150440</v>
      </c>
      <c r="B4837" s="1" t="s">
        <v>4860</v>
      </c>
      <c r="C4837" s="1" t="s">
        <v>24</v>
      </c>
      <c r="D4837" s="1" t="str">
        <f t="shared" si="9155"/>
        <v>2021</v>
      </c>
      <c r="E4837" s="1" t="str">
        <f>"72.44"</f>
        <v>72.44</v>
      </c>
      <c r="F4837" s="1" t="str">
        <f t="shared" ref="F4837:I4837" si="9211">"0"</f>
        <v>0</v>
      </c>
      <c r="G4837" s="1" t="str">
        <f t="shared" si="9211"/>
        <v>0</v>
      </c>
      <c r="H4837" s="1" t="str">
        <f t="shared" si="9211"/>
        <v>0</v>
      </c>
      <c r="I4837" s="1" t="str">
        <f t="shared" si="9211"/>
        <v>0</v>
      </c>
      <c r="J4837" s="1" t="str">
        <f>"8"</f>
        <v>8</v>
      </c>
      <c r="K4837" s="1" t="str">
        <f t="shared" ref="K4837:P4837" si="9212">"0"</f>
        <v>0</v>
      </c>
      <c r="L4837" s="1" t="str">
        <f t="shared" si="9212"/>
        <v>0</v>
      </c>
      <c r="M4837" s="1" t="str">
        <f t="shared" si="9212"/>
        <v>0</v>
      </c>
      <c r="N4837" s="1" t="str">
        <f t="shared" si="9212"/>
        <v>0</v>
      </c>
      <c r="O4837" s="1" t="str">
        <f t="shared" si="9212"/>
        <v>0</v>
      </c>
      <c r="P4837" s="1" t="str">
        <f t="shared" si="9212"/>
        <v>0</v>
      </c>
      <c r="Q4837" s="1" t="str">
        <f t="shared" si="9157"/>
        <v>0.0070</v>
      </c>
      <c r="R4837" s="1" t="s">
        <v>29</v>
      </c>
      <c r="S4837" s="1">
        <v>-0.0014</v>
      </c>
      <c r="T4837" s="1" t="str">
        <f t="shared" si="9158"/>
        <v>0</v>
      </c>
      <c r="U4837" s="1" t="str">
        <f t="shared" si="9200"/>
        <v>0.0056</v>
      </c>
    </row>
    <row r="4838" s="1" customFormat="1" spans="1:21">
      <c r="A4838" s="1" t="str">
        <f>"4601992150414"</f>
        <v>4601992150414</v>
      </c>
      <c r="B4838" s="1" t="s">
        <v>4861</v>
      </c>
      <c r="C4838" s="1" t="s">
        <v>24</v>
      </c>
      <c r="D4838" s="1" t="str">
        <f t="shared" si="9155"/>
        <v>2021</v>
      </c>
      <c r="E4838" s="1" t="str">
        <f>"31.50"</f>
        <v>31.50</v>
      </c>
      <c r="F4838" s="1" t="str">
        <f t="shared" ref="F4838:I4838" si="9213">"0"</f>
        <v>0</v>
      </c>
      <c r="G4838" s="1" t="str">
        <f t="shared" si="9213"/>
        <v>0</v>
      </c>
      <c r="H4838" s="1" t="str">
        <f t="shared" si="9213"/>
        <v>0</v>
      </c>
      <c r="I4838" s="1" t="str">
        <f t="shared" si="9213"/>
        <v>0</v>
      </c>
      <c r="J4838" s="1" t="str">
        <f>"2"</f>
        <v>2</v>
      </c>
      <c r="K4838" s="1" t="str">
        <f t="shared" ref="K4838:P4838" si="9214">"0"</f>
        <v>0</v>
      </c>
      <c r="L4838" s="1" t="str">
        <f t="shared" si="9214"/>
        <v>0</v>
      </c>
      <c r="M4838" s="1" t="str">
        <f t="shared" si="9214"/>
        <v>0</v>
      </c>
      <c r="N4838" s="1" t="str">
        <f t="shared" si="9214"/>
        <v>0</v>
      </c>
      <c r="O4838" s="1" t="str">
        <f t="shared" si="9214"/>
        <v>0</v>
      </c>
      <c r="P4838" s="1" t="str">
        <f t="shared" si="9214"/>
        <v>0</v>
      </c>
      <c r="Q4838" s="1" t="str">
        <f t="shared" si="9157"/>
        <v>0.0070</v>
      </c>
      <c r="R4838" s="1" t="s">
        <v>29</v>
      </c>
      <c r="S4838" s="1">
        <v>-0.0014</v>
      </c>
      <c r="T4838" s="1" t="str">
        <f t="shared" si="9158"/>
        <v>0</v>
      </c>
      <c r="U4838" s="1" t="str">
        <f t="shared" si="9200"/>
        <v>0.0056</v>
      </c>
    </row>
    <row r="4839" s="1" customFormat="1" spans="1:21">
      <c r="A4839" s="1" t="str">
        <f>"4601992150497"</f>
        <v>4601992150497</v>
      </c>
      <c r="B4839" s="1" t="s">
        <v>4862</v>
      </c>
      <c r="C4839" s="1" t="s">
        <v>24</v>
      </c>
      <c r="D4839" s="1" t="str">
        <f t="shared" si="9155"/>
        <v>2021</v>
      </c>
      <c r="E4839" s="1" t="str">
        <f t="shared" ref="E4839:P4839" si="9215">"0"</f>
        <v>0</v>
      </c>
      <c r="F4839" s="1" t="str">
        <f t="shared" si="9215"/>
        <v>0</v>
      </c>
      <c r="G4839" s="1" t="str">
        <f t="shared" si="9215"/>
        <v>0</v>
      </c>
      <c r="H4839" s="1" t="str">
        <f t="shared" si="9215"/>
        <v>0</v>
      </c>
      <c r="I4839" s="1" t="str">
        <f t="shared" si="9215"/>
        <v>0</v>
      </c>
      <c r="J4839" s="1" t="str">
        <f t="shared" si="9215"/>
        <v>0</v>
      </c>
      <c r="K4839" s="1" t="str">
        <f t="shared" si="9215"/>
        <v>0</v>
      </c>
      <c r="L4839" s="1" t="str">
        <f t="shared" si="9215"/>
        <v>0</v>
      </c>
      <c r="M4839" s="1" t="str">
        <f t="shared" si="9215"/>
        <v>0</v>
      </c>
      <c r="N4839" s="1" t="str">
        <f t="shared" si="9215"/>
        <v>0</v>
      </c>
      <c r="O4839" s="1" t="str">
        <f t="shared" si="9215"/>
        <v>0</v>
      </c>
      <c r="P4839" s="1" t="str">
        <f t="shared" si="9215"/>
        <v>0</v>
      </c>
      <c r="Q4839" s="1" t="str">
        <f t="shared" si="9157"/>
        <v>0.0070</v>
      </c>
      <c r="R4839" s="1" t="s">
        <v>25</v>
      </c>
      <c r="T4839" s="1" t="str">
        <f t="shared" si="9158"/>
        <v>0</v>
      </c>
      <c r="U4839" s="1" t="str">
        <f t="shared" ref="U4839:U4843" si="9216">"0.0070"</f>
        <v>0.0070</v>
      </c>
    </row>
    <row r="4840" s="1" customFormat="1" spans="1:21">
      <c r="A4840" s="1" t="str">
        <f>"4601992150453"</f>
        <v>4601992150453</v>
      </c>
      <c r="B4840" s="1" t="s">
        <v>4863</v>
      </c>
      <c r="C4840" s="1" t="s">
        <v>24</v>
      </c>
      <c r="D4840" s="1" t="str">
        <f t="shared" si="9155"/>
        <v>2021</v>
      </c>
      <c r="E4840" s="1" t="str">
        <f>"35.94"</f>
        <v>35.94</v>
      </c>
      <c r="F4840" s="1" t="str">
        <f t="shared" ref="F4840:I4840" si="9217">"0"</f>
        <v>0</v>
      </c>
      <c r="G4840" s="1" t="str">
        <f t="shared" si="9217"/>
        <v>0</v>
      </c>
      <c r="H4840" s="1" t="str">
        <f t="shared" si="9217"/>
        <v>0</v>
      </c>
      <c r="I4840" s="1" t="str">
        <f t="shared" si="9217"/>
        <v>0</v>
      </c>
      <c r="J4840" s="1" t="str">
        <f>"6"</f>
        <v>6</v>
      </c>
      <c r="K4840" s="1" t="str">
        <f t="shared" ref="K4840:P4840" si="9218">"0"</f>
        <v>0</v>
      </c>
      <c r="L4840" s="1" t="str">
        <f t="shared" si="9218"/>
        <v>0</v>
      </c>
      <c r="M4840" s="1" t="str">
        <f t="shared" si="9218"/>
        <v>0</v>
      </c>
      <c r="N4840" s="1" t="str">
        <f t="shared" si="9218"/>
        <v>0</v>
      </c>
      <c r="O4840" s="1" t="str">
        <f t="shared" si="9218"/>
        <v>0</v>
      </c>
      <c r="P4840" s="1" t="str">
        <f t="shared" si="9218"/>
        <v>0</v>
      </c>
      <c r="Q4840" s="1" t="str">
        <f t="shared" si="9157"/>
        <v>0.0070</v>
      </c>
      <c r="R4840" s="1" t="s">
        <v>29</v>
      </c>
      <c r="S4840" s="1">
        <v>-0.0014</v>
      </c>
      <c r="T4840" s="1" t="str">
        <f t="shared" si="9158"/>
        <v>0</v>
      </c>
      <c r="U4840" s="1" t="str">
        <f t="shared" ref="U4840:U4844" si="9219">"0.0056"</f>
        <v>0.0056</v>
      </c>
    </row>
    <row r="4841" s="1" customFormat="1" spans="1:21">
      <c r="A4841" s="1" t="str">
        <f>"4601992150472"</f>
        <v>4601992150472</v>
      </c>
      <c r="B4841" s="1" t="s">
        <v>4864</v>
      </c>
      <c r="C4841" s="1" t="s">
        <v>24</v>
      </c>
      <c r="D4841" s="1" t="str">
        <f t="shared" si="9155"/>
        <v>2021</v>
      </c>
      <c r="E4841" s="1" t="str">
        <f>"24.18"</f>
        <v>24.18</v>
      </c>
      <c r="F4841" s="1" t="str">
        <f t="shared" ref="F4841:I4841" si="9220">"0"</f>
        <v>0</v>
      </c>
      <c r="G4841" s="1" t="str">
        <f t="shared" si="9220"/>
        <v>0</v>
      </c>
      <c r="H4841" s="1" t="str">
        <f t="shared" si="9220"/>
        <v>0</v>
      </c>
      <c r="I4841" s="1" t="str">
        <f t="shared" si="9220"/>
        <v>0</v>
      </c>
      <c r="J4841" s="1" t="str">
        <f>"3"</f>
        <v>3</v>
      </c>
      <c r="K4841" s="1" t="str">
        <f t="shared" ref="K4841:P4841" si="9221">"0"</f>
        <v>0</v>
      </c>
      <c r="L4841" s="1" t="str">
        <f t="shared" si="9221"/>
        <v>0</v>
      </c>
      <c r="M4841" s="1" t="str">
        <f t="shared" si="9221"/>
        <v>0</v>
      </c>
      <c r="N4841" s="1" t="str">
        <f t="shared" si="9221"/>
        <v>0</v>
      </c>
      <c r="O4841" s="1" t="str">
        <f t="shared" si="9221"/>
        <v>0</v>
      </c>
      <c r="P4841" s="1" t="str">
        <f t="shared" si="9221"/>
        <v>0</v>
      </c>
      <c r="Q4841" s="1" t="str">
        <f t="shared" si="9157"/>
        <v>0.0070</v>
      </c>
      <c r="R4841" s="1" t="s">
        <v>29</v>
      </c>
      <c r="S4841" s="1">
        <v>-0.0014</v>
      </c>
      <c r="T4841" s="1" t="str">
        <f t="shared" si="9158"/>
        <v>0</v>
      </c>
      <c r="U4841" s="1" t="str">
        <f t="shared" si="9219"/>
        <v>0.0056</v>
      </c>
    </row>
    <row r="4842" s="1" customFormat="1" spans="1:21">
      <c r="A4842" s="1" t="str">
        <f>"4601992150532"</f>
        <v>4601992150532</v>
      </c>
      <c r="B4842" s="1" t="s">
        <v>4865</v>
      </c>
      <c r="C4842" s="1" t="s">
        <v>24</v>
      </c>
      <c r="D4842" s="1" t="str">
        <f t="shared" si="9155"/>
        <v>2021</v>
      </c>
      <c r="E4842" s="1" t="str">
        <f t="shared" ref="E4842:I4842" si="9222">"0"</f>
        <v>0</v>
      </c>
      <c r="F4842" s="1" t="str">
        <f t="shared" si="9222"/>
        <v>0</v>
      </c>
      <c r="G4842" s="1" t="str">
        <f t="shared" si="9222"/>
        <v>0</v>
      </c>
      <c r="H4842" s="1" t="str">
        <f t="shared" si="9222"/>
        <v>0</v>
      </c>
      <c r="I4842" s="1" t="str">
        <f t="shared" si="9222"/>
        <v>0</v>
      </c>
      <c r="J4842" s="1" t="str">
        <f>"1"</f>
        <v>1</v>
      </c>
      <c r="K4842" s="1" t="str">
        <f t="shared" ref="K4842:P4842" si="9223">"0"</f>
        <v>0</v>
      </c>
      <c r="L4842" s="1" t="str">
        <f t="shared" si="9223"/>
        <v>0</v>
      </c>
      <c r="M4842" s="1" t="str">
        <f t="shared" si="9223"/>
        <v>0</v>
      </c>
      <c r="N4842" s="1" t="str">
        <f t="shared" si="9223"/>
        <v>0</v>
      </c>
      <c r="O4842" s="1" t="str">
        <f t="shared" si="9223"/>
        <v>0</v>
      </c>
      <c r="P4842" s="1" t="str">
        <f t="shared" si="9223"/>
        <v>0</v>
      </c>
      <c r="Q4842" s="1" t="str">
        <f t="shared" si="9157"/>
        <v>0.0070</v>
      </c>
      <c r="R4842" s="1" t="s">
        <v>25</v>
      </c>
      <c r="T4842" s="1" t="str">
        <f t="shared" si="9158"/>
        <v>0</v>
      </c>
      <c r="U4842" s="1" t="str">
        <f t="shared" si="9216"/>
        <v>0.0070</v>
      </c>
    </row>
    <row r="4843" s="1" customFormat="1" spans="1:21">
      <c r="A4843" s="1" t="str">
        <f>"4601992150618"</f>
        <v>4601992150618</v>
      </c>
      <c r="B4843" s="1" t="s">
        <v>4866</v>
      </c>
      <c r="C4843" s="1" t="s">
        <v>24</v>
      </c>
      <c r="D4843" s="1" t="str">
        <f t="shared" si="9155"/>
        <v>2021</v>
      </c>
      <c r="E4843" s="1" t="str">
        <f t="shared" ref="E4843:P4843" si="9224">"0"</f>
        <v>0</v>
      </c>
      <c r="F4843" s="1" t="str">
        <f t="shared" si="9224"/>
        <v>0</v>
      </c>
      <c r="G4843" s="1" t="str">
        <f t="shared" si="9224"/>
        <v>0</v>
      </c>
      <c r="H4843" s="1" t="str">
        <f t="shared" si="9224"/>
        <v>0</v>
      </c>
      <c r="I4843" s="1" t="str">
        <f t="shared" si="9224"/>
        <v>0</v>
      </c>
      <c r="J4843" s="1" t="str">
        <f t="shared" si="9224"/>
        <v>0</v>
      </c>
      <c r="K4843" s="1" t="str">
        <f t="shared" si="9224"/>
        <v>0</v>
      </c>
      <c r="L4843" s="1" t="str">
        <f t="shared" si="9224"/>
        <v>0</v>
      </c>
      <c r="M4843" s="1" t="str">
        <f t="shared" si="9224"/>
        <v>0</v>
      </c>
      <c r="N4843" s="1" t="str">
        <f t="shared" si="9224"/>
        <v>0</v>
      </c>
      <c r="O4843" s="1" t="str">
        <f t="shared" si="9224"/>
        <v>0</v>
      </c>
      <c r="P4843" s="1" t="str">
        <f t="shared" si="9224"/>
        <v>0</v>
      </c>
      <c r="Q4843" s="1" t="str">
        <f t="shared" si="9157"/>
        <v>0.0070</v>
      </c>
      <c r="R4843" s="1" t="s">
        <v>25</v>
      </c>
      <c r="T4843" s="1" t="str">
        <f t="shared" si="9158"/>
        <v>0</v>
      </c>
      <c r="U4843" s="1" t="str">
        <f t="shared" si="9216"/>
        <v>0.0070</v>
      </c>
    </row>
    <row r="4844" s="1" customFormat="1" spans="1:21">
      <c r="A4844" s="1" t="str">
        <f>"4601992150549"</f>
        <v>4601992150549</v>
      </c>
      <c r="B4844" s="1" t="s">
        <v>4867</v>
      </c>
      <c r="C4844" s="1" t="s">
        <v>24</v>
      </c>
      <c r="D4844" s="1" t="str">
        <f t="shared" si="9155"/>
        <v>2021</v>
      </c>
      <c r="E4844" s="1" t="str">
        <f>"36.27"</f>
        <v>36.27</v>
      </c>
      <c r="F4844" s="1" t="str">
        <f t="shared" ref="F4844:I4844" si="9225">"0"</f>
        <v>0</v>
      </c>
      <c r="G4844" s="1" t="str">
        <f t="shared" si="9225"/>
        <v>0</v>
      </c>
      <c r="H4844" s="1" t="str">
        <f t="shared" si="9225"/>
        <v>0</v>
      </c>
      <c r="I4844" s="1" t="str">
        <f t="shared" si="9225"/>
        <v>0</v>
      </c>
      <c r="J4844" s="1" t="str">
        <f>"3"</f>
        <v>3</v>
      </c>
      <c r="K4844" s="1" t="str">
        <f t="shared" ref="K4844:P4844" si="9226">"0"</f>
        <v>0</v>
      </c>
      <c r="L4844" s="1" t="str">
        <f t="shared" si="9226"/>
        <v>0</v>
      </c>
      <c r="M4844" s="1" t="str">
        <f t="shared" si="9226"/>
        <v>0</v>
      </c>
      <c r="N4844" s="1" t="str">
        <f t="shared" si="9226"/>
        <v>0</v>
      </c>
      <c r="O4844" s="1" t="str">
        <f t="shared" si="9226"/>
        <v>0</v>
      </c>
      <c r="P4844" s="1" t="str">
        <f t="shared" si="9226"/>
        <v>0</v>
      </c>
      <c r="Q4844" s="1" t="str">
        <f t="shared" si="9157"/>
        <v>0.0070</v>
      </c>
      <c r="R4844" s="1" t="s">
        <v>29</v>
      </c>
      <c r="S4844" s="1">
        <v>-0.0014</v>
      </c>
      <c r="T4844" s="1" t="str">
        <f t="shared" si="9158"/>
        <v>0</v>
      </c>
      <c r="U4844" s="1" t="str">
        <f t="shared" si="9219"/>
        <v>0.0056</v>
      </c>
    </row>
    <row r="4845" s="1" customFormat="1" spans="1:21">
      <c r="A4845" s="1" t="str">
        <f>"4601992150537"</f>
        <v>4601992150537</v>
      </c>
      <c r="B4845" s="1" t="s">
        <v>4868</v>
      </c>
      <c r="C4845" s="1" t="s">
        <v>24</v>
      </c>
      <c r="D4845" s="1" t="str">
        <f t="shared" si="9155"/>
        <v>2021</v>
      </c>
      <c r="E4845" s="1" t="str">
        <f t="shared" ref="E4845:I4845" si="9227">"0"</f>
        <v>0</v>
      </c>
      <c r="F4845" s="1" t="str">
        <f t="shared" si="9227"/>
        <v>0</v>
      </c>
      <c r="G4845" s="1" t="str">
        <f t="shared" si="9227"/>
        <v>0</v>
      </c>
      <c r="H4845" s="1" t="str">
        <f t="shared" si="9227"/>
        <v>0</v>
      </c>
      <c r="I4845" s="1" t="str">
        <f t="shared" si="9227"/>
        <v>0</v>
      </c>
      <c r="J4845" s="1" t="str">
        <f>"10"</f>
        <v>10</v>
      </c>
      <c r="K4845" s="1" t="str">
        <f t="shared" ref="K4845:P4845" si="9228">"0"</f>
        <v>0</v>
      </c>
      <c r="L4845" s="1" t="str">
        <f t="shared" si="9228"/>
        <v>0</v>
      </c>
      <c r="M4845" s="1" t="str">
        <f t="shared" si="9228"/>
        <v>0</v>
      </c>
      <c r="N4845" s="1" t="str">
        <f t="shared" si="9228"/>
        <v>0</v>
      </c>
      <c r="O4845" s="1" t="str">
        <f t="shared" si="9228"/>
        <v>0</v>
      </c>
      <c r="P4845" s="1" t="str">
        <f t="shared" si="9228"/>
        <v>0</v>
      </c>
      <c r="Q4845" s="1" t="str">
        <f t="shared" si="9157"/>
        <v>0.0070</v>
      </c>
      <c r="R4845" s="1" t="s">
        <v>25</v>
      </c>
      <c r="T4845" s="1" t="str">
        <f t="shared" si="9158"/>
        <v>0</v>
      </c>
      <c r="U4845" s="1" t="str">
        <f t="shared" ref="U4845:U4852" si="9229">"0.0070"</f>
        <v>0.0070</v>
      </c>
    </row>
    <row r="4846" s="1" customFormat="1" spans="1:21">
      <c r="A4846" s="1" t="str">
        <f>"4601992150545"</f>
        <v>4601992150545</v>
      </c>
      <c r="B4846" s="1" t="s">
        <v>4869</v>
      </c>
      <c r="C4846" s="1" t="s">
        <v>24</v>
      </c>
      <c r="D4846" s="1" t="str">
        <f t="shared" si="9155"/>
        <v>2021</v>
      </c>
      <c r="E4846" s="1" t="str">
        <f>"48.62"</f>
        <v>48.62</v>
      </c>
      <c r="F4846" s="1" t="str">
        <f t="shared" ref="F4846:I4846" si="9230">"0"</f>
        <v>0</v>
      </c>
      <c r="G4846" s="1" t="str">
        <f t="shared" si="9230"/>
        <v>0</v>
      </c>
      <c r="H4846" s="1" t="str">
        <f t="shared" si="9230"/>
        <v>0</v>
      </c>
      <c r="I4846" s="1" t="str">
        <f t="shared" si="9230"/>
        <v>0</v>
      </c>
      <c r="J4846" s="1" t="str">
        <f>"5"</f>
        <v>5</v>
      </c>
      <c r="K4846" s="1" t="str">
        <f t="shared" ref="K4846:P4846" si="9231">"0"</f>
        <v>0</v>
      </c>
      <c r="L4846" s="1" t="str">
        <f t="shared" si="9231"/>
        <v>0</v>
      </c>
      <c r="M4846" s="1" t="str">
        <f t="shared" si="9231"/>
        <v>0</v>
      </c>
      <c r="N4846" s="1" t="str">
        <f t="shared" si="9231"/>
        <v>0</v>
      </c>
      <c r="O4846" s="1" t="str">
        <f t="shared" si="9231"/>
        <v>0</v>
      </c>
      <c r="P4846" s="1" t="str">
        <f t="shared" si="9231"/>
        <v>0</v>
      </c>
      <c r="Q4846" s="1" t="str">
        <f t="shared" si="9157"/>
        <v>0.0070</v>
      </c>
      <c r="R4846" s="1" t="s">
        <v>29</v>
      </c>
      <c r="S4846" s="1">
        <v>-0.0014</v>
      </c>
      <c r="T4846" s="1" t="str">
        <f t="shared" si="9158"/>
        <v>0</v>
      </c>
      <c r="U4846" s="1" t="str">
        <f>"0.0056"</f>
        <v>0.0056</v>
      </c>
    </row>
    <row r="4847" s="1" customFormat="1" spans="1:21">
      <c r="A4847" s="1" t="str">
        <f>"4601992150624"</f>
        <v>4601992150624</v>
      </c>
      <c r="B4847" s="1" t="s">
        <v>4870</v>
      </c>
      <c r="C4847" s="1" t="s">
        <v>24</v>
      </c>
      <c r="D4847" s="1" t="str">
        <f t="shared" si="9155"/>
        <v>2021</v>
      </c>
      <c r="E4847" s="1" t="str">
        <f t="shared" ref="E4847:P4847" si="9232">"0"</f>
        <v>0</v>
      </c>
      <c r="F4847" s="1" t="str">
        <f t="shared" si="9232"/>
        <v>0</v>
      </c>
      <c r="G4847" s="1" t="str">
        <f t="shared" si="9232"/>
        <v>0</v>
      </c>
      <c r="H4847" s="1" t="str">
        <f t="shared" si="9232"/>
        <v>0</v>
      </c>
      <c r="I4847" s="1" t="str">
        <f t="shared" si="9232"/>
        <v>0</v>
      </c>
      <c r="J4847" s="1" t="str">
        <f t="shared" si="9232"/>
        <v>0</v>
      </c>
      <c r="K4847" s="1" t="str">
        <f t="shared" si="9232"/>
        <v>0</v>
      </c>
      <c r="L4847" s="1" t="str">
        <f t="shared" si="9232"/>
        <v>0</v>
      </c>
      <c r="M4847" s="1" t="str">
        <f t="shared" si="9232"/>
        <v>0</v>
      </c>
      <c r="N4847" s="1" t="str">
        <f t="shared" si="9232"/>
        <v>0</v>
      </c>
      <c r="O4847" s="1" t="str">
        <f t="shared" si="9232"/>
        <v>0</v>
      </c>
      <c r="P4847" s="1" t="str">
        <f t="shared" si="9232"/>
        <v>0</v>
      </c>
      <c r="Q4847" s="1" t="str">
        <f t="shared" si="9157"/>
        <v>0.0070</v>
      </c>
      <c r="R4847" s="1" t="s">
        <v>25</v>
      </c>
      <c r="T4847" s="1" t="str">
        <f t="shared" si="9158"/>
        <v>0</v>
      </c>
      <c r="U4847" s="1" t="str">
        <f t="shared" si="9229"/>
        <v>0.0070</v>
      </c>
    </row>
    <row r="4848" s="1" customFormat="1" spans="1:21">
      <c r="A4848" s="1" t="str">
        <f>"4601992150678"</f>
        <v>4601992150678</v>
      </c>
      <c r="B4848" s="1" t="s">
        <v>4871</v>
      </c>
      <c r="C4848" s="1" t="s">
        <v>24</v>
      </c>
      <c r="D4848" s="1" t="str">
        <f t="shared" si="9155"/>
        <v>2021</v>
      </c>
      <c r="E4848" s="1" t="str">
        <f t="shared" ref="E4848:P4848" si="9233">"0"</f>
        <v>0</v>
      </c>
      <c r="F4848" s="1" t="str">
        <f t="shared" si="9233"/>
        <v>0</v>
      </c>
      <c r="G4848" s="1" t="str">
        <f t="shared" si="9233"/>
        <v>0</v>
      </c>
      <c r="H4848" s="1" t="str">
        <f t="shared" si="9233"/>
        <v>0</v>
      </c>
      <c r="I4848" s="1" t="str">
        <f t="shared" si="9233"/>
        <v>0</v>
      </c>
      <c r="J4848" s="1" t="str">
        <f t="shared" si="9233"/>
        <v>0</v>
      </c>
      <c r="K4848" s="1" t="str">
        <f t="shared" si="9233"/>
        <v>0</v>
      </c>
      <c r="L4848" s="1" t="str">
        <f t="shared" si="9233"/>
        <v>0</v>
      </c>
      <c r="M4848" s="1" t="str">
        <f t="shared" si="9233"/>
        <v>0</v>
      </c>
      <c r="N4848" s="1" t="str">
        <f t="shared" si="9233"/>
        <v>0</v>
      </c>
      <c r="O4848" s="1" t="str">
        <f t="shared" si="9233"/>
        <v>0</v>
      </c>
      <c r="P4848" s="1" t="str">
        <f t="shared" si="9233"/>
        <v>0</v>
      </c>
      <c r="Q4848" s="1" t="str">
        <f t="shared" si="9157"/>
        <v>0.0070</v>
      </c>
      <c r="R4848" s="1" t="s">
        <v>25</v>
      </c>
      <c r="T4848" s="1" t="str">
        <f t="shared" si="9158"/>
        <v>0</v>
      </c>
      <c r="U4848" s="1" t="str">
        <f t="shared" si="9229"/>
        <v>0.0070</v>
      </c>
    </row>
    <row r="4849" s="1" customFormat="1" spans="1:21">
      <c r="A4849" s="1" t="str">
        <f>"4601992150810"</f>
        <v>4601992150810</v>
      </c>
      <c r="B4849" s="1" t="s">
        <v>4872</v>
      </c>
      <c r="C4849" s="1" t="s">
        <v>24</v>
      </c>
      <c r="D4849" s="1" t="str">
        <f t="shared" si="9155"/>
        <v>2021</v>
      </c>
      <c r="E4849" s="1" t="str">
        <f t="shared" ref="E4849:P4849" si="9234">"0"</f>
        <v>0</v>
      </c>
      <c r="F4849" s="1" t="str">
        <f t="shared" si="9234"/>
        <v>0</v>
      </c>
      <c r="G4849" s="1" t="str">
        <f t="shared" si="9234"/>
        <v>0</v>
      </c>
      <c r="H4849" s="1" t="str">
        <f t="shared" si="9234"/>
        <v>0</v>
      </c>
      <c r="I4849" s="1" t="str">
        <f t="shared" si="9234"/>
        <v>0</v>
      </c>
      <c r="J4849" s="1" t="str">
        <f t="shared" si="9234"/>
        <v>0</v>
      </c>
      <c r="K4849" s="1" t="str">
        <f t="shared" si="9234"/>
        <v>0</v>
      </c>
      <c r="L4849" s="1" t="str">
        <f t="shared" si="9234"/>
        <v>0</v>
      </c>
      <c r="M4849" s="1" t="str">
        <f t="shared" si="9234"/>
        <v>0</v>
      </c>
      <c r="N4849" s="1" t="str">
        <f t="shared" si="9234"/>
        <v>0</v>
      </c>
      <c r="O4849" s="1" t="str">
        <f t="shared" si="9234"/>
        <v>0</v>
      </c>
      <c r="P4849" s="1" t="str">
        <f t="shared" si="9234"/>
        <v>0</v>
      </c>
      <c r="Q4849" s="1" t="str">
        <f t="shared" si="9157"/>
        <v>0.0070</v>
      </c>
      <c r="R4849" s="1" t="s">
        <v>25</v>
      </c>
      <c r="T4849" s="1" t="str">
        <f t="shared" si="9158"/>
        <v>0</v>
      </c>
      <c r="U4849" s="1" t="str">
        <f t="shared" si="9229"/>
        <v>0.0070</v>
      </c>
    </row>
    <row r="4850" s="1" customFormat="1" spans="1:21">
      <c r="A4850" s="1" t="str">
        <f>"4601992150846"</f>
        <v>4601992150846</v>
      </c>
      <c r="B4850" s="1" t="s">
        <v>4873</v>
      </c>
      <c r="C4850" s="1" t="s">
        <v>24</v>
      </c>
      <c r="D4850" s="1" t="str">
        <f t="shared" si="9155"/>
        <v>2021</v>
      </c>
      <c r="E4850" s="1" t="str">
        <f t="shared" ref="E4850:P4850" si="9235">"0"</f>
        <v>0</v>
      </c>
      <c r="F4850" s="1" t="str">
        <f t="shared" si="9235"/>
        <v>0</v>
      </c>
      <c r="G4850" s="1" t="str">
        <f t="shared" si="9235"/>
        <v>0</v>
      </c>
      <c r="H4850" s="1" t="str">
        <f t="shared" si="9235"/>
        <v>0</v>
      </c>
      <c r="I4850" s="1" t="str">
        <f t="shared" si="9235"/>
        <v>0</v>
      </c>
      <c r="J4850" s="1" t="str">
        <f t="shared" si="9235"/>
        <v>0</v>
      </c>
      <c r="K4850" s="1" t="str">
        <f t="shared" si="9235"/>
        <v>0</v>
      </c>
      <c r="L4850" s="1" t="str">
        <f t="shared" si="9235"/>
        <v>0</v>
      </c>
      <c r="M4850" s="1" t="str">
        <f t="shared" si="9235"/>
        <v>0</v>
      </c>
      <c r="N4850" s="1" t="str">
        <f t="shared" si="9235"/>
        <v>0</v>
      </c>
      <c r="O4850" s="1" t="str">
        <f t="shared" si="9235"/>
        <v>0</v>
      </c>
      <c r="P4850" s="1" t="str">
        <f t="shared" si="9235"/>
        <v>0</v>
      </c>
      <c r="Q4850" s="1" t="str">
        <f t="shared" si="9157"/>
        <v>0.0070</v>
      </c>
      <c r="R4850" s="1" t="s">
        <v>25</v>
      </c>
      <c r="T4850" s="1" t="str">
        <f t="shared" si="9158"/>
        <v>0</v>
      </c>
      <c r="U4850" s="1" t="str">
        <f t="shared" si="9229"/>
        <v>0.0070</v>
      </c>
    </row>
    <row r="4851" s="1" customFormat="1" spans="1:21">
      <c r="A4851" s="1" t="str">
        <f>"4601992150766"</f>
        <v>4601992150766</v>
      </c>
      <c r="B4851" s="1" t="s">
        <v>4874</v>
      </c>
      <c r="C4851" s="1" t="s">
        <v>24</v>
      </c>
      <c r="D4851" s="1" t="str">
        <f t="shared" si="9155"/>
        <v>2021</v>
      </c>
      <c r="E4851" s="1" t="str">
        <f t="shared" ref="E4851:I4851" si="9236">"0"</f>
        <v>0</v>
      </c>
      <c r="F4851" s="1" t="str">
        <f t="shared" si="9236"/>
        <v>0</v>
      </c>
      <c r="G4851" s="1" t="str">
        <f t="shared" si="9236"/>
        <v>0</v>
      </c>
      <c r="H4851" s="1" t="str">
        <f t="shared" si="9236"/>
        <v>0</v>
      </c>
      <c r="I4851" s="1" t="str">
        <f t="shared" si="9236"/>
        <v>0</v>
      </c>
      <c r="J4851" s="1" t="str">
        <f>"1"</f>
        <v>1</v>
      </c>
      <c r="K4851" s="1" t="str">
        <f t="shared" ref="K4851:P4851" si="9237">"0"</f>
        <v>0</v>
      </c>
      <c r="L4851" s="1" t="str">
        <f t="shared" si="9237"/>
        <v>0</v>
      </c>
      <c r="M4851" s="1" t="str">
        <f t="shared" si="9237"/>
        <v>0</v>
      </c>
      <c r="N4851" s="1" t="str">
        <f t="shared" si="9237"/>
        <v>0</v>
      </c>
      <c r="O4851" s="1" t="str">
        <f t="shared" si="9237"/>
        <v>0</v>
      </c>
      <c r="P4851" s="1" t="str">
        <f t="shared" si="9237"/>
        <v>0</v>
      </c>
      <c r="Q4851" s="1" t="str">
        <f t="shared" si="9157"/>
        <v>0.0070</v>
      </c>
      <c r="R4851" s="1" t="s">
        <v>25</v>
      </c>
      <c r="T4851" s="1" t="str">
        <f t="shared" si="9158"/>
        <v>0</v>
      </c>
      <c r="U4851" s="1" t="str">
        <f t="shared" si="9229"/>
        <v>0.0070</v>
      </c>
    </row>
    <row r="4852" s="1" customFormat="1" spans="1:21">
      <c r="A4852" s="1" t="str">
        <f>"4601992150831"</f>
        <v>4601992150831</v>
      </c>
      <c r="B4852" s="1" t="s">
        <v>4875</v>
      </c>
      <c r="C4852" s="1" t="s">
        <v>24</v>
      </c>
      <c r="D4852" s="1" t="str">
        <f t="shared" si="9155"/>
        <v>2021</v>
      </c>
      <c r="E4852" s="1" t="str">
        <f t="shared" ref="E4852:I4852" si="9238">"0"</f>
        <v>0</v>
      </c>
      <c r="F4852" s="1" t="str">
        <f t="shared" si="9238"/>
        <v>0</v>
      </c>
      <c r="G4852" s="1" t="str">
        <f t="shared" si="9238"/>
        <v>0</v>
      </c>
      <c r="H4852" s="1" t="str">
        <f t="shared" si="9238"/>
        <v>0</v>
      </c>
      <c r="I4852" s="1" t="str">
        <f t="shared" si="9238"/>
        <v>0</v>
      </c>
      <c r="J4852" s="1" t="str">
        <f>"4"</f>
        <v>4</v>
      </c>
      <c r="K4852" s="1" t="str">
        <f t="shared" ref="K4852:P4852" si="9239">"0"</f>
        <v>0</v>
      </c>
      <c r="L4852" s="1" t="str">
        <f t="shared" si="9239"/>
        <v>0</v>
      </c>
      <c r="M4852" s="1" t="str">
        <f t="shared" si="9239"/>
        <v>0</v>
      </c>
      <c r="N4852" s="1" t="str">
        <f t="shared" si="9239"/>
        <v>0</v>
      </c>
      <c r="O4852" s="1" t="str">
        <f t="shared" si="9239"/>
        <v>0</v>
      </c>
      <c r="P4852" s="1" t="str">
        <f t="shared" si="9239"/>
        <v>0</v>
      </c>
      <c r="Q4852" s="1" t="str">
        <f t="shared" si="9157"/>
        <v>0.0070</v>
      </c>
      <c r="R4852" s="1" t="s">
        <v>25</v>
      </c>
      <c r="T4852" s="1" t="str">
        <f t="shared" si="9158"/>
        <v>0</v>
      </c>
      <c r="U4852" s="1" t="str">
        <f t="shared" si="9229"/>
        <v>0.0070</v>
      </c>
    </row>
    <row r="4853" s="1" customFormat="1" spans="1:21">
      <c r="A4853" s="1" t="str">
        <f>"4601992150856"</f>
        <v>4601992150856</v>
      </c>
      <c r="B4853" s="1" t="s">
        <v>4876</v>
      </c>
      <c r="C4853" s="1" t="s">
        <v>24</v>
      </c>
      <c r="D4853" s="1" t="str">
        <f t="shared" si="9155"/>
        <v>2021</v>
      </c>
      <c r="E4853" s="1" t="str">
        <f>"23.96"</f>
        <v>23.96</v>
      </c>
      <c r="F4853" s="1" t="str">
        <f t="shared" ref="F4853:I4853" si="9240">"0"</f>
        <v>0</v>
      </c>
      <c r="G4853" s="1" t="str">
        <f t="shared" si="9240"/>
        <v>0</v>
      </c>
      <c r="H4853" s="1" t="str">
        <f t="shared" si="9240"/>
        <v>0</v>
      </c>
      <c r="I4853" s="1" t="str">
        <f t="shared" si="9240"/>
        <v>0</v>
      </c>
      <c r="J4853" s="1" t="str">
        <f t="shared" ref="J4853:J4856" si="9241">"2"</f>
        <v>2</v>
      </c>
      <c r="K4853" s="1" t="str">
        <f t="shared" ref="K4853:P4853" si="9242">"0"</f>
        <v>0</v>
      </c>
      <c r="L4853" s="1" t="str">
        <f t="shared" si="9242"/>
        <v>0</v>
      </c>
      <c r="M4853" s="1" t="str">
        <f t="shared" si="9242"/>
        <v>0</v>
      </c>
      <c r="N4853" s="1" t="str">
        <f t="shared" si="9242"/>
        <v>0</v>
      </c>
      <c r="O4853" s="1" t="str">
        <f t="shared" si="9242"/>
        <v>0</v>
      </c>
      <c r="P4853" s="1" t="str">
        <f t="shared" si="9242"/>
        <v>0</v>
      </c>
      <c r="Q4853" s="1" t="str">
        <f t="shared" si="9157"/>
        <v>0.0070</v>
      </c>
      <c r="R4853" s="1" t="s">
        <v>29</v>
      </c>
      <c r="S4853" s="1">
        <v>-0.0014</v>
      </c>
      <c r="T4853" s="1" t="str">
        <f t="shared" si="9158"/>
        <v>0</v>
      </c>
      <c r="U4853" s="1" t="str">
        <f t="shared" ref="U4853:U4857" si="9243">"0.0056"</f>
        <v>0.0056</v>
      </c>
    </row>
    <row r="4854" s="1" customFormat="1" spans="1:21">
      <c r="A4854" s="1" t="str">
        <f>"4601992151103"</f>
        <v>4601992151103</v>
      </c>
      <c r="B4854" s="1" t="s">
        <v>4877</v>
      </c>
      <c r="C4854" s="1" t="s">
        <v>24</v>
      </c>
      <c r="D4854" s="1" t="str">
        <f t="shared" si="9155"/>
        <v>2021</v>
      </c>
      <c r="E4854" s="1" t="str">
        <f t="shared" ref="E4854:P4854" si="9244">"0"</f>
        <v>0</v>
      </c>
      <c r="F4854" s="1" t="str">
        <f t="shared" si="9244"/>
        <v>0</v>
      </c>
      <c r="G4854" s="1" t="str">
        <f t="shared" si="9244"/>
        <v>0</v>
      </c>
      <c r="H4854" s="1" t="str">
        <f t="shared" si="9244"/>
        <v>0</v>
      </c>
      <c r="I4854" s="1" t="str">
        <f t="shared" si="9244"/>
        <v>0</v>
      </c>
      <c r="J4854" s="1" t="str">
        <f t="shared" si="9244"/>
        <v>0</v>
      </c>
      <c r="K4854" s="1" t="str">
        <f t="shared" si="9244"/>
        <v>0</v>
      </c>
      <c r="L4854" s="1" t="str">
        <f t="shared" si="9244"/>
        <v>0</v>
      </c>
      <c r="M4854" s="1" t="str">
        <f t="shared" si="9244"/>
        <v>0</v>
      </c>
      <c r="N4854" s="1" t="str">
        <f t="shared" si="9244"/>
        <v>0</v>
      </c>
      <c r="O4854" s="1" t="str">
        <f t="shared" si="9244"/>
        <v>0</v>
      </c>
      <c r="P4854" s="1" t="str">
        <f t="shared" si="9244"/>
        <v>0</v>
      </c>
      <c r="Q4854" s="1" t="str">
        <f t="shared" si="9157"/>
        <v>0.0070</v>
      </c>
      <c r="R4854" s="1" t="s">
        <v>25</v>
      </c>
      <c r="T4854" s="1" t="str">
        <f t="shared" si="9158"/>
        <v>0</v>
      </c>
      <c r="U4854" s="1" t="str">
        <f t="shared" ref="U4854:U4860" si="9245">"0.0070"</f>
        <v>0.0070</v>
      </c>
    </row>
    <row r="4855" s="1" customFormat="1" spans="1:21">
      <c r="A4855" s="1" t="str">
        <f>"4601992150999"</f>
        <v>4601992150999</v>
      </c>
      <c r="B4855" s="1" t="s">
        <v>4878</v>
      </c>
      <c r="C4855" s="1" t="s">
        <v>24</v>
      </c>
      <c r="D4855" s="1" t="str">
        <f t="shared" si="9155"/>
        <v>2021</v>
      </c>
      <c r="E4855" s="1" t="str">
        <f>"11.98"</f>
        <v>11.98</v>
      </c>
      <c r="F4855" s="1" t="str">
        <f t="shared" ref="F4855:I4855" si="9246">"0"</f>
        <v>0</v>
      </c>
      <c r="G4855" s="1" t="str">
        <f t="shared" si="9246"/>
        <v>0</v>
      </c>
      <c r="H4855" s="1" t="str">
        <f t="shared" si="9246"/>
        <v>0</v>
      </c>
      <c r="I4855" s="1" t="str">
        <f t="shared" si="9246"/>
        <v>0</v>
      </c>
      <c r="J4855" s="1" t="str">
        <f t="shared" si="9241"/>
        <v>2</v>
      </c>
      <c r="K4855" s="1" t="str">
        <f t="shared" ref="K4855:P4855" si="9247">"0"</f>
        <v>0</v>
      </c>
      <c r="L4855" s="1" t="str">
        <f t="shared" si="9247"/>
        <v>0</v>
      </c>
      <c r="M4855" s="1" t="str">
        <f t="shared" si="9247"/>
        <v>0</v>
      </c>
      <c r="N4855" s="1" t="str">
        <f t="shared" si="9247"/>
        <v>0</v>
      </c>
      <c r="O4855" s="1" t="str">
        <f t="shared" si="9247"/>
        <v>0</v>
      </c>
      <c r="P4855" s="1" t="str">
        <f t="shared" si="9247"/>
        <v>0</v>
      </c>
      <c r="Q4855" s="1" t="str">
        <f t="shared" si="9157"/>
        <v>0.0070</v>
      </c>
      <c r="R4855" s="1" t="s">
        <v>29</v>
      </c>
      <c r="S4855" s="1">
        <v>-0.0014</v>
      </c>
      <c r="T4855" s="1" t="str">
        <f t="shared" si="9158"/>
        <v>0</v>
      </c>
      <c r="U4855" s="1" t="str">
        <f t="shared" si="9243"/>
        <v>0.0056</v>
      </c>
    </row>
    <row r="4856" s="1" customFormat="1" spans="1:21">
      <c r="A4856" s="1" t="str">
        <f>"4601992150878"</f>
        <v>4601992150878</v>
      </c>
      <c r="B4856" s="1" t="s">
        <v>4879</v>
      </c>
      <c r="C4856" s="1" t="s">
        <v>24</v>
      </c>
      <c r="D4856" s="1" t="str">
        <f t="shared" si="9155"/>
        <v>2021</v>
      </c>
      <c r="E4856" s="1" t="str">
        <f>"23.96"</f>
        <v>23.96</v>
      </c>
      <c r="F4856" s="1" t="str">
        <f t="shared" ref="F4856:I4856" si="9248">"0"</f>
        <v>0</v>
      </c>
      <c r="G4856" s="1" t="str">
        <f t="shared" si="9248"/>
        <v>0</v>
      </c>
      <c r="H4856" s="1" t="str">
        <f t="shared" si="9248"/>
        <v>0</v>
      </c>
      <c r="I4856" s="1" t="str">
        <f t="shared" si="9248"/>
        <v>0</v>
      </c>
      <c r="J4856" s="1" t="str">
        <f t="shared" si="9241"/>
        <v>2</v>
      </c>
      <c r="K4856" s="1" t="str">
        <f t="shared" ref="K4856:P4856" si="9249">"0"</f>
        <v>0</v>
      </c>
      <c r="L4856" s="1" t="str">
        <f t="shared" si="9249"/>
        <v>0</v>
      </c>
      <c r="M4856" s="1" t="str">
        <f t="shared" si="9249"/>
        <v>0</v>
      </c>
      <c r="N4856" s="1" t="str">
        <f t="shared" si="9249"/>
        <v>0</v>
      </c>
      <c r="O4856" s="1" t="str">
        <f t="shared" si="9249"/>
        <v>0</v>
      </c>
      <c r="P4856" s="1" t="str">
        <f t="shared" si="9249"/>
        <v>0</v>
      </c>
      <c r="Q4856" s="1" t="str">
        <f t="shared" si="9157"/>
        <v>0.0070</v>
      </c>
      <c r="R4856" s="1" t="s">
        <v>29</v>
      </c>
      <c r="S4856" s="1">
        <v>-0.0014</v>
      </c>
      <c r="T4856" s="1" t="str">
        <f t="shared" si="9158"/>
        <v>0</v>
      </c>
      <c r="U4856" s="1" t="str">
        <f t="shared" si="9243"/>
        <v>0.0056</v>
      </c>
    </row>
    <row r="4857" s="1" customFormat="1" spans="1:21">
      <c r="A4857" s="1" t="str">
        <f>"4601992151151"</f>
        <v>4601992151151</v>
      </c>
      <c r="B4857" s="1" t="s">
        <v>4880</v>
      </c>
      <c r="C4857" s="1" t="s">
        <v>24</v>
      </c>
      <c r="D4857" s="1" t="str">
        <f t="shared" si="9155"/>
        <v>2021</v>
      </c>
      <c r="E4857" s="1" t="str">
        <f>"12.05"</f>
        <v>12.05</v>
      </c>
      <c r="F4857" s="1" t="str">
        <f t="shared" ref="F4857:I4857" si="9250">"0"</f>
        <v>0</v>
      </c>
      <c r="G4857" s="1" t="str">
        <f t="shared" si="9250"/>
        <v>0</v>
      </c>
      <c r="H4857" s="1" t="str">
        <f t="shared" si="9250"/>
        <v>0</v>
      </c>
      <c r="I4857" s="1" t="str">
        <f t="shared" si="9250"/>
        <v>0</v>
      </c>
      <c r="J4857" s="1" t="str">
        <f>"1"</f>
        <v>1</v>
      </c>
      <c r="K4857" s="1" t="str">
        <f t="shared" ref="K4857:P4857" si="9251">"0"</f>
        <v>0</v>
      </c>
      <c r="L4857" s="1" t="str">
        <f t="shared" si="9251"/>
        <v>0</v>
      </c>
      <c r="M4857" s="1" t="str">
        <f t="shared" si="9251"/>
        <v>0</v>
      </c>
      <c r="N4857" s="1" t="str">
        <f t="shared" si="9251"/>
        <v>0</v>
      </c>
      <c r="O4857" s="1" t="str">
        <f t="shared" si="9251"/>
        <v>0</v>
      </c>
      <c r="P4857" s="1" t="str">
        <f t="shared" si="9251"/>
        <v>0</v>
      </c>
      <c r="Q4857" s="1" t="str">
        <f t="shared" si="9157"/>
        <v>0.0070</v>
      </c>
      <c r="R4857" s="1" t="s">
        <v>29</v>
      </c>
      <c r="S4857" s="1">
        <v>-0.0014</v>
      </c>
      <c r="T4857" s="1" t="str">
        <f t="shared" si="9158"/>
        <v>0</v>
      </c>
      <c r="U4857" s="1" t="str">
        <f t="shared" si="9243"/>
        <v>0.0056</v>
      </c>
    </row>
    <row r="4858" s="1" customFormat="1" spans="1:21">
      <c r="A4858" s="1" t="str">
        <f>"4601992151166"</f>
        <v>4601992151166</v>
      </c>
      <c r="B4858" s="1" t="s">
        <v>4881</v>
      </c>
      <c r="C4858" s="1" t="s">
        <v>24</v>
      </c>
      <c r="D4858" s="1" t="str">
        <f t="shared" si="9155"/>
        <v>2021</v>
      </c>
      <c r="E4858" s="1" t="str">
        <f t="shared" ref="E4858:P4858" si="9252">"0"</f>
        <v>0</v>
      </c>
      <c r="F4858" s="1" t="str">
        <f t="shared" si="9252"/>
        <v>0</v>
      </c>
      <c r="G4858" s="1" t="str">
        <f t="shared" si="9252"/>
        <v>0</v>
      </c>
      <c r="H4858" s="1" t="str">
        <f t="shared" si="9252"/>
        <v>0</v>
      </c>
      <c r="I4858" s="1" t="str">
        <f t="shared" si="9252"/>
        <v>0</v>
      </c>
      <c r="J4858" s="1" t="str">
        <f t="shared" si="9252"/>
        <v>0</v>
      </c>
      <c r="K4858" s="1" t="str">
        <f t="shared" si="9252"/>
        <v>0</v>
      </c>
      <c r="L4858" s="1" t="str">
        <f t="shared" si="9252"/>
        <v>0</v>
      </c>
      <c r="M4858" s="1" t="str">
        <f t="shared" si="9252"/>
        <v>0</v>
      </c>
      <c r="N4858" s="1" t="str">
        <f t="shared" si="9252"/>
        <v>0</v>
      </c>
      <c r="O4858" s="1" t="str">
        <f t="shared" si="9252"/>
        <v>0</v>
      </c>
      <c r="P4858" s="1" t="str">
        <f t="shared" si="9252"/>
        <v>0</v>
      </c>
      <c r="Q4858" s="1" t="str">
        <f t="shared" si="9157"/>
        <v>0.0070</v>
      </c>
      <c r="R4858" s="1" t="s">
        <v>25</v>
      </c>
      <c r="T4858" s="1" t="str">
        <f t="shared" si="9158"/>
        <v>0</v>
      </c>
      <c r="U4858" s="1" t="str">
        <f t="shared" si="9245"/>
        <v>0.0070</v>
      </c>
    </row>
    <row r="4859" s="1" customFormat="1" spans="1:21">
      <c r="A4859" s="1" t="str">
        <f>"4601992151202"</f>
        <v>4601992151202</v>
      </c>
      <c r="B4859" s="1" t="s">
        <v>4882</v>
      </c>
      <c r="C4859" s="1" t="s">
        <v>24</v>
      </c>
      <c r="D4859" s="1" t="str">
        <f t="shared" si="9155"/>
        <v>2021</v>
      </c>
      <c r="E4859" s="1" t="str">
        <f t="shared" ref="E4859:P4859" si="9253">"0"</f>
        <v>0</v>
      </c>
      <c r="F4859" s="1" t="str">
        <f t="shared" si="9253"/>
        <v>0</v>
      </c>
      <c r="G4859" s="1" t="str">
        <f t="shared" si="9253"/>
        <v>0</v>
      </c>
      <c r="H4859" s="1" t="str">
        <f t="shared" si="9253"/>
        <v>0</v>
      </c>
      <c r="I4859" s="1" t="str">
        <f t="shared" si="9253"/>
        <v>0</v>
      </c>
      <c r="J4859" s="1" t="str">
        <f t="shared" si="9253"/>
        <v>0</v>
      </c>
      <c r="K4859" s="1" t="str">
        <f t="shared" si="9253"/>
        <v>0</v>
      </c>
      <c r="L4859" s="1" t="str">
        <f t="shared" si="9253"/>
        <v>0</v>
      </c>
      <c r="M4859" s="1" t="str">
        <f t="shared" si="9253"/>
        <v>0</v>
      </c>
      <c r="N4859" s="1" t="str">
        <f t="shared" si="9253"/>
        <v>0</v>
      </c>
      <c r="O4859" s="1" t="str">
        <f t="shared" si="9253"/>
        <v>0</v>
      </c>
      <c r="P4859" s="1" t="str">
        <f t="shared" si="9253"/>
        <v>0</v>
      </c>
      <c r="Q4859" s="1" t="str">
        <f t="shared" si="9157"/>
        <v>0.0070</v>
      </c>
      <c r="R4859" s="1" t="s">
        <v>25</v>
      </c>
      <c r="T4859" s="1" t="str">
        <f t="shared" si="9158"/>
        <v>0</v>
      </c>
      <c r="U4859" s="1" t="str">
        <f t="shared" si="9245"/>
        <v>0.0070</v>
      </c>
    </row>
    <row r="4860" s="1" customFormat="1" spans="1:21">
      <c r="A4860" s="1" t="str">
        <f>"4601992151211"</f>
        <v>4601992151211</v>
      </c>
      <c r="B4860" s="1" t="s">
        <v>4883</v>
      </c>
      <c r="C4860" s="1" t="s">
        <v>24</v>
      </c>
      <c r="D4860" s="1" t="str">
        <f t="shared" si="9155"/>
        <v>2021</v>
      </c>
      <c r="E4860" s="1" t="str">
        <f t="shared" ref="E4860:P4860" si="9254">"0"</f>
        <v>0</v>
      </c>
      <c r="F4860" s="1" t="str">
        <f t="shared" si="9254"/>
        <v>0</v>
      </c>
      <c r="G4860" s="1" t="str">
        <f t="shared" si="9254"/>
        <v>0</v>
      </c>
      <c r="H4860" s="1" t="str">
        <f t="shared" si="9254"/>
        <v>0</v>
      </c>
      <c r="I4860" s="1" t="str">
        <f t="shared" si="9254"/>
        <v>0</v>
      </c>
      <c r="J4860" s="1" t="str">
        <f t="shared" si="9254"/>
        <v>0</v>
      </c>
      <c r="K4860" s="1" t="str">
        <f t="shared" si="9254"/>
        <v>0</v>
      </c>
      <c r="L4860" s="1" t="str">
        <f t="shared" si="9254"/>
        <v>0</v>
      </c>
      <c r="M4860" s="1" t="str">
        <f t="shared" si="9254"/>
        <v>0</v>
      </c>
      <c r="N4860" s="1" t="str">
        <f t="shared" si="9254"/>
        <v>0</v>
      </c>
      <c r="O4860" s="1" t="str">
        <f t="shared" si="9254"/>
        <v>0</v>
      </c>
      <c r="P4860" s="1" t="str">
        <f t="shared" si="9254"/>
        <v>0</v>
      </c>
      <c r="Q4860" s="1" t="str">
        <f t="shared" si="9157"/>
        <v>0.0070</v>
      </c>
      <c r="R4860" s="1" t="s">
        <v>25</v>
      </c>
      <c r="T4860" s="1" t="str">
        <f t="shared" si="9158"/>
        <v>0</v>
      </c>
      <c r="U4860" s="1" t="str">
        <f t="shared" si="9245"/>
        <v>0.0070</v>
      </c>
    </row>
    <row r="4861" s="1" customFormat="1" spans="1:21">
      <c r="A4861" s="1" t="str">
        <f>"4601992151171"</f>
        <v>4601992151171</v>
      </c>
      <c r="B4861" s="1" t="s">
        <v>4884</v>
      </c>
      <c r="C4861" s="1" t="s">
        <v>24</v>
      </c>
      <c r="D4861" s="1" t="str">
        <f t="shared" si="9155"/>
        <v>2021</v>
      </c>
      <c r="E4861" s="1" t="str">
        <f>"29.05"</f>
        <v>29.05</v>
      </c>
      <c r="F4861" s="1" t="str">
        <f t="shared" ref="F4861:I4861" si="9255">"0"</f>
        <v>0</v>
      </c>
      <c r="G4861" s="1" t="str">
        <f t="shared" si="9255"/>
        <v>0</v>
      </c>
      <c r="H4861" s="1" t="str">
        <f t="shared" si="9255"/>
        <v>0</v>
      </c>
      <c r="I4861" s="1" t="str">
        <f t="shared" si="9255"/>
        <v>0</v>
      </c>
      <c r="J4861" s="1" t="str">
        <f>"3"</f>
        <v>3</v>
      </c>
      <c r="K4861" s="1" t="str">
        <f t="shared" ref="K4861:P4861" si="9256">"0"</f>
        <v>0</v>
      </c>
      <c r="L4861" s="1" t="str">
        <f t="shared" si="9256"/>
        <v>0</v>
      </c>
      <c r="M4861" s="1" t="str">
        <f t="shared" si="9256"/>
        <v>0</v>
      </c>
      <c r="N4861" s="1" t="str">
        <f t="shared" si="9256"/>
        <v>0</v>
      </c>
      <c r="O4861" s="1" t="str">
        <f t="shared" si="9256"/>
        <v>0</v>
      </c>
      <c r="P4861" s="1" t="str">
        <f t="shared" si="9256"/>
        <v>0</v>
      </c>
      <c r="Q4861" s="1" t="str">
        <f t="shared" si="9157"/>
        <v>0.0070</v>
      </c>
      <c r="R4861" s="1" t="s">
        <v>29</v>
      </c>
      <c r="S4861" s="1">
        <v>-0.0014</v>
      </c>
      <c r="T4861" s="1" t="str">
        <f t="shared" si="9158"/>
        <v>0</v>
      </c>
      <c r="U4861" s="1" t="str">
        <f t="shared" ref="U4861:U4863" si="9257">"0.0056"</f>
        <v>0.0056</v>
      </c>
    </row>
    <row r="4862" s="1" customFormat="1" spans="1:21">
      <c r="A4862" s="1" t="str">
        <f>"4601992151209"</f>
        <v>4601992151209</v>
      </c>
      <c r="B4862" s="1" t="s">
        <v>4885</v>
      </c>
      <c r="C4862" s="1" t="s">
        <v>24</v>
      </c>
      <c r="D4862" s="1" t="str">
        <f t="shared" si="9155"/>
        <v>2021</v>
      </c>
      <c r="E4862" s="1" t="str">
        <f>"23.96"</f>
        <v>23.96</v>
      </c>
      <c r="F4862" s="1" t="str">
        <f t="shared" ref="F4862:I4862" si="9258">"0"</f>
        <v>0</v>
      </c>
      <c r="G4862" s="1" t="str">
        <f t="shared" si="9258"/>
        <v>0</v>
      </c>
      <c r="H4862" s="1" t="str">
        <f t="shared" si="9258"/>
        <v>0</v>
      </c>
      <c r="I4862" s="1" t="str">
        <f t="shared" si="9258"/>
        <v>0</v>
      </c>
      <c r="J4862" s="1" t="str">
        <f>"2"</f>
        <v>2</v>
      </c>
      <c r="K4862" s="1" t="str">
        <f t="shared" ref="K4862:P4862" si="9259">"0"</f>
        <v>0</v>
      </c>
      <c r="L4862" s="1" t="str">
        <f t="shared" si="9259"/>
        <v>0</v>
      </c>
      <c r="M4862" s="1" t="str">
        <f t="shared" si="9259"/>
        <v>0</v>
      </c>
      <c r="N4862" s="1" t="str">
        <f t="shared" si="9259"/>
        <v>0</v>
      </c>
      <c r="O4862" s="1" t="str">
        <f t="shared" si="9259"/>
        <v>0</v>
      </c>
      <c r="P4862" s="1" t="str">
        <f t="shared" si="9259"/>
        <v>0</v>
      </c>
      <c r="Q4862" s="1" t="str">
        <f t="shared" si="9157"/>
        <v>0.0070</v>
      </c>
      <c r="R4862" s="1" t="s">
        <v>29</v>
      </c>
      <c r="S4862" s="1">
        <v>-0.0014</v>
      </c>
      <c r="T4862" s="1" t="str">
        <f t="shared" si="9158"/>
        <v>0</v>
      </c>
      <c r="U4862" s="1" t="str">
        <f t="shared" si="9257"/>
        <v>0.0056</v>
      </c>
    </row>
    <row r="4863" s="1" customFormat="1" spans="1:21">
      <c r="A4863" s="1" t="str">
        <f>"4601992151217"</f>
        <v>4601992151217</v>
      </c>
      <c r="B4863" s="1" t="s">
        <v>4886</v>
      </c>
      <c r="C4863" s="1" t="s">
        <v>24</v>
      </c>
      <c r="D4863" s="1" t="str">
        <f t="shared" si="9155"/>
        <v>2021</v>
      </c>
      <c r="E4863" s="1" t="str">
        <f>"11.98"</f>
        <v>11.98</v>
      </c>
      <c r="F4863" s="1" t="str">
        <f t="shared" ref="F4863:I4863" si="9260">"0"</f>
        <v>0</v>
      </c>
      <c r="G4863" s="1" t="str">
        <f t="shared" si="9260"/>
        <v>0</v>
      </c>
      <c r="H4863" s="1" t="str">
        <f t="shared" si="9260"/>
        <v>0</v>
      </c>
      <c r="I4863" s="1" t="str">
        <f t="shared" si="9260"/>
        <v>0</v>
      </c>
      <c r="J4863" s="1" t="str">
        <f t="shared" ref="J4863:J4866" si="9261">"1"</f>
        <v>1</v>
      </c>
      <c r="K4863" s="1" t="str">
        <f t="shared" ref="K4863:P4863" si="9262">"0"</f>
        <v>0</v>
      </c>
      <c r="L4863" s="1" t="str">
        <f t="shared" si="9262"/>
        <v>0</v>
      </c>
      <c r="M4863" s="1" t="str">
        <f t="shared" si="9262"/>
        <v>0</v>
      </c>
      <c r="N4863" s="1" t="str">
        <f t="shared" si="9262"/>
        <v>0</v>
      </c>
      <c r="O4863" s="1" t="str">
        <f t="shared" si="9262"/>
        <v>0</v>
      </c>
      <c r="P4863" s="1" t="str">
        <f t="shared" si="9262"/>
        <v>0</v>
      </c>
      <c r="Q4863" s="1" t="str">
        <f t="shared" si="9157"/>
        <v>0.0070</v>
      </c>
      <c r="R4863" s="1" t="s">
        <v>29</v>
      </c>
      <c r="S4863" s="1">
        <v>-0.0014</v>
      </c>
      <c r="T4863" s="1" t="str">
        <f t="shared" si="9158"/>
        <v>0</v>
      </c>
      <c r="U4863" s="1" t="str">
        <f t="shared" si="9257"/>
        <v>0.0056</v>
      </c>
    </row>
    <row r="4864" s="1" customFormat="1" spans="1:21">
      <c r="A4864" s="1" t="str">
        <f>"4601992151219"</f>
        <v>4601992151219</v>
      </c>
      <c r="B4864" s="1" t="s">
        <v>4887</v>
      </c>
      <c r="C4864" s="1" t="s">
        <v>24</v>
      </c>
      <c r="D4864" s="1" t="str">
        <f t="shared" si="9155"/>
        <v>2021</v>
      </c>
      <c r="E4864" s="1" t="str">
        <f>"83.86"</f>
        <v>83.86</v>
      </c>
      <c r="F4864" s="1" t="str">
        <f t="shared" ref="F4864:I4864" si="9263">"0"</f>
        <v>0</v>
      </c>
      <c r="G4864" s="1" t="str">
        <f t="shared" si="9263"/>
        <v>0</v>
      </c>
      <c r="H4864" s="1" t="str">
        <f t="shared" si="9263"/>
        <v>0</v>
      </c>
      <c r="I4864" s="1" t="str">
        <f t="shared" si="9263"/>
        <v>0</v>
      </c>
      <c r="J4864" s="1" t="str">
        <f>"7"</f>
        <v>7</v>
      </c>
      <c r="K4864" s="1" t="str">
        <f t="shared" ref="K4864:P4864" si="9264">"0"</f>
        <v>0</v>
      </c>
      <c r="L4864" s="1" t="str">
        <f t="shared" si="9264"/>
        <v>0</v>
      </c>
      <c r="M4864" s="1" t="str">
        <f t="shared" si="9264"/>
        <v>0</v>
      </c>
      <c r="N4864" s="1" t="str">
        <f t="shared" si="9264"/>
        <v>0</v>
      </c>
      <c r="O4864" s="1" t="str">
        <f t="shared" si="9264"/>
        <v>0</v>
      </c>
      <c r="P4864" s="1" t="str">
        <f t="shared" si="9264"/>
        <v>0</v>
      </c>
      <c r="Q4864" s="1" t="str">
        <f t="shared" si="9157"/>
        <v>0.0070</v>
      </c>
      <c r="R4864" s="1" t="s">
        <v>25</v>
      </c>
      <c r="T4864" s="1" t="str">
        <f t="shared" si="9158"/>
        <v>0</v>
      </c>
      <c r="U4864" s="1" t="str">
        <f t="shared" ref="U4864:U4869" si="9265">"0.0070"</f>
        <v>0.0070</v>
      </c>
    </row>
    <row r="4865" s="1" customFormat="1" spans="1:21">
      <c r="A4865" s="1" t="str">
        <f>"4601992151215"</f>
        <v>4601992151215</v>
      </c>
      <c r="B4865" s="1" t="s">
        <v>4888</v>
      </c>
      <c r="C4865" s="1" t="s">
        <v>24</v>
      </c>
      <c r="D4865" s="1" t="str">
        <f t="shared" si="9155"/>
        <v>2021</v>
      </c>
      <c r="E4865" s="1" t="str">
        <f>"24.18"</f>
        <v>24.18</v>
      </c>
      <c r="F4865" s="1" t="str">
        <f t="shared" ref="F4865:I4865" si="9266">"0"</f>
        <v>0</v>
      </c>
      <c r="G4865" s="1" t="str">
        <f t="shared" si="9266"/>
        <v>0</v>
      </c>
      <c r="H4865" s="1" t="str">
        <f t="shared" si="9266"/>
        <v>0</v>
      </c>
      <c r="I4865" s="1" t="str">
        <f t="shared" si="9266"/>
        <v>0</v>
      </c>
      <c r="J4865" s="1" t="str">
        <f t="shared" si="9261"/>
        <v>1</v>
      </c>
      <c r="K4865" s="1" t="str">
        <f t="shared" ref="K4865:P4865" si="9267">"0"</f>
        <v>0</v>
      </c>
      <c r="L4865" s="1" t="str">
        <f t="shared" si="9267"/>
        <v>0</v>
      </c>
      <c r="M4865" s="1" t="str">
        <f t="shared" si="9267"/>
        <v>0</v>
      </c>
      <c r="N4865" s="1" t="str">
        <f t="shared" si="9267"/>
        <v>0</v>
      </c>
      <c r="O4865" s="1" t="str">
        <f t="shared" si="9267"/>
        <v>0</v>
      </c>
      <c r="P4865" s="1" t="str">
        <f t="shared" si="9267"/>
        <v>0</v>
      </c>
      <c r="Q4865" s="1" t="str">
        <f t="shared" si="9157"/>
        <v>0.0070</v>
      </c>
      <c r="R4865" s="1" t="s">
        <v>29</v>
      </c>
      <c r="S4865" s="1">
        <v>-0.0014</v>
      </c>
      <c r="T4865" s="1" t="str">
        <f t="shared" si="9158"/>
        <v>0</v>
      </c>
      <c r="U4865" s="1" t="str">
        <f t="shared" ref="U4865:U4868" si="9268">"0.0056"</f>
        <v>0.0056</v>
      </c>
    </row>
    <row r="4866" s="1" customFormat="1" spans="1:21">
      <c r="A4866" s="1" t="str">
        <f>"4601992151226"</f>
        <v>4601992151226</v>
      </c>
      <c r="B4866" s="1" t="s">
        <v>4889</v>
      </c>
      <c r="C4866" s="1" t="s">
        <v>24</v>
      </c>
      <c r="D4866" s="1" t="str">
        <f t="shared" si="9155"/>
        <v>2021</v>
      </c>
      <c r="E4866" s="1" t="str">
        <f t="shared" ref="E4866:I4866" si="9269">"0"</f>
        <v>0</v>
      </c>
      <c r="F4866" s="1" t="str">
        <f t="shared" si="9269"/>
        <v>0</v>
      </c>
      <c r="G4866" s="1" t="str">
        <f t="shared" si="9269"/>
        <v>0</v>
      </c>
      <c r="H4866" s="1" t="str">
        <f t="shared" si="9269"/>
        <v>0</v>
      </c>
      <c r="I4866" s="1" t="str">
        <f t="shared" si="9269"/>
        <v>0</v>
      </c>
      <c r="J4866" s="1" t="str">
        <f t="shared" si="9261"/>
        <v>1</v>
      </c>
      <c r="K4866" s="1" t="str">
        <f t="shared" ref="K4866:P4866" si="9270">"0"</f>
        <v>0</v>
      </c>
      <c r="L4866" s="1" t="str">
        <f t="shared" si="9270"/>
        <v>0</v>
      </c>
      <c r="M4866" s="1" t="str">
        <f t="shared" si="9270"/>
        <v>0</v>
      </c>
      <c r="N4866" s="1" t="str">
        <f t="shared" si="9270"/>
        <v>0</v>
      </c>
      <c r="O4866" s="1" t="str">
        <f t="shared" si="9270"/>
        <v>0</v>
      </c>
      <c r="P4866" s="1" t="str">
        <f t="shared" si="9270"/>
        <v>0</v>
      </c>
      <c r="Q4866" s="1" t="str">
        <f t="shared" si="9157"/>
        <v>0.0070</v>
      </c>
      <c r="R4866" s="1" t="s">
        <v>25</v>
      </c>
      <c r="T4866" s="1" t="str">
        <f t="shared" si="9158"/>
        <v>0</v>
      </c>
      <c r="U4866" s="1" t="str">
        <f t="shared" si="9265"/>
        <v>0.0070</v>
      </c>
    </row>
    <row r="4867" s="1" customFormat="1" spans="1:21">
      <c r="A4867" s="1" t="str">
        <f>"4601992063925"</f>
        <v>4601992063925</v>
      </c>
      <c r="B4867" s="1" t="s">
        <v>4890</v>
      </c>
      <c r="C4867" s="1" t="s">
        <v>24</v>
      </c>
      <c r="D4867" s="1" t="str">
        <f t="shared" ref="D4867:D4930" si="9271">"2021"</f>
        <v>2021</v>
      </c>
      <c r="E4867" s="1" t="str">
        <f>"143.76"</f>
        <v>143.76</v>
      </c>
      <c r="F4867" s="1" t="str">
        <f t="shared" ref="F4867:I4867" si="9272">"0"</f>
        <v>0</v>
      </c>
      <c r="G4867" s="1" t="str">
        <f t="shared" si="9272"/>
        <v>0</v>
      </c>
      <c r="H4867" s="1" t="str">
        <f t="shared" si="9272"/>
        <v>0</v>
      </c>
      <c r="I4867" s="1" t="str">
        <f t="shared" si="9272"/>
        <v>0</v>
      </c>
      <c r="J4867" s="1" t="str">
        <f>"9"</f>
        <v>9</v>
      </c>
      <c r="K4867" s="1" t="str">
        <f t="shared" ref="K4867:P4867" si="9273">"0"</f>
        <v>0</v>
      </c>
      <c r="L4867" s="1" t="str">
        <f t="shared" si="9273"/>
        <v>0</v>
      </c>
      <c r="M4867" s="1" t="str">
        <f t="shared" si="9273"/>
        <v>0</v>
      </c>
      <c r="N4867" s="1" t="str">
        <f t="shared" si="9273"/>
        <v>0</v>
      </c>
      <c r="O4867" s="1" t="str">
        <f t="shared" si="9273"/>
        <v>0</v>
      </c>
      <c r="P4867" s="1" t="str">
        <f t="shared" si="9273"/>
        <v>0</v>
      </c>
      <c r="Q4867" s="1" t="str">
        <f t="shared" ref="Q4867:Q4930" si="9274">"0.0070"</f>
        <v>0.0070</v>
      </c>
      <c r="R4867" s="1" t="s">
        <v>29</v>
      </c>
      <c r="S4867" s="1">
        <v>-0.0014</v>
      </c>
      <c r="T4867" s="1" t="str">
        <f t="shared" ref="T4867:T4930" si="9275">"0"</f>
        <v>0</v>
      </c>
      <c r="U4867" s="1" t="str">
        <f t="shared" si="9268"/>
        <v>0.0056</v>
      </c>
    </row>
    <row r="4868" s="1" customFormat="1" spans="1:21">
      <c r="A4868" s="1" t="str">
        <f>"4601992151487"</f>
        <v>4601992151487</v>
      </c>
      <c r="B4868" s="1" t="s">
        <v>4891</v>
      </c>
      <c r="C4868" s="1" t="s">
        <v>24</v>
      </c>
      <c r="D4868" s="1" t="str">
        <f t="shared" si="9271"/>
        <v>2021</v>
      </c>
      <c r="E4868" s="1" t="str">
        <f>"23.96"</f>
        <v>23.96</v>
      </c>
      <c r="F4868" s="1" t="str">
        <f t="shared" ref="F4868:I4868" si="9276">"0"</f>
        <v>0</v>
      </c>
      <c r="G4868" s="1" t="str">
        <f t="shared" si="9276"/>
        <v>0</v>
      </c>
      <c r="H4868" s="1" t="str">
        <f t="shared" si="9276"/>
        <v>0</v>
      </c>
      <c r="I4868" s="1" t="str">
        <f t="shared" si="9276"/>
        <v>0</v>
      </c>
      <c r="J4868" s="1" t="str">
        <f>"3"</f>
        <v>3</v>
      </c>
      <c r="K4868" s="1" t="str">
        <f t="shared" ref="K4868:P4868" si="9277">"0"</f>
        <v>0</v>
      </c>
      <c r="L4868" s="1" t="str">
        <f t="shared" si="9277"/>
        <v>0</v>
      </c>
      <c r="M4868" s="1" t="str">
        <f t="shared" si="9277"/>
        <v>0</v>
      </c>
      <c r="N4868" s="1" t="str">
        <f t="shared" si="9277"/>
        <v>0</v>
      </c>
      <c r="O4868" s="1" t="str">
        <f t="shared" si="9277"/>
        <v>0</v>
      </c>
      <c r="P4868" s="1" t="str">
        <f t="shared" si="9277"/>
        <v>0</v>
      </c>
      <c r="Q4868" s="1" t="str">
        <f t="shared" si="9274"/>
        <v>0.0070</v>
      </c>
      <c r="R4868" s="1" t="s">
        <v>29</v>
      </c>
      <c r="S4868" s="1">
        <v>-0.0014</v>
      </c>
      <c r="T4868" s="1" t="str">
        <f t="shared" si="9275"/>
        <v>0</v>
      </c>
      <c r="U4868" s="1" t="str">
        <f t="shared" si="9268"/>
        <v>0.0056</v>
      </c>
    </row>
    <row r="4869" s="1" customFormat="1" spans="1:21">
      <c r="A4869" s="1" t="str">
        <f>"4601992151745"</f>
        <v>4601992151745</v>
      </c>
      <c r="B4869" s="1" t="s">
        <v>4892</v>
      </c>
      <c r="C4869" s="1" t="s">
        <v>24</v>
      </c>
      <c r="D4869" s="1" t="str">
        <f t="shared" si="9271"/>
        <v>2021</v>
      </c>
      <c r="E4869" s="1" t="str">
        <f t="shared" ref="E4869:G4869" si="9278">"0"</f>
        <v>0</v>
      </c>
      <c r="F4869" s="1" t="str">
        <f t="shared" si="9278"/>
        <v>0</v>
      </c>
      <c r="G4869" s="1" t="str">
        <f t="shared" si="9278"/>
        <v>0</v>
      </c>
      <c r="H4869" s="1" t="str">
        <f>"23.96"</f>
        <v>23.96</v>
      </c>
      <c r="I4869" s="1" t="str">
        <f t="shared" ref="I4869:P4869" si="9279">"0"</f>
        <v>0</v>
      </c>
      <c r="J4869" s="1" t="str">
        <f t="shared" si="9279"/>
        <v>0</v>
      </c>
      <c r="K4869" s="1" t="str">
        <f t="shared" si="9279"/>
        <v>0</v>
      </c>
      <c r="L4869" s="1" t="str">
        <f t="shared" si="9279"/>
        <v>0</v>
      </c>
      <c r="M4869" s="1" t="str">
        <f t="shared" si="9279"/>
        <v>0</v>
      </c>
      <c r="N4869" s="1" t="str">
        <f t="shared" si="9279"/>
        <v>0</v>
      </c>
      <c r="O4869" s="1" t="str">
        <f t="shared" si="9279"/>
        <v>0</v>
      </c>
      <c r="P4869" s="1" t="str">
        <f t="shared" si="9279"/>
        <v>0</v>
      </c>
      <c r="Q4869" s="1" t="str">
        <f t="shared" si="9274"/>
        <v>0.0070</v>
      </c>
      <c r="R4869" s="1" t="s">
        <v>25</v>
      </c>
      <c r="T4869" s="1" t="str">
        <f t="shared" si="9275"/>
        <v>0</v>
      </c>
      <c r="U4869" s="1" t="str">
        <f t="shared" si="9265"/>
        <v>0.0070</v>
      </c>
    </row>
    <row r="4870" s="1" customFormat="1" spans="1:21">
      <c r="A4870" s="1" t="str">
        <f>"4601992151577"</f>
        <v>4601992151577</v>
      </c>
      <c r="B4870" s="1" t="s">
        <v>4893</v>
      </c>
      <c r="C4870" s="1" t="s">
        <v>24</v>
      </c>
      <c r="D4870" s="1" t="str">
        <f t="shared" si="9271"/>
        <v>2021</v>
      </c>
      <c r="E4870" s="1" t="str">
        <f>"23.96"</f>
        <v>23.96</v>
      </c>
      <c r="F4870" s="1" t="str">
        <f t="shared" ref="F4870:I4870" si="9280">"0"</f>
        <v>0</v>
      </c>
      <c r="G4870" s="1" t="str">
        <f t="shared" si="9280"/>
        <v>0</v>
      </c>
      <c r="H4870" s="1" t="str">
        <f t="shared" si="9280"/>
        <v>0</v>
      </c>
      <c r="I4870" s="1" t="str">
        <f t="shared" si="9280"/>
        <v>0</v>
      </c>
      <c r="J4870" s="1" t="str">
        <f>"1"</f>
        <v>1</v>
      </c>
      <c r="K4870" s="1" t="str">
        <f t="shared" ref="K4870:P4870" si="9281">"0"</f>
        <v>0</v>
      </c>
      <c r="L4870" s="1" t="str">
        <f t="shared" si="9281"/>
        <v>0</v>
      </c>
      <c r="M4870" s="1" t="str">
        <f t="shared" si="9281"/>
        <v>0</v>
      </c>
      <c r="N4870" s="1" t="str">
        <f t="shared" si="9281"/>
        <v>0</v>
      </c>
      <c r="O4870" s="1" t="str">
        <f t="shared" si="9281"/>
        <v>0</v>
      </c>
      <c r="P4870" s="1" t="str">
        <f t="shared" si="9281"/>
        <v>0</v>
      </c>
      <c r="Q4870" s="1" t="str">
        <f t="shared" si="9274"/>
        <v>0.0070</v>
      </c>
      <c r="R4870" s="1" t="s">
        <v>29</v>
      </c>
      <c r="S4870" s="1">
        <v>-0.0014</v>
      </c>
      <c r="T4870" s="1" t="str">
        <f t="shared" si="9275"/>
        <v>0</v>
      </c>
      <c r="U4870" s="1" t="str">
        <f>"0.0056"</f>
        <v>0.0056</v>
      </c>
    </row>
    <row r="4871" s="1" customFormat="1" spans="1:21">
      <c r="A4871" s="1" t="str">
        <f>"4601992151607"</f>
        <v>4601992151607</v>
      </c>
      <c r="B4871" s="1" t="s">
        <v>4894</v>
      </c>
      <c r="C4871" s="1" t="s">
        <v>24</v>
      </c>
      <c r="D4871" s="1" t="str">
        <f t="shared" si="9271"/>
        <v>2021</v>
      </c>
      <c r="E4871" s="1" t="str">
        <f>"11.98"</f>
        <v>11.98</v>
      </c>
      <c r="F4871" s="1" t="str">
        <f t="shared" ref="F4871:I4871" si="9282">"0"</f>
        <v>0</v>
      </c>
      <c r="G4871" s="1" t="str">
        <f t="shared" si="9282"/>
        <v>0</v>
      </c>
      <c r="H4871" s="1" t="str">
        <f t="shared" si="9282"/>
        <v>0</v>
      </c>
      <c r="I4871" s="1" t="str">
        <f t="shared" si="9282"/>
        <v>0</v>
      </c>
      <c r="J4871" s="1" t="str">
        <f>"1"</f>
        <v>1</v>
      </c>
      <c r="K4871" s="1" t="str">
        <f t="shared" ref="K4871:P4871" si="9283">"0"</f>
        <v>0</v>
      </c>
      <c r="L4871" s="1" t="str">
        <f t="shared" si="9283"/>
        <v>0</v>
      </c>
      <c r="M4871" s="1" t="str">
        <f t="shared" si="9283"/>
        <v>0</v>
      </c>
      <c r="N4871" s="1" t="str">
        <f t="shared" si="9283"/>
        <v>0</v>
      </c>
      <c r="O4871" s="1" t="str">
        <f t="shared" si="9283"/>
        <v>0</v>
      </c>
      <c r="P4871" s="1" t="str">
        <f t="shared" si="9283"/>
        <v>0</v>
      </c>
      <c r="Q4871" s="1" t="str">
        <f t="shared" si="9274"/>
        <v>0.0070</v>
      </c>
      <c r="R4871" s="1" t="s">
        <v>29</v>
      </c>
      <c r="S4871" s="1">
        <v>-0.0014</v>
      </c>
      <c r="T4871" s="1" t="str">
        <f t="shared" si="9275"/>
        <v>0</v>
      </c>
      <c r="U4871" s="1" t="str">
        <f>"0.0056"</f>
        <v>0.0056</v>
      </c>
    </row>
    <row r="4872" s="1" customFormat="1" spans="1:21">
      <c r="A4872" s="1" t="str">
        <f>"4601992151570"</f>
        <v>4601992151570</v>
      </c>
      <c r="B4872" s="1" t="s">
        <v>4895</v>
      </c>
      <c r="C4872" s="1" t="s">
        <v>24</v>
      </c>
      <c r="D4872" s="1" t="str">
        <f t="shared" si="9271"/>
        <v>2021</v>
      </c>
      <c r="E4872" s="1" t="str">
        <f t="shared" ref="E4872:I4872" si="9284">"0"</f>
        <v>0</v>
      </c>
      <c r="F4872" s="1" t="str">
        <f t="shared" si="9284"/>
        <v>0</v>
      </c>
      <c r="G4872" s="1" t="str">
        <f t="shared" si="9284"/>
        <v>0</v>
      </c>
      <c r="H4872" s="1" t="str">
        <f t="shared" si="9284"/>
        <v>0</v>
      </c>
      <c r="I4872" s="1" t="str">
        <f t="shared" si="9284"/>
        <v>0</v>
      </c>
      <c r="J4872" s="1" t="str">
        <f>"4"</f>
        <v>4</v>
      </c>
      <c r="K4872" s="1" t="str">
        <f t="shared" ref="K4872:P4872" si="9285">"0"</f>
        <v>0</v>
      </c>
      <c r="L4872" s="1" t="str">
        <f t="shared" si="9285"/>
        <v>0</v>
      </c>
      <c r="M4872" s="1" t="str">
        <f t="shared" si="9285"/>
        <v>0</v>
      </c>
      <c r="N4872" s="1" t="str">
        <f t="shared" si="9285"/>
        <v>0</v>
      </c>
      <c r="O4872" s="1" t="str">
        <f t="shared" si="9285"/>
        <v>0</v>
      </c>
      <c r="P4872" s="1" t="str">
        <f t="shared" si="9285"/>
        <v>0</v>
      </c>
      <c r="Q4872" s="1" t="str">
        <f t="shared" si="9274"/>
        <v>0.0070</v>
      </c>
      <c r="R4872" s="1" t="s">
        <v>25</v>
      </c>
      <c r="T4872" s="1" t="str">
        <f t="shared" si="9275"/>
        <v>0</v>
      </c>
      <c r="U4872" s="1" t="str">
        <f t="shared" ref="U4872:U4875" si="9286">"0.0070"</f>
        <v>0.0070</v>
      </c>
    </row>
    <row r="4873" s="1" customFormat="1" spans="1:21">
      <c r="A4873" s="1" t="str">
        <f>"4601992151893"</f>
        <v>4601992151893</v>
      </c>
      <c r="B4873" s="1" t="s">
        <v>4896</v>
      </c>
      <c r="C4873" s="1" t="s">
        <v>24</v>
      </c>
      <c r="D4873" s="1" t="str">
        <f t="shared" si="9271"/>
        <v>2021</v>
      </c>
      <c r="E4873" s="1" t="str">
        <f t="shared" ref="E4873:P4873" si="9287">"0"</f>
        <v>0</v>
      </c>
      <c r="F4873" s="1" t="str">
        <f t="shared" si="9287"/>
        <v>0</v>
      </c>
      <c r="G4873" s="1" t="str">
        <f t="shared" si="9287"/>
        <v>0</v>
      </c>
      <c r="H4873" s="1" t="str">
        <f t="shared" si="9287"/>
        <v>0</v>
      </c>
      <c r="I4873" s="1" t="str">
        <f t="shared" si="9287"/>
        <v>0</v>
      </c>
      <c r="J4873" s="1" t="str">
        <f t="shared" si="9287"/>
        <v>0</v>
      </c>
      <c r="K4873" s="1" t="str">
        <f t="shared" si="9287"/>
        <v>0</v>
      </c>
      <c r="L4873" s="1" t="str">
        <f t="shared" si="9287"/>
        <v>0</v>
      </c>
      <c r="M4873" s="1" t="str">
        <f t="shared" si="9287"/>
        <v>0</v>
      </c>
      <c r="N4873" s="1" t="str">
        <f t="shared" si="9287"/>
        <v>0</v>
      </c>
      <c r="O4873" s="1" t="str">
        <f t="shared" si="9287"/>
        <v>0</v>
      </c>
      <c r="P4873" s="1" t="str">
        <f t="shared" si="9287"/>
        <v>0</v>
      </c>
      <c r="Q4873" s="1" t="str">
        <f t="shared" si="9274"/>
        <v>0.0070</v>
      </c>
      <c r="R4873" s="1" t="s">
        <v>25</v>
      </c>
      <c r="T4873" s="1" t="str">
        <f t="shared" si="9275"/>
        <v>0</v>
      </c>
      <c r="U4873" s="1" t="str">
        <f t="shared" si="9286"/>
        <v>0.0070</v>
      </c>
    </row>
    <row r="4874" s="1" customFormat="1" spans="1:21">
      <c r="A4874" s="1" t="str">
        <f>"4601992151916"</f>
        <v>4601992151916</v>
      </c>
      <c r="B4874" s="1" t="s">
        <v>4897</v>
      </c>
      <c r="C4874" s="1" t="s">
        <v>24</v>
      </c>
      <c r="D4874" s="1" t="str">
        <f t="shared" si="9271"/>
        <v>2021</v>
      </c>
      <c r="E4874" s="1" t="str">
        <f t="shared" ref="E4874:P4874" si="9288">"0"</f>
        <v>0</v>
      </c>
      <c r="F4874" s="1" t="str">
        <f t="shared" si="9288"/>
        <v>0</v>
      </c>
      <c r="G4874" s="1" t="str">
        <f t="shared" si="9288"/>
        <v>0</v>
      </c>
      <c r="H4874" s="1" t="str">
        <f t="shared" si="9288"/>
        <v>0</v>
      </c>
      <c r="I4874" s="1" t="str">
        <f t="shared" si="9288"/>
        <v>0</v>
      </c>
      <c r="J4874" s="1" t="str">
        <f t="shared" si="9288"/>
        <v>0</v>
      </c>
      <c r="K4874" s="1" t="str">
        <f t="shared" si="9288"/>
        <v>0</v>
      </c>
      <c r="L4874" s="1" t="str">
        <f t="shared" si="9288"/>
        <v>0</v>
      </c>
      <c r="M4874" s="1" t="str">
        <f t="shared" si="9288"/>
        <v>0</v>
      </c>
      <c r="N4874" s="1" t="str">
        <f t="shared" si="9288"/>
        <v>0</v>
      </c>
      <c r="O4874" s="1" t="str">
        <f t="shared" si="9288"/>
        <v>0</v>
      </c>
      <c r="P4874" s="1" t="str">
        <f t="shared" si="9288"/>
        <v>0</v>
      </c>
      <c r="Q4874" s="1" t="str">
        <f t="shared" si="9274"/>
        <v>0.0070</v>
      </c>
      <c r="R4874" s="1" t="s">
        <v>25</v>
      </c>
      <c r="T4874" s="1" t="str">
        <f t="shared" si="9275"/>
        <v>0</v>
      </c>
      <c r="U4874" s="1" t="str">
        <f t="shared" si="9286"/>
        <v>0.0070</v>
      </c>
    </row>
    <row r="4875" s="1" customFormat="1" spans="1:21">
      <c r="A4875" s="1" t="str">
        <f>"4601992152191"</f>
        <v>4601992152191</v>
      </c>
      <c r="B4875" s="1" t="s">
        <v>4898</v>
      </c>
      <c r="C4875" s="1" t="s">
        <v>24</v>
      </c>
      <c r="D4875" s="1" t="str">
        <f t="shared" si="9271"/>
        <v>2021</v>
      </c>
      <c r="E4875" s="1" t="str">
        <f t="shared" ref="E4875:P4875" si="9289">"0"</f>
        <v>0</v>
      </c>
      <c r="F4875" s="1" t="str">
        <f t="shared" si="9289"/>
        <v>0</v>
      </c>
      <c r="G4875" s="1" t="str">
        <f t="shared" si="9289"/>
        <v>0</v>
      </c>
      <c r="H4875" s="1" t="str">
        <f t="shared" si="9289"/>
        <v>0</v>
      </c>
      <c r="I4875" s="1" t="str">
        <f t="shared" si="9289"/>
        <v>0</v>
      </c>
      <c r="J4875" s="1" t="str">
        <f t="shared" si="9289"/>
        <v>0</v>
      </c>
      <c r="K4875" s="1" t="str">
        <f t="shared" si="9289"/>
        <v>0</v>
      </c>
      <c r="L4875" s="1" t="str">
        <f t="shared" si="9289"/>
        <v>0</v>
      </c>
      <c r="M4875" s="1" t="str">
        <f t="shared" si="9289"/>
        <v>0</v>
      </c>
      <c r="N4875" s="1" t="str">
        <f t="shared" si="9289"/>
        <v>0</v>
      </c>
      <c r="O4875" s="1" t="str">
        <f t="shared" si="9289"/>
        <v>0</v>
      </c>
      <c r="P4875" s="1" t="str">
        <f t="shared" si="9289"/>
        <v>0</v>
      </c>
      <c r="Q4875" s="1" t="str">
        <f t="shared" si="9274"/>
        <v>0.0070</v>
      </c>
      <c r="R4875" s="1" t="s">
        <v>25</v>
      </c>
      <c r="T4875" s="1" t="str">
        <f t="shared" si="9275"/>
        <v>0</v>
      </c>
      <c r="U4875" s="1" t="str">
        <f t="shared" si="9286"/>
        <v>0.0070</v>
      </c>
    </row>
    <row r="4876" s="1" customFormat="1" spans="1:21">
      <c r="A4876" s="1" t="str">
        <f>"4601991417042"</f>
        <v>4601991417042</v>
      </c>
      <c r="B4876" s="1" t="s">
        <v>4899</v>
      </c>
      <c r="C4876" s="1" t="s">
        <v>24</v>
      </c>
      <c r="D4876" s="1" t="str">
        <f t="shared" si="9271"/>
        <v>2021</v>
      </c>
      <c r="E4876" s="1" t="str">
        <f>"9.67"</f>
        <v>9.67</v>
      </c>
      <c r="F4876" s="1" t="str">
        <f t="shared" ref="F4876:I4876" si="9290">"0"</f>
        <v>0</v>
      </c>
      <c r="G4876" s="1" t="str">
        <f t="shared" si="9290"/>
        <v>0</v>
      </c>
      <c r="H4876" s="1" t="str">
        <f t="shared" si="9290"/>
        <v>0</v>
      </c>
      <c r="I4876" s="1" t="str">
        <f t="shared" si="9290"/>
        <v>0</v>
      </c>
      <c r="J4876" s="1" t="str">
        <f>"1"</f>
        <v>1</v>
      </c>
      <c r="K4876" s="1" t="str">
        <f t="shared" ref="K4876:P4876" si="9291">"0"</f>
        <v>0</v>
      </c>
      <c r="L4876" s="1" t="str">
        <f t="shared" si="9291"/>
        <v>0</v>
      </c>
      <c r="M4876" s="1" t="str">
        <f t="shared" si="9291"/>
        <v>0</v>
      </c>
      <c r="N4876" s="1" t="str">
        <f t="shared" si="9291"/>
        <v>0</v>
      </c>
      <c r="O4876" s="1" t="str">
        <f t="shared" si="9291"/>
        <v>0</v>
      </c>
      <c r="P4876" s="1" t="str">
        <f t="shared" si="9291"/>
        <v>0</v>
      </c>
      <c r="Q4876" s="1" t="str">
        <f t="shared" si="9274"/>
        <v>0.0070</v>
      </c>
      <c r="R4876" s="1" t="s">
        <v>29</v>
      </c>
      <c r="S4876" s="1">
        <v>-0.0014</v>
      </c>
      <c r="T4876" s="1" t="str">
        <f t="shared" si="9275"/>
        <v>0</v>
      </c>
      <c r="U4876" s="1" t="str">
        <f>"0.0056"</f>
        <v>0.0056</v>
      </c>
    </row>
    <row r="4877" s="1" customFormat="1" spans="1:21">
      <c r="A4877" s="1" t="str">
        <f>"4601992152514"</f>
        <v>4601992152514</v>
      </c>
      <c r="B4877" s="1" t="s">
        <v>4900</v>
      </c>
      <c r="C4877" s="1" t="s">
        <v>24</v>
      </c>
      <c r="D4877" s="1" t="str">
        <f t="shared" si="9271"/>
        <v>2021</v>
      </c>
      <c r="E4877" s="1" t="str">
        <f t="shared" ref="E4877:P4877" si="9292">"0"</f>
        <v>0</v>
      </c>
      <c r="F4877" s="1" t="str">
        <f t="shared" si="9292"/>
        <v>0</v>
      </c>
      <c r="G4877" s="1" t="str">
        <f t="shared" si="9292"/>
        <v>0</v>
      </c>
      <c r="H4877" s="1" t="str">
        <f t="shared" si="9292"/>
        <v>0</v>
      </c>
      <c r="I4877" s="1" t="str">
        <f t="shared" si="9292"/>
        <v>0</v>
      </c>
      <c r="J4877" s="1" t="str">
        <f t="shared" si="9292"/>
        <v>0</v>
      </c>
      <c r="K4877" s="1" t="str">
        <f t="shared" si="9292"/>
        <v>0</v>
      </c>
      <c r="L4877" s="1" t="str">
        <f t="shared" si="9292"/>
        <v>0</v>
      </c>
      <c r="M4877" s="1" t="str">
        <f t="shared" si="9292"/>
        <v>0</v>
      </c>
      <c r="N4877" s="1" t="str">
        <f t="shared" si="9292"/>
        <v>0</v>
      </c>
      <c r="O4877" s="1" t="str">
        <f t="shared" si="9292"/>
        <v>0</v>
      </c>
      <c r="P4877" s="1" t="str">
        <f t="shared" si="9292"/>
        <v>0</v>
      </c>
      <c r="Q4877" s="1" t="str">
        <f t="shared" si="9274"/>
        <v>0.0070</v>
      </c>
      <c r="R4877" s="1" t="s">
        <v>25</v>
      </c>
      <c r="T4877" s="1" t="str">
        <f t="shared" si="9275"/>
        <v>0</v>
      </c>
      <c r="U4877" s="1" t="str">
        <f t="shared" ref="U4877:U4888" si="9293">"0.0070"</f>
        <v>0.0070</v>
      </c>
    </row>
    <row r="4878" s="1" customFormat="1" spans="1:21">
      <c r="A4878" s="1" t="str">
        <f>"4601992152166"</f>
        <v>4601992152166</v>
      </c>
      <c r="B4878" s="1" t="s">
        <v>4901</v>
      </c>
      <c r="C4878" s="1" t="s">
        <v>24</v>
      </c>
      <c r="D4878" s="1" t="str">
        <f t="shared" si="9271"/>
        <v>2021</v>
      </c>
      <c r="E4878" s="1" t="str">
        <f t="shared" ref="E4878:I4878" si="9294">"0"</f>
        <v>0</v>
      </c>
      <c r="F4878" s="1" t="str">
        <f t="shared" si="9294"/>
        <v>0</v>
      </c>
      <c r="G4878" s="1" t="str">
        <f t="shared" si="9294"/>
        <v>0</v>
      </c>
      <c r="H4878" s="1" t="str">
        <f t="shared" si="9294"/>
        <v>0</v>
      </c>
      <c r="I4878" s="1" t="str">
        <f t="shared" si="9294"/>
        <v>0</v>
      </c>
      <c r="J4878" s="1" t="str">
        <f>"1"</f>
        <v>1</v>
      </c>
      <c r="K4878" s="1" t="str">
        <f t="shared" ref="K4878:P4878" si="9295">"0"</f>
        <v>0</v>
      </c>
      <c r="L4878" s="1" t="str">
        <f t="shared" si="9295"/>
        <v>0</v>
      </c>
      <c r="M4878" s="1" t="str">
        <f t="shared" si="9295"/>
        <v>0</v>
      </c>
      <c r="N4878" s="1" t="str">
        <f t="shared" si="9295"/>
        <v>0</v>
      </c>
      <c r="O4878" s="1" t="str">
        <f t="shared" si="9295"/>
        <v>0</v>
      </c>
      <c r="P4878" s="1" t="str">
        <f t="shared" si="9295"/>
        <v>0</v>
      </c>
      <c r="Q4878" s="1" t="str">
        <f t="shared" si="9274"/>
        <v>0.0070</v>
      </c>
      <c r="R4878" s="1" t="s">
        <v>25</v>
      </c>
      <c r="T4878" s="1" t="str">
        <f t="shared" si="9275"/>
        <v>0</v>
      </c>
      <c r="U4878" s="1" t="str">
        <f t="shared" si="9293"/>
        <v>0.0070</v>
      </c>
    </row>
    <row r="4879" s="1" customFormat="1" spans="1:21">
      <c r="A4879" s="1" t="str">
        <f>"4601992152641"</f>
        <v>4601992152641</v>
      </c>
      <c r="B4879" s="1" t="s">
        <v>4902</v>
      </c>
      <c r="C4879" s="1" t="s">
        <v>24</v>
      </c>
      <c r="D4879" s="1" t="str">
        <f t="shared" si="9271"/>
        <v>2021</v>
      </c>
      <c r="E4879" s="1" t="str">
        <f t="shared" ref="E4879:P4879" si="9296">"0"</f>
        <v>0</v>
      </c>
      <c r="F4879" s="1" t="str">
        <f t="shared" si="9296"/>
        <v>0</v>
      </c>
      <c r="G4879" s="1" t="str">
        <f t="shared" si="9296"/>
        <v>0</v>
      </c>
      <c r="H4879" s="1" t="str">
        <f t="shared" si="9296"/>
        <v>0</v>
      </c>
      <c r="I4879" s="1" t="str">
        <f t="shared" si="9296"/>
        <v>0</v>
      </c>
      <c r="J4879" s="1" t="str">
        <f t="shared" si="9296"/>
        <v>0</v>
      </c>
      <c r="K4879" s="1" t="str">
        <f t="shared" si="9296"/>
        <v>0</v>
      </c>
      <c r="L4879" s="1" t="str">
        <f t="shared" si="9296"/>
        <v>0</v>
      </c>
      <c r="M4879" s="1" t="str">
        <f t="shared" si="9296"/>
        <v>0</v>
      </c>
      <c r="N4879" s="1" t="str">
        <f t="shared" si="9296"/>
        <v>0</v>
      </c>
      <c r="O4879" s="1" t="str">
        <f t="shared" si="9296"/>
        <v>0</v>
      </c>
      <c r="P4879" s="1" t="str">
        <f t="shared" si="9296"/>
        <v>0</v>
      </c>
      <c r="Q4879" s="1" t="str">
        <f t="shared" si="9274"/>
        <v>0.0070</v>
      </c>
      <c r="R4879" s="1" t="s">
        <v>25</v>
      </c>
      <c r="T4879" s="1" t="str">
        <f t="shared" si="9275"/>
        <v>0</v>
      </c>
      <c r="U4879" s="1" t="str">
        <f t="shared" si="9293"/>
        <v>0.0070</v>
      </c>
    </row>
    <row r="4880" s="1" customFormat="1" spans="1:21">
      <c r="A4880" s="1" t="str">
        <f>"4601992152667"</f>
        <v>4601992152667</v>
      </c>
      <c r="B4880" s="1" t="s">
        <v>4903</v>
      </c>
      <c r="C4880" s="1" t="s">
        <v>24</v>
      </c>
      <c r="D4880" s="1" t="str">
        <f t="shared" si="9271"/>
        <v>2021</v>
      </c>
      <c r="E4880" s="1" t="str">
        <f t="shared" ref="E4880:P4880" si="9297">"0"</f>
        <v>0</v>
      </c>
      <c r="F4880" s="1" t="str">
        <f t="shared" si="9297"/>
        <v>0</v>
      </c>
      <c r="G4880" s="1" t="str">
        <f t="shared" si="9297"/>
        <v>0</v>
      </c>
      <c r="H4880" s="1" t="str">
        <f t="shared" si="9297"/>
        <v>0</v>
      </c>
      <c r="I4880" s="1" t="str">
        <f t="shared" si="9297"/>
        <v>0</v>
      </c>
      <c r="J4880" s="1" t="str">
        <f t="shared" si="9297"/>
        <v>0</v>
      </c>
      <c r="K4880" s="1" t="str">
        <f t="shared" si="9297"/>
        <v>0</v>
      </c>
      <c r="L4880" s="1" t="str">
        <f t="shared" si="9297"/>
        <v>0</v>
      </c>
      <c r="M4880" s="1" t="str">
        <f t="shared" si="9297"/>
        <v>0</v>
      </c>
      <c r="N4880" s="1" t="str">
        <f t="shared" si="9297"/>
        <v>0</v>
      </c>
      <c r="O4880" s="1" t="str">
        <f t="shared" si="9297"/>
        <v>0</v>
      </c>
      <c r="P4880" s="1" t="str">
        <f t="shared" si="9297"/>
        <v>0</v>
      </c>
      <c r="Q4880" s="1" t="str">
        <f t="shared" si="9274"/>
        <v>0.0070</v>
      </c>
      <c r="R4880" s="1" t="s">
        <v>25</v>
      </c>
      <c r="T4880" s="1" t="str">
        <f t="shared" si="9275"/>
        <v>0</v>
      </c>
      <c r="U4880" s="1" t="str">
        <f t="shared" si="9293"/>
        <v>0.0070</v>
      </c>
    </row>
    <row r="4881" s="1" customFormat="1" spans="1:21">
      <c r="A4881" s="1" t="str">
        <f>"4601992152863"</f>
        <v>4601992152863</v>
      </c>
      <c r="B4881" s="1" t="s">
        <v>4904</v>
      </c>
      <c r="C4881" s="1" t="s">
        <v>24</v>
      </c>
      <c r="D4881" s="1" t="str">
        <f t="shared" si="9271"/>
        <v>2021</v>
      </c>
      <c r="E4881" s="1" t="str">
        <f t="shared" ref="E4881:P4881" si="9298">"0"</f>
        <v>0</v>
      </c>
      <c r="F4881" s="1" t="str">
        <f t="shared" si="9298"/>
        <v>0</v>
      </c>
      <c r="G4881" s="1" t="str">
        <f t="shared" si="9298"/>
        <v>0</v>
      </c>
      <c r="H4881" s="1" t="str">
        <f t="shared" si="9298"/>
        <v>0</v>
      </c>
      <c r="I4881" s="1" t="str">
        <f t="shared" si="9298"/>
        <v>0</v>
      </c>
      <c r="J4881" s="1" t="str">
        <f t="shared" si="9298"/>
        <v>0</v>
      </c>
      <c r="K4881" s="1" t="str">
        <f t="shared" si="9298"/>
        <v>0</v>
      </c>
      <c r="L4881" s="1" t="str">
        <f t="shared" si="9298"/>
        <v>0</v>
      </c>
      <c r="M4881" s="1" t="str">
        <f t="shared" si="9298"/>
        <v>0</v>
      </c>
      <c r="N4881" s="1" t="str">
        <f t="shared" si="9298"/>
        <v>0</v>
      </c>
      <c r="O4881" s="1" t="str">
        <f t="shared" si="9298"/>
        <v>0</v>
      </c>
      <c r="P4881" s="1" t="str">
        <f t="shared" si="9298"/>
        <v>0</v>
      </c>
      <c r="Q4881" s="1" t="str">
        <f t="shared" si="9274"/>
        <v>0.0070</v>
      </c>
      <c r="R4881" s="1" t="s">
        <v>25</v>
      </c>
      <c r="T4881" s="1" t="str">
        <f t="shared" si="9275"/>
        <v>0</v>
      </c>
      <c r="U4881" s="1" t="str">
        <f t="shared" si="9293"/>
        <v>0.0070</v>
      </c>
    </row>
    <row r="4882" s="1" customFormat="1" spans="1:21">
      <c r="A4882" s="1" t="str">
        <f>"4601992056373"</f>
        <v>4601992056373</v>
      </c>
      <c r="B4882" s="1" t="s">
        <v>4905</v>
      </c>
      <c r="C4882" s="1" t="s">
        <v>24</v>
      </c>
      <c r="D4882" s="1" t="str">
        <f t="shared" si="9271"/>
        <v>2021</v>
      </c>
      <c r="E4882" s="1" t="str">
        <f>"11.98"</f>
        <v>11.98</v>
      </c>
      <c r="F4882" s="1" t="str">
        <f t="shared" ref="F4882:I4882" si="9299">"0"</f>
        <v>0</v>
      </c>
      <c r="G4882" s="1" t="str">
        <f t="shared" si="9299"/>
        <v>0</v>
      </c>
      <c r="H4882" s="1" t="str">
        <f t="shared" si="9299"/>
        <v>0</v>
      </c>
      <c r="I4882" s="1" t="str">
        <f t="shared" si="9299"/>
        <v>0</v>
      </c>
      <c r="J4882" s="1" t="str">
        <f>"1"</f>
        <v>1</v>
      </c>
      <c r="K4882" s="1" t="str">
        <f t="shared" ref="K4882:P4882" si="9300">"0"</f>
        <v>0</v>
      </c>
      <c r="L4882" s="1" t="str">
        <f t="shared" si="9300"/>
        <v>0</v>
      </c>
      <c r="M4882" s="1" t="str">
        <f t="shared" si="9300"/>
        <v>0</v>
      </c>
      <c r="N4882" s="1" t="str">
        <f t="shared" si="9300"/>
        <v>0</v>
      </c>
      <c r="O4882" s="1" t="str">
        <f t="shared" si="9300"/>
        <v>0</v>
      </c>
      <c r="P4882" s="1" t="str">
        <f t="shared" si="9300"/>
        <v>0</v>
      </c>
      <c r="Q4882" s="1" t="str">
        <f t="shared" si="9274"/>
        <v>0.0070</v>
      </c>
      <c r="R4882" s="1" t="s">
        <v>25</v>
      </c>
      <c r="T4882" s="1" t="str">
        <f t="shared" si="9275"/>
        <v>0</v>
      </c>
      <c r="U4882" s="1" t="str">
        <f t="shared" si="9293"/>
        <v>0.0070</v>
      </c>
    </row>
    <row r="4883" s="1" customFormat="1" spans="1:21">
      <c r="A4883" s="1" t="str">
        <f>"4601991402618"</f>
        <v>4601991402618</v>
      </c>
      <c r="B4883" s="1" t="s">
        <v>4906</v>
      </c>
      <c r="C4883" s="1" t="s">
        <v>24</v>
      </c>
      <c r="D4883" s="1" t="str">
        <f t="shared" si="9271"/>
        <v>2021</v>
      </c>
      <c r="E4883" s="1" t="str">
        <f t="shared" ref="E4883:P4883" si="9301">"0"</f>
        <v>0</v>
      </c>
      <c r="F4883" s="1" t="str">
        <f t="shared" si="9301"/>
        <v>0</v>
      </c>
      <c r="G4883" s="1" t="str">
        <f t="shared" si="9301"/>
        <v>0</v>
      </c>
      <c r="H4883" s="1" t="str">
        <f t="shared" si="9301"/>
        <v>0</v>
      </c>
      <c r="I4883" s="1" t="str">
        <f t="shared" si="9301"/>
        <v>0</v>
      </c>
      <c r="J4883" s="1" t="str">
        <f t="shared" si="9301"/>
        <v>0</v>
      </c>
      <c r="K4883" s="1" t="str">
        <f t="shared" si="9301"/>
        <v>0</v>
      </c>
      <c r="L4883" s="1" t="str">
        <f t="shared" si="9301"/>
        <v>0</v>
      </c>
      <c r="M4883" s="1" t="str">
        <f t="shared" si="9301"/>
        <v>0</v>
      </c>
      <c r="N4883" s="1" t="str">
        <f t="shared" si="9301"/>
        <v>0</v>
      </c>
      <c r="O4883" s="1" t="str">
        <f t="shared" si="9301"/>
        <v>0</v>
      </c>
      <c r="P4883" s="1" t="str">
        <f t="shared" si="9301"/>
        <v>0</v>
      </c>
      <c r="Q4883" s="1" t="str">
        <f t="shared" si="9274"/>
        <v>0.0070</v>
      </c>
      <c r="R4883" s="1" t="s">
        <v>25</v>
      </c>
      <c r="T4883" s="1" t="str">
        <f t="shared" si="9275"/>
        <v>0</v>
      </c>
      <c r="U4883" s="1" t="str">
        <f t="shared" si="9293"/>
        <v>0.0070</v>
      </c>
    </row>
    <row r="4884" s="1" customFormat="1" spans="1:21">
      <c r="A4884" s="1" t="str">
        <f>"4601992061267"</f>
        <v>4601992061267</v>
      </c>
      <c r="B4884" s="1" t="s">
        <v>4907</v>
      </c>
      <c r="C4884" s="1" t="s">
        <v>24</v>
      </c>
      <c r="D4884" s="1" t="str">
        <f t="shared" si="9271"/>
        <v>2021</v>
      </c>
      <c r="E4884" s="1" t="str">
        <f>"24.18"</f>
        <v>24.18</v>
      </c>
      <c r="F4884" s="1" t="str">
        <f t="shared" ref="F4884:I4884" si="9302">"0"</f>
        <v>0</v>
      </c>
      <c r="G4884" s="1" t="str">
        <f t="shared" si="9302"/>
        <v>0</v>
      </c>
      <c r="H4884" s="1" t="str">
        <f t="shared" si="9302"/>
        <v>0</v>
      </c>
      <c r="I4884" s="1" t="str">
        <f t="shared" si="9302"/>
        <v>0</v>
      </c>
      <c r="J4884" s="1" t="str">
        <f>"2"</f>
        <v>2</v>
      </c>
      <c r="K4884" s="1" t="str">
        <f t="shared" ref="K4884:P4884" si="9303">"0"</f>
        <v>0</v>
      </c>
      <c r="L4884" s="1" t="str">
        <f t="shared" si="9303"/>
        <v>0</v>
      </c>
      <c r="M4884" s="1" t="str">
        <f t="shared" si="9303"/>
        <v>0</v>
      </c>
      <c r="N4884" s="1" t="str">
        <f t="shared" si="9303"/>
        <v>0</v>
      </c>
      <c r="O4884" s="1" t="str">
        <f t="shared" si="9303"/>
        <v>0</v>
      </c>
      <c r="P4884" s="1" t="str">
        <f t="shared" si="9303"/>
        <v>0</v>
      </c>
      <c r="Q4884" s="1" t="str">
        <f t="shared" si="9274"/>
        <v>0.0070</v>
      </c>
      <c r="R4884" s="1" t="s">
        <v>25</v>
      </c>
      <c r="T4884" s="1" t="str">
        <f t="shared" si="9275"/>
        <v>0</v>
      </c>
      <c r="U4884" s="1" t="str">
        <f t="shared" si="9293"/>
        <v>0.0070</v>
      </c>
    </row>
    <row r="4885" s="1" customFormat="1" spans="1:21">
      <c r="A4885" s="1" t="str">
        <f>"4601991404828"</f>
        <v>4601991404828</v>
      </c>
      <c r="B4885" s="1" t="s">
        <v>4908</v>
      </c>
      <c r="C4885" s="1" t="s">
        <v>24</v>
      </c>
      <c r="D4885" s="1" t="str">
        <f t="shared" si="9271"/>
        <v>2021</v>
      </c>
      <c r="E4885" s="1" t="str">
        <f t="shared" ref="E4885:P4885" si="9304">"0"</f>
        <v>0</v>
      </c>
      <c r="F4885" s="1" t="str">
        <f t="shared" si="9304"/>
        <v>0</v>
      </c>
      <c r="G4885" s="1" t="str">
        <f t="shared" si="9304"/>
        <v>0</v>
      </c>
      <c r="H4885" s="1" t="str">
        <f t="shared" si="9304"/>
        <v>0</v>
      </c>
      <c r="I4885" s="1" t="str">
        <f t="shared" si="9304"/>
        <v>0</v>
      </c>
      <c r="J4885" s="1" t="str">
        <f t="shared" si="9304"/>
        <v>0</v>
      </c>
      <c r="K4885" s="1" t="str">
        <f t="shared" si="9304"/>
        <v>0</v>
      </c>
      <c r="L4885" s="1" t="str">
        <f t="shared" si="9304"/>
        <v>0</v>
      </c>
      <c r="M4885" s="1" t="str">
        <f t="shared" si="9304"/>
        <v>0</v>
      </c>
      <c r="N4885" s="1" t="str">
        <f t="shared" si="9304"/>
        <v>0</v>
      </c>
      <c r="O4885" s="1" t="str">
        <f t="shared" si="9304"/>
        <v>0</v>
      </c>
      <c r="P4885" s="1" t="str">
        <f t="shared" si="9304"/>
        <v>0</v>
      </c>
      <c r="Q4885" s="1" t="str">
        <f t="shared" si="9274"/>
        <v>0.0070</v>
      </c>
      <c r="R4885" s="1" t="s">
        <v>25</v>
      </c>
      <c r="T4885" s="1" t="str">
        <f t="shared" si="9275"/>
        <v>0</v>
      </c>
      <c r="U4885" s="1" t="str">
        <f t="shared" si="9293"/>
        <v>0.0070</v>
      </c>
    </row>
    <row r="4886" s="1" customFormat="1" spans="1:21">
      <c r="A4886" s="1" t="str">
        <f>"4601991404865"</f>
        <v>4601991404865</v>
      </c>
      <c r="B4886" s="1" t="s">
        <v>4909</v>
      </c>
      <c r="C4886" s="1" t="s">
        <v>24</v>
      </c>
      <c r="D4886" s="1" t="str">
        <f t="shared" si="9271"/>
        <v>2021</v>
      </c>
      <c r="E4886" s="1" t="str">
        <f t="shared" ref="E4886:P4886" si="9305">"0"</f>
        <v>0</v>
      </c>
      <c r="F4886" s="1" t="str">
        <f t="shared" si="9305"/>
        <v>0</v>
      </c>
      <c r="G4886" s="1" t="str">
        <f t="shared" si="9305"/>
        <v>0</v>
      </c>
      <c r="H4886" s="1" t="str">
        <f t="shared" si="9305"/>
        <v>0</v>
      </c>
      <c r="I4886" s="1" t="str">
        <f t="shared" si="9305"/>
        <v>0</v>
      </c>
      <c r="J4886" s="1" t="str">
        <f t="shared" si="9305"/>
        <v>0</v>
      </c>
      <c r="K4886" s="1" t="str">
        <f t="shared" si="9305"/>
        <v>0</v>
      </c>
      <c r="L4886" s="1" t="str">
        <f t="shared" si="9305"/>
        <v>0</v>
      </c>
      <c r="M4886" s="1" t="str">
        <f t="shared" si="9305"/>
        <v>0</v>
      </c>
      <c r="N4886" s="1" t="str">
        <f t="shared" si="9305"/>
        <v>0</v>
      </c>
      <c r="O4886" s="1" t="str">
        <f t="shared" si="9305"/>
        <v>0</v>
      </c>
      <c r="P4886" s="1" t="str">
        <f t="shared" si="9305"/>
        <v>0</v>
      </c>
      <c r="Q4886" s="1" t="str">
        <f t="shared" si="9274"/>
        <v>0.0070</v>
      </c>
      <c r="R4886" s="1" t="s">
        <v>25</v>
      </c>
      <c r="T4886" s="1" t="str">
        <f t="shared" si="9275"/>
        <v>0</v>
      </c>
      <c r="U4886" s="1" t="str">
        <f t="shared" si="9293"/>
        <v>0.0070</v>
      </c>
    </row>
    <row r="4887" s="1" customFormat="1" spans="1:21">
      <c r="A4887" s="1" t="str">
        <f>"4601991406076"</f>
        <v>4601991406076</v>
      </c>
      <c r="B4887" s="1" t="s">
        <v>4910</v>
      </c>
      <c r="C4887" s="1" t="s">
        <v>24</v>
      </c>
      <c r="D4887" s="1" t="str">
        <f t="shared" si="9271"/>
        <v>2021</v>
      </c>
      <c r="E4887" s="1" t="str">
        <f>"14.37"</f>
        <v>14.37</v>
      </c>
      <c r="F4887" s="1" t="str">
        <f t="shared" ref="F4887:I4887" si="9306">"0"</f>
        <v>0</v>
      </c>
      <c r="G4887" s="1" t="str">
        <f t="shared" si="9306"/>
        <v>0</v>
      </c>
      <c r="H4887" s="1" t="str">
        <f t="shared" si="9306"/>
        <v>0</v>
      </c>
      <c r="I4887" s="1" t="str">
        <f t="shared" si="9306"/>
        <v>0</v>
      </c>
      <c r="J4887" s="1" t="str">
        <f t="shared" ref="J4887:J4890" si="9307">"1"</f>
        <v>1</v>
      </c>
      <c r="K4887" s="1" t="str">
        <f t="shared" ref="K4887:P4887" si="9308">"0"</f>
        <v>0</v>
      </c>
      <c r="L4887" s="1" t="str">
        <f t="shared" si="9308"/>
        <v>0</v>
      </c>
      <c r="M4887" s="1" t="str">
        <f t="shared" si="9308"/>
        <v>0</v>
      </c>
      <c r="N4887" s="1" t="str">
        <f t="shared" si="9308"/>
        <v>0</v>
      </c>
      <c r="O4887" s="1" t="str">
        <f t="shared" si="9308"/>
        <v>0</v>
      </c>
      <c r="P4887" s="1" t="str">
        <f t="shared" si="9308"/>
        <v>0</v>
      </c>
      <c r="Q4887" s="1" t="str">
        <f t="shared" si="9274"/>
        <v>0.0070</v>
      </c>
      <c r="R4887" s="1" t="s">
        <v>25</v>
      </c>
      <c r="T4887" s="1" t="str">
        <f t="shared" si="9275"/>
        <v>0</v>
      </c>
      <c r="U4887" s="1" t="str">
        <f t="shared" si="9293"/>
        <v>0.0070</v>
      </c>
    </row>
    <row r="4888" s="1" customFormat="1" spans="1:21">
      <c r="A4888" s="1" t="str">
        <f>"4601992125412"</f>
        <v>4601992125412</v>
      </c>
      <c r="B4888" s="1" t="s">
        <v>4911</v>
      </c>
      <c r="C4888" s="1" t="s">
        <v>24</v>
      </c>
      <c r="D4888" s="1" t="str">
        <f t="shared" si="9271"/>
        <v>2021</v>
      </c>
      <c r="E4888" s="1" t="str">
        <f t="shared" ref="E4888:P4888" si="9309">"0"</f>
        <v>0</v>
      </c>
      <c r="F4888" s="1" t="str">
        <f t="shared" si="9309"/>
        <v>0</v>
      </c>
      <c r="G4888" s="1" t="str">
        <f t="shared" si="9309"/>
        <v>0</v>
      </c>
      <c r="H4888" s="1" t="str">
        <f t="shared" si="9309"/>
        <v>0</v>
      </c>
      <c r="I4888" s="1" t="str">
        <f t="shared" si="9309"/>
        <v>0</v>
      </c>
      <c r="J4888" s="1" t="str">
        <f t="shared" si="9309"/>
        <v>0</v>
      </c>
      <c r="K4888" s="1" t="str">
        <f t="shared" si="9309"/>
        <v>0</v>
      </c>
      <c r="L4888" s="1" t="str">
        <f t="shared" si="9309"/>
        <v>0</v>
      </c>
      <c r="M4888" s="1" t="str">
        <f t="shared" si="9309"/>
        <v>0</v>
      </c>
      <c r="N4888" s="1" t="str">
        <f t="shared" si="9309"/>
        <v>0</v>
      </c>
      <c r="O4888" s="1" t="str">
        <f t="shared" si="9309"/>
        <v>0</v>
      </c>
      <c r="P4888" s="1" t="str">
        <f t="shared" si="9309"/>
        <v>0</v>
      </c>
      <c r="Q4888" s="1" t="str">
        <f t="shared" si="9274"/>
        <v>0.0070</v>
      </c>
      <c r="R4888" s="1" t="s">
        <v>25</v>
      </c>
      <c r="T4888" s="1" t="str">
        <f t="shared" si="9275"/>
        <v>0</v>
      </c>
      <c r="U4888" s="1" t="str">
        <f t="shared" si="9293"/>
        <v>0.0070</v>
      </c>
    </row>
    <row r="4889" s="1" customFormat="1" spans="1:21">
      <c r="A4889" s="1" t="str">
        <f>"4601991419034"</f>
        <v>4601991419034</v>
      </c>
      <c r="B4889" s="1" t="s">
        <v>4912</v>
      </c>
      <c r="C4889" s="1" t="s">
        <v>24</v>
      </c>
      <c r="D4889" s="1" t="str">
        <f t="shared" si="9271"/>
        <v>2021</v>
      </c>
      <c r="E4889" s="1" t="str">
        <f>"9.67"</f>
        <v>9.67</v>
      </c>
      <c r="F4889" s="1" t="str">
        <f t="shared" ref="F4889:I4889" si="9310">"0"</f>
        <v>0</v>
      </c>
      <c r="G4889" s="1" t="str">
        <f t="shared" si="9310"/>
        <v>0</v>
      </c>
      <c r="H4889" s="1" t="str">
        <f t="shared" si="9310"/>
        <v>0</v>
      </c>
      <c r="I4889" s="1" t="str">
        <f t="shared" si="9310"/>
        <v>0</v>
      </c>
      <c r="J4889" s="1" t="str">
        <f t="shared" si="9307"/>
        <v>1</v>
      </c>
      <c r="K4889" s="1" t="str">
        <f t="shared" ref="K4889:P4889" si="9311">"0"</f>
        <v>0</v>
      </c>
      <c r="L4889" s="1" t="str">
        <f t="shared" si="9311"/>
        <v>0</v>
      </c>
      <c r="M4889" s="1" t="str">
        <f t="shared" si="9311"/>
        <v>0</v>
      </c>
      <c r="N4889" s="1" t="str">
        <f t="shared" si="9311"/>
        <v>0</v>
      </c>
      <c r="O4889" s="1" t="str">
        <f t="shared" si="9311"/>
        <v>0</v>
      </c>
      <c r="P4889" s="1" t="str">
        <f t="shared" si="9311"/>
        <v>0</v>
      </c>
      <c r="Q4889" s="1" t="str">
        <f t="shared" si="9274"/>
        <v>0.0070</v>
      </c>
      <c r="R4889" s="1" t="s">
        <v>29</v>
      </c>
      <c r="S4889" s="1">
        <v>-0.0014</v>
      </c>
      <c r="T4889" s="1" t="str">
        <f t="shared" si="9275"/>
        <v>0</v>
      </c>
      <c r="U4889" s="1" t="str">
        <f t="shared" ref="U4889:U4894" si="9312">"0.0056"</f>
        <v>0.0056</v>
      </c>
    </row>
    <row r="4890" s="1" customFormat="1" spans="1:21">
      <c r="A4890" s="1" t="str">
        <f>"4601992036688"</f>
        <v>4601992036688</v>
      </c>
      <c r="B4890" s="1" t="s">
        <v>4913</v>
      </c>
      <c r="C4890" s="1" t="s">
        <v>24</v>
      </c>
      <c r="D4890" s="1" t="str">
        <f t="shared" si="9271"/>
        <v>2021</v>
      </c>
      <c r="E4890" s="1" t="str">
        <f>"12.09"</f>
        <v>12.09</v>
      </c>
      <c r="F4890" s="1" t="str">
        <f t="shared" ref="F4890:I4890" si="9313">"0"</f>
        <v>0</v>
      </c>
      <c r="G4890" s="1" t="str">
        <f t="shared" si="9313"/>
        <v>0</v>
      </c>
      <c r="H4890" s="1" t="str">
        <f t="shared" si="9313"/>
        <v>0</v>
      </c>
      <c r="I4890" s="1" t="str">
        <f t="shared" si="9313"/>
        <v>0</v>
      </c>
      <c r="J4890" s="1" t="str">
        <f t="shared" si="9307"/>
        <v>1</v>
      </c>
      <c r="K4890" s="1" t="str">
        <f t="shared" ref="K4890:P4890" si="9314">"0"</f>
        <v>0</v>
      </c>
      <c r="L4890" s="1" t="str">
        <f t="shared" si="9314"/>
        <v>0</v>
      </c>
      <c r="M4890" s="1" t="str">
        <f t="shared" si="9314"/>
        <v>0</v>
      </c>
      <c r="N4890" s="1" t="str">
        <f t="shared" si="9314"/>
        <v>0</v>
      </c>
      <c r="O4890" s="1" t="str">
        <f t="shared" si="9314"/>
        <v>0</v>
      </c>
      <c r="P4890" s="1" t="str">
        <f t="shared" si="9314"/>
        <v>0</v>
      </c>
      <c r="Q4890" s="1" t="str">
        <f t="shared" si="9274"/>
        <v>0.0070</v>
      </c>
      <c r="R4890" s="1" t="s">
        <v>29</v>
      </c>
      <c r="S4890" s="1">
        <v>-0.0014</v>
      </c>
      <c r="T4890" s="1" t="str">
        <f t="shared" si="9275"/>
        <v>0</v>
      </c>
      <c r="U4890" s="1" t="str">
        <f t="shared" si="9312"/>
        <v>0.0056</v>
      </c>
    </row>
    <row r="4891" s="1" customFormat="1" spans="1:21">
      <c r="A4891" s="1" t="str">
        <f>"4601991401594"</f>
        <v>4601991401594</v>
      </c>
      <c r="B4891" s="1" t="s">
        <v>4914</v>
      </c>
      <c r="C4891" s="1" t="s">
        <v>24</v>
      </c>
      <c r="D4891" s="1" t="str">
        <f t="shared" si="9271"/>
        <v>2021</v>
      </c>
      <c r="E4891" s="1" t="str">
        <f>"2262.78"</f>
        <v>2262.78</v>
      </c>
      <c r="F4891" s="1" t="str">
        <f>"10380.11"</f>
        <v>10380.11</v>
      </c>
      <c r="G4891" s="1" t="str">
        <f t="shared" ref="G4891:L4891" si="9315">"0"</f>
        <v>0</v>
      </c>
      <c r="H4891" s="1" t="str">
        <f t="shared" si="9315"/>
        <v>0</v>
      </c>
      <c r="I4891" s="1" t="str">
        <f>"4.5873"</f>
        <v>4.5873</v>
      </c>
      <c r="J4891" s="1" t="str">
        <f>"232"</f>
        <v>232</v>
      </c>
      <c r="K4891" s="1" t="str">
        <f>"1"</f>
        <v>1</v>
      </c>
      <c r="L4891" s="1" t="str">
        <f t="shared" si="9315"/>
        <v>0</v>
      </c>
      <c r="M4891" s="1" t="str">
        <f>"0.0043"</f>
        <v>0.0043</v>
      </c>
      <c r="N4891" s="1" t="str">
        <f t="shared" ref="N4891:P4891" si="9316">"0"</f>
        <v>0</v>
      </c>
      <c r="O4891" s="1" t="str">
        <f t="shared" si="9316"/>
        <v>0</v>
      </c>
      <c r="P4891" s="1" t="str">
        <f t="shared" si="9316"/>
        <v>0</v>
      </c>
      <c r="Q4891" s="1" t="str">
        <f t="shared" si="9274"/>
        <v>0.0070</v>
      </c>
      <c r="R4891" s="1" t="s">
        <v>69</v>
      </c>
      <c r="S4891" s="1" t="str">
        <f>"0.0014"</f>
        <v>0.0014</v>
      </c>
      <c r="T4891" s="1" t="str">
        <f t="shared" si="9275"/>
        <v>0</v>
      </c>
      <c r="U4891" s="1" t="str">
        <f>"0.0084"</f>
        <v>0.0084</v>
      </c>
    </row>
    <row r="4892" s="1" customFormat="1" spans="1:21">
      <c r="A4892" s="1" t="str">
        <f>"4601992125361"</f>
        <v>4601992125361</v>
      </c>
      <c r="B4892" s="1" t="s">
        <v>4915</v>
      </c>
      <c r="C4892" s="1" t="s">
        <v>24</v>
      </c>
      <c r="D4892" s="1" t="str">
        <f t="shared" si="9271"/>
        <v>2021</v>
      </c>
      <c r="E4892" s="1" t="str">
        <f t="shared" ref="E4892:P4892" si="9317">"0"</f>
        <v>0</v>
      </c>
      <c r="F4892" s="1" t="str">
        <f t="shared" si="9317"/>
        <v>0</v>
      </c>
      <c r="G4892" s="1" t="str">
        <f t="shared" si="9317"/>
        <v>0</v>
      </c>
      <c r="H4892" s="1" t="str">
        <f t="shared" si="9317"/>
        <v>0</v>
      </c>
      <c r="I4892" s="1" t="str">
        <f t="shared" si="9317"/>
        <v>0</v>
      </c>
      <c r="J4892" s="1" t="str">
        <f t="shared" si="9317"/>
        <v>0</v>
      </c>
      <c r="K4892" s="1" t="str">
        <f t="shared" si="9317"/>
        <v>0</v>
      </c>
      <c r="L4892" s="1" t="str">
        <f t="shared" si="9317"/>
        <v>0</v>
      </c>
      <c r="M4892" s="1" t="str">
        <f t="shared" si="9317"/>
        <v>0</v>
      </c>
      <c r="N4892" s="1" t="str">
        <f t="shared" si="9317"/>
        <v>0</v>
      </c>
      <c r="O4892" s="1" t="str">
        <f t="shared" si="9317"/>
        <v>0</v>
      </c>
      <c r="P4892" s="1" t="str">
        <f t="shared" si="9317"/>
        <v>0</v>
      </c>
      <c r="Q4892" s="1" t="str">
        <f t="shared" si="9274"/>
        <v>0.0070</v>
      </c>
      <c r="R4892" s="1" t="s">
        <v>25</v>
      </c>
      <c r="T4892" s="1" t="str">
        <f t="shared" si="9275"/>
        <v>0</v>
      </c>
      <c r="U4892" s="1" t="str">
        <f>"0.0070"</f>
        <v>0.0070</v>
      </c>
    </row>
    <row r="4893" s="1" customFormat="1" spans="1:21">
      <c r="A4893" s="1" t="str">
        <f>"4601992039230"</f>
        <v>4601992039230</v>
      </c>
      <c r="B4893" s="1" t="s">
        <v>4916</v>
      </c>
      <c r="C4893" s="1" t="s">
        <v>24</v>
      </c>
      <c r="D4893" s="1" t="str">
        <f t="shared" si="9271"/>
        <v>2021</v>
      </c>
      <c r="E4893" s="1" t="str">
        <f>"24.21"</f>
        <v>24.21</v>
      </c>
      <c r="F4893" s="1" t="str">
        <f t="shared" ref="F4893:I4893" si="9318">"0"</f>
        <v>0</v>
      </c>
      <c r="G4893" s="1" t="str">
        <f t="shared" si="9318"/>
        <v>0</v>
      </c>
      <c r="H4893" s="1" t="str">
        <f t="shared" si="9318"/>
        <v>0</v>
      </c>
      <c r="I4893" s="1" t="str">
        <f t="shared" si="9318"/>
        <v>0</v>
      </c>
      <c r="J4893" s="1" t="str">
        <f>"2"</f>
        <v>2</v>
      </c>
      <c r="K4893" s="1" t="str">
        <f t="shared" ref="K4893:P4893" si="9319">"0"</f>
        <v>0</v>
      </c>
      <c r="L4893" s="1" t="str">
        <f t="shared" si="9319"/>
        <v>0</v>
      </c>
      <c r="M4893" s="1" t="str">
        <f t="shared" si="9319"/>
        <v>0</v>
      </c>
      <c r="N4893" s="1" t="str">
        <f t="shared" si="9319"/>
        <v>0</v>
      </c>
      <c r="O4893" s="1" t="str">
        <f t="shared" si="9319"/>
        <v>0</v>
      </c>
      <c r="P4893" s="1" t="str">
        <f t="shared" si="9319"/>
        <v>0</v>
      </c>
      <c r="Q4893" s="1" t="str">
        <f t="shared" si="9274"/>
        <v>0.0070</v>
      </c>
      <c r="R4893" s="1" t="s">
        <v>29</v>
      </c>
      <c r="S4893" s="1">
        <v>-0.0014</v>
      </c>
      <c r="T4893" s="1" t="str">
        <f t="shared" si="9275"/>
        <v>0</v>
      </c>
      <c r="U4893" s="1" t="str">
        <f t="shared" si="9312"/>
        <v>0.0056</v>
      </c>
    </row>
    <row r="4894" s="1" customFormat="1" spans="1:21">
      <c r="A4894" s="1" t="str">
        <f>"4601992002161"</f>
        <v>4601992002161</v>
      </c>
      <c r="B4894" s="1" t="s">
        <v>4917</v>
      </c>
      <c r="C4894" s="1" t="s">
        <v>24</v>
      </c>
      <c r="D4894" s="1" t="str">
        <f t="shared" si="9271"/>
        <v>2021</v>
      </c>
      <c r="E4894" s="1" t="str">
        <f>"215.64"</f>
        <v>215.64</v>
      </c>
      <c r="F4894" s="1" t="str">
        <f t="shared" ref="F4894:I4894" si="9320">"0"</f>
        <v>0</v>
      </c>
      <c r="G4894" s="1" t="str">
        <f t="shared" si="9320"/>
        <v>0</v>
      </c>
      <c r="H4894" s="1" t="str">
        <f t="shared" si="9320"/>
        <v>0</v>
      </c>
      <c r="I4894" s="1" t="str">
        <f t="shared" si="9320"/>
        <v>0</v>
      </c>
      <c r="J4894" s="1" t="str">
        <f>"11"</f>
        <v>11</v>
      </c>
      <c r="K4894" s="1" t="str">
        <f t="shared" ref="K4894:P4894" si="9321">"0"</f>
        <v>0</v>
      </c>
      <c r="L4894" s="1" t="str">
        <f t="shared" si="9321"/>
        <v>0</v>
      </c>
      <c r="M4894" s="1" t="str">
        <f t="shared" si="9321"/>
        <v>0</v>
      </c>
      <c r="N4894" s="1" t="str">
        <f t="shared" si="9321"/>
        <v>0</v>
      </c>
      <c r="O4894" s="1" t="str">
        <f t="shared" si="9321"/>
        <v>0</v>
      </c>
      <c r="P4894" s="1" t="str">
        <f t="shared" si="9321"/>
        <v>0</v>
      </c>
      <c r="Q4894" s="1" t="str">
        <f t="shared" si="9274"/>
        <v>0.0070</v>
      </c>
      <c r="R4894" s="1" t="s">
        <v>29</v>
      </c>
      <c r="S4894" s="1">
        <v>-0.0014</v>
      </c>
      <c r="T4894" s="1" t="str">
        <f t="shared" si="9275"/>
        <v>0</v>
      </c>
      <c r="U4894" s="1" t="str">
        <f t="shared" si="9312"/>
        <v>0.0056</v>
      </c>
    </row>
    <row r="4895" s="1" customFormat="1" spans="1:21">
      <c r="A4895" s="1" t="str">
        <f>"4601992015093"</f>
        <v>4601992015093</v>
      </c>
      <c r="B4895" s="1" t="s">
        <v>4918</v>
      </c>
      <c r="C4895" s="1" t="s">
        <v>24</v>
      </c>
      <c r="D4895" s="1" t="str">
        <f t="shared" si="9271"/>
        <v>2021</v>
      </c>
      <c r="E4895" s="1" t="str">
        <f>"60.34"</f>
        <v>60.34</v>
      </c>
      <c r="F4895" s="1" t="str">
        <f t="shared" ref="F4895:I4895" si="9322">"0"</f>
        <v>0</v>
      </c>
      <c r="G4895" s="1" t="str">
        <f t="shared" si="9322"/>
        <v>0</v>
      </c>
      <c r="H4895" s="1" t="str">
        <f t="shared" si="9322"/>
        <v>0</v>
      </c>
      <c r="I4895" s="1" t="str">
        <f t="shared" si="9322"/>
        <v>0</v>
      </c>
      <c r="J4895" s="1" t="str">
        <f>"5"</f>
        <v>5</v>
      </c>
      <c r="K4895" s="1" t="str">
        <f t="shared" ref="K4895:P4895" si="9323">"0"</f>
        <v>0</v>
      </c>
      <c r="L4895" s="1" t="str">
        <f t="shared" si="9323"/>
        <v>0</v>
      </c>
      <c r="M4895" s="1" t="str">
        <f t="shared" si="9323"/>
        <v>0</v>
      </c>
      <c r="N4895" s="1" t="str">
        <f t="shared" si="9323"/>
        <v>0</v>
      </c>
      <c r="O4895" s="1" t="str">
        <f t="shared" si="9323"/>
        <v>0</v>
      </c>
      <c r="P4895" s="1" t="str">
        <f t="shared" si="9323"/>
        <v>0</v>
      </c>
      <c r="Q4895" s="1" t="str">
        <f t="shared" si="9274"/>
        <v>0.0070</v>
      </c>
      <c r="R4895" s="1" t="s">
        <v>25</v>
      </c>
      <c r="T4895" s="1" t="str">
        <f t="shared" si="9275"/>
        <v>0</v>
      </c>
      <c r="U4895" s="1" t="str">
        <f>"0.0070"</f>
        <v>0.0070</v>
      </c>
    </row>
    <row r="4896" s="1" customFormat="1" spans="1:21">
      <c r="A4896" s="1" t="str">
        <f>"4601992012196"</f>
        <v>4601992012196</v>
      </c>
      <c r="B4896" s="1" t="s">
        <v>4919</v>
      </c>
      <c r="C4896" s="1" t="s">
        <v>24</v>
      </c>
      <c r="D4896" s="1" t="str">
        <f t="shared" si="9271"/>
        <v>2021</v>
      </c>
      <c r="E4896" s="1" t="str">
        <f>"48.36"</f>
        <v>48.36</v>
      </c>
      <c r="F4896" s="1" t="str">
        <f t="shared" ref="F4896:I4896" si="9324">"0"</f>
        <v>0</v>
      </c>
      <c r="G4896" s="1" t="str">
        <f t="shared" si="9324"/>
        <v>0</v>
      </c>
      <c r="H4896" s="1" t="str">
        <f t="shared" si="9324"/>
        <v>0</v>
      </c>
      <c r="I4896" s="1" t="str">
        <f t="shared" si="9324"/>
        <v>0</v>
      </c>
      <c r="J4896" s="1" t="str">
        <f>"4"</f>
        <v>4</v>
      </c>
      <c r="K4896" s="1" t="str">
        <f t="shared" ref="K4896:P4896" si="9325">"0"</f>
        <v>0</v>
      </c>
      <c r="L4896" s="1" t="str">
        <f t="shared" si="9325"/>
        <v>0</v>
      </c>
      <c r="M4896" s="1" t="str">
        <f t="shared" si="9325"/>
        <v>0</v>
      </c>
      <c r="N4896" s="1" t="str">
        <f t="shared" si="9325"/>
        <v>0</v>
      </c>
      <c r="O4896" s="1" t="str">
        <f t="shared" si="9325"/>
        <v>0</v>
      </c>
      <c r="P4896" s="1" t="str">
        <f t="shared" si="9325"/>
        <v>0</v>
      </c>
      <c r="Q4896" s="1" t="str">
        <f t="shared" si="9274"/>
        <v>0.0070</v>
      </c>
      <c r="R4896" s="1" t="s">
        <v>29</v>
      </c>
      <c r="S4896" s="1">
        <v>-0.0014</v>
      </c>
      <c r="T4896" s="1" t="str">
        <f t="shared" si="9275"/>
        <v>0</v>
      </c>
      <c r="U4896" s="1" t="str">
        <f t="shared" ref="U4896:U4900" si="9326">"0.0056"</f>
        <v>0.0056</v>
      </c>
    </row>
    <row r="4897" s="1" customFormat="1" spans="1:21">
      <c r="A4897" s="1" t="str">
        <f>"4601992019938"</f>
        <v>4601992019938</v>
      </c>
      <c r="B4897" s="1" t="s">
        <v>4920</v>
      </c>
      <c r="C4897" s="1" t="s">
        <v>24</v>
      </c>
      <c r="D4897" s="1" t="str">
        <f t="shared" si="9271"/>
        <v>2021</v>
      </c>
      <c r="E4897" s="1" t="str">
        <f>"24.18"</f>
        <v>24.18</v>
      </c>
      <c r="F4897" s="1" t="str">
        <f t="shared" ref="F4897:I4897" si="9327">"0"</f>
        <v>0</v>
      </c>
      <c r="G4897" s="1" t="str">
        <f t="shared" si="9327"/>
        <v>0</v>
      </c>
      <c r="H4897" s="1" t="str">
        <f t="shared" si="9327"/>
        <v>0</v>
      </c>
      <c r="I4897" s="1" t="str">
        <f t="shared" si="9327"/>
        <v>0</v>
      </c>
      <c r="J4897" s="1" t="str">
        <f>"2"</f>
        <v>2</v>
      </c>
      <c r="K4897" s="1" t="str">
        <f t="shared" ref="K4897:P4897" si="9328">"0"</f>
        <v>0</v>
      </c>
      <c r="L4897" s="1" t="str">
        <f t="shared" si="9328"/>
        <v>0</v>
      </c>
      <c r="M4897" s="1" t="str">
        <f t="shared" si="9328"/>
        <v>0</v>
      </c>
      <c r="N4897" s="1" t="str">
        <f t="shared" si="9328"/>
        <v>0</v>
      </c>
      <c r="O4897" s="1" t="str">
        <f t="shared" si="9328"/>
        <v>0</v>
      </c>
      <c r="P4897" s="1" t="str">
        <f t="shared" si="9328"/>
        <v>0</v>
      </c>
      <c r="Q4897" s="1" t="str">
        <f t="shared" si="9274"/>
        <v>0.0070</v>
      </c>
      <c r="R4897" s="1" t="s">
        <v>29</v>
      </c>
      <c r="S4897" s="1">
        <v>-0.0014</v>
      </c>
      <c r="T4897" s="1" t="str">
        <f t="shared" si="9275"/>
        <v>0</v>
      </c>
      <c r="U4897" s="1" t="str">
        <f t="shared" si="9326"/>
        <v>0.0056</v>
      </c>
    </row>
    <row r="4898" s="1" customFormat="1" spans="1:21">
      <c r="A4898" s="1" t="str">
        <f>"4601992039449"</f>
        <v>4601992039449</v>
      </c>
      <c r="B4898" s="1" t="s">
        <v>4921</v>
      </c>
      <c r="C4898" s="1" t="s">
        <v>24</v>
      </c>
      <c r="D4898" s="1" t="str">
        <f t="shared" si="9271"/>
        <v>2021</v>
      </c>
      <c r="E4898" s="1" t="str">
        <f>"25.20"</f>
        <v>25.20</v>
      </c>
      <c r="F4898" s="1" t="str">
        <f t="shared" ref="F4898:I4898" si="9329">"0"</f>
        <v>0</v>
      </c>
      <c r="G4898" s="1" t="str">
        <f t="shared" si="9329"/>
        <v>0</v>
      </c>
      <c r="H4898" s="1" t="str">
        <f t="shared" si="9329"/>
        <v>0</v>
      </c>
      <c r="I4898" s="1" t="str">
        <f t="shared" si="9329"/>
        <v>0</v>
      </c>
      <c r="J4898" s="1" t="str">
        <f>"6"</f>
        <v>6</v>
      </c>
      <c r="K4898" s="1" t="str">
        <f t="shared" ref="K4898:P4898" si="9330">"0"</f>
        <v>0</v>
      </c>
      <c r="L4898" s="1" t="str">
        <f t="shared" si="9330"/>
        <v>0</v>
      </c>
      <c r="M4898" s="1" t="str">
        <f t="shared" si="9330"/>
        <v>0</v>
      </c>
      <c r="N4898" s="1" t="str">
        <f t="shared" si="9330"/>
        <v>0</v>
      </c>
      <c r="O4898" s="1" t="str">
        <f t="shared" si="9330"/>
        <v>0</v>
      </c>
      <c r="P4898" s="1" t="str">
        <f t="shared" si="9330"/>
        <v>0</v>
      </c>
      <c r="Q4898" s="1" t="str">
        <f t="shared" si="9274"/>
        <v>0.0070</v>
      </c>
      <c r="R4898" s="1" t="s">
        <v>29</v>
      </c>
      <c r="S4898" s="1">
        <v>-0.0014</v>
      </c>
      <c r="T4898" s="1" t="str">
        <f t="shared" si="9275"/>
        <v>0</v>
      </c>
      <c r="U4898" s="1" t="str">
        <f t="shared" si="9326"/>
        <v>0.0056</v>
      </c>
    </row>
    <row r="4899" s="1" customFormat="1" spans="1:21">
      <c r="A4899" s="1" t="str">
        <f>"4601992070040"</f>
        <v>4601992070040</v>
      </c>
      <c r="B4899" s="1" t="s">
        <v>4922</v>
      </c>
      <c r="C4899" s="1" t="s">
        <v>24</v>
      </c>
      <c r="D4899" s="1" t="str">
        <f t="shared" si="9271"/>
        <v>2021</v>
      </c>
      <c r="E4899" s="1" t="str">
        <f>"107.82"</f>
        <v>107.82</v>
      </c>
      <c r="F4899" s="1" t="str">
        <f t="shared" ref="F4899:I4899" si="9331">"0"</f>
        <v>0</v>
      </c>
      <c r="G4899" s="1" t="str">
        <f t="shared" si="9331"/>
        <v>0</v>
      </c>
      <c r="H4899" s="1" t="str">
        <f t="shared" si="9331"/>
        <v>0</v>
      </c>
      <c r="I4899" s="1" t="str">
        <f t="shared" si="9331"/>
        <v>0</v>
      </c>
      <c r="J4899" s="1" t="str">
        <f>"10"</f>
        <v>10</v>
      </c>
      <c r="K4899" s="1" t="str">
        <f t="shared" ref="K4899:P4899" si="9332">"0"</f>
        <v>0</v>
      </c>
      <c r="L4899" s="1" t="str">
        <f t="shared" si="9332"/>
        <v>0</v>
      </c>
      <c r="M4899" s="1" t="str">
        <f t="shared" si="9332"/>
        <v>0</v>
      </c>
      <c r="N4899" s="1" t="str">
        <f t="shared" si="9332"/>
        <v>0</v>
      </c>
      <c r="O4899" s="1" t="str">
        <f t="shared" si="9332"/>
        <v>0</v>
      </c>
      <c r="P4899" s="1" t="str">
        <f t="shared" si="9332"/>
        <v>0</v>
      </c>
      <c r="Q4899" s="1" t="str">
        <f t="shared" si="9274"/>
        <v>0.0070</v>
      </c>
      <c r="R4899" s="1" t="s">
        <v>29</v>
      </c>
      <c r="S4899" s="1">
        <v>-0.0014</v>
      </c>
      <c r="T4899" s="1" t="str">
        <f t="shared" si="9275"/>
        <v>0</v>
      </c>
      <c r="U4899" s="1" t="str">
        <f t="shared" si="9326"/>
        <v>0.0056</v>
      </c>
    </row>
    <row r="4900" s="1" customFormat="1" spans="1:21">
      <c r="A4900" s="1" t="str">
        <f>"4601992015033"</f>
        <v>4601992015033</v>
      </c>
      <c r="B4900" s="1" t="s">
        <v>4923</v>
      </c>
      <c r="C4900" s="1" t="s">
        <v>24</v>
      </c>
      <c r="D4900" s="1" t="str">
        <f t="shared" si="9271"/>
        <v>2021</v>
      </c>
      <c r="E4900" s="1" t="str">
        <f>"96.72"</f>
        <v>96.72</v>
      </c>
      <c r="F4900" s="1" t="str">
        <f t="shared" ref="F4900:I4900" si="9333">"0"</f>
        <v>0</v>
      </c>
      <c r="G4900" s="1" t="str">
        <f t="shared" si="9333"/>
        <v>0</v>
      </c>
      <c r="H4900" s="1" t="str">
        <f t="shared" si="9333"/>
        <v>0</v>
      </c>
      <c r="I4900" s="1" t="str">
        <f t="shared" si="9333"/>
        <v>0</v>
      </c>
      <c r="J4900" s="1" t="str">
        <f>"10"</f>
        <v>10</v>
      </c>
      <c r="K4900" s="1" t="str">
        <f t="shared" ref="K4900:P4900" si="9334">"0"</f>
        <v>0</v>
      </c>
      <c r="L4900" s="1" t="str">
        <f t="shared" si="9334"/>
        <v>0</v>
      </c>
      <c r="M4900" s="1" t="str">
        <f t="shared" si="9334"/>
        <v>0</v>
      </c>
      <c r="N4900" s="1" t="str">
        <f t="shared" si="9334"/>
        <v>0</v>
      </c>
      <c r="O4900" s="1" t="str">
        <f t="shared" si="9334"/>
        <v>0</v>
      </c>
      <c r="P4900" s="1" t="str">
        <f t="shared" si="9334"/>
        <v>0</v>
      </c>
      <c r="Q4900" s="1" t="str">
        <f t="shared" si="9274"/>
        <v>0.0070</v>
      </c>
      <c r="R4900" s="1" t="s">
        <v>29</v>
      </c>
      <c r="S4900" s="1">
        <v>-0.0014</v>
      </c>
      <c r="T4900" s="1" t="str">
        <f t="shared" si="9275"/>
        <v>0</v>
      </c>
      <c r="U4900" s="1" t="str">
        <f t="shared" si="9326"/>
        <v>0.0056</v>
      </c>
    </row>
    <row r="4901" s="1" customFormat="1" spans="1:21">
      <c r="A4901" s="1" t="str">
        <f>"4601992125459"</f>
        <v>4601992125459</v>
      </c>
      <c r="B4901" s="1" t="s">
        <v>4924</v>
      </c>
      <c r="C4901" s="1" t="s">
        <v>24</v>
      </c>
      <c r="D4901" s="1" t="str">
        <f t="shared" si="9271"/>
        <v>2021</v>
      </c>
      <c r="E4901" s="1" t="str">
        <f t="shared" ref="E4901:P4901" si="9335">"0"</f>
        <v>0</v>
      </c>
      <c r="F4901" s="1" t="str">
        <f t="shared" si="9335"/>
        <v>0</v>
      </c>
      <c r="G4901" s="1" t="str">
        <f t="shared" si="9335"/>
        <v>0</v>
      </c>
      <c r="H4901" s="1" t="str">
        <f t="shared" si="9335"/>
        <v>0</v>
      </c>
      <c r="I4901" s="1" t="str">
        <f t="shared" si="9335"/>
        <v>0</v>
      </c>
      <c r="J4901" s="1" t="str">
        <f t="shared" si="9335"/>
        <v>0</v>
      </c>
      <c r="K4901" s="1" t="str">
        <f t="shared" si="9335"/>
        <v>0</v>
      </c>
      <c r="L4901" s="1" t="str">
        <f t="shared" si="9335"/>
        <v>0</v>
      </c>
      <c r="M4901" s="1" t="str">
        <f t="shared" si="9335"/>
        <v>0</v>
      </c>
      <c r="N4901" s="1" t="str">
        <f t="shared" si="9335"/>
        <v>0</v>
      </c>
      <c r="O4901" s="1" t="str">
        <f t="shared" si="9335"/>
        <v>0</v>
      </c>
      <c r="P4901" s="1" t="str">
        <f t="shared" si="9335"/>
        <v>0</v>
      </c>
      <c r="Q4901" s="1" t="str">
        <f t="shared" si="9274"/>
        <v>0.0070</v>
      </c>
      <c r="R4901" s="1" t="s">
        <v>25</v>
      </c>
      <c r="T4901" s="1" t="str">
        <f t="shared" si="9275"/>
        <v>0</v>
      </c>
      <c r="U4901" s="1" t="str">
        <f t="shared" ref="U4901:U4906" si="9336">"0.0070"</f>
        <v>0.0070</v>
      </c>
    </row>
    <row r="4902" s="1" customFormat="1" spans="1:21">
      <c r="A4902" s="1" t="str">
        <f>"4601992010814"</f>
        <v>4601992010814</v>
      </c>
      <c r="B4902" s="1" t="s">
        <v>4925</v>
      </c>
      <c r="C4902" s="1" t="s">
        <v>24</v>
      </c>
      <c r="D4902" s="1" t="str">
        <f t="shared" si="9271"/>
        <v>2021</v>
      </c>
      <c r="E4902" s="1" t="str">
        <f>"47.92"</f>
        <v>47.92</v>
      </c>
      <c r="F4902" s="1" t="str">
        <f t="shared" ref="F4902:I4902" si="9337">"0"</f>
        <v>0</v>
      </c>
      <c r="G4902" s="1" t="str">
        <f t="shared" si="9337"/>
        <v>0</v>
      </c>
      <c r="H4902" s="1" t="str">
        <f t="shared" si="9337"/>
        <v>0</v>
      </c>
      <c r="I4902" s="1" t="str">
        <f t="shared" si="9337"/>
        <v>0</v>
      </c>
      <c r="J4902" s="1" t="str">
        <f>"4"</f>
        <v>4</v>
      </c>
      <c r="K4902" s="1" t="str">
        <f t="shared" ref="K4902:P4902" si="9338">"0"</f>
        <v>0</v>
      </c>
      <c r="L4902" s="1" t="str">
        <f t="shared" si="9338"/>
        <v>0</v>
      </c>
      <c r="M4902" s="1" t="str">
        <f t="shared" si="9338"/>
        <v>0</v>
      </c>
      <c r="N4902" s="1" t="str">
        <f t="shared" si="9338"/>
        <v>0</v>
      </c>
      <c r="O4902" s="1" t="str">
        <f t="shared" si="9338"/>
        <v>0</v>
      </c>
      <c r="P4902" s="1" t="str">
        <f t="shared" si="9338"/>
        <v>0</v>
      </c>
      <c r="Q4902" s="1" t="str">
        <f t="shared" si="9274"/>
        <v>0.0070</v>
      </c>
      <c r="R4902" s="1" t="s">
        <v>29</v>
      </c>
      <c r="S4902" s="1">
        <v>-0.0014</v>
      </c>
      <c r="T4902" s="1" t="str">
        <f t="shared" si="9275"/>
        <v>0</v>
      </c>
      <c r="U4902" s="1" t="str">
        <f t="shared" ref="U4902:U4905" si="9339">"0.0056"</f>
        <v>0.0056</v>
      </c>
    </row>
    <row r="4903" s="1" customFormat="1" spans="1:21">
      <c r="A4903" s="1" t="str">
        <f>"4601992125434"</f>
        <v>4601992125434</v>
      </c>
      <c r="B4903" s="1" t="s">
        <v>4926</v>
      </c>
      <c r="C4903" s="1" t="s">
        <v>24</v>
      </c>
      <c r="D4903" s="1" t="str">
        <f t="shared" si="9271"/>
        <v>2021</v>
      </c>
      <c r="E4903" s="1" t="str">
        <f t="shared" ref="E4903:P4903" si="9340">"0"</f>
        <v>0</v>
      </c>
      <c r="F4903" s="1" t="str">
        <f t="shared" si="9340"/>
        <v>0</v>
      </c>
      <c r="G4903" s="1" t="str">
        <f t="shared" si="9340"/>
        <v>0</v>
      </c>
      <c r="H4903" s="1" t="str">
        <f t="shared" si="9340"/>
        <v>0</v>
      </c>
      <c r="I4903" s="1" t="str">
        <f t="shared" si="9340"/>
        <v>0</v>
      </c>
      <c r="J4903" s="1" t="str">
        <f t="shared" si="9340"/>
        <v>0</v>
      </c>
      <c r="K4903" s="1" t="str">
        <f t="shared" si="9340"/>
        <v>0</v>
      </c>
      <c r="L4903" s="1" t="str">
        <f t="shared" si="9340"/>
        <v>0</v>
      </c>
      <c r="M4903" s="1" t="str">
        <f t="shared" si="9340"/>
        <v>0</v>
      </c>
      <c r="N4903" s="1" t="str">
        <f t="shared" si="9340"/>
        <v>0</v>
      </c>
      <c r="O4903" s="1" t="str">
        <f t="shared" si="9340"/>
        <v>0</v>
      </c>
      <c r="P4903" s="1" t="str">
        <f t="shared" si="9340"/>
        <v>0</v>
      </c>
      <c r="Q4903" s="1" t="str">
        <f t="shared" si="9274"/>
        <v>0.0070</v>
      </c>
      <c r="R4903" s="1" t="s">
        <v>25</v>
      </c>
      <c r="T4903" s="1" t="str">
        <f t="shared" si="9275"/>
        <v>0</v>
      </c>
      <c r="U4903" s="1" t="str">
        <f t="shared" si="9336"/>
        <v>0.0070</v>
      </c>
    </row>
    <row r="4904" s="1" customFormat="1" spans="1:21">
      <c r="A4904" s="1" t="str">
        <f>"4601992055101"</f>
        <v>4601992055101</v>
      </c>
      <c r="B4904" s="1" t="s">
        <v>4927</v>
      </c>
      <c r="C4904" s="1" t="s">
        <v>24</v>
      </c>
      <c r="D4904" s="1" t="str">
        <f t="shared" si="9271"/>
        <v>2021</v>
      </c>
      <c r="E4904" s="1" t="str">
        <f>"24.18"</f>
        <v>24.18</v>
      </c>
      <c r="F4904" s="1" t="str">
        <f t="shared" ref="F4904:I4904" si="9341">"0"</f>
        <v>0</v>
      </c>
      <c r="G4904" s="1" t="str">
        <f t="shared" si="9341"/>
        <v>0</v>
      </c>
      <c r="H4904" s="1" t="str">
        <f t="shared" si="9341"/>
        <v>0</v>
      </c>
      <c r="I4904" s="1" t="str">
        <f t="shared" si="9341"/>
        <v>0</v>
      </c>
      <c r="J4904" s="1" t="str">
        <f>"2"</f>
        <v>2</v>
      </c>
      <c r="K4904" s="1" t="str">
        <f t="shared" ref="K4904:P4904" si="9342">"0"</f>
        <v>0</v>
      </c>
      <c r="L4904" s="1" t="str">
        <f t="shared" si="9342"/>
        <v>0</v>
      </c>
      <c r="M4904" s="1" t="str">
        <f t="shared" si="9342"/>
        <v>0</v>
      </c>
      <c r="N4904" s="1" t="str">
        <f t="shared" si="9342"/>
        <v>0</v>
      </c>
      <c r="O4904" s="1" t="str">
        <f t="shared" si="9342"/>
        <v>0</v>
      </c>
      <c r="P4904" s="1" t="str">
        <f t="shared" si="9342"/>
        <v>0</v>
      </c>
      <c r="Q4904" s="1" t="str">
        <f t="shared" si="9274"/>
        <v>0.0070</v>
      </c>
      <c r="R4904" s="1" t="s">
        <v>29</v>
      </c>
      <c r="S4904" s="1">
        <v>-0.0014</v>
      </c>
      <c r="T4904" s="1" t="str">
        <f t="shared" si="9275"/>
        <v>0</v>
      </c>
      <c r="U4904" s="1" t="str">
        <f t="shared" si="9339"/>
        <v>0.0056</v>
      </c>
    </row>
    <row r="4905" s="1" customFormat="1" spans="1:21">
      <c r="A4905" s="1" t="str">
        <f>"4601992010218"</f>
        <v>4601992010218</v>
      </c>
      <c r="B4905" s="1" t="s">
        <v>4928</v>
      </c>
      <c r="C4905" s="1" t="s">
        <v>24</v>
      </c>
      <c r="D4905" s="1" t="str">
        <f t="shared" si="9271"/>
        <v>2021</v>
      </c>
      <c r="E4905" s="1" t="str">
        <f>"167.72"</f>
        <v>167.72</v>
      </c>
      <c r="F4905" s="1" t="str">
        <f t="shared" ref="F4905:I4905" si="9343">"0"</f>
        <v>0</v>
      </c>
      <c r="G4905" s="1" t="str">
        <f t="shared" si="9343"/>
        <v>0</v>
      </c>
      <c r="H4905" s="1" t="str">
        <f t="shared" si="9343"/>
        <v>0</v>
      </c>
      <c r="I4905" s="1" t="str">
        <f t="shared" si="9343"/>
        <v>0</v>
      </c>
      <c r="J4905" s="1" t="str">
        <f>"16"</f>
        <v>16</v>
      </c>
      <c r="K4905" s="1" t="str">
        <f t="shared" ref="K4905:P4905" si="9344">"0"</f>
        <v>0</v>
      </c>
      <c r="L4905" s="1" t="str">
        <f t="shared" si="9344"/>
        <v>0</v>
      </c>
      <c r="M4905" s="1" t="str">
        <f t="shared" si="9344"/>
        <v>0</v>
      </c>
      <c r="N4905" s="1" t="str">
        <f t="shared" si="9344"/>
        <v>0</v>
      </c>
      <c r="O4905" s="1" t="str">
        <f t="shared" si="9344"/>
        <v>0</v>
      </c>
      <c r="P4905" s="1" t="str">
        <f t="shared" si="9344"/>
        <v>0</v>
      </c>
      <c r="Q4905" s="1" t="str">
        <f t="shared" si="9274"/>
        <v>0.0070</v>
      </c>
      <c r="R4905" s="1" t="s">
        <v>29</v>
      </c>
      <c r="S4905" s="1">
        <v>-0.0014</v>
      </c>
      <c r="T4905" s="1" t="str">
        <f t="shared" si="9275"/>
        <v>0</v>
      </c>
      <c r="U4905" s="1" t="str">
        <f t="shared" si="9339"/>
        <v>0.0056</v>
      </c>
    </row>
    <row r="4906" s="1" customFormat="1" spans="1:21">
      <c r="A4906" s="1" t="str">
        <f>"4601992125457"</f>
        <v>4601992125457</v>
      </c>
      <c r="B4906" s="1" t="s">
        <v>4929</v>
      </c>
      <c r="C4906" s="1" t="s">
        <v>24</v>
      </c>
      <c r="D4906" s="1" t="str">
        <f t="shared" si="9271"/>
        <v>2021</v>
      </c>
      <c r="E4906" s="1" t="str">
        <f t="shared" ref="E4906:P4906" si="9345">"0"</f>
        <v>0</v>
      </c>
      <c r="F4906" s="1" t="str">
        <f t="shared" si="9345"/>
        <v>0</v>
      </c>
      <c r="G4906" s="1" t="str">
        <f t="shared" si="9345"/>
        <v>0</v>
      </c>
      <c r="H4906" s="1" t="str">
        <f t="shared" si="9345"/>
        <v>0</v>
      </c>
      <c r="I4906" s="1" t="str">
        <f t="shared" si="9345"/>
        <v>0</v>
      </c>
      <c r="J4906" s="1" t="str">
        <f t="shared" si="9345"/>
        <v>0</v>
      </c>
      <c r="K4906" s="1" t="str">
        <f t="shared" si="9345"/>
        <v>0</v>
      </c>
      <c r="L4906" s="1" t="str">
        <f t="shared" si="9345"/>
        <v>0</v>
      </c>
      <c r="M4906" s="1" t="str">
        <f t="shared" si="9345"/>
        <v>0</v>
      </c>
      <c r="N4906" s="1" t="str">
        <f t="shared" si="9345"/>
        <v>0</v>
      </c>
      <c r="O4906" s="1" t="str">
        <f t="shared" si="9345"/>
        <v>0</v>
      </c>
      <c r="P4906" s="1" t="str">
        <f t="shared" si="9345"/>
        <v>0</v>
      </c>
      <c r="Q4906" s="1" t="str">
        <f t="shared" si="9274"/>
        <v>0.0070</v>
      </c>
      <c r="R4906" s="1" t="s">
        <v>25</v>
      </c>
      <c r="T4906" s="1" t="str">
        <f t="shared" si="9275"/>
        <v>0</v>
      </c>
      <c r="U4906" s="1" t="str">
        <f t="shared" si="9336"/>
        <v>0.0070</v>
      </c>
    </row>
    <row r="4907" s="1" customFormat="1" spans="1:21">
      <c r="A4907" s="1" t="str">
        <f>"4601992028002"</f>
        <v>4601992028002</v>
      </c>
      <c r="B4907" s="1" t="s">
        <v>4930</v>
      </c>
      <c r="C4907" s="1" t="s">
        <v>24</v>
      </c>
      <c r="D4907" s="1" t="str">
        <f t="shared" si="9271"/>
        <v>2021</v>
      </c>
      <c r="E4907" s="1" t="str">
        <f>"12.09"</f>
        <v>12.09</v>
      </c>
      <c r="F4907" s="1" t="str">
        <f t="shared" ref="F4907:I4907" si="9346">"0"</f>
        <v>0</v>
      </c>
      <c r="G4907" s="1" t="str">
        <f t="shared" si="9346"/>
        <v>0</v>
      </c>
      <c r="H4907" s="1" t="str">
        <f t="shared" si="9346"/>
        <v>0</v>
      </c>
      <c r="I4907" s="1" t="str">
        <f t="shared" si="9346"/>
        <v>0</v>
      </c>
      <c r="J4907" s="1" t="str">
        <f>"1"</f>
        <v>1</v>
      </c>
      <c r="K4907" s="1" t="str">
        <f t="shared" ref="K4907:P4907" si="9347">"0"</f>
        <v>0</v>
      </c>
      <c r="L4907" s="1" t="str">
        <f t="shared" si="9347"/>
        <v>0</v>
      </c>
      <c r="M4907" s="1" t="str">
        <f t="shared" si="9347"/>
        <v>0</v>
      </c>
      <c r="N4907" s="1" t="str">
        <f t="shared" si="9347"/>
        <v>0</v>
      </c>
      <c r="O4907" s="1" t="str">
        <f t="shared" si="9347"/>
        <v>0</v>
      </c>
      <c r="P4907" s="1" t="str">
        <f t="shared" si="9347"/>
        <v>0</v>
      </c>
      <c r="Q4907" s="1" t="str">
        <f t="shared" si="9274"/>
        <v>0.0070</v>
      </c>
      <c r="R4907" s="1" t="s">
        <v>29</v>
      </c>
      <c r="S4907" s="1">
        <v>-0.0014</v>
      </c>
      <c r="T4907" s="1" t="str">
        <f t="shared" si="9275"/>
        <v>0</v>
      </c>
      <c r="U4907" s="1" t="str">
        <f>"0.0056"</f>
        <v>0.0056</v>
      </c>
    </row>
    <row r="4908" s="1" customFormat="1" spans="1:21">
      <c r="A4908" s="1" t="str">
        <f>"4601992153054"</f>
        <v>4601992153054</v>
      </c>
      <c r="B4908" s="1" t="s">
        <v>4931</v>
      </c>
      <c r="C4908" s="1" t="s">
        <v>24</v>
      </c>
      <c r="D4908" s="1" t="str">
        <f t="shared" si="9271"/>
        <v>2021</v>
      </c>
      <c r="E4908" s="1" t="str">
        <f t="shared" ref="E4908:P4908" si="9348">"0"</f>
        <v>0</v>
      </c>
      <c r="F4908" s="1" t="str">
        <f t="shared" si="9348"/>
        <v>0</v>
      </c>
      <c r="G4908" s="1" t="str">
        <f t="shared" si="9348"/>
        <v>0</v>
      </c>
      <c r="H4908" s="1" t="str">
        <f t="shared" si="9348"/>
        <v>0</v>
      </c>
      <c r="I4908" s="1" t="str">
        <f t="shared" si="9348"/>
        <v>0</v>
      </c>
      <c r="J4908" s="1" t="str">
        <f t="shared" si="9348"/>
        <v>0</v>
      </c>
      <c r="K4908" s="1" t="str">
        <f t="shared" si="9348"/>
        <v>0</v>
      </c>
      <c r="L4908" s="1" t="str">
        <f t="shared" si="9348"/>
        <v>0</v>
      </c>
      <c r="M4908" s="1" t="str">
        <f t="shared" si="9348"/>
        <v>0</v>
      </c>
      <c r="N4908" s="1" t="str">
        <f t="shared" si="9348"/>
        <v>0</v>
      </c>
      <c r="O4908" s="1" t="str">
        <f t="shared" si="9348"/>
        <v>0</v>
      </c>
      <c r="P4908" s="1" t="str">
        <f t="shared" si="9348"/>
        <v>0</v>
      </c>
      <c r="Q4908" s="1" t="str">
        <f t="shared" si="9274"/>
        <v>0.0070</v>
      </c>
      <c r="R4908" s="1" t="s">
        <v>25</v>
      </c>
      <c r="T4908" s="1" t="str">
        <f t="shared" si="9275"/>
        <v>0</v>
      </c>
      <c r="U4908" s="1" t="str">
        <f t="shared" ref="U4908:U4915" si="9349">"0.0070"</f>
        <v>0.0070</v>
      </c>
    </row>
    <row r="4909" s="1" customFormat="1" spans="1:21">
      <c r="A4909" s="1" t="str">
        <f>"4601992011318"</f>
        <v>4601992011318</v>
      </c>
      <c r="B4909" s="1" t="s">
        <v>4932</v>
      </c>
      <c r="C4909" s="1" t="s">
        <v>24</v>
      </c>
      <c r="D4909" s="1" t="str">
        <f t="shared" si="9271"/>
        <v>2021</v>
      </c>
      <c r="E4909" s="1" t="str">
        <f>"24.07"</f>
        <v>24.07</v>
      </c>
      <c r="F4909" s="1" t="str">
        <f t="shared" ref="F4909:I4909" si="9350">"0"</f>
        <v>0</v>
      </c>
      <c r="G4909" s="1" t="str">
        <f t="shared" si="9350"/>
        <v>0</v>
      </c>
      <c r="H4909" s="1" t="str">
        <f t="shared" si="9350"/>
        <v>0</v>
      </c>
      <c r="I4909" s="1" t="str">
        <f t="shared" si="9350"/>
        <v>0</v>
      </c>
      <c r="J4909" s="1" t="str">
        <f>"2"</f>
        <v>2</v>
      </c>
      <c r="K4909" s="1" t="str">
        <f t="shared" ref="K4909:P4909" si="9351">"0"</f>
        <v>0</v>
      </c>
      <c r="L4909" s="1" t="str">
        <f t="shared" si="9351"/>
        <v>0</v>
      </c>
      <c r="M4909" s="1" t="str">
        <f t="shared" si="9351"/>
        <v>0</v>
      </c>
      <c r="N4909" s="1" t="str">
        <f t="shared" si="9351"/>
        <v>0</v>
      </c>
      <c r="O4909" s="1" t="str">
        <f t="shared" si="9351"/>
        <v>0</v>
      </c>
      <c r="P4909" s="1" t="str">
        <f t="shared" si="9351"/>
        <v>0</v>
      </c>
      <c r="Q4909" s="1" t="str">
        <f t="shared" si="9274"/>
        <v>0.0070</v>
      </c>
      <c r="R4909" s="1" t="s">
        <v>29</v>
      </c>
      <c r="S4909" s="1">
        <v>-0.0014</v>
      </c>
      <c r="T4909" s="1" t="str">
        <f t="shared" si="9275"/>
        <v>0</v>
      </c>
      <c r="U4909" s="1" t="str">
        <f>"0.0056"</f>
        <v>0.0056</v>
      </c>
    </row>
    <row r="4910" s="1" customFormat="1" spans="1:21">
      <c r="A4910" s="1" t="str">
        <f>"4601992010845"</f>
        <v>4601992010845</v>
      </c>
      <c r="B4910" s="1" t="s">
        <v>4933</v>
      </c>
      <c r="C4910" s="1" t="s">
        <v>24</v>
      </c>
      <c r="D4910" s="1" t="str">
        <f t="shared" si="9271"/>
        <v>2021</v>
      </c>
      <c r="E4910" s="1" t="str">
        <f t="shared" ref="E4910:P4910" si="9352">"0"</f>
        <v>0</v>
      </c>
      <c r="F4910" s="1" t="str">
        <f t="shared" si="9352"/>
        <v>0</v>
      </c>
      <c r="G4910" s="1" t="str">
        <f t="shared" si="9352"/>
        <v>0</v>
      </c>
      <c r="H4910" s="1" t="str">
        <f t="shared" si="9352"/>
        <v>0</v>
      </c>
      <c r="I4910" s="1" t="str">
        <f t="shared" si="9352"/>
        <v>0</v>
      </c>
      <c r="J4910" s="1" t="str">
        <f t="shared" si="9352"/>
        <v>0</v>
      </c>
      <c r="K4910" s="1" t="str">
        <f t="shared" si="9352"/>
        <v>0</v>
      </c>
      <c r="L4910" s="1" t="str">
        <f t="shared" si="9352"/>
        <v>0</v>
      </c>
      <c r="M4910" s="1" t="str">
        <f t="shared" si="9352"/>
        <v>0</v>
      </c>
      <c r="N4910" s="1" t="str">
        <f t="shared" si="9352"/>
        <v>0</v>
      </c>
      <c r="O4910" s="1" t="str">
        <f t="shared" si="9352"/>
        <v>0</v>
      </c>
      <c r="P4910" s="1" t="str">
        <f t="shared" si="9352"/>
        <v>0</v>
      </c>
      <c r="Q4910" s="1" t="str">
        <f t="shared" si="9274"/>
        <v>0.0070</v>
      </c>
      <c r="R4910" s="1" t="s">
        <v>25</v>
      </c>
      <c r="T4910" s="1" t="str">
        <f t="shared" si="9275"/>
        <v>0</v>
      </c>
      <c r="U4910" s="1" t="str">
        <f t="shared" si="9349"/>
        <v>0.0070</v>
      </c>
    </row>
    <row r="4911" s="1" customFormat="1" spans="1:21">
      <c r="A4911" s="1" t="str">
        <f>"4601992153736"</f>
        <v>4601992153736</v>
      </c>
      <c r="B4911" s="1" t="s">
        <v>4934</v>
      </c>
      <c r="C4911" s="1" t="s">
        <v>24</v>
      </c>
      <c r="D4911" s="1" t="str">
        <f t="shared" si="9271"/>
        <v>2021</v>
      </c>
      <c r="E4911" s="1" t="str">
        <f t="shared" ref="E4911:P4911" si="9353">"0"</f>
        <v>0</v>
      </c>
      <c r="F4911" s="1" t="str">
        <f t="shared" si="9353"/>
        <v>0</v>
      </c>
      <c r="G4911" s="1" t="str">
        <f t="shared" si="9353"/>
        <v>0</v>
      </c>
      <c r="H4911" s="1" t="str">
        <f t="shared" si="9353"/>
        <v>0</v>
      </c>
      <c r="I4911" s="1" t="str">
        <f t="shared" si="9353"/>
        <v>0</v>
      </c>
      <c r="J4911" s="1" t="str">
        <f t="shared" si="9353"/>
        <v>0</v>
      </c>
      <c r="K4911" s="1" t="str">
        <f t="shared" si="9353"/>
        <v>0</v>
      </c>
      <c r="L4911" s="1" t="str">
        <f t="shared" si="9353"/>
        <v>0</v>
      </c>
      <c r="M4911" s="1" t="str">
        <f t="shared" si="9353"/>
        <v>0</v>
      </c>
      <c r="N4911" s="1" t="str">
        <f t="shared" si="9353"/>
        <v>0</v>
      </c>
      <c r="O4911" s="1" t="str">
        <f t="shared" si="9353"/>
        <v>0</v>
      </c>
      <c r="P4911" s="1" t="str">
        <f t="shared" si="9353"/>
        <v>0</v>
      </c>
      <c r="Q4911" s="1" t="str">
        <f t="shared" si="9274"/>
        <v>0.0070</v>
      </c>
      <c r="R4911" s="1" t="s">
        <v>25</v>
      </c>
      <c r="T4911" s="1" t="str">
        <f t="shared" si="9275"/>
        <v>0</v>
      </c>
      <c r="U4911" s="1" t="str">
        <f t="shared" si="9349"/>
        <v>0.0070</v>
      </c>
    </row>
    <row r="4912" s="1" customFormat="1" spans="1:21">
      <c r="A4912" s="1" t="str">
        <f>"4601992153350"</f>
        <v>4601992153350</v>
      </c>
      <c r="B4912" s="1" t="s">
        <v>4935</v>
      </c>
      <c r="C4912" s="1" t="s">
        <v>24</v>
      </c>
      <c r="D4912" s="1" t="str">
        <f t="shared" si="9271"/>
        <v>2021</v>
      </c>
      <c r="E4912" s="1" t="str">
        <f t="shared" ref="E4912:I4912" si="9354">"0"</f>
        <v>0</v>
      </c>
      <c r="F4912" s="1" t="str">
        <f t="shared" si="9354"/>
        <v>0</v>
      </c>
      <c r="G4912" s="1" t="str">
        <f t="shared" si="9354"/>
        <v>0</v>
      </c>
      <c r="H4912" s="1" t="str">
        <f t="shared" si="9354"/>
        <v>0</v>
      </c>
      <c r="I4912" s="1" t="str">
        <f t="shared" si="9354"/>
        <v>0</v>
      </c>
      <c r="J4912" s="1" t="str">
        <f>"2"</f>
        <v>2</v>
      </c>
      <c r="K4912" s="1" t="str">
        <f t="shared" ref="K4912:P4912" si="9355">"0"</f>
        <v>0</v>
      </c>
      <c r="L4912" s="1" t="str">
        <f t="shared" si="9355"/>
        <v>0</v>
      </c>
      <c r="M4912" s="1" t="str">
        <f t="shared" si="9355"/>
        <v>0</v>
      </c>
      <c r="N4912" s="1" t="str">
        <f t="shared" si="9355"/>
        <v>0</v>
      </c>
      <c r="O4912" s="1" t="str">
        <f t="shared" si="9355"/>
        <v>0</v>
      </c>
      <c r="P4912" s="1" t="str">
        <f t="shared" si="9355"/>
        <v>0</v>
      </c>
      <c r="Q4912" s="1" t="str">
        <f t="shared" si="9274"/>
        <v>0.0070</v>
      </c>
      <c r="R4912" s="1" t="s">
        <v>25</v>
      </c>
      <c r="T4912" s="1" t="str">
        <f t="shared" si="9275"/>
        <v>0</v>
      </c>
      <c r="U4912" s="1" t="str">
        <f t="shared" si="9349"/>
        <v>0.0070</v>
      </c>
    </row>
    <row r="4913" s="1" customFormat="1" spans="1:21">
      <c r="A4913" s="1" t="str">
        <f>"4601992153745"</f>
        <v>4601992153745</v>
      </c>
      <c r="B4913" s="1" t="s">
        <v>4936</v>
      </c>
      <c r="C4913" s="1" t="s">
        <v>24</v>
      </c>
      <c r="D4913" s="1" t="str">
        <f t="shared" si="9271"/>
        <v>2021</v>
      </c>
      <c r="E4913" s="1" t="str">
        <f t="shared" ref="E4913:P4913" si="9356">"0"</f>
        <v>0</v>
      </c>
      <c r="F4913" s="1" t="str">
        <f t="shared" si="9356"/>
        <v>0</v>
      </c>
      <c r="G4913" s="1" t="str">
        <f t="shared" si="9356"/>
        <v>0</v>
      </c>
      <c r="H4913" s="1" t="str">
        <f t="shared" si="9356"/>
        <v>0</v>
      </c>
      <c r="I4913" s="1" t="str">
        <f t="shared" si="9356"/>
        <v>0</v>
      </c>
      <c r="J4913" s="1" t="str">
        <f t="shared" si="9356"/>
        <v>0</v>
      </c>
      <c r="K4913" s="1" t="str">
        <f t="shared" si="9356"/>
        <v>0</v>
      </c>
      <c r="L4913" s="1" t="str">
        <f t="shared" si="9356"/>
        <v>0</v>
      </c>
      <c r="M4913" s="1" t="str">
        <f t="shared" si="9356"/>
        <v>0</v>
      </c>
      <c r="N4913" s="1" t="str">
        <f t="shared" si="9356"/>
        <v>0</v>
      </c>
      <c r="O4913" s="1" t="str">
        <f t="shared" si="9356"/>
        <v>0</v>
      </c>
      <c r="P4913" s="1" t="str">
        <f t="shared" si="9356"/>
        <v>0</v>
      </c>
      <c r="Q4913" s="1" t="str">
        <f t="shared" si="9274"/>
        <v>0.0070</v>
      </c>
      <c r="R4913" s="1" t="s">
        <v>25</v>
      </c>
      <c r="T4913" s="1" t="str">
        <f t="shared" si="9275"/>
        <v>0</v>
      </c>
      <c r="U4913" s="1" t="str">
        <f t="shared" si="9349"/>
        <v>0.0070</v>
      </c>
    </row>
    <row r="4914" s="1" customFormat="1" spans="1:21">
      <c r="A4914" s="1" t="str">
        <f>"4601992153665"</f>
        <v>4601992153665</v>
      </c>
      <c r="B4914" s="1" t="s">
        <v>4937</v>
      </c>
      <c r="C4914" s="1" t="s">
        <v>24</v>
      </c>
      <c r="D4914" s="1" t="str">
        <f t="shared" si="9271"/>
        <v>2021</v>
      </c>
      <c r="E4914" s="1" t="str">
        <f t="shared" ref="E4914:I4914" si="9357">"0"</f>
        <v>0</v>
      </c>
      <c r="F4914" s="1" t="str">
        <f t="shared" si="9357"/>
        <v>0</v>
      </c>
      <c r="G4914" s="1" t="str">
        <f t="shared" si="9357"/>
        <v>0</v>
      </c>
      <c r="H4914" s="1" t="str">
        <f t="shared" si="9357"/>
        <v>0</v>
      </c>
      <c r="I4914" s="1" t="str">
        <f t="shared" si="9357"/>
        <v>0</v>
      </c>
      <c r="J4914" s="1" t="str">
        <f>"1"</f>
        <v>1</v>
      </c>
      <c r="K4914" s="1" t="str">
        <f t="shared" ref="K4914:P4914" si="9358">"0"</f>
        <v>0</v>
      </c>
      <c r="L4914" s="1" t="str">
        <f t="shared" si="9358"/>
        <v>0</v>
      </c>
      <c r="M4914" s="1" t="str">
        <f t="shared" si="9358"/>
        <v>0</v>
      </c>
      <c r="N4914" s="1" t="str">
        <f t="shared" si="9358"/>
        <v>0</v>
      </c>
      <c r="O4914" s="1" t="str">
        <f t="shared" si="9358"/>
        <v>0</v>
      </c>
      <c r="P4914" s="1" t="str">
        <f t="shared" si="9358"/>
        <v>0</v>
      </c>
      <c r="Q4914" s="1" t="str">
        <f t="shared" si="9274"/>
        <v>0.0070</v>
      </c>
      <c r="R4914" s="1" t="s">
        <v>25</v>
      </c>
      <c r="T4914" s="1" t="str">
        <f t="shared" si="9275"/>
        <v>0</v>
      </c>
      <c r="U4914" s="1" t="str">
        <f t="shared" si="9349"/>
        <v>0.0070</v>
      </c>
    </row>
    <row r="4915" s="1" customFormat="1" spans="1:21">
      <c r="A4915" s="1" t="str">
        <f>"4601992153785"</f>
        <v>4601992153785</v>
      </c>
      <c r="B4915" s="1" t="s">
        <v>4938</v>
      </c>
      <c r="C4915" s="1" t="s">
        <v>24</v>
      </c>
      <c r="D4915" s="1" t="str">
        <f t="shared" si="9271"/>
        <v>2021</v>
      </c>
      <c r="E4915" s="1" t="str">
        <f t="shared" ref="E4915:P4915" si="9359">"0"</f>
        <v>0</v>
      </c>
      <c r="F4915" s="1" t="str">
        <f t="shared" si="9359"/>
        <v>0</v>
      </c>
      <c r="G4915" s="1" t="str">
        <f t="shared" si="9359"/>
        <v>0</v>
      </c>
      <c r="H4915" s="1" t="str">
        <f t="shared" si="9359"/>
        <v>0</v>
      </c>
      <c r="I4915" s="1" t="str">
        <f t="shared" si="9359"/>
        <v>0</v>
      </c>
      <c r="J4915" s="1" t="str">
        <f t="shared" si="9359"/>
        <v>0</v>
      </c>
      <c r="K4915" s="1" t="str">
        <f t="shared" si="9359"/>
        <v>0</v>
      </c>
      <c r="L4915" s="1" t="str">
        <f t="shared" si="9359"/>
        <v>0</v>
      </c>
      <c r="M4915" s="1" t="str">
        <f t="shared" si="9359"/>
        <v>0</v>
      </c>
      <c r="N4915" s="1" t="str">
        <f t="shared" si="9359"/>
        <v>0</v>
      </c>
      <c r="O4915" s="1" t="str">
        <f t="shared" si="9359"/>
        <v>0</v>
      </c>
      <c r="P4915" s="1" t="str">
        <f t="shared" si="9359"/>
        <v>0</v>
      </c>
      <c r="Q4915" s="1" t="str">
        <f t="shared" si="9274"/>
        <v>0.0070</v>
      </c>
      <c r="R4915" s="1" t="s">
        <v>25</v>
      </c>
      <c r="T4915" s="1" t="str">
        <f t="shared" si="9275"/>
        <v>0</v>
      </c>
      <c r="U4915" s="1" t="str">
        <f t="shared" si="9349"/>
        <v>0.0070</v>
      </c>
    </row>
    <row r="4916" s="1" customFormat="1" spans="1:21">
      <c r="A4916" s="1" t="str">
        <f>"4601991419796"</f>
        <v>4601991419796</v>
      </c>
      <c r="B4916" s="1" t="s">
        <v>4939</v>
      </c>
      <c r="C4916" s="1" t="s">
        <v>24</v>
      </c>
      <c r="D4916" s="1" t="str">
        <f t="shared" si="9271"/>
        <v>2021</v>
      </c>
      <c r="E4916" s="1" t="str">
        <f>"44.47"</f>
        <v>44.47</v>
      </c>
      <c r="F4916" s="1" t="str">
        <f t="shared" ref="F4916:I4916" si="9360">"0"</f>
        <v>0</v>
      </c>
      <c r="G4916" s="1" t="str">
        <f t="shared" si="9360"/>
        <v>0</v>
      </c>
      <c r="H4916" s="1" t="str">
        <f t="shared" si="9360"/>
        <v>0</v>
      </c>
      <c r="I4916" s="1" t="str">
        <f t="shared" si="9360"/>
        <v>0</v>
      </c>
      <c r="J4916" s="1" t="str">
        <f>"4"</f>
        <v>4</v>
      </c>
      <c r="K4916" s="1" t="str">
        <f t="shared" ref="K4916:P4916" si="9361">"0"</f>
        <v>0</v>
      </c>
      <c r="L4916" s="1" t="str">
        <f t="shared" si="9361"/>
        <v>0</v>
      </c>
      <c r="M4916" s="1" t="str">
        <f t="shared" si="9361"/>
        <v>0</v>
      </c>
      <c r="N4916" s="1" t="str">
        <f t="shared" si="9361"/>
        <v>0</v>
      </c>
      <c r="O4916" s="1" t="str">
        <f t="shared" si="9361"/>
        <v>0</v>
      </c>
      <c r="P4916" s="1" t="str">
        <f t="shared" si="9361"/>
        <v>0</v>
      </c>
      <c r="Q4916" s="1" t="str">
        <f t="shared" si="9274"/>
        <v>0.0070</v>
      </c>
      <c r="R4916" s="1" t="s">
        <v>29</v>
      </c>
      <c r="S4916" s="1">
        <v>-0.0014</v>
      </c>
      <c r="T4916" s="1" t="str">
        <f t="shared" si="9275"/>
        <v>0</v>
      </c>
      <c r="U4916" s="1" t="str">
        <f>"0.0056"</f>
        <v>0.0056</v>
      </c>
    </row>
    <row r="4917" s="1" customFormat="1" spans="1:21">
      <c r="A4917" s="1" t="str">
        <f>"4601992153753"</f>
        <v>4601992153753</v>
      </c>
      <c r="B4917" s="1" t="s">
        <v>4940</v>
      </c>
      <c r="C4917" s="1" t="s">
        <v>24</v>
      </c>
      <c r="D4917" s="1" t="str">
        <f t="shared" si="9271"/>
        <v>2021</v>
      </c>
      <c r="E4917" s="1" t="str">
        <f t="shared" ref="E4917:I4917" si="9362">"0"</f>
        <v>0</v>
      </c>
      <c r="F4917" s="1" t="str">
        <f t="shared" si="9362"/>
        <v>0</v>
      </c>
      <c r="G4917" s="1" t="str">
        <f t="shared" si="9362"/>
        <v>0</v>
      </c>
      <c r="H4917" s="1" t="str">
        <f t="shared" si="9362"/>
        <v>0</v>
      </c>
      <c r="I4917" s="1" t="str">
        <f t="shared" si="9362"/>
        <v>0</v>
      </c>
      <c r="J4917" s="1" t="str">
        <f>"6"</f>
        <v>6</v>
      </c>
      <c r="K4917" s="1" t="str">
        <f t="shared" ref="K4917:P4917" si="9363">"0"</f>
        <v>0</v>
      </c>
      <c r="L4917" s="1" t="str">
        <f t="shared" si="9363"/>
        <v>0</v>
      </c>
      <c r="M4917" s="1" t="str">
        <f t="shared" si="9363"/>
        <v>0</v>
      </c>
      <c r="N4917" s="1" t="str">
        <f t="shared" si="9363"/>
        <v>0</v>
      </c>
      <c r="O4917" s="1" t="str">
        <f t="shared" si="9363"/>
        <v>0</v>
      </c>
      <c r="P4917" s="1" t="str">
        <f t="shared" si="9363"/>
        <v>0</v>
      </c>
      <c r="Q4917" s="1" t="str">
        <f t="shared" si="9274"/>
        <v>0.0070</v>
      </c>
      <c r="R4917" s="1" t="s">
        <v>25</v>
      </c>
      <c r="T4917" s="1" t="str">
        <f t="shared" si="9275"/>
        <v>0</v>
      </c>
      <c r="U4917" s="1" t="str">
        <f t="shared" ref="U4917:U4919" si="9364">"0.0070"</f>
        <v>0.0070</v>
      </c>
    </row>
    <row r="4918" s="1" customFormat="1" spans="1:21">
      <c r="A4918" s="1" t="str">
        <f>"4601992035881"</f>
        <v>4601992035881</v>
      </c>
      <c r="B4918" s="1" t="s">
        <v>4941</v>
      </c>
      <c r="C4918" s="1" t="s">
        <v>24</v>
      </c>
      <c r="D4918" s="1" t="str">
        <f t="shared" si="9271"/>
        <v>2021</v>
      </c>
      <c r="E4918" s="1" t="str">
        <f t="shared" ref="E4918:I4918" si="9365">"0"</f>
        <v>0</v>
      </c>
      <c r="F4918" s="1" t="str">
        <f t="shared" si="9365"/>
        <v>0</v>
      </c>
      <c r="G4918" s="1" t="str">
        <f t="shared" si="9365"/>
        <v>0</v>
      </c>
      <c r="H4918" s="1" t="str">
        <f t="shared" si="9365"/>
        <v>0</v>
      </c>
      <c r="I4918" s="1" t="str">
        <f t="shared" si="9365"/>
        <v>0</v>
      </c>
      <c r="J4918" s="1" t="str">
        <f>"2"</f>
        <v>2</v>
      </c>
      <c r="K4918" s="1" t="str">
        <f t="shared" ref="K4918:P4918" si="9366">"0"</f>
        <v>0</v>
      </c>
      <c r="L4918" s="1" t="str">
        <f t="shared" si="9366"/>
        <v>0</v>
      </c>
      <c r="M4918" s="1" t="str">
        <f t="shared" si="9366"/>
        <v>0</v>
      </c>
      <c r="N4918" s="1" t="str">
        <f t="shared" si="9366"/>
        <v>0</v>
      </c>
      <c r="O4918" s="1" t="str">
        <f t="shared" si="9366"/>
        <v>0</v>
      </c>
      <c r="P4918" s="1" t="str">
        <f t="shared" si="9366"/>
        <v>0</v>
      </c>
      <c r="Q4918" s="1" t="str">
        <f t="shared" si="9274"/>
        <v>0.0070</v>
      </c>
      <c r="R4918" s="1" t="s">
        <v>25</v>
      </c>
      <c r="T4918" s="1" t="str">
        <f t="shared" si="9275"/>
        <v>0</v>
      </c>
      <c r="U4918" s="1" t="str">
        <f t="shared" si="9364"/>
        <v>0.0070</v>
      </c>
    </row>
    <row r="4919" s="1" customFormat="1" spans="1:21">
      <c r="A4919" s="1" t="str">
        <f>"4601992155858"</f>
        <v>4601992155858</v>
      </c>
      <c r="B4919" s="1" t="s">
        <v>4942</v>
      </c>
      <c r="C4919" s="1" t="s">
        <v>24</v>
      </c>
      <c r="D4919" s="1" t="str">
        <f t="shared" si="9271"/>
        <v>2021</v>
      </c>
      <c r="E4919" s="1" t="str">
        <f t="shared" ref="E4919:I4919" si="9367">"0"</f>
        <v>0</v>
      </c>
      <c r="F4919" s="1" t="str">
        <f t="shared" si="9367"/>
        <v>0</v>
      </c>
      <c r="G4919" s="1" t="str">
        <f t="shared" si="9367"/>
        <v>0</v>
      </c>
      <c r="H4919" s="1" t="str">
        <f t="shared" si="9367"/>
        <v>0</v>
      </c>
      <c r="I4919" s="1" t="str">
        <f t="shared" si="9367"/>
        <v>0</v>
      </c>
      <c r="J4919" s="1" t="str">
        <f>"4"</f>
        <v>4</v>
      </c>
      <c r="K4919" s="1" t="str">
        <f t="shared" ref="K4919:P4919" si="9368">"0"</f>
        <v>0</v>
      </c>
      <c r="L4919" s="1" t="str">
        <f t="shared" si="9368"/>
        <v>0</v>
      </c>
      <c r="M4919" s="1" t="str">
        <f t="shared" si="9368"/>
        <v>0</v>
      </c>
      <c r="N4919" s="1" t="str">
        <f t="shared" si="9368"/>
        <v>0</v>
      </c>
      <c r="O4919" s="1" t="str">
        <f t="shared" si="9368"/>
        <v>0</v>
      </c>
      <c r="P4919" s="1" t="str">
        <f t="shared" si="9368"/>
        <v>0</v>
      </c>
      <c r="Q4919" s="1" t="str">
        <f t="shared" si="9274"/>
        <v>0.0070</v>
      </c>
      <c r="R4919" s="1" t="s">
        <v>25</v>
      </c>
      <c r="T4919" s="1" t="str">
        <f t="shared" si="9275"/>
        <v>0</v>
      </c>
      <c r="U4919" s="1" t="str">
        <f t="shared" si="9364"/>
        <v>0.0070</v>
      </c>
    </row>
    <row r="4920" s="1" customFormat="1" spans="1:21">
      <c r="A4920" s="1" t="str">
        <f>"4601992015277"</f>
        <v>4601992015277</v>
      </c>
      <c r="B4920" s="1" t="s">
        <v>4943</v>
      </c>
      <c r="C4920" s="1" t="s">
        <v>24</v>
      </c>
      <c r="D4920" s="1" t="str">
        <f t="shared" si="9271"/>
        <v>2021</v>
      </c>
      <c r="E4920" s="1" t="str">
        <f>"95.45"</f>
        <v>95.45</v>
      </c>
      <c r="F4920" s="1" t="str">
        <f t="shared" ref="F4920:I4920" si="9369">"0"</f>
        <v>0</v>
      </c>
      <c r="G4920" s="1" t="str">
        <f t="shared" si="9369"/>
        <v>0</v>
      </c>
      <c r="H4920" s="1" t="str">
        <f t="shared" si="9369"/>
        <v>0</v>
      </c>
      <c r="I4920" s="1" t="str">
        <f t="shared" si="9369"/>
        <v>0</v>
      </c>
      <c r="J4920" s="1" t="str">
        <f>"7"</f>
        <v>7</v>
      </c>
      <c r="K4920" s="1" t="str">
        <f t="shared" ref="K4920:P4920" si="9370">"0"</f>
        <v>0</v>
      </c>
      <c r="L4920" s="1" t="str">
        <f t="shared" si="9370"/>
        <v>0</v>
      </c>
      <c r="M4920" s="1" t="str">
        <f t="shared" si="9370"/>
        <v>0</v>
      </c>
      <c r="N4920" s="1" t="str">
        <f t="shared" si="9370"/>
        <v>0</v>
      </c>
      <c r="O4920" s="1" t="str">
        <f t="shared" si="9370"/>
        <v>0</v>
      </c>
      <c r="P4920" s="1" t="str">
        <f t="shared" si="9370"/>
        <v>0</v>
      </c>
      <c r="Q4920" s="1" t="str">
        <f t="shared" si="9274"/>
        <v>0.0070</v>
      </c>
      <c r="R4920" s="1" t="s">
        <v>29</v>
      </c>
      <c r="S4920" s="1">
        <v>-0.0014</v>
      </c>
      <c r="T4920" s="1" t="str">
        <f t="shared" si="9275"/>
        <v>0</v>
      </c>
      <c r="U4920" s="1" t="str">
        <f t="shared" ref="U4920:U4923" si="9371">"0.0056"</f>
        <v>0.0056</v>
      </c>
    </row>
    <row r="4921" s="1" customFormat="1" spans="1:21">
      <c r="A4921" s="1" t="str">
        <f>"4601992156064"</f>
        <v>4601992156064</v>
      </c>
      <c r="B4921" s="1" t="s">
        <v>4944</v>
      </c>
      <c r="C4921" s="1" t="s">
        <v>24</v>
      </c>
      <c r="D4921" s="1" t="str">
        <f t="shared" si="9271"/>
        <v>2021</v>
      </c>
      <c r="E4921" s="1" t="str">
        <f t="shared" ref="E4921:P4921" si="9372">"0"</f>
        <v>0</v>
      </c>
      <c r="F4921" s="1" t="str">
        <f t="shared" si="9372"/>
        <v>0</v>
      </c>
      <c r="G4921" s="1" t="str">
        <f t="shared" si="9372"/>
        <v>0</v>
      </c>
      <c r="H4921" s="1" t="str">
        <f t="shared" si="9372"/>
        <v>0</v>
      </c>
      <c r="I4921" s="1" t="str">
        <f t="shared" si="9372"/>
        <v>0</v>
      </c>
      <c r="J4921" s="1" t="str">
        <f t="shared" si="9372"/>
        <v>0</v>
      </c>
      <c r="K4921" s="1" t="str">
        <f t="shared" si="9372"/>
        <v>0</v>
      </c>
      <c r="L4921" s="1" t="str">
        <f t="shared" si="9372"/>
        <v>0</v>
      </c>
      <c r="M4921" s="1" t="str">
        <f t="shared" si="9372"/>
        <v>0</v>
      </c>
      <c r="N4921" s="1" t="str">
        <f t="shared" si="9372"/>
        <v>0</v>
      </c>
      <c r="O4921" s="1" t="str">
        <f t="shared" si="9372"/>
        <v>0</v>
      </c>
      <c r="P4921" s="1" t="str">
        <f t="shared" si="9372"/>
        <v>0</v>
      </c>
      <c r="Q4921" s="1" t="str">
        <f t="shared" si="9274"/>
        <v>0.0070</v>
      </c>
      <c r="R4921" s="1" t="s">
        <v>25</v>
      </c>
      <c r="T4921" s="1" t="str">
        <f t="shared" si="9275"/>
        <v>0</v>
      </c>
      <c r="U4921" s="1" t="str">
        <f t="shared" ref="U4921:U4932" si="9373">"0.0070"</f>
        <v>0.0070</v>
      </c>
    </row>
    <row r="4922" s="1" customFormat="1" spans="1:21">
      <c r="A4922" s="1" t="str">
        <f>"4601992156313"</f>
        <v>4601992156313</v>
      </c>
      <c r="B4922" s="1" t="s">
        <v>4945</v>
      </c>
      <c r="C4922" s="1" t="s">
        <v>24</v>
      </c>
      <c r="D4922" s="1" t="str">
        <f t="shared" si="9271"/>
        <v>2021</v>
      </c>
      <c r="E4922" s="1" t="str">
        <f>"16.97"</f>
        <v>16.97</v>
      </c>
      <c r="F4922" s="1" t="str">
        <f t="shared" ref="F4922:I4922" si="9374">"0"</f>
        <v>0</v>
      </c>
      <c r="G4922" s="1" t="str">
        <f t="shared" si="9374"/>
        <v>0</v>
      </c>
      <c r="H4922" s="1" t="str">
        <f t="shared" si="9374"/>
        <v>0</v>
      </c>
      <c r="I4922" s="1" t="str">
        <f t="shared" si="9374"/>
        <v>0</v>
      </c>
      <c r="J4922" s="1" t="str">
        <f>"2"</f>
        <v>2</v>
      </c>
      <c r="K4922" s="1" t="str">
        <f t="shared" ref="K4922:P4922" si="9375">"0"</f>
        <v>0</v>
      </c>
      <c r="L4922" s="1" t="str">
        <f t="shared" si="9375"/>
        <v>0</v>
      </c>
      <c r="M4922" s="1" t="str">
        <f t="shared" si="9375"/>
        <v>0</v>
      </c>
      <c r="N4922" s="1" t="str">
        <f t="shared" si="9375"/>
        <v>0</v>
      </c>
      <c r="O4922" s="1" t="str">
        <f t="shared" si="9375"/>
        <v>0</v>
      </c>
      <c r="P4922" s="1" t="str">
        <f t="shared" si="9375"/>
        <v>0</v>
      </c>
      <c r="Q4922" s="1" t="str">
        <f t="shared" si="9274"/>
        <v>0.0070</v>
      </c>
      <c r="R4922" s="1" t="s">
        <v>29</v>
      </c>
      <c r="S4922" s="1">
        <v>-0.0014</v>
      </c>
      <c r="T4922" s="1" t="str">
        <f t="shared" si="9275"/>
        <v>0</v>
      </c>
      <c r="U4922" s="1" t="str">
        <f t="shared" si="9371"/>
        <v>0.0056</v>
      </c>
    </row>
    <row r="4923" s="1" customFormat="1" spans="1:21">
      <c r="A4923" s="1" t="str">
        <f>"4601991407552"</f>
        <v>4601991407552</v>
      </c>
      <c r="B4923" s="1" t="s">
        <v>4946</v>
      </c>
      <c r="C4923" s="1" t="s">
        <v>24</v>
      </c>
      <c r="D4923" s="1" t="str">
        <f t="shared" si="9271"/>
        <v>2021</v>
      </c>
      <c r="E4923" s="1" t="str">
        <f>"1276.44"</f>
        <v>1276.44</v>
      </c>
      <c r="F4923" s="1" t="str">
        <f t="shared" ref="F4923:I4923" si="9376">"0"</f>
        <v>0</v>
      </c>
      <c r="G4923" s="1" t="str">
        <f t="shared" si="9376"/>
        <v>0</v>
      </c>
      <c r="H4923" s="1" t="str">
        <f t="shared" si="9376"/>
        <v>0</v>
      </c>
      <c r="I4923" s="1" t="str">
        <f t="shared" si="9376"/>
        <v>0</v>
      </c>
      <c r="J4923" s="1" t="str">
        <f>"11"</f>
        <v>11</v>
      </c>
      <c r="K4923" s="1" t="str">
        <f t="shared" ref="K4923:P4923" si="9377">"0"</f>
        <v>0</v>
      </c>
      <c r="L4923" s="1" t="str">
        <f t="shared" si="9377"/>
        <v>0</v>
      </c>
      <c r="M4923" s="1" t="str">
        <f t="shared" si="9377"/>
        <v>0</v>
      </c>
      <c r="N4923" s="1" t="str">
        <f t="shared" si="9377"/>
        <v>0</v>
      </c>
      <c r="O4923" s="1" t="str">
        <f t="shared" si="9377"/>
        <v>0</v>
      </c>
      <c r="P4923" s="1" t="str">
        <f t="shared" si="9377"/>
        <v>0</v>
      </c>
      <c r="Q4923" s="1" t="str">
        <f t="shared" si="9274"/>
        <v>0.0070</v>
      </c>
      <c r="R4923" s="1" t="s">
        <v>29</v>
      </c>
      <c r="S4923" s="1">
        <v>-0.0014</v>
      </c>
      <c r="T4923" s="1" t="str">
        <f t="shared" si="9275"/>
        <v>0</v>
      </c>
      <c r="U4923" s="1" t="str">
        <f t="shared" si="9371"/>
        <v>0.0056</v>
      </c>
    </row>
    <row r="4924" s="1" customFormat="1" spans="1:21">
      <c r="A4924" s="1" t="str">
        <f>"4601992156370"</f>
        <v>4601992156370</v>
      </c>
      <c r="B4924" s="1" t="s">
        <v>4947</v>
      </c>
      <c r="C4924" s="1" t="s">
        <v>24</v>
      </c>
      <c r="D4924" s="1" t="str">
        <f t="shared" si="9271"/>
        <v>2021</v>
      </c>
      <c r="E4924" s="1" t="str">
        <f t="shared" ref="E4924:I4924" si="9378">"0"</f>
        <v>0</v>
      </c>
      <c r="F4924" s="1" t="str">
        <f t="shared" si="9378"/>
        <v>0</v>
      </c>
      <c r="G4924" s="1" t="str">
        <f t="shared" si="9378"/>
        <v>0</v>
      </c>
      <c r="H4924" s="1" t="str">
        <f t="shared" si="9378"/>
        <v>0</v>
      </c>
      <c r="I4924" s="1" t="str">
        <f t="shared" si="9378"/>
        <v>0</v>
      </c>
      <c r="J4924" s="1" t="str">
        <f>"1"</f>
        <v>1</v>
      </c>
      <c r="K4924" s="1" t="str">
        <f t="shared" ref="K4924:P4924" si="9379">"0"</f>
        <v>0</v>
      </c>
      <c r="L4924" s="1" t="str">
        <f t="shared" si="9379"/>
        <v>0</v>
      </c>
      <c r="M4924" s="1" t="str">
        <f t="shared" si="9379"/>
        <v>0</v>
      </c>
      <c r="N4924" s="1" t="str">
        <f t="shared" si="9379"/>
        <v>0</v>
      </c>
      <c r="O4924" s="1" t="str">
        <f t="shared" si="9379"/>
        <v>0</v>
      </c>
      <c r="P4924" s="1" t="str">
        <f t="shared" si="9379"/>
        <v>0</v>
      </c>
      <c r="Q4924" s="1" t="str">
        <f t="shared" si="9274"/>
        <v>0.0070</v>
      </c>
      <c r="R4924" s="1" t="s">
        <v>25</v>
      </c>
      <c r="T4924" s="1" t="str">
        <f t="shared" si="9275"/>
        <v>0</v>
      </c>
      <c r="U4924" s="1" t="str">
        <f t="shared" si="9373"/>
        <v>0.0070</v>
      </c>
    </row>
    <row r="4925" s="1" customFormat="1" spans="1:21">
      <c r="A4925" s="1" t="str">
        <f>"4601992156349"</f>
        <v>4601992156349</v>
      </c>
      <c r="B4925" s="1" t="s">
        <v>4948</v>
      </c>
      <c r="C4925" s="1" t="s">
        <v>24</v>
      </c>
      <c r="D4925" s="1" t="str">
        <f t="shared" si="9271"/>
        <v>2021</v>
      </c>
      <c r="E4925" s="1" t="str">
        <f t="shared" ref="E4925:I4925" si="9380">"0"</f>
        <v>0</v>
      </c>
      <c r="F4925" s="1" t="str">
        <f t="shared" si="9380"/>
        <v>0</v>
      </c>
      <c r="G4925" s="1" t="str">
        <f t="shared" si="9380"/>
        <v>0</v>
      </c>
      <c r="H4925" s="1" t="str">
        <f t="shared" si="9380"/>
        <v>0</v>
      </c>
      <c r="I4925" s="1" t="str">
        <f t="shared" si="9380"/>
        <v>0</v>
      </c>
      <c r="J4925" s="1" t="str">
        <f t="shared" ref="J4925:J4930" si="9381">"3"</f>
        <v>3</v>
      </c>
      <c r="K4925" s="1" t="str">
        <f t="shared" ref="K4925:P4925" si="9382">"0"</f>
        <v>0</v>
      </c>
      <c r="L4925" s="1" t="str">
        <f t="shared" si="9382"/>
        <v>0</v>
      </c>
      <c r="M4925" s="1" t="str">
        <f t="shared" si="9382"/>
        <v>0</v>
      </c>
      <c r="N4925" s="1" t="str">
        <f t="shared" si="9382"/>
        <v>0</v>
      </c>
      <c r="O4925" s="1" t="str">
        <f t="shared" si="9382"/>
        <v>0</v>
      </c>
      <c r="P4925" s="1" t="str">
        <f t="shared" si="9382"/>
        <v>0</v>
      </c>
      <c r="Q4925" s="1" t="str">
        <f t="shared" si="9274"/>
        <v>0.0070</v>
      </c>
      <c r="R4925" s="1" t="s">
        <v>25</v>
      </c>
      <c r="T4925" s="1" t="str">
        <f t="shared" si="9275"/>
        <v>0</v>
      </c>
      <c r="U4925" s="1" t="str">
        <f t="shared" si="9373"/>
        <v>0.0070</v>
      </c>
    </row>
    <row r="4926" s="1" customFormat="1" spans="1:21">
      <c r="A4926" s="1" t="str">
        <f>"4601992156409"</f>
        <v>4601992156409</v>
      </c>
      <c r="B4926" s="1" t="s">
        <v>4949</v>
      </c>
      <c r="C4926" s="1" t="s">
        <v>24</v>
      </c>
      <c r="D4926" s="1" t="str">
        <f t="shared" si="9271"/>
        <v>2021</v>
      </c>
      <c r="E4926" s="1" t="str">
        <f t="shared" ref="E4926:I4926" si="9383">"0"</f>
        <v>0</v>
      </c>
      <c r="F4926" s="1" t="str">
        <f t="shared" si="9383"/>
        <v>0</v>
      </c>
      <c r="G4926" s="1" t="str">
        <f t="shared" si="9383"/>
        <v>0</v>
      </c>
      <c r="H4926" s="1" t="str">
        <f t="shared" si="9383"/>
        <v>0</v>
      </c>
      <c r="I4926" s="1" t="str">
        <f t="shared" si="9383"/>
        <v>0</v>
      </c>
      <c r="J4926" s="1" t="str">
        <f>"4"</f>
        <v>4</v>
      </c>
      <c r="K4926" s="1" t="str">
        <f t="shared" ref="K4926:P4926" si="9384">"0"</f>
        <v>0</v>
      </c>
      <c r="L4926" s="1" t="str">
        <f t="shared" si="9384"/>
        <v>0</v>
      </c>
      <c r="M4926" s="1" t="str">
        <f t="shared" si="9384"/>
        <v>0</v>
      </c>
      <c r="N4926" s="1" t="str">
        <f t="shared" si="9384"/>
        <v>0</v>
      </c>
      <c r="O4926" s="1" t="str">
        <f t="shared" si="9384"/>
        <v>0</v>
      </c>
      <c r="P4926" s="1" t="str">
        <f t="shared" si="9384"/>
        <v>0</v>
      </c>
      <c r="Q4926" s="1" t="str">
        <f t="shared" si="9274"/>
        <v>0.0070</v>
      </c>
      <c r="R4926" s="1" t="s">
        <v>25</v>
      </c>
      <c r="T4926" s="1" t="str">
        <f t="shared" si="9275"/>
        <v>0</v>
      </c>
      <c r="U4926" s="1" t="str">
        <f t="shared" si="9373"/>
        <v>0.0070</v>
      </c>
    </row>
    <row r="4927" s="1" customFormat="1" spans="1:21">
      <c r="A4927" s="1" t="str">
        <f>"4601992156376"</f>
        <v>4601992156376</v>
      </c>
      <c r="B4927" s="1" t="s">
        <v>4950</v>
      </c>
      <c r="C4927" s="1" t="s">
        <v>24</v>
      </c>
      <c r="D4927" s="1" t="str">
        <f t="shared" si="9271"/>
        <v>2021</v>
      </c>
      <c r="E4927" s="1" t="str">
        <f t="shared" ref="E4927:I4927" si="9385">"0"</f>
        <v>0</v>
      </c>
      <c r="F4927" s="1" t="str">
        <f t="shared" si="9385"/>
        <v>0</v>
      </c>
      <c r="G4927" s="1" t="str">
        <f t="shared" si="9385"/>
        <v>0</v>
      </c>
      <c r="H4927" s="1" t="str">
        <f t="shared" si="9385"/>
        <v>0</v>
      </c>
      <c r="I4927" s="1" t="str">
        <f t="shared" si="9385"/>
        <v>0</v>
      </c>
      <c r="J4927" s="1" t="str">
        <f t="shared" si="9381"/>
        <v>3</v>
      </c>
      <c r="K4927" s="1" t="str">
        <f t="shared" ref="K4927:P4927" si="9386">"0"</f>
        <v>0</v>
      </c>
      <c r="L4927" s="1" t="str">
        <f t="shared" si="9386"/>
        <v>0</v>
      </c>
      <c r="M4927" s="1" t="str">
        <f t="shared" si="9386"/>
        <v>0</v>
      </c>
      <c r="N4927" s="1" t="str">
        <f t="shared" si="9386"/>
        <v>0</v>
      </c>
      <c r="O4927" s="1" t="str">
        <f t="shared" si="9386"/>
        <v>0</v>
      </c>
      <c r="P4927" s="1" t="str">
        <f t="shared" si="9386"/>
        <v>0</v>
      </c>
      <c r="Q4927" s="1" t="str">
        <f t="shared" si="9274"/>
        <v>0.0070</v>
      </c>
      <c r="R4927" s="1" t="s">
        <v>25</v>
      </c>
      <c r="T4927" s="1" t="str">
        <f t="shared" si="9275"/>
        <v>0</v>
      </c>
      <c r="U4927" s="1" t="str">
        <f t="shared" si="9373"/>
        <v>0.0070</v>
      </c>
    </row>
    <row r="4928" s="1" customFormat="1" spans="1:21">
      <c r="A4928" s="1" t="str">
        <f>"4601992156441"</f>
        <v>4601992156441</v>
      </c>
      <c r="B4928" s="1" t="s">
        <v>4951</v>
      </c>
      <c r="C4928" s="1" t="s">
        <v>24</v>
      </c>
      <c r="D4928" s="1" t="str">
        <f t="shared" si="9271"/>
        <v>2021</v>
      </c>
      <c r="E4928" s="1" t="str">
        <f t="shared" ref="E4928:I4928" si="9387">"0"</f>
        <v>0</v>
      </c>
      <c r="F4928" s="1" t="str">
        <f t="shared" si="9387"/>
        <v>0</v>
      </c>
      <c r="G4928" s="1" t="str">
        <f t="shared" si="9387"/>
        <v>0</v>
      </c>
      <c r="H4928" s="1" t="str">
        <f t="shared" si="9387"/>
        <v>0</v>
      </c>
      <c r="I4928" s="1" t="str">
        <f t="shared" si="9387"/>
        <v>0</v>
      </c>
      <c r="J4928" s="1" t="str">
        <f>"25"</f>
        <v>25</v>
      </c>
      <c r="K4928" s="1" t="str">
        <f t="shared" ref="K4928:P4928" si="9388">"0"</f>
        <v>0</v>
      </c>
      <c r="L4928" s="1" t="str">
        <f t="shared" si="9388"/>
        <v>0</v>
      </c>
      <c r="M4928" s="1" t="str">
        <f t="shared" si="9388"/>
        <v>0</v>
      </c>
      <c r="N4928" s="1" t="str">
        <f t="shared" si="9388"/>
        <v>0</v>
      </c>
      <c r="O4928" s="1" t="str">
        <f t="shared" si="9388"/>
        <v>0</v>
      </c>
      <c r="P4928" s="1" t="str">
        <f t="shared" si="9388"/>
        <v>0</v>
      </c>
      <c r="Q4928" s="1" t="str">
        <f t="shared" si="9274"/>
        <v>0.0070</v>
      </c>
      <c r="R4928" s="1" t="s">
        <v>25</v>
      </c>
      <c r="T4928" s="1" t="str">
        <f t="shared" si="9275"/>
        <v>0</v>
      </c>
      <c r="U4928" s="1" t="str">
        <f t="shared" si="9373"/>
        <v>0.0070</v>
      </c>
    </row>
    <row r="4929" s="1" customFormat="1" spans="1:21">
      <c r="A4929" s="1" t="str">
        <f>"4601992156451"</f>
        <v>4601992156451</v>
      </c>
      <c r="B4929" s="1" t="s">
        <v>4952</v>
      </c>
      <c r="C4929" s="1" t="s">
        <v>24</v>
      </c>
      <c r="D4929" s="1" t="str">
        <f t="shared" si="9271"/>
        <v>2021</v>
      </c>
      <c r="E4929" s="1" t="str">
        <f t="shared" ref="E4929:P4929" si="9389">"0"</f>
        <v>0</v>
      </c>
      <c r="F4929" s="1" t="str">
        <f t="shared" si="9389"/>
        <v>0</v>
      </c>
      <c r="G4929" s="1" t="str">
        <f t="shared" si="9389"/>
        <v>0</v>
      </c>
      <c r="H4929" s="1" t="str">
        <f t="shared" si="9389"/>
        <v>0</v>
      </c>
      <c r="I4929" s="1" t="str">
        <f t="shared" si="9389"/>
        <v>0</v>
      </c>
      <c r="J4929" s="1" t="str">
        <f t="shared" si="9389"/>
        <v>0</v>
      </c>
      <c r="K4929" s="1" t="str">
        <f t="shared" si="9389"/>
        <v>0</v>
      </c>
      <c r="L4929" s="1" t="str">
        <f t="shared" si="9389"/>
        <v>0</v>
      </c>
      <c r="M4929" s="1" t="str">
        <f t="shared" si="9389"/>
        <v>0</v>
      </c>
      <c r="N4929" s="1" t="str">
        <f t="shared" si="9389"/>
        <v>0</v>
      </c>
      <c r="O4929" s="1" t="str">
        <f t="shared" si="9389"/>
        <v>0</v>
      </c>
      <c r="P4929" s="1" t="str">
        <f t="shared" si="9389"/>
        <v>0</v>
      </c>
      <c r="Q4929" s="1" t="str">
        <f t="shared" si="9274"/>
        <v>0.0070</v>
      </c>
      <c r="R4929" s="1" t="s">
        <v>25</v>
      </c>
      <c r="T4929" s="1" t="str">
        <f t="shared" si="9275"/>
        <v>0</v>
      </c>
      <c r="U4929" s="1" t="str">
        <f t="shared" si="9373"/>
        <v>0.0070</v>
      </c>
    </row>
    <row r="4930" s="1" customFormat="1" spans="1:21">
      <c r="A4930" s="1" t="str">
        <f>"4601992156435"</f>
        <v>4601992156435</v>
      </c>
      <c r="B4930" s="1" t="s">
        <v>4953</v>
      </c>
      <c r="C4930" s="1" t="s">
        <v>24</v>
      </c>
      <c r="D4930" s="1" t="str">
        <f t="shared" si="9271"/>
        <v>2021</v>
      </c>
      <c r="E4930" s="1" t="str">
        <f t="shared" ref="E4930:I4930" si="9390">"0"</f>
        <v>0</v>
      </c>
      <c r="F4930" s="1" t="str">
        <f t="shared" si="9390"/>
        <v>0</v>
      </c>
      <c r="G4930" s="1" t="str">
        <f t="shared" si="9390"/>
        <v>0</v>
      </c>
      <c r="H4930" s="1" t="str">
        <f t="shared" si="9390"/>
        <v>0</v>
      </c>
      <c r="I4930" s="1" t="str">
        <f t="shared" si="9390"/>
        <v>0</v>
      </c>
      <c r="J4930" s="1" t="str">
        <f t="shared" si="9381"/>
        <v>3</v>
      </c>
      <c r="K4930" s="1" t="str">
        <f t="shared" ref="K4930:P4930" si="9391">"0"</f>
        <v>0</v>
      </c>
      <c r="L4930" s="1" t="str">
        <f t="shared" si="9391"/>
        <v>0</v>
      </c>
      <c r="M4930" s="1" t="str">
        <f t="shared" si="9391"/>
        <v>0</v>
      </c>
      <c r="N4930" s="1" t="str">
        <f t="shared" si="9391"/>
        <v>0</v>
      </c>
      <c r="O4930" s="1" t="str">
        <f t="shared" si="9391"/>
        <v>0</v>
      </c>
      <c r="P4930" s="1" t="str">
        <f t="shared" si="9391"/>
        <v>0</v>
      </c>
      <c r="Q4930" s="1" t="str">
        <f t="shared" si="9274"/>
        <v>0.0070</v>
      </c>
      <c r="R4930" s="1" t="s">
        <v>25</v>
      </c>
      <c r="T4930" s="1" t="str">
        <f t="shared" si="9275"/>
        <v>0</v>
      </c>
      <c r="U4930" s="1" t="str">
        <f t="shared" si="9373"/>
        <v>0.0070</v>
      </c>
    </row>
    <row r="4931" s="1" customFormat="1" spans="1:21">
      <c r="A4931" s="1" t="str">
        <f>"4601992156476"</f>
        <v>4601992156476</v>
      </c>
      <c r="B4931" s="1" t="s">
        <v>4954</v>
      </c>
      <c r="C4931" s="1" t="s">
        <v>24</v>
      </c>
      <c r="D4931" s="1" t="str">
        <f t="shared" ref="D4931:D4994" si="9392">"2021"</f>
        <v>2021</v>
      </c>
      <c r="E4931" s="1" t="str">
        <f t="shared" ref="E4931:I4931" si="9393">"0"</f>
        <v>0</v>
      </c>
      <c r="F4931" s="1" t="str">
        <f t="shared" si="9393"/>
        <v>0</v>
      </c>
      <c r="G4931" s="1" t="str">
        <f t="shared" si="9393"/>
        <v>0</v>
      </c>
      <c r="H4931" s="1" t="str">
        <f t="shared" si="9393"/>
        <v>0</v>
      </c>
      <c r="I4931" s="1" t="str">
        <f t="shared" si="9393"/>
        <v>0</v>
      </c>
      <c r="J4931" s="1" t="str">
        <f t="shared" ref="J4931:J4935" si="9394">"2"</f>
        <v>2</v>
      </c>
      <c r="K4931" s="1" t="str">
        <f t="shared" ref="K4931:P4931" si="9395">"0"</f>
        <v>0</v>
      </c>
      <c r="L4931" s="1" t="str">
        <f t="shared" si="9395"/>
        <v>0</v>
      </c>
      <c r="M4931" s="1" t="str">
        <f t="shared" si="9395"/>
        <v>0</v>
      </c>
      <c r="N4931" s="1" t="str">
        <f t="shared" si="9395"/>
        <v>0</v>
      </c>
      <c r="O4931" s="1" t="str">
        <f t="shared" si="9395"/>
        <v>0</v>
      </c>
      <c r="P4931" s="1" t="str">
        <f t="shared" si="9395"/>
        <v>0</v>
      </c>
      <c r="Q4931" s="1" t="str">
        <f t="shared" ref="Q4931:Q4994" si="9396">"0.0070"</f>
        <v>0.0070</v>
      </c>
      <c r="R4931" s="1" t="s">
        <v>25</v>
      </c>
      <c r="T4931" s="1" t="str">
        <f t="shared" ref="T4931:T4994" si="9397">"0"</f>
        <v>0</v>
      </c>
      <c r="U4931" s="1" t="str">
        <f t="shared" si="9373"/>
        <v>0.0070</v>
      </c>
    </row>
    <row r="4932" s="1" customFormat="1" spans="1:21">
      <c r="A4932" s="1" t="str">
        <f>"4601992156484"</f>
        <v>4601992156484</v>
      </c>
      <c r="B4932" s="1" t="s">
        <v>4955</v>
      </c>
      <c r="C4932" s="1" t="s">
        <v>24</v>
      </c>
      <c r="D4932" s="1" t="str">
        <f t="shared" si="9392"/>
        <v>2021</v>
      </c>
      <c r="E4932" s="1" t="str">
        <f t="shared" ref="E4932:I4932" si="9398">"0"</f>
        <v>0</v>
      </c>
      <c r="F4932" s="1" t="str">
        <f t="shared" si="9398"/>
        <v>0</v>
      </c>
      <c r="G4932" s="1" t="str">
        <f t="shared" si="9398"/>
        <v>0</v>
      </c>
      <c r="H4932" s="1" t="str">
        <f t="shared" si="9398"/>
        <v>0</v>
      </c>
      <c r="I4932" s="1" t="str">
        <f t="shared" si="9398"/>
        <v>0</v>
      </c>
      <c r="J4932" s="1" t="str">
        <f>"1"</f>
        <v>1</v>
      </c>
      <c r="K4932" s="1" t="str">
        <f t="shared" ref="K4932:P4932" si="9399">"0"</f>
        <v>0</v>
      </c>
      <c r="L4932" s="1" t="str">
        <f t="shared" si="9399"/>
        <v>0</v>
      </c>
      <c r="M4932" s="1" t="str">
        <f t="shared" si="9399"/>
        <v>0</v>
      </c>
      <c r="N4932" s="1" t="str">
        <f t="shared" si="9399"/>
        <v>0</v>
      </c>
      <c r="O4932" s="1" t="str">
        <f t="shared" si="9399"/>
        <v>0</v>
      </c>
      <c r="P4932" s="1" t="str">
        <f t="shared" si="9399"/>
        <v>0</v>
      </c>
      <c r="Q4932" s="1" t="str">
        <f t="shared" si="9396"/>
        <v>0.0070</v>
      </c>
      <c r="R4932" s="1" t="s">
        <v>25</v>
      </c>
      <c r="T4932" s="1" t="str">
        <f t="shared" si="9397"/>
        <v>0</v>
      </c>
      <c r="U4932" s="1" t="str">
        <f t="shared" si="9373"/>
        <v>0.0070</v>
      </c>
    </row>
    <row r="4933" s="1" customFormat="1" spans="1:21">
      <c r="A4933" s="1" t="str">
        <f>"4601992156508"</f>
        <v>4601992156508</v>
      </c>
      <c r="B4933" s="1" t="s">
        <v>4956</v>
      </c>
      <c r="C4933" s="1" t="s">
        <v>24</v>
      </c>
      <c r="D4933" s="1" t="str">
        <f t="shared" si="9392"/>
        <v>2021</v>
      </c>
      <c r="E4933" s="1" t="str">
        <f>"14.00"</f>
        <v>14.00</v>
      </c>
      <c r="F4933" s="1" t="str">
        <f t="shared" ref="F4933:I4933" si="9400">"0"</f>
        <v>0</v>
      </c>
      <c r="G4933" s="1" t="str">
        <f t="shared" si="9400"/>
        <v>0</v>
      </c>
      <c r="H4933" s="1" t="str">
        <f t="shared" si="9400"/>
        <v>0</v>
      </c>
      <c r="I4933" s="1" t="str">
        <f t="shared" si="9400"/>
        <v>0</v>
      </c>
      <c r="J4933" s="1" t="str">
        <f t="shared" si="9394"/>
        <v>2</v>
      </c>
      <c r="K4933" s="1" t="str">
        <f t="shared" ref="K4933:P4933" si="9401">"0"</f>
        <v>0</v>
      </c>
      <c r="L4933" s="1" t="str">
        <f t="shared" si="9401"/>
        <v>0</v>
      </c>
      <c r="M4933" s="1" t="str">
        <f t="shared" si="9401"/>
        <v>0</v>
      </c>
      <c r="N4933" s="1" t="str">
        <f t="shared" si="9401"/>
        <v>0</v>
      </c>
      <c r="O4933" s="1" t="str">
        <f t="shared" si="9401"/>
        <v>0</v>
      </c>
      <c r="P4933" s="1" t="str">
        <f t="shared" si="9401"/>
        <v>0</v>
      </c>
      <c r="Q4933" s="1" t="str">
        <f t="shared" si="9396"/>
        <v>0.0070</v>
      </c>
      <c r="R4933" s="1" t="s">
        <v>29</v>
      </c>
      <c r="S4933" s="1">
        <v>-0.0014</v>
      </c>
      <c r="T4933" s="1" t="str">
        <f t="shared" si="9397"/>
        <v>0</v>
      </c>
      <c r="U4933" s="1" t="str">
        <f t="shared" ref="U4933:U4936" si="9402">"0.0056"</f>
        <v>0.0056</v>
      </c>
    </row>
    <row r="4934" s="1" customFormat="1" spans="1:21">
      <c r="A4934" s="1" t="str">
        <f>"4601992156503"</f>
        <v>4601992156503</v>
      </c>
      <c r="B4934" s="1" t="s">
        <v>4957</v>
      </c>
      <c r="C4934" s="1" t="s">
        <v>24</v>
      </c>
      <c r="D4934" s="1" t="str">
        <f t="shared" si="9392"/>
        <v>2021</v>
      </c>
      <c r="E4934" s="1" t="str">
        <f>"12.92"</f>
        <v>12.92</v>
      </c>
      <c r="F4934" s="1" t="str">
        <f t="shared" ref="F4934:I4934" si="9403">"0"</f>
        <v>0</v>
      </c>
      <c r="G4934" s="1" t="str">
        <f t="shared" si="9403"/>
        <v>0</v>
      </c>
      <c r="H4934" s="1" t="str">
        <f t="shared" si="9403"/>
        <v>0</v>
      </c>
      <c r="I4934" s="1" t="str">
        <f t="shared" si="9403"/>
        <v>0</v>
      </c>
      <c r="J4934" s="1" t="str">
        <f t="shared" si="9394"/>
        <v>2</v>
      </c>
      <c r="K4934" s="1" t="str">
        <f t="shared" ref="K4934:P4934" si="9404">"0"</f>
        <v>0</v>
      </c>
      <c r="L4934" s="1" t="str">
        <f t="shared" si="9404"/>
        <v>0</v>
      </c>
      <c r="M4934" s="1" t="str">
        <f t="shared" si="9404"/>
        <v>0</v>
      </c>
      <c r="N4934" s="1" t="str">
        <f t="shared" si="9404"/>
        <v>0</v>
      </c>
      <c r="O4934" s="1" t="str">
        <f t="shared" si="9404"/>
        <v>0</v>
      </c>
      <c r="P4934" s="1" t="str">
        <f t="shared" si="9404"/>
        <v>0</v>
      </c>
      <c r="Q4934" s="1" t="str">
        <f t="shared" si="9396"/>
        <v>0.0070</v>
      </c>
      <c r="R4934" s="1" t="s">
        <v>29</v>
      </c>
      <c r="S4934" s="1">
        <v>-0.0014</v>
      </c>
      <c r="T4934" s="1" t="str">
        <f t="shared" si="9397"/>
        <v>0</v>
      </c>
      <c r="U4934" s="1" t="str">
        <f t="shared" si="9402"/>
        <v>0.0056</v>
      </c>
    </row>
    <row r="4935" s="1" customFormat="1" spans="1:21">
      <c r="A4935" s="1" t="str">
        <f>"4601992156521"</f>
        <v>4601992156521</v>
      </c>
      <c r="B4935" s="1" t="s">
        <v>4958</v>
      </c>
      <c r="C4935" s="1" t="s">
        <v>24</v>
      </c>
      <c r="D4935" s="1" t="str">
        <f t="shared" si="9392"/>
        <v>2021</v>
      </c>
      <c r="E4935" s="1" t="str">
        <f t="shared" ref="E4935:I4935" si="9405">"0"</f>
        <v>0</v>
      </c>
      <c r="F4935" s="1" t="str">
        <f t="shared" si="9405"/>
        <v>0</v>
      </c>
      <c r="G4935" s="1" t="str">
        <f t="shared" si="9405"/>
        <v>0</v>
      </c>
      <c r="H4935" s="1" t="str">
        <f t="shared" si="9405"/>
        <v>0</v>
      </c>
      <c r="I4935" s="1" t="str">
        <f t="shared" si="9405"/>
        <v>0</v>
      </c>
      <c r="J4935" s="1" t="str">
        <f t="shared" si="9394"/>
        <v>2</v>
      </c>
      <c r="K4935" s="1" t="str">
        <f t="shared" ref="K4935:P4935" si="9406">"0"</f>
        <v>0</v>
      </c>
      <c r="L4935" s="1" t="str">
        <f t="shared" si="9406"/>
        <v>0</v>
      </c>
      <c r="M4935" s="1" t="str">
        <f t="shared" si="9406"/>
        <v>0</v>
      </c>
      <c r="N4935" s="1" t="str">
        <f t="shared" si="9406"/>
        <v>0</v>
      </c>
      <c r="O4935" s="1" t="str">
        <f t="shared" si="9406"/>
        <v>0</v>
      </c>
      <c r="P4935" s="1" t="str">
        <f t="shared" si="9406"/>
        <v>0</v>
      </c>
      <c r="Q4935" s="1" t="str">
        <f t="shared" si="9396"/>
        <v>0.0070</v>
      </c>
      <c r="R4935" s="1" t="s">
        <v>25</v>
      </c>
      <c r="T4935" s="1" t="str">
        <f t="shared" si="9397"/>
        <v>0</v>
      </c>
      <c r="U4935" s="1" t="str">
        <f t="shared" ref="U4935:U4942" si="9407">"0.0070"</f>
        <v>0.0070</v>
      </c>
    </row>
    <row r="4936" s="1" customFormat="1" spans="1:21">
      <c r="A4936" s="1" t="str">
        <f>"4601992156522"</f>
        <v>4601992156522</v>
      </c>
      <c r="B4936" s="1" t="s">
        <v>4959</v>
      </c>
      <c r="C4936" s="1" t="s">
        <v>24</v>
      </c>
      <c r="D4936" s="1" t="str">
        <f t="shared" si="9392"/>
        <v>2021</v>
      </c>
      <c r="E4936" s="1" t="str">
        <f>"11.98"</f>
        <v>11.98</v>
      </c>
      <c r="F4936" s="1" t="str">
        <f t="shared" ref="F4936:I4936" si="9408">"0"</f>
        <v>0</v>
      </c>
      <c r="G4936" s="1" t="str">
        <f t="shared" si="9408"/>
        <v>0</v>
      </c>
      <c r="H4936" s="1" t="str">
        <f t="shared" si="9408"/>
        <v>0</v>
      </c>
      <c r="I4936" s="1" t="str">
        <f t="shared" si="9408"/>
        <v>0</v>
      </c>
      <c r="J4936" s="1" t="str">
        <f>"4"</f>
        <v>4</v>
      </c>
      <c r="K4936" s="1" t="str">
        <f t="shared" ref="K4936:P4936" si="9409">"0"</f>
        <v>0</v>
      </c>
      <c r="L4936" s="1" t="str">
        <f t="shared" si="9409"/>
        <v>0</v>
      </c>
      <c r="M4936" s="1" t="str">
        <f t="shared" si="9409"/>
        <v>0</v>
      </c>
      <c r="N4936" s="1" t="str">
        <f t="shared" si="9409"/>
        <v>0</v>
      </c>
      <c r="O4936" s="1" t="str">
        <f t="shared" si="9409"/>
        <v>0</v>
      </c>
      <c r="P4936" s="1" t="str">
        <f t="shared" si="9409"/>
        <v>0</v>
      </c>
      <c r="Q4936" s="1" t="str">
        <f t="shared" si="9396"/>
        <v>0.0070</v>
      </c>
      <c r="R4936" s="1" t="s">
        <v>29</v>
      </c>
      <c r="S4936" s="1">
        <v>-0.0014</v>
      </c>
      <c r="T4936" s="1" t="str">
        <f t="shared" si="9397"/>
        <v>0</v>
      </c>
      <c r="U4936" s="1" t="str">
        <f t="shared" si="9402"/>
        <v>0.0056</v>
      </c>
    </row>
    <row r="4937" s="1" customFormat="1" spans="1:21">
      <c r="A4937" s="1" t="str">
        <f>"4601992156598"</f>
        <v>4601992156598</v>
      </c>
      <c r="B4937" s="1" t="s">
        <v>4960</v>
      </c>
      <c r="C4937" s="1" t="s">
        <v>24</v>
      </c>
      <c r="D4937" s="1" t="str">
        <f t="shared" si="9392"/>
        <v>2021</v>
      </c>
      <c r="E4937" s="1" t="str">
        <f t="shared" ref="E4937:I4937" si="9410">"0"</f>
        <v>0</v>
      </c>
      <c r="F4937" s="1" t="str">
        <f t="shared" si="9410"/>
        <v>0</v>
      </c>
      <c r="G4937" s="1" t="str">
        <f t="shared" si="9410"/>
        <v>0</v>
      </c>
      <c r="H4937" s="1" t="str">
        <f t="shared" si="9410"/>
        <v>0</v>
      </c>
      <c r="I4937" s="1" t="str">
        <f t="shared" si="9410"/>
        <v>0</v>
      </c>
      <c r="J4937" s="1" t="str">
        <f>"8"</f>
        <v>8</v>
      </c>
      <c r="K4937" s="1" t="str">
        <f t="shared" ref="K4937:P4937" si="9411">"0"</f>
        <v>0</v>
      </c>
      <c r="L4937" s="1" t="str">
        <f t="shared" si="9411"/>
        <v>0</v>
      </c>
      <c r="M4937" s="1" t="str">
        <f t="shared" si="9411"/>
        <v>0</v>
      </c>
      <c r="N4937" s="1" t="str">
        <f t="shared" si="9411"/>
        <v>0</v>
      </c>
      <c r="O4937" s="1" t="str">
        <f t="shared" si="9411"/>
        <v>0</v>
      </c>
      <c r="P4937" s="1" t="str">
        <f t="shared" si="9411"/>
        <v>0</v>
      </c>
      <c r="Q4937" s="1" t="str">
        <f t="shared" si="9396"/>
        <v>0.0070</v>
      </c>
      <c r="R4937" s="1" t="s">
        <v>25</v>
      </c>
      <c r="T4937" s="1" t="str">
        <f t="shared" si="9397"/>
        <v>0</v>
      </c>
      <c r="U4937" s="1" t="str">
        <f t="shared" si="9407"/>
        <v>0.0070</v>
      </c>
    </row>
    <row r="4938" s="1" customFormat="1" spans="1:21">
      <c r="A4938" s="1" t="str">
        <f>"4601992156608"</f>
        <v>4601992156608</v>
      </c>
      <c r="B4938" s="1" t="s">
        <v>4961</v>
      </c>
      <c r="C4938" s="1" t="s">
        <v>24</v>
      </c>
      <c r="D4938" s="1" t="str">
        <f t="shared" si="9392"/>
        <v>2021</v>
      </c>
      <c r="E4938" s="1" t="str">
        <f t="shared" ref="E4938:P4938" si="9412">"0"</f>
        <v>0</v>
      </c>
      <c r="F4938" s="1" t="str">
        <f t="shared" si="9412"/>
        <v>0</v>
      </c>
      <c r="G4938" s="1" t="str">
        <f t="shared" si="9412"/>
        <v>0</v>
      </c>
      <c r="H4938" s="1" t="str">
        <f t="shared" si="9412"/>
        <v>0</v>
      </c>
      <c r="I4938" s="1" t="str">
        <f t="shared" si="9412"/>
        <v>0</v>
      </c>
      <c r="J4938" s="1" t="str">
        <f t="shared" si="9412"/>
        <v>0</v>
      </c>
      <c r="K4938" s="1" t="str">
        <f t="shared" si="9412"/>
        <v>0</v>
      </c>
      <c r="L4938" s="1" t="str">
        <f t="shared" si="9412"/>
        <v>0</v>
      </c>
      <c r="M4938" s="1" t="str">
        <f t="shared" si="9412"/>
        <v>0</v>
      </c>
      <c r="N4938" s="1" t="str">
        <f t="shared" si="9412"/>
        <v>0</v>
      </c>
      <c r="O4938" s="1" t="str">
        <f t="shared" si="9412"/>
        <v>0</v>
      </c>
      <c r="P4938" s="1" t="str">
        <f t="shared" si="9412"/>
        <v>0</v>
      </c>
      <c r="Q4938" s="1" t="str">
        <f t="shared" si="9396"/>
        <v>0.0070</v>
      </c>
      <c r="R4938" s="1" t="s">
        <v>25</v>
      </c>
      <c r="T4938" s="1" t="str">
        <f t="shared" si="9397"/>
        <v>0</v>
      </c>
      <c r="U4938" s="1" t="str">
        <f t="shared" si="9407"/>
        <v>0.0070</v>
      </c>
    </row>
    <row r="4939" s="1" customFormat="1" spans="1:21">
      <c r="A4939" s="1" t="str">
        <f>"4601992156533"</f>
        <v>4601992156533</v>
      </c>
      <c r="B4939" s="1" t="s">
        <v>4962</v>
      </c>
      <c r="C4939" s="1" t="s">
        <v>24</v>
      </c>
      <c r="D4939" s="1" t="str">
        <f t="shared" si="9392"/>
        <v>2021</v>
      </c>
      <c r="E4939" s="1" t="str">
        <f t="shared" ref="E4939:I4939" si="9413">"0"</f>
        <v>0</v>
      </c>
      <c r="F4939" s="1" t="str">
        <f t="shared" si="9413"/>
        <v>0</v>
      </c>
      <c r="G4939" s="1" t="str">
        <f t="shared" si="9413"/>
        <v>0</v>
      </c>
      <c r="H4939" s="1" t="str">
        <f t="shared" si="9413"/>
        <v>0</v>
      </c>
      <c r="I4939" s="1" t="str">
        <f t="shared" si="9413"/>
        <v>0</v>
      </c>
      <c r="J4939" s="1" t="str">
        <f>"2"</f>
        <v>2</v>
      </c>
      <c r="K4939" s="1" t="str">
        <f t="shared" ref="K4939:P4939" si="9414">"0"</f>
        <v>0</v>
      </c>
      <c r="L4939" s="1" t="str">
        <f t="shared" si="9414"/>
        <v>0</v>
      </c>
      <c r="M4939" s="1" t="str">
        <f t="shared" si="9414"/>
        <v>0</v>
      </c>
      <c r="N4939" s="1" t="str">
        <f t="shared" si="9414"/>
        <v>0</v>
      </c>
      <c r="O4939" s="1" t="str">
        <f t="shared" si="9414"/>
        <v>0</v>
      </c>
      <c r="P4939" s="1" t="str">
        <f t="shared" si="9414"/>
        <v>0</v>
      </c>
      <c r="Q4939" s="1" t="str">
        <f t="shared" si="9396"/>
        <v>0.0070</v>
      </c>
      <c r="R4939" s="1" t="s">
        <v>25</v>
      </c>
      <c r="T4939" s="1" t="str">
        <f t="shared" si="9397"/>
        <v>0</v>
      </c>
      <c r="U4939" s="1" t="str">
        <f t="shared" si="9407"/>
        <v>0.0070</v>
      </c>
    </row>
    <row r="4940" s="1" customFormat="1" spans="1:21">
      <c r="A4940" s="1" t="str">
        <f>"4601992156656"</f>
        <v>4601992156656</v>
      </c>
      <c r="B4940" s="1" t="s">
        <v>4963</v>
      </c>
      <c r="C4940" s="1" t="s">
        <v>24</v>
      </c>
      <c r="D4940" s="1" t="str">
        <f t="shared" si="9392"/>
        <v>2021</v>
      </c>
      <c r="E4940" s="1" t="str">
        <f t="shared" ref="E4940:I4940" si="9415">"0"</f>
        <v>0</v>
      </c>
      <c r="F4940" s="1" t="str">
        <f t="shared" si="9415"/>
        <v>0</v>
      </c>
      <c r="G4940" s="1" t="str">
        <f t="shared" si="9415"/>
        <v>0</v>
      </c>
      <c r="H4940" s="1" t="str">
        <f t="shared" si="9415"/>
        <v>0</v>
      </c>
      <c r="I4940" s="1" t="str">
        <f t="shared" si="9415"/>
        <v>0</v>
      </c>
      <c r="J4940" s="1" t="str">
        <f t="shared" ref="J4940:J4942" si="9416">"1"</f>
        <v>1</v>
      </c>
      <c r="K4940" s="1" t="str">
        <f t="shared" ref="K4940:P4940" si="9417">"0"</f>
        <v>0</v>
      </c>
      <c r="L4940" s="1" t="str">
        <f t="shared" si="9417"/>
        <v>0</v>
      </c>
      <c r="M4940" s="1" t="str">
        <f t="shared" si="9417"/>
        <v>0</v>
      </c>
      <c r="N4940" s="1" t="str">
        <f t="shared" si="9417"/>
        <v>0</v>
      </c>
      <c r="O4940" s="1" t="str">
        <f t="shared" si="9417"/>
        <v>0</v>
      </c>
      <c r="P4940" s="1" t="str">
        <f t="shared" si="9417"/>
        <v>0</v>
      </c>
      <c r="Q4940" s="1" t="str">
        <f t="shared" si="9396"/>
        <v>0.0070</v>
      </c>
      <c r="R4940" s="1" t="s">
        <v>25</v>
      </c>
      <c r="T4940" s="1" t="str">
        <f t="shared" si="9397"/>
        <v>0</v>
      </c>
      <c r="U4940" s="1" t="str">
        <f t="shared" si="9407"/>
        <v>0.0070</v>
      </c>
    </row>
    <row r="4941" s="1" customFormat="1" spans="1:21">
      <c r="A4941" s="1" t="str">
        <f>"4601992156673"</f>
        <v>4601992156673</v>
      </c>
      <c r="B4941" s="1" t="s">
        <v>4964</v>
      </c>
      <c r="C4941" s="1" t="s">
        <v>24</v>
      </c>
      <c r="D4941" s="1" t="str">
        <f t="shared" si="9392"/>
        <v>2021</v>
      </c>
      <c r="E4941" s="1" t="str">
        <f t="shared" ref="E4941:I4941" si="9418">"0"</f>
        <v>0</v>
      </c>
      <c r="F4941" s="1" t="str">
        <f t="shared" si="9418"/>
        <v>0</v>
      </c>
      <c r="G4941" s="1" t="str">
        <f t="shared" si="9418"/>
        <v>0</v>
      </c>
      <c r="H4941" s="1" t="str">
        <f t="shared" si="9418"/>
        <v>0</v>
      </c>
      <c r="I4941" s="1" t="str">
        <f t="shared" si="9418"/>
        <v>0</v>
      </c>
      <c r="J4941" s="1" t="str">
        <f t="shared" si="9416"/>
        <v>1</v>
      </c>
      <c r="K4941" s="1" t="str">
        <f t="shared" ref="K4941:P4941" si="9419">"0"</f>
        <v>0</v>
      </c>
      <c r="L4941" s="1" t="str">
        <f t="shared" si="9419"/>
        <v>0</v>
      </c>
      <c r="M4941" s="1" t="str">
        <f t="shared" si="9419"/>
        <v>0</v>
      </c>
      <c r="N4941" s="1" t="str">
        <f t="shared" si="9419"/>
        <v>0</v>
      </c>
      <c r="O4941" s="1" t="str">
        <f t="shared" si="9419"/>
        <v>0</v>
      </c>
      <c r="P4941" s="1" t="str">
        <f t="shared" si="9419"/>
        <v>0</v>
      </c>
      <c r="Q4941" s="1" t="str">
        <f t="shared" si="9396"/>
        <v>0.0070</v>
      </c>
      <c r="R4941" s="1" t="s">
        <v>25</v>
      </c>
      <c r="T4941" s="1" t="str">
        <f t="shared" si="9397"/>
        <v>0</v>
      </c>
      <c r="U4941" s="1" t="str">
        <f t="shared" si="9407"/>
        <v>0.0070</v>
      </c>
    </row>
    <row r="4942" s="1" customFormat="1" spans="1:21">
      <c r="A4942" s="1" t="str">
        <f>"4601992156678"</f>
        <v>4601992156678</v>
      </c>
      <c r="B4942" s="1" t="s">
        <v>4965</v>
      </c>
      <c r="C4942" s="1" t="s">
        <v>24</v>
      </c>
      <c r="D4942" s="1" t="str">
        <f t="shared" si="9392"/>
        <v>2021</v>
      </c>
      <c r="E4942" s="1" t="str">
        <f t="shared" ref="E4942:I4942" si="9420">"0"</f>
        <v>0</v>
      </c>
      <c r="F4942" s="1" t="str">
        <f t="shared" si="9420"/>
        <v>0</v>
      </c>
      <c r="G4942" s="1" t="str">
        <f t="shared" si="9420"/>
        <v>0</v>
      </c>
      <c r="H4942" s="1" t="str">
        <f t="shared" si="9420"/>
        <v>0</v>
      </c>
      <c r="I4942" s="1" t="str">
        <f t="shared" si="9420"/>
        <v>0</v>
      </c>
      <c r="J4942" s="1" t="str">
        <f t="shared" si="9416"/>
        <v>1</v>
      </c>
      <c r="K4942" s="1" t="str">
        <f t="shared" ref="K4942:P4942" si="9421">"0"</f>
        <v>0</v>
      </c>
      <c r="L4942" s="1" t="str">
        <f t="shared" si="9421"/>
        <v>0</v>
      </c>
      <c r="M4942" s="1" t="str">
        <f t="shared" si="9421"/>
        <v>0</v>
      </c>
      <c r="N4942" s="1" t="str">
        <f t="shared" si="9421"/>
        <v>0</v>
      </c>
      <c r="O4942" s="1" t="str">
        <f t="shared" si="9421"/>
        <v>0</v>
      </c>
      <c r="P4942" s="1" t="str">
        <f t="shared" si="9421"/>
        <v>0</v>
      </c>
      <c r="Q4942" s="1" t="str">
        <f t="shared" si="9396"/>
        <v>0.0070</v>
      </c>
      <c r="R4942" s="1" t="s">
        <v>25</v>
      </c>
      <c r="T4942" s="1" t="str">
        <f t="shared" si="9397"/>
        <v>0</v>
      </c>
      <c r="U4942" s="1" t="str">
        <f t="shared" si="9407"/>
        <v>0.0070</v>
      </c>
    </row>
    <row r="4943" s="1" customFormat="1" spans="1:21">
      <c r="A4943" s="1" t="str">
        <f>"4601992156663"</f>
        <v>4601992156663</v>
      </c>
      <c r="B4943" s="1" t="s">
        <v>4966</v>
      </c>
      <c r="C4943" s="1" t="s">
        <v>24</v>
      </c>
      <c r="D4943" s="1" t="str">
        <f t="shared" si="9392"/>
        <v>2021</v>
      </c>
      <c r="E4943" s="1" t="str">
        <f>"36.54"</f>
        <v>36.54</v>
      </c>
      <c r="F4943" s="1" t="str">
        <f t="shared" ref="F4943:I4943" si="9422">"0"</f>
        <v>0</v>
      </c>
      <c r="G4943" s="1" t="str">
        <f t="shared" si="9422"/>
        <v>0</v>
      </c>
      <c r="H4943" s="1" t="str">
        <f t="shared" si="9422"/>
        <v>0</v>
      </c>
      <c r="I4943" s="1" t="str">
        <f t="shared" si="9422"/>
        <v>0</v>
      </c>
      <c r="J4943" s="1" t="str">
        <f>"4"</f>
        <v>4</v>
      </c>
      <c r="K4943" s="1" t="str">
        <f t="shared" ref="K4943:P4943" si="9423">"0"</f>
        <v>0</v>
      </c>
      <c r="L4943" s="1" t="str">
        <f t="shared" si="9423"/>
        <v>0</v>
      </c>
      <c r="M4943" s="1" t="str">
        <f t="shared" si="9423"/>
        <v>0</v>
      </c>
      <c r="N4943" s="1" t="str">
        <f t="shared" si="9423"/>
        <v>0</v>
      </c>
      <c r="O4943" s="1" t="str">
        <f t="shared" si="9423"/>
        <v>0</v>
      </c>
      <c r="P4943" s="1" t="str">
        <f t="shared" si="9423"/>
        <v>0</v>
      </c>
      <c r="Q4943" s="1" t="str">
        <f t="shared" si="9396"/>
        <v>0.0070</v>
      </c>
      <c r="R4943" s="1" t="s">
        <v>29</v>
      </c>
      <c r="S4943" s="1">
        <v>-0.0014</v>
      </c>
      <c r="T4943" s="1" t="str">
        <f t="shared" si="9397"/>
        <v>0</v>
      </c>
      <c r="U4943" s="1" t="str">
        <f t="shared" ref="U4943:U4950" si="9424">"0.0056"</f>
        <v>0.0056</v>
      </c>
    </row>
    <row r="4944" s="1" customFormat="1" spans="1:21">
      <c r="A4944" s="1" t="str">
        <f>"4601992156696"</f>
        <v>4601992156696</v>
      </c>
      <c r="B4944" s="1" t="s">
        <v>4967</v>
      </c>
      <c r="C4944" s="1" t="s">
        <v>24</v>
      </c>
      <c r="D4944" s="1" t="str">
        <f t="shared" si="9392"/>
        <v>2021</v>
      </c>
      <c r="E4944" s="1" t="str">
        <f t="shared" ref="E4944:P4944" si="9425">"0"</f>
        <v>0</v>
      </c>
      <c r="F4944" s="1" t="str">
        <f t="shared" si="9425"/>
        <v>0</v>
      </c>
      <c r="G4944" s="1" t="str">
        <f t="shared" si="9425"/>
        <v>0</v>
      </c>
      <c r="H4944" s="1" t="str">
        <f t="shared" si="9425"/>
        <v>0</v>
      </c>
      <c r="I4944" s="1" t="str">
        <f t="shared" si="9425"/>
        <v>0</v>
      </c>
      <c r="J4944" s="1" t="str">
        <f t="shared" si="9425"/>
        <v>0</v>
      </c>
      <c r="K4944" s="1" t="str">
        <f t="shared" si="9425"/>
        <v>0</v>
      </c>
      <c r="L4944" s="1" t="str">
        <f t="shared" si="9425"/>
        <v>0</v>
      </c>
      <c r="M4944" s="1" t="str">
        <f t="shared" si="9425"/>
        <v>0</v>
      </c>
      <c r="N4944" s="1" t="str">
        <f t="shared" si="9425"/>
        <v>0</v>
      </c>
      <c r="O4944" s="1" t="str">
        <f t="shared" si="9425"/>
        <v>0</v>
      </c>
      <c r="P4944" s="1" t="str">
        <f t="shared" si="9425"/>
        <v>0</v>
      </c>
      <c r="Q4944" s="1" t="str">
        <f t="shared" si="9396"/>
        <v>0.0070</v>
      </c>
      <c r="R4944" s="1" t="s">
        <v>25</v>
      </c>
      <c r="T4944" s="1" t="str">
        <f t="shared" si="9397"/>
        <v>0</v>
      </c>
      <c r="U4944" s="1" t="str">
        <f t="shared" ref="U4944:U4946" si="9426">"0.0070"</f>
        <v>0.0070</v>
      </c>
    </row>
    <row r="4945" s="1" customFormat="1" spans="1:21">
      <c r="A4945" s="1" t="str">
        <f>"4601992156682"</f>
        <v>4601992156682</v>
      </c>
      <c r="B4945" s="1" t="s">
        <v>4968</v>
      </c>
      <c r="C4945" s="1" t="s">
        <v>24</v>
      </c>
      <c r="D4945" s="1" t="str">
        <f t="shared" si="9392"/>
        <v>2021</v>
      </c>
      <c r="E4945" s="1" t="str">
        <f t="shared" ref="E4945:I4945" si="9427">"0"</f>
        <v>0</v>
      </c>
      <c r="F4945" s="1" t="str">
        <f t="shared" si="9427"/>
        <v>0</v>
      </c>
      <c r="G4945" s="1" t="str">
        <f t="shared" si="9427"/>
        <v>0</v>
      </c>
      <c r="H4945" s="1" t="str">
        <f t="shared" si="9427"/>
        <v>0</v>
      </c>
      <c r="I4945" s="1" t="str">
        <f t="shared" si="9427"/>
        <v>0</v>
      </c>
      <c r="J4945" s="1" t="str">
        <f>"2"</f>
        <v>2</v>
      </c>
      <c r="K4945" s="1" t="str">
        <f t="shared" ref="K4945:P4945" si="9428">"0"</f>
        <v>0</v>
      </c>
      <c r="L4945" s="1" t="str">
        <f t="shared" si="9428"/>
        <v>0</v>
      </c>
      <c r="M4945" s="1" t="str">
        <f t="shared" si="9428"/>
        <v>0</v>
      </c>
      <c r="N4945" s="1" t="str">
        <f t="shared" si="9428"/>
        <v>0</v>
      </c>
      <c r="O4945" s="1" t="str">
        <f t="shared" si="9428"/>
        <v>0</v>
      </c>
      <c r="P4945" s="1" t="str">
        <f t="shared" si="9428"/>
        <v>0</v>
      </c>
      <c r="Q4945" s="1" t="str">
        <f t="shared" si="9396"/>
        <v>0.0070</v>
      </c>
      <c r="R4945" s="1" t="s">
        <v>25</v>
      </c>
      <c r="T4945" s="1" t="str">
        <f t="shared" si="9397"/>
        <v>0</v>
      </c>
      <c r="U4945" s="1" t="str">
        <f t="shared" si="9426"/>
        <v>0.0070</v>
      </c>
    </row>
    <row r="4946" s="1" customFormat="1" spans="1:21">
      <c r="A4946" s="1" t="str">
        <f>"4601992156763"</f>
        <v>4601992156763</v>
      </c>
      <c r="B4946" s="1" t="s">
        <v>4969</v>
      </c>
      <c r="C4946" s="1" t="s">
        <v>24</v>
      </c>
      <c r="D4946" s="1" t="str">
        <f t="shared" si="9392"/>
        <v>2021</v>
      </c>
      <c r="E4946" s="1" t="str">
        <f t="shared" ref="E4946:I4946" si="9429">"0"</f>
        <v>0</v>
      </c>
      <c r="F4946" s="1" t="str">
        <f t="shared" si="9429"/>
        <v>0</v>
      </c>
      <c r="G4946" s="1" t="str">
        <f t="shared" si="9429"/>
        <v>0</v>
      </c>
      <c r="H4946" s="1" t="str">
        <f t="shared" si="9429"/>
        <v>0</v>
      </c>
      <c r="I4946" s="1" t="str">
        <f t="shared" si="9429"/>
        <v>0</v>
      </c>
      <c r="J4946" s="1" t="str">
        <f>"3"</f>
        <v>3</v>
      </c>
      <c r="K4946" s="1" t="str">
        <f t="shared" ref="K4946:P4946" si="9430">"0"</f>
        <v>0</v>
      </c>
      <c r="L4946" s="1" t="str">
        <f t="shared" si="9430"/>
        <v>0</v>
      </c>
      <c r="M4946" s="1" t="str">
        <f t="shared" si="9430"/>
        <v>0</v>
      </c>
      <c r="N4946" s="1" t="str">
        <f t="shared" si="9430"/>
        <v>0</v>
      </c>
      <c r="O4946" s="1" t="str">
        <f t="shared" si="9430"/>
        <v>0</v>
      </c>
      <c r="P4946" s="1" t="str">
        <f t="shared" si="9430"/>
        <v>0</v>
      </c>
      <c r="Q4946" s="1" t="str">
        <f t="shared" si="9396"/>
        <v>0.0070</v>
      </c>
      <c r="R4946" s="1" t="s">
        <v>25</v>
      </c>
      <c r="T4946" s="1" t="str">
        <f t="shared" si="9397"/>
        <v>0</v>
      </c>
      <c r="U4946" s="1" t="str">
        <f t="shared" si="9426"/>
        <v>0.0070</v>
      </c>
    </row>
    <row r="4947" s="1" customFormat="1" spans="1:21">
      <c r="A4947" s="1" t="str">
        <f>"4601992030843"</f>
        <v>4601992030843</v>
      </c>
      <c r="B4947" s="1" t="s">
        <v>4970</v>
      </c>
      <c r="C4947" s="1" t="s">
        <v>24</v>
      </c>
      <c r="D4947" s="1" t="str">
        <f t="shared" si="9392"/>
        <v>2021</v>
      </c>
      <c r="E4947" s="1" t="str">
        <f>"12.09"</f>
        <v>12.09</v>
      </c>
      <c r="F4947" s="1" t="str">
        <f t="shared" ref="F4947:I4947" si="9431">"0"</f>
        <v>0</v>
      </c>
      <c r="G4947" s="1" t="str">
        <f t="shared" si="9431"/>
        <v>0</v>
      </c>
      <c r="H4947" s="1" t="str">
        <f t="shared" si="9431"/>
        <v>0</v>
      </c>
      <c r="I4947" s="1" t="str">
        <f t="shared" si="9431"/>
        <v>0</v>
      </c>
      <c r="J4947" s="1" t="str">
        <f>"4"</f>
        <v>4</v>
      </c>
      <c r="K4947" s="1" t="str">
        <f t="shared" ref="K4947:P4947" si="9432">"0"</f>
        <v>0</v>
      </c>
      <c r="L4947" s="1" t="str">
        <f t="shared" si="9432"/>
        <v>0</v>
      </c>
      <c r="M4947" s="1" t="str">
        <f t="shared" si="9432"/>
        <v>0</v>
      </c>
      <c r="N4947" s="1" t="str">
        <f t="shared" si="9432"/>
        <v>0</v>
      </c>
      <c r="O4947" s="1" t="str">
        <f t="shared" si="9432"/>
        <v>0</v>
      </c>
      <c r="P4947" s="1" t="str">
        <f t="shared" si="9432"/>
        <v>0</v>
      </c>
      <c r="Q4947" s="1" t="str">
        <f t="shared" si="9396"/>
        <v>0.0070</v>
      </c>
      <c r="R4947" s="1" t="s">
        <v>29</v>
      </c>
      <c r="S4947" s="1">
        <v>-0.0014</v>
      </c>
      <c r="T4947" s="1" t="str">
        <f t="shared" si="9397"/>
        <v>0</v>
      </c>
      <c r="U4947" s="1" t="str">
        <f t="shared" si="9424"/>
        <v>0.0056</v>
      </c>
    </row>
    <row r="4948" s="1" customFormat="1" spans="1:21">
      <c r="A4948" s="1" t="str">
        <f>"4601992156726"</f>
        <v>4601992156726</v>
      </c>
      <c r="B4948" s="1" t="s">
        <v>4971</v>
      </c>
      <c r="C4948" s="1" t="s">
        <v>24</v>
      </c>
      <c r="D4948" s="1" t="str">
        <f t="shared" si="9392"/>
        <v>2021</v>
      </c>
      <c r="E4948" s="1" t="str">
        <f>"23.96"</f>
        <v>23.96</v>
      </c>
      <c r="F4948" s="1" t="str">
        <f t="shared" ref="F4948:I4948" si="9433">"0"</f>
        <v>0</v>
      </c>
      <c r="G4948" s="1" t="str">
        <f t="shared" si="9433"/>
        <v>0</v>
      </c>
      <c r="H4948" s="1" t="str">
        <f t="shared" si="9433"/>
        <v>0</v>
      </c>
      <c r="I4948" s="1" t="str">
        <f t="shared" si="9433"/>
        <v>0</v>
      </c>
      <c r="J4948" s="1" t="str">
        <f>"10"</f>
        <v>10</v>
      </c>
      <c r="K4948" s="1" t="str">
        <f t="shared" ref="K4948:P4948" si="9434">"0"</f>
        <v>0</v>
      </c>
      <c r="L4948" s="1" t="str">
        <f t="shared" si="9434"/>
        <v>0</v>
      </c>
      <c r="M4948" s="1" t="str">
        <f t="shared" si="9434"/>
        <v>0</v>
      </c>
      <c r="N4948" s="1" t="str">
        <f t="shared" si="9434"/>
        <v>0</v>
      </c>
      <c r="O4948" s="1" t="str">
        <f t="shared" si="9434"/>
        <v>0</v>
      </c>
      <c r="P4948" s="1" t="str">
        <f t="shared" si="9434"/>
        <v>0</v>
      </c>
      <c r="Q4948" s="1" t="str">
        <f t="shared" si="9396"/>
        <v>0.0070</v>
      </c>
      <c r="R4948" s="1" t="s">
        <v>29</v>
      </c>
      <c r="S4948" s="1">
        <v>-0.0014</v>
      </c>
      <c r="T4948" s="1" t="str">
        <f t="shared" si="9397"/>
        <v>0</v>
      </c>
      <c r="U4948" s="1" t="str">
        <f t="shared" si="9424"/>
        <v>0.0056</v>
      </c>
    </row>
    <row r="4949" s="1" customFormat="1" spans="1:21">
      <c r="A4949" s="1" t="str">
        <f>"4601992019419"</f>
        <v>4601992019419</v>
      </c>
      <c r="B4949" s="1" t="s">
        <v>4972</v>
      </c>
      <c r="C4949" s="1" t="s">
        <v>24</v>
      </c>
      <c r="D4949" s="1" t="str">
        <f t="shared" si="9392"/>
        <v>2021</v>
      </c>
      <c r="E4949" s="1" t="str">
        <f>"132.99"</f>
        <v>132.99</v>
      </c>
      <c r="F4949" s="1" t="str">
        <f t="shared" ref="F4949:I4949" si="9435">"0"</f>
        <v>0</v>
      </c>
      <c r="G4949" s="1" t="str">
        <f t="shared" si="9435"/>
        <v>0</v>
      </c>
      <c r="H4949" s="1" t="str">
        <f t="shared" si="9435"/>
        <v>0</v>
      </c>
      <c r="I4949" s="1" t="str">
        <f t="shared" si="9435"/>
        <v>0</v>
      </c>
      <c r="J4949" s="1" t="str">
        <f>"8"</f>
        <v>8</v>
      </c>
      <c r="K4949" s="1" t="str">
        <f t="shared" ref="K4949:P4949" si="9436">"0"</f>
        <v>0</v>
      </c>
      <c r="L4949" s="1" t="str">
        <f t="shared" si="9436"/>
        <v>0</v>
      </c>
      <c r="M4949" s="1" t="str">
        <f t="shared" si="9436"/>
        <v>0</v>
      </c>
      <c r="N4949" s="1" t="str">
        <f t="shared" si="9436"/>
        <v>0</v>
      </c>
      <c r="O4949" s="1" t="str">
        <f t="shared" si="9436"/>
        <v>0</v>
      </c>
      <c r="P4949" s="1" t="str">
        <f t="shared" si="9436"/>
        <v>0</v>
      </c>
      <c r="Q4949" s="1" t="str">
        <f t="shared" si="9396"/>
        <v>0.0070</v>
      </c>
      <c r="R4949" s="1" t="s">
        <v>29</v>
      </c>
      <c r="S4949" s="1">
        <v>-0.0014</v>
      </c>
      <c r="T4949" s="1" t="str">
        <f t="shared" si="9397"/>
        <v>0</v>
      </c>
      <c r="U4949" s="1" t="str">
        <f t="shared" si="9424"/>
        <v>0.0056</v>
      </c>
    </row>
    <row r="4950" s="1" customFormat="1" spans="1:21">
      <c r="A4950" s="1" t="str">
        <f>"4601992156848"</f>
        <v>4601992156848</v>
      </c>
      <c r="B4950" s="1" t="s">
        <v>4973</v>
      </c>
      <c r="C4950" s="1" t="s">
        <v>24</v>
      </c>
      <c r="D4950" s="1" t="str">
        <f t="shared" si="9392"/>
        <v>2021</v>
      </c>
      <c r="E4950" s="1" t="str">
        <f>"11.98"</f>
        <v>11.98</v>
      </c>
      <c r="F4950" s="1" t="str">
        <f t="shared" ref="F4950:I4950" si="9437">"0"</f>
        <v>0</v>
      </c>
      <c r="G4950" s="1" t="str">
        <f t="shared" si="9437"/>
        <v>0</v>
      </c>
      <c r="H4950" s="1" t="str">
        <f t="shared" si="9437"/>
        <v>0</v>
      </c>
      <c r="I4950" s="1" t="str">
        <f t="shared" si="9437"/>
        <v>0</v>
      </c>
      <c r="J4950" s="1" t="str">
        <f>"1"</f>
        <v>1</v>
      </c>
      <c r="K4950" s="1" t="str">
        <f t="shared" ref="K4950:P4950" si="9438">"0"</f>
        <v>0</v>
      </c>
      <c r="L4950" s="1" t="str">
        <f t="shared" si="9438"/>
        <v>0</v>
      </c>
      <c r="M4950" s="1" t="str">
        <f t="shared" si="9438"/>
        <v>0</v>
      </c>
      <c r="N4950" s="1" t="str">
        <f t="shared" si="9438"/>
        <v>0</v>
      </c>
      <c r="O4950" s="1" t="str">
        <f t="shared" si="9438"/>
        <v>0</v>
      </c>
      <c r="P4950" s="1" t="str">
        <f t="shared" si="9438"/>
        <v>0</v>
      </c>
      <c r="Q4950" s="1" t="str">
        <f t="shared" si="9396"/>
        <v>0.0070</v>
      </c>
      <c r="R4950" s="1" t="s">
        <v>29</v>
      </c>
      <c r="S4950" s="1">
        <v>-0.0014</v>
      </c>
      <c r="T4950" s="1" t="str">
        <f t="shared" si="9397"/>
        <v>0</v>
      </c>
      <c r="U4950" s="1" t="str">
        <f t="shared" si="9424"/>
        <v>0.0056</v>
      </c>
    </row>
    <row r="4951" s="1" customFormat="1" spans="1:21">
      <c r="A4951" s="1" t="str">
        <f>"4601992156838"</f>
        <v>4601992156838</v>
      </c>
      <c r="B4951" s="1" t="s">
        <v>4974</v>
      </c>
      <c r="C4951" s="1" t="s">
        <v>24</v>
      </c>
      <c r="D4951" s="1" t="str">
        <f t="shared" si="9392"/>
        <v>2021</v>
      </c>
      <c r="E4951" s="1" t="str">
        <f t="shared" ref="E4951:I4951" si="9439">"0"</f>
        <v>0</v>
      </c>
      <c r="F4951" s="1" t="str">
        <f t="shared" si="9439"/>
        <v>0</v>
      </c>
      <c r="G4951" s="1" t="str">
        <f t="shared" si="9439"/>
        <v>0</v>
      </c>
      <c r="H4951" s="1" t="str">
        <f t="shared" si="9439"/>
        <v>0</v>
      </c>
      <c r="I4951" s="1" t="str">
        <f t="shared" si="9439"/>
        <v>0</v>
      </c>
      <c r="J4951" s="1" t="str">
        <f>"3"</f>
        <v>3</v>
      </c>
      <c r="K4951" s="1" t="str">
        <f t="shared" ref="K4951:P4951" si="9440">"0"</f>
        <v>0</v>
      </c>
      <c r="L4951" s="1" t="str">
        <f t="shared" si="9440"/>
        <v>0</v>
      </c>
      <c r="M4951" s="1" t="str">
        <f t="shared" si="9440"/>
        <v>0</v>
      </c>
      <c r="N4951" s="1" t="str">
        <f t="shared" si="9440"/>
        <v>0</v>
      </c>
      <c r="O4951" s="1" t="str">
        <f t="shared" si="9440"/>
        <v>0</v>
      </c>
      <c r="P4951" s="1" t="str">
        <f t="shared" si="9440"/>
        <v>0</v>
      </c>
      <c r="Q4951" s="1" t="str">
        <f t="shared" si="9396"/>
        <v>0.0070</v>
      </c>
      <c r="R4951" s="1" t="s">
        <v>25</v>
      </c>
      <c r="T4951" s="1" t="str">
        <f t="shared" si="9397"/>
        <v>0</v>
      </c>
      <c r="U4951" s="1" t="str">
        <f t="shared" ref="U4951:U4959" si="9441">"0.0070"</f>
        <v>0.0070</v>
      </c>
    </row>
    <row r="4952" s="1" customFormat="1" spans="1:21">
      <c r="A4952" s="1" t="str">
        <f>"4601992156784"</f>
        <v>4601992156784</v>
      </c>
      <c r="B4952" s="1" t="s">
        <v>4975</v>
      </c>
      <c r="C4952" s="1" t="s">
        <v>24</v>
      </c>
      <c r="D4952" s="1" t="str">
        <f t="shared" si="9392"/>
        <v>2021</v>
      </c>
      <c r="E4952" s="1" t="str">
        <f>"24.50"</f>
        <v>24.50</v>
      </c>
      <c r="F4952" s="1" t="str">
        <f t="shared" ref="F4952:I4952" si="9442">"0"</f>
        <v>0</v>
      </c>
      <c r="G4952" s="1" t="str">
        <f t="shared" si="9442"/>
        <v>0</v>
      </c>
      <c r="H4952" s="1" t="str">
        <f t="shared" si="9442"/>
        <v>0</v>
      </c>
      <c r="I4952" s="1" t="str">
        <f t="shared" si="9442"/>
        <v>0</v>
      </c>
      <c r="J4952" s="1" t="str">
        <f t="shared" ref="J4952:J4954" si="9443">"2"</f>
        <v>2</v>
      </c>
      <c r="K4952" s="1" t="str">
        <f t="shared" ref="K4952:P4952" si="9444">"0"</f>
        <v>0</v>
      </c>
      <c r="L4952" s="1" t="str">
        <f t="shared" si="9444"/>
        <v>0</v>
      </c>
      <c r="M4952" s="1" t="str">
        <f t="shared" si="9444"/>
        <v>0</v>
      </c>
      <c r="N4952" s="1" t="str">
        <f t="shared" si="9444"/>
        <v>0</v>
      </c>
      <c r="O4952" s="1" t="str">
        <f t="shared" si="9444"/>
        <v>0</v>
      </c>
      <c r="P4952" s="1" t="str">
        <f t="shared" si="9444"/>
        <v>0</v>
      </c>
      <c r="Q4952" s="1" t="str">
        <f t="shared" si="9396"/>
        <v>0.0070</v>
      </c>
      <c r="R4952" s="1" t="s">
        <v>29</v>
      </c>
      <c r="S4952" s="1">
        <v>-0.0014</v>
      </c>
      <c r="T4952" s="1" t="str">
        <f t="shared" si="9397"/>
        <v>0</v>
      </c>
      <c r="U4952" s="1" t="str">
        <f>"0.0056"</f>
        <v>0.0056</v>
      </c>
    </row>
    <row r="4953" s="1" customFormat="1" spans="1:21">
      <c r="A4953" s="1" t="str">
        <f>"4601992156868"</f>
        <v>4601992156868</v>
      </c>
      <c r="B4953" s="1" t="s">
        <v>4976</v>
      </c>
      <c r="C4953" s="1" t="s">
        <v>24</v>
      </c>
      <c r="D4953" s="1" t="str">
        <f t="shared" si="9392"/>
        <v>2021</v>
      </c>
      <c r="E4953" s="1" t="str">
        <f t="shared" ref="E4953:I4953" si="9445">"0"</f>
        <v>0</v>
      </c>
      <c r="F4953" s="1" t="str">
        <f t="shared" si="9445"/>
        <v>0</v>
      </c>
      <c r="G4953" s="1" t="str">
        <f t="shared" si="9445"/>
        <v>0</v>
      </c>
      <c r="H4953" s="1" t="str">
        <f t="shared" si="9445"/>
        <v>0</v>
      </c>
      <c r="I4953" s="1" t="str">
        <f t="shared" si="9445"/>
        <v>0</v>
      </c>
      <c r="J4953" s="1" t="str">
        <f t="shared" si="9443"/>
        <v>2</v>
      </c>
      <c r="K4953" s="1" t="str">
        <f t="shared" ref="K4953:P4953" si="9446">"0"</f>
        <v>0</v>
      </c>
      <c r="L4953" s="1" t="str">
        <f t="shared" si="9446"/>
        <v>0</v>
      </c>
      <c r="M4953" s="1" t="str">
        <f t="shared" si="9446"/>
        <v>0</v>
      </c>
      <c r="N4953" s="1" t="str">
        <f t="shared" si="9446"/>
        <v>0</v>
      </c>
      <c r="O4953" s="1" t="str">
        <f t="shared" si="9446"/>
        <v>0</v>
      </c>
      <c r="P4953" s="1" t="str">
        <f t="shared" si="9446"/>
        <v>0</v>
      </c>
      <c r="Q4953" s="1" t="str">
        <f t="shared" si="9396"/>
        <v>0.0070</v>
      </c>
      <c r="R4953" s="1" t="s">
        <v>25</v>
      </c>
      <c r="T4953" s="1" t="str">
        <f t="shared" si="9397"/>
        <v>0</v>
      </c>
      <c r="U4953" s="1" t="str">
        <f t="shared" si="9441"/>
        <v>0.0070</v>
      </c>
    </row>
    <row r="4954" s="1" customFormat="1" spans="1:21">
      <c r="A4954" s="1" t="str">
        <f>"4601992156935"</f>
        <v>4601992156935</v>
      </c>
      <c r="B4954" s="1" t="s">
        <v>4977</v>
      </c>
      <c r="C4954" s="1" t="s">
        <v>24</v>
      </c>
      <c r="D4954" s="1" t="str">
        <f t="shared" si="9392"/>
        <v>2021</v>
      </c>
      <c r="E4954" s="1" t="str">
        <f t="shared" ref="E4954:I4954" si="9447">"0"</f>
        <v>0</v>
      </c>
      <c r="F4954" s="1" t="str">
        <f t="shared" si="9447"/>
        <v>0</v>
      </c>
      <c r="G4954" s="1" t="str">
        <f t="shared" si="9447"/>
        <v>0</v>
      </c>
      <c r="H4954" s="1" t="str">
        <f t="shared" si="9447"/>
        <v>0</v>
      </c>
      <c r="I4954" s="1" t="str">
        <f t="shared" si="9447"/>
        <v>0</v>
      </c>
      <c r="J4954" s="1" t="str">
        <f t="shared" si="9443"/>
        <v>2</v>
      </c>
      <c r="K4954" s="1" t="str">
        <f t="shared" ref="K4954:P4954" si="9448">"0"</f>
        <v>0</v>
      </c>
      <c r="L4954" s="1" t="str">
        <f t="shared" si="9448"/>
        <v>0</v>
      </c>
      <c r="M4954" s="1" t="str">
        <f t="shared" si="9448"/>
        <v>0</v>
      </c>
      <c r="N4954" s="1" t="str">
        <f t="shared" si="9448"/>
        <v>0</v>
      </c>
      <c r="O4954" s="1" t="str">
        <f t="shared" si="9448"/>
        <v>0</v>
      </c>
      <c r="P4954" s="1" t="str">
        <f t="shared" si="9448"/>
        <v>0</v>
      </c>
      <c r="Q4954" s="1" t="str">
        <f t="shared" si="9396"/>
        <v>0.0070</v>
      </c>
      <c r="R4954" s="1" t="s">
        <v>25</v>
      </c>
      <c r="T4954" s="1" t="str">
        <f t="shared" si="9397"/>
        <v>0</v>
      </c>
      <c r="U4954" s="1" t="str">
        <f t="shared" si="9441"/>
        <v>0.0070</v>
      </c>
    </row>
    <row r="4955" s="1" customFormat="1" spans="1:21">
      <c r="A4955" s="1" t="str">
        <f>"4601992156564"</f>
        <v>4601992156564</v>
      </c>
      <c r="B4955" s="1" t="s">
        <v>4978</v>
      </c>
      <c r="C4955" s="1" t="s">
        <v>24</v>
      </c>
      <c r="D4955" s="1" t="str">
        <f t="shared" si="9392"/>
        <v>2021</v>
      </c>
      <c r="E4955" s="1" t="str">
        <f t="shared" ref="E4955:I4955" si="9449">"0"</f>
        <v>0</v>
      </c>
      <c r="F4955" s="1" t="str">
        <f t="shared" si="9449"/>
        <v>0</v>
      </c>
      <c r="G4955" s="1" t="str">
        <f t="shared" si="9449"/>
        <v>0</v>
      </c>
      <c r="H4955" s="1" t="str">
        <f t="shared" si="9449"/>
        <v>0</v>
      </c>
      <c r="I4955" s="1" t="str">
        <f t="shared" si="9449"/>
        <v>0</v>
      </c>
      <c r="J4955" s="1" t="str">
        <f t="shared" ref="J4955:J4959" si="9450">"1"</f>
        <v>1</v>
      </c>
      <c r="K4955" s="1" t="str">
        <f t="shared" ref="K4955:P4955" si="9451">"0"</f>
        <v>0</v>
      </c>
      <c r="L4955" s="1" t="str">
        <f t="shared" si="9451"/>
        <v>0</v>
      </c>
      <c r="M4955" s="1" t="str">
        <f t="shared" si="9451"/>
        <v>0</v>
      </c>
      <c r="N4955" s="1" t="str">
        <f t="shared" si="9451"/>
        <v>0</v>
      </c>
      <c r="O4955" s="1" t="str">
        <f t="shared" si="9451"/>
        <v>0</v>
      </c>
      <c r="P4955" s="1" t="str">
        <f t="shared" si="9451"/>
        <v>0</v>
      </c>
      <c r="Q4955" s="1" t="str">
        <f t="shared" si="9396"/>
        <v>0.0070</v>
      </c>
      <c r="R4955" s="1" t="s">
        <v>25</v>
      </c>
      <c r="T4955" s="1" t="str">
        <f t="shared" si="9397"/>
        <v>0</v>
      </c>
      <c r="U4955" s="1" t="str">
        <f t="shared" si="9441"/>
        <v>0.0070</v>
      </c>
    </row>
    <row r="4956" s="1" customFormat="1" spans="1:21">
      <c r="A4956" s="1" t="str">
        <f>"4601992156939"</f>
        <v>4601992156939</v>
      </c>
      <c r="B4956" s="1" t="s">
        <v>4979</v>
      </c>
      <c r="C4956" s="1" t="s">
        <v>24</v>
      </c>
      <c r="D4956" s="1" t="str">
        <f t="shared" si="9392"/>
        <v>2021</v>
      </c>
      <c r="E4956" s="1" t="str">
        <f t="shared" ref="E4956:I4956" si="9452">"0"</f>
        <v>0</v>
      </c>
      <c r="F4956" s="1" t="str">
        <f t="shared" si="9452"/>
        <v>0</v>
      </c>
      <c r="G4956" s="1" t="str">
        <f t="shared" si="9452"/>
        <v>0</v>
      </c>
      <c r="H4956" s="1" t="str">
        <f t="shared" si="9452"/>
        <v>0</v>
      </c>
      <c r="I4956" s="1" t="str">
        <f t="shared" si="9452"/>
        <v>0</v>
      </c>
      <c r="J4956" s="1" t="str">
        <f t="shared" si="9450"/>
        <v>1</v>
      </c>
      <c r="K4956" s="1" t="str">
        <f t="shared" ref="K4956:P4956" si="9453">"0"</f>
        <v>0</v>
      </c>
      <c r="L4956" s="1" t="str">
        <f t="shared" si="9453"/>
        <v>0</v>
      </c>
      <c r="M4956" s="1" t="str">
        <f t="shared" si="9453"/>
        <v>0</v>
      </c>
      <c r="N4956" s="1" t="str">
        <f t="shared" si="9453"/>
        <v>0</v>
      </c>
      <c r="O4956" s="1" t="str">
        <f t="shared" si="9453"/>
        <v>0</v>
      </c>
      <c r="P4956" s="1" t="str">
        <f t="shared" si="9453"/>
        <v>0</v>
      </c>
      <c r="Q4956" s="1" t="str">
        <f t="shared" si="9396"/>
        <v>0.0070</v>
      </c>
      <c r="R4956" s="1" t="s">
        <v>25</v>
      </c>
      <c r="T4956" s="1" t="str">
        <f t="shared" si="9397"/>
        <v>0</v>
      </c>
      <c r="U4956" s="1" t="str">
        <f t="shared" si="9441"/>
        <v>0.0070</v>
      </c>
    </row>
    <row r="4957" s="1" customFormat="1" spans="1:21">
      <c r="A4957" s="1" t="str">
        <f>"4601992156930"</f>
        <v>4601992156930</v>
      </c>
      <c r="B4957" s="1" t="s">
        <v>4980</v>
      </c>
      <c r="C4957" s="1" t="s">
        <v>24</v>
      </c>
      <c r="D4957" s="1" t="str">
        <f t="shared" si="9392"/>
        <v>2021</v>
      </c>
      <c r="E4957" s="1" t="str">
        <f t="shared" ref="E4957:I4957" si="9454">"0"</f>
        <v>0</v>
      </c>
      <c r="F4957" s="1" t="str">
        <f t="shared" si="9454"/>
        <v>0</v>
      </c>
      <c r="G4957" s="1" t="str">
        <f t="shared" si="9454"/>
        <v>0</v>
      </c>
      <c r="H4957" s="1" t="str">
        <f t="shared" si="9454"/>
        <v>0</v>
      </c>
      <c r="I4957" s="1" t="str">
        <f t="shared" si="9454"/>
        <v>0</v>
      </c>
      <c r="J4957" s="1" t="str">
        <f>"5"</f>
        <v>5</v>
      </c>
      <c r="K4957" s="1" t="str">
        <f t="shared" ref="K4957:P4957" si="9455">"0"</f>
        <v>0</v>
      </c>
      <c r="L4957" s="1" t="str">
        <f t="shared" si="9455"/>
        <v>0</v>
      </c>
      <c r="M4957" s="1" t="str">
        <f t="shared" si="9455"/>
        <v>0</v>
      </c>
      <c r="N4957" s="1" t="str">
        <f t="shared" si="9455"/>
        <v>0</v>
      </c>
      <c r="O4957" s="1" t="str">
        <f t="shared" si="9455"/>
        <v>0</v>
      </c>
      <c r="P4957" s="1" t="str">
        <f t="shared" si="9455"/>
        <v>0</v>
      </c>
      <c r="Q4957" s="1" t="str">
        <f t="shared" si="9396"/>
        <v>0.0070</v>
      </c>
      <c r="R4957" s="1" t="s">
        <v>25</v>
      </c>
      <c r="T4957" s="1" t="str">
        <f t="shared" si="9397"/>
        <v>0</v>
      </c>
      <c r="U4957" s="1" t="str">
        <f t="shared" si="9441"/>
        <v>0.0070</v>
      </c>
    </row>
    <row r="4958" s="1" customFormat="1" spans="1:21">
      <c r="A4958" s="1" t="str">
        <f>"4601992157174"</f>
        <v>4601992157174</v>
      </c>
      <c r="B4958" s="1" t="s">
        <v>4981</v>
      </c>
      <c r="C4958" s="1" t="s">
        <v>24</v>
      </c>
      <c r="D4958" s="1" t="str">
        <f t="shared" si="9392"/>
        <v>2021</v>
      </c>
      <c r="E4958" s="1" t="str">
        <f t="shared" ref="E4958:P4958" si="9456">"0"</f>
        <v>0</v>
      </c>
      <c r="F4958" s="1" t="str">
        <f t="shared" si="9456"/>
        <v>0</v>
      </c>
      <c r="G4958" s="1" t="str">
        <f t="shared" si="9456"/>
        <v>0</v>
      </c>
      <c r="H4958" s="1" t="str">
        <f t="shared" si="9456"/>
        <v>0</v>
      </c>
      <c r="I4958" s="1" t="str">
        <f t="shared" si="9456"/>
        <v>0</v>
      </c>
      <c r="J4958" s="1" t="str">
        <f t="shared" si="9456"/>
        <v>0</v>
      </c>
      <c r="K4958" s="1" t="str">
        <f t="shared" si="9456"/>
        <v>0</v>
      </c>
      <c r="L4958" s="1" t="str">
        <f t="shared" si="9456"/>
        <v>0</v>
      </c>
      <c r="M4958" s="1" t="str">
        <f t="shared" si="9456"/>
        <v>0</v>
      </c>
      <c r="N4958" s="1" t="str">
        <f t="shared" si="9456"/>
        <v>0</v>
      </c>
      <c r="O4958" s="1" t="str">
        <f t="shared" si="9456"/>
        <v>0</v>
      </c>
      <c r="P4958" s="1" t="str">
        <f t="shared" si="9456"/>
        <v>0</v>
      </c>
      <c r="Q4958" s="1" t="str">
        <f t="shared" si="9396"/>
        <v>0.0070</v>
      </c>
      <c r="R4958" s="1" t="s">
        <v>25</v>
      </c>
      <c r="T4958" s="1" t="str">
        <f t="shared" si="9397"/>
        <v>0</v>
      </c>
      <c r="U4958" s="1" t="str">
        <f t="shared" si="9441"/>
        <v>0.0070</v>
      </c>
    </row>
    <row r="4959" s="1" customFormat="1" spans="1:21">
      <c r="A4959" s="1" t="str">
        <f>"4601992157083"</f>
        <v>4601992157083</v>
      </c>
      <c r="B4959" s="1" t="s">
        <v>4982</v>
      </c>
      <c r="C4959" s="1" t="s">
        <v>24</v>
      </c>
      <c r="D4959" s="1" t="str">
        <f t="shared" si="9392"/>
        <v>2021</v>
      </c>
      <c r="E4959" s="1" t="str">
        <f t="shared" ref="E4959:I4959" si="9457">"0"</f>
        <v>0</v>
      </c>
      <c r="F4959" s="1" t="str">
        <f t="shared" si="9457"/>
        <v>0</v>
      </c>
      <c r="G4959" s="1" t="str">
        <f t="shared" si="9457"/>
        <v>0</v>
      </c>
      <c r="H4959" s="1" t="str">
        <f t="shared" si="9457"/>
        <v>0</v>
      </c>
      <c r="I4959" s="1" t="str">
        <f t="shared" si="9457"/>
        <v>0</v>
      </c>
      <c r="J4959" s="1" t="str">
        <f t="shared" si="9450"/>
        <v>1</v>
      </c>
      <c r="K4959" s="1" t="str">
        <f t="shared" ref="K4959:P4959" si="9458">"0"</f>
        <v>0</v>
      </c>
      <c r="L4959" s="1" t="str">
        <f t="shared" si="9458"/>
        <v>0</v>
      </c>
      <c r="M4959" s="1" t="str">
        <f t="shared" si="9458"/>
        <v>0</v>
      </c>
      <c r="N4959" s="1" t="str">
        <f t="shared" si="9458"/>
        <v>0</v>
      </c>
      <c r="O4959" s="1" t="str">
        <f t="shared" si="9458"/>
        <v>0</v>
      </c>
      <c r="P4959" s="1" t="str">
        <f t="shared" si="9458"/>
        <v>0</v>
      </c>
      <c r="Q4959" s="1" t="str">
        <f t="shared" si="9396"/>
        <v>0.0070</v>
      </c>
      <c r="R4959" s="1" t="s">
        <v>25</v>
      </c>
      <c r="T4959" s="1" t="str">
        <f t="shared" si="9397"/>
        <v>0</v>
      </c>
      <c r="U4959" s="1" t="str">
        <f t="shared" si="9441"/>
        <v>0.0070</v>
      </c>
    </row>
    <row r="4960" s="1" customFormat="1" spans="1:21">
      <c r="A4960" s="1" t="str">
        <f>"4601992013110"</f>
        <v>4601992013110</v>
      </c>
      <c r="B4960" s="1" t="s">
        <v>4983</v>
      </c>
      <c r="C4960" s="1" t="s">
        <v>24</v>
      </c>
      <c r="D4960" s="1" t="str">
        <f t="shared" si="9392"/>
        <v>2021</v>
      </c>
      <c r="E4960" s="1" t="str">
        <f>"48.36"</f>
        <v>48.36</v>
      </c>
      <c r="F4960" s="1" t="str">
        <f t="shared" ref="F4960:I4960" si="9459">"0"</f>
        <v>0</v>
      </c>
      <c r="G4960" s="1" t="str">
        <f t="shared" si="9459"/>
        <v>0</v>
      </c>
      <c r="H4960" s="1" t="str">
        <f t="shared" si="9459"/>
        <v>0</v>
      </c>
      <c r="I4960" s="1" t="str">
        <f t="shared" si="9459"/>
        <v>0</v>
      </c>
      <c r="J4960" s="1" t="str">
        <f>"4"</f>
        <v>4</v>
      </c>
      <c r="K4960" s="1" t="str">
        <f t="shared" ref="K4960:P4960" si="9460">"0"</f>
        <v>0</v>
      </c>
      <c r="L4960" s="1" t="str">
        <f t="shared" si="9460"/>
        <v>0</v>
      </c>
      <c r="M4960" s="1" t="str">
        <f t="shared" si="9460"/>
        <v>0</v>
      </c>
      <c r="N4960" s="1" t="str">
        <f t="shared" si="9460"/>
        <v>0</v>
      </c>
      <c r="O4960" s="1" t="str">
        <f t="shared" si="9460"/>
        <v>0</v>
      </c>
      <c r="P4960" s="1" t="str">
        <f t="shared" si="9460"/>
        <v>0</v>
      </c>
      <c r="Q4960" s="1" t="str">
        <f t="shared" si="9396"/>
        <v>0.0070</v>
      </c>
      <c r="R4960" s="1" t="s">
        <v>29</v>
      </c>
      <c r="S4960" s="1">
        <v>-0.0014</v>
      </c>
      <c r="T4960" s="1" t="str">
        <f t="shared" si="9397"/>
        <v>0</v>
      </c>
      <c r="U4960" s="1" t="str">
        <f>"0.0056"</f>
        <v>0.0056</v>
      </c>
    </row>
    <row r="4961" s="1" customFormat="1" spans="1:21">
      <c r="A4961" s="1" t="str">
        <f>"4601992157005"</f>
        <v>4601992157005</v>
      </c>
      <c r="B4961" s="1" t="s">
        <v>4984</v>
      </c>
      <c r="C4961" s="1" t="s">
        <v>24</v>
      </c>
      <c r="D4961" s="1" t="str">
        <f t="shared" si="9392"/>
        <v>2021</v>
      </c>
      <c r="E4961" s="1" t="str">
        <f t="shared" ref="E4961:I4961" si="9461">"0"</f>
        <v>0</v>
      </c>
      <c r="F4961" s="1" t="str">
        <f t="shared" si="9461"/>
        <v>0</v>
      </c>
      <c r="G4961" s="1" t="str">
        <f t="shared" si="9461"/>
        <v>0</v>
      </c>
      <c r="H4961" s="1" t="str">
        <f t="shared" si="9461"/>
        <v>0</v>
      </c>
      <c r="I4961" s="1" t="str">
        <f t="shared" si="9461"/>
        <v>0</v>
      </c>
      <c r="J4961" s="1" t="str">
        <f>"8"</f>
        <v>8</v>
      </c>
      <c r="K4961" s="1" t="str">
        <f t="shared" ref="K4961:P4961" si="9462">"0"</f>
        <v>0</v>
      </c>
      <c r="L4961" s="1" t="str">
        <f t="shared" si="9462"/>
        <v>0</v>
      </c>
      <c r="M4961" s="1" t="str">
        <f t="shared" si="9462"/>
        <v>0</v>
      </c>
      <c r="N4961" s="1" t="str">
        <f t="shared" si="9462"/>
        <v>0</v>
      </c>
      <c r="O4961" s="1" t="str">
        <f t="shared" si="9462"/>
        <v>0</v>
      </c>
      <c r="P4961" s="1" t="str">
        <f t="shared" si="9462"/>
        <v>0</v>
      </c>
      <c r="Q4961" s="1" t="str">
        <f t="shared" si="9396"/>
        <v>0.0070</v>
      </c>
      <c r="R4961" s="1" t="s">
        <v>25</v>
      </c>
      <c r="T4961" s="1" t="str">
        <f t="shared" si="9397"/>
        <v>0</v>
      </c>
      <c r="U4961" s="1" t="str">
        <f t="shared" ref="U4961:U4970" si="9463">"0.0070"</f>
        <v>0.0070</v>
      </c>
    </row>
    <row r="4962" s="1" customFormat="1" spans="1:21">
      <c r="A4962" s="1" t="str">
        <f>"4601992157289"</f>
        <v>4601992157289</v>
      </c>
      <c r="B4962" s="1" t="s">
        <v>4985</v>
      </c>
      <c r="C4962" s="1" t="s">
        <v>24</v>
      </c>
      <c r="D4962" s="1" t="str">
        <f t="shared" si="9392"/>
        <v>2021</v>
      </c>
      <c r="E4962" s="1" t="str">
        <f t="shared" ref="E4962:I4962" si="9464">"0"</f>
        <v>0</v>
      </c>
      <c r="F4962" s="1" t="str">
        <f t="shared" si="9464"/>
        <v>0</v>
      </c>
      <c r="G4962" s="1" t="str">
        <f t="shared" si="9464"/>
        <v>0</v>
      </c>
      <c r="H4962" s="1" t="str">
        <f t="shared" si="9464"/>
        <v>0</v>
      </c>
      <c r="I4962" s="1" t="str">
        <f t="shared" si="9464"/>
        <v>0</v>
      </c>
      <c r="J4962" s="1" t="str">
        <f>"4"</f>
        <v>4</v>
      </c>
      <c r="K4962" s="1" t="str">
        <f t="shared" ref="K4962:P4962" si="9465">"0"</f>
        <v>0</v>
      </c>
      <c r="L4962" s="1" t="str">
        <f t="shared" si="9465"/>
        <v>0</v>
      </c>
      <c r="M4962" s="1" t="str">
        <f t="shared" si="9465"/>
        <v>0</v>
      </c>
      <c r="N4962" s="1" t="str">
        <f t="shared" si="9465"/>
        <v>0</v>
      </c>
      <c r="O4962" s="1" t="str">
        <f t="shared" si="9465"/>
        <v>0</v>
      </c>
      <c r="P4962" s="1" t="str">
        <f t="shared" si="9465"/>
        <v>0</v>
      </c>
      <c r="Q4962" s="1" t="str">
        <f t="shared" si="9396"/>
        <v>0.0070</v>
      </c>
      <c r="R4962" s="1" t="s">
        <v>25</v>
      </c>
      <c r="T4962" s="1" t="str">
        <f t="shared" si="9397"/>
        <v>0</v>
      </c>
      <c r="U4962" s="1" t="str">
        <f t="shared" si="9463"/>
        <v>0.0070</v>
      </c>
    </row>
    <row r="4963" s="1" customFormat="1" spans="1:21">
      <c r="A4963" s="1" t="str">
        <f>"4601992157404"</f>
        <v>4601992157404</v>
      </c>
      <c r="B4963" s="1" t="s">
        <v>4986</v>
      </c>
      <c r="C4963" s="1" t="s">
        <v>24</v>
      </c>
      <c r="D4963" s="1" t="str">
        <f t="shared" si="9392"/>
        <v>2021</v>
      </c>
      <c r="E4963" s="1" t="str">
        <f t="shared" ref="E4963:P4963" si="9466">"0"</f>
        <v>0</v>
      </c>
      <c r="F4963" s="1" t="str">
        <f t="shared" si="9466"/>
        <v>0</v>
      </c>
      <c r="G4963" s="1" t="str">
        <f t="shared" si="9466"/>
        <v>0</v>
      </c>
      <c r="H4963" s="1" t="str">
        <f t="shared" si="9466"/>
        <v>0</v>
      </c>
      <c r="I4963" s="1" t="str">
        <f t="shared" si="9466"/>
        <v>0</v>
      </c>
      <c r="J4963" s="1" t="str">
        <f t="shared" si="9466"/>
        <v>0</v>
      </c>
      <c r="K4963" s="1" t="str">
        <f t="shared" si="9466"/>
        <v>0</v>
      </c>
      <c r="L4963" s="1" t="str">
        <f t="shared" si="9466"/>
        <v>0</v>
      </c>
      <c r="M4963" s="1" t="str">
        <f t="shared" si="9466"/>
        <v>0</v>
      </c>
      <c r="N4963" s="1" t="str">
        <f t="shared" si="9466"/>
        <v>0</v>
      </c>
      <c r="O4963" s="1" t="str">
        <f t="shared" si="9466"/>
        <v>0</v>
      </c>
      <c r="P4963" s="1" t="str">
        <f t="shared" si="9466"/>
        <v>0</v>
      </c>
      <c r="Q4963" s="1" t="str">
        <f t="shared" si="9396"/>
        <v>0.0070</v>
      </c>
      <c r="R4963" s="1" t="s">
        <v>25</v>
      </c>
      <c r="T4963" s="1" t="str">
        <f t="shared" si="9397"/>
        <v>0</v>
      </c>
      <c r="U4963" s="1" t="str">
        <f t="shared" si="9463"/>
        <v>0.0070</v>
      </c>
    </row>
    <row r="4964" s="1" customFormat="1" spans="1:21">
      <c r="A4964" s="1" t="str">
        <f>"4601992157465"</f>
        <v>4601992157465</v>
      </c>
      <c r="B4964" s="1" t="s">
        <v>4987</v>
      </c>
      <c r="C4964" s="1" t="s">
        <v>24</v>
      </c>
      <c r="D4964" s="1" t="str">
        <f t="shared" si="9392"/>
        <v>2021</v>
      </c>
      <c r="E4964" s="1" t="str">
        <f t="shared" ref="E4964:P4964" si="9467">"0"</f>
        <v>0</v>
      </c>
      <c r="F4964" s="1" t="str">
        <f t="shared" si="9467"/>
        <v>0</v>
      </c>
      <c r="G4964" s="1" t="str">
        <f t="shared" si="9467"/>
        <v>0</v>
      </c>
      <c r="H4964" s="1" t="str">
        <f t="shared" si="9467"/>
        <v>0</v>
      </c>
      <c r="I4964" s="1" t="str">
        <f t="shared" si="9467"/>
        <v>0</v>
      </c>
      <c r="J4964" s="1" t="str">
        <f t="shared" si="9467"/>
        <v>0</v>
      </c>
      <c r="K4964" s="1" t="str">
        <f t="shared" si="9467"/>
        <v>0</v>
      </c>
      <c r="L4964" s="1" t="str">
        <f t="shared" si="9467"/>
        <v>0</v>
      </c>
      <c r="M4964" s="1" t="str">
        <f t="shared" si="9467"/>
        <v>0</v>
      </c>
      <c r="N4964" s="1" t="str">
        <f t="shared" si="9467"/>
        <v>0</v>
      </c>
      <c r="O4964" s="1" t="str">
        <f t="shared" si="9467"/>
        <v>0</v>
      </c>
      <c r="P4964" s="1" t="str">
        <f t="shared" si="9467"/>
        <v>0</v>
      </c>
      <c r="Q4964" s="1" t="str">
        <f t="shared" si="9396"/>
        <v>0.0070</v>
      </c>
      <c r="R4964" s="1" t="s">
        <v>25</v>
      </c>
      <c r="T4964" s="1" t="str">
        <f t="shared" si="9397"/>
        <v>0</v>
      </c>
      <c r="U4964" s="1" t="str">
        <f t="shared" si="9463"/>
        <v>0.0070</v>
      </c>
    </row>
    <row r="4965" s="1" customFormat="1" spans="1:21">
      <c r="A4965" s="1" t="str">
        <f>"4601992157336"</f>
        <v>4601992157336</v>
      </c>
      <c r="B4965" s="1" t="s">
        <v>4988</v>
      </c>
      <c r="C4965" s="1" t="s">
        <v>24</v>
      </c>
      <c r="D4965" s="1" t="str">
        <f t="shared" si="9392"/>
        <v>2021</v>
      </c>
      <c r="E4965" s="1" t="str">
        <f t="shared" ref="E4965:I4965" si="9468">"0"</f>
        <v>0</v>
      </c>
      <c r="F4965" s="1" t="str">
        <f t="shared" si="9468"/>
        <v>0</v>
      </c>
      <c r="G4965" s="1" t="str">
        <f t="shared" si="9468"/>
        <v>0</v>
      </c>
      <c r="H4965" s="1" t="str">
        <f t="shared" si="9468"/>
        <v>0</v>
      </c>
      <c r="I4965" s="1" t="str">
        <f t="shared" si="9468"/>
        <v>0</v>
      </c>
      <c r="J4965" s="1" t="str">
        <f>"1"</f>
        <v>1</v>
      </c>
      <c r="K4965" s="1" t="str">
        <f t="shared" ref="K4965:P4965" si="9469">"0"</f>
        <v>0</v>
      </c>
      <c r="L4965" s="1" t="str">
        <f t="shared" si="9469"/>
        <v>0</v>
      </c>
      <c r="M4965" s="1" t="str">
        <f t="shared" si="9469"/>
        <v>0</v>
      </c>
      <c r="N4965" s="1" t="str">
        <f t="shared" si="9469"/>
        <v>0</v>
      </c>
      <c r="O4965" s="1" t="str">
        <f t="shared" si="9469"/>
        <v>0</v>
      </c>
      <c r="P4965" s="1" t="str">
        <f t="shared" si="9469"/>
        <v>0</v>
      </c>
      <c r="Q4965" s="1" t="str">
        <f t="shared" si="9396"/>
        <v>0.0070</v>
      </c>
      <c r="R4965" s="1" t="s">
        <v>25</v>
      </c>
      <c r="T4965" s="1" t="str">
        <f t="shared" si="9397"/>
        <v>0</v>
      </c>
      <c r="U4965" s="1" t="str">
        <f t="shared" si="9463"/>
        <v>0.0070</v>
      </c>
    </row>
    <row r="4966" s="1" customFormat="1" spans="1:21">
      <c r="A4966" s="1" t="str">
        <f>"4601992157545"</f>
        <v>4601992157545</v>
      </c>
      <c r="B4966" s="1" t="s">
        <v>4989</v>
      </c>
      <c r="C4966" s="1" t="s">
        <v>24</v>
      </c>
      <c r="D4966" s="1" t="str">
        <f t="shared" si="9392"/>
        <v>2021</v>
      </c>
      <c r="E4966" s="1" t="str">
        <f t="shared" ref="E4966:P4966" si="9470">"0"</f>
        <v>0</v>
      </c>
      <c r="F4966" s="1" t="str">
        <f t="shared" si="9470"/>
        <v>0</v>
      </c>
      <c r="G4966" s="1" t="str">
        <f t="shared" si="9470"/>
        <v>0</v>
      </c>
      <c r="H4966" s="1" t="str">
        <f t="shared" si="9470"/>
        <v>0</v>
      </c>
      <c r="I4966" s="1" t="str">
        <f t="shared" si="9470"/>
        <v>0</v>
      </c>
      <c r="J4966" s="1" t="str">
        <f t="shared" si="9470"/>
        <v>0</v>
      </c>
      <c r="K4966" s="1" t="str">
        <f t="shared" si="9470"/>
        <v>0</v>
      </c>
      <c r="L4966" s="1" t="str">
        <f t="shared" si="9470"/>
        <v>0</v>
      </c>
      <c r="M4966" s="1" t="str">
        <f t="shared" si="9470"/>
        <v>0</v>
      </c>
      <c r="N4966" s="1" t="str">
        <f t="shared" si="9470"/>
        <v>0</v>
      </c>
      <c r="O4966" s="1" t="str">
        <f t="shared" si="9470"/>
        <v>0</v>
      </c>
      <c r="P4966" s="1" t="str">
        <f t="shared" si="9470"/>
        <v>0</v>
      </c>
      <c r="Q4966" s="1" t="str">
        <f t="shared" si="9396"/>
        <v>0.0070</v>
      </c>
      <c r="R4966" s="1" t="s">
        <v>25</v>
      </c>
      <c r="T4966" s="1" t="str">
        <f t="shared" si="9397"/>
        <v>0</v>
      </c>
      <c r="U4966" s="1" t="str">
        <f t="shared" si="9463"/>
        <v>0.0070</v>
      </c>
    </row>
    <row r="4967" s="1" customFormat="1" spans="1:21">
      <c r="A4967" s="1" t="str">
        <f>"4601992157640"</f>
        <v>4601992157640</v>
      </c>
      <c r="B4967" s="1" t="s">
        <v>4990</v>
      </c>
      <c r="C4967" s="1" t="s">
        <v>24</v>
      </c>
      <c r="D4967" s="1" t="str">
        <f t="shared" si="9392"/>
        <v>2021</v>
      </c>
      <c r="E4967" s="1" t="str">
        <f t="shared" ref="E4967:P4967" si="9471">"0"</f>
        <v>0</v>
      </c>
      <c r="F4967" s="1" t="str">
        <f t="shared" si="9471"/>
        <v>0</v>
      </c>
      <c r="G4967" s="1" t="str">
        <f t="shared" si="9471"/>
        <v>0</v>
      </c>
      <c r="H4967" s="1" t="str">
        <f t="shared" si="9471"/>
        <v>0</v>
      </c>
      <c r="I4967" s="1" t="str">
        <f t="shared" si="9471"/>
        <v>0</v>
      </c>
      <c r="J4967" s="1" t="str">
        <f t="shared" si="9471"/>
        <v>0</v>
      </c>
      <c r="K4967" s="1" t="str">
        <f t="shared" si="9471"/>
        <v>0</v>
      </c>
      <c r="L4967" s="1" t="str">
        <f t="shared" si="9471"/>
        <v>0</v>
      </c>
      <c r="M4967" s="1" t="str">
        <f t="shared" si="9471"/>
        <v>0</v>
      </c>
      <c r="N4967" s="1" t="str">
        <f t="shared" si="9471"/>
        <v>0</v>
      </c>
      <c r="O4967" s="1" t="str">
        <f t="shared" si="9471"/>
        <v>0</v>
      </c>
      <c r="P4967" s="1" t="str">
        <f t="shared" si="9471"/>
        <v>0</v>
      </c>
      <c r="Q4967" s="1" t="str">
        <f t="shared" si="9396"/>
        <v>0.0070</v>
      </c>
      <c r="R4967" s="1" t="s">
        <v>25</v>
      </c>
      <c r="T4967" s="1" t="str">
        <f t="shared" si="9397"/>
        <v>0</v>
      </c>
      <c r="U4967" s="1" t="str">
        <f t="shared" si="9463"/>
        <v>0.0070</v>
      </c>
    </row>
    <row r="4968" s="1" customFormat="1" spans="1:21">
      <c r="A4968" s="1" t="str">
        <f>"4601992157831"</f>
        <v>4601992157831</v>
      </c>
      <c r="B4968" s="1" t="s">
        <v>4991</v>
      </c>
      <c r="C4968" s="1" t="s">
        <v>24</v>
      </c>
      <c r="D4968" s="1" t="str">
        <f t="shared" si="9392"/>
        <v>2021</v>
      </c>
      <c r="E4968" s="1" t="str">
        <f t="shared" ref="E4968:P4968" si="9472">"0"</f>
        <v>0</v>
      </c>
      <c r="F4968" s="1" t="str">
        <f t="shared" si="9472"/>
        <v>0</v>
      </c>
      <c r="G4968" s="1" t="str">
        <f t="shared" si="9472"/>
        <v>0</v>
      </c>
      <c r="H4968" s="1" t="str">
        <f t="shared" si="9472"/>
        <v>0</v>
      </c>
      <c r="I4968" s="1" t="str">
        <f t="shared" si="9472"/>
        <v>0</v>
      </c>
      <c r="J4968" s="1" t="str">
        <f t="shared" si="9472"/>
        <v>0</v>
      </c>
      <c r="K4968" s="1" t="str">
        <f t="shared" si="9472"/>
        <v>0</v>
      </c>
      <c r="L4968" s="1" t="str">
        <f t="shared" si="9472"/>
        <v>0</v>
      </c>
      <c r="M4968" s="1" t="str">
        <f t="shared" si="9472"/>
        <v>0</v>
      </c>
      <c r="N4968" s="1" t="str">
        <f t="shared" si="9472"/>
        <v>0</v>
      </c>
      <c r="O4968" s="1" t="str">
        <f t="shared" si="9472"/>
        <v>0</v>
      </c>
      <c r="P4968" s="1" t="str">
        <f t="shared" si="9472"/>
        <v>0</v>
      </c>
      <c r="Q4968" s="1" t="str">
        <f t="shared" si="9396"/>
        <v>0.0070</v>
      </c>
      <c r="R4968" s="1" t="s">
        <v>25</v>
      </c>
      <c r="T4968" s="1" t="str">
        <f t="shared" si="9397"/>
        <v>0</v>
      </c>
      <c r="U4968" s="1" t="str">
        <f t="shared" si="9463"/>
        <v>0.0070</v>
      </c>
    </row>
    <row r="4969" s="1" customFormat="1" spans="1:21">
      <c r="A4969" s="1" t="str">
        <f>"4601992157951"</f>
        <v>4601992157951</v>
      </c>
      <c r="B4969" s="1" t="s">
        <v>4992</v>
      </c>
      <c r="C4969" s="1" t="s">
        <v>24</v>
      </c>
      <c r="D4969" s="1" t="str">
        <f t="shared" si="9392"/>
        <v>2021</v>
      </c>
      <c r="E4969" s="1" t="str">
        <f t="shared" ref="E4969:P4969" si="9473">"0"</f>
        <v>0</v>
      </c>
      <c r="F4969" s="1" t="str">
        <f t="shared" si="9473"/>
        <v>0</v>
      </c>
      <c r="G4969" s="1" t="str">
        <f t="shared" si="9473"/>
        <v>0</v>
      </c>
      <c r="H4969" s="1" t="str">
        <f t="shared" si="9473"/>
        <v>0</v>
      </c>
      <c r="I4969" s="1" t="str">
        <f t="shared" si="9473"/>
        <v>0</v>
      </c>
      <c r="J4969" s="1" t="str">
        <f t="shared" si="9473"/>
        <v>0</v>
      </c>
      <c r="K4969" s="1" t="str">
        <f t="shared" si="9473"/>
        <v>0</v>
      </c>
      <c r="L4969" s="1" t="str">
        <f t="shared" si="9473"/>
        <v>0</v>
      </c>
      <c r="M4969" s="1" t="str">
        <f t="shared" si="9473"/>
        <v>0</v>
      </c>
      <c r="N4969" s="1" t="str">
        <f t="shared" si="9473"/>
        <v>0</v>
      </c>
      <c r="O4969" s="1" t="str">
        <f t="shared" si="9473"/>
        <v>0</v>
      </c>
      <c r="P4969" s="1" t="str">
        <f t="shared" si="9473"/>
        <v>0</v>
      </c>
      <c r="Q4969" s="1" t="str">
        <f t="shared" si="9396"/>
        <v>0.0070</v>
      </c>
      <c r="R4969" s="1" t="s">
        <v>25</v>
      </c>
      <c r="T4969" s="1" t="str">
        <f t="shared" si="9397"/>
        <v>0</v>
      </c>
      <c r="U4969" s="1" t="str">
        <f t="shared" si="9463"/>
        <v>0.0070</v>
      </c>
    </row>
    <row r="4970" s="1" customFormat="1" spans="1:21">
      <c r="A4970" s="1" t="str">
        <f>"4601992157591"</f>
        <v>4601992157591</v>
      </c>
      <c r="B4970" s="1" t="s">
        <v>4993</v>
      </c>
      <c r="C4970" s="1" t="s">
        <v>24</v>
      </c>
      <c r="D4970" s="1" t="str">
        <f t="shared" si="9392"/>
        <v>2021</v>
      </c>
      <c r="E4970" s="1" t="str">
        <f t="shared" ref="E4970:I4970" si="9474">"0"</f>
        <v>0</v>
      </c>
      <c r="F4970" s="1" t="str">
        <f t="shared" si="9474"/>
        <v>0</v>
      </c>
      <c r="G4970" s="1" t="str">
        <f t="shared" si="9474"/>
        <v>0</v>
      </c>
      <c r="H4970" s="1" t="str">
        <f t="shared" si="9474"/>
        <v>0</v>
      </c>
      <c r="I4970" s="1" t="str">
        <f t="shared" si="9474"/>
        <v>0</v>
      </c>
      <c r="J4970" s="1" t="str">
        <f>"2"</f>
        <v>2</v>
      </c>
      <c r="K4970" s="1" t="str">
        <f t="shared" ref="K4970:P4970" si="9475">"0"</f>
        <v>0</v>
      </c>
      <c r="L4970" s="1" t="str">
        <f t="shared" si="9475"/>
        <v>0</v>
      </c>
      <c r="M4970" s="1" t="str">
        <f t="shared" si="9475"/>
        <v>0</v>
      </c>
      <c r="N4970" s="1" t="str">
        <f t="shared" si="9475"/>
        <v>0</v>
      </c>
      <c r="O4970" s="1" t="str">
        <f t="shared" si="9475"/>
        <v>0</v>
      </c>
      <c r="P4970" s="1" t="str">
        <f t="shared" si="9475"/>
        <v>0</v>
      </c>
      <c r="Q4970" s="1" t="str">
        <f t="shared" si="9396"/>
        <v>0.0070</v>
      </c>
      <c r="R4970" s="1" t="s">
        <v>25</v>
      </c>
      <c r="T4970" s="1" t="str">
        <f t="shared" si="9397"/>
        <v>0</v>
      </c>
      <c r="U4970" s="1" t="str">
        <f t="shared" si="9463"/>
        <v>0.0070</v>
      </c>
    </row>
    <row r="4971" s="1" customFormat="1" spans="1:21">
      <c r="A4971" s="1" t="str">
        <f>"4601992157975"</f>
        <v>4601992157975</v>
      </c>
      <c r="B4971" s="1" t="s">
        <v>4994</v>
      </c>
      <c r="C4971" s="1" t="s">
        <v>24</v>
      </c>
      <c r="D4971" s="1" t="str">
        <f t="shared" si="9392"/>
        <v>2021</v>
      </c>
      <c r="E4971" s="1" t="str">
        <f>"11.98"</f>
        <v>11.98</v>
      </c>
      <c r="F4971" s="1" t="str">
        <f t="shared" ref="F4971:I4971" si="9476">"0"</f>
        <v>0</v>
      </c>
      <c r="G4971" s="1" t="str">
        <f t="shared" si="9476"/>
        <v>0</v>
      </c>
      <c r="H4971" s="1" t="str">
        <f t="shared" si="9476"/>
        <v>0</v>
      </c>
      <c r="I4971" s="1" t="str">
        <f t="shared" si="9476"/>
        <v>0</v>
      </c>
      <c r="J4971" s="1" t="str">
        <f t="shared" ref="J4971:J4974" si="9477">"1"</f>
        <v>1</v>
      </c>
      <c r="K4971" s="1" t="str">
        <f t="shared" ref="K4971:P4971" si="9478">"0"</f>
        <v>0</v>
      </c>
      <c r="L4971" s="1" t="str">
        <f t="shared" si="9478"/>
        <v>0</v>
      </c>
      <c r="M4971" s="1" t="str">
        <f t="shared" si="9478"/>
        <v>0</v>
      </c>
      <c r="N4971" s="1" t="str">
        <f t="shared" si="9478"/>
        <v>0</v>
      </c>
      <c r="O4971" s="1" t="str">
        <f t="shared" si="9478"/>
        <v>0</v>
      </c>
      <c r="P4971" s="1" t="str">
        <f t="shared" si="9478"/>
        <v>0</v>
      </c>
      <c r="Q4971" s="1" t="str">
        <f t="shared" si="9396"/>
        <v>0.0070</v>
      </c>
      <c r="R4971" s="1" t="s">
        <v>29</v>
      </c>
      <c r="S4971" s="1">
        <v>-0.0014</v>
      </c>
      <c r="T4971" s="1" t="str">
        <f t="shared" si="9397"/>
        <v>0</v>
      </c>
      <c r="U4971" s="1" t="str">
        <f>"0.0056"</f>
        <v>0.0056</v>
      </c>
    </row>
    <row r="4972" s="1" customFormat="1" spans="1:21">
      <c r="A4972" s="1" t="str">
        <f>"4601992158061"</f>
        <v>4601992158061</v>
      </c>
      <c r="B4972" s="1" t="s">
        <v>4995</v>
      </c>
      <c r="C4972" s="1" t="s">
        <v>24</v>
      </c>
      <c r="D4972" s="1" t="str">
        <f t="shared" si="9392"/>
        <v>2021</v>
      </c>
      <c r="E4972" s="1" t="str">
        <f t="shared" ref="E4972:I4972" si="9479">"0"</f>
        <v>0</v>
      </c>
      <c r="F4972" s="1" t="str">
        <f t="shared" si="9479"/>
        <v>0</v>
      </c>
      <c r="G4972" s="1" t="str">
        <f t="shared" si="9479"/>
        <v>0</v>
      </c>
      <c r="H4972" s="1" t="str">
        <f t="shared" si="9479"/>
        <v>0</v>
      </c>
      <c r="I4972" s="1" t="str">
        <f t="shared" si="9479"/>
        <v>0</v>
      </c>
      <c r="J4972" s="1" t="str">
        <f t="shared" si="9477"/>
        <v>1</v>
      </c>
      <c r="K4972" s="1" t="str">
        <f t="shared" ref="K4972:P4972" si="9480">"0"</f>
        <v>0</v>
      </c>
      <c r="L4972" s="1" t="str">
        <f t="shared" si="9480"/>
        <v>0</v>
      </c>
      <c r="M4972" s="1" t="str">
        <f t="shared" si="9480"/>
        <v>0</v>
      </c>
      <c r="N4972" s="1" t="str">
        <f t="shared" si="9480"/>
        <v>0</v>
      </c>
      <c r="O4972" s="1" t="str">
        <f t="shared" si="9480"/>
        <v>0</v>
      </c>
      <c r="P4972" s="1" t="str">
        <f t="shared" si="9480"/>
        <v>0</v>
      </c>
      <c r="Q4972" s="1" t="str">
        <f t="shared" si="9396"/>
        <v>0.0070</v>
      </c>
      <c r="R4972" s="1" t="s">
        <v>25</v>
      </c>
      <c r="T4972" s="1" t="str">
        <f t="shared" si="9397"/>
        <v>0</v>
      </c>
      <c r="U4972" s="1" t="str">
        <f t="shared" ref="U4972:U4982" si="9481">"0.0070"</f>
        <v>0.0070</v>
      </c>
    </row>
    <row r="4973" s="1" customFormat="1" spans="1:21">
      <c r="A4973" s="1" t="str">
        <f>"4601992158076"</f>
        <v>4601992158076</v>
      </c>
      <c r="B4973" s="1" t="s">
        <v>4996</v>
      </c>
      <c r="C4973" s="1" t="s">
        <v>24</v>
      </c>
      <c r="D4973" s="1" t="str">
        <f t="shared" si="9392"/>
        <v>2021</v>
      </c>
      <c r="E4973" s="1" t="str">
        <f>"24.23"</f>
        <v>24.23</v>
      </c>
      <c r="F4973" s="1" t="str">
        <f t="shared" ref="F4973:I4973" si="9482">"0"</f>
        <v>0</v>
      </c>
      <c r="G4973" s="1" t="str">
        <f t="shared" si="9482"/>
        <v>0</v>
      </c>
      <c r="H4973" s="1" t="str">
        <f t="shared" si="9482"/>
        <v>0</v>
      </c>
      <c r="I4973" s="1" t="str">
        <f t="shared" si="9482"/>
        <v>0</v>
      </c>
      <c r="J4973" s="1" t="str">
        <f>"3"</f>
        <v>3</v>
      </c>
      <c r="K4973" s="1" t="str">
        <f t="shared" ref="K4973:P4973" si="9483">"0"</f>
        <v>0</v>
      </c>
      <c r="L4973" s="1" t="str">
        <f t="shared" si="9483"/>
        <v>0</v>
      </c>
      <c r="M4973" s="1" t="str">
        <f t="shared" si="9483"/>
        <v>0</v>
      </c>
      <c r="N4973" s="1" t="str">
        <f t="shared" si="9483"/>
        <v>0</v>
      </c>
      <c r="O4973" s="1" t="str">
        <f t="shared" si="9483"/>
        <v>0</v>
      </c>
      <c r="P4973" s="1" t="str">
        <f t="shared" si="9483"/>
        <v>0</v>
      </c>
      <c r="Q4973" s="1" t="str">
        <f t="shared" si="9396"/>
        <v>0.0070</v>
      </c>
      <c r="R4973" s="1" t="s">
        <v>29</v>
      </c>
      <c r="S4973" s="1">
        <v>-0.0014</v>
      </c>
      <c r="T4973" s="1" t="str">
        <f t="shared" si="9397"/>
        <v>0</v>
      </c>
      <c r="U4973" s="1" t="str">
        <f>"0.0056"</f>
        <v>0.0056</v>
      </c>
    </row>
    <row r="4974" s="1" customFormat="1" spans="1:21">
      <c r="A4974" s="1" t="str">
        <f>"4601992158078"</f>
        <v>4601992158078</v>
      </c>
      <c r="B4974" s="1" t="s">
        <v>4997</v>
      </c>
      <c r="C4974" s="1" t="s">
        <v>24</v>
      </c>
      <c r="D4974" s="1" t="str">
        <f t="shared" si="9392"/>
        <v>2021</v>
      </c>
      <c r="E4974" s="1" t="str">
        <f t="shared" ref="E4974:I4974" si="9484">"0"</f>
        <v>0</v>
      </c>
      <c r="F4974" s="1" t="str">
        <f t="shared" si="9484"/>
        <v>0</v>
      </c>
      <c r="G4974" s="1" t="str">
        <f t="shared" si="9484"/>
        <v>0</v>
      </c>
      <c r="H4974" s="1" t="str">
        <f t="shared" si="9484"/>
        <v>0</v>
      </c>
      <c r="I4974" s="1" t="str">
        <f t="shared" si="9484"/>
        <v>0</v>
      </c>
      <c r="J4974" s="1" t="str">
        <f t="shared" si="9477"/>
        <v>1</v>
      </c>
      <c r="K4974" s="1" t="str">
        <f t="shared" ref="K4974:P4974" si="9485">"0"</f>
        <v>0</v>
      </c>
      <c r="L4974" s="1" t="str">
        <f t="shared" si="9485"/>
        <v>0</v>
      </c>
      <c r="M4974" s="1" t="str">
        <f t="shared" si="9485"/>
        <v>0</v>
      </c>
      <c r="N4974" s="1" t="str">
        <f t="shared" si="9485"/>
        <v>0</v>
      </c>
      <c r="O4974" s="1" t="str">
        <f t="shared" si="9485"/>
        <v>0</v>
      </c>
      <c r="P4974" s="1" t="str">
        <f t="shared" si="9485"/>
        <v>0</v>
      </c>
      <c r="Q4974" s="1" t="str">
        <f t="shared" si="9396"/>
        <v>0.0070</v>
      </c>
      <c r="R4974" s="1" t="s">
        <v>25</v>
      </c>
      <c r="T4974" s="1" t="str">
        <f t="shared" si="9397"/>
        <v>0</v>
      </c>
      <c r="U4974" s="1" t="str">
        <f t="shared" si="9481"/>
        <v>0.0070</v>
      </c>
    </row>
    <row r="4975" s="1" customFormat="1" spans="1:21">
      <c r="A4975" s="1" t="str">
        <f>"4601992158166"</f>
        <v>4601992158166</v>
      </c>
      <c r="B4975" s="1" t="s">
        <v>4998</v>
      </c>
      <c r="C4975" s="1" t="s">
        <v>24</v>
      </c>
      <c r="D4975" s="1" t="str">
        <f t="shared" si="9392"/>
        <v>2021</v>
      </c>
      <c r="E4975" s="1" t="str">
        <f t="shared" ref="E4975:P4975" si="9486">"0"</f>
        <v>0</v>
      </c>
      <c r="F4975" s="1" t="str">
        <f t="shared" si="9486"/>
        <v>0</v>
      </c>
      <c r="G4975" s="1" t="str">
        <f t="shared" si="9486"/>
        <v>0</v>
      </c>
      <c r="H4975" s="1" t="str">
        <f t="shared" si="9486"/>
        <v>0</v>
      </c>
      <c r="I4975" s="1" t="str">
        <f t="shared" si="9486"/>
        <v>0</v>
      </c>
      <c r="J4975" s="1" t="str">
        <f t="shared" si="9486"/>
        <v>0</v>
      </c>
      <c r="K4975" s="1" t="str">
        <f t="shared" si="9486"/>
        <v>0</v>
      </c>
      <c r="L4975" s="1" t="str">
        <f t="shared" si="9486"/>
        <v>0</v>
      </c>
      <c r="M4975" s="1" t="str">
        <f t="shared" si="9486"/>
        <v>0</v>
      </c>
      <c r="N4975" s="1" t="str">
        <f t="shared" si="9486"/>
        <v>0</v>
      </c>
      <c r="O4975" s="1" t="str">
        <f t="shared" si="9486"/>
        <v>0</v>
      </c>
      <c r="P4975" s="1" t="str">
        <f t="shared" si="9486"/>
        <v>0</v>
      </c>
      <c r="Q4975" s="1" t="str">
        <f t="shared" si="9396"/>
        <v>0.0070</v>
      </c>
      <c r="R4975" s="1" t="s">
        <v>25</v>
      </c>
      <c r="T4975" s="1" t="str">
        <f t="shared" si="9397"/>
        <v>0</v>
      </c>
      <c r="U4975" s="1" t="str">
        <f t="shared" si="9481"/>
        <v>0.0070</v>
      </c>
    </row>
    <row r="4976" s="1" customFormat="1" spans="1:21">
      <c r="A4976" s="1" t="str">
        <f>"4601992158206"</f>
        <v>4601992158206</v>
      </c>
      <c r="B4976" s="1" t="s">
        <v>4999</v>
      </c>
      <c r="C4976" s="1" t="s">
        <v>24</v>
      </c>
      <c r="D4976" s="1" t="str">
        <f t="shared" si="9392"/>
        <v>2021</v>
      </c>
      <c r="E4976" s="1" t="str">
        <f t="shared" ref="E4976:P4976" si="9487">"0"</f>
        <v>0</v>
      </c>
      <c r="F4976" s="1" t="str">
        <f t="shared" si="9487"/>
        <v>0</v>
      </c>
      <c r="G4976" s="1" t="str">
        <f t="shared" si="9487"/>
        <v>0</v>
      </c>
      <c r="H4976" s="1" t="str">
        <f t="shared" si="9487"/>
        <v>0</v>
      </c>
      <c r="I4976" s="1" t="str">
        <f t="shared" si="9487"/>
        <v>0</v>
      </c>
      <c r="J4976" s="1" t="str">
        <f t="shared" si="9487"/>
        <v>0</v>
      </c>
      <c r="K4976" s="1" t="str">
        <f t="shared" si="9487"/>
        <v>0</v>
      </c>
      <c r="L4976" s="1" t="str">
        <f t="shared" si="9487"/>
        <v>0</v>
      </c>
      <c r="M4976" s="1" t="str">
        <f t="shared" si="9487"/>
        <v>0</v>
      </c>
      <c r="N4976" s="1" t="str">
        <f t="shared" si="9487"/>
        <v>0</v>
      </c>
      <c r="O4976" s="1" t="str">
        <f t="shared" si="9487"/>
        <v>0</v>
      </c>
      <c r="P4976" s="1" t="str">
        <f t="shared" si="9487"/>
        <v>0</v>
      </c>
      <c r="Q4976" s="1" t="str">
        <f t="shared" si="9396"/>
        <v>0.0070</v>
      </c>
      <c r="R4976" s="1" t="s">
        <v>25</v>
      </c>
      <c r="T4976" s="1" t="str">
        <f t="shared" si="9397"/>
        <v>0</v>
      </c>
      <c r="U4976" s="1" t="str">
        <f t="shared" si="9481"/>
        <v>0.0070</v>
      </c>
    </row>
    <row r="4977" s="1" customFormat="1" spans="1:21">
      <c r="A4977" s="1" t="str">
        <f>"4601992158224"</f>
        <v>4601992158224</v>
      </c>
      <c r="B4977" s="1" t="s">
        <v>5000</v>
      </c>
      <c r="C4977" s="1" t="s">
        <v>24</v>
      </c>
      <c r="D4977" s="1" t="str">
        <f t="shared" si="9392"/>
        <v>2021</v>
      </c>
      <c r="E4977" s="1" t="str">
        <f t="shared" ref="E4977:P4977" si="9488">"0"</f>
        <v>0</v>
      </c>
      <c r="F4977" s="1" t="str">
        <f t="shared" si="9488"/>
        <v>0</v>
      </c>
      <c r="G4977" s="1" t="str">
        <f t="shared" si="9488"/>
        <v>0</v>
      </c>
      <c r="H4977" s="1" t="str">
        <f t="shared" si="9488"/>
        <v>0</v>
      </c>
      <c r="I4977" s="1" t="str">
        <f t="shared" si="9488"/>
        <v>0</v>
      </c>
      <c r="J4977" s="1" t="str">
        <f t="shared" si="9488"/>
        <v>0</v>
      </c>
      <c r="K4977" s="1" t="str">
        <f t="shared" si="9488"/>
        <v>0</v>
      </c>
      <c r="L4977" s="1" t="str">
        <f t="shared" si="9488"/>
        <v>0</v>
      </c>
      <c r="M4977" s="1" t="str">
        <f t="shared" si="9488"/>
        <v>0</v>
      </c>
      <c r="N4977" s="1" t="str">
        <f t="shared" si="9488"/>
        <v>0</v>
      </c>
      <c r="O4977" s="1" t="str">
        <f t="shared" si="9488"/>
        <v>0</v>
      </c>
      <c r="P4977" s="1" t="str">
        <f t="shared" si="9488"/>
        <v>0</v>
      </c>
      <c r="Q4977" s="1" t="str">
        <f t="shared" si="9396"/>
        <v>0.0070</v>
      </c>
      <c r="R4977" s="1" t="s">
        <v>25</v>
      </c>
      <c r="T4977" s="1" t="str">
        <f t="shared" si="9397"/>
        <v>0</v>
      </c>
      <c r="U4977" s="1" t="str">
        <f t="shared" si="9481"/>
        <v>0.0070</v>
      </c>
    </row>
    <row r="4978" s="1" customFormat="1" spans="1:21">
      <c r="A4978" s="1" t="str">
        <f>"4601992158426"</f>
        <v>4601992158426</v>
      </c>
      <c r="B4978" s="1" t="s">
        <v>5001</v>
      </c>
      <c r="C4978" s="1" t="s">
        <v>24</v>
      </c>
      <c r="D4978" s="1" t="str">
        <f t="shared" si="9392"/>
        <v>2021</v>
      </c>
      <c r="E4978" s="1" t="str">
        <f t="shared" ref="E4978:P4978" si="9489">"0"</f>
        <v>0</v>
      </c>
      <c r="F4978" s="1" t="str">
        <f t="shared" si="9489"/>
        <v>0</v>
      </c>
      <c r="G4978" s="1" t="str">
        <f t="shared" si="9489"/>
        <v>0</v>
      </c>
      <c r="H4978" s="1" t="str">
        <f t="shared" si="9489"/>
        <v>0</v>
      </c>
      <c r="I4978" s="1" t="str">
        <f t="shared" si="9489"/>
        <v>0</v>
      </c>
      <c r="J4978" s="1" t="str">
        <f t="shared" si="9489"/>
        <v>0</v>
      </c>
      <c r="K4978" s="1" t="str">
        <f t="shared" si="9489"/>
        <v>0</v>
      </c>
      <c r="L4978" s="1" t="str">
        <f t="shared" si="9489"/>
        <v>0</v>
      </c>
      <c r="M4978" s="1" t="str">
        <f t="shared" si="9489"/>
        <v>0</v>
      </c>
      <c r="N4978" s="1" t="str">
        <f t="shared" si="9489"/>
        <v>0</v>
      </c>
      <c r="O4978" s="1" t="str">
        <f t="shared" si="9489"/>
        <v>0</v>
      </c>
      <c r="P4978" s="1" t="str">
        <f t="shared" si="9489"/>
        <v>0</v>
      </c>
      <c r="Q4978" s="1" t="str">
        <f t="shared" si="9396"/>
        <v>0.0070</v>
      </c>
      <c r="R4978" s="1" t="s">
        <v>25</v>
      </c>
      <c r="T4978" s="1" t="str">
        <f t="shared" si="9397"/>
        <v>0</v>
      </c>
      <c r="U4978" s="1" t="str">
        <f t="shared" si="9481"/>
        <v>0.0070</v>
      </c>
    </row>
    <row r="4979" s="1" customFormat="1" spans="1:21">
      <c r="A4979" s="1" t="str">
        <f>"4601992158392"</f>
        <v>4601992158392</v>
      </c>
      <c r="B4979" s="1" t="s">
        <v>5002</v>
      </c>
      <c r="C4979" s="1" t="s">
        <v>24</v>
      </c>
      <c r="D4979" s="1" t="str">
        <f t="shared" si="9392"/>
        <v>2021</v>
      </c>
      <c r="E4979" s="1" t="str">
        <f t="shared" ref="E4979:I4979" si="9490">"0"</f>
        <v>0</v>
      </c>
      <c r="F4979" s="1" t="str">
        <f t="shared" si="9490"/>
        <v>0</v>
      </c>
      <c r="G4979" s="1" t="str">
        <f t="shared" si="9490"/>
        <v>0</v>
      </c>
      <c r="H4979" s="1" t="str">
        <f t="shared" si="9490"/>
        <v>0</v>
      </c>
      <c r="I4979" s="1" t="str">
        <f t="shared" si="9490"/>
        <v>0</v>
      </c>
      <c r="J4979" s="1" t="str">
        <f>"1"</f>
        <v>1</v>
      </c>
      <c r="K4979" s="1" t="str">
        <f t="shared" ref="K4979:P4979" si="9491">"0"</f>
        <v>0</v>
      </c>
      <c r="L4979" s="1" t="str">
        <f t="shared" si="9491"/>
        <v>0</v>
      </c>
      <c r="M4979" s="1" t="str">
        <f t="shared" si="9491"/>
        <v>0</v>
      </c>
      <c r="N4979" s="1" t="str">
        <f t="shared" si="9491"/>
        <v>0</v>
      </c>
      <c r="O4979" s="1" t="str">
        <f t="shared" si="9491"/>
        <v>0</v>
      </c>
      <c r="P4979" s="1" t="str">
        <f t="shared" si="9491"/>
        <v>0</v>
      </c>
      <c r="Q4979" s="1" t="str">
        <f t="shared" si="9396"/>
        <v>0.0070</v>
      </c>
      <c r="R4979" s="1" t="s">
        <v>25</v>
      </c>
      <c r="T4979" s="1" t="str">
        <f t="shared" si="9397"/>
        <v>0</v>
      </c>
      <c r="U4979" s="1" t="str">
        <f t="shared" si="9481"/>
        <v>0.0070</v>
      </c>
    </row>
    <row r="4980" s="1" customFormat="1" spans="1:21">
      <c r="A4980" s="1" t="str">
        <f>"4601992158411"</f>
        <v>4601992158411</v>
      </c>
      <c r="B4980" s="1" t="s">
        <v>5003</v>
      </c>
      <c r="C4980" s="1" t="s">
        <v>24</v>
      </c>
      <c r="D4980" s="1" t="str">
        <f t="shared" si="9392"/>
        <v>2021</v>
      </c>
      <c r="E4980" s="1" t="str">
        <f t="shared" ref="E4980:I4980" si="9492">"0"</f>
        <v>0</v>
      </c>
      <c r="F4980" s="1" t="str">
        <f t="shared" si="9492"/>
        <v>0</v>
      </c>
      <c r="G4980" s="1" t="str">
        <f t="shared" si="9492"/>
        <v>0</v>
      </c>
      <c r="H4980" s="1" t="str">
        <f t="shared" si="9492"/>
        <v>0</v>
      </c>
      <c r="I4980" s="1" t="str">
        <f t="shared" si="9492"/>
        <v>0</v>
      </c>
      <c r="J4980" s="1" t="str">
        <f>"12"</f>
        <v>12</v>
      </c>
      <c r="K4980" s="1" t="str">
        <f t="shared" ref="K4980:P4980" si="9493">"0"</f>
        <v>0</v>
      </c>
      <c r="L4980" s="1" t="str">
        <f t="shared" si="9493"/>
        <v>0</v>
      </c>
      <c r="M4980" s="1" t="str">
        <f t="shared" si="9493"/>
        <v>0</v>
      </c>
      <c r="N4980" s="1" t="str">
        <f t="shared" si="9493"/>
        <v>0</v>
      </c>
      <c r="O4980" s="1" t="str">
        <f t="shared" si="9493"/>
        <v>0</v>
      </c>
      <c r="P4980" s="1" t="str">
        <f t="shared" si="9493"/>
        <v>0</v>
      </c>
      <c r="Q4980" s="1" t="str">
        <f t="shared" si="9396"/>
        <v>0.0070</v>
      </c>
      <c r="R4980" s="1" t="s">
        <v>25</v>
      </c>
      <c r="T4980" s="1" t="str">
        <f t="shared" si="9397"/>
        <v>0</v>
      </c>
      <c r="U4980" s="1" t="str">
        <f t="shared" si="9481"/>
        <v>0.0070</v>
      </c>
    </row>
    <row r="4981" s="1" customFormat="1" spans="1:21">
      <c r="A4981" s="1" t="str">
        <f>"4601992158501"</f>
        <v>4601992158501</v>
      </c>
      <c r="B4981" s="1" t="s">
        <v>5004</v>
      </c>
      <c r="C4981" s="1" t="s">
        <v>24</v>
      </c>
      <c r="D4981" s="1" t="str">
        <f t="shared" si="9392"/>
        <v>2021</v>
      </c>
      <c r="E4981" s="1" t="str">
        <f t="shared" ref="E4981:I4981" si="9494">"0"</f>
        <v>0</v>
      </c>
      <c r="F4981" s="1" t="str">
        <f t="shared" si="9494"/>
        <v>0</v>
      </c>
      <c r="G4981" s="1" t="str">
        <f t="shared" si="9494"/>
        <v>0</v>
      </c>
      <c r="H4981" s="1" t="str">
        <f t="shared" si="9494"/>
        <v>0</v>
      </c>
      <c r="I4981" s="1" t="str">
        <f t="shared" si="9494"/>
        <v>0</v>
      </c>
      <c r="J4981" s="1" t="str">
        <f>"1"</f>
        <v>1</v>
      </c>
      <c r="K4981" s="1" t="str">
        <f t="shared" ref="K4981:P4981" si="9495">"0"</f>
        <v>0</v>
      </c>
      <c r="L4981" s="1" t="str">
        <f t="shared" si="9495"/>
        <v>0</v>
      </c>
      <c r="M4981" s="1" t="str">
        <f t="shared" si="9495"/>
        <v>0</v>
      </c>
      <c r="N4981" s="1" t="str">
        <f t="shared" si="9495"/>
        <v>0</v>
      </c>
      <c r="O4981" s="1" t="str">
        <f t="shared" si="9495"/>
        <v>0</v>
      </c>
      <c r="P4981" s="1" t="str">
        <f t="shared" si="9495"/>
        <v>0</v>
      </c>
      <c r="Q4981" s="1" t="str">
        <f t="shared" si="9396"/>
        <v>0.0070</v>
      </c>
      <c r="R4981" s="1" t="s">
        <v>25</v>
      </c>
      <c r="T4981" s="1" t="str">
        <f t="shared" si="9397"/>
        <v>0</v>
      </c>
      <c r="U4981" s="1" t="str">
        <f t="shared" si="9481"/>
        <v>0.0070</v>
      </c>
    </row>
    <row r="4982" s="1" customFormat="1" spans="1:21">
      <c r="A4982" s="1" t="str">
        <f>"4601992158429"</f>
        <v>4601992158429</v>
      </c>
      <c r="B4982" s="1" t="s">
        <v>5005</v>
      </c>
      <c r="C4982" s="1" t="s">
        <v>24</v>
      </c>
      <c r="D4982" s="1" t="str">
        <f t="shared" si="9392"/>
        <v>2021</v>
      </c>
      <c r="E4982" s="1" t="str">
        <f t="shared" ref="E4982:I4982" si="9496">"0"</f>
        <v>0</v>
      </c>
      <c r="F4982" s="1" t="str">
        <f t="shared" si="9496"/>
        <v>0</v>
      </c>
      <c r="G4982" s="1" t="str">
        <f t="shared" si="9496"/>
        <v>0</v>
      </c>
      <c r="H4982" s="1" t="str">
        <f t="shared" si="9496"/>
        <v>0</v>
      </c>
      <c r="I4982" s="1" t="str">
        <f t="shared" si="9496"/>
        <v>0</v>
      </c>
      <c r="J4982" s="1" t="str">
        <f>"4"</f>
        <v>4</v>
      </c>
      <c r="K4982" s="1" t="str">
        <f t="shared" ref="K4982:P4982" si="9497">"0"</f>
        <v>0</v>
      </c>
      <c r="L4982" s="1" t="str">
        <f t="shared" si="9497"/>
        <v>0</v>
      </c>
      <c r="M4982" s="1" t="str">
        <f t="shared" si="9497"/>
        <v>0</v>
      </c>
      <c r="N4982" s="1" t="str">
        <f t="shared" si="9497"/>
        <v>0</v>
      </c>
      <c r="O4982" s="1" t="str">
        <f t="shared" si="9497"/>
        <v>0</v>
      </c>
      <c r="P4982" s="1" t="str">
        <f t="shared" si="9497"/>
        <v>0</v>
      </c>
      <c r="Q4982" s="1" t="str">
        <f t="shared" si="9396"/>
        <v>0.0070</v>
      </c>
      <c r="R4982" s="1" t="s">
        <v>25</v>
      </c>
      <c r="T4982" s="1" t="str">
        <f t="shared" si="9397"/>
        <v>0</v>
      </c>
      <c r="U4982" s="1" t="str">
        <f t="shared" si="9481"/>
        <v>0.0070</v>
      </c>
    </row>
    <row r="4983" s="1" customFormat="1" spans="1:21">
      <c r="A4983" s="1" t="str">
        <f>"4601991412980"</f>
        <v>4601991412980</v>
      </c>
      <c r="B4983" s="1" t="s">
        <v>5006</v>
      </c>
      <c r="C4983" s="1" t="s">
        <v>24</v>
      </c>
      <c r="D4983" s="1" t="str">
        <f t="shared" si="9392"/>
        <v>2021</v>
      </c>
      <c r="E4983" s="1" t="str">
        <f>"60.78"</f>
        <v>60.78</v>
      </c>
      <c r="F4983" s="1" t="str">
        <f t="shared" ref="F4983:I4983" si="9498">"0"</f>
        <v>0</v>
      </c>
      <c r="G4983" s="1" t="str">
        <f t="shared" si="9498"/>
        <v>0</v>
      </c>
      <c r="H4983" s="1" t="str">
        <f t="shared" si="9498"/>
        <v>0</v>
      </c>
      <c r="I4983" s="1" t="str">
        <f t="shared" si="9498"/>
        <v>0</v>
      </c>
      <c r="J4983" s="1" t="str">
        <f>"8"</f>
        <v>8</v>
      </c>
      <c r="K4983" s="1" t="str">
        <f t="shared" ref="K4983:P4983" si="9499">"0"</f>
        <v>0</v>
      </c>
      <c r="L4983" s="1" t="str">
        <f t="shared" si="9499"/>
        <v>0</v>
      </c>
      <c r="M4983" s="1" t="str">
        <f t="shared" si="9499"/>
        <v>0</v>
      </c>
      <c r="N4983" s="1" t="str">
        <f t="shared" si="9499"/>
        <v>0</v>
      </c>
      <c r="O4983" s="1" t="str">
        <f t="shared" si="9499"/>
        <v>0</v>
      </c>
      <c r="P4983" s="1" t="str">
        <f t="shared" si="9499"/>
        <v>0</v>
      </c>
      <c r="Q4983" s="1" t="str">
        <f t="shared" si="9396"/>
        <v>0.0070</v>
      </c>
      <c r="R4983" s="1" t="s">
        <v>29</v>
      </c>
      <c r="S4983" s="1">
        <v>-0.0014</v>
      </c>
      <c r="T4983" s="1" t="str">
        <f t="shared" si="9397"/>
        <v>0</v>
      </c>
      <c r="U4983" s="1" t="str">
        <f>"0.0056"</f>
        <v>0.0056</v>
      </c>
    </row>
    <row r="4984" s="1" customFormat="1" spans="1:21">
      <c r="A4984" s="1" t="str">
        <f>"4601992158524"</f>
        <v>4601992158524</v>
      </c>
      <c r="B4984" s="1" t="s">
        <v>5007</v>
      </c>
      <c r="C4984" s="1" t="s">
        <v>24</v>
      </c>
      <c r="D4984" s="1" t="str">
        <f t="shared" si="9392"/>
        <v>2021</v>
      </c>
      <c r="E4984" s="1" t="str">
        <f t="shared" ref="E4984:I4984" si="9500">"0"</f>
        <v>0</v>
      </c>
      <c r="F4984" s="1" t="str">
        <f t="shared" si="9500"/>
        <v>0</v>
      </c>
      <c r="G4984" s="1" t="str">
        <f t="shared" si="9500"/>
        <v>0</v>
      </c>
      <c r="H4984" s="1" t="str">
        <f t="shared" si="9500"/>
        <v>0</v>
      </c>
      <c r="I4984" s="1" t="str">
        <f t="shared" si="9500"/>
        <v>0</v>
      </c>
      <c r="J4984" s="1" t="str">
        <f>"3"</f>
        <v>3</v>
      </c>
      <c r="K4984" s="1" t="str">
        <f t="shared" ref="K4984:P4984" si="9501">"0"</f>
        <v>0</v>
      </c>
      <c r="L4984" s="1" t="str">
        <f t="shared" si="9501"/>
        <v>0</v>
      </c>
      <c r="M4984" s="1" t="str">
        <f t="shared" si="9501"/>
        <v>0</v>
      </c>
      <c r="N4984" s="1" t="str">
        <f t="shared" si="9501"/>
        <v>0</v>
      </c>
      <c r="O4984" s="1" t="str">
        <f t="shared" si="9501"/>
        <v>0</v>
      </c>
      <c r="P4984" s="1" t="str">
        <f t="shared" si="9501"/>
        <v>0</v>
      </c>
      <c r="Q4984" s="1" t="str">
        <f t="shared" si="9396"/>
        <v>0.0070</v>
      </c>
      <c r="R4984" s="1" t="s">
        <v>25</v>
      </c>
      <c r="T4984" s="1" t="str">
        <f t="shared" si="9397"/>
        <v>0</v>
      </c>
      <c r="U4984" s="1" t="str">
        <f t="shared" ref="U4984:U4989" si="9502">"0.0070"</f>
        <v>0.0070</v>
      </c>
    </row>
    <row r="4985" s="1" customFormat="1" spans="1:21">
      <c r="A4985" s="1" t="str">
        <f>"4601992158537"</f>
        <v>4601992158537</v>
      </c>
      <c r="B4985" s="1" t="s">
        <v>5008</v>
      </c>
      <c r="C4985" s="1" t="s">
        <v>24</v>
      </c>
      <c r="D4985" s="1" t="str">
        <f t="shared" si="9392"/>
        <v>2021</v>
      </c>
      <c r="E4985" s="1" t="str">
        <f t="shared" ref="E4985:I4985" si="9503">"0"</f>
        <v>0</v>
      </c>
      <c r="F4985" s="1" t="str">
        <f t="shared" si="9503"/>
        <v>0</v>
      </c>
      <c r="G4985" s="1" t="str">
        <f t="shared" si="9503"/>
        <v>0</v>
      </c>
      <c r="H4985" s="1" t="str">
        <f t="shared" si="9503"/>
        <v>0</v>
      </c>
      <c r="I4985" s="1" t="str">
        <f t="shared" si="9503"/>
        <v>0</v>
      </c>
      <c r="J4985" s="1" t="str">
        <f t="shared" ref="J4985:J4990" si="9504">"2"</f>
        <v>2</v>
      </c>
      <c r="K4985" s="1" t="str">
        <f t="shared" ref="K4985:P4985" si="9505">"0"</f>
        <v>0</v>
      </c>
      <c r="L4985" s="1" t="str">
        <f t="shared" si="9505"/>
        <v>0</v>
      </c>
      <c r="M4985" s="1" t="str">
        <f t="shared" si="9505"/>
        <v>0</v>
      </c>
      <c r="N4985" s="1" t="str">
        <f t="shared" si="9505"/>
        <v>0</v>
      </c>
      <c r="O4985" s="1" t="str">
        <f t="shared" si="9505"/>
        <v>0</v>
      </c>
      <c r="P4985" s="1" t="str">
        <f t="shared" si="9505"/>
        <v>0</v>
      </c>
      <c r="Q4985" s="1" t="str">
        <f t="shared" si="9396"/>
        <v>0.0070</v>
      </c>
      <c r="R4985" s="1" t="s">
        <v>25</v>
      </c>
      <c r="T4985" s="1" t="str">
        <f t="shared" si="9397"/>
        <v>0</v>
      </c>
      <c r="U4985" s="1" t="str">
        <f t="shared" si="9502"/>
        <v>0.0070</v>
      </c>
    </row>
    <row r="4986" s="1" customFormat="1" spans="1:21">
      <c r="A4986" s="1" t="str">
        <f>"4601992158596"</f>
        <v>4601992158596</v>
      </c>
      <c r="B4986" s="1" t="s">
        <v>5009</v>
      </c>
      <c r="C4986" s="1" t="s">
        <v>24</v>
      </c>
      <c r="D4986" s="1" t="str">
        <f t="shared" si="9392"/>
        <v>2021</v>
      </c>
      <c r="E4986" s="1" t="str">
        <f t="shared" ref="E4986:I4986" si="9506">"0"</f>
        <v>0</v>
      </c>
      <c r="F4986" s="1" t="str">
        <f t="shared" si="9506"/>
        <v>0</v>
      </c>
      <c r="G4986" s="1" t="str">
        <f t="shared" si="9506"/>
        <v>0</v>
      </c>
      <c r="H4986" s="1" t="str">
        <f t="shared" si="9506"/>
        <v>0</v>
      </c>
      <c r="I4986" s="1" t="str">
        <f t="shared" si="9506"/>
        <v>0</v>
      </c>
      <c r="J4986" s="1" t="str">
        <f t="shared" si="9504"/>
        <v>2</v>
      </c>
      <c r="K4986" s="1" t="str">
        <f t="shared" ref="K4986:P4986" si="9507">"0"</f>
        <v>0</v>
      </c>
      <c r="L4986" s="1" t="str">
        <f t="shared" si="9507"/>
        <v>0</v>
      </c>
      <c r="M4986" s="1" t="str">
        <f t="shared" si="9507"/>
        <v>0</v>
      </c>
      <c r="N4986" s="1" t="str">
        <f t="shared" si="9507"/>
        <v>0</v>
      </c>
      <c r="O4986" s="1" t="str">
        <f t="shared" si="9507"/>
        <v>0</v>
      </c>
      <c r="P4986" s="1" t="str">
        <f t="shared" si="9507"/>
        <v>0</v>
      </c>
      <c r="Q4986" s="1" t="str">
        <f t="shared" si="9396"/>
        <v>0.0070</v>
      </c>
      <c r="R4986" s="1" t="s">
        <v>25</v>
      </c>
      <c r="T4986" s="1" t="str">
        <f t="shared" si="9397"/>
        <v>0</v>
      </c>
      <c r="U4986" s="1" t="str">
        <f t="shared" si="9502"/>
        <v>0.0070</v>
      </c>
    </row>
    <row r="4987" s="1" customFormat="1" spans="1:21">
      <c r="A4987" s="1" t="str">
        <f>"4601992158599"</f>
        <v>4601992158599</v>
      </c>
      <c r="B4987" s="1" t="s">
        <v>5010</v>
      </c>
      <c r="C4987" s="1" t="s">
        <v>24</v>
      </c>
      <c r="D4987" s="1" t="str">
        <f t="shared" si="9392"/>
        <v>2021</v>
      </c>
      <c r="E4987" s="1" t="str">
        <f t="shared" ref="E4987:I4987" si="9508">"0"</f>
        <v>0</v>
      </c>
      <c r="F4987" s="1" t="str">
        <f t="shared" si="9508"/>
        <v>0</v>
      </c>
      <c r="G4987" s="1" t="str">
        <f t="shared" si="9508"/>
        <v>0</v>
      </c>
      <c r="H4987" s="1" t="str">
        <f t="shared" si="9508"/>
        <v>0</v>
      </c>
      <c r="I4987" s="1" t="str">
        <f t="shared" si="9508"/>
        <v>0</v>
      </c>
      <c r="J4987" s="1" t="str">
        <f>"1"</f>
        <v>1</v>
      </c>
      <c r="K4987" s="1" t="str">
        <f t="shared" ref="K4987:P4987" si="9509">"0"</f>
        <v>0</v>
      </c>
      <c r="L4987" s="1" t="str">
        <f t="shared" si="9509"/>
        <v>0</v>
      </c>
      <c r="M4987" s="1" t="str">
        <f t="shared" si="9509"/>
        <v>0</v>
      </c>
      <c r="N4987" s="1" t="str">
        <f t="shared" si="9509"/>
        <v>0</v>
      </c>
      <c r="O4987" s="1" t="str">
        <f t="shared" si="9509"/>
        <v>0</v>
      </c>
      <c r="P4987" s="1" t="str">
        <f t="shared" si="9509"/>
        <v>0</v>
      </c>
      <c r="Q4987" s="1" t="str">
        <f t="shared" si="9396"/>
        <v>0.0070</v>
      </c>
      <c r="R4987" s="1" t="s">
        <v>25</v>
      </c>
      <c r="T4987" s="1" t="str">
        <f t="shared" si="9397"/>
        <v>0</v>
      </c>
      <c r="U4987" s="1" t="str">
        <f t="shared" si="9502"/>
        <v>0.0070</v>
      </c>
    </row>
    <row r="4988" s="1" customFormat="1" spans="1:21">
      <c r="A4988" s="1" t="str">
        <f>"4601992158611"</f>
        <v>4601992158611</v>
      </c>
      <c r="B4988" s="1" t="s">
        <v>5011</v>
      </c>
      <c r="C4988" s="1" t="s">
        <v>24</v>
      </c>
      <c r="D4988" s="1" t="str">
        <f t="shared" si="9392"/>
        <v>2021</v>
      </c>
      <c r="E4988" s="1" t="str">
        <f t="shared" ref="E4988:I4988" si="9510">"0"</f>
        <v>0</v>
      </c>
      <c r="F4988" s="1" t="str">
        <f t="shared" si="9510"/>
        <v>0</v>
      </c>
      <c r="G4988" s="1" t="str">
        <f t="shared" si="9510"/>
        <v>0</v>
      </c>
      <c r="H4988" s="1" t="str">
        <f t="shared" si="9510"/>
        <v>0</v>
      </c>
      <c r="I4988" s="1" t="str">
        <f t="shared" si="9510"/>
        <v>0</v>
      </c>
      <c r="J4988" s="1" t="str">
        <f>"3"</f>
        <v>3</v>
      </c>
      <c r="K4988" s="1" t="str">
        <f t="shared" ref="K4988:P4988" si="9511">"0"</f>
        <v>0</v>
      </c>
      <c r="L4988" s="1" t="str">
        <f t="shared" si="9511"/>
        <v>0</v>
      </c>
      <c r="M4988" s="1" t="str">
        <f t="shared" si="9511"/>
        <v>0</v>
      </c>
      <c r="N4988" s="1" t="str">
        <f t="shared" si="9511"/>
        <v>0</v>
      </c>
      <c r="O4988" s="1" t="str">
        <f t="shared" si="9511"/>
        <v>0</v>
      </c>
      <c r="P4988" s="1" t="str">
        <f t="shared" si="9511"/>
        <v>0</v>
      </c>
      <c r="Q4988" s="1" t="str">
        <f t="shared" si="9396"/>
        <v>0.0070</v>
      </c>
      <c r="R4988" s="1" t="s">
        <v>25</v>
      </c>
      <c r="T4988" s="1" t="str">
        <f t="shared" si="9397"/>
        <v>0</v>
      </c>
      <c r="U4988" s="1" t="str">
        <f t="shared" si="9502"/>
        <v>0.0070</v>
      </c>
    </row>
    <row r="4989" s="1" customFormat="1" spans="1:21">
      <c r="A4989" s="1" t="str">
        <f>"4601992158786"</f>
        <v>4601992158786</v>
      </c>
      <c r="B4989" s="1" t="s">
        <v>5012</v>
      </c>
      <c r="C4989" s="1" t="s">
        <v>24</v>
      </c>
      <c r="D4989" s="1" t="str">
        <f t="shared" si="9392"/>
        <v>2021</v>
      </c>
      <c r="E4989" s="1" t="str">
        <f t="shared" ref="E4989:I4989" si="9512">"0"</f>
        <v>0</v>
      </c>
      <c r="F4989" s="1" t="str">
        <f t="shared" si="9512"/>
        <v>0</v>
      </c>
      <c r="G4989" s="1" t="str">
        <f t="shared" si="9512"/>
        <v>0</v>
      </c>
      <c r="H4989" s="1" t="str">
        <f t="shared" si="9512"/>
        <v>0</v>
      </c>
      <c r="I4989" s="1" t="str">
        <f t="shared" si="9512"/>
        <v>0</v>
      </c>
      <c r="J4989" s="1" t="str">
        <f t="shared" si="9504"/>
        <v>2</v>
      </c>
      <c r="K4989" s="1" t="str">
        <f t="shared" ref="K4989:P4989" si="9513">"0"</f>
        <v>0</v>
      </c>
      <c r="L4989" s="1" t="str">
        <f t="shared" si="9513"/>
        <v>0</v>
      </c>
      <c r="M4989" s="1" t="str">
        <f t="shared" si="9513"/>
        <v>0</v>
      </c>
      <c r="N4989" s="1" t="str">
        <f t="shared" si="9513"/>
        <v>0</v>
      </c>
      <c r="O4989" s="1" t="str">
        <f t="shared" si="9513"/>
        <v>0</v>
      </c>
      <c r="P4989" s="1" t="str">
        <f t="shared" si="9513"/>
        <v>0</v>
      </c>
      <c r="Q4989" s="1" t="str">
        <f t="shared" si="9396"/>
        <v>0.0070</v>
      </c>
      <c r="R4989" s="1" t="s">
        <v>25</v>
      </c>
      <c r="T4989" s="1" t="str">
        <f t="shared" si="9397"/>
        <v>0</v>
      </c>
      <c r="U4989" s="1" t="str">
        <f t="shared" si="9502"/>
        <v>0.0070</v>
      </c>
    </row>
    <row r="4990" s="1" customFormat="1" spans="1:21">
      <c r="A4990" s="1" t="str">
        <f>"4601992158787"</f>
        <v>4601992158787</v>
      </c>
      <c r="B4990" s="1" t="s">
        <v>5013</v>
      </c>
      <c r="C4990" s="1" t="s">
        <v>24</v>
      </c>
      <c r="D4990" s="1" t="str">
        <f t="shared" si="9392"/>
        <v>2021</v>
      </c>
      <c r="E4990" s="1" t="str">
        <f>"12.09"</f>
        <v>12.09</v>
      </c>
      <c r="F4990" s="1" t="str">
        <f t="shared" ref="F4990:I4990" si="9514">"0"</f>
        <v>0</v>
      </c>
      <c r="G4990" s="1" t="str">
        <f t="shared" si="9514"/>
        <v>0</v>
      </c>
      <c r="H4990" s="1" t="str">
        <f t="shared" si="9514"/>
        <v>0</v>
      </c>
      <c r="I4990" s="1" t="str">
        <f t="shared" si="9514"/>
        <v>0</v>
      </c>
      <c r="J4990" s="1" t="str">
        <f t="shared" si="9504"/>
        <v>2</v>
      </c>
      <c r="K4990" s="1" t="str">
        <f t="shared" ref="K4990:P4990" si="9515">"0"</f>
        <v>0</v>
      </c>
      <c r="L4990" s="1" t="str">
        <f t="shared" si="9515"/>
        <v>0</v>
      </c>
      <c r="M4990" s="1" t="str">
        <f t="shared" si="9515"/>
        <v>0</v>
      </c>
      <c r="N4990" s="1" t="str">
        <f t="shared" si="9515"/>
        <v>0</v>
      </c>
      <c r="O4990" s="1" t="str">
        <f t="shared" si="9515"/>
        <v>0</v>
      </c>
      <c r="P4990" s="1" t="str">
        <f t="shared" si="9515"/>
        <v>0</v>
      </c>
      <c r="Q4990" s="1" t="str">
        <f t="shared" si="9396"/>
        <v>0.0070</v>
      </c>
      <c r="R4990" s="1" t="s">
        <v>29</v>
      </c>
      <c r="S4990" s="1">
        <v>-0.0014</v>
      </c>
      <c r="T4990" s="1" t="str">
        <f t="shared" si="9397"/>
        <v>0</v>
      </c>
      <c r="U4990" s="1" t="str">
        <f>"0.0056"</f>
        <v>0.0056</v>
      </c>
    </row>
    <row r="4991" s="1" customFormat="1" spans="1:21">
      <c r="A4991" s="1" t="str">
        <f>"4601992158784"</f>
        <v>4601992158784</v>
      </c>
      <c r="B4991" s="1" t="s">
        <v>5014</v>
      </c>
      <c r="C4991" s="1" t="s">
        <v>24</v>
      </c>
      <c r="D4991" s="1" t="str">
        <f t="shared" si="9392"/>
        <v>2021</v>
      </c>
      <c r="E4991" s="1" t="str">
        <f t="shared" ref="E4991:I4991" si="9516">"0"</f>
        <v>0</v>
      </c>
      <c r="F4991" s="1" t="str">
        <f t="shared" si="9516"/>
        <v>0</v>
      </c>
      <c r="G4991" s="1" t="str">
        <f t="shared" si="9516"/>
        <v>0</v>
      </c>
      <c r="H4991" s="1" t="str">
        <f t="shared" si="9516"/>
        <v>0</v>
      </c>
      <c r="I4991" s="1" t="str">
        <f t="shared" si="9516"/>
        <v>0</v>
      </c>
      <c r="J4991" s="1" t="str">
        <f>"3"</f>
        <v>3</v>
      </c>
      <c r="K4991" s="1" t="str">
        <f t="shared" ref="K4991:P4991" si="9517">"0"</f>
        <v>0</v>
      </c>
      <c r="L4991" s="1" t="str">
        <f t="shared" si="9517"/>
        <v>0</v>
      </c>
      <c r="M4991" s="1" t="str">
        <f t="shared" si="9517"/>
        <v>0</v>
      </c>
      <c r="N4991" s="1" t="str">
        <f t="shared" si="9517"/>
        <v>0</v>
      </c>
      <c r="O4991" s="1" t="str">
        <f t="shared" si="9517"/>
        <v>0</v>
      </c>
      <c r="P4991" s="1" t="str">
        <f t="shared" si="9517"/>
        <v>0</v>
      </c>
      <c r="Q4991" s="1" t="str">
        <f t="shared" si="9396"/>
        <v>0.0070</v>
      </c>
      <c r="R4991" s="1" t="s">
        <v>25</v>
      </c>
      <c r="T4991" s="1" t="str">
        <f t="shared" si="9397"/>
        <v>0</v>
      </c>
      <c r="U4991" s="1" t="str">
        <f t="shared" ref="U4991:U4994" si="9518">"0.0070"</f>
        <v>0.0070</v>
      </c>
    </row>
    <row r="4992" s="1" customFormat="1" spans="1:21">
      <c r="A4992" s="1" t="str">
        <f>"4601992158792"</f>
        <v>4601992158792</v>
      </c>
      <c r="B4992" s="1" t="s">
        <v>5015</v>
      </c>
      <c r="C4992" s="1" t="s">
        <v>24</v>
      </c>
      <c r="D4992" s="1" t="str">
        <f t="shared" si="9392"/>
        <v>2021</v>
      </c>
      <c r="E4992" s="1" t="str">
        <f t="shared" ref="E4992:I4992" si="9519">"0"</f>
        <v>0</v>
      </c>
      <c r="F4992" s="1" t="str">
        <f t="shared" si="9519"/>
        <v>0</v>
      </c>
      <c r="G4992" s="1" t="str">
        <f t="shared" si="9519"/>
        <v>0</v>
      </c>
      <c r="H4992" s="1" t="str">
        <f t="shared" si="9519"/>
        <v>0</v>
      </c>
      <c r="I4992" s="1" t="str">
        <f t="shared" si="9519"/>
        <v>0</v>
      </c>
      <c r="J4992" s="1" t="str">
        <f>"2"</f>
        <v>2</v>
      </c>
      <c r="K4992" s="1" t="str">
        <f t="shared" ref="K4992:P4992" si="9520">"0"</f>
        <v>0</v>
      </c>
      <c r="L4992" s="1" t="str">
        <f t="shared" si="9520"/>
        <v>0</v>
      </c>
      <c r="M4992" s="1" t="str">
        <f t="shared" si="9520"/>
        <v>0</v>
      </c>
      <c r="N4992" s="1" t="str">
        <f t="shared" si="9520"/>
        <v>0</v>
      </c>
      <c r="O4992" s="1" t="str">
        <f t="shared" si="9520"/>
        <v>0</v>
      </c>
      <c r="P4992" s="1" t="str">
        <f t="shared" si="9520"/>
        <v>0</v>
      </c>
      <c r="Q4992" s="1" t="str">
        <f t="shared" si="9396"/>
        <v>0.0070</v>
      </c>
      <c r="R4992" s="1" t="s">
        <v>25</v>
      </c>
      <c r="T4992" s="1" t="str">
        <f t="shared" si="9397"/>
        <v>0</v>
      </c>
      <c r="U4992" s="1" t="str">
        <f t="shared" si="9518"/>
        <v>0.0070</v>
      </c>
    </row>
    <row r="4993" s="1" customFormat="1" spans="1:21">
      <c r="A4993" s="1" t="str">
        <f>"4601992158836"</f>
        <v>4601992158836</v>
      </c>
      <c r="B4993" s="1" t="s">
        <v>5016</v>
      </c>
      <c r="C4993" s="1" t="s">
        <v>24</v>
      </c>
      <c r="D4993" s="1" t="str">
        <f t="shared" si="9392"/>
        <v>2021</v>
      </c>
      <c r="E4993" s="1" t="str">
        <f t="shared" ref="E4993:I4993" si="9521">"0"</f>
        <v>0</v>
      </c>
      <c r="F4993" s="1" t="str">
        <f t="shared" si="9521"/>
        <v>0</v>
      </c>
      <c r="G4993" s="1" t="str">
        <f t="shared" si="9521"/>
        <v>0</v>
      </c>
      <c r="H4993" s="1" t="str">
        <f t="shared" si="9521"/>
        <v>0</v>
      </c>
      <c r="I4993" s="1" t="str">
        <f t="shared" si="9521"/>
        <v>0</v>
      </c>
      <c r="J4993" s="1" t="str">
        <f>"4"</f>
        <v>4</v>
      </c>
      <c r="K4993" s="1" t="str">
        <f t="shared" ref="K4993:P4993" si="9522">"0"</f>
        <v>0</v>
      </c>
      <c r="L4993" s="1" t="str">
        <f t="shared" si="9522"/>
        <v>0</v>
      </c>
      <c r="M4993" s="1" t="str">
        <f t="shared" si="9522"/>
        <v>0</v>
      </c>
      <c r="N4993" s="1" t="str">
        <f t="shared" si="9522"/>
        <v>0</v>
      </c>
      <c r="O4993" s="1" t="str">
        <f t="shared" si="9522"/>
        <v>0</v>
      </c>
      <c r="P4993" s="1" t="str">
        <f t="shared" si="9522"/>
        <v>0</v>
      </c>
      <c r="Q4993" s="1" t="str">
        <f t="shared" si="9396"/>
        <v>0.0070</v>
      </c>
      <c r="R4993" s="1" t="s">
        <v>25</v>
      </c>
      <c r="T4993" s="1" t="str">
        <f t="shared" si="9397"/>
        <v>0</v>
      </c>
      <c r="U4993" s="1" t="str">
        <f t="shared" si="9518"/>
        <v>0.0070</v>
      </c>
    </row>
    <row r="4994" s="1" customFormat="1" spans="1:21">
      <c r="A4994" s="1" t="str">
        <f>"4601992158797"</f>
        <v>4601992158797</v>
      </c>
      <c r="B4994" s="1" t="s">
        <v>5017</v>
      </c>
      <c r="C4994" s="1" t="s">
        <v>24</v>
      </c>
      <c r="D4994" s="1" t="str">
        <f t="shared" si="9392"/>
        <v>2021</v>
      </c>
      <c r="E4994" s="1" t="str">
        <f t="shared" ref="E4994:I4994" si="9523">"0"</f>
        <v>0</v>
      </c>
      <c r="F4994" s="1" t="str">
        <f t="shared" si="9523"/>
        <v>0</v>
      </c>
      <c r="G4994" s="1" t="str">
        <f t="shared" si="9523"/>
        <v>0</v>
      </c>
      <c r="H4994" s="1" t="str">
        <f t="shared" si="9523"/>
        <v>0</v>
      </c>
      <c r="I4994" s="1" t="str">
        <f t="shared" si="9523"/>
        <v>0</v>
      </c>
      <c r="J4994" s="1" t="str">
        <f t="shared" ref="J4994:J4999" si="9524">"3"</f>
        <v>3</v>
      </c>
      <c r="K4994" s="1" t="str">
        <f t="shared" ref="K4994:P4994" si="9525">"0"</f>
        <v>0</v>
      </c>
      <c r="L4994" s="1" t="str">
        <f t="shared" si="9525"/>
        <v>0</v>
      </c>
      <c r="M4994" s="1" t="str">
        <f t="shared" si="9525"/>
        <v>0</v>
      </c>
      <c r="N4994" s="1" t="str">
        <f t="shared" si="9525"/>
        <v>0</v>
      </c>
      <c r="O4994" s="1" t="str">
        <f t="shared" si="9525"/>
        <v>0</v>
      </c>
      <c r="P4994" s="1" t="str">
        <f t="shared" si="9525"/>
        <v>0</v>
      </c>
      <c r="Q4994" s="1" t="str">
        <f t="shared" si="9396"/>
        <v>0.0070</v>
      </c>
      <c r="R4994" s="1" t="s">
        <v>25</v>
      </c>
      <c r="T4994" s="1" t="str">
        <f t="shared" si="9397"/>
        <v>0</v>
      </c>
      <c r="U4994" s="1" t="str">
        <f t="shared" si="9518"/>
        <v>0.0070</v>
      </c>
    </row>
    <row r="4995" s="1" customFormat="1" spans="1:21">
      <c r="A4995" s="1" t="str">
        <f>"4601992013032"</f>
        <v>4601992013032</v>
      </c>
      <c r="B4995" s="1" t="s">
        <v>5018</v>
      </c>
      <c r="C4995" s="1" t="s">
        <v>24</v>
      </c>
      <c r="D4995" s="1" t="str">
        <f t="shared" ref="D4995:D5058" si="9526">"2021"</f>
        <v>2021</v>
      </c>
      <c r="E4995" s="1" t="str">
        <f>"48.36"</f>
        <v>48.36</v>
      </c>
      <c r="F4995" s="1" t="str">
        <f t="shared" ref="F4995:I4995" si="9527">"0"</f>
        <v>0</v>
      </c>
      <c r="G4995" s="1" t="str">
        <f t="shared" si="9527"/>
        <v>0</v>
      </c>
      <c r="H4995" s="1" t="str">
        <f t="shared" si="9527"/>
        <v>0</v>
      </c>
      <c r="I4995" s="1" t="str">
        <f t="shared" si="9527"/>
        <v>0</v>
      </c>
      <c r="J4995" s="1" t="str">
        <f>"9"</f>
        <v>9</v>
      </c>
      <c r="K4995" s="1" t="str">
        <f t="shared" ref="K4995:P4995" si="9528">"0"</f>
        <v>0</v>
      </c>
      <c r="L4995" s="1" t="str">
        <f t="shared" si="9528"/>
        <v>0</v>
      </c>
      <c r="M4995" s="1" t="str">
        <f t="shared" si="9528"/>
        <v>0</v>
      </c>
      <c r="N4995" s="1" t="str">
        <f t="shared" si="9528"/>
        <v>0</v>
      </c>
      <c r="O4995" s="1" t="str">
        <f t="shared" si="9528"/>
        <v>0</v>
      </c>
      <c r="P4995" s="1" t="str">
        <f t="shared" si="9528"/>
        <v>0</v>
      </c>
      <c r="Q4995" s="1" t="str">
        <f t="shared" ref="Q4995:Q5058" si="9529">"0.0070"</f>
        <v>0.0070</v>
      </c>
      <c r="R4995" s="1" t="s">
        <v>29</v>
      </c>
      <c r="S4995" s="1">
        <v>-0.0014</v>
      </c>
      <c r="T4995" s="1" t="str">
        <f t="shared" ref="T4995:T5058" si="9530">"0"</f>
        <v>0</v>
      </c>
      <c r="U4995" s="1" t="str">
        <f>"0.0056"</f>
        <v>0.0056</v>
      </c>
    </row>
    <row r="4996" s="1" customFormat="1" spans="1:21">
      <c r="A4996" s="1" t="str">
        <f>"4601992158837"</f>
        <v>4601992158837</v>
      </c>
      <c r="B4996" s="1" t="s">
        <v>5019</v>
      </c>
      <c r="C4996" s="1" t="s">
        <v>24</v>
      </c>
      <c r="D4996" s="1" t="str">
        <f t="shared" si="9526"/>
        <v>2021</v>
      </c>
      <c r="E4996" s="1" t="str">
        <f t="shared" ref="E4996:I4996" si="9531">"0"</f>
        <v>0</v>
      </c>
      <c r="F4996" s="1" t="str">
        <f t="shared" si="9531"/>
        <v>0</v>
      </c>
      <c r="G4996" s="1" t="str">
        <f t="shared" si="9531"/>
        <v>0</v>
      </c>
      <c r="H4996" s="1" t="str">
        <f t="shared" si="9531"/>
        <v>0</v>
      </c>
      <c r="I4996" s="1" t="str">
        <f t="shared" si="9531"/>
        <v>0</v>
      </c>
      <c r="J4996" s="1" t="str">
        <f>"5"</f>
        <v>5</v>
      </c>
      <c r="K4996" s="1" t="str">
        <f t="shared" ref="K4996:P4996" si="9532">"0"</f>
        <v>0</v>
      </c>
      <c r="L4996" s="1" t="str">
        <f t="shared" si="9532"/>
        <v>0</v>
      </c>
      <c r="M4996" s="1" t="str">
        <f t="shared" si="9532"/>
        <v>0</v>
      </c>
      <c r="N4996" s="1" t="str">
        <f t="shared" si="9532"/>
        <v>0</v>
      </c>
      <c r="O4996" s="1" t="str">
        <f t="shared" si="9532"/>
        <v>0</v>
      </c>
      <c r="P4996" s="1" t="str">
        <f t="shared" si="9532"/>
        <v>0</v>
      </c>
      <c r="Q4996" s="1" t="str">
        <f t="shared" si="9529"/>
        <v>0.0070</v>
      </c>
      <c r="R4996" s="1" t="s">
        <v>25</v>
      </c>
      <c r="T4996" s="1" t="str">
        <f t="shared" si="9530"/>
        <v>0</v>
      </c>
      <c r="U4996" s="1" t="str">
        <f t="shared" ref="U4996:U5009" si="9533">"0.0070"</f>
        <v>0.0070</v>
      </c>
    </row>
    <row r="4997" s="1" customFormat="1" spans="1:21">
      <c r="A4997" s="1" t="str">
        <f>"4601992158852"</f>
        <v>4601992158852</v>
      </c>
      <c r="B4997" s="1" t="s">
        <v>5020</v>
      </c>
      <c r="C4997" s="1" t="s">
        <v>24</v>
      </c>
      <c r="D4997" s="1" t="str">
        <f t="shared" si="9526"/>
        <v>2021</v>
      </c>
      <c r="E4997" s="1" t="str">
        <f t="shared" ref="E4997:I4997" si="9534">"0"</f>
        <v>0</v>
      </c>
      <c r="F4997" s="1" t="str">
        <f t="shared" si="9534"/>
        <v>0</v>
      </c>
      <c r="G4997" s="1" t="str">
        <f t="shared" si="9534"/>
        <v>0</v>
      </c>
      <c r="H4997" s="1" t="str">
        <f t="shared" si="9534"/>
        <v>0</v>
      </c>
      <c r="I4997" s="1" t="str">
        <f t="shared" si="9534"/>
        <v>0</v>
      </c>
      <c r="J4997" s="1" t="str">
        <f t="shared" si="9524"/>
        <v>3</v>
      </c>
      <c r="K4997" s="1" t="str">
        <f t="shared" ref="K4997:P4997" si="9535">"0"</f>
        <v>0</v>
      </c>
      <c r="L4997" s="1" t="str">
        <f t="shared" si="9535"/>
        <v>0</v>
      </c>
      <c r="M4997" s="1" t="str">
        <f t="shared" si="9535"/>
        <v>0</v>
      </c>
      <c r="N4997" s="1" t="str">
        <f t="shared" si="9535"/>
        <v>0</v>
      </c>
      <c r="O4997" s="1" t="str">
        <f t="shared" si="9535"/>
        <v>0</v>
      </c>
      <c r="P4997" s="1" t="str">
        <f t="shared" si="9535"/>
        <v>0</v>
      </c>
      <c r="Q4997" s="1" t="str">
        <f t="shared" si="9529"/>
        <v>0.0070</v>
      </c>
      <c r="R4997" s="1" t="s">
        <v>25</v>
      </c>
      <c r="T4997" s="1" t="str">
        <f t="shared" si="9530"/>
        <v>0</v>
      </c>
      <c r="U4997" s="1" t="str">
        <f t="shared" si="9533"/>
        <v>0.0070</v>
      </c>
    </row>
    <row r="4998" s="1" customFormat="1" spans="1:21">
      <c r="A4998" s="1" t="str">
        <f>"4601992158854"</f>
        <v>4601992158854</v>
      </c>
      <c r="B4998" s="1" t="s">
        <v>5021</v>
      </c>
      <c r="C4998" s="1" t="s">
        <v>24</v>
      </c>
      <c r="D4998" s="1" t="str">
        <f t="shared" si="9526"/>
        <v>2021</v>
      </c>
      <c r="E4998" s="1" t="str">
        <f t="shared" ref="E4998:I4998" si="9536">"0"</f>
        <v>0</v>
      </c>
      <c r="F4998" s="1" t="str">
        <f t="shared" si="9536"/>
        <v>0</v>
      </c>
      <c r="G4998" s="1" t="str">
        <f t="shared" si="9536"/>
        <v>0</v>
      </c>
      <c r="H4998" s="1" t="str">
        <f t="shared" si="9536"/>
        <v>0</v>
      </c>
      <c r="I4998" s="1" t="str">
        <f t="shared" si="9536"/>
        <v>0</v>
      </c>
      <c r="J4998" s="1" t="str">
        <f>"16"</f>
        <v>16</v>
      </c>
      <c r="K4998" s="1" t="str">
        <f t="shared" ref="K4998:P4998" si="9537">"0"</f>
        <v>0</v>
      </c>
      <c r="L4998" s="1" t="str">
        <f t="shared" si="9537"/>
        <v>0</v>
      </c>
      <c r="M4998" s="1" t="str">
        <f t="shared" si="9537"/>
        <v>0</v>
      </c>
      <c r="N4998" s="1" t="str">
        <f t="shared" si="9537"/>
        <v>0</v>
      </c>
      <c r="O4998" s="1" t="str">
        <f t="shared" si="9537"/>
        <v>0</v>
      </c>
      <c r="P4998" s="1" t="str">
        <f t="shared" si="9537"/>
        <v>0</v>
      </c>
      <c r="Q4998" s="1" t="str">
        <f t="shared" si="9529"/>
        <v>0.0070</v>
      </c>
      <c r="R4998" s="1" t="s">
        <v>25</v>
      </c>
      <c r="T4998" s="1" t="str">
        <f t="shared" si="9530"/>
        <v>0</v>
      </c>
      <c r="U4998" s="1" t="str">
        <f t="shared" si="9533"/>
        <v>0.0070</v>
      </c>
    </row>
    <row r="4999" s="1" customFormat="1" spans="1:21">
      <c r="A4999" s="1" t="str">
        <f>"4601992158857"</f>
        <v>4601992158857</v>
      </c>
      <c r="B4999" s="1" t="s">
        <v>5022</v>
      </c>
      <c r="C4999" s="1" t="s">
        <v>24</v>
      </c>
      <c r="D4999" s="1" t="str">
        <f t="shared" si="9526"/>
        <v>2021</v>
      </c>
      <c r="E4999" s="1" t="str">
        <f t="shared" ref="E4999:I4999" si="9538">"0"</f>
        <v>0</v>
      </c>
      <c r="F4999" s="1" t="str">
        <f t="shared" si="9538"/>
        <v>0</v>
      </c>
      <c r="G4999" s="1" t="str">
        <f t="shared" si="9538"/>
        <v>0</v>
      </c>
      <c r="H4999" s="1" t="str">
        <f t="shared" si="9538"/>
        <v>0</v>
      </c>
      <c r="I4999" s="1" t="str">
        <f t="shared" si="9538"/>
        <v>0</v>
      </c>
      <c r="J4999" s="1" t="str">
        <f t="shared" si="9524"/>
        <v>3</v>
      </c>
      <c r="K4999" s="1" t="str">
        <f t="shared" ref="K4999:P4999" si="9539">"0"</f>
        <v>0</v>
      </c>
      <c r="L4999" s="1" t="str">
        <f t="shared" si="9539"/>
        <v>0</v>
      </c>
      <c r="M4999" s="1" t="str">
        <f t="shared" si="9539"/>
        <v>0</v>
      </c>
      <c r="N4999" s="1" t="str">
        <f t="shared" si="9539"/>
        <v>0</v>
      </c>
      <c r="O4999" s="1" t="str">
        <f t="shared" si="9539"/>
        <v>0</v>
      </c>
      <c r="P4999" s="1" t="str">
        <f t="shared" si="9539"/>
        <v>0</v>
      </c>
      <c r="Q4999" s="1" t="str">
        <f t="shared" si="9529"/>
        <v>0.0070</v>
      </c>
      <c r="R4999" s="1" t="s">
        <v>25</v>
      </c>
      <c r="T4999" s="1" t="str">
        <f t="shared" si="9530"/>
        <v>0</v>
      </c>
      <c r="U4999" s="1" t="str">
        <f t="shared" si="9533"/>
        <v>0.0070</v>
      </c>
    </row>
    <row r="5000" s="1" customFormat="1" spans="1:21">
      <c r="A5000" s="1" t="str">
        <f>"4601992158861"</f>
        <v>4601992158861</v>
      </c>
      <c r="B5000" s="1" t="s">
        <v>5023</v>
      </c>
      <c r="C5000" s="1" t="s">
        <v>24</v>
      </c>
      <c r="D5000" s="1" t="str">
        <f t="shared" si="9526"/>
        <v>2021</v>
      </c>
      <c r="E5000" s="1" t="str">
        <f t="shared" ref="E5000:I5000" si="9540">"0"</f>
        <v>0</v>
      </c>
      <c r="F5000" s="1" t="str">
        <f t="shared" si="9540"/>
        <v>0</v>
      </c>
      <c r="G5000" s="1" t="str">
        <f t="shared" si="9540"/>
        <v>0</v>
      </c>
      <c r="H5000" s="1" t="str">
        <f t="shared" si="9540"/>
        <v>0</v>
      </c>
      <c r="I5000" s="1" t="str">
        <f t="shared" si="9540"/>
        <v>0</v>
      </c>
      <c r="J5000" s="1" t="str">
        <f t="shared" ref="J5000:J5004" si="9541">"1"</f>
        <v>1</v>
      </c>
      <c r="K5000" s="1" t="str">
        <f t="shared" ref="K5000:P5000" si="9542">"0"</f>
        <v>0</v>
      </c>
      <c r="L5000" s="1" t="str">
        <f t="shared" si="9542"/>
        <v>0</v>
      </c>
      <c r="M5000" s="1" t="str">
        <f t="shared" si="9542"/>
        <v>0</v>
      </c>
      <c r="N5000" s="1" t="str">
        <f t="shared" si="9542"/>
        <v>0</v>
      </c>
      <c r="O5000" s="1" t="str">
        <f t="shared" si="9542"/>
        <v>0</v>
      </c>
      <c r="P5000" s="1" t="str">
        <f t="shared" si="9542"/>
        <v>0</v>
      </c>
      <c r="Q5000" s="1" t="str">
        <f t="shared" si="9529"/>
        <v>0.0070</v>
      </c>
      <c r="R5000" s="1" t="s">
        <v>25</v>
      </c>
      <c r="T5000" s="1" t="str">
        <f t="shared" si="9530"/>
        <v>0</v>
      </c>
      <c r="U5000" s="1" t="str">
        <f t="shared" si="9533"/>
        <v>0.0070</v>
      </c>
    </row>
    <row r="5001" s="1" customFormat="1" spans="1:21">
      <c r="A5001" s="1" t="str">
        <f>"4601992158867"</f>
        <v>4601992158867</v>
      </c>
      <c r="B5001" s="1" t="s">
        <v>5024</v>
      </c>
      <c r="C5001" s="1" t="s">
        <v>24</v>
      </c>
      <c r="D5001" s="1" t="str">
        <f t="shared" si="9526"/>
        <v>2021</v>
      </c>
      <c r="E5001" s="1" t="str">
        <f t="shared" ref="E5001:I5001" si="9543">"0"</f>
        <v>0</v>
      </c>
      <c r="F5001" s="1" t="str">
        <f t="shared" si="9543"/>
        <v>0</v>
      </c>
      <c r="G5001" s="1" t="str">
        <f t="shared" si="9543"/>
        <v>0</v>
      </c>
      <c r="H5001" s="1" t="str">
        <f t="shared" si="9543"/>
        <v>0</v>
      </c>
      <c r="I5001" s="1" t="str">
        <f t="shared" si="9543"/>
        <v>0</v>
      </c>
      <c r="J5001" s="1" t="str">
        <f>"5"</f>
        <v>5</v>
      </c>
      <c r="K5001" s="1" t="str">
        <f t="shared" ref="K5001:P5001" si="9544">"0"</f>
        <v>0</v>
      </c>
      <c r="L5001" s="1" t="str">
        <f t="shared" si="9544"/>
        <v>0</v>
      </c>
      <c r="M5001" s="1" t="str">
        <f t="shared" si="9544"/>
        <v>0</v>
      </c>
      <c r="N5001" s="1" t="str">
        <f t="shared" si="9544"/>
        <v>0</v>
      </c>
      <c r="O5001" s="1" t="str">
        <f t="shared" si="9544"/>
        <v>0</v>
      </c>
      <c r="P5001" s="1" t="str">
        <f t="shared" si="9544"/>
        <v>0</v>
      </c>
      <c r="Q5001" s="1" t="str">
        <f t="shared" si="9529"/>
        <v>0.0070</v>
      </c>
      <c r="R5001" s="1" t="s">
        <v>25</v>
      </c>
      <c r="T5001" s="1" t="str">
        <f t="shared" si="9530"/>
        <v>0</v>
      </c>
      <c r="U5001" s="1" t="str">
        <f t="shared" si="9533"/>
        <v>0.0070</v>
      </c>
    </row>
    <row r="5002" s="1" customFormat="1" spans="1:21">
      <c r="A5002" s="1" t="str">
        <f>"4601992158876"</f>
        <v>4601992158876</v>
      </c>
      <c r="B5002" s="1" t="s">
        <v>5025</v>
      </c>
      <c r="C5002" s="1" t="s">
        <v>24</v>
      </c>
      <c r="D5002" s="1" t="str">
        <f t="shared" si="9526"/>
        <v>2021</v>
      </c>
      <c r="E5002" s="1" t="str">
        <f t="shared" ref="E5002:I5002" si="9545">"0"</f>
        <v>0</v>
      </c>
      <c r="F5002" s="1" t="str">
        <f t="shared" si="9545"/>
        <v>0</v>
      </c>
      <c r="G5002" s="1" t="str">
        <f t="shared" si="9545"/>
        <v>0</v>
      </c>
      <c r="H5002" s="1" t="str">
        <f t="shared" si="9545"/>
        <v>0</v>
      </c>
      <c r="I5002" s="1" t="str">
        <f t="shared" si="9545"/>
        <v>0</v>
      </c>
      <c r="J5002" s="1" t="str">
        <f t="shared" si="9541"/>
        <v>1</v>
      </c>
      <c r="K5002" s="1" t="str">
        <f t="shared" ref="K5002:P5002" si="9546">"0"</f>
        <v>0</v>
      </c>
      <c r="L5002" s="1" t="str">
        <f t="shared" si="9546"/>
        <v>0</v>
      </c>
      <c r="M5002" s="1" t="str">
        <f t="shared" si="9546"/>
        <v>0</v>
      </c>
      <c r="N5002" s="1" t="str">
        <f t="shared" si="9546"/>
        <v>0</v>
      </c>
      <c r="O5002" s="1" t="str">
        <f t="shared" si="9546"/>
        <v>0</v>
      </c>
      <c r="P5002" s="1" t="str">
        <f t="shared" si="9546"/>
        <v>0</v>
      </c>
      <c r="Q5002" s="1" t="str">
        <f t="shared" si="9529"/>
        <v>0.0070</v>
      </c>
      <c r="R5002" s="1" t="s">
        <v>25</v>
      </c>
      <c r="T5002" s="1" t="str">
        <f t="shared" si="9530"/>
        <v>0</v>
      </c>
      <c r="U5002" s="1" t="str">
        <f t="shared" si="9533"/>
        <v>0.0070</v>
      </c>
    </row>
    <row r="5003" s="1" customFormat="1" spans="1:21">
      <c r="A5003" s="1" t="str">
        <f>"4601992158890"</f>
        <v>4601992158890</v>
      </c>
      <c r="B5003" s="1" t="s">
        <v>5026</v>
      </c>
      <c r="C5003" s="1" t="s">
        <v>24</v>
      </c>
      <c r="D5003" s="1" t="str">
        <f t="shared" si="9526"/>
        <v>2021</v>
      </c>
      <c r="E5003" s="1" t="str">
        <f>"0.06"</f>
        <v>0.06</v>
      </c>
      <c r="F5003" s="1" t="str">
        <f t="shared" ref="F5003:I5003" si="9547">"0"</f>
        <v>0</v>
      </c>
      <c r="G5003" s="1" t="str">
        <f t="shared" si="9547"/>
        <v>0</v>
      </c>
      <c r="H5003" s="1" t="str">
        <f t="shared" si="9547"/>
        <v>0</v>
      </c>
      <c r="I5003" s="1" t="str">
        <f t="shared" si="9547"/>
        <v>0</v>
      </c>
      <c r="J5003" s="1" t="str">
        <f>"2"</f>
        <v>2</v>
      </c>
      <c r="K5003" s="1" t="str">
        <f t="shared" ref="K5003:P5003" si="9548">"0"</f>
        <v>0</v>
      </c>
      <c r="L5003" s="1" t="str">
        <f t="shared" si="9548"/>
        <v>0</v>
      </c>
      <c r="M5003" s="1" t="str">
        <f t="shared" si="9548"/>
        <v>0</v>
      </c>
      <c r="N5003" s="1" t="str">
        <f t="shared" si="9548"/>
        <v>0</v>
      </c>
      <c r="O5003" s="1" t="str">
        <f t="shared" si="9548"/>
        <v>0</v>
      </c>
      <c r="P5003" s="1" t="str">
        <f t="shared" si="9548"/>
        <v>0</v>
      </c>
      <c r="Q5003" s="1" t="str">
        <f t="shared" si="9529"/>
        <v>0.0070</v>
      </c>
      <c r="R5003" s="1" t="s">
        <v>25</v>
      </c>
      <c r="T5003" s="1" t="str">
        <f t="shared" si="9530"/>
        <v>0</v>
      </c>
      <c r="U5003" s="1" t="str">
        <f t="shared" si="9533"/>
        <v>0.0070</v>
      </c>
    </row>
    <row r="5004" s="1" customFormat="1" spans="1:21">
      <c r="A5004" s="1" t="str">
        <f>"4601992158956"</f>
        <v>4601992158956</v>
      </c>
      <c r="B5004" s="1" t="s">
        <v>5027</v>
      </c>
      <c r="C5004" s="1" t="s">
        <v>24</v>
      </c>
      <c r="D5004" s="1" t="str">
        <f t="shared" si="9526"/>
        <v>2021</v>
      </c>
      <c r="E5004" s="1" t="str">
        <f t="shared" ref="E5004:I5004" si="9549">"0"</f>
        <v>0</v>
      </c>
      <c r="F5004" s="1" t="str">
        <f t="shared" si="9549"/>
        <v>0</v>
      </c>
      <c r="G5004" s="1" t="str">
        <f t="shared" si="9549"/>
        <v>0</v>
      </c>
      <c r="H5004" s="1" t="str">
        <f t="shared" si="9549"/>
        <v>0</v>
      </c>
      <c r="I5004" s="1" t="str">
        <f t="shared" si="9549"/>
        <v>0</v>
      </c>
      <c r="J5004" s="1" t="str">
        <f t="shared" si="9541"/>
        <v>1</v>
      </c>
      <c r="K5004" s="1" t="str">
        <f t="shared" ref="K5004:P5004" si="9550">"0"</f>
        <v>0</v>
      </c>
      <c r="L5004" s="1" t="str">
        <f t="shared" si="9550"/>
        <v>0</v>
      </c>
      <c r="M5004" s="1" t="str">
        <f t="shared" si="9550"/>
        <v>0</v>
      </c>
      <c r="N5004" s="1" t="str">
        <f t="shared" si="9550"/>
        <v>0</v>
      </c>
      <c r="O5004" s="1" t="str">
        <f t="shared" si="9550"/>
        <v>0</v>
      </c>
      <c r="P5004" s="1" t="str">
        <f t="shared" si="9550"/>
        <v>0</v>
      </c>
      <c r="Q5004" s="1" t="str">
        <f t="shared" si="9529"/>
        <v>0.0070</v>
      </c>
      <c r="R5004" s="1" t="s">
        <v>25</v>
      </c>
      <c r="T5004" s="1" t="str">
        <f t="shared" si="9530"/>
        <v>0</v>
      </c>
      <c r="U5004" s="1" t="str">
        <f t="shared" si="9533"/>
        <v>0.0070</v>
      </c>
    </row>
    <row r="5005" s="1" customFormat="1" spans="1:21">
      <c r="A5005" s="1" t="str">
        <f>"4601992158913"</f>
        <v>4601992158913</v>
      </c>
      <c r="B5005" s="1" t="s">
        <v>5028</v>
      </c>
      <c r="C5005" s="1" t="s">
        <v>24</v>
      </c>
      <c r="D5005" s="1" t="str">
        <f t="shared" si="9526"/>
        <v>2021</v>
      </c>
      <c r="E5005" s="1" t="str">
        <f t="shared" ref="E5005:I5005" si="9551">"0"</f>
        <v>0</v>
      </c>
      <c r="F5005" s="1" t="str">
        <f t="shared" si="9551"/>
        <v>0</v>
      </c>
      <c r="G5005" s="1" t="str">
        <f t="shared" si="9551"/>
        <v>0</v>
      </c>
      <c r="H5005" s="1" t="str">
        <f t="shared" si="9551"/>
        <v>0</v>
      </c>
      <c r="I5005" s="1" t="str">
        <f t="shared" si="9551"/>
        <v>0</v>
      </c>
      <c r="J5005" s="1" t="str">
        <f>"5"</f>
        <v>5</v>
      </c>
      <c r="K5005" s="1" t="str">
        <f t="shared" ref="K5005:P5005" si="9552">"0"</f>
        <v>0</v>
      </c>
      <c r="L5005" s="1" t="str">
        <f t="shared" si="9552"/>
        <v>0</v>
      </c>
      <c r="M5005" s="1" t="str">
        <f t="shared" si="9552"/>
        <v>0</v>
      </c>
      <c r="N5005" s="1" t="str">
        <f t="shared" si="9552"/>
        <v>0</v>
      </c>
      <c r="O5005" s="1" t="str">
        <f t="shared" si="9552"/>
        <v>0</v>
      </c>
      <c r="P5005" s="1" t="str">
        <f t="shared" si="9552"/>
        <v>0</v>
      </c>
      <c r="Q5005" s="1" t="str">
        <f t="shared" si="9529"/>
        <v>0.0070</v>
      </c>
      <c r="R5005" s="1" t="s">
        <v>25</v>
      </c>
      <c r="T5005" s="1" t="str">
        <f t="shared" si="9530"/>
        <v>0</v>
      </c>
      <c r="U5005" s="1" t="str">
        <f t="shared" si="9533"/>
        <v>0.0070</v>
      </c>
    </row>
    <row r="5006" s="1" customFormat="1" spans="1:21">
      <c r="A5006" s="1" t="str">
        <f>"4601992158987"</f>
        <v>4601992158987</v>
      </c>
      <c r="B5006" s="1" t="s">
        <v>5029</v>
      </c>
      <c r="C5006" s="1" t="s">
        <v>24</v>
      </c>
      <c r="D5006" s="1" t="str">
        <f t="shared" si="9526"/>
        <v>2021</v>
      </c>
      <c r="E5006" s="1" t="str">
        <f t="shared" ref="E5006:I5006" si="9553">"0"</f>
        <v>0</v>
      </c>
      <c r="F5006" s="1" t="str">
        <f t="shared" si="9553"/>
        <v>0</v>
      </c>
      <c r="G5006" s="1" t="str">
        <f t="shared" si="9553"/>
        <v>0</v>
      </c>
      <c r="H5006" s="1" t="str">
        <f t="shared" si="9553"/>
        <v>0</v>
      </c>
      <c r="I5006" s="1" t="str">
        <f t="shared" si="9553"/>
        <v>0</v>
      </c>
      <c r="J5006" s="1" t="str">
        <f>"1"</f>
        <v>1</v>
      </c>
      <c r="K5006" s="1" t="str">
        <f t="shared" ref="K5006:P5006" si="9554">"0"</f>
        <v>0</v>
      </c>
      <c r="L5006" s="1" t="str">
        <f t="shared" si="9554"/>
        <v>0</v>
      </c>
      <c r="M5006" s="1" t="str">
        <f t="shared" si="9554"/>
        <v>0</v>
      </c>
      <c r="N5006" s="1" t="str">
        <f t="shared" si="9554"/>
        <v>0</v>
      </c>
      <c r="O5006" s="1" t="str">
        <f t="shared" si="9554"/>
        <v>0</v>
      </c>
      <c r="P5006" s="1" t="str">
        <f t="shared" si="9554"/>
        <v>0</v>
      </c>
      <c r="Q5006" s="1" t="str">
        <f t="shared" si="9529"/>
        <v>0.0070</v>
      </c>
      <c r="R5006" s="1" t="s">
        <v>25</v>
      </c>
      <c r="T5006" s="1" t="str">
        <f t="shared" si="9530"/>
        <v>0</v>
      </c>
      <c r="U5006" s="1" t="str">
        <f t="shared" si="9533"/>
        <v>0.0070</v>
      </c>
    </row>
    <row r="5007" s="1" customFormat="1" spans="1:21">
      <c r="A5007" s="1" t="str">
        <f>"4601992158986"</f>
        <v>4601992158986</v>
      </c>
      <c r="B5007" s="1" t="s">
        <v>5030</v>
      </c>
      <c r="C5007" s="1" t="s">
        <v>24</v>
      </c>
      <c r="D5007" s="1" t="str">
        <f t="shared" si="9526"/>
        <v>2021</v>
      </c>
      <c r="E5007" s="1" t="str">
        <f t="shared" ref="E5007:I5007" si="9555">"0"</f>
        <v>0</v>
      </c>
      <c r="F5007" s="1" t="str">
        <f t="shared" si="9555"/>
        <v>0</v>
      </c>
      <c r="G5007" s="1" t="str">
        <f t="shared" si="9555"/>
        <v>0</v>
      </c>
      <c r="H5007" s="1" t="str">
        <f t="shared" si="9555"/>
        <v>0</v>
      </c>
      <c r="I5007" s="1" t="str">
        <f t="shared" si="9555"/>
        <v>0</v>
      </c>
      <c r="J5007" s="1" t="str">
        <f>"8"</f>
        <v>8</v>
      </c>
      <c r="K5007" s="1" t="str">
        <f t="shared" ref="K5007:P5007" si="9556">"0"</f>
        <v>0</v>
      </c>
      <c r="L5007" s="1" t="str">
        <f t="shared" si="9556"/>
        <v>0</v>
      </c>
      <c r="M5007" s="1" t="str">
        <f t="shared" si="9556"/>
        <v>0</v>
      </c>
      <c r="N5007" s="1" t="str">
        <f t="shared" si="9556"/>
        <v>0</v>
      </c>
      <c r="O5007" s="1" t="str">
        <f t="shared" si="9556"/>
        <v>0</v>
      </c>
      <c r="P5007" s="1" t="str">
        <f t="shared" si="9556"/>
        <v>0</v>
      </c>
      <c r="Q5007" s="1" t="str">
        <f t="shared" si="9529"/>
        <v>0.0070</v>
      </c>
      <c r="R5007" s="1" t="s">
        <v>25</v>
      </c>
      <c r="T5007" s="1" t="str">
        <f t="shared" si="9530"/>
        <v>0</v>
      </c>
      <c r="U5007" s="1" t="str">
        <f t="shared" si="9533"/>
        <v>0.0070</v>
      </c>
    </row>
    <row r="5008" s="1" customFormat="1" spans="1:21">
      <c r="A5008" s="1" t="str">
        <f>"4601992159003"</f>
        <v>4601992159003</v>
      </c>
      <c r="B5008" s="1" t="s">
        <v>5031</v>
      </c>
      <c r="C5008" s="1" t="s">
        <v>24</v>
      </c>
      <c r="D5008" s="1" t="str">
        <f t="shared" si="9526"/>
        <v>2021</v>
      </c>
      <c r="E5008" s="1" t="str">
        <f t="shared" ref="E5008:I5008" si="9557">"0"</f>
        <v>0</v>
      </c>
      <c r="F5008" s="1" t="str">
        <f t="shared" si="9557"/>
        <v>0</v>
      </c>
      <c r="G5008" s="1" t="str">
        <f t="shared" si="9557"/>
        <v>0</v>
      </c>
      <c r="H5008" s="1" t="str">
        <f t="shared" si="9557"/>
        <v>0</v>
      </c>
      <c r="I5008" s="1" t="str">
        <f t="shared" si="9557"/>
        <v>0</v>
      </c>
      <c r="J5008" s="1" t="str">
        <f t="shared" ref="J5008:J5013" si="9558">"2"</f>
        <v>2</v>
      </c>
      <c r="K5008" s="1" t="str">
        <f t="shared" ref="K5008:P5008" si="9559">"0"</f>
        <v>0</v>
      </c>
      <c r="L5008" s="1" t="str">
        <f t="shared" si="9559"/>
        <v>0</v>
      </c>
      <c r="M5008" s="1" t="str">
        <f t="shared" si="9559"/>
        <v>0</v>
      </c>
      <c r="N5008" s="1" t="str">
        <f t="shared" si="9559"/>
        <v>0</v>
      </c>
      <c r="O5008" s="1" t="str">
        <f t="shared" si="9559"/>
        <v>0</v>
      </c>
      <c r="P5008" s="1" t="str">
        <f t="shared" si="9559"/>
        <v>0</v>
      </c>
      <c r="Q5008" s="1" t="str">
        <f t="shared" si="9529"/>
        <v>0.0070</v>
      </c>
      <c r="R5008" s="1" t="s">
        <v>25</v>
      </c>
      <c r="T5008" s="1" t="str">
        <f t="shared" si="9530"/>
        <v>0</v>
      </c>
      <c r="U5008" s="1" t="str">
        <f t="shared" si="9533"/>
        <v>0.0070</v>
      </c>
    </row>
    <row r="5009" s="1" customFormat="1" spans="1:21">
      <c r="A5009" s="1" t="str">
        <f>"4601992159012"</f>
        <v>4601992159012</v>
      </c>
      <c r="B5009" s="1" t="s">
        <v>5032</v>
      </c>
      <c r="C5009" s="1" t="s">
        <v>24</v>
      </c>
      <c r="D5009" s="1" t="str">
        <f t="shared" si="9526"/>
        <v>2021</v>
      </c>
      <c r="E5009" s="1" t="str">
        <f t="shared" ref="E5009:I5009" si="9560">"0"</f>
        <v>0</v>
      </c>
      <c r="F5009" s="1" t="str">
        <f t="shared" si="9560"/>
        <v>0</v>
      </c>
      <c r="G5009" s="1" t="str">
        <f t="shared" si="9560"/>
        <v>0</v>
      </c>
      <c r="H5009" s="1" t="str">
        <f t="shared" si="9560"/>
        <v>0</v>
      </c>
      <c r="I5009" s="1" t="str">
        <f t="shared" si="9560"/>
        <v>0</v>
      </c>
      <c r="J5009" s="1" t="str">
        <f>"1"</f>
        <v>1</v>
      </c>
      <c r="K5009" s="1" t="str">
        <f t="shared" ref="K5009:P5009" si="9561">"0"</f>
        <v>0</v>
      </c>
      <c r="L5009" s="1" t="str">
        <f t="shared" si="9561"/>
        <v>0</v>
      </c>
      <c r="M5009" s="1" t="str">
        <f t="shared" si="9561"/>
        <v>0</v>
      </c>
      <c r="N5009" s="1" t="str">
        <f t="shared" si="9561"/>
        <v>0</v>
      </c>
      <c r="O5009" s="1" t="str">
        <f t="shared" si="9561"/>
        <v>0</v>
      </c>
      <c r="P5009" s="1" t="str">
        <f t="shared" si="9561"/>
        <v>0</v>
      </c>
      <c r="Q5009" s="1" t="str">
        <f t="shared" si="9529"/>
        <v>0.0070</v>
      </c>
      <c r="R5009" s="1" t="s">
        <v>25</v>
      </c>
      <c r="T5009" s="1" t="str">
        <f t="shared" si="9530"/>
        <v>0</v>
      </c>
      <c r="U5009" s="1" t="str">
        <f t="shared" si="9533"/>
        <v>0.0070</v>
      </c>
    </row>
    <row r="5010" s="1" customFormat="1" spans="1:21">
      <c r="A5010" s="1" t="str">
        <f>"4601992159014"</f>
        <v>4601992159014</v>
      </c>
      <c r="B5010" s="1" t="s">
        <v>5033</v>
      </c>
      <c r="C5010" s="1" t="s">
        <v>24</v>
      </c>
      <c r="D5010" s="1" t="str">
        <f t="shared" si="9526"/>
        <v>2021</v>
      </c>
      <c r="E5010" s="1" t="str">
        <f>"23.96"</f>
        <v>23.96</v>
      </c>
      <c r="F5010" s="1" t="str">
        <f t="shared" ref="F5010:I5010" si="9562">"0"</f>
        <v>0</v>
      </c>
      <c r="G5010" s="1" t="str">
        <f t="shared" si="9562"/>
        <v>0</v>
      </c>
      <c r="H5010" s="1" t="str">
        <f t="shared" si="9562"/>
        <v>0</v>
      </c>
      <c r="I5010" s="1" t="str">
        <f t="shared" si="9562"/>
        <v>0</v>
      </c>
      <c r="J5010" s="1" t="str">
        <f>"4"</f>
        <v>4</v>
      </c>
      <c r="K5010" s="1" t="str">
        <f t="shared" ref="K5010:P5010" si="9563">"0"</f>
        <v>0</v>
      </c>
      <c r="L5010" s="1" t="str">
        <f t="shared" si="9563"/>
        <v>0</v>
      </c>
      <c r="M5010" s="1" t="str">
        <f t="shared" si="9563"/>
        <v>0</v>
      </c>
      <c r="N5010" s="1" t="str">
        <f t="shared" si="9563"/>
        <v>0</v>
      </c>
      <c r="O5010" s="1" t="str">
        <f t="shared" si="9563"/>
        <v>0</v>
      </c>
      <c r="P5010" s="1" t="str">
        <f t="shared" si="9563"/>
        <v>0</v>
      </c>
      <c r="Q5010" s="1" t="str">
        <f t="shared" si="9529"/>
        <v>0.0070</v>
      </c>
      <c r="R5010" s="1" t="s">
        <v>29</v>
      </c>
      <c r="S5010" s="1">
        <v>-0.0014</v>
      </c>
      <c r="T5010" s="1" t="str">
        <f t="shared" si="9530"/>
        <v>0</v>
      </c>
      <c r="U5010" s="1" t="str">
        <f>"0.0056"</f>
        <v>0.0056</v>
      </c>
    </row>
    <row r="5011" s="1" customFormat="1" spans="1:21">
      <c r="A5011" s="1" t="str">
        <f>"4601992159024"</f>
        <v>4601992159024</v>
      </c>
      <c r="B5011" s="1" t="s">
        <v>5034</v>
      </c>
      <c r="C5011" s="1" t="s">
        <v>24</v>
      </c>
      <c r="D5011" s="1" t="str">
        <f t="shared" si="9526"/>
        <v>2021</v>
      </c>
      <c r="E5011" s="1" t="str">
        <f t="shared" ref="E5011:I5011" si="9564">"0"</f>
        <v>0</v>
      </c>
      <c r="F5011" s="1" t="str">
        <f t="shared" si="9564"/>
        <v>0</v>
      </c>
      <c r="G5011" s="1" t="str">
        <f t="shared" si="9564"/>
        <v>0</v>
      </c>
      <c r="H5011" s="1" t="str">
        <f t="shared" si="9564"/>
        <v>0</v>
      </c>
      <c r="I5011" s="1" t="str">
        <f t="shared" si="9564"/>
        <v>0</v>
      </c>
      <c r="J5011" s="1" t="str">
        <f>"4"</f>
        <v>4</v>
      </c>
      <c r="K5011" s="1" t="str">
        <f t="shared" ref="K5011:P5011" si="9565">"0"</f>
        <v>0</v>
      </c>
      <c r="L5011" s="1" t="str">
        <f t="shared" si="9565"/>
        <v>0</v>
      </c>
      <c r="M5011" s="1" t="str">
        <f t="shared" si="9565"/>
        <v>0</v>
      </c>
      <c r="N5011" s="1" t="str">
        <f t="shared" si="9565"/>
        <v>0</v>
      </c>
      <c r="O5011" s="1" t="str">
        <f t="shared" si="9565"/>
        <v>0</v>
      </c>
      <c r="P5011" s="1" t="str">
        <f t="shared" si="9565"/>
        <v>0</v>
      </c>
      <c r="Q5011" s="1" t="str">
        <f t="shared" si="9529"/>
        <v>0.0070</v>
      </c>
      <c r="R5011" s="1" t="s">
        <v>25</v>
      </c>
      <c r="T5011" s="1" t="str">
        <f t="shared" si="9530"/>
        <v>0</v>
      </c>
      <c r="U5011" s="1" t="str">
        <f t="shared" ref="U5011:U5035" si="9566">"0.0070"</f>
        <v>0.0070</v>
      </c>
    </row>
    <row r="5012" s="1" customFormat="1" spans="1:21">
      <c r="A5012" s="1" t="str">
        <f>"4601992159048"</f>
        <v>4601992159048</v>
      </c>
      <c r="B5012" s="1" t="s">
        <v>5035</v>
      </c>
      <c r="C5012" s="1" t="s">
        <v>24</v>
      </c>
      <c r="D5012" s="1" t="str">
        <f t="shared" si="9526"/>
        <v>2021</v>
      </c>
      <c r="E5012" s="1" t="str">
        <f t="shared" ref="E5012:I5012" si="9567">"0"</f>
        <v>0</v>
      </c>
      <c r="F5012" s="1" t="str">
        <f t="shared" si="9567"/>
        <v>0</v>
      </c>
      <c r="G5012" s="1" t="str">
        <f t="shared" si="9567"/>
        <v>0</v>
      </c>
      <c r="H5012" s="1" t="str">
        <f t="shared" si="9567"/>
        <v>0</v>
      </c>
      <c r="I5012" s="1" t="str">
        <f t="shared" si="9567"/>
        <v>0</v>
      </c>
      <c r="J5012" s="1" t="str">
        <f t="shared" si="9558"/>
        <v>2</v>
      </c>
      <c r="K5012" s="1" t="str">
        <f t="shared" ref="K5012:P5012" si="9568">"0"</f>
        <v>0</v>
      </c>
      <c r="L5012" s="1" t="str">
        <f t="shared" si="9568"/>
        <v>0</v>
      </c>
      <c r="M5012" s="1" t="str">
        <f t="shared" si="9568"/>
        <v>0</v>
      </c>
      <c r="N5012" s="1" t="str">
        <f t="shared" si="9568"/>
        <v>0</v>
      </c>
      <c r="O5012" s="1" t="str">
        <f t="shared" si="9568"/>
        <v>0</v>
      </c>
      <c r="P5012" s="1" t="str">
        <f t="shared" si="9568"/>
        <v>0</v>
      </c>
      <c r="Q5012" s="1" t="str">
        <f t="shared" si="9529"/>
        <v>0.0070</v>
      </c>
      <c r="R5012" s="1" t="s">
        <v>25</v>
      </c>
      <c r="T5012" s="1" t="str">
        <f t="shared" si="9530"/>
        <v>0</v>
      </c>
      <c r="U5012" s="1" t="str">
        <f t="shared" si="9566"/>
        <v>0.0070</v>
      </c>
    </row>
    <row r="5013" s="1" customFormat="1" spans="1:21">
      <c r="A5013" s="1" t="str">
        <f>"4601992159053"</f>
        <v>4601992159053</v>
      </c>
      <c r="B5013" s="1" t="s">
        <v>5036</v>
      </c>
      <c r="C5013" s="1" t="s">
        <v>24</v>
      </c>
      <c r="D5013" s="1" t="str">
        <f t="shared" si="9526"/>
        <v>2021</v>
      </c>
      <c r="E5013" s="1" t="str">
        <f t="shared" ref="E5013:I5013" si="9569">"0"</f>
        <v>0</v>
      </c>
      <c r="F5013" s="1" t="str">
        <f t="shared" si="9569"/>
        <v>0</v>
      </c>
      <c r="G5013" s="1" t="str">
        <f t="shared" si="9569"/>
        <v>0</v>
      </c>
      <c r="H5013" s="1" t="str">
        <f t="shared" si="9569"/>
        <v>0</v>
      </c>
      <c r="I5013" s="1" t="str">
        <f t="shared" si="9569"/>
        <v>0</v>
      </c>
      <c r="J5013" s="1" t="str">
        <f t="shared" si="9558"/>
        <v>2</v>
      </c>
      <c r="K5013" s="1" t="str">
        <f t="shared" ref="K5013:P5013" si="9570">"0"</f>
        <v>0</v>
      </c>
      <c r="L5013" s="1" t="str">
        <f t="shared" si="9570"/>
        <v>0</v>
      </c>
      <c r="M5013" s="1" t="str">
        <f t="shared" si="9570"/>
        <v>0</v>
      </c>
      <c r="N5013" s="1" t="str">
        <f t="shared" si="9570"/>
        <v>0</v>
      </c>
      <c r="O5013" s="1" t="str">
        <f t="shared" si="9570"/>
        <v>0</v>
      </c>
      <c r="P5013" s="1" t="str">
        <f t="shared" si="9570"/>
        <v>0</v>
      </c>
      <c r="Q5013" s="1" t="str">
        <f t="shared" si="9529"/>
        <v>0.0070</v>
      </c>
      <c r="R5013" s="1" t="s">
        <v>25</v>
      </c>
      <c r="T5013" s="1" t="str">
        <f t="shared" si="9530"/>
        <v>0</v>
      </c>
      <c r="U5013" s="1" t="str">
        <f t="shared" si="9566"/>
        <v>0.0070</v>
      </c>
    </row>
    <row r="5014" s="1" customFormat="1" spans="1:21">
      <c r="A5014" s="1" t="str">
        <f>"4601992159059"</f>
        <v>4601992159059</v>
      </c>
      <c r="B5014" s="1" t="s">
        <v>5037</v>
      </c>
      <c r="C5014" s="1" t="s">
        <v>24</v>
      </c>
      <c r="D5014" s="1" t="str">
        <f t="shared" si="9526"/>
        <v>2021</v>
      </c>
      <c r="E5014" s="1" t="str">
        <f t="shared" ref="E5014:I5014" si="9571">"0"</f>
        <v>0</v>
      </c>
      <c r="F5014" s="1" t="str">
        <f t="shared" si="9571"/>
        <v>0</v>
      </c>
      <c r="G5014" s="1" t="str">
        <f t="shared" si="9571"/>
        <v>0</v>
      </c>
      <c r="H5014" s="1" t="str">
        <f t="shared" si="9571"/>
        <v>0</v>
      </c>
      <c r="I5014" s="1" t="str">
        <f t="shared" si="9571"/>
        <v>0</v>
      </c>
      <c r="J5014" s="1" t="str">
        <f>"13"</f>
        <v>13</v>
      </c>
      <c r="K5014" s="1" t="str">
        <f t="shared" ref="K5014:P5014" si="9572">"0"</f>
        <v>0</v>
      </c>
      <c r="L5014" s="1" t="str">
        <f t="shared" si="9572"/>
        <v>0</v>
      </c>
      <c r="M5014" s="1" t="str">
        <f t="shared" si="9572"/>
        <v>0</v>
      </c>
      <c r="N5014" s="1" t="str">
        <f t="shared" si="9572"/>
        <v>0</v>
      </c>
      <c r="O5014" s="1" t="str">
        <f t="shared" si="9572"/>
        <v>0</v>
      </c>
      <c r="P5014" s="1" t="str">
        <f t="shared" si="9572"/>
        <v>0</v>
      </c>
      <c r="Q5014" s="1" t="str">
        <f t="shared" si="9529"/>
        <v>0.0070</v>
      </c>
      <c r="R5014" s="1" t="s">
        <v>25</v>
      </c>
      <c r="T5014" s="1" t="str">
        <f t="shared" si="9530"/>
        <v>0</v>
      </c>
      <c r="U5014" s="1" t="str">
        <f t="shared" si="9566"/>
        <v>0.0070</v>
      </c>
    </row>
    <row r="5015" s="1" customFormat="1" spans="1:21">
      <c r="A5015" s="1" t="str">
        <f>"4601992159084"</f>
        <v>4601992159084</v>
      </c>
      <c r="B5015" s="1" t="s">
        <v>5038</v>
      </c>
      <c r="C5015" s="1" t="s">
        <v>24</v>
      </c>
      <c r="D5015" s="1" t="str">
        <f t="shared" si="9526"/>
        <v>2021</v>
      </c>
      <c r="E5015" s="1" t="str">
        <f t="shared" ref="E5015:I5015" si="9573">"0"</f>
        <v>0</v>
      </c>
      <c r="F5015" s="1" t="str">
        <f t="shared" si="9573"/>
        <v>0</v>
      </c>
      <c r="G5015" s="1" t="str">
        <f t="shared" si="9573"/>
        <v>0</v>
      </c>
      <c r="H5015" s="1" t="str">
        <f t="shared" si="9573"/>
        <v>0</v>
      </c>
      <c r="I5015" s="1" t="str">
        <f t="shared" si="9573"/>
        <v>0</v>
      </c>
      <c r="J5015" s="1" t="str">
        <f>"1"</f>
        <v>1</v>
      </c>
      <c r="K5015" s="1" t="str">
        <f t="shared" ref="K5015:P5015" si="9574">"0"</f>
        <v>0</v>
      </c>
      <c r="L5015" s="1" t="str">
        <f t="shared" si="9574"/>
        <v>0</v>
      </c>
      <c r="M5015" s="1" t="str">
        <f t="shared" si="9574"/>
        <v>0</v>
      </c>
      <c r="N5015" s="1" t="str">
        <f t="shared" si="9574"/>
        <v>0</v>
      </c>
      <c r="O5015" s="1" t="str">
        <f t="shared" si="9574"/>
        <v>0</v>
      </c>
      <c r="P5015" s="1" t="str">
        <f t="shared" si="9574"/>
        <v>0</v>
      </c>
      <c r="Q5015" s="1" t="str">
        <f t="shared" si="9529"/>
        <v>0.0070</v>
      </c>
      <c r="R5015" s="1" t="s">
        <v>25</v>
      </c>
      <c r="T5015" s="1" t="str">
        <f t="shared" si="9530"/>
        <v>0</v>
      </c>
      <c r="U5015" s="1" t="str">
        <f t="shared" si="9566"/>
        <v>0.0070</v>
      </c>
    </row>
    <row r="5016" s="1" customFormat="1" spans="1:21">
      <c r="A5016" s="1" t="str">
        <f>"4601992159096"</f>
        <v>4601992159096</v>
      </c>
      <c r="B5016" s="1" t="s">
        <v>5039</v>
      </c>
      <c r="C5016" s="1" t="s">
        <v>24</v>
      </c>
      <c r="D5016" s="1" t="str">
        <f t="shared" si="9526"/>
        <v>2021</v>
      </c>
      <c r="E5016" s="1" t="str">
        <f t="shared" ref="E5016:I5016" si="9575">"0"</f>
        <v>0</v>
      </c>
      <c r="F5016" s="1" t="str">
        <f t="shared" si="9575"/>
        <v>0</v>
      </c>
      <c r="G5016" s="1" t="str">
        <f t="shared" si="9575"/>
        <v>0</v>
      </c>
      <c r="H5016" s="1" t="str">
        <f t="shared" si="9575"/>
        <v>0</v>
      </c>
      <c r="I5016" s="1" t="str">
        <f t="shared" si="9575"/>
        <v>0</v>
      </c>
      <c r="J5016" s="1" t="str">
        <f>"1"</f>
        <v>1</v>
      </c>
      <c r="K5016" s="1" t="str">
        <f t="shared" ref="K5016:P5016" si="9576">"0"</f>
        <v>0</v>
      </c>
      <c r="L5016" s="1" t="str">
        <f t="shared" si="9576"/>
        <v>0</v>
      </c>
      <c r="M5016" s="1" t="str">
        <f t="shared" si="9576"/>
        <v>0</v>
      </c>
      <c r="N5016" s="1" t="str">
        <f t="shared" si="9576"/>
        <v>0</v>
      </c>
      <c r="O5016" s="1" t="str">
        <f t="shared" si="9576"/>
        <v>0</v>
      </c>
      <c r="P5016" s="1" t="str">
        <f t="shared" si="9576"/>
        <v>0</v>
      </c>
      <c r="Q5016" s="1" t="str">
        <f t="shared" si="9529"/>
        <v>0.0070</v>
      </c>
      <c r="R5016" s="1" t="s">
        <v>25</v>
      </c>
      <c r="T5016" s="1" t="str">
        <f t="shared" si="9530"/>
        <v>0</v>
      </c>
      <c r="U5016" s="1" t="str">
        <f t="shared" si="9566"/>
        <v>0.0070</v>
      </c>
    </row>
    <row r="5017" s="1" customFormat="1" spans="1:21">
      <c r="A5017" s="1" t="str">
        <f>"4601992159087"</f>
        <v>4601992159087</v>
      </c>
      <c r="B5017" s="1" t="s">
        <v>5040</v>
      </c>
      <c r="C5017" s="1" t="s">
        <v>24</v>
      </c>
      <c r="D5017" s="1" t="str">
        <f t="shared" si="9526"/>
        <v>2021</v>
      </c>
      <c r="E5017" s="1" t="str">
        <f t="shared" ref="E5017:I5017" si="9577">"0"</f>
        <v>0</v>
      </c>
      <c r="F5017" s="1" t="str">
        <f t="shared" si="9577"/>
        <v>0</v>
      </c>
      <c r="G5017" s="1" t="str">
        <f t="shared" si="9577"/>
        <v>0</v>
      </c>
      <c r="H5017" s="1" t="str">
        <f t="shared" si="9577"/>
        <v>0</v>
      </c>
      <c r="I5017" s="1" t="str">
        <f t="shared" si="9577"/>
        <v>0</v>
      </c>
      <c r="J5017" s="1" t="str">
        <f>"3"</f>
        <v>3</v>
      </c>
      <c r="K5017" s="1" t="str">
        <f t="shared" ref="K5017:P5017" si="9578">"0"</f>
        <v>0</v>
      </c>
      <c r="L5017" s="1" t="str">
        <f t="shared" si="9578"/>
        <v>0</v>
      </c>
      <c r="M5017" s="1" t="str">
        <f t="shared" si="9578"/>
        <v>0</v>
      </c>
      <c r="N5017" s="1" t="str">
        <f t="shared" si="9578"/>
        <v>0</v>
      </c>
      <c r="O5017" s="1" t="str">
        <f t="shared" si="9578"/>
        <v>0</v>
      </c>
      <c r="P5017" s="1" t="str">
        <f t="shared" si="9578"/>
        <v>0</v>
      </c>
      <c r="Q5017" s="1" t="str">
        <f t="shared" si="9529"/>
        <v>0.0070</v>
      </c>
      <c r="R5017" s="1" t="s">
        <v>25</v>
      </c>
      <c r="T5017" s="1" t="str">
        <f t="shared" si="9530"/>
        <v>0</v>
      </c>
      <c r="U5017" s="1" t="str">
        <f t="shared" si="9566"/>
        <v>0.0070</v>
      </c>
    </row>
    <row r="5018" s="1" customFormat="1" spans="1:21">
      <c r="A5018" s="1" t="str">
        <f>"4601992159139"</f>
        <v>4601992159139</v>
      </c>
      <c r="B5018" s="1" t="s">
        <v>5041</v>
      </c>
      <c r="C5018" s="1" t="s">
        <v>24</v>
      </c>
      <c r="D5018" s="1" t="str">
        <f t="shared" si="9526"/>
        <v>2021</v>
      </c>
      <c r="E5018" s="1" t="str">
        <f t="shared" ref="E5018:I5018" si="9579">"0"</f>
        <v>0</v>
      </c>
      <c r="F5018" s="1" t="str">
        <f t="shared" si="9579"/>
        <v>0</v>
      </c>
      <c r="G5018" s="1" t="str">
        <f t="shared" si="9579"/>
        <v>0</v>
      </c>
      <c r="H5018" s="1" t="str">
        <f t="shared" si="9579"/>
        <v>0</v>
      </c>
      <c r="I5018" s="1" t="str">
        <f t="shared" si="9579"/>
        <v>0</v>
      </c>
      <c r="J5018" s="1" t="str">
        <f>"2"</f>
        <v>2</v>
      </c>
      <c r="K5018" s="1" t="str">
        <f t="shared" ref="K5018:P5018" si="9580">"0"</f>
        <v>0</v>
      </c>
      <c r="L5018" s="1" t="str">
        <f t="shared" si="9580"/>
        <v>0</v>
      </c>
      <c r="M5018" s="1" t="str">
        <f t="shared" si="9580"/>
        <v>0</v>
      </c>
      <c r="N5018" s="1" t="str">
        <f t="shared" si="9580"/>
        <v>0</v>
      </c>
      <c r="O5018" s="1" t="str">
        <f t="shared" si="9580"/>
        <v>0</v>
      </c>
      <c r="P5018" s="1" t="str">
        <f t="shared" si="9580"/>
        <v>0</v>
      </c>
      <c r="Q5018" s="1" t="str">
        <f t="shared" si="9529"/>
        <v>0.0070</v>
      </c>
      <c r="R5018" s="1" t="s">
        <v>25</v>
      </c>
      <c r="T5018" s="1" t="str">
        <f t="shared" si="9530"/>
        <v>0</v>
      </c>
      <c r="U5018" s="1" t="str">
        <f t="shared" si="9566"/>
        <v>0.0070</v>
      </c>
    </row>
    <row r="5019" s="1" customFormat="1" spans="1:21">
      <c r="A5019" s="1" t="str">
        <f>"4601992159132"</f>
        <v>4601992159132</v>
      </c>
      <c r="B5019" s="1" t="s">
        <v>5042</v>
      </c>
      <c r="C5019" s="1" t="s">
        <v>24</v>
      </c>
      <c r="D5019" s="1" t="str">
        <f t="shared" si="9526"/>
        <v>2021</v>
      </c>
      <c r="E5019" s="1" t="str">
        <f t="shared" ref="E5019:I5019" si="9581">"0"</f>
        <v>0</v>
      </c>
      <c r="F5019" s="1" t="str">
        <f t="shared" si="9581"/>
        <v>0</v>
      </c>
      <c r="G5019" s="1" t="str">
        <f t="shared" si="9581"/>
        <v>0</v>
      </c>
      <c r="H5019" s="1" t="str">
        <f t="shared" si="9581"/>
        <v>0</v>
      </c>
      <c r="I5019" s="1" t="str">
        <f t="shared" si="9581"/>
        <v>0</v>
      </c>
      <c r="J5019" s="1" t="str">
        <f>"3"</f>
        <v>3</v>
      </c>
      <c r="K5019" s="1" t="str">
        <f t="shared" ref="K5019:P5019" si="9582">"0"</f>
        <v>0</v>
      </c>
      <c r="L5019" s="1" t="str">
        <f t="shared" si="9582"/>
        <v>0</v>
      </c>
      <c r="M5019" s="1" t="str">
        <f t="shared" si="9582"/>
        <v>0</v>
      </c>
      <c r="N5019" s="1" t="str">
        <f t="shared" si="9582"/>
        <v>0</v>
      </c>
      <c r="O5019" s="1" t="str">
        <f t="shared" si="9582"/>
        <v>0</v>
      </c>
      <c r="P5019" s="1" t="str">
        <f t="shared" si="9582"/>
        <v>0</v>
      </c>
      <c r="Q5019" s="1" t="str">
        <f t="shared" si="9529"/>
        <v>0.0070</v>
      </c>
      <c r="R5019" s="1" t="s">
        <v>25</v>
      </c>
      <c r="T5019" s="1" t="str">
        <f t="shared" si="9530"/>
        <v>0</v>
      </c>
      <c r="U5019" s="1" t="str">
        <f t="shared" si="9566"/>
        <v>0.0070</v>
      </c>
    </row>
    <row r="5020" s="1" customFormat="1" spans="1:21">
      <c r="A5020" s="1" t="str">
        <f>"4601992159202"</f>
        <v>4601992159202</v>
      </c>
      <c r="B5020" s="1" t="s">
        <v>5043</v>
      </c>
      <c r="C5020" s="1" t="s">
        <v>24</v>
      </c>
      <c r="D5020" s="1" t="str">
        <f t="shared" si="9526"/>
        <v>2021</v>
      </c>
      <c r="E5020" s="1" t="str">
        <f t="shared" ref="E5020:P5020" si="9583">"0"</f>
        <v>0</v>
      </c>
      <c r="F5020" s="1" t="str">
        <f t="shared" si="9583"/>
        <v>0</v>
      </c>
      <c r="G5020" s="1" t="str">
        <f t="shared" si="9583"/>
        <v>0</v>
      </c>
      <c r="H5020" s="1" t="str">
        <f t="shared" si="9583"/>
        <v>0</v>
      </c>
      <c r="I5020" s="1" t="str">
        <f t="shared" si="9583"/>
        <v>0</v>
      </c>
      <c r="J5020" s="1" t="str">
        <f t="shared" si="9583"/>
        <v>0</v>
      </c>
      <c r="K5020" s="1" t="str">
        <f t="shared" si="9583"/>
        <v>0</v>
      </c>
      <c r="L5020" s="1" t="str">
        <f t="shared" si="9583"/>
        <v>0</v>
      </c>
      <c r="M5020" s="1" t="str">
        <f t="shared" si="9583"/>
        <v>0</v>
      </c>
      <c r="N5020" s="1" t="str">
        <f t="shared" si="9583"/>
        <v>0</v>
      </c>
      <c r="O5020" s="1" t="str">
        <f t="shared" si="9583"/>
        <v>0</v>
      </c>
      <c r="P5020" s="1" t="str">
        <f t="shared" si="9583"/>
        <v>0</v>
      </c>
      <c r="Q5020" s="1" t="str">
        <f t="shared" si="9529"/>
        <v>0.0070</v>
      </c>
      <c r="R5020" s="1" t="s">
        <v>25</v>
      </c>
      <c r="T5020" s="1" t="str">
        <f t="shared" si="9530"/>
        <v>0</v>
      </c>
      <c r="U5020" s="1" t="str">
        <f t="shared" si="9566"/>
        <v>0.0070</v>
      </c>
    </row>
    <row r="5021" s="1" customFormat="1" spans="1:21">
      <c r="A5021" s="1" t="str">
        <f>"4601992159152"</f>
        <v>4601992159152</v>
      </c>
      <c r="B5021" s="1" t="s">
        <v>5044</v>
      </c>
      <c r="C5021" s="1" t="s">
        <v>24</v>
      </c>
      <c r="D5021" s="1" t="str">
        <f t="shared" si="9526"/>
        <v>2021</v>
      </c>
      <c r="E5021" s="1" t="str">
        <f t="shared" ref="E5021:I5021" si="9584">"0"</f>
        <v>0</v>
      </c>
      <c r="F5021" s="1" t="str">
        <f t="shared" si="9584"/>
        <v>0</v>
      </c>
      <c r="G5021" s="1" t="str">
        <f t="shared" si="9584"/>
        <v>0</v>
      </c>
      <c r="H5021" s="1" t="str">
        <f t="shared" si="9584"/>
        <v>0</v>
      </c>
      <c r="I5021" s="1" t="str">
        <f t="shared" si="9584"/>
        <v>0</v>
      </c>
      <c r="J5021" s="1" t="str">
        <f t="shared" ref="J5021:J5026" si="9585">"1"</f>
        <v>1</v>
      </c>
      <c r="K5021" s="1" t="str">
        <f t="shared" ref="K5021:P5021" si="9586">"0"</f>
        <v>0</v>
      </c>
      <c r="L5021" s="1" t="str">
        <f t="shared" si="9586"/>
        <v>0</v>
      </c>
      <c r="M5021" s="1" t="str">
        <f t="shared" si="9586"/>
        <v>0</v>
      </c>
      <c r="N5021" s="1" t="str">
        <f t="shared" si="9586"/>
        <v>0</v>
      </c>
      <c r="O5021" s="1" t="str">
        <f t="shared" si="9586"/>
        <v>0</v>
      </c>
      <c r="P5021" s="1" t="str">
        <f t="shared" si="9586"/>
        <v>0</v>
      </c>
      <c r="Q5021" s="1" t="str">
        <f t="shared" si="9529"/>
        <v>0.0070</v>
      </c>
      <c r="R5021" s="1" t="s">
        <v>25</v>
      </c>
      <c r="T5021" s="1" t="str">
        <f t="shared" si="9530"/>
        <v>0</v>
      </c>
      <c r="U5021" s="1" t="str">
        <f t="shared" si="9566"/>
        <v>0.0070</v>
      </c>
    </row>
    <row r="5022" s="1" customFormat="1" spans="1:21">
      <c r="A5022" s="1" t="str">
        <f>"4601992159162"</f>
        <v>4601992159162</v>
      </c>
      <c r="B5022" s="1" t="s">
        <v>5045</v>
      </c>
      <c r="C5022" s="1" t="s">
        <v>24</v>
      </c>
      <c r="D5022" s="1" t="str">
        <f t="shared" si="9526"/>
        <v>2021</v>
      </c>
      <c r="E5022" s="1" t="str">
        <f>"0.16"</f>
        <v>0.16</v>
      </c>
      <c r="F5022" s="1" t="str">
        <f t="shared" ref="F5022:I5022" si="9587">"0"</f>
        <v>0</v>
      </c>
      <c r="G5022" s="1" t="str">
        <f t="shared" si="9587"/>
        <v>0</v>
      </c>
      <c r="H5022" s="1" t="str">
        <f t="shared" si="9587"/>
        <v>0</v>
      </c>
      <c r="I5022" s="1" t="str">
        <f t="shared" si="9587"/>
        <v>0</v>
      </c>
      <c r="J5022" s="1" t="str">
        <f>"7"</f>
        <v>7</v>
      </c>
      <c r="K5022" s="1" t="str">
        <f t="shared" ref="K5022:P5022" si="9588">"0"</f>
        <v>0</v>
      </c>
      <c r="L5022" s="1" t="str">
        <f t="shared" si="9588"/>
        <v>0</v>
      </c>
      <c r="M5022" s="1" t="str">
        <f t="shared" si="9588"/>
        <v>0</v>
      </c>
      <c r="N5022" s="1" t="str">
        <f t="shared" si="9588"/>
        <v>0</v>
      </c>
      <c r="O5022" s="1" t="str">
        <f t="shared" si="9588"/>
        <v>0</v>
      </c>
      <c r="P5022" s="1" t="str">
        <f t="shared" si="9588"/>
        <v>0</v>
      </c>
      <c r="Q5022" s="1" t="str">
        <f t="shared" si="9529"/>
        <v>0.0070</v>
      </c>
      <c r="R5022" s="1" t="s">
        <v>25</v>
      </c>
      <c r="T5022" s="1" t="str">
        <f t="shared" si="9530"/>
        <v>0</v>
      </c>
      <c r="U5022" s="1" t="str">
        <f t="shared" si="9566"/>
        <v>0.0070</v>
      </c>
    </row>
    <row r="5023" s="1" customFormat="1" spans="1:21">
      <c r="A5023" s="1" t="str">
        <f>"4601992159197"</f>
        <v>4601992159197</v>
      </c>
      <c r="B5023" s="1" t="s">
        <v>5046</v>
      </c>
      <c r="C5023" s="1" t="s">
        <v>24</v>
      </c>
      <c r="D5023" s="1" t="str">
        <f t="shared" si="9526"/>
        <v>2021</v>
      </c>
      <c r="E5023" s="1" t="str">
        <f t="shared" ref="E5023:I5023" si="9589">"0"</f>
        <v>0</v>
      </c>
      <c r="F5023" s="1" t="str">
        <f t="shared" si="9589"/>
        <v>0</v>
      </c>
      <c r="G5023" s="1" t="str">
        <f t="shared" si="9589"/>
        <v>0</v>
      </c>
      <c r="H5023" s="1" t="str">
        <f t="shared" si="9589"/>
        <v>0</v>
      </c>
      <c r="I5023" s="1" t="str">
        <f t="shared" si="9589"/>
        <v>0</v>
      </c>
      <c r="J5023" s="1" t="str">
        <f t="shared" si="9585"/>
        <v>1</v>
      </c>
      <c r="K5023" s="1" t="str">
        <f t="shared" ref="K5023:P5023" si="9590">"0"</f>
        <v>0</v>
      </c>
      <c r="L5023" s="1" t="str">
        <f t="shared" si="9590"/>
        <v>0</v>
      </c>
      <c r="M5023" s="1" t="str">
        <f t="shared" si="9590"/>
        <v>0</v>
      </c>
      <c r="N5023" s="1" t="str">
        <f t="shared" si="9590"/>
        <v>0</v>
      </c>
      <c r="O5023" s="1" t="str">
        <f t="shared" si="9590"/>
        <v>0</v>
      </c>
      <c r="P5023" s="1" t="str">
        <f t="shared" si="9590"/>
        <v>0</v>
      </c>
      <c r="Q5023" s="1" t="str">
        <f t="shared" si="9529"/>
        <v>0.0070</v>
      </c>
      <c r="R5023" s="1" t="s">
        <v>25</v>
      </c>
      <c r="T5023" s="1" t="str">
        <f t="shared" si="9530"/>
        <v>0</v>
      </c>
      <c r="U5023" s="1" t="str">
        <f t="shared" si="9566"/>
        <v>0.0070</v>
      </c>
    </row>
    <row r="5024" s="1" customFormat="1" spans="1:21">
      <c r="A5024" s="1" t="str">
        <f>"4601992159259"</f>
        <v>4601992159259</v>
      </c>
      <c r="B5024" s="1" t="s">
        <v>5047</v>
      </c>
      <c r="C5024" s="1" t="s">
        <v>24</v>
      </c>
      <c r="D5024" s="1" t="str">
        <f t="shared" si="9526"/>
        <v>2021</v>
      </c>
      <c r="E5024" s="1" t="str">
        <f t="shared" ref="E5024:I5024" si="9591">"0"</f>
        <v>0</v>
      </c>
      <c r="F5024" s="1" t="str">
        <f t="shared" si="9591"/>
        <v>0</v>
      </c>
      <c r="G5024" s="1" t="str">
        <f t="shared" si="9591"/>
        <v>0</v>
      </c>
      <c r="H5024" s="1" t="str">
        <f t="shared" si="9591"/>
        <v>0</v>
      </c>
      <c r="I5024" s="1" t="str">
        <f t="shared" si="9591"/>
        <v>0</v>
      </c>
      <c r="J5024" s="1" t="str">
        <f>"2"</f>
        <v>2</v>
      </c>
      <c r="K5024" s="1" t="str">
        <f t="shared" ref="K5024:P5024" si="9592">"0"</f>
        <v>0</v>
      </c>
      <c r="L5024" s="1" t="str">
        <f t="shared" si="9592"/>
        <v>0</v>
      </c>
      <c r="M5024" s="1" t="str">
        <f t="shared" si="9592"/>
        <v>0</v>
      </c>
      <c r="N5024" s="1" t="str">
        <f t="shared" si="9592"/>
        <v>0</v>
      </c>
      <c r="O5024" s="1" t="str">
        <f t="shared" si="9592"/>
        <v>0</v>
      </c>
      <c r="P5024" s="1" t="str">
        <f t="shared" si="9592"/>
        <v>0</v>
      </c>
      <c r="Q5024" s="1" t="str">
        <f t="shared" si="9529"/>
        <v>0.0070</v>
      </c>
      <c r="R5024" s="1" t="s">
        <v>25</v>
      </c>
      <c r="T5024" s="1" t="str">
        <f t="shared" si="9530"/>
        <v>0</v>
      </c>
      <c r="U5024" s="1" t="str">
        <f t="shared" si="9566"/>
        <v>0.0070</v>
      </c>
    </row>
    <row r="5025" s="1" customFormat="1" spans="1:21">
      <c r="A5025" s="1" t="str">
        <f>"4601992159251"</f>
        <v>4601992159251</v>
      </c>
      <c r="B5025" s="1" t="s">
        <v>5048</v>
      </c>
      <c r="C5025" s="1" t="s">
        <v>24</v>
      </c>
      <c r="D5025" s="1" t="str">
        <f t="shared" si="9526"/>
        <v>2021</v>
      </c>
      <c r="E5025" s="1" t="str">
        <f t="shared" ref="E5025:I5025" si="9593">"0"</f>
        <v>0</v>
      </c>
      <c r="F5025" s="1" t="str">
        <f t="shared" si="9593"/>
        <v>0</v>
      </c>
      <c r="G5025" s="1" t="str">
        <f t="shared" si="9593"/>
        <v>0</v>
      </c>
      <c r="H5025" s="1" t="str">
        <f t="shared" si="9593"/>
        <v>0</v>
      </c>
      <c r="I5025" s="1" t="str">
        <f t="shared" si="9593"/>
        <v>0</v>
      </c>
      <c r="J5025" s="1" t="str">
        <f t="shared" si="9585"/>
        <v>1</v>
      </c>
      <c r="K5025" s="1" t="str">
        <f t="shared" ref="K5025:P5025" si="9594">"0"</f>
        <v>0</v>
      </c>
      <c r="L5025" s="1" t="str">
        <f t="shared" si="9594"/>
        <v>0</v>
      </c>
      <c r="M5025" s="1" t="str">
        <f t="shared" si="9594"/>
        <v>0</v>
      </c>
      <c r="N5025" s="1" t="str">
        <f t="shared" si="9594"/>
        <v>0</v>
      </c>
      <c r="O5025" s="1" t="str">
        <f t="shared" si="9594"/>
        <v>0</v>
      </c>
      <c r="P5025" s="1" t="str">
        <f t="shared" si="9594"/>
        <v>0</v>
      </c>
      <c r="Q5025" s="1" t="str">
        <f t="shared" si="9529"/>
        <v>0.0070</v>
      </c>
      <c r="R5025" s="1" t="s">
        <v>25</v>
      </c>
      <c r="T5025" s="1" t="str">
        <f t="shared" si="9530"/>
        <v>0</v>
      </c>
      <c r="U5025" s="1" t="str">
        <f t="shared" si="9566"/>
        <v>0.0070</v>
      </c>
    </row>
    <row r="5026" s="1" customFormat="1" spans="1:21">
      <c r="A5026" s="1" t="str">
        <f>"4601992159313"</f>
        <v>4601992159313</v>
      </c>
      <c r="B5026" s="1" t="s">
        <v>5049</v>
      </c>
      <c r="C5026" s="1" t="s">
        <v>24</v>
      </c>
      <c r="D5026" s="1" t="str">
        <f t="shared" si="9526"/>
        <v>2021</v>
      </c>
      <c r="E5026" s="1" t="str">
        <f t="shared" ref="E5026:I5026" si="9595">"0"</f>
        <v>0</v>
      </c>
      <c r="F5026" s="1" t="str">
        <f t="shared" si="9595"/>
        <v>0</v>
      </c>
      <c r="G5026" s="1" t="str">
        <f t="shared" si="9595"/>
        <v>0</v>
      </c>
      <c r="H5026" s="1" t="str">
        <f t="shared" si="9595"/>
        <v>0</v>
      </c>
      <c r="I5026" s="1" t="str">
        <f t="shared" si="9595"/>
        <v>0</v>
      </c>
      <c r="J5026" s="1" t="str">
        <f t="shared" si="9585"/>
        <v>1</v>
      </c>
      <c r="K5026" s="1" t="str">
        <f t="shared" ref="K5026:P5026" si="9596">"0"</f>
        <v>0</v>
      </c>
      <c r="L5026" s="1" t="str">
        <f t="shared" si="9596"/>
        <v>0</v>
      </c>
      <c r="M5026" s="1" t="str">
        <f t="shared" si="9596"/>
        <v>0</v>
      </c>
      <c r="N5026" s="1" t="str">
        <f t="shared" si="9596"/>
        <v>0</v>
      </c>
      <c r="O5026" s="1" t="str">
        <f t="shared" si="9596"/>
        <v>0</v>
      </c>
      <c r="P5026" s="1" t="str">
        <f t="shared" si="9596"/>
        <v>0</v>
      </c>
      <c r="Q5026" s="1" t="str">
        <f t="shared" si="9529"/>
        <v>0.0070</v>
      </c>
      <c r="R5026" s="1" t="s">
        <v>25</v>
      </c>
      <c r="T5026" s="1" t="str">
        <f t="shared" si="9530"/>
        <v>0</v>
      </c>
      <c r="U5026" s="1" t="str">
        <f t="shared" si="9566"/>
        <v>0.0070</v>
      </c>
    </row>
    <row r="5027" s="1" customFormat="1" spans="1:21">
      <c r="A5027" s="1" t="str">
        <f>"4601992159345"</f>
        <v>4601992159345</v>
      </c>
      <c r="B5027" s="1" t="s">
        <v>5050</v>
      </c>
      <c r="C5027" s="1" t="s">
        <v>24</v>
      </c>
      <c r="D5027" s="1" t="str">
        <f t="shared" si="9526"/>
        <v>2021</v>
      </c>
      <c r="E5027" s="1" t="str">
        <f t="shared" ref="E5027:I5027" si="9597">"0"</f>
        <v>0</v>
      </c>
      <c r="F5027" s="1" t="str">
        <f t="shared" si="9597"/>
        <v>0</v>
      </c>
      <c r="G5027" s="1" t="str">
        <f t="shared" si="9597"/>
        <v>0</v>
      </c>
      <c r="H5027" s="1" t="str">
        <f t="shared" si="9597"/>
        <v>0</v>
      </c>
      <c r="I5027" s="1" t="str">
        <f t="shared" si="9597"/>
        <v>0</v>
      </c>
      <c r="J5027" s="1" t="str">
        <f>"9"</f>
        <v>9</v>
      </c>
      <c r="K5027" s="1" t="str">
        <f t="shared" ref="K5027:P5027" si="9598">"0"</f>
        <v>0</v>
      </c>
      <c r="L5027" s="1" t="str">
        <f t="shared" si="9598"/>
        <v>0</v>
      </c>
      <c r="M5027" s="1" t="str">
        <f t="shared" si="9598"/>
        <v>0</v>
      </c>
      <c r="N5027" s="1" t="str">
        <f t="shared" si="9598"/>
        <v>0</v>
      </c>
      <c r="O5027" s="1" t="str">
        <f t="shared" si="9598"/>
        <v>0</v>
      </c>
      <c r="P5027" s="1" t="str">
        <f t="shared" si="9598"/>
        <v>0</v>
      </c>
      <c r="Q5027" s="1" t="str">
        <f t="shared" si="9529"/>
        <v>0.0070</v>
      </c>
      <c r="R5027" s="1" t="s">
        <v>25</v>
      </c>
      <c r="T5027" s="1" t="str">
        <f t="shared" si="9530"/>
        <v>0</v>
      </c>
      <c r="U5027" s="1" t="str">
        <f t="shared" si="9566"/>
        <v>0.0070</v>
      </c>
    </row>
    <row r="5028" s="1" customFormat="1" spans="1:21">
      <c r="A5028" s="1" t="str">
        <f>"4601992159351"</f>
        <v>4601992159351</v>
      </c>
      <c r="B5028" s="1" t="s">
        <v>5051</v>
      </c>
      <c r="C5028" s="1" t="s">
        <v>24</v>
      </c>
      <c r="D5028" s="1" t="str">
        <f t="shared" si="9526"/>
        <v>2021</v>
      </c>
      <c r="E5028" s="1" t="str">
        <f t="shared" ref="E5028:I5028" si="9599">"0"</f>
        <v>0</v>
      </c>
      <c r="F5028" s="1" t="str">
        <f t="shared" si="9599"/>
        <v>0</v>
      </c>
      <c r="G5028" s="1" t="str">
        <f t="shared" si="9599"/>
        <v>0</v>
      </c>
      <c r="H5028" s="1" t="str">
        <f t="shared" si="9599"/>
        <v>0</v>
      </c>
      <c r="I5028" s="1" t="str">
        <f t="shared" si="9599"/>
        <v>0</v>
      </c>
      <c r="J5028" s="1" t="str">
        <f t="shared" ref="J5028:J5030" si="9600">"1"</f>
        <v>1</v>
      </c>
      <c r="K5028" s="1" t="str">
        <f t="shared" ref="K5028:P5028" si="9601">"0"</f>
        <v>0</v>
      </c>
      <c r="L5028" s="1" t="str">
        <f t="shared" si="9601"/>
        <v>0</v>
      </c>
      <c r="M5028" s="1" t="str">
        <f t="shared" si="9601"/>
        <v>0</v>
      </c>
      <c r="N5028" s="1" t="str">
        <f t="shared" si="9601"/>
        <v>0</v>
      </c>
      <c r="O5028" s="1" t="str">
        <f t="shared" si="9601"/>
        <v>0</v>
      </c>
      <c r="P5028" s="1" t="str">
        <f t="shared" si="9601"/>
        <v>0</v>
      </c>
      <c r="Q5028" s="1" t="str">
        <f t="shared" si="9529"/>
        <v>0.0070</v>
      </c>
      <c r="R5028" s="1" t="s">
        <v>25</v>
      </c>
      <c r="T5028" s="1" t="str">
        <f t="shared" si="9530"/>
        <v>0</v>
      </c>
      <c r="U5028" s="1" t="str">
        <f t="shared" si="9566"/>
        <v>0.0070</v>
      </c>
    </row>
    <row r="5029" s="1" customFormat="1" spans="1:21">
      <c r="A5029" s="1" t="str">
        <f>"4601992159352"</f>
        <v>4601992159352</v>
      </c>
      <c r="B5029" s="1" t="s">
        <v>5052</v>
      </c>
      <c r="C5029" s="1" t="s">
        <v>24</v>
      </c>
      <c r="D5029" s="1" t="str">
        <f t="shared" si="9526"/>
        <v>2021</v>
      </c>
      <c r="E5029" s="1" t="str">
        <f t="shared" ref="E5029:I5029" si="9602">"0"</f>
        <v>0</v>
      </c>
      <c r="F5029" s="1" t="str">
        <f t="shared" si="9602"/>
        <v>0</v>
      </c>
      <c r="G5029" s="1" t="str">
        <f t="shared" si="9602"/>
        <v>0</v>
      </c>
      <c r="H5029" s="1" t="str">
        <f t="shared" si="9602"/>
        <v>0</v>
      </c>
      <c r="I5029" s="1" t="str">
        <f t="shared" si="9602"/>
        <v>0</v>
      </c>
      <c r="J5029" s="1" t="str">
        <f t="shared" si="9600"/>
        <v>1</v>
      </c>
      <c r="K5029" s="1" t="str">
        <f t="shared" ref="K5029:P5029" si="9603">"0"</f>
        <v>0</v>
      </c>
      <c r="L5029" s="1" t="str">
        <f t="shared" si="9603"/>
        <v>0</v>
      </c>
      <c r="M5029" s="1" t="str">
        <f t="shared" si="9603"/>
        <v>0</v>
      </c>
      <c r="N5029" s="1" t="str">
        <f t="shared" si="9603"/>
        <v>0</v>
      </c>
      <c r="O5029" s="1" t="str">
        <f t="shared" si="9603"/>
        <v>0</v>
      </c>
      <c r="P5029" s="1" t="str">
        <f t="shared" si="9603"/>
        <v>0</v>
      </c>
      <c r="Q5029" s="1" t="str">
        <f t="shared" si="9529"/>
        <v>0.0070</v>
      </c>
      <c r="R5029" s="1" t="s">
        <v>25</v>
      </c>
      <c r="T5029" s="1" t="str">
        <f t="shared" si="9530"/>
        <v>0</v>
      </c>
      <c r="U5029" s="1" t="str">
        <f t="shared" si="9566"/>
        <v>0.0070</v>
      </c>
    </row>
    <row r="5030" s="1" customFormat="1" spans="1:21">
      <c r="A5030" s="1" t="str">
        <f>"4601992159396"</f>
        <v>4601992159396</v>
      </c>
      <c r="B5030" s="1" t="s">
        <v>5053</v>
      </c>
      <c r="C5030" s="1" t="s">
        <v>24</v>
      </c>
      <c r="D5030" s="1" t="str">
        <f t="shared" si="9526"/>
        <v>2021</v>
      </c>
      <c r="E5030" s="1" t="str">
        <f t="shared" ref="E5030:I5030" si="9604">"0"</f>
        <v>0</v>
      </c>
      <c r="F5030" s="1" t="str">
        <f t="shared" si="9604"/>
        <v>0</v>
      </c>
      <c r="G5030" s="1" t="str">
        <f t="shared" si="9604"/>
        <v>0</v>
      </c>
      <c r="H5030" s="1" t="str">
        <f t="shared" si="9604"/>
        <v>0</v>
      </c>
      <c r="I5030" s="1" t="str">
        <f t="shared" si="9604"/>
        <v>0</v>
      </c>
      <c r="J5030" s="1" t="str">
        <f t="shared" si="9600"/>
        <v>1</v>
      </c>
      <c r="K5030" s="1" t="str">
        <f t="shared" ref="K5030:P5030" si="9605">"0"</f>
        <v>0</v>
      </c>
      <c r="L5030" s="1" t="str">
        <f t="shared" si="9605"/>
        <v>0</v>
      </c>
      <c r="M5030" s="1" t="str">
        <f t="shared" si="9605"/>
        <v>0</v>
      </c>
      <c r="N5030" s="1" t="str">
        <f t="shared" si="9605"/>
        <v>0</v>
      </c>
      <c r="O5030" s="1" t="str">
        <f t="shared" si="9605"/>
        <v>0</v>
      </c>
      <c r="P5030" s="1" t="str">
        <f t="shared" si="9605"/>
        <v>0</v>
      </c>
      <c r="Q5030" s="1" t="str">
        <f t="shared" si="9529"/>
        <v>0.0070</v>
      </c>
      <c r="R5030" s="1" t="s">
        <v>25</v>
      </c>
      <c r="T5030" s="1" t="str">
        <f t="shared" si="9530"/>
        <v>0</v>
      </c>
      <c r="U5030" s="1" t="str">
        <f t="shared" si="9566"/>
        <v>0.0070</v>
      </c>
    </row>
    <row r="5031" s="1" customFormat="1" spans="1:21">
      <c r="A5031" s="1" t="str">
        <f>"4601992159426"</f>
        <v>4601992159426</v>
      </c>
      <c r="B5031" s="1" t="s">
        <v>5054</v>
      </c>
      <c r="C5031" s="1" t="s">
        <v>24</v>
      </c>
      <c r="D5031" s="1" t="str">
        <f t="shared" si="9526"/>
        <v>2021</v>
      </c>
      <c r="E5031" s="1" t="str">
        <f t="shared" ref="E5031:I5031" si="9606">"0"</f>
        <v>0</v>
      </c>
      <c r="F5031" s="1" t="str">
        <f t="shared" si="9606"/>
        <v>0</v>
      </c>
      <c r="G5031" s="1" t="str">
        <f t="shared" si="9606"/>
        <v>0</v>
      </c>
      <c r="H5031" s="1" t="str">
        <f t="shared" si="9606"/>
        <v>0</v>
      </c>
      <c r="I5031" s="1" t="str">
        <f t="shared" si="9606"/>
        <v>0</v>
      </c>
      <c r="J5031" s="1" t="str">
        <f t="shared" ref="J5031:J5035" si="9607">"5"</f>
        <v>5</v>
      </c>
      <c r="K5031" s="1" t="str">
        <f t="shared" ref="K5031:P5031" si="9608">"0"</f>
        <v>0</v>
      </c>
      <c r="L5031" s="1" t="str">
        <f t="shared" si="9608"/>
        <v>0</v>
      </c>
      <c r="M5031" s="1" t="str">
        <f t="shared" si="9608"/>
        <v>0</v>
      </c>
      <c r="N5031" s="1" t="str">
        <f t="shared" si="9608"/>
        <v>0</v>
      </c>
      <c r="O5031" s="1" t="str">
        <f t="shared" si="9608"/>
        <v>0</v>
      </c>
      <c r="P5031" s="1" t="str">
        <f t="shared" si="9608"/>
        <v>0</v>
      </c>
      <c r="Q5031" s="1" t="str">
        <f t="shared" si="9529"/>
        <v>0.0070</v>
      </c>
      <c r="R5031" s="1" t="s">
        <v>25</v>
      </c>
      <c r="T5031" s="1" t="str">
        <f t="shared" si="9530"/>
        <v>0</v>
      </c>
      <c r="U5031" s="1" t="str">
        <f t="shared" si="9566"/>
        <v>0.0070</v>
      </c>
    </row>
    <row r="5032" s="1" customFormat="1" spans="1:21">
      <c r="A5032" s="1" t="str">
        <f>"4601992159428"</f>
        <v>4601992159428</v>
      </c>
      <c r="B5032" s="1" t="s">
        <v>5055</v>
      </c>
      <c r="C5032" s="1" t="s">
        <v>24</v>
      </c>
      <c r="D5032" s="1" t="str">
        <f t="shared" si="9526"/>
        <v>2021</v>
      </c>
      <c r="E5032" s="1" t="str">
        <f t="shared" ref="E5032:I5032" si="9609">"0"</f>
        <v>0</v>
      </c>
      <c r="F5032" s="1" t="str">
        <f t="shared" si="9609"/>
        <v>0</v>
      </c>
      <c r="G5032" s="1" t="str">
        <f t="shared" si="9609"/>
        <v>0</v>
      </c>
      <c r="H5032" s="1" t="str">
        <f t="shared" si="9609"/>
        <v>0</v>
      </c>
      <c r="I5032" s="1" t="str">
        <f t="shared" si="9609"/>
        <v>0</v>
      </c>
      <c r="J5032" s="1" t="str">
        <f t="shared" si="9607"/>
        <v>5</v>
      </c>
      <c r="K5032" s="1" t="str">
        <f t="shared" ref="K5032:P5032" si="9610">"0"</f>
        <v>0</v>
      </c>
      <c r="L5032" s="1" t="str">
        <f t="shared" si="9610"/>
        <v>0</v>
      </c>
      <c r="M5032" s="1" t="str">
        <f t="shared" si="9610"/>
        <v>0</v>
      </c>
      <c r="N5032" s="1" t="str">
        <f t="shared" si="9610"/>
        <v>0</v>
      </c>
      <c r="O5032" s="1" t="str">
        <f t="shared" si="9610"/>
        <v>0</v>
      </c>
      <c r="P5032" s="1" t="str">
        <f t="shared" si="9610"/>
        <v>0</v>
      </c>
      <c r="Q5032" s="1" t="str">
        <f t="shared" si="9529"/>
        <v>0.0070</v>
      </c>
      <c r="R5032" s="1" t="s">
        <v>25</v>
      </c>
      <c r="T5032" s="1" t="str">
        <f t="shared" si="9530"/>
        <v>0</v>
      </c>
      <c r="U5032" s="1" t="str">
        <f t="shared" si="9566"/>
        <v>0.0070</v>
      </c>
    </row>
    <row r="5033" s="1" customFormat="1" spans="1:21">
      <c r="A5033" s="1" t="str">
        <f>"4601992159436"</f>
        <v>4601992159436</v>
      </c>
      <c r="B5033" s="1" t="s">
        <v>5056</v>
      </c>
      <c r="C5033" s="1" t="s">
        <v>24</v>
      </c>
      <c r="D5033" s="1" t="str">
        <f t="shared" si="9526"/>
        <v>2021</v>
      </c>
      <c r="E5033" s="1" t="str">
        <f t="shared" ref="E5033:I5033" si="9611">"0"</f>
        <v>0</v>
      </c>
      <c r="F5033" s="1" t="str">
        <f t="shared" si="9611"/>
        <v>0</v>
      </c>
      <c r="G5033" s="1" t="str">
        <f t="shared" si="9611"/>
        <v>0</v>
      </c>
      <c r="H5033" s="1" t="str">
        <f t="shared" si="9611"/>
        <v>0</v>
      </c>
      <c r="I5033" s="1" t="str">
        <f t="shared" si="9611"/>
        <v>0</v>
      </c>
      <c r="J5033" s="1" t="str">
        <f>"4"</f>
        <v>4</v>
      </c>
      <c r="K5033" s="1" t="str">
        <f t="shared" ref="K5033:P5033" si="9612">"0"</f>
        <v>0</v>
      </c>
      <c r="L5033" s="1" t="str">
        <f t="shared" si="9612"/>
        <v>0</v>
      </c>
      <c r="M5033" s="1" t="str">
        <f t="shared" si="9612"/>
        <v>0</v>
      </c>
      <c r="N5033" s="1" t="str">
        <f t="shared" si="9612"/>
        <v>0</v>
      </c>
      <c r="O5033" s="1" t="str">
        <f t="shared" si="9612"/>
        <v>0</v>
      </c>
      <c r="P5033" s="1" t="str">
        <f t="shared" si="9612"/>
        <v>0</v>
      </c>
      <c r="Q5033" s="1" t="str">
        <f t="shared" si="9529"/>
        <v>0.0070</v>
      </c>
      <c r="R5033" s="1" t="s">
        <v>25</v>
      </c>
      <c r="T5033" s="1" t="str">
        <f t="shared" si="9530"/>
        <v>0</v>
      </c>
      <c r="U5033" s="1" t="str">
        <f t="shared" si="9566"/>
        <v>0.0070</v>
      </c>
    </row>
    <row r="5034" s="1" customFormat="1" spans="1:21">
      <c r="A5034" s="1" t="str">
        <f>"4601992159433"</f>
        <v>4601992159433</v>
      </c>
      <c r="B5034" s="1" t="s">
        <v>5057</v>
      </c>
      <c r="C5034" s="1" t="s">
        <v>24</v>
      </c>
      <c r="D5034" s="1" t="str">
        <f t="shared" si="9526"/>
        <v>2021</v>
      </c>
      <c r="E5034" s="1" t="str">
        <f t="shared" ref="E5034:I5034" si="9613">"0"</f>
        <v>0</v>
      </c>
      <c r="F5034" s="1" t="str">
        <f t="shared" si="9613"/>
        <v>0</v>
      </c>
      <c r="G5034" s="1" t="str">
        <f t="shared" si="9613"/>
        <v>0</v>
      </c>
      <c r="H5034" s="1" t="str">
        <f t="shared" si="9613"/>
        <v>0</v>
      </c>
      <c r="I5034" s="1" t="str">
        <f t="shared" si="9613"/>
        <v>0</v>
      </c>
      <c r="J5034" s="1" t="str">
        <f t="shared" si="9607"/>
        <v>5</v>
      </c>
      <c r="K5034" s="1" t="str">
        <f t="shared" ref="K5034:P5034" si="9614">"0"</f>
        <v>0</v>
      </c>
      <c r="L5034" s="1" t="str">
        <f t="shared" si="9614"/>
        <v>0</v>
      </c>
      <c r="M5034" s="1" t="str">
        <f t="shared" si="9614"/>
        <v>0</v>
      </c>
      <c r="N5034" s="1" t="str">
        <f t="shared" si="9614"/>
        <v>0</v>
      </c>
      <c r="O5034" s="1" t="str">
        <f t="shared" si="9614"/>
        <v>0</v>
      </c>
      <c r="P5034" s="1" t="str">
        <f t="shared" si="9614"/>
        <v>0</v>
      </c>
      <c r="Q5034" s="1" t="str">
        <f t="shared" si="9529"/>
        <v>0.0070</v>
      </c>
      <c r="R5034" s="1" t="s">
        <v>25</v>
      </c>
      <c r="T5034" s="1" t="str">
        <f t="shared" si="9530"/>
        <v>0</v>
      </c>
      <c r="U5034" s="1" t="str">
        <f t="shared" si="9566"/>
        <v>0.0070</v>
      </c>
    </row>
    <row r="5035" s="1" customFormat="1" spans="1:21">
      <c r="A5035" s="1" t="str">
        <f>"4601992159443"</f>
        <v>4601992159443</v>
      </c>
      <c r="B5035" s="1" t="s">
        <v>5058</v>
      </c>
      <c r="C5035" s="1" t="s">
        <v>24</v>
      </c>
      <c r="D5035" s="1" t="str">
        <f t="shared" si="9526"/>
        <v>2021</v>
      </c>
      <c r="E5035" s="1" t="str">
        <f t="shared" ref="E5035:I5035" si="9615">"0"</f>
        <v>0</v>
      </c>
      <c r="F5035" s="1" t="str">
        <f t="shared" si="9615"/>
        <v>0</v>
      </c>
      <c r="G5035" s="1" t="str">
        <f t="shared" si="9615"/>
        <v>0</v>
      </c>
      <c r="H5035" s="1" t="str">
        <f t="shared" si="9615"/>
        <v>0</v>
      </c>
      <c r="I5035" s="1" t="str">
        <f t="shared" si="9615"/>
        <v>0</v>
      </c>
      <c r="J5035" s="1" t="str">
        <f t="shared" si="9607"/>
        <v>5</v>
      </c>
      <c r="K5035" s="1" t="str">
        <f t="shared" ref="K5035:P5035" si="9616">"0"</f>
        <v>0</v>
      </c>
      <c r="L5035" s="1" t="str">
        <f t="shared" si="9616"/>
        <v>0</v>
      </c>
      <c r="M5035" s="1" t="str">
        <f t="shared" si="9616"/>
        <v>0</v>
      </c>
      <c r="N5035" s="1" t="str">
        <f t="shared" si="9616"/>
        <v>0</v>
      </c>
      <c r="O5035" s="1" t="str">
        <f t="shared" si="9616"/>
        <v>0</v>
      </c>
      <c r="P5035" s="1" t="str">
        <f t="shared" si="9616"/>
        <v>0</v>
      </c>
      <c r="Q5035" s="1" t="str">
        <f t="shared" si="9529"/>
        <v>0.0070</v>
      </c>
      <c r="R5035" s="1" t="s">
        <v>25</v>
      </c>
      <c r="T5035" s="1" t="str">
        <f t="shared" si="9530"/>
        <v>0</v>
      </c>
      <c r="U5035" s="1" t="str">
        <f t="shared" si="9566"/>
        <v>0.0070</v>
      </c>
    </row>
    <row r="5036" s="1" customFormat="1" spans="1:21">
      <c r="A5036" s="1" t="str">
        <f>"4601991406061"</f>
        <v>4601991406061</v>
      </c>
      <c r="B5036" s="1" t="s">
        <v>5059</v>
      </c>
      <c r="C5036" s="1" t="s">
        <v>24</v>
      </c>
      <c r="D5036" s="1" t="str">
        <f t="shared" si="9526"/>
        <v>2021</v>
      </c>
      <c r="E5036" s="1" t="str">
        <f>"5286.11"</f>
        <v>5286.11</v>
      </c>
      <c r="F5036" s="1" t="str">
        <f>"21972.45"</f>
        <v>21972.45</v>
      </c>
      <c r="G5036" s="1" t="str">
        <f t="shared" ref="G5036:P5036" si="9617">"0"</f>
        <v>0</v>
      </c>
      <c r="H5036" s="1" t="str">
        <f t="shared" si="9617"/>
        <v>0</v>
      </c>
      <c r="I5036" s="1" t="str">
        <f>"4.1566"</f>
        <v>4.1566</v>
      </c>
      <c r="J5036" s="1" t="str">
        <f>"320"</f>
        <v>320</v>
      </c>
      <c r="K5036" s="1" t="str">
        <f t="shared" si="9617"/>
        <v>0</v>
      </c>
      <c r="L5036" s="1" t="str">
        <f t="shared" si="9617"/>
        <v>0</v>
      </c>
      <c r="M5036" s="1" t="str">
        <f t="shared" si="9617"/>
        <v>0</v>
      </c>
      <c r="N5036" s="1" t="str">
        <f t="shared" si="9617"/>
        <v>0</v>
      </c>
      <c r="O5036" s="1" t="str">
        <f t="shared" si="9617"/>
        <v>0</v>
      </c>
      <c r="P5036" s="1" t="str">
        <f t="shared" si="9617"/>
        <v>0</v>
      </c>
      <c r="Q5036" s="1" t="str">
        <f t="shared" si="9529"/>
        <v>0.0070</v>
      </c>
      <c r="R5036" s="1" t="s">
        <v>69</v>
      </c>
      <c r="S5036" s="1" t="str">
        <f>"0.0014"</f>
        <v>0.0014</v>
      </c>
      <c r="T5036" s="1" t="str">
        <f t="shared" si="9530"/>
        <v>0</v>
      </c>
      <c r="U5036" s="1" t="str">
        <f>"0.0084"</f>
        <v>0.0084</v>
      </c>
    </row>
    <row r="5037" s="1" customFormat="1" spans="1:21">
      <c r="A5037" s="1" t="str">
        <f>"4601992159447"</f>
        <v>4601992159447</v>
      </c>
      <c r="B5037" s="1" t="s">
        <v>5060</v>
      </c>
      <c r="C5037" s="1" t="s">
        <v>24</v>
      </c>
      <c r="D5037" s="1" t="str">
        <f t="shared" si="9526"/>
        <v>2021</v>
      </c>
      <c r="E5037" s="1" t="str">
        <f t="shared" ref="E5037:I5037" si="9618">"0"</f>
        <v>0</v>
      </c>
      <c r="F5037" s="1" t="str">
        <f t="shared" si="9618"/>
        <v>0</v>
      </c>
      <c r="G5037" s="1" t="str">
        <f t="shared" si="9618"/>
        <v>0</v>
      </c>
      <c r="H5037" s="1" t="str">
        <f t="shared" si="9618"/>
        <v>0</v>
      </c>
      <c r="I5037" s="1" t="str">
        <f t="shared" si="9618"/>
        <v>0</v>
      </c>
      <c r="J5037" s="1" t="str">
        <f>"5"</f>
        <v>5</v>
      </c>
      <c r="K5037" s="1" t="str">
        <f t="shared" ref="K5037:P5037" si="9619">"0"</f>
        <v>0</v>
      </c>
      <c r="L5037" s="1" t="str">
        <f t="shared" si="9619"/>
        <v>0</v>
      </c>
      <c r="M5037" s="1" t="str">
        <f t="shared" si="9619"/>
        <v>0</v>
      </c>
      <c r="N5037" s="1" t="str">
        <f t="shared" si="9619"/>
        <v>0</v>
      </c>
      <c r="O5037" s="1" t="str">
        <f t="shared" si="9619"/>
        <v>0</v>
      </c>
      <c r="P5037" s="1" t="str">
        <f t="shared" si="9619"/>
        <v>0</v>
      </c>
      <c r="Q5037" s="1" t="str">
        <f t="shared" si="9529"/>
        <v>0.0070</v>
      </c>
      <c r="R5037" s="1" t="s">
        <v>25</v>
      </c>
      <c r="T5037" s="1" t="str">
        <f t="shared" si="9530"/>
        <v>0</v>
      </c>
      <c r="U5037" s="1" t="str">
        <f t="shared" ref="U5037:U5049" si="9620">"0.0070"</f>
        <v>0.0070</v>
      </c>
    </row>
    <row r="5038" s="1" customFormat="1" spans="1:21">
      <c r="A5038" s="1" t="str">
        <f>"4601992159451"</f>
        <v>4601992159451</v>
      </c>
      <c r="B5038" s="1" t="s">
        <v>5061</v>
      </c>
      <c r="C5038" s="1" t="s">
        <v>24</v>
      </c>
      <c r="D5038" s="1" t="str">
        <f t="shared" si="9526"/>
        <v>2021</v>
      </c>
      <c r="E5038" s="1" t="str">
        <f t="shared" ref="E5038:I5038" si="9621">"0"</f>
        <v>0</v>
      </c>
      <c r="F5038" s="1" t="str">
        <f t="shared" si="9621"/>
        <v>0</v>
      </c>
      <c r="G5038" s="1" t="str">
        <f t="shared" si="9621"/>
        <v>0</v>
      </c>
      <c r="H5038" s="1" t="str">
        <f t="shared" si="9621"/>
        <v>0</v>
      </c>
      <c r="I5038" s="1" t="str">
        <f t="shared" si="9621"/>
        <v>0</v>
      </c>
      <c r="J5038" s="1" t="str">
        <f>"4"</f>
        <v>4</v>
      </c>
      <c r="K5038" s="1" t="str">
        <f t="shared" ref="K5038:P5038" si="9622">"0"</f>
        <v>0</v>
      </c>
      <c r="L5038" s="1" t="str">
        <f t="shared" si="9622"/>
        <v>0</v>
      </c>
      <c r="M5038" s="1" t="str">
        <f t="shared" si="9622"/>
        <v>0</v>
      </c>
      <c r="N5038" s="1" t="str">
        <f t="shared" si="9622"/>
        <v>0</v>
      </c>
      <c r="O5038" s="1" t="str">
        <f t="shared" si="9622"/>
        <v>0</v>
      </c>
      <c r="P5038" s="1" t="str">
        <f t="shared" si="9622"/>
        <v>0</v>
      </c>
      <c r="Q5038" s="1" t="str">
        <f t="shared" si="9529"/>
        <v>0.0070</v>
      </c>
      <c r="R5038" s="1" t="s">
        <v>25</v>
      </c>
      <c r="T5038" s="1" t="str">
        <f t="shared" si="9530"/>
        <v>0</v>
      </c>
      <c r="U5038" s="1" t="str">
        <f t="shared" si="9620"/>
        <v>0.0070</v>
      </c>
    </row>
    <row r="5039" s="1" customFormat="1" spans="1:21">
      <c r="A5039" s="1" t="str">
        <f>"4601992159455"</f>
        <v>4601992159455</v>
      </c>
      <c r="B5039" s="1" t="s">
        <v>5062</v>
      </c>
      <c r="C5039" s="1" t="s">
        <v>24</v>
      </c>
      <c r="D5039" s="1" t="str">
        <f t="shared" si="9526"/>
        <v>2021</v>
      </c>
      <c r="E5039" s="1" t="str">
        <f t="shared" ref="E5039:I5039" si="9623">"0"</f>
        <v>0</v>
      </c>
      <c r="F5039" s="1" t="str">
        <f t="shared" si="9623"/>
        <v>0</v>
      </c>
      <c r="G5039" s="1" t="str">
        <f t="shared" si="9623"/>
        <v>0</v>
      </c>
      <c r="H5039" s="1" t="str">
        <f t="shared" si="9623"/>
        <v>0</v>
      </c>
      <c r="I5039" s="1" t="str">
        <f t="shared" si="9623"/>
        <v>0</v>
      </c>
      <c r="J5039" s="1" t="str">
        <f>"4"</f>
        <v>4</v>
      </c>
      <c r="K5039" s="1" t="str">
        <f t="shared" ref="K5039:P5039" si="9624">"0"</f>
        <v>0</v>
      </c>
      <c r="L5039" s="1" t="str">
        <f t="shared" si="9624"/>
        <v>0</v>
      </c>
      <c r="M5039" s="1" t="str">
        <f t="shared" si="9624"/>
        <v>0</v>
      </c>
      <c r="N5039" s="1" t="str">
        <f t="shared" si="9624"/>
        <v>0</v>
      </c>
      <c r="O5039" s="1" t="str">
        <f t="shared" si="9624"/>
        <v>0</v>
      </c>
      <c r="P5039" s="1" t="str">
        <f t="shared" si="9624"/>
        <v>0</v>
      </c>
      <c r="Q5039" s="1" t="str">
        <f t="shared" si="9529"/>
        <v>0.0070</v>
      </c>
      <c r="R5039" s="1" t="s">
        <v>25</v>
      </c>
      <c r="T5039" s="1" t="str">
        <f t="shared" si="9530"/>
        <v>0</v>
      </c>
      <c r="U5039" s="1" t="str">
        <f t="shared" si="9620"/>
        <v>0.0070</v>
      </c>
    </row>
    <row r="5040" s="1" customFormat="1" spans="1:21">
      <c r="A5040" s="1" t="str">
        <f>"4601992159467"</f>
        <v>4601992159467</v>
      </c>
      <c r="B5040" s="1" t="s">
        <v>5063</v>
      </c>
      <c r="C5040" s="1" t="s">
        <v>24</v>
      </c>
      <c r="D5040" s="1" t="str">
        <f t="shared" si="9526"/>
        <v>2021</v>
      </c>
      <c r="E5040" s="1" t="str">
        <f t="shared" ref="E5040:I5040" si="9625">"0"</f>
        <v>0</v>
      </c>
      <c r="F5040" s="1" t="str">
        <f t="shared" si="9625"/>
        <v>0</v>
      </c>
      <c r="G5040" s="1" t="str">
        <f t="shared" si="9625"/>
        <v>0</v>
      </c>
      <c r="H5040" s="1" t="str">
        <f t="shared" si="9625"/>
        <v>0</v>
      </c>
      <c r="I5040" s="1" t="str">
        <f t="shared" si="9625"/>
        <v>0</v>
      </c>
      <c r="J5040" s="1" t="str">
        <f t="shared" ref="J5040:J5043" si="9626">"1"</f>
        <v>1</v>
      </c>
      <c r="K5040" s="1" t="str">
        <f t="shared" ref="K5040:P5040" si="9627">"0"</f>
        <v>0</v>
      </c>
      <c r="L5040" s="1" t="str">
        <f t="shared" si="9627"/>
        <v>0</v>
      </c>
      <c r="M5040" s="1" t="str">
        <f t="shared" si="9627"/>
        <v>0</v>
      </c>
      <c r="N5040" s="1" t="str">
        <f t="shared" si="9627"/>
        <v>0</v>
      </c>
      <c r="O5040" s="1" t="str">
        <f t="shared" si="9627"/>
        <v>0</v>
      </c>
      <c r="P5040" s="1" t="str">
        <f t="shared" si="9627"/>
        <v>0</v>
      </c>
      <c r="Q5040" s="1" t="str">
        <f t="shared" si="9529"/>
        <v>0.0070</v>
      </c>
      <c r="R5040" s="1" t="s">
        <v>25</v>
      </c>
      <c r="T5040" s="1" t="str">
        <f t="shared" si="9530"/>
        <v>0</v>
      </c>
      <c r="U5040" s="1" t="str">
        <f t="shared" si="9620"/>
        <v>0.0070</v>
      </c>
    </row>
    <row r="5041" s="1" customFormat="1" spans="1:21">
      <c r="A5041" s="1" t="str">
        <f>"4601992159456"</f>
        <v>4601992159456</v>
      </c>
      <c r="B5041" s="1" t="s">
        <v>5064</v>
      </c>
      <c r="C5041" s="1" t="s">
        <v>24</v>
      </c>
      <c r="D5041" s="1" t="str">
        <f t="shared" si="9526"/>
        <v>2021</v>
      </c>
      <c r="E5041" s="1" t="str">
        <f t="shared" ref="E5041:I5041" si="9628">"0"</f>
        <v>0</v>
      </c>
      <c r="F5041" s="1" t="str">
        <f>"210.00"</f>
        <v>210.00</v>
      </c>
      <c r="G5041" s="1" t="str">
        <f t="shared" si="9628"/>
        <v>0</v>
      </c>
      <c r="H5041" s="1" t="str">
        <f t="shared" si="9628"/>
        <v>0</v>
      </c>
      <c r="I5041" s="1" t="str">
        <f t="shared" si="9628"/>
        <v>0</v>
      </c>
      <c r="J5041" s="1" t="str">
        <f>"589"</f>
        <v>589</v>
      </c>
      <c r="K5041" s="1" t="str">
        <f>"1"</f>
        <v>1</v>
      </c>
      <c r="L5041" s="1" t="str">
        <f t="shared" ref="L5041:P5041" si="9629">"0"</f>
        <v>0</v>
      </c>
      <c r="M5041" s="1" t="str">
        <f>"0.0017"</f>
        <v>0.0017</v>
      </c>
      <c r="N5041" s="1" t="str">
        <f t="shared" si="9629"/>
        <v>0</v>
      </c>
      <c r="O5041" s="1" t="str">
        <f t="shared" si="9629"/>
        <v>0</v>
      </c>
      <c r="P5041" s="1" t="str">
        <f t="shared" si="9629"/>
        <v>0</v>
      </c>
      <c r="Q5041" s="1" t="str">
        <f t="shared" si="9529"/>
        <v>0.0070</v>
      </c>
      <c r="R5041" s="1" t="s">
        <v>25</v>
      </c>
      <c r="T5041" s="1" t="str">
        <f t="shared" si="9530"/>
        <v>0</v>
      </c>
      <c r="U5041" s="1" t="str">
        <f t="shared" si="9620"/>
        <v>0.0070</v>
      </c>
    </row>
    <row r="5042" s="1" customFormat="1" spans="1:21">
      <c r="A5042" s="1" t="str">
        <f>"4601992159492"</f>
        <v>4601992159492</v>
      </c>
      <c r="B5042" s="1" t="s">
        <v>5065</v>
      </c>
      <c r="C5042" s="1" t="s">
        <v>24</v>
      </c>
      <c r="D5042" s="1" t="str">
        <f t="shared" si="9526"/>
        <v>2021</v>
      </c>
      <c r="E5042" s="1" t="str">
        <f t="shared" ref="E5042:I5042" si="9630">"0"</f>
        <v>0</v>
      </c>
      <c r="F5042" s="1" t="str">
        <f t="shared" si="9630"/>
        <v>0</v>
      </c>
      <c r="G5042" s="1" t="str">
        <f t="shared" si="9630"/>
        <v>0</v>
      </c>
      <c r="H5042" s="1" t="str">
        <f t="shared" si="9630"/>
        <v>0</v>
      </c>
      <c r="I5042" s="1" t="str">
        <f t="shared" si="9630"/>
        <v>0</v>
      </c>
      <c r="J5042" s="1" t="str">
        <f t="shared" si="9626"/>
        <v>1</v>
      </c>
      <c r="K5042" s="1" t="str">
        <f t="shared" ref="K5042:P5042" si="9631">"0"</f>
        <v>0</v>
      </c>
      <c r="L5042" s="1" t="str">
        <f t="shared" si="9631"/>
        <v>0</v>
      </c>
      <c r="M5042" s="1" t="str">
        <f t="shared" si="9631"/>
        <v>0</v>
      </c>
      <c r="N5042" s="1" t="str">
        <f t="shared" si="9631"/>
        <v>0</v>
      </c>
      <c r="O5042" s="1" t="str">
        <f t="shared" si="9631"/>
        <v>0</v>
      </c>
      <c r="P5042" s="1" t="str">
        <f t="shared" si="9631"/>
        <v>0</v>
      </c>
      <c r="Q5042" s="1" t="str">
        <f t="shared" si="9529"/>
        <v>0.0070</v>
      </c>
      <c r="R5042" s="1" t="s">
        <v>25</v>
      </c>
      <c r="T5042" s="1" t="str">
        <f t="shared" si="9530"/>
        <v>0</v>
      </c>
      <c r="U5042" s="1" t="str">
        <f t="shared" si="9620"/>
        <v>0.0070</v>
      </c>
    </row>
    <row r="5043" s="1" customFormat="1" spans="1:21">
      <c r="A5043" s="1" t="str">
        <f>"4601992159474"</f>
        <v>4601992159474</v>
      </c>
      <c r="B5043" s="1" t="s">
        <v>5066</v>
      </c>
      <c r="C5043" s="1" t="s">
        <v>24</v>
      </c>
      <c r="D5043" s="1" t="str">
        <f t="shared" si="9526"/>
        <v>2021</v>
      </c>
      <c r="E5043" s="1" t="str">
        <f t="shared" ref="E5043:I5043" si="9632">"0"</f>
        <v>0</v>
      </c>
      <c r="F5043" s="1" t="str">
        <f t="shared" si="9632"/>
        <v>0</v>
      </c>
      <c r="G5043" s="1" t="str">
        <f t="shared" si="9632"/>
        <v>0</v>
      </c>
      <c r="H5043" s="1" t="str">
        <f t="shared" si="9632"/>
        <v>0</v>
      </c>
      <c r="I5043" s="1" t="str">
        <f t="shared" si="9632"/>
        <v>0</v>
      </c>
      <c r="J5043" s="1" t="str">
        <f t="shared" si="9626"/>
        <v>1</v>
      </c>
      <c r="K5043" s="1" t="str">
        <f t="shared" ref="K5043:P5043" si="9633">"0"</f>
        <v>0</v>
      </c>
      <c r="L5043" s="1" t="str">
        <f t="shared" si="9633"/>
        <v>0</v>
      </c>
      <c r="M5043" s="1" t="str">
        <f t="shared" si="9633"/>
        <v>0</v>
      </c>
      <c r="N5043" s="1" t="str">
        <f t="shared" si="9633"/>
        <v>0</v>
      </c>
      <c r="O5043" s="1" t="str">
        <f t="shared" si="9633"/>
        <v>0</v>
      </c>
      <c r="P5043" s="1" t="str">
        <f t="shared" si="9633"/>
        <v>0</v>
      </c>
      <c r="Q5043" s="1" t="str">
        <f t="shared" si="9529"/>
        <v>0.0070</v>
      </c>
      <c r="R5043" s="1" t="s">
        <v>25</v>
      </c>
      <c r="T5043" s="1" t="str">
        <f t="shared" si="9530"/>
        <v>0</v>
      </c>
      <c r="U5043" s="1" t="str">
        <f t="shared" si="9620"/>
        <v>0.0070</v>
      </c>
    </row>
    <row r="5044" s="1" customFormat="1" spans="1:21">
      <c r="A5044" s="1" t="str">
        <f>"4601992159569"</f>
        <v>4601992159569</v>
      </c>
      <c r="B5044" s="1" t="s">
        <v>5067</v>
      </c>
      <c r="C5044" s="1" t="s">
        <v>24</v>
      </c>
      <c r="D5044" s="1" t="str">
        <f t="shared" si="9526"/>
        <v>2021</v>
      </c>
      <c r="E5044" s="1" t="str">
        <f t="shared" ref="E5044:P5044" si="9634">"0"</f>
        <v>0</v>
      </c>
      <c r="F5044" s="1" t="str">
        <f t="shared" si="9634"/>
        <v>0</v>
      </c>
      <c r="G5044" s="1" t="str">
        <f t="shared" si="9634"/>
        <v>0</v>
      </c>
      <c r="H5044" s="1" t="str">
        <f t="shared" si="9634"/>
        <v>0</v>
      </c>
      <c r="I5044" s="1" t="str">
        <f t="shared" si="9634"/>
        <v>0</v>
      </c>
      <c r="J5044" s="1" t="str">
        <f t="shared" si="9634"/>
        <v>0</v>
      </c>
      <c r="K5044" s="1" t="str">
        <f t="shared" si="9634"/>
        <v>0</v>
      </c>
      <c r="L5044" s="1" t="str">
        <f t="shared" si="9634"/>
        <v>0</v>
      </c>
      <c r="M5044" s="1" t="str">
        <f t="shared" si="9634"/>
        <v>0</v>
      </c>
      <c r="N5044" s="1" t="str">
        <f t="shared" si="9634"/>
        <v>0</v>
      </c>
      <c r="O5044" s="1" t="str">
        <f t="shared" si="9634"/>
        <v>0</v>
      </c>
      <c r="P5044" s="1" t="str">
        <f t="shared" si="9634"/>
        <v>0</v>
      </c>
      <c r="Q5044" s="1" t="str">
        <f t="shared" si="9529"/>
        <v>0.0070</v>
      </c>
      <c r="R5044" s="1" t="s">
        <v>25</v>
      </c>
      <c r="T5044" s="1" t="str">
        <f t="shared" si="9530"/>
        <v>0</v>
      </c>
      <c r="U5044" s="1" t="str">
        <f t="shared" si="9620"/>
        <v>0.0070</v>
      </c>
    </row>
    <row r="5045" s="1" customFormat="1" spans="1:21">
      <c r="A5045" s="1" t="str">
        <f>"4601992159502"</f>
        <v>4601992159502</v>
      </c>
      <c r="B5045" s="1" t="s">
        <v>5068</v>
      </c>
      <c r="C5045" s="1" t="s">
        <v>24</v>
      </c>
      <c r="D5045" s="1" t="str">
        <f t="shared" si="9526"/>
        <v>2021</v>
      </c>
      <c r="E5045" s="1" t="str">
        <f t="shared" ref="E5045:I5045" si="9635">"0"</f>
        <v>0</v>
      </c>
      <c r="F5045" s="1" t="str">
        <f t="shared" si="9635"/>
        <v>0</v>
      </c>
      <c r="G5045" s="1" t="str">
        <f t="shared" si="9635"/>
        <v>0</v>
      </c>
      <c r="H5045" s="1" t="str">
        <f t="shared" si="9635"/>
        <v>0</v>
      </c>
      <c r="I5045" s="1" t="str">
        <f t="shared" si="9635"/>
        <v>0</v>
      </c>
      <c r="J5045" s="1" t="str">
        <f>"1"</f>
        <v>1</v>
      </c>
      <c r="K5045" s="1" t="str">
        <f t="shared" ref="K5045:P5045" si="9636">"0"</f>
        <v>0</v>
      </c>
      <c r="L5045" s="1" t="str">
        <f t="shared" si="9636"/>
        <v>0</v>
      </c>
      <c r="M5045" s="1" t="str">
        <f t="shared" si="9636"/>
        <v>0</v>
      </c>
      <c r="N5045" s="1" t="str">
        <f t="shared" si="9636"/>
        <v>0</v>
      </c>
      <c r="O5045" s="1" t="str">
        <f t="shared" si="9636"/>
        <v>0</v>
      </c>
      <c r="P5045" s="1" t="str">
        <f t="shared" si="9636"/>
        <v>0</v>
      </c>
      <c r="Q5045" s="1" t="str">
        <f t="shared" si="9529"/>
        <v>0.0070</v>
      </c>
      <c r="R5045" s="1" t="s">
        <v>25</v>
      </c>
      <c r="T5045" s="1" t="str">
        <f t="shared" si="9530"/>
        <v>0</v>
      </c>
      <c r="U5045" s="1" t="str">
        <f t="shared" si="9620"/>
        <v>0.0070</v>
      </c>
    </row>
    <row r="5046" s="1" customFormat="1" spans="1:21">
      <c r="A5046" s="1" t="str">
        <f>"4601992159561"</f>
        <v>4601992159561</v>
      </c>
      <c r="B5046" s="1" t="s">
        <v>5069</v>
      </c>
      <c r="C5046" s="1" t="s">
        <v>24</v>
      </c>
      <c r="D5046" s="1" t="str">
        <f t="shared" si="9526"/>
        <v>2021</v>
      </c>
      <c r="E5046" s="1" t="str">
        <f t="shared" ref="E5046:I5046" si="9637">"0"</f>
        <v>0</v>
      </c>
      <c r="F5046" s="1" t="str">
        <f t="shared" si="9637"/>
        <v>0</v>
      </c>
      <c r="G5046" s="1" t="str">
        <f t="shared" si="9637"/>
        <v>0</v>
      </c>
      <c r="H5046" s="1" t="str">
        <f t="shared" si="9637"/>
        <v>0</v>
      </c>
      <c r="I5046" s="1" t="str">
        <f t="shared" si="9637"/>
        <v>0</v>
      </c>
      <c r="J5046" s="1" t="str">
        <f>"3"</f>
        <v>3</v>
      </c>
      <c r="K5046" s="1" t="str">
        <f t="shared" ref="K5046:P5046" si="9638">"0"</f>
        <v>0</v>
      </c>
      <c r="L5046" s="1" t="str">
        <f t="shared" si="9638"/>
        <v>0</v>
      </c>
      <c r="M5046" s="1" t="str">
        <f t="shared" si="9638"/>
        <v>0</v>
      </c>
      <c r="N5046" s="1" t="str">
        <f t="shared" si="9638"/>
        <v>0</v>
      </c>
      <c r="O5046" s="1" t="str">
        <f t="shared" si="9638"/>
        <v>0</v>
      </c>
      <c r="P5046" s="1" t="str">
        <f t="shared" si="9638"/>
        <v>0</v>
      </c>
      <c r="Q5046" s="1" t="str">
        <f t="shared" si="9529"/>
        <v>0.0070</v>
      </c>
      <c r="R5046" s="1" t="s">
        <v>25</v>
      </c>
      <c r="T5046" s="1" t="str">
        <f t="shared" si="9530"/>
        <v>0</v>
      </c>
      <c r="U5046" s="1" t="str">
        <f t="shared" si="9620"/>
        <v>0.0070</v>
      </c>
    </row>
    <row r="5047" s="1" customFormat="1" spans="1:21">
      <c r="A5047" s="1" t="str">
        <f>"4601992159572"</f>
        <v>4601992159572</v>
      </c>
      <c r="B5047" s="1" t="s">
        <v>5070</v>
      </c>
      <c r="C5047" s="1" t="s">
        <v>24</v>
      </c>
      <c r="D5047" s="1" t="str">
        <f t="shared" si="9526"/>
        <v>2021</v>
      </c>
      <c r="E5047" s="1" t="str">
        <f t="shared" ref="E5047:P5047" si="9639">"0"</f>
        <v>0</v>
      </c>
      <c r="F5047" s="1" t="str">
        <f t="shared" si="9639"/>
        <v>0</v>
      </c>
      <c r="G5047" s="1" t="str">
        <f t="shared" si="9639"/>
        <v>0</v>
      </c>
      <c r="H5047" s="1" t="str">
        <f t="shared" si="9639"/>
        <v>0</v>
      </c>
      <c r="I5047" s="1" t="str">
        <f t="shared" si="9639"/>
        <v>0</v>
      </c>
      <c r="J5047" s="1" t="str">
        <f t="shared" si="9639"/>
        <v>0</v>
      </c>
      <c r="K5047" s="1" t="str">
        <f t="shared" si="9639"/>
        <v>0</v>
      </c>
      <c r="L5047" s="1" t="str">
        <f t="shared" si="9639"/>
        <v>0</v>
      </c>
      <c r="M5047" s="1" t="str">
        <f t="shared" si="9639"/>
        <v>0</v>
      </c>
      <c r="N5047" s="1" t="str">
        <f t="shared" si="9639"/>
        <v>0</v>
      </c>
      <c r="O5047" s="1" t="str">
        <f t="shared" si="9639"/>
        <v>0</v>
      </c>
      <c r="P5047" s="1" t="str">
        <f t="shared" si="9639"/>
        <v>0</v>
      </c>
      <c r="Q5047" s="1" t="str">
        <f t="shared" si="9529"/>
        <v>0.0070</v>
      </c>
      <c r="R5047" s="1" t="s">
        <v>25</v>
      </c>
      <c r="T5047" s="1" t="str">
        <f t="shared" si="9530"/>
        <v>0</v>
      </c>
      <c r="U5047" s="1" t="str">
        <f t="shared" si="9620"/>
        <v>0.0070</v>
      </c>
    </row>
    <row r="5048" s="1" customFormat="1" spans="1:21">
      <c r="A5048" s="1" t="str">
        <f>"4601992159573"</f>
        <v>4601992159573</v>
      </c>
      <c r="B5048" s="1" t="s">
        <v>5071</v>
      </c>
      <c r="C5048" s="1" t="s">
        <v>24</v>
      </c>
      <c r="D5048" s="1" t="str">
        <f t="shared" si="9526"/>
        <v>2021</v>
      </c>
      <c r="E5048" s="1" t="str">
        <f t="shared" ref="E5048:P5048" si="9640">"0"</f>
        <v>0</v>
      </c>
      <c r="F5048" s="1" t="str">
        <f t="shared" si="9640"/>
        <v>0</v>
      </c>
      <c r="G5048" s="1" t="str">
        <f t="shared" si="9640"/>
        <v>0</v>
      </c>
      <c r="H5048" s="1" t="str">
        <f t="shared" si="9640"/>
        <v>0</v>
      </c>
      <c r="I5048" s="1" t="str">
        <f t="shared" si="9640"/>
        <v>0</v>
      </c>
      <c r="J5048" s="1" t="str">
        <f t="shared" si="9640"/>
        <v>0</v>
      </c>
      <c r="K5048" s="1" t="str">
        <f t="shared" si="9640"/>
        <v>0</v>
      </c>
      <c r="L5048" s="1" t="str">
        <f t="shared" si="9640"/>
        <v>0</v>
      </c>
      <c r="M5048" s="1" t="str">
        <f t="shared" si="9640"/>
        <v>0</v>
      </c>
      <c r="N5048" s="1" t="str">
        <f t="shared" si="9640"/>
        <v>0</v>
      </c>
      <c r="O5048" s="1" t="str">
        <f t="shared" si="9640"/>
        <v>0</v>
      </c>
      <c r="P5048" s="1" t="str">
        <f t="shared" si="9640"/>
        <v>0</v>
      </c>
      <c r="Q5048" s="1" t="str">
        <f t="shared" si="9529"/>
        <v>0.0070</v>
      </c>
      <c r="R5048" s="1" t="s">
        <v>25</v>
      </c>
      <c r="T5048" s="1" t="str">
        <f t="shared" si="9530"/>
        <v>0</v>
      </c>
      <c r="U5048" s="1" t="str">
        <f t="shared" si="9620"/>
        <v>0.0070</v>
      </c>
    </row>
    <row r="5049" s="1" customFormat="1" spans="1:21">
      <c r="A5049" s="1" t="str">
        <f>"4601992159526"</f>
        <v>4601992159526</v>
      </c>
      <c r="B5049" s="1" t="s">
        <v>5072</v>
      </c>
      <c r="C5049" s="1" t="s">
        <v>24</v>
      </c>
      <c r="D5049" s="1" t="str">
        <f t="shared" si="9526"/>
        <v>2021</v>
      </c>
      <c r="E5049" s="1" t="str">
        <f t="shared" ref="E5049:I5049" si="9641">"0"</f>
        <v>0</v>
      </c>
      <c r="F5049" s="1" t="str">
        <f t="shared" si="9641"/>
        <v>0</v>
      </c>
      <c r="G5049" s="1" t="str">
        <f t="shared" si="9641"/>
        <v>0</v>
      </c>
      <c r="H5049" s="1" t="str">
        <f t="shared" si="9641"/>
        <v>0</v>
      </c>
      <c r="I5049" s="1" t="str">
        <f t="shared" si="9641"/>
        <v>0</v>
      </c>
      <c r="J5049" s="1" t="str">
        <f>"3"</f>
        <v>3</v>
      </c>
      <c r="K5049" s="1" t="str">
        <f t="shared" ref="K5049:P5049" si="9642">"0"</f>
        <v>0</v>
      </c>
      <c r="L5049" s="1" t="str">
        <f t="shared" si="9642"/>
        <v>0</v>
      </c>
      <c r="M5049" s="1" t="str">
        <f t="shared" si="9642"/>
        <v>0</v>
      </c>
      <c r="N5049" s="1" t="str">
        <f t="shared" si="9642"/>
        <v>0</v>
      </c>
      <c r="O5049" s="1" t="str">
        <f t="shared" si="9642"/>
        <v>0</v>
      </c>
      <c r="P5049" s="1" t="str">
        <f t="shared" si="9642"/>
        <v>0</v>
      </c>
      <c r="Q5049" s="1" t="str">
        <f t="shared" si="9529"/>
        <v>0.0070</v>
      </c>
      <c r="R5049" s="1" t="s">
        <v>25</v>
      </c>
      <c r="T5049" s="1" t="str">
        <f t="shared" si="9530"/>
        <v>0</v>
      </c>
      <c r="U5049" s="1" t="str">
        <f t="shared" si="9620"/>
        <v>0.0070</v>
      </c>
    </row>
    <row r="5050" s="1" customFormat="1" spans="1:21">
      <c r="A5050" s="1" t="str">
        <f>"4601992159588"</f>
        <v>4601992159588</v>
      </c>
      <c r="B5050" s="1" t="s">
        <v>5073</v>
      </c>
      <c r="C5050" s="1" t="s">
        <v>24</v>
      </c>
      <c r="D5050" s="1" t="str">
        <f t="shared" si="9526"/>
        <v>2021</v>
      </c>
      <c r="E5050" s="1" t="str">
        <f>"12.25"</f>
        <v>12.25</v>
      </c>
      <c r="F5050" s="1" t="str">
        <f t="shared" ref="F5050:I5050" si="9643">"0"</f>
        <v>0</v>
      </c>
      <c r="G5050" s="1" t="str">
        <f t="shared" si="9643"/>
        <v>0</v>
      </c>
      <c r="H5050" s="1" t="str">
        <f t="shared" si="9643"/>
        <v>0</v>
      </c>
      <c r="I5050" s="1" t="str">
        <f t="shared" si="9643"/>
        <v>0</v>
      </c>
      <c r="J5050" s="1" t="str">
        <f>"1"</f>
        <v>1</v>
      </c>
      <c r="K5050" s="1" t="str">
        <f t="shared" ref="K5050:P5050" si="9644">"0"</f>
        <v>0</v>
      </c>
      <c r="L5050" s="1" t="str">
        <f t="shared" si="9644"/>
        <v>0</v>
      </c>
      <c r="M5050" s="1" t="str">
        <f t="shared" si="9644"/>
        <v>0</v>
      </c>
      <c r="N5050" s="1" t="str">
        <f t="shared" si="9644"/>
        <v>0</v>
      </c>
      <c r="O5050" s="1" t="str">
        <f t="shared" si="9644"/>
        <v>0</v>
      </c>
      <c r="P5050" s="1" t="str">
        <f t="shared" si="9644"/>
        <v>0</v>
      </c>
      <c r="Q5050" s="1" t="str">
        <f t="shared" si="9529"/>
        <v>0.0070</v>
      </c>
      <c r="R5050" s="1" t="s">
        <v>29</v>
      </c>
      <c r="S5050" s="1">
        <v>-0.0014</v>
      </c>
      <c r="T5050" s="1" t="str">
        <f t="shared" si="9530"/>
        <v>0</v>
      </c>
      <c r="U5050" s="1" t="str">
        <f>"0.0056"</f>
        <v>0.0056</v>
      </c>
    </row>
    <row r="5051" s="1" customFormat="1" spans="1:21">
      <c r="A5051" s="1" t="str">
        <f>"4601992159655"</f>
        <v>4601992159655</v>
      </c>
      <c r="B5051" s="1" t="s">
        <v>5074</v>
      </c>
      <c r="C5051" s="1" t="s">
        <v>24</v>
      </c>
      <c r="D5051" s="1" t="str">
        <f t="shared" si="9526"/>
        <v>2021</v>
      </c>
      <c r="E5051" s="1" t="str">
        <f t="shared" ref="E5051:I5051" si="9645">"0"</f>
        <v>0</v>
      </c>
      <c r="F5051" s="1" t="str">
        <f t="shared" si="9645"/>
        <v>0</v>
      </c>
      <c r="G5051" s="1" t="str">
        <f t="shared" si="9645"/>
        <v>0</v>
      </c>
      <c r="H5051" s="1" t="str">
        <f t="shared" si="9645"/>
        <v>0</v>
      </c>
      <c r="I5051" s="1" t="str">
        <f t="shared" si="9645"/>
        <v>0</v>
      </c>
      <c r="J5051" s="1" t="str">
        <f>"6"</f>
        <v>6</v>
      </c>
      <c r="K5051" s="1" t="str">
        <f t="shared" ref="K5051:P5051" si="9646">"0"</f>
        <v>0</v>
      </c>
      <c r="L5051" s="1" t="str">
        <f t="shared" si="9646"/>
        <v>0</v>
      </c>
      <c r="M5051" s="1" t="str">
        <f t="shared" si="9646"/>
        <v>0</v>
      </c>
      <c r="N5051" s="1" t="str">
        <f t="shared" si="9646"/>
        <v>0</v>
      </c>
      <c r="O5051" s="1" t="str">
        <f t="shared" si="9646"/>
        <v>0</v>
      </c>
      <c r="P5051" s="1" t="str">
        <f t="shared" si="9646"/>
        <v>0</v>
      </c>
      <c r="Q5051" s="1" t="str">
        <f t="shared" si="9529"/>
        <v>0.0070</v>
      </c>
      <c r="R5051" s="1" t="s">
        <v>25</v>
      </c>
      <c r="T5051" s="1" t="str">
        <f t="shared" si="9530"/>
        <v>0</v>
      </c>
      <c r="U5051" s="1" t="str">
        <f t="shared" ref="U5051:U5055" si="9647">"0.0070"</f>
        <v>0.0070</v>
      </c>
    </row>
    <row r="5052" s="1" customFormat="1" spans="1:21">
      <c r="A5052" s="1" t="str">
        <f>"4601992159672"</f>
        <v>4601992159672</v>
      </c>
      <c r="B5052" s="1" t="s">
        <v>5075</v>
      </c>
      <c r="C5052" s="1" t="s">
        <v>24</v>
      </c>
      <c r="D5052" s="1" t="str">
        <f t="shared" si="9526"/>
        <v>2021</v>
      </c>
      <c r="E5052" s="1" t="str">
        <f t="shared" ref="E5052:I5052" si="9648">"0"</f>
        <v>0</v>
      </c>
      <c r="F5052" s="1" t="str">
        <f t="shared" si="9648"/>
        <v>0</v>
      </c>
      <c r="G5052" s="1" t="str">
        <f t="shared" si="9648"/>
        <v>0</v>
      </c>
      <c r="H5052" s="1" t="str">
        <f t="shared" si="9648"/>
        <v>0</v>
      </c>
      <c r="I5052" s="1" t="str">
        <f t="shared" si="9648"/>
        <v>0</v>
      </c>
      <c r="J5052" s="1" t="str">
        <f>"56"</f>
        <v>56</v>
      </c>
      <c r="K5052" s="1" t="str">
        <f t="shared" ref="K5052:P5052" si="9649">"0"</f>
        <v>0</v>
      </c>
      <c r="L5052" s="1" t="str">
        <f t="shared" si="9649"/>
        <v>0</v>
      </c>
      <c r="M5052" s="1" t="str">
        <f t="shared" si="9649"/>
        <v>0</v>
      </c>
      <c r="N5052" s="1" t="str">
        <f t="shared" si="9649"/>
        <v>0</v>
      </c>
      <c r="O5052" s="1" t="str">
        <f t="shared" si="9649"/>
        <v>0</v>
      </c>
      <c r="P5052" s="1" t="str">
        <f t="shared" si="9649"/>
        <v>0</v>
      </c>
      <c r="Q5052" s="1" t="str">
        <f t="shared" si="9529"/>
        <v>0.0070</v>
      </c>
      <c r="R5052" s="1" t="s">
        <v>25</v>
      </c>
      <c r="T5052" s="1" t="str">
        <f t="shared" si="9530"/>
        <v>0</v>
      </c>
      <c r="U5052" s="1" t="str">
        <f t="shared" si="9647"/>
        <v>0.0070</v>
      </c>
    </row>
    <row r="5053" s="1" customFormat="1" spans="1:21">
      <c r="A5053" s="1" t="str">
        <f>"4601992159676"</f>
        <v>4601992159676</v>
      </c>
      <c r="B5053" s="1" t="s">
        <v>5076</v>
      </c>
      <c r="C5053" s="1" t="s">
        <v>24</v>
      </c>
      <c r="D5053" s="1" t="str">
        <f t="shared" si="9526"/>
        <v>2021</v>
      </c>
      <c r="E5053" s="1" t="str">
        <f t="shared" ref="E5053:I5053" si="9650">"0"</f>
        <v>0</v>
      </c>
      <c r="F5053" s="1" t="str">
        <f t="shared" si="9650"/>
        <v>0</v>
      </c>
      <c r="G5053" s="1" t="str">
        <f t="shared" si="9650"/>
        <v>0</v>
      </c>
      <c r="H5053" s="1" t="str">
        <f t="shared" si="9650"/>
        <v>0</v>
      </c>
      <c r="I5053" s="1" t="str">
        <f t="shared" si="9650"/>
        <v>0</v>
      </c>
      <c r="J5053" s="1" t="str">
        <f t="shared" ref="J5053:J5058" si="9651">"2"</f>
        <v>2</v>
      </c>
      <c r="K5053" s="1" t="str">
        <f t="shared" ref="K5053:P5053" si="9652">"0"</f>
        <v>0</v>
      </c>
      <c r="L5053" s="1" t="str">
        <f t="shared" si="9652"/>
        <v>0</v>
      </c>
      <c r="M5053" s="1" t="str">
        <f t="shared" si="9652"/>
        <v>0</v>
      </c>
      <c r="N5053" s="1" t="str">
        <f t="shared" si="9652"/>
        <v>0</v>
      </c>
      <c r="O5053" s="1" t="str">
        <f t="shared" si="9652"/>
        <v>0</v>
      </c>
      <c r="P5053" s="1" t="str">
        <f t="shared" si="9652"/>
        <v>0</v>
      </c>
      <c r="Q5053" s="1" t="str">
        <f t="shared" si="9529"/>
        <v>0.0070</v>
      </c>
      <c r="R5053" s="1" t="s">
        <v>25</v>
      </c>
      <c r="T5053" s="1" t="str">
        <f t="shared" si="9530"/>
        <v>0</v>
      </c>
      <c r="U5053" s="1" t="str">
        <f t="shared" si="9647"/>
        <v>0.0070</v>
      </c>
    </row>
    <row r="5054" s="1" customFormat="1" spans="1:21">
      <c r="A5054" s="1" t="str">
        <f>"4601992159702"</f>
        <v>4601992159702</v>
      </c>
      <c r="B5054" s="1" t="s">
        <v>5077</v>
      </c>
      <c r="C5054" s="1" t="s">
        <v>24</v>
      </c>
      <c r="D5054" s="1" t="str">
        <f t="shared" si="9526"/>
        <v>2021</v>
      </c>
      <c r="E5054" s="1" t="str">
        <f t="shared" ref="E5054:I5054" si="9653">"0"</f>
        <v>0</v>
      </c>
      <c r="F5054" s="1" t="str">
        <f t="shared" si="9653"/>
        <v>0</v>
      </c>
      <c r="G5054" s="1" t="str">
        <f t="shared" si="9653"/>
        <v>0</v>
      </c>
      <c r="H5054" s="1" t="str">
        <f t="shared" si="9653"/>
        <v>0</v>
      </c>
      <c r="I5054" s="1" t="str">
        <f t="shared" si="9653"/>
        <v>0</v>
      </c>
      <c r="J5054" s="1" t="str">
        <f t="shared" si="9651"/>
        <v>2</v>
      </c>
      <c r="K5054" s="1" t="str">
        <f t="shared" ref="K5054:P5054" si="9654">"0"</f>
        <v>0</v>
      </c>
      <c r="L5054" s="1" t="str">
        <f t="shared" si="9654"/>
        <v>0</v>
      </c>
      <c r="M5054" s="1" t="str">
        <f t="shared" si="9654"/>
        <v>0</v>
      </c>
      <c r="N5054" s="1" t="str">
        <f t="shared" si="9654"/>
        <v>0</v>
      </c>
      <c r="O5054" s="1" t="str">
        <f t="shared" si="9654"/>
        <v>0</v>
      </c>
      <c r="P5054" s="1" t="str">
        <f t="shared" si="9654"/>
        <v>0</v>
      </c>
      <c r="Q5054" s="1" t="str">
        <f t="shared" si="9529"/>
        <v>0.0070</v>
      </c>
      <c r="R5054" s="1" t="s">
        <v>25</v>
      </c>
      <c r="T5054" s="1" t="str">
        <f t="shared" si="9530"/>
        <v>0</v>
      </c>
      <c r="U5054" s="1" t="str">
        <f t="shared" si="9647"/>
        <v>0.0070</v>
      </c>
    </row>
    <row r="5055" s="1" customFormat="1" spans="1:21">
      <c r="A5055" s="1" t="str">
        <f>"4601992160090"</f>
        <v>4601992160090</v>
      </c>
      <c r="B5055" s="1" t="s">
        <v>5078</v>
      </c>
      <c r="C5055" s="1" t="s">
        <v>24</v>
      </c>
      <c r="D5055" s="1" t="str">
        <f t="shared" si="9526"/>
        <v>2021</v>
      </c>
      <c r="E5055" s="1" t="str">
        <f t="shared" ref="E5055:I5055" si="9655">"0"</f>
        <v>0</v>
      </c>
      <c r="F5055" s="1" t="str">
        <f t="shared" si="9655"/>
        <v>0</v>
      </c>
      <c r="G5055" s="1" t="str">
        <f t="shared" si="9655"/>
        <v>0</v>
      </c>
      <c r="H5055" s="1" t="str">
        <f t="shared" si="9655"/>
        <v>0</v>
      </c>
      <c r="I5055" s="1" t="str">
        <f t="shared" si="9655"/>
        <v>0</v>
      </c>
      <c r="J5055" s="1" t="str">
        <f>"1"</f>
        <v>1</v>
      </c>
      <c r="K5055" s="1" t="str">
        <f t="shared" ref="K5055:P5055" si="9656">"0"</f>
        <v>0</v>
      </c>
      <c r="L5055" s="1" t="str">
        <f t="shared" si="9656"/>
        <v>0</v>
      </c>
      <c r="M5055" s="1" t="str">
        <f t="shared" si="9656"/>
        <v>0</v>
      </c>
      <c r="N5055" s="1" t="str">
        <f t="shared" si="9656"/>
        <v>0</v>
      </c>
      <c r="O5055" s="1" t="str">
        <f t="shared" si="9656"/>
        <v>0</v>
      </c>
      <c r="P5055" s="1" t="str">
        <f t="shared" si="9656"/>
        <v>0</v>
      </c>
      <c r="Q5055" s="1" t="str">
        <f t="shared" si="9529"/>
        <v>0.0070</v>
      </c>
      <c r="R5055" s="1" t="s">
        <v>25</v>
      </c>
      <c r="T5055" s="1" t="str">
        <f t="shared" si="9530"/>
        <v>0</v>
      </c>
      <c r="U5055" s="1" t="str">
        <f t="shared" si="9647"/>
        <v>0.0070</v>
      </c>
    </row>
    <row r="5056" s="1" customFormat="1" spans="1:21">
      <c r="A5056" s="1" t="str">
        <f>"4601992068155"</f>
        <v>4601992068155</v>
      </c>
      <c r="B5056" s="1" t="s">
        <v>5079</v>
      </c>
      <c r="C5056" s="1" t="s">
        <v>24</v>
      </c>
      <c r="D5056" s="1" t="str">
        <f t="shared" si="9526"/>
        <v>2021</v>
      </c>
      <c r="E5056" s="1" t="str">
        <f>"24.18"</f>
        <v>24.18</v>
      </c>
      <c r="F5056" s="1" t="str">
        <f t="shared" ref="F5056:I5056" si="9657">"0"</f>
        <v>0</v>
      </c>
      <c r="G5056" s="1" t="str">
        <f t="shared" si="9657"/>
        <v>0</v>
      </c>
      <c r="H5056" s="1" t="str">
        <f t="shared" si="9657"/>
        <v>0</v>
      </c>
      <c r="I5056" s="1" t="str">
        <f t="shared" si="9657"/>
        <v>0</v>
      </c>
      <c r="J5056" s="1" t="str">
        <f>"3"</f>
        <v>3</v>
      </c>
      <c r="K5056" s="1" t="str">
        <f t="shared" ref="K5056:P5056" si="9658">"0"</f>
        <v>0</v>
      </c>
      <c r="L5056" s="1" t="str">
        <f t="shared" si="9658"/>
        <v>0</v>
      </c>
      <c r="M5056" s="1" t="str">
        <f t="shared" si="9658"/>
        <v>0</v>
      </c>
      <c r="N5056" s="1" t="str">
        <f t="shared" si="9658"/>
        <v>0</v>
      </c>
      <c r="O5056" s="1" t="str">
        <f t="shared" si="9658"/>
        <v>0</v>
      </c>
      <c r="P5056" s="1" t="str">
        <f t="shared" si="9658"/>
        <v>0</v>
      </c>
      <c r="Q5056" s="1" t="str">
        <f t="shared" si="9529"/>
        <v>0.0070</v>
      </c>
      <c r="R5056" s="1" t="s">
        <v>29</v>
      </c>
      <c r="S5056" s="1">
        <v>-0.0014</v>
      </c>
      <c r="T5056" s="1" t="str">
        <f t="shared" si="9530"/>
        <v>0</v>
      </c>
      <c r="U5056" s="1" t="str">
        <f>"0.0056"</f>
        <v>0.0056</v>
      </c>
    </row>
    <row r="5057" s="1" customFormat="1" spans="1:21">
      <c r="A5057" s="1" t="str">
        <f>"4601992160084"</f>
        <v>4601992160084</v>
      </c>
      <c r="B5057" s="1" t="s">
        <v>5080</v>
      </c>
      <c r="C5057" s="1" t="s">
        <v>24</v>
      </c>
      <c r="D5057" s="1" t="str">
        <f t="shared" si="9526"/>
        <v>2021</v>
      </c>
      <c r="E5057" s="1" t="str">
        <f t="shared" ref="E5057:I5057" si="9659">"0"</f>
        <v>0</v>
      </c>
      <c r="F5057" s="1" t="str">
        <f t="shared" si="9659"/>
        <v>0</v>
      </c>
      <c r="G5057" s="1" t="str">
        <f t="shared" si="9659"/>
        <v>0</v>
      </c>
      <c r="H5057" s="1" t="str">
        <f t="shared" si="9659"/>
        <v>0</v>
      </c>
      <c r="I5057" s="1" t="str">
        <f t="shared" si="9659"/>
        <v>0</v>
      </c>
      <c r="J5057" s="1" t="str">
        <f>"1"</f>
        <v>1</v>
      </c>
      <c r="K5057" s="1" t="str">
        <f t="shared" ref="K5057:P5057" si="9660">"0"</f>
        <v>0</v>
      </c>
      <c r="L5057" s="1" t="str">
        <f t="shared" si="9660"/>
        <v>0</v>
      </c>
      <c r="M5057" s="1" t="str">
        <f t="shared" si="9660"/>
        <v>0</v>
      </c>
      <c r="N5057" s="1" t="str">
        <f t="shared" si="9660"/>
        <v>0</v>
      </c>
      <c r="O5057" s="1" t="str">
        <f t="shared" si="9660"/>
        <v>0</v>
      </c>
      <c r="P5057" s="1" t="str">
        <f t="shared" si="9660"/>
        <v>0</v>
      </c>
      <c r="Q5057" s="1" t="str">
        <f t="shared" si="9529"/>
        <v>0.0070</v>
      </c>
      <c r="R5057" s="1" t="s">
        <v>25</v>
      </c>
      <c r="T5057" s="1" t="str">
        <f t="shared" si="9530"/>
        <v>0</v>
      </c>
      <c r="U5057" s="1" t="str">
        <f t="shared" ref="U5057:U5066" si="9661">"0.0070"</f>
        <v>0.0070</v>
      </c>
    </row>
    <row r="5058" s="1" customFormat="1" spans="1:21">
      <c r="A5058" s="1" t="str">
        <f>"4601991421833"</f>
        <v>4601991421833</v>
      </c>
      <c r="B5058" s="1" t="s">
        <v>5081</v>
      </c>
      <c r="C5058" s="1" t="s">
        <v>24</v>
      </c>
      <c r="D5058" s="1" t="str">
        <f t="shared" si="9526"/>
        <v>2021</v>
      </c>
      <c r="E5058" s="1" t="str">
        <f>"19.34"</f>
        <v>19.34</v>
      </c>
      <c r="F5058" s="1" t="str">
        <f t="shared" ref="F5058:I5058" si="9662">"0"</f>
        <v>0</v>
      </c>
      <c r="G5058" s="1" t="str">
        <f t="shared" si="9662"/>
        <v>0</v>
      </c>
      <c r="H5058" s="1" t="str">
        <f t="shared" si="9662"/>
        <v>0</v>
      </c>
      <c r="I5058" s="1" t="str">
        <f t="shared" si="9662"/>
        <v>0</v>
      </c>
      <c r="J5058" s="1" t="str">
        <f t="shared" si="9651"/>
        <v>2</v>
      </c>
      <c r="K5058" s="1" t="str">
        <f t="shared" ref="K5058:P5058" si="9663">"0"</f>
        <v>0</v>
      </c>
      <c r="L5058" s="1" t="str">
        <f t="shared" si="9663"/>
        <v>0</v>
      </c>
      <c r="M5058" s="1" t="str">
        <f t="shared" si="9663"/>
        <v>0</v>
      </c>
      <c r="N5058" s="1" t="str">
        <f t="shared" si="9663"/>
        <v>0</v>
      </c>
      <c r="O5058" s="1" t="str">
        <f t="shared" si="9663"/>
        <v>0</v>
      </c>
      <c r="P5058" s="1" t="str">
        <f t="shared" si="9663"/>
        <v>0</v>
      </c>
      <c r="Q5058" s="1" t="str">
        <f t="shared" si="9529"/>
        <v>0.0070</v>
      </c>
      <c r="R5058" s="1" t="s">
        <v>29</v>
      </c>
      <c r="S5058" s="1">
        <v>-0.0014</v>
      </c>
      <c r="T5058" s="1" t="str">
        <f t="shared" si="9530"/>
        <v>0</v>
      </c>
      <c r="U5058" s="1" t="str">
        <f>"0.0056"</f>
        <v>0.0056</v>
      </c>
    </row>
    <row r="5059" s="1" customFormat="1" spans="1:21">
      <c r="A5059" s="1" t="str">
        <f>"4601992160104"</f>
        <v>4601992160104</v>
      </c>
      <c r="B5059" s="1" t="s">
        <v>5082</v>
      </c>
      <c r="C5059" s="1" t="s">
        <v>24</v>
      </c>
      <c r="D5059" s="1" t="str">
        <f t="shared" ref="D5059:D5122" si="9664">"2021"</f>
        <v>2021</v>
      </c>
      <c r="E5059" s="1" t="str">
        <f t="shared" ref="E5059:I5059" si="9665">"0"</f>
        <v>0</v>
      </c>
      <c r="F5059" s="1" t="str">
        <f t="shared" si="9665"/>
        <v>0</v>
      </c>
      <c r="G5059" s="1" t="str">
        <f t="shared" si="9665"/>
        <v>0</v>
      </c>
      <c r="H5059" s="1" t="str">
        <f t="shared" si="9665"/>
        <v>0</v>
      </c>
      <c r="I5059" s="1" t="str">
        <f t="shared" si="9665"/>
        <v>0</v>
      </c>
      <c r="J5059" s="1" t="str">
        <f>"48"</f>
        <v>48</v>
      </c>
      <c r="K5059" s="1" t="str">
        <f>"1"</f>
        <v>1</v>
      </c>
      <c r="L5059" s="1" t="str">
        <f t="shared" ref="L5059:P5059" si="9666">"0"</f>
        <v>0</v>
      </c>
      <c r="M5059" s="1" t="str">
        <f>"0.0208"</f>
        <v>0.0208</v>
      </c>
      <c r="N5059" s="1" t="str">
        <f t="shared" si="9666"/>
        <v>0</v>
      </c>
      <c r="O5059" s="1" t="str">
        <f t="shared" si="9666"/>
        <v>0</v>
      </c>
      <c r="P5059" s="1" t="str">
        <f t="shared" si="9666"/>
        <v>0</v>
      </c>
      <c r="Q5059" s="1" t="str">
        <f t="shared" ref="Q5059:Q5122" si="9667">"0.0070"</f>
        <v>0.0070</v>
      </c>
      <c r="R5059" s="1" t="s">
        <v>25</v>
      </c>
      <c r="T5059" s="1" t="str">
        <f t="shared" ref="T5059:T5122" si="9668">"0"</f>
        <v>0</v>
      </c>
      <c r="U5059" s="1" t="str">
        <f t="shared" si="9661"/>
        <v>0.0070</v>
      </c>
    </row>
    <row r="5060" s="1" customFormat="1" spans="1:21">
      <c r="A5060" s="1" t="str">
        <f>"4601992160112"</f>
        <v>4601992160112</v>
      </c>
      <c r="B5060" s="1" t="s">
        <v>5083</v>
      </c>
      <c r="C5060" s="1" t="s">
        <v>24</v>
      </c>
      <c r="D5060" s="1" t="str">
        <f t="shared" si="9664"/>
        <v>2021</v>
      </c>
      <c r="E5060" s="1" t="str">
        <f t="shared" ref="E5060:I5060" si="9669">"0"</f>
        <v>0</v>
      </c>
      <c r="F5060" s="1" t="str">
        <f t="shared" si="9669"/>
        <v>0</v>
      </c>
      <c r="G5060" s="1" t="str">
        <f t="shared" si="9669"/>
        <v>0</v>
      </c>
      <c r="H5060" s="1" t="str">
        <f t="shared" si="9669"/>
        <v>0</v>
      </c>
      <c r="I5060" s="1" t="str">
        <f t="shared" si="9669"/>
        <v>0</v>
      </c>
      <c r="J5060" s="1" t="str">
        <f>"4"</f>
        <v>4</v>
      </c>
      <c r="K5060" s="1" t="str">
        <f t="shared" ref="K5060:P5060" si="9670">"0"</f>
        <v>0</v>
      </c>
      <c r="L5060" s="1" t="str">
        <f t="shared" si="9670"/>
        <v>0</v>
      </c>
      <c r="M5060" s="1" t="str">
        <f t="shared" si="9670"/>
        <v>0</v>
      </c>
      <c r="N5060" s="1" t="str">
        <f t="shared" si="9670"/>
        <v>0</v>
      </c>
      <c r="O5060" s="1" t="str">
        <f t="shared" si="9670"/>
        <v>0</v>
      </c>
      <c r="P5060" s="1" t="str">
        <f t="shared" si="9670"/>
        <v>0</v>
      </c>
      <c r="Q5060" s="1" t="str">
        <f t="shared" si="9667"/>
        <v>0.0070</v>
      </c>
      <c r="R5060" s="1" t="s">
        <v>25</v>
      </c>
      <c r="T5060" s="1" t="str">
        <f t="shared" si="9668"/>
        <v>0</v>
      </c>
      <c r="U5060" s="1" t="str">
        <f t="shared" si="9661"/>
        <v>0.0070</v>
      </c>
    </row>
    <row r="5061" s="1" customFormat="1" spans="1:21">
      <c r="A5061" s="1" t="str">
        <f>"4601992160115"</f>
        <v>4601992160115</v>
      </c>
      <c r="B5061" s="1" t="s">
        <v>5084</v>
      </c>
      <c r="C5061" s="1" t="s">
        <v>24</v>
      </c>
      <c r="D5061" s="1" t="str">
        <f t="shared" si="9664"/>
        <v>2021</v>
      </c>
      <c r="E5061" s="1" t="str">
        <f t="shared" ref="E5061:I5061" si="9671">"0"</f>
        <v>0</v>
      </c>
      <c r="F5061" s="1" t="str">
        <f t="shared" si="9671"/>
        <v>0</v>
      </c>
      <c r="G5061" s="1" t="str">
        <f t="shared" si="9671"/>
        <v>0</v>
      </c>
      <c r="H5061" s="1" t="str">
        <f t="shared" si="9671"/>
        <v>0</v>
      </c>
      <c r="I5061" s="1" t="str">
        <f t="shared" si="9671"/>
        <v>0</v>
      </c>
      <c r="J5061" s="1" t="str">
        <f>"4"</f>
        <v>4</v>
      </c>
      <c r="K5061" s="1" t="str">
        <f t="shared" ref="K5061:P5061" si="9672">"0"</f>
        <v>0</v>
      </c>
      <c r="L5061" s="1" t="str">
        <f t="shared" si="9672"/>
        <v>0</v>
      </c>
      <c r="M5061" s="1" t="str">
        <f t="shared" si="9672"/>
        <v>0</v>
      </c>
      <c r="N5061" s="1" t="str">
        <f t="shared" si="9672"/>
        <v>0</v>
      </c>
      <c r="O5061" s="1" t="str">
        <f t="shared" si="9672"/>
        <v>0</v>
      </c>
      <c r="P5061" s="1" t="str">
        <f t="shared" si="9672"/>
        <v>0</v>
      </c>
      <c r="Q5061" s="1" t="str">
        <f t="shared" si="9667"/>
        <v>0.0070</v>
      </c>
      <c r="R5061" s="1" t="s">
        <v>25</v>
      </c>
      <c r="T5061" s="1" t="str">
        <f t="shared" si="9668"/>
        <v>0</v>
      </c>
      <c r="U5061" s="1" t="str">
        <f t="shared" si="9661"/>
        <v>0.0070</v>
      </c>
    </row>
    <row r="5062" s="1" customFormat="1" spans="1:21">
      <c r="A5062" s="1" t="str">
        <f>"4601992160110"</f>
        <v>4601992160110</v>
      </c>
      <c r="B5062" s="1" t="s">
        <v>5085</v>
      </c>
      <c r="C5062" s="1" t="s">
        <v>24</v>
      </c>
      <c r="D5062" s="1" t="str">
        <f t="shared" si="9664"/>
        <v>2021</v>
      </c>
      <c r="E5062" s="1" t="str">
        <f t="shared" ref="E5062:I5062" si="9673">"0"</f>
        <v>0</v>
      </c>
      <c r="F5062" s="1" t="str">
        <f t="shared" si="9673"/>
        <v>0</v>
      </c>
      <c r="G5062" s="1" t="str">
        <f t="shared" si="9673"/>
        <v>0</v>
      </c>
      <c r="H5062" s="1" t="str">
        <f t="shared" si="9673"/>
        <v>0</v>
      </c>
      <c r="I5062" s="1" t="str">
        <f t="shared" si="9673"/>
        <v>0</v>
      </c>
      <c r="J5062" s="1" t="str">
        <f t="shared" ref="J5062:J5067" si="9674">"3"</f>
        <v>3</v>
      </c>
      <c r="K5062" s="1" t="str">
        <f t="shared" ref="K5062:P5062" si="9675">"0"</f>
        <v>0</v>
      </c>
      <c r="L5062" s="1" t="str">
        <f t="shared" si="9675"/>
        <v>0</v>
      </c>
      <c r="M5062" s="1" t="str">
        <f t="shared" si="9675"/>
        <v>0</v>
      </c>
      <c r="N5062" s="1" t="str">
        <f t="shared" si="9675"/>
        <v>0</v>
      </c>
      <c r="O5062" s="1" t="str">
        <f t="shared" si="9675"/>
        <v>0</v>
      </c>
      <c r="P5062" s="1" t="str">
        <f t="shared" si="9675"/>
        <v>0</v>
      </c>
      <c r="Q5062" s="1" t="str">
        <f t="shared" si="9667"/>
        <v>0.0070</v>
      </c>
      <c r="R5062" s="1" t="s">
        <v>25</v>
      </c>
      <c r="T5062" s="1" t="str">
        <f t="shared" si="9668"/>
        <v>0</v>
      </c>
      <c r="U5062" s="1" t="str">
        <f t="shared" si="9661"/>
        <v>0.0070</v>
      </c>
    </row>
    <row r="5063" s="1" customFormat="1" spans="1:21">
      <c r="A5063" s="1" t="str">
        <f>"4601992160119"</f>
        <v>4601992160119</v>
      </c>
      <c r="B5063" s="1" t="s">
        <v>5086</v>
      </c>
      <c r="C5063" s="1" t="s">
        <v>24</v>
      </c>
      <c r="D5063" s="1" t="str">
        <f t="shared" si="9664"/>
        <v>2021</v>
      </c>
      <c r="E5063" s="1" t="str">
        <f t="shared" ref="E5063:I5063" si="9676">"0"</f>
        <v>0</v>
      </c>
      <c r="F5063" s="1" t="str">
        <f t="shared" si="9676"/>
        <v>0</v>
      </c>
      <c r="G5063" s="1" t="str">
        <f t="shared" si="9676"/>
        <v>0</v>
      </c>
      <c r="H5063" s="1" t="str">
        <f t="shared" si="9676"/>
        <v>0</v>
      </c>
      <c r="I5063" s="1" t="str">
        <f t="shared" si="9676"/>
        <v>0</v>
      </c>
      <c r="J5063" s="1" t="str">
        <f>"5"</f>
        <v>5</v>
      </c>
      <c r="K5063" s="1" t="str">
        <f t="shared" ref="K5063:P5063" si="9677">"0"</f>
        <v>0</v>
      </c>
      <c r="L5063" s="1" t="str">
        <f t="shared" si="9677"/>
        <v>0</v>
      </c>
      <c r="M5063" s="1" t="str">
        <f t="shared" si="9677"/>
        <v>0</v>
      </c>
      <c r="N5063" s="1" t="str">
        <f t="shared" si="9677"/>
        <v>0</v>
      </c>
      <c r="O5063" s="1" t="str">
        <f t="shared" si="9677"/>
        <v>0</v>
      </c>
      <c r="P5063" s="1" t="str">
        <f t="shared" si="9677"/>
        <v>0</v>
      </c>
      <c r="Q5063" s="1" t="str">
        <f t="shared" si="9667"/>
        <v>0.0070</v>
      </c>
      <c r="R5063" s="1" t="s">
        <v>25</v>
      </c>
      <c r="T5063" s="1" t="str">
        <f t="shared" si="9668"/>
        <v>0</v>
      </c>
      <c r="U5063" s="1" t="str">
        <f t="shared" si="9661"/>
        <v>0.0070</v>
      </c>
    </row>
    <row r="5064" s="1" customFormat="1" spans="1:21">
      <c r="A5064" s="1" t="str">
        <f>"4601992160108"</f>
        <v>4601992160108</v>
      </c>
      <c r="B5064" s="1" t="s">
        <v>5087</v>
      </c>
      <c r="C5064" s="1" t="s">
        <v>24</v>
      </c>
      <c r="D5064" s="1" t="str">
        <f t="shared" si="9664"/>
        <v>2021</v>
      </c>
      <c r="E5064" s="1" t="str">
        <f t="shared" ref="E5064:I5064" si="9678">"0"</f>
        <v>0</v>
      </c>
      <c r="F5064" s="1" t="str">
        <f t="shared" si="9678"/>
        <v>0</v>
      </c>
      <c r="G5064" s="1" t="str">
        <f t="shared" si="9678"/>
        <v>0</v>
      </c>
      <c r="H5064" s="1" t="str">
        <f t="shared" si="9678"/>
        <v>0</v>
      </c>
      <c r="I5064" s="1" t="str">
        <f t="shared" si="9678"/>
        <v>0</v>
      </c>
      <c r="J5064" s="1" t="str">
        <f>"6"</f>
        <v>6</v>
      </c>
      <c r="K5064" s="1" t="str">
        <f t="shared" ref="K5064:P5064" si="9679">"0"</f>
        <v>0</v>
      </c>
      <c r="L5064" s="1" t="str">
        <f t="shared" si="9679"/>
        <v>0</v>
      </c>
      <c r="M5064" s="1" t="str">
        <f t="shared" si="9679"/>
        <v>0</v>
      </c>
      <c r="N5064" s="1" t="str">
        <f t="shared" si="9679"/>
        <v>0</v>
      </c>
      <c r="O5064" s="1" t="str">
        <f t="shared" si="9679"/>
        <v>0</v>
      </c>
      <c r="P5064" s="1" t="str">
        <f t="shared" si="9679"/>
        <v>0</v>
      </c>
      <c r="Q5064" s="1" t="str">
        <f t="shared" si="9667"/>
        <v>0.0070</v>
      </c>
      <c r="R5064" s="1" t="s">
        <v>25</v>
      </c>
      <c r="T5064" s="1" t="str">
        <f t="shared" si="9668"/>
        <v>0</v>
      </c>
      <c r="U5064" s="1" t="str">
        <f t="shared" si="9661"/>
        <v>0.0070</v>
      </c>
    </row>
    <row r="5065" s="1" customFormat="1" spans="1:21">
      <c r="A5065" s="1" t="str">
        <f>"4601992160117"</f>
        <v>4601992160117</v>
      </c>
      <c r="B5065" s="1" t="s">
        <v>5088</v>
      </c>
      <c r="C5065" s="1" t="s">
        <v>24</v>
      </c>
      <c r="D5065" s="1" t="str">
        <f t="shared" si="9664"/>
        <v>2021</v>
      </c>
      <c r="E5065" s="1" t="str">
        <f t="shared" ref="E5065:I5065" si="9680">"0"</f>
        <v>0</v>
      </c>
      <c r="F5065" s="1" t="str">
        <f t="shared" si="9680"/>
        <v>0</v>
      </c>
      <c r="G5065" s="1" t="str">
        <f t="shared" si="9680"/>
        <v>0</v>
      </c>
      <c r="H5065" s="1" t="str">
        <f t="shared" si="9680"/>
        <v>0</v>
      </c>
      <c r="I5065" s="1" t="str">
        <f t="shared" si="9680"/>
        <v>0</v>
      </c>
      <c r="J5065" s="1" t="str">
        <f>"5"</f>
        <v>5</v>
      </c>
      <c r="K5065" s="1" t="str">
        <f t="shared" ref="K5065:P5065" si="9681">"0"</f>
        <v>0</v>
      </c>
      <c r="L5065" s="1" t="str">
        <f t="shared" si="9681"/>
        <v>0</v>
      </c>
      <c r="M5065" s="1" t="str">
        <f t="shared" si="9681"/>
        <v>0</v>
      </c>
      <c r="N5065" s="1" t="str">
        <f t="shared" si="9681"/>
        <v>0</v>
      </c>
      <c r="O5065" s="1" t="str">
        <f t="shared" si="9681"/>
        <v>0</v>
      </c>
      <c r="P5065" s="1" t="str">
        <f t="shared" si="9681"/>
        <v>0</v>
      </c>
      <c r="Q5065" s="1" t="str">
        <f t="shared" si="9667"/>
        <v>0.0070</v>
      </c>
      <c r="R5065" s="1" t="s">
        <v>25</v>
      </c>
      <c r="T5065" s="1" t="str">
        <f t="shared" si="9668"/>
        <v>0</v>
      </c>
      <c r="U5065" s="1" t="str">
        <f t="shared" si="9661"/>
        <v>0.0070</v>
      </c>
    </row>
    <row r="5066" s="1" customFormat="1" spans="1:21">
      <c r="A5066" s="1" t="str">
        <f>"4601992160148"</f>
        <v>4601992160148</v>
      </c>
      <c r="B5066" s="1" t="s">
        <v>5089</v>
      </c>
      <c r="C5066" s="1" t="s">
        <v>24</v>
      </c>
      <c r="D5066" s="1" t="str">
        <f t="shared" si="9664"/>
        <v>2021</v>
      </c>
      <c r="E5066" s="1" t="str">
        <f t="shared" ref="E5066:I5066" si="9682">"0"</f>
        <v>0</v>
      </c>
      <c r="F5066" s="1" t="str">
        <f t="shared" si="9682"/>
        <v>0</v>
      </c>
      <c r="G5066" s="1" t="str">
        <f t="shared" si="9682"/>
        <v>0</v>
      </c>
      <c r="H5066" s="1" t="str">
        <f t="shared" si="9682"/>
        <v>0</v>
      </c>
      <c r="I5066" s="1" t="str">
        <f t="shared" si="9682"/>
        <v>0</v>
      </c>
      <c r="J5066" s="1" t="str">
        <f t="shared" si="9674"/>
        <v>3</v>
      </c>
      <c r="K5066" s="1" t="str">
        <f t="shared" ref="K5066:P5066" si="9683">"0"</f>
        <v>0</v>
      </c>
      <c r="L5066" s="1" t="str">
        <f t="shared" si="9683"/>
        <v>0</v>
      </c>
      <c r="M5066" s="1" t="str">
        <f t="shared" si="9683"/>
        <v>0</v>
      </c>
      <c r="N5066" s="1" t="str">
        <f t="shared" si="9683"/>
        <v>0</v>
      </c>
      <c r="O5066" s="1" t="str">
        <f t="shared" si="9683"/>
        <v>0</v>
      </c>
      <c r="P5066" s="1" t="str">
        <f t="shared" si="9683"/>
        <v>0</v>
      </c>
      <c r="Q5066" s="1" t="str">
        <f t="shared" si="9667"/>
        <v>0.0070</v>
      </c>
      <c r="R5066" s="1" t="s">
        <v>25</v>
      </c>
      <c r="T5066" s="1" t="str">
        <f t="shared" si="9668"/>
        <v>0</v>
      </c>
      <c r="U5066" s="1" t="str">
        <f t="shared" si="9661"/>
        <v>0.0070</v>
      </c>
    </row>
    <row r="5067" s="1" customFormat="1" spans="1:21">
      <c r="A5067" s="1" t="str">
        <f>"4601992160093"</f>
        <v>4601992160093</v>
      </c>
      <c r="B5067" s="1" t="s">
        <v>5090</v>
      </c>
      <c r="C5067" s="1" t="s">
        <v>24</v>
      </c>
      <c r="D5067" s="1" t="str">
        <f t="shared" si="9664"/>
        <v>2021</v>
      </c>
      <c r="E5067" s="1" t="str">
        <f>"59.88"</f>
        <v>59.88</v>
      </c>
      <c r="F5067" s="1" t="str">
        <f t="shared" ref="F5067:I5067" si="9684">"0"</f>
        <v>0</v>
      </c>
      <c r="G5067" s="1" t="str">
        <f t="shared" si="9684"/>
        <v>0</v>
      </c>
      <c r="H5067" s="1" t="str">
        <f t="shared" si="9684"/>
        <v>0</v>
      </c>
      <c r="I5067" s="1" t="str">
        <f t="shared" si="9684"/>
        <v>0</v>
      </c>
      <c r="J5067" s="1" t="str">
        <f t="shared" si="9674"/>
        <v>3</v>
      </c>
      <c r="K5067" s="1" t="str">
        <f t="shared" ref="K5067:P5067" si="9685">"0"</f>
        <v>0</v>
      </c>
      <c r="L5067" s="1" t="str">
        <f t="shared" si="9685"/>
        <v>0</v>
      </c>
      <c r="M5067" s="1" t="str">
        <f t="shared" si="9685"/>
        <v>0</v>
      </c>
      <c r="N5067" s="1" t="str">
        <f t="shared" si="9685"/>
        <v>0</v>
      </c>
      <c r="O5067" s="1" t="str">
        <f t="shared" si="9685"/>
        <v>0</v>
      </c>
      <c r="P5067" s="1" t="str">
        <f t="shared" si="9685"/>
        <v>0</v>
      </c>
      <c r="Q5067" s="1" t="str">
        <f t="shared" si="9667"/>
        <v>0.0070</v>
      </c>
      <c r="R5067" s="1" t="s">
        <v>29</v>
      </c>
      <c r="S5067" s="1">
        <v>-0.0014</v>
      </c>
      <c r="T5067" s="1" t="str">
        <f t="shared" si="9668"/>
        <v>0</v>
      </c>
      <c r="U5067" s="1" t="str">
        <f>"0.0056"</f>
        <v>0.0056</v>
      </c>
    </row>
    <row r="5068" s="1" customFormat="1" spans="1:21">
      <c r="A5068" s="1" t="str">
        <f>"4601992160209"</f>
        <v>4601992160209</v>
      </c>
      <c r="B5068" s="1" t="s">
        <v>5091</v>
      </c>
      <c r="C5068" s="1" t="s">
        <v>24</v>
      </c>
      <c r="D5068" s="1" t="str">
        <f t="shared" si="9664"/>
        <v>2021</v>
      </c>
      <c r="E5068" s="1" t="str">
        <f t="shared" ref="E5068:I5068" si="9686">"0"</f>
        <v>0</v>
      </c>
      <c r="F5068" s="1" t="str">
        <f t="shared" si="9686"/>
        <v>0</v>
      </c>
      <c r="G5068" s="1" t="str">
        <f t="shared" si="9686"/>
        <v>0</v>
      </c>
      <c r="H5068" s="1" t="str">
        <f t="shared" si="9686"/>
        <v>0</v>
      </c>
      <c r="I5068" s="1" t="str">
        <f t="shared" si="9686"/>
        <v>0</v>
      </c>
      <c r="J5068" s="1" t="str">
        <f>"1"</f>
        <v>1</v>
      </c>
      <c r="K5068" s="1" t="str">
        <f t="shared" ref="K5068:P5068" si="9687">"0"</f>
        <v>0</v>
      </c>
      <c r="L5068" s="1" t="str">
        <f t="shared" si="9687"/>
        <v>0</v>
      </c>
      <c r="M5068" s="1" t="str">
        <f t="shared" si="9687"/>
        <v>0</v>
      </c>
      <c r="N5068" s="1" t="str">
        <f t="shared" si="9687"/>
        <v>0</v>
      </c>
      <c r="O5068" s="1" t="str">
        <f t="shared" si="9687"/>
        <v>0</v>
      </c>
      <c r="P5068" s="1" t="str">
        <f t="shared" si="9687"/>
        <v>0</v>
      </c>
      <c r="Q5068" s="1" t="str">
        <f t="shared" si="9667"/>
        <v>0.0070</v>
      </c>
      <c r="R5068" s="1" t="s">
        <v>25</v>
      </c>
      <c r="T5068" s="1" t="str">
        <f t="shared" si="9668"/>
        <v>0</v>
      </c>
      <c r="U5068" s="1" t="str">
        <f t="shared" ref="U5068:U5088" si="9688">"0.0070"</f>
        <v>0.0070</v>
      </c>
    </row>
    <row r="5069" s="1" customFormat="1" spans="1:21">
      <c r="A5069" s="1" t="str">
        <f>"4601992160202"</f>
        <v>4601992160202</v>
      </c>
      <c r="B5069" s="1" t="s">
        <v>5092</v>
      </c>
      <c r="C5069" s="1" t="s">
        <v>24</v>
      </c>
      <c r="D5069" s="1" t="str">
        <f t="shared" si="9664"/>
        <v>2021</v>
      </c>
      <c r="E5069" s="1" t="str">
        <f t="shared" ref="E5069:I5069" si="9689">"0"</f>
        <v>0</v>
      </c>
      <c r="F5069" s="1" t="str">
        <f t="shared" si="9689"/>
        <v>0</v>
      </c>
      <c r="G5069" s="1" t="str">
        <f t="shared" si="9689"/>
        <v>0</v>
      </c>
      <c r="H5069" s="1" t="str">
        <f t="shared" si="9689"/>
        <v>0</v>
      </c>
      <c r="I5069" s="1" t="str">
        <f t="shared" si="9689"/>
        <v>0</v>
      </c>
      <c r="J5069" s="1" t="str">
        <f>"2"</f>
        <v>2</v>
      </c>
      <c r="K5069" s="1" t="str">
        <f t="shared" ref="K5069:P5069" si="9690">"0"</f>
        <v>0</v>
      </c>
      <c r="L5069" s="1" t="str">
        <f t="shared" si="9690"/>
        <v>0</v>
      </c>
      <c r="M5069" s="1" t="str">
        <f t="shared" si="9690"/>
        <v>0</v>
      </c>
      <c r="N5069" s="1" t="str">
        <f t="shared" si="9690"/>
        <v>0</v>
      </c>
      <c r="O5069" s="1" t="str">
        <f t="shared" si="9690"/>
        <v>0</v>
      </c>
      <c r="P5069" s="1" t="str">
        <f t="shared" si="9690"/>
        <v>0</v>
      </c>
      <c r="Q5069" s="1" t="str">
        <f t="shared" si="9667"/>
        <v>0.0070</v>
      </c>
      <c r="R5069" s="1" t="s">
        <v>25</v>
      </c>
      <c r="T5069" s="1" t="str">
        <f t="shared" si="9668"/>
        <v>0</v>
      </c>
      <c r="U5069" s="1" t="str">
        <f t="shared" si="9688"/>
        <v>0.0070</v>
      </c>
    </row>
    <row r="5070" s="1" customFormat="1" spans="1:21">
      <c r="A5070" s="1" t="str">
        <f>"4601992160228"</f>
        <v>4601992160228</v>
      </c>
      <c r="B5070" s="1" t="s">
        <v>5093</v>
      </c>
      <c r="C5070" s="1" t="s">
        <v>24</v>
      </c>
      <c r="D5070" s="1" t="str">
        <f t="shared" si="9664"/>
        <v>2021</v>
      </c>
      <c r="E5070" s="1" t="str">
        <f t="shared" ref="E5070:I5070" si="9691">"0"</f>
        <v>0</v>
      </c>
      <c r="F5070" s="1" t="str">
        <f t="shared" si="9691"/>
        <v>0</v>
      </c>
      <c r="G5070" s="1" t="str">
        <f t="shared" si="9691"/>
        <v>0</v>
      </c>
      <c r="H5070" s="1" t="str">
        <f t="shared" si="9691"/>
        <v>0</v>
      </c>
      <c r="I5070" s="1" t="str">
        <f t="shared" si="9691"/>
        <v>0</v>
      </c>
      <c r="J5070" s="1" t="str">
        <f>"5"</f>
        <v>5</v>
      </c>
      <c r="K5070" s="1" t="str">
        <f t="shared" ref="K5070:P5070" si="9692">"0"</f>
        <v>0</v>
      </c>
      <c r="L5070" s="1" t="str">
        <f t="shared" si="9692"/>
        <v>0</v>
      </c>
      <c r="M5070" s="1" t="str">
        <f t="shared" si="9692"/>
        <v>0</v>
      </c>
      <c r="N5070" s="1" t="str">
        <f t="shared" si="9692"/>
        <v>0</v>
      </c>
      <c r="O5070" s="1" t="str">
        <f t="shared" si="9692"/>
        <v>0</v>
      </c>
      <c r="P5070" s="1" t="str">
        <f t="shared" si="9692"/>
        <v>0</v>
      </c>
      <c r="Q5070" s="1" t="str">
        <f t="shared" si="9667"/>
        <v>0.0070</v>
      </c>
      <c r="R5070" s="1" t="s">
        <v>25</v>
      </c>
      <c r="T5070" s="1" t="str">
        <f t="shared" si="9668"/>
        <v>0</v>
      </c>
      <c r="U5070" s="1" t="str">
        <f t="shared" si="9688"/>
        <v>0.0070</v>
      </c>
    </row>
    <row r="5071" s="1" customFormat="1" spans="1:21">
      <c r="A5071" s="1" t="str">
        <f>"4601992160258"</f>
        <v>4601992160258</v>
      </c>
      <c r="B5071" s="1" t="s">
        <v>5094</v>
      </c>
      <c r="C5071" s="1" t="s">
        <v>24</v>
      </c>
      <c r="D5071" s="1" t="str">
        <f t="shared" si="9664"/>
        <v>2021</v>
      </c>
      <c r="E5071" s="1" t="str">
        <f t="shared" ref="E5071:I5071" si="9693">"0"</f>
        <v>0</v>
      </c>
      <c r="F5071" s="1" t="str">
        <f t="shared" si="9693"/>
        <v>0</v>
      </c>
      <c r="G5071" s="1" t="str">
        <f t="shared" si="9693"/>
        <v>0</v>
      </c>
      <c r="H5071" s="1" t="str">
        <f t="shared" si="9693"/>
        <v>0</v>
      </c>
      <c r="I5071" s="1" t="str">
        <f t="shared" si="9693"/>
        <v>0</v>
      </c>
      <c r="J5071" s="1" t="str">
        <f>"5"</f>
        <v>5</v>
      </c>
      <c r="K5071" s="1" t="str">
        <f t="shared" ref="K5071:P5071" si="9694">"0"</f>
        <v>0</v>
      </c>
      <c r="L5071" s="1" t="str">
        <f t="shared" si="9694"/>
        <v>0</v>
      </c>
      <c r="M5071" s="1" t="str">
        <f t="shared" si="9694"/>
        <v>0</v>
      </c>
      <c r="N5071" s="1" t="str">
        <f t="shared" si="9694"/>
        <v>0</v>
      </c>
      <c r="O5071" s="1" t="str">
        <f t="shared" si="9694"/>
        <v>0</v>
      </c>
      <c r="P5071" s="1" t="str">
        <f t="shared" si="9694"/>
        <v>0</v>
      </c>
      <c r="Q5071" s="1" t="str">
        <f t="shared" si="9667"/>
        <v>0.0070</v>
      </c>
      <c r="R5071" s="1" t="s">
        <v>25</v>
      </c>
      <c r="T5071" s="1" t="str">
        <f t="shared" si="9668"/>
        <v>0</v>
      </c>
      <c r="U5071" s="1" t="str">
        <f t="shared" si="9688"/>
        <v>0.0070</v>
      </c>
    </row>
    <row r="5072" s="1" customFormat="1" spans="1:21">
      <c r="A5072" s="1" t="str">
        <f>"4601992160231"</f>
        <v>4601992160231</v>
      </c>
      <c r="B5072" s="1" t="s">
        <v>5095</v>
      </c>
      <c r="C5072" s="1" t="s">
        <v>24</v>
      </c>
      <c r="D5072" s="1" t="str">
        <f t="shared" si="9664"/>
        <v>2021</v>
      </c>
      <c r="E5072" s="1" t="str">
        <f t="shared" ref="E5072:I5072" si="9695">"0"</f>
        <v>0</v>
      </c>
      <c r="F5072" s="1" t="str">
        <f t="shared" si="9695"/>
        <v>0</v>
      </c>
      <c r="G5072" s="1" t="str">
        <f t="shared" si="9695"/>
        <v>0</v>
      </c>
      <c r="H5072" s="1" t="str">
        <f t="shared" si="9695"/>
        <v>0</v>
      </c>
      <c r="I5072" s="1" t="str">
        <f t="shared" si="9695"/>
        <v>0</v>
      </c>
      <c r="J5072" s="1" t="str">
        <f>"9"</f>
        <v>9</v>
      </c>
      <c r="K5072" s="1" t="str">
        <f t="shared" ref="K5072:P5072" si="9696">"0"</f>
        <v>0</v>
      </c>
      <c r="L5072" s="1" t="str">
        <f t="shared" si="9696"/>
        <v>0</v>
      </c>
      <c r="M5072" s="1" t="str">
        <f t="shared" si="9696"/>
        <v>0</v>
      </c>
      <c r="N5072" s="1" t="str">
        <f t="shared" si="9696"/>
        <v>0</v>
      </c>
      <c r="O5072" s="1" t="str">
        <f t="shared" si="9696"/>
        <v>0</v>
      </c>
      <c r="P5072" s="1" t="str">
        <f t="shared" si="9696"/>
        <v>0</v>
      </c>
      <c r="Q5072" s="1" t="str">
        <f t="shared" si="9667"/>
        <v>0.0070</v>
      </c>
      <c r="R5072" s="1" t="s">
        <v>25</v>
      </c>
      <c r="T5072" s="1" t="str">
        <f t="shared" si="9668"/>
        <v>0</v>
      </c>
      <c r="U5072" s="1" t="str">
        <f t="shared" si="9688"/>
        <v>0.0070</v>
      </c>
    </row>
    <row r="5073" s="1" customFormat="1" spans="1:21">
      <c r="A5073" s="1" t="str">
        <f>"4601992160236"</f>
        <v>4601992160236</v>
      </c>
      <c r="B5073" s="1" t="s">
        <v>5096</v>
      </c>
      <c r="C5073" s="1" t="s">
        <v>24</v>
      </c>
      <c r="D5073" s="1" t="str">
        <f t="shared" si="9664"/>
        <v>2021</v>
      </c>
      <c r="E5073" s="1" t="str">
        <f t="shared" ref="E5073:I5073" si="9697">"0"</f>
        <v>0</v>
      </c>
      <c r="F5073" s="1" t="str">
        <f t="shared" si="9697"/>
        <v>0</v>
      </c>
      <c r="G5073" s="1" t="str">
        <f t="shared" si="9697"/>
        <v>0</v>
      </c>
      <c r="H5073" s="1" t="str">
        <f t="shared" si="9697"/>
        <v>0</v>
      </c>
      <c r="I5073" s="1" t="str">
        <f t="shared" si="9697"/>
        <v>0</v>
      </c>
      <c r="J5073" s="1" t="str">
        <f>"6"</f>
        <v>6</v>
      </c>
      <c r="K5073" s="1" t="str">
        <f t="shared" ref="K5073:P5073" si="9698">"0"</f>
        <v>0</v>
      </c>
      <c r="L5073" s="1" t="str">
        <f t="shared" si="9698"/>
        <v>0</v>
      </c>
      <c r="M5073" s="1" t="str">
        <f t="shared" si="9698"/>
        <v>0</v>
      </c>
      <c r="N5073" s="1" t="str">
        <f t="shared" si="9698"/>
        <v>0</v>
      </c>
      <c r="O5073" s="1" t="str">
        <f t="shared" si="9698"/>
        <v>0</v>
      </c>
      <c r="P5073" s="1" t="str">
        <f t="shared" si="9698"/>
        <v>0</v>
      </c>
      <c r="Q5073" s="1" t="str">
        <f t="shared" si="9667"/>
        <v>0.0070</v>
      </c>
      <c r="R5073" s="1" t="s">
        <v>25</v>
      </c>
      <c r="T5073" s="1" t="str">
        <f t="shared" si="9668"/>
        <v>0</v>
      </c>
      <c r="U5073" s="1" t="str">
        <f t="shared" si="9688"/>
        <v>0.0070</v>
      </c>
    </row>
    <row r="5074" s="1" customFormat="1" spans="1:21">
      <c r="A5074" s="1" t="str">
        <f>"4601992160283"</f>
        <v>4601992160283</v>
      </c>
      <c r="B5074" s="1" t="s">
        <v>5097</v>
      </c>
      <c r="C5074" s="1" t="s">
        <v>24</v>
      </c>
      <c r="D5074" s="1" t="str">
        <f t="shared" si="9664"/>
        <v>2021</v>
      </c>
      <c r="E5074" s="1" t="str">
        <f t="shared" ref="E5074:I5074" si="9699">"0"</f>
        <v>0</v>
      </c>
      <c r="F5074" s="1" t="str">
        <f t="shared" si="9699"/>
        <v>0</v>
      </c>
      <c r="G5074" s="1" t="str">
        <f t="shared" si="9699"/>
        <v>0</v>
      </c>
      <c r="H5074" s="1" t="str">
        <f t="shared" si="9699"/>
        <v>0</v>
      </c>
      <c r="I5074" s="1" t="str">
        <f t="shared" si="9699"/>
        <v>0</v>
      </c>
      <c r="J5074" s="1" t="str">
        <f t="shared" ref="J5074:J5077" si="9700">"2"</f>
        <v>2</v>
      </c>
      <c r="K5074" s="1" t="str">
        <f t="shared" ref="K5074:P5074" si="9701">"0"</f>
        <v>0</v>
      </c>
      <c r="L5074" s="1" t="str">
        <f t="shared" si="9701"/>
        <v>0</v>
      </c>
      <c r="M5074" s="1" t="str">
        <f t="shared" si="9701"/>
        <v>0</v>
      </c>
      <c r="N5074" s="1" t="str">
        <f t="shared" si="9701"/>
        <v>0</v>
      </c>
      <c r="O5074" s="1" t="str">
        <f t="shared" si="9701"/>
        <v>0</v>
      </c>
      <c r="P5074" s="1" t="str">
        <f t="shared" si="9701"/>
        <v>0</v>
      </c>
      <c r="Q5074" s="1" t="str">
        <f t="shared" si="9667"/>
        <v>0.0070</v>
      </c>
      <c r="R5074" s="1" t="s">
        <v>25</v>
      </c>
      <c r="T5074" s="1" t="str">
        <f t="shared" si="9668"/>
        <v>0</v>
      </c>
      <c r="U5074" s="1" t="str">
        <f t="shared" si="9688"/>
        <v>0.0070</v>
      </c>
    </row>
    <row r="5075" s="1" customFormat="1" spans="1:21">
      <c r="A5075" s="1" t="str">
        <f>"4601992160287"</f>
        <v>4601992160287</v>
      </c>
      <c r="B5075" s="1" t="s">
        <v>5098</v>
      </c>
      <c r="C5075" s="1" t="s">
        <v>24</v>
      </c>
      <c r="D5075" s="1" t="str">
        <f t="shared" si="9664"/>
        <v>2021</v>
      </c>
      <c r="E5075" s="1" t="str">
        <f t="shared" ref="E5075:I5075" si="9702">"0"</f>
        <v>0</v>
      </c>
      <c r="F5075" s="1" t="str">
        <f t="shared" si="9702"/>
        <v>0</v>
      </c>
      <c r="G5075" s="1" t="str">
        <f t="shared" si="9702"/>
        <v>0</v>
      </c>
      <c r="H5075" s="1" t="str">
        <f t="shared" si="9702"/>
        <v>0</v>
      </c>
      <c r="I5075" s="1" t="str">
        <f t="shared" si="9702"/>
        <v>0</v>
      </c>
      <c r="J5075" s="1" t="str">
        <f t="shared" si="9700"/>
        <v>2</v>
      </c>
      <c r="K5075" s="1" t="str">
        <f t="shared" ref="K5075:P5075" si="9703">"0"</f>
        <v>0</v>
      </c>
      <c r="L5075" s="1" t="str">
        <f t="shared" si="9703"/>
        <v>0</v>
      </c>
      <c r="M5075" s="1" t="str">
        <f t="shared" si="9703"/>
        <v>0</v>
      </c>
      <c r="N5075" s="1" t="str">
        <f t="shared" si="9703"/>
        <v>0</v>
      </c>
      <c r="O5075" s="1" t="str">
        <f t="shared" si="9703"/>
        <v>0</v>
      </c>
      <c r="P5075" s="1" t="str">
        <f t="shared" si="9703"/>
        <v>0</v>
      </c>
      <c r="Q5075" s="1" t="str">
        <f t="shared" si="9667"/>
        <v>0.0070</v>
      </c>
      <c r="R5075" s="1" t="s">
        <v>25</v>
      </c>
      <c r="T5075" s="1" t="str">
        <f t="shared" si="9668"/>
        <v>0</v>
      </c>
      <c r="U5075" s="1" t="str">
        <f t="shared" si="9688"/>
        <v>0.0070</v>
      </c>
    </row>
    <row r="5076" s="1" customFormat="1" spans="1:21">
      <c r="A5076" s="1" t="str">
        <f>"4601992160310"</f>
        <v>4601992160310</v>
      </c>
      <c r="B5076" s="1" t="s">
        <v>5099</v>
      </c>
      <c r="C5076" s="1" t="s">
        <v>24</v>
      </c>
      <c r="D5076" s="1" t="str">
        <f t="shared" si="9664"/>
        <v>2021</v>
      </c>
      <c r="E5076" s="1" t="str">
        <f t="shared" ref="E5076:I5076" si="9704">"0"</f>
        <v>0</v>
      </c>
      <c r="F5076" s="1" t="str">
        <f t="shared" si="9704"/>
        <v>0</v>
      </c>
      <c r="G5076" s="1" t="str">
        <f t="shared" si="9704"/>
        <v>0</v>
      </c>
      <c r="H5076" s="1" t="str">
        <f t="shared" si="9704"/>
        <v>0</v>
      </c>
      <c r="I5076" s="1" t="str">
        <f t="shared" si="9704"/>
        <v>0</v>
      </c>
      <c r="J5076" s="1" t="str">
        <f>"4"</f>
        <v>4</v>
      </c>
      <c r="K5076" s="1" t="str">
        <f t="shared" ref="K5076:P5076" si="9705">"0"</f>
        <v>0</v>
      </c>
      <c r="L5076" s="1" t="str">
        <f t="shared" si="9705"/>
        <v>0</v>
      </c>
      <c r="M5076" s="1" t="str">
        <f t="shared" si="9705"/>
        <v>0</v>
      </c>
      <c r="N5076" s="1" t="str">
        <f t="shared" si="9705"/>
        <v>0</v>
      </c>
      <c r="O5076" s="1" t="str">
        <f t="shared" si="9705"/>
        <v>0</v>
      </c>
      <c r="P5076" s="1" t="str">
        <f t="shared" si="9705"/>
        <v>0</v>
      </c>
      <c r="Q5076" s="1" t="str">
        <f t="shared" si="9667"/>
        <v>0.0070</v>
      </c>
      <c r="R5076" s="1" t="s">
        <v>25</v>
      </c>
      <c r="T5076" s="1" t="str">
        <f t="shared" si="9668"/>
        <v>0</v>
      </c>
      <c r="U5076" s="1" t="str">
        <f t="shared" si="9688"/>
        <v>0.0070</v>
      </c>
    </row>
    <row r="5077" s="1" customFormat="1" spans="1:21">
      <c r="A5077" s="1" t="str">
        <f>"4601992160312"</f>
        <v>4601992160312</v>
      </c>
      <c r="B5077" s="1" t="s">
        <v>5100</v>
      </c>
      <c r="C5077" s="1" t="s">
        <v>24</v>
      </c>
      <c r="D5077" s="1" t="str">
        <f t="shared" si="9664"/>
        <v>2021</v>
      </c>
      <c r="E5077" s="1" t="str">
        <f t="shared" ref="E5077:I5077" si="9706">"0"</f>
        <v>0</v>
      </c>
      <c r="F5077" s="1" t="str">
        <f t="shared" si="9706"/>
        <v>0</v>
      </c>
      <c r="G5077" s="1" t="str">
        <f t="shared" si="9706"/>
        <v>0</v>
      </c>
      <c r="H5077" s="1" t="str">
        <f t="shared" si="9706"/>
        <v>0</v>
      </c>
      <c r="I5077" s="1" t="str">
        <f t="shared" si="9706"/>
        <v>0</v>
      </c>
      <c r="J5077" s="1" t="str">
        <f t="shared" si="9700"/>
        <v>2</v>
      </c>
      <c r="K5077" s="1" t="str">
        <f t="shared" ref="K5077:P5077" si="9707">"0"</f>
        <v>0</v>
      </c>
      <c r="L5077" s="1" t="str">
        <f t="shared" si="9707"/>
        <v>0</v>
      </c>
      <c r="M5077" s="1" t="str">
        <f t="shared" si="9707"/>
        <v>0</v>
      </c>
      <c r="N5077" s="1" t="str">
        <f t="shared" si="9707"/>
        <v>0</v>
      </c>
      <c r="O5077" s="1" t="str">
        <f t="shared" si="9707"/>
        <v>0</v>
      </c>
      <c r="P5077" s="1" t="str">
        <f t="shared" si="9707"/>
        <v>0</v>
      </c>
      <c r="Q5077" s="1" t="str">
        <f t="shared" si="9667"/>
        <v>0.0070</v>
      </c>
      <c r="R5077" s="1" t="s">
        <v>25</v>
      </c>
      <c r="T5077" s="1" t="str">
        <f t="shared" si="9668"/>
        <v>0</v>
      </c>
      <c r="U5077" s="1" t="str">
        <f t="shared" si="9688"/>
        <v>0.0070</v>
      </c>
    </row>
    <row r="5078" s="1" customFormat="1" spans="1:21">
      <c r="A5078" s="1" t="str">
        <f>"4601992160323"</f>
        <v>4601992160323</v>
      </c>
      <c r="B5078" s="1" t="s">
        <v>5101</v>
      </c>
      <c r="C5078" s="1" t="s">
        <v>24</v>
      </c>
      <c r="D5078" s="1" t="str">
        <f t="shared" si="9664"/>
        <v>2021</v>
      </c>
      <c r="E5078" s="1" t="str">
        <f t="shared" ref="E5078:I5078" si="9708">"0"</f>
        <v>0</v>
      </c>
      <c r="F5078" s="1" t="str">
        <f t="shared" si="9708"/>
        <v>0</v>
      </c>
      <c r="G5078" s="1" t="str">
        <f t="shared" si="9708"/>
        <v>0</v>
      </c>
      <c r="H5078" s="1" t="str">
        <f t="shared" si="9708"/>
        <v>0</v>
      </c>
      <c r="I5078" s="1" t="str">
        <f t="shared" si="9708"/>
        <v>0</v>
      </c>
      <c r="J5078" s="1" t="str">
        <f>"1"</f>
        <v>1</v>
      </c>
      <c r="K5078" s="1" t="str">
        <f t="shared" ref="K5078:P5078" si="9709">"0"</f>
        <v>0</v>
      </c>
      <c r="L5078" s="1" t="str">
        <f t="shared" si="9709"/>
        <v>0</v>
      </c>
      <c r="M5078" s="1" t="str">
        <f t="shared" si="9709"/>
        <v>0</v>
      </c>
      <c r="N5078" s="1" t="str">
        <f t="shared" si="9709"/>
        <v>0</v>
      </c>
      <c r="O5078" s="1" t="str">
        <f t="shared" si="9709"/>
        <v>0</v>
      </c>
      <c r="P5078" s="1" t="str">
        <f t="shared" si="9709"/>
        <v>0</v>
      </c>
      <c r="Q5078" s="1" t="str">
        <f t="shared" si="9667"/>
        <v>0.0070</v>
      </c>
      <c r="R5078" s="1" t="s">
        <v>25</v>
      </c>
      <c r="T5078" s="1" t="str">
        <f t="shared" si="9668"/>
        <v>0</v>
      </c>
      <c r="U5078" s="1" t="str">
        <f t="shared" si="9688"/>
        <v>0.0070</v>
      </c>
    </row>
    <row r="5079" s="1" customFormat="1" spans="1:21">
      <c r="A5079" s="1" t="str">
        <f>"4601992160313"</f>
        <v>4601992160313</v>
      </c>
      <c r="B5079" s="1" t="s">
        <v>5102</v>
      </c>
      <c r="C5079" s="1" t="s">
        <v>24</v>
      </c>
      <c r="D5079" s="1" t="str">
        <f t="shared" si="9664"/>
        <v>2021</v>
      </c>
      <c r="E5079" s="1" t="str">
        <f t="shared" ref="E5079:I5079" si="9710">"0"</f>
        <v>0</v>
      </c>
      <c r="F5079" s="1" t="str">
        <f t="shared" si="9710"/>
        <v>0</v>
      </c>
      <c r="G5079" s="1" t="str">
        <f t="shared" si="9710"/>
        <v>0</v>
      </c>
      <c r="H5079" s="1" t="str">
        <f t="shared" si="9710"/>
        <v>0</v>
      </c>
      <c r="I5079" s="1" t="str">
        <f t="shared" si="9710"/>
        <v>0</v>
      </c>
      <c r="J5079" s="1" t="str">
        <f>"3"</f>
        <v>3</v>
      </c>
      <c r="K5079" s="1" t="str">
        <f t="shared" ref="K5079:P5079" si="9711">"0"</f>
        <v>0</v>
      </c>
      <c r="L5079" s="1" t="str">
        <f t="shared" si="9711"/>
        <v>0</v>
      </c>
      <c r="M5079" s="1" t="str">
        <f t="shared" si="9711"/>
        <v>0</v>
      </c>
      <c r="N5079" s="1" t="str">
        <f t="shared" si="9711"/>
        <v>0</v>
      </c>
      <c r="O5079" s="1" t="str">
        <f t="shared" si="9711"/>
        <v>0</v>
      </c>
      <c r="P5079" s="1" t="str">
        <f t="shared" si="9711"/>
        <v>0</v>
      </c>
      <c r="Q5079" s="1" t="str">
        <f t="shared" si="9667"/>
        <v>0.0070</v>
      </c>
      <c r="R5079" s="1" t="s">
        <v>25</v>
      </c>
      <c r="T5079" s="1" t="str">
        <f t="shared" si="9668"/>
        <v>0</v>
      </c>
      <c r="U5079" s="1" t="str">
        <f t="shared" si="9688"/>
        <v>0.0070</v>
      </c>
    </row>
    <row r="5080" s="1" customFormat="1" spans="1:21">
      <c r="A5080" s="1" t="str">
        <f>"4601992160356"</f>
        <v>4601992160356</v>
      </c>
      <c r="B5080" s="1" t="s">
        <v>5103</v>
      </c>
      <c r="C5080" s="1" t="s">
        <v>24</v>
      </c>
      <c r="D5080" s="1" t="str">
        <f t="shared" si="9664"/>
        <v>2021</v>
      </c>
      <c r="E5080" s="1" t="str">
        <f t="shared" ref="E5080:I5080" si="9712">"0"</f>
        <v>0</v>
      </c>
      <c r="F5080" s="1" t="str">
        <f t="shared" si="9712"/>
        <v>0</v>
      </c>
      <c r="G5080" s="1" t="str">
        <f t="shared" si="9712"/>
        <v>0</v>
      </c>
      <c r="H5080" s="1" t="str">
        <f t="shared" si="9712"/>
        <v>0</v>
      </c>
      <c r="I5080" s="1" t="str">
        <f t="shared" si="9712"/>
        <v>0</v>
      </c>
      <c r="J5080" s="1" t="str">
        <f>"3"</f>
        <v>3</v>
      </c>
      <c r="K5080" s="1" t="str">
        <f t="shared" ref="K5080:P5080" si="9713">"0"</f>
        <v>0</v>
      </c>
      <c r="L5080" s="1" t="str">
        <f t="shared" si="9713"/>
        <v>0</v>
      </c>
      <c r="M5080" s="1" t="str">
        <f t="shared" si="9713"/>
        <v>0</v>
      </c>
      <c r="N5080" s="1" t="str">
        <f t="shared" si="9713"/>
        <v>0</v>
      </c>
      <c r="O5080" s="1" t="str">
        <f t="shared" si="9713"/>
        <v>0</v>
      </c>
      <c r="P5080" s="1" t="str">
        <f t="shared" si="9713"/>
        <v>0</v>
      </c>
      <c r="Q5080" s="1" t="str">
        <f t="shared" si="9667"/>
        <v>0.0070</v>
      </c>
      <c r="R5080" s="1" t="s">
        <v>25</v>
      </c>
      <c r="T5080" s="1" t="str">
        <f t="shared" si="9668"/>
        <v>0</v>
      </c>
      <c r="U5080" s="1" t="str">
        <f t="shared" si="9688"/>
        <v>0.0070</v>
      </c>
    </row>
    <row r="5081" s="1" customFormat="1" spans="1:21">
      <c r="A5081" s="1" t="str">
        <f>"4601992160391"</f>
        <v>4601992160391</v>
      </c>
      <c r="B5081" s="1" t="s">
        <v>5104</v>
      </c>
      <c r="C5081" s="1" t="s">
        <v>24</v>
      </c>
      <c r="D5081" s="1" t="str">
        <f t="shared" si="9664"/>
        <v>2021</v>
      </c>
      <c r="E5081" s="1" t="str">
        <f t="shared" ref="E5081:I5081" si="9714">"0"</f>
        <v>0</v>
      </c>
      <c r="F5081" s="1" t="str">
        <f t="shared" si="9714"/>
        <v>0</v>
      </c>
      <c r="G5081" s="1" t="str">
        <f t="shared" si="9714"/>
        <v>0</v>
      </c>
      <c r="H5081" s="1" t="str">
        <f t="shared" si="9714"/>
        <v>0</v>
      </c>
      <c r="I5081" s="1" t="str">
        <f t="shared" si="9714"/>
        <v>0</v>
      </c>
      <c r="J5081" s="1" t="str">
        <f t="shared" ref="J5081:J5085" si="9715">"2"</f>
        <v>2</v>
      </c>
      <c r="K5081" s="1" t="str">
        <f t="shared" ref="K5081:P5081" si="9716">"0"</f>
        <v>0</v>
      </c>
      <c r="L5081" s="1" t="str">
        <f t="shared" si="9716"/>
        <v>0</v>
      </c>
      <c r="M5081" s="1" t="str">
        <f t="shared" si="9716"/>
        <v>0</v>
      </c>
      <c r="N5081" s="1" t="str">
        <f t="shared" si="9716"/>
        <v>0</v>
      </c>
      <c r="O5081" s="1" t="str">
        <f t="shared" si="9716"/>
        <v>0</v>
      </c>
      <c r="P5081" s="1" t="str">
        <f t="shared" si="9716"/>
        <v>0</v>
      </c>
      <c r="Q5081" s="1" t="str">
        <f t="shared" si="9667"/>
        <v>0.0070</v>
      </c>
      <c r="R5081" s="1" t="s">
        <v>25</v>
      </c>
      <c r="T5081" s="1" t="str">
        <f t="shared" si="9668"/>
        <v>0</v>
      </c>
      <c r="U5081" s="1" t="str">
        <f t="shared" si="9688"/>
        <v>0.0070</v>
      </c>
    </row>
    <row r="5082" s="1" customFormat="1" spans="1:21">
      <c r="A5082" s="1" t="str">
        <f>"4601992160374"</f>
        <v>4601992160374</v>
      </c>
      <c r="B5082" s="1" t="s">
        <v>5105</v>
      </c>
      <c r="C5082" s="1" t="s">
        <v>24</v>
      </c>
      <c r="D5082" s="1" t="str">
        <f t="shared" si="9664"/>
        <v>2021</v>
      </c>
      <c r="E5082" s="1" t="str">
        <f t="shared" ref="E5082:I5082" si="9717">"0"</f>
        <v>0</v>
      </c>
      <c r="F5082" s="1" t="str">
        <f t="shared" si="9717"/>
        <v>0</v>
      </c>
      <c r="G5082" s="1" t="str">
        <f t="shared" si="9717"/>
        <v>0</v>
      </c>
      <c r="H5082" s="1" t="str">
        <f t="shared" si="9717"/>
        <v>0</v>
      </c>
      <c r="I5082" s="1" t="str">
        <f t="shared" si="9717"/>
        <v>0</v>
      </c>
      <c r="J5082" s="1" t="str">
        <f>"4"</f>
        <v>4</v>
      </c>
      <c r="K5082" s="1" t="str">
        <f t="shared" ref="K5082:P5082" si="9718">"0"</f>
        <v>0</v>
      </c>
      <c r="L5082" s="1" t="str">
        <f t="shared" si="9718"/>
        <v>0</v>
      </c>
      <c r="M5082" s="1" t="str">
        <f t="shared" si="9718"/>
        <v>0</v>
      </c>
      <c r="N5082" s="1" t="str">
        <f t="shared" si="9718"/>
        <v>0</v>
      </c>
      <c r="O5082" s="1" t="str">
        <f t="shared" si="9718"/>
        <v>0</v>
      </c>
      <c r="P5082" s="1" t="str">
        <f t="shared" si="9718"/>
        <v>0</v>
      </c>
      <c r="Q5082" s="1" t="str">
        <f t="shared" si="9667"/>
        <v>0.0070</v>
      </c>
      <c r="R5082" s="1" t="s">
        <v>25</v>
      </c>
      <c r="T5082" s="1" t="str">
        <f t="shared" si="9668"/>
        <v>0</v>
      </c>
      <c r="U5082" s="1" t="str">
        <f t="shared" si="9688"/>
        <v>0.0070</v>
      </c>
    </row>
    <row r="5083" s="1" customFormat="1" spans="1:21">
      <c r="A5083" s="1" t="str">
        <f>"4601992160404"</f>
        <v>4601992160404</v>
      </c>
      <c r="B5083" s="1" t="s">
        <v>5106</v>
      </c>
      <c r="C5083" s="1" t="s">
        <v>24</v>
      </c>
      <c r="D5083" s="1" t="str">
        <f t="shared" si="9664"/>
        <v>2021</v>
      </c>
      <c r="E5083" s="1" t="str">
        <f t="shared" ref="E5083:I5083" si="9719">"0"</f>
        <v>0</v>
      </c>
      <c r="F5083" s="1" t="str">
        <f t="shared" si="9719"/>
        <v>0</v>
      </c>
      <c r="G5083" s="1" t="str">
        <f t="shared" si="9719"/>
        <v>0</v>
      </c>
      <c r="H5083" s="1" t="str">
        <f t="shared" si="9719"/>
        <v>0</v>
      </c>
      <c r="I5083" s="1" t="str">
        <f t="shared" si="9719"/>
        <v>0</v>
      </c>
      <c r="J5083" s="1" t="str">
        <f>"4"</f>
        <v>4</v>
      </c>
      <c r="K5083" s="1" t="str">
        <f t="shared" ref="K5083:P5083" si="9720">"0"</f>
        <v>0</v>
      </c>
      <c r="L5083" s="1" t="str">
        <f t="shared" si="9720"/>
        <v>0</v>
      </c>
      <c r="M5083" s="1" t="str">
        <f t="shared" si="9720"/>
        <v>0</v>
      </c>
      <c r="N5083" s="1" t="str">
        <f t="shared" si="9720"/>
        <v>0</v>
      </c>
      <c r="O5083" s="1" t="str">
        <f t="shared" si="9720"/>
        <v>0</v>
      </c>
      <c r="P5083" s="1" t="str">
        <f t="shared" si="9720"/>
        <v>0</v>
      </c>
      <c r="Q5083" s="1" t="str">
        <f t="shared" si="9667"/>
        <v>0.0070</v>
      </c>
      <c r="R5083" s="1" t="s">
        <v>25</v>
      </c>
      <c r="T5083" s="1" t="str">
        <f t="shared" si="9668"/>
        <v>0</v>
      </c>
      <c r="U5083" s="1" t="str">
        <f t="shared" si="9688"/>
        <v>0.0070</v>
      </c>
    </row>
    <row r="5084" s="1" customFormat="1" spans="1:21">
      <c r="A5084" s="1" t="str">
        <f>"4601992160414"</f>
        <v>4601992160414</v>
      </c>
      <c r="B5084" s="1" t="s">
        <v>5107</v>
      </c>
      <c r="C5084" s="1" t="s">
        <v>24</v>
      </c>
      <c r="D5084" s="1" t="str">
        <f t="shared" si="9664"/>
        <v>2021</v>
      </c>
      <c r="E5084" s="1" t="str">
        <f t="shared" ref="E5084:I5084" si="9721">"0"</f>
        <v>0</v>
      </c>
      <c r="F5084" s="1" t="str">
        <f t="shared" si="9721"/>
        <v>0</v>
      </c>
      <c r="G5084" s="1" t="str">
        <f t="shared" si="9721"/>
        <v>0</v>
      </c>
      <c r="H5084" s="1" t="str">
        <f t="shared" si="9721"/>
        <v>0</v>
      </c>
      <c r="I5084" s="1" t="str">
        <f t="shared" si="9721"/>
        <v>0</v>
      </c>
      <c r="J5084" s="1" t="str">
        <f t="shared" si="9715"/>
        <v>2</v>
      </c>
      <c r="K5084" s="1" t="str">
        <f t="shared" ref="K5084:P5084" si="9722">"0"</f>
        <v>0</v>
      </c>
      <c r="L5084" s="1" t="str">
        <f t="shared" si="9722"/>
        <v>0</v>
      </c>
      <c r="M5084" s="1" t="str">
        <f t="shared" si="9722"/>
        <v>0</v>
      </c>
      <c r="N5084" s="1" t="str">
        <f t="shared" si="9722"/>
        <v>0</v>
      </c>
      <c r="O5084" s="1" t="str">
        <f t="shared" si="9722"/>
        <v>0</v>
      </c>
      <c r="P5084" s="1" t="str">
        <f t="shared" si="9722"/>
        <v>0</v>
      </c>
      <c r="Q5084" s="1" t="str">
        <f t="shared" si="9667"/>
        <v>0.0070</v>
      </c>
      <c r="R5084" s="1" t="s">
        <v>25</v>
      </c>
      <c r="T5084" s="1" t="str">
        <f t="shared" si="9668"/>
        <v>0</v>
      </c>
      <c r="U5084" s="1" t="str">
        <f t="shared" si="9688"/>
        <v>0.0070</v>
      </c>
    </row>
    <row r="5085" s="1" customFormat="1" spans="1:21">
      <c r="A5085" s="1" t="str">
        <f>"4601992160435"</f>
        <v>4601992160435</v>
      </c>
      <c r="B5085" s="1" t="s">
        <v>5108</v>
      </c>
      <c r="C5085" s="1" t="s">
        <v>24</v>
      </c>
      <c r="D5085" s="1" t="str">
        <f t="shared" si="9664"/>
        <v>2021</v>
      </c>
      <c r="E5085" s="1" t="str">
        <f t="shared" ref="E5085:I5085" si="9723">"0"</f>
        <v>0</v>
      </c>
      <c r="F5085" s="1" t="str">
        <f t="shared" si="9723"/>
        <v>0</v>
      </c>
      <c r="G5085" s="1" t="str">
        <f t="shared" si="9723"/>
        <v>0</v>
      </c>
      <c r="H5085" s="1" t="str">
        <f t="shared" si="9723"/>
        <v>0</v>
      </c>
      <c r="I5085" s="1" t="str">
        <f t="shared" si="9723"/>
        <v>0</v>
      </c>
      <c r="J5085" s="1" t="str">
        <f t="shared" si="9715"/>
        <v>2</v>
      </c>
      <c r="K5085" s="1" t="str">
        <f t="shared" ref="K5085:P5085" si="9724">"0"</f>
        <v>0</v>
      </c>
      <c r="L5085" s="1" t="str">
        <f t="shared" si="9724"/>
        <v>0</v>
      </c>
      <c r="M5085" s="1" t="str">
        <f t="shared" si="9724"/>
        <v>0</v>
      </c>
      <c r="N5085" s="1" t="str">
        <f t="shared" si="9724"/>
        <v>0</v>
      </c>
      <c r="O5085" s="1" t="str">
        <f t="shared" si="9724"/>
        <v>0</v>
      </c>
      <c r="P5085" s="1" t="str">
        <f t="shared" si="9724"/>
        <v>0</v>
      </c>
      <c r="Q5085" s="1" t="str">
        <f t="shared" si="9667"/>
        <v>0.0070</v>
      </c>
      <c r="R5085" s="1" t="s">
        <v>25</v>
      </c>
      <c r="T5085" s="1" t="str">
        <f t="shared" si="9668"/>
        <v>0</v>
      </c>
      <c r="U5085" s="1" t="str">
        <f t="shared" si="9688"/>
        <v>0.0070</v>
      </c>
    </row>
    <row r="5086" s="1" customFormat="1" spans="1:21">
      <c r="A5086" s="1" t="str">
        <f>"4601992160489"</f>
        <v>4601992160489</v>
      </c>
      <c r="B5086" s="1" t="s">
        <v>5109</v>
      </c>
      <c r="C5086" s="1" t="s">
        <v>24</v>
      </c>
      <c r="D5086" s="1" t="str">
        <f t="shared" si="9664"/>
        <v>2021</v>
      </c>
      <c r="E5086" s="1" t="str">
        <f t="shared" ref="E5086:I5086" si="9725">"0"</f>
        <v>0</v>
      </c>
      <c r="F5086" s="1" t="str">
        <f t="shared" si="9725"/>
        <v>0</v>
      </c>
      <c r="G5086" s="1" t="str">
        <f t="shared" si="9725"/>
        <v>0</v>
      </c>
      <c r="H5086" s="1" t="str">
        <f t="shared" si="9725"/>
        <v>0</v>
      </c>
      <c r="I5086" s="1" t="str">
        <f t="shared" si="9725"/>
        <v>0</v>
      </c>
      <c r="J5086" s="1" t="str">
        <f>"6"</f>
        <v>6</v>
      </c>
      <c r="K5086" s="1" t="str">
        <f t="shared" ref="K5086:P5086" si="9726">"0"</f>
        <v>0</v>
      </c>
      <c r="L5086" s="1" t="str">
        <f t="shared" si="9726"/>
        <v>0</v>
      </c>
      <c r="M5086" s="1" t="str">
        <f t="shared" si="9726"/>
        <v>0</v>
      </c>
      <c r="N5086" s="1" t="str">
        <f t="shared" si="9726"/>
        <v>0</v>
      </c>
      <c r="O5086" s="1" t="str">
        <f t="shared" si="9726"/>
        <v>0</v>
      </c>
      <c r="P5086" s="1" t="str">
        <f t="shared" si="9726"/>
        <v>0</v>
      </c>
      <c r="Q5086" s="1" t="str">
        <f t="shared" si="9667"/>
        <v>0.0070</v>
      </c>
      <c r="R5086" s="1" t="s">
        <v>25</v>
      </c>
      <c r="T5086" s="1" t="str">
        <f t="shared" si="9668"/>
        <v>0</v>
      </c>
      <c r="U5086" s="1" t="str">
        <f t="shared" si="9688"/>
        <v>0.0070</v>
      </c>
    </row>
    <row r="5087" s="1" customFormat="1" spans="1:21">
      <c r="A5087" s="1" t="str">
        <f>"4601992160501"</f>
        <v>4601992160501</v>
      </c>
      <c r="B5087" s="1" t="s">
        <v>5110</v>
      </c>
      <c r="C5087" s="1" t="s">
        <v>24</v>
      </c>
      <c r="D5087" s="1" t="str">
        <f t="shared" si="9664"/>
        <v>2021</v>
      </c>
      <c r="E5087" s="1" t="str">
        <f t="shared" ref="E5087:I5087" si="9727">"0"</f>
        <v>0</v>
      </c>
      <c r="F5087" s="1" t="str">
        <f t="shared" si="9727"/>
        <v>0</v>
      </c>
      <c r="G5087" s="1" t="str">
        <f t="shared" si="9727"/>
        <v>0</v>
      </c>
      <c r="H5087" s="1" t="str">
        <f t="shared" si="9727"/>
        <v>0</v>
      </c>
      <c r="I5087" s="1" t="str">
        <f t="shared" si="9727"/>
        <v>0</v>
      </c>
      <c r="J5087" s="1" t="str">
        <f>"5"</f>
        <v>5</v>
      </c>
      <c r="K5087" s="1" t="str">
        <f t="shared" ref="K5087:P5087" si="9728">"0"</f>
        <v>0</v>
      </c>
      <c r="L5087" s="1" t="str">
        <f t="shared" si="9728"/>
        <v>0</v>
      </c>
      <c r="M5087" s="1" t="str">
        <f t="shared" si="9728"/>
        <v>0</v>
      </c>
      <c r="N5087" s="1" t="str">
        <f t="shared" si="9728"/>
        <v>0</v>
      </c>
      <c r="O5087" s="1" t="str">
        <f t="shared" si="9728"/>
        <v>0</v>
      </c>
      <c r="P5087" s="1" t="str">
        <f t="shared" si="9728"/>
        <v>0</v>
      </c>
      <c r="Q5087" s="1" t="str">
        <f t="shared" si="9667"/>
        <v>0.0070</v>
      </c>
      <c r="R5087" s="1" t="s">
        <v>25</v>
      </c>
      <c r="T5087" s="1" t="str">
        <f t="shared" si="9668"/>
        <v>0</v>
      </c>
      <c r="U5087" s="1" t="str">
        <f t="shared" si="9688"/>
        <v>0.0070</v>
      </c>
    </row>
    <row r="5088" s="1" customFormat="1" spans="1:21">
      <c r="A5088" s="1" t="str">
        <f>"4601992160508"</f>
        <v>4601992160508</v>
      </c>
      <c r="B5088" s="1" t="s">
        <v>5111</v>
      </c>
      <c r="C5088" s="1" t="s">
        <v>24</v>
      </c>
      <c r="D5088" s="1" t="str">
        <f t="shared" si="9664"/>
        <v>2021</v>
      </c>
      <c r="E5088" s="1" t="str">
        <f t="shared" ref="E5088:I5088" si="9729">"0"</f>
        <v>0</v>
      </c>
      <c r="F5088" s="1" t="str">
        <f t="shared" si="9729"/>
        <v>0</v>
      </c>
      <c r="G5088" s="1" t="str">
        <f t="shared" si="9729"/>
        <v>0</v>
      </c>
      <c r="H5088" s="1" t="str">
        <f t="shared" si="9729"/>
        <v>0</v>
      </c>
      <c r="I5088" s="1" t="str">
        <f t="shared" si="9729"/>
        <v>0</v>
      </c>
      <c r="J5088" s="1" t="str">
        <f>"6"</f>
        <v>6</v>
      </c>
      <c r="K5088" s="1" t="str">
        <f t="shared" ref="K5088:P5088" si="9730">"0"</f>
        <v>0</v>
      </c>
      <c r="L5088" s="1" t="str">
        <f t="shared" si="9730"/>
        <v>0</v>
      </c>
      <c r="M5088" s="1" t="str">
        <f t="shared" si="9730"/>
        <v>0</v>
      </c>
      <c r="N5088" s="1" t="str">
        <f t="shared" si="9730"/>
        <v>0</v>
      </c>
      <c r="O5088" s="1" t="str">
        <f t="shared" si="9730"/>
        <v>0</v>
      </c>
      <c r="P5088" s="1" t="str">
        <f t="shared" si="9730"/>
        <v>0</v>
      </c>
      <c r="Q5088" s="1" t="str">
        <f t="shared" si="9667"/>
        <v>0.0070</v>
      </c>
      <c r="R5088" s="1" t="s">
        <v>25</v>
      </c>
      <c r="T5088" s="1" t="str">
        <f t="shared" si="9668"/>
        <v>0</v>
      </c>
      <c r="U5088" s="1" t="str">
        <f t="shared" si="9688"/>
        <v>0.0070</v>
      </c>
    </row>
    <row r="5089" s="1" customFormat="1" spans="1:21">
      <c r="A5089" s="1" t="str">
        <f>"4601992160519"</f>
        <v>4601992160519</v>
      </c>
      <c r="B5089" s="1" t="s">
        <v>5112</v>
      </c>
      <c r="C5089" s="1" t="s">
        <v>24</v>
      </c>
      <c r="D5089" s="1" t="str">
        <f t="shared" si="9664"/>
        <v>2021</v>
      </c>
      <c r="E5089" s="1" t="str">
        <f>"24.24"</f>
        <v>24.24</v>
      </c>
      <c r="F5089" s="1" t="str">
        <f t="shared" ref="F5089:I5089" si="9731">"0"</f>
        <v>0</v>
      </c>
      <c r="G5089" s="1" t="str">
        <f t="shared" si="9731"/>
        <v>0</v>
      </c>
      <c r="H5089" s="1" t="str">
        <f t="shared" si="9731"/>
        <v>0</v>
      </c>
      <c r="I5089" s="1" t="str">
        <f t="shared" si="9731"/>
        <v>0</v>
      </c>
      <c r="J5089" s="1" t="str">
        <f t="shared" ref="J5089:J5094" si="9732">"4"</f>
        <v>4</v>
      </c>
      <c r="K5089" s="1" t="str">
        <f t="shared" ref="K5089:P5089" si="9733">"0"</f>
        <v>0</v>
      </c>
      <c r="L5089" s="1" t="str">
        <f t="shared" si="9733"/>
        <v>0</v>
      </c>
      <c r="M5089" s="1" t="str">
        <f t="shared" si="9733"/>
        <v>0</v>
      </c>
      <c r="N5089" s="1" t="str">
        <f t="shared" si="9733"/>
        <v>0</v>
      </c>
      <c r="O5089" s="1" t="str">
        <f t="shared" si="9733"/>
        <v>0</v>
      </c>
      <c r="P5089" s="1" t="str">
        <f t="shared" si="9733"/>
        <v>0</v>
      </c>
      <c r="Q5089" s="1" t="str">
        <f t="shared" si="9667"/>
        <v>0.0070</v>
      </c>
      <c r="R5089" s="1" t="s">
        <v>29</v>
      </c>
      <c r="S5089" s="1">
        <v>-0.0014</v>
      </c>
      <c r="T5089" s="1" t="str">
        <f t="shared" si="9668"/>
        <v>0</v>
      </c>
      <c r="U5089" s="1" t="str">
        <f>"0.0056"</f>
        <v>0.0056</v>
      </c>
    </row>
    <row r="5090" s="1" customFormat="1" spans="1:21">
      <c r="A5090" s="1" t="str">
        <f>"4601992160523"</f>
        <v>4601992160523</v>
      </c>
      <c r="B5090" s="1" t="s">
        <v>5113</v>
      </c>
      <c r="C5090" s="1" t="s">
        <v>24</v>
      </c>
      <c r="D5090" s="1" t="str">
        <f t="shared" si="9664"/>
        <v>2021</v>
      </c>
      <c r="E5090" s="1" t="str">
        <f t="shared" ref="E5090:I5090" si="9734">"0"</f>
        <v>0</v>
      </c>
      <c r="F5090" s="1" t="str">
        <f t="shared" si="9734"/>
        <v>0</v>
      </c>
      <c r="G5090" s="1" t="str">
        <f t="shared" si="9734"/>
        <v>0</v>
      </c>
      <c r="H5090" s="1" t="str">
        <f t="shared" si="9734"/>
        <v>0</v>
      </c>
      <c r="I5090" s="1" t="str">
        <f t="shared" si="9734"/>
        <v>0</v>
      </c>
      <c r="J5090" s="1" t="str">
        <f t="shared" si="9732"/>
        <v>4</v>
      </c>
      <c r="K5090" s="1" t="str">
        <f t="shared" ref="K5090:P5090" si="9735">"0"</f>
        <v>0</v>
      </c>
      <c r="L5090" s="1" t="str">
        <f t="shared" si="9735"/>
        <v>0</v>
      </c>
      <c r="M5090" s="1" t="str">
        <f t="shared" si="9735"/>
        <v>0</v>
      </c>
      <c r="N5090" s="1" t="str">
        <f t="shared" si="9735"/>
        <v>0</v>
      </c>
      <c r="O5090" s="1" t="str">
        <f t="shared" si="9735"/>
        <v>0</v>
      </c>
      <c r="P5090" s="1" t="str">
        <f t="shared" si="9735"/>
        <v>0</v>
      </c>
      <c r="Q5090" s="1" t="str">
        <f t="shared" si="9667"/>
        <v>0.0070</v>
      </c>
      <c r="R5090" s="1" t="s">
        <v>25</v>
      </c>
      <c r="T5090" s="1" t="str">
        <f t="shared" si="9668"/>
        <v>0</v>
      </c>
      <c r="U5090" s="1" t="str">
        <f t="shared" ref="U5090:U5106" si="9736">"0.0070"</f>
        <v>0.0070</v>
      </c>
    </row>
    <row r="5091" s="1" customFormat="1" spans="1:21">
      <c r="A5091" s="1" t="str">
        <f>"4601992160541"</f>
        <v>4601992160541</v>
      </c>
      <c r="B5091" s="1" t="s">
        <v>5114</v>
      </c>
      <c r="C5091" s="1" t="s">
        <v>24</v>
      </c>
      <c r="D5091" s="1" t="str">
        <f t="shared" si="9664"/>
        <v>2021</v>
      </c>
      <c r="E5091" s="1" t="str">
        <f t="shared" ref="E5091:I5091" si="9737">"0"</f>
        <v>0</v>
      </c>
      <c r="F5091" s="1" t="str">
        <f t="shared" si="9737"/>
        <v>0</v>
      </c>
      <c r="G5091" s="1" t="str">
        <f t="shared" si="9737"/>
        <v>0</v>
      </c>
      <c r="H5091" s="1" t="str">
        <f t="shared" si="9737"/>
        <v>0</v>
      </c>
      <c r="I5091" s="1" t="str">
        <f t="shared" si="9737"/>
        <v>0</v>
      </c>
      <c r="J5091" s="1" t="str">
        <f>"3"</f>
        <v>3</v>
      </c>
      <c r="K5091" s="1" t="str">
        <f t="shared" ref="K5091:P5091" si="9738">"0"</f>
        <v>0</v>
      </c>
      <c r="L5091" s="1" t="str">
        <f t="shared" si="9738"/>
        <v>0</v>
      </c>
      <c r="M5091" s="1" t="str">
        <f t="shared" si="9738"/>
        <v>0</v>
      </c>
      <c r="N5091" s="1" t="str">
        <f t="shared" si="9738"/>
        <v>0</v>
      </c>
      <c r="O5091" s="1" t="str">
        <f t="shared" si="9738"/>
        <v>0</v>
      </c>
      <c r="P5091" s="1" t="str">
        <f t="shared" si="9738"/>
        <v>0</v>
      </c>
      <c r="Q5091" s="1" t="str">
        <f t="shared" si="9667"/>
        <v>0.0070</v>
      </c>
      <c r="R5091" s="1" t="s">
        <v>25</v>
      </c>
      <c r="T5091" s="1" t="str">
        <f t="shared" si="9668"/>
        <v>0</v>
      </c>
      <c r="U5091" s="1" t="str">
        <f t="shared" si="9736"/>
        <v>0.0070</v>
      </c>
    </row>
    <row r="5092" s="1" customFormat="1" spans="1:21">
      <c r="A5092" s="1" t="str">
        <f>"4601992160546"</f>
        <v>4601992160546</v>
      </c>
      <c r="B5092" s="1" t="s">
        <v>5115</v>
      </c>
      <c r="C5092" s="1" t="s">
        <v>24</v>
      </c>
      <c r="D5092" s="1" t="str">
        <f t="shared" si="9664"/>
        <v>2021</v>
      </c>
      <c r="E5092" s="1" t="str">
        <f t="shared" ref="E5092:I5092" si="9739">"0"</f>
        <v>0</v>
      </c>
      <c r="F5092" s="1" t="str">
        <f t="shared" si="9739"/>
        <v>0</v>
      </c>
      <c r="G5092" s="1" t="str">
        <f t="shared" si="9739"/>
        <v>0</v>
      </c>
      <c r="H5092" s="1" t="str">
        <f t="shared" si="9739"/>
        <v>0</v>
      </c>
      <c r="I5092" s="1" t="str">
        <f t="shared" si="9739"/>
        <v>0</v>
      </c>
      <c r="J5092" s="1" t="str">
        <f>"2"</f>
        <v>2</v>
      </c>
      <c r="K5092" s="1" t="str">
        <f t="shared" ref="K5092:P5092" si="9740">"0"</f>
        <v>0</v>
      </c>
      <c r="L5092" s="1" t="str">
        <f t="shared" si="9740"/>
        <v>0</v>
      </c>
      <c r="M5092" s="1" t="str">
        <f t="shared" si="9740"/>
        <v>0</v>
      </c>
      <c r="N5092" s="1" t="str">
        <f t="shared" si="9740"/>
        <v>0</v>
      </c>
      <c r="O5092" s="1" t="str">
        <f t="shared" si="9740"/>
        <v>0</v>
      </c>
      <c r="P5092" s="1" t="str">
        <f t="shared" si="9740"/>
        <v>0</v>
      </c>
      <c r="Q5092" s="1" t="str">
        <f t="shared" si="9667"/>
        <v>0.0070</v>
      </c>
      <c r="R5092" s="1" t="s">
        <v>25</v>
      </c>
      <c r="T5092" s="1" t="str">
        <f t="shared" si="9668"/>
        <v>0</v>
      </c>
      <c r="U5092" s="1" t="str">
        <f t="shared" si="9736"/>
        <v>0.0070</v>
      </c>
    </row>
    <row r="5093" s="1" customFormat="1" spans="1:21">
      <c r="A5093" s="1" t="str">
        <f>"4601992160588"</f>
        <v>4601992160588</v>
      </c>
      <c r="B5093" s="1" t="s">
        <v>5116</v>
      </c>
      <c r="C5093" s="1" t="s">
        <v>24</v>
      </c>
      <c r="D5093" s="1" t="str">
        <f t="shared" si="9664"/>
        <v>2021</v>
      </c>
      <c r="E5093" s="1" t="str">
        <f t="shared" ref="E5093:I5093" si="9741">"0"</f>
        <v>0</v>
      </c>
      <c r="F5093" s="1" t="str">
        <f t="shared" si="9741"/>
        <v>0</v>
      </c>
      <c r="G5093" s="1" t="str">
        <f t="shared" si="9741"/>
        <v>0</v>
      </c>
      <c r="H5093" s="1" t="str">
        <f t="shared" si="9741"/>
        <v>0</v>
      </c>
      <c r="I5093" s="1" t="str">
        <f t="shared" si="9741"/>
        <v>0</v>
      </c>
      <c r="J5093" s="1" t="str">
        <f t="shared" ref="J5093:J5098" si="9742">"1"</f>
        <v>1</v>
      </c>
      <c r="K5093" s="1" t="str">
        <f t="shared" ref="K5093:P5093" si="9743">"0"</f>
        <v>0</v>
      </c>
      <c r="L5093" s="1" t="str">
        <f t="shared" si="9743"/>
        <v>0</v>
      </c>
      <c r="M5093" s="1" t="str">
        <f t="shared" si="9743"/>
        <v>0</v>
      </c>
      <c r="N5093" s="1" t="str">
        <f t="shared" si="9743"/>
        <v>0</v>
      </c>
      <c r="O5093" s="1" t="str">
        <f t="shared" si="9743"/>
        <v>0</v>
      </c>
      <c r="P5093" s="1" t="str">
        <f t="shared" si="9743"/>
        <v>0</v>
      </c>
      <c r="Q5093" s="1" t="str">
        <f t="shared" si="9667"/>
        <v>0.0070</v>
      </c>
      <c r="R5093" s="1" t="s">
        <v>25</v>
      </c>
      <c r="T5093" s="1" t="str">
        <f t="shared" si="9668"/>
        <v>0</v>
      </c>
      <c r="U5093" s="1" t="str">
        <f t="shared" si="9736"/>
        <v>0.0070</v>
      </c>
    </row>
    <row r="5094" s="1" customFormat="1" spans="1:21">
      <c r="A5094" s="1" t="str">
        <f>"4601992160595"</f>
        <v>4601992160595</v>
      </c>
      <c r="B5094" s="1" t="s">
        <v>5117</v>
      </c>
      <c r="C5094" s="1" t="s">
        <v>24</v>
      </c>
      <c r="D5094" s="1" t="str">
        <f t="shared" si="9664"/>
        <v>2021</v>
      </c>
      <c r="E5094" s="1" t="str">
        <f t="shared" ref="E5094:I5094" si="9744">"0"</f>
        <v>0</v>
      </c>
      <c r="F5094" s="1" t="str">
        <f t="shared" si="9744"/>
        <v>0</v>
      </c>
      <c r="G5094" s="1" t="str">
        <f t="shared" si="9744"/>
        <v>0</v>
      </c>
      <c r="H5094" s="1" t="str">
        <f t="shared" si="9744"/>
        <v>0</v>
      </c>
      <c r="I5094" s="1" t="str">
        <f t="shared" si="9744"/>
        <v>0</v>
      </c>
      <c r="J5094" s="1" t="str">
        <f t="shared" si="9732"/>
        <v>4</v>
      </c>
      <c r="K5094" s="1" t="str">
        <f t="shared" ref="K5094:P5094" si="9745">"0"</f>
        <v>0</v>
      </c>
      <c r="L5094" s="1" t="str">
        <f t="shared" si="9745"/>
        <v>0</v>
      </c>
      <c r="M5094" s="1" t="str">
        <f t="shared" si="9745"/>
        <v>0</v>
      </c>
      <c r="N5094" s="1" t="str">
        <f t="shared" si="9745"/>
        <v>0</v>
      </c>
      <c r="O5094" s="1" t="str">
        <f t="shared" si="9745"/>
        <v>0</v>
      </c>
      <c r="P5094" s="1" t="str">
        <f t="shared" si="9745"/>
        <v>0</v>
      </c>
      <c r="Q5094" s="1" t="str">
        <f t="shared" si="9667"/>
        <v>0.0070</v>
      </c>
      <c r="R5094" s="1" t="s">
        <v>25</v>
      </c>
      <c r="T5094" s="1" t="str">
        <f t="shared" si="9668"/>
        <v>0</v>
      </c>
      <c r="U5094" s="1" t="str">
        <f t="shared" si="9736"/>
        <v>0.0070</v>
      </c>
    </row>
    <row r="5095" s="1" customFormat="1" spans="1:21">
      <c r="A5095" s="1" t="str">
        <f>"4601992160597"</f>
        <v>4601992160597</v>
      </c>
      <c r="B5095" s="1" t="s">
        <v>5118</v>
      </c>
      <c r="C5095" s="1" t="s">
        <v>24</v>
      </c>
      <c r="D5095" s="1" t="str">
        <f t="shared" si="9664"/>
        <v>2021</v>
      </c>
      <c r="E5095" s="1" t="str">
        <f t="shared" ref="E5095:I5095" si="9746">"0"</f>
        <v>0</v>
      </c>
      <c r="F5095" s="1" t="str">
        <f t="shared" si="9746"/>
        <v>0</v>
      </c>
      <c r="G5095" s="1" t="str">
        <f t="shared" si="9746"/>
        <v>0</v>
      </c>
      <c r="H5095" s="1" t="str">
        <f t="shared" si="9746"/>
        <v>0</v>
      </c>
      <c r="I5095" s="1" t="str">
        <f t="shared" si="9746"/>
        <v>0</v>
      </c>
      <c r="J5095" s="1" t="str">
        <f>"5"</f>
        <v>5</v>
      </c>
      <c r="K5095" s="1" t="str">
        <f t="shared" ref="K5095:P5095" si="9747">"0"</f>
        <v>0</v>
      </c>
      <c r="L5095" s="1" t="str">
        <f t="shared" si="9747"/>
        <v>0</v>
      </c>
      <c r="M5095" s="1" t="str">
        <f t="shared" si="9747"/>
        <v>0</v>
      </c>
      <c r="N5095" s="1" t="str">
        <f t="shared" si="9747"/>
        <v>0</v>
      </c>
      <c r="O5095" s="1" t="str">
        <f t="shared" si="9747"/>
        <v>0</v>
      </c>
      <c r="P5095" s="1" t="str">
        <f t="shared" si="9747"/>
        <v>0</v>
      </c>
      <c r="Q5095" s="1" t="str">
        <f t="shared" si="9667"/>
        <v>0.0070</v>
      </c>
      <c r="R5095" s="1" t="s">
        <v>25</v>
      </c>
      <c r="T5095" s="1" t="str">
        <f t="shared" si="9668"/>
        <v>0</v>
      </c>
      <c r="U5095" s="1" t="str">
        <f t="shared" si="9736"/>
        <v>0.0070</v>
      </c>
    </row>
    <row r="5096" s="1" customFormat="1" spans="1:21">
      <c r="A5096" s="1" t="str">
        <f>"4601992160602"</f>
        <v>4601992160602</v>
      </c>
      <c r="B5096" s="1" t="s">
        <v>5119</v>
      </c>
      <c r="C5096" s="1" t="s">
        <v>24</v>
      </c>
      <c r="D5096" s="1" t="str">
        <f t="shared" si="9664"/>
        <v>2021</v>
      </c>
      <c r="E5096" s="1" t="str">
        <f t="shared" ref="E5096:I5096" si="9748">"0"</f>
        <v>0</v>
      </c>
      <c r="F5096" s="1" t="str">
        <f t="shared" si="9748"/>
        <v>0</v>
      </c>
      <c r="G5096" s="1" t="str">
        <f t="shared" si="9748"/>
        <v>0</v>
      </c>
      <c r="H5096" s="1" t="str">
        <f t="shared" si="9748"/>
        <v>0</v>
      </c>
      <c r="I5096" s="1" t="str">
        <f t="shared" si="9748"/>
        <v>0</v>
      </c>
      <c r="J5096" s="1" t="str">
        <f t="shared" si="9742"/>
        <v>1</v>
      </c>
      <c r="K5096" s="1" t="str">
        <f t="shared" ref="K5096:P5096" si="9749">"0"</f>
        <v>0</v>
      </c>
      <c r="L5096" s="1" t="str">
        <f t="shared" si="9749"/>
        <v>0</v>
      </c>
      <c r="M5096" s="1" t="str">
        <f t="shared" si="9749"/>
        <v>0</v>
      </c>
      <c r="N5096" s="1" t="str">
        <f t="shared" si="9749"/>
        <v>0</v>
      </c>
      <c r="O5096" s="1" t="str">
        <f t="shared" si="9749"/>
        <v>0</v>
      </c>
      <c r="P5096" s="1" t="str">
        <f t="shared" si="9749"/>
        <v>0</v>
      </c>
      <c r="Q5096" s="1" t="str">
        <f t="shared" si="9667"/>
        <v>0.0070</v>
      </c>
      <c r="R5096" s="1" t="s">
        <v>25</v>
      </c>
      <c r="T5096" s="1" t="str">
        <f t="shared" si="9668"/>
        <v>0</v>
      </c>
      <c r="U5096" s="1" t="str">
        <f t="shared" si="9736"/>
        <v>0.0070</v>
      </c>
    </row>
    <row r="5097" s="1" customFormat="1" spans="1:21">
      <c r="A5097" s="1" t="str">
        <f>"4601992160609"</f>
        <v>4601992160609</v>
      </c>
      <c r="B5097" s="1" t="s">
        <v>5120</v>
      </c>
      <c r="C5097" s="1" t="s">
        <v>24</v>
      </c>
      <c r="D5097" s="1" t="str">
        <f t="shared" si="9664"/>
        <v>2021</v>
      </c>
      <c r="E5097" s="1" t="str">
        <f t="shared" ref="E5097:I5097" si="9750">"0"</f>
        <v>0</v>
      </c>
      <c r="F5097" s="1" t="str">
        <f t="shared" si="9750"/>
        <v>0</v>
      </c>
      <c r="G5097" s="1" t="str">
        <f t="shared" si="9750"/>
        <v>0</v>
      </c>
      <c r="H5097" s="1" t="str">
        <f t="shared" si="9750"/>
        <v>0</v>
      </c>
      <c r="I5097" s="1" t="str">
        <f t="shared" si="9750"/>
        <v>0</v>
      </c>
      <c r="J5097" s="1" t="str">
        <f t="shared" si="9742"/>
        <v>1</v>
      </c>
      <c r="K5097" s="1" t="str">
        <f t="shared" ref="K5097:P5097" si="9751">"0"</f>
        <v>0</v>
      </c>
      <c r="L5097" s="1" t="str">
        <f t="shared" si="9751"/>
        <v>0</v>
      </c>
      <c r="M5097" s="1" t="str">
        <f t="shared" si="9751"/>
        <v>0</v>
      </c>
      <c r="N5097" s="1" t="str">
        <f t="shared" si="9751"/>
        <v>0</v>
      </c>
      <c r="O5097" s="1" t="str">
        <f t="shared" si="9751"/>
        <v>0</v>
      </c>
      <c r="P5097" s="1" t="str">
        <f t="shared" si="9751"/>
        <v>0</v>
      </c>
      <c r="Q5097" s="1" t="str">
        <f t="shared" si="9667"/>
        <v>0.0070</v>
      </c>
      <c r="R5097" s="1" t="s">
        <v>25</v>
      </c>
      <c r="T5097" s="1" t="str">
        <f t="shared" si="9668"/>
        <v>0</v>
      </c>
      <c r="U5097" s="1" t="str">
        <f t="shared" si="9736"/>
        <v>0.0070</v>
      </c>
    </row>
    <row r="5098" s="1" customFormat="1" spans="1:21">
      <c r="A5098" s="1" t="str">
        <f>"4601992160612"</f>
        <v>4601992160612</v>
      </c>
      <c r="B5098" s="1" t="s">
        <v>5121</v>
      </c>
      <c r="C5098" s="1" t="s">
        <v>24</v>
      </c>
      <c r="D5098" s="1" t="str">
        <f t="shared" si="9664"/>
        <v>2021</v>
      </c>
      <c r="E5098" s="1" t="str">
        <f t="shared" ref="E5098:I5098" si="9752">"0"</f>
        <v>0</v>
      </c>
      <c r="F5098" s="1" t="str">
        <f t="shared" si="9752"/>
        <v>0</v>
      </c>
      <c r="G5098" s="1" t="str">
        <f t="shared" si="9752"/>
        <v>0</v>
      </c>
      <c r="H5098" s="1" t="str">
        <f t="shared" si="9752"/>
        <v>0</v>
      </c>
      <c r="I5098" s="1" t="str">
        <f t="shared" si="9752"/>
        <v>0</v>
      </c>
      <c r="J5098" s="1" t="str">
        <f t="shared" si="9742"/>
        <v>1</v>
      </c>
      <c r="K5098" s="1" t="str">
        <f t="shared" ref="K5098:P5098" si="9753">"0"</f>
        <v>0</v>
      </c>
      <c r="L5098" s="1" t="str">
        <f t="shared" si="9753"/>
        <v>0</v>
      </c>
      <c r="M5098" s="1" t="str">
        <f t="shared" si="9753"/>
        <v>0</v>
      </c>
      <c r="N5098" s="1" t="str">
        <f t="shared" si="9753"/>
        <v>0</v>
      </c>
      <c r="O5098" s="1" t="str">
        <f t="shared" si="9753"/>
        <v>0</v>
      </c>
      <c r="P5098" s="1" t="str">
        <f t="shared" si="9753"/>
        <v>0</v>
      </c>
      <c r="Q5098" s="1" t="str">
        <f t="shared" si="9667"/>
        <v>0.0070</v>
      </c>
      <c r="R5098" s="1" t="s">
        <v>25</v>
      </c>
      <c r="T5098" s="1" t="str">
        <f t="shared" si="9668"/>
        <v>0</v>
      </c>
      <c r="U5098" s="1" t="str">
        <f t="shared" si="9736"/>
        <v>0.0070</v>
      </c>
    </row>
    <row r="5099" s="1" customFormat="1" spans="1:21">
      <c r="A5099" s="1" t="str">
        <f>"4601992160624"</f>
        <v>4601992160624</v>
      </c>
      <c r="B5099" s="1" t="s">
        <v>5122</v>
      </c>
      <c r="C5099" s="1" t="s">
        <v>24</v>
      </c>
      <c r="D5099" s="1" t="str">
        <f t="shared" si="9664"/>
        <v>2021</v>
      </c>
      <c r="E5099" s="1" t="str">
        <f t="shared" ref="E5099:I5099" si="9754">"0"</f>
        <v>0</v>
      </c>
      <c r="F5099" s="1" t="str">
        <f t="shared" si="9754"/>
        <v>0</v>
      </c>
      <c r="G5099" s="1" t="str">
        <f t="shared" si="9754"/>
        <v>0</v>
      </c>
      <c r="H5099" s="1" t="str">
        <f t="shared" si="9754"/>
        <v>0</v>
      </c>
      <c r="I5099" s="1" t="str">
        <f t="shared" si="9754"/>
        <v>0</v>
      </c>
      <c r="J5099" s="1" t="str">
        <f>"2"</f>
        <v>2</v>
      </c>
      <c r="K5099" s="1" t="str">
        <f t="shared" ref="K5099:P5099" si="9755">"0"</f>
        <v>0</v>
      </c>
      <c r="L5099" s="1" t="str">
        <f t="shared" si="9755"/>
        <v>0</v>
      </c>
      <c r="M5099" s="1" t="str">
        <f t="shared" si="9755"/>
        <v>0</v>
      </c>
      <c r="N5099" s="1" t="str">
        <f t="shared" si="9755"/>
        <v>0</v>
      </c>
      <c r="O5099" s="1" t="str">
        <f t="shared" si="9755"/>
        <v>0</v>
      </c>
      <c r="P5099" s="1" t="str">
        <f t="shared" si="9755"/>
        <v>0</v>
      </c>
      <c r="Q5099" s="1" t="str">
        <f t="shared" si="9667"/>
        <v>0.0070</v>
      </c>
      <c r="R5099" s="1" t="s">
        <v>25</v>
      </c>
      <c r="T5099" s="1" t="str">
        <f t="shared" si="9668"/>
        <v>0</v>
      </c>
      <c r="U5099" s="1" t="str">
        <f t="shared" si="9736"/>
        <v>0.0070</v>
      </c>
    </row>
    <row r="5100" s="1" customFormat="1" spans="1:21">
      <c r="A5100" s="1" t="str">
        <f>"4601992160627"</f>
        <v>4601992160627</v>
      </c>
      <c r="B5100" s="1" t="s">
        <v>5123</v>
      </c>
      <c r="C5100" s="1" t="s">
        <v>24</v>
      </c>
      <c r="D5100" s="1" t="str">
        <f t="shared" si="9664"/>
        <v>2021</v>
      </c>
      <c r="E5100" s="1" t="str">
        <f t="shared" ref="E5100:I5100" si="9756">"0"</f>
        <v>0</v>
      </c>
      <c r="F5100" s="1" t="str">
        <f t="shared" si="9756"/>
        <v>0</v>
      </c>
      <c r="G5100" s="1" t="str">
        <f t="shared" si="9756"/>
        <v>0</v>
      </c>
      <c r="H5100" s="1" t="str">
        <f t="shared" si="9756"/>
        <v>0</v>
      </c>
      <c r="I5100" s="1" t="str">
        <f t="shared" si="9756"/>
        <v>0</v>
      </c>
      <c r="J5100" s="1" t="str">
        <f>"2"</f>
        <v>2</v>
      </c>
      <c r="K5100" s="1" t="str">
        <f t="shared" ref="K5100:P5100" si="9757">"0"</f>
        <v>0</v>
      </c>
      <c r="L5100" s="1" t="str">
        <f t="shared" si="9757"/>
        <v>0</v>
      </c>
      <c r="M5100" s="1" t="str">
        <f t="shared" si="9757"/>
        <v>0</v>
      </c>
      <c r="N5100" s="1" t="str">
        <f t="shared" si="9757"/>
        <v>0</v>
      </c>
      <c r="O5100" s="1" t="str">
        <f t="shared" si="9757"/>
        <v>0</v>
      </c>
      <c r="P5100" s="1" t="str">
        <f t="shared" si="9757"/>
        <v>0</v>
      </c>
      <c r="Q5100" s="1" t="str">
        <f t="shared" si="9667"/>
        <v>0.0070</v>
      </c>
      <c r="R5100" s="1" t="s">
        <v>25</v>
      </c>
      <c r="T5100" s="1" t="str">
        <f t="shared" si="9668"/>
        <v>0</v>
      </c>
      <c r="U5100" s="1" t="str">
        <f t="shared" si="9736"/>
        <v>0.0070</v>
      </c>
    </row>
    <row r="5101" s="1" customFormat="1" spans="1:21">
      <c r="A5101" s="1" t="str">
        <f>"4601992160668"</f>
        <v>4601992160668</v>
      </c>
      <c r="B5101" s="1" t="s">
        <v>5124</v>
      </c>
      <c r="C5101" s="1" t="s">
        <v>24</v>
      </c>
      <c r="D5101" s="1" t="str">
        <f t="shared" si="9664"/>
        <v>2021</v>
      </c>
      <c r="E5101" s="1" t="str">
        <f t="shared" ref="E5101:I5101" si="9758">"0"</f>
        <v>0</v>
      </c>
      <c r="F5101" s="1" t="str">
        <f t="shared" si="9758"/>
        <v>0</v>
      </c>
      <c r="G5101" s="1" t="str">
        <f t="shared" si="9758"/>
        <v>0</v>
      </c>
      <c r="H5101" s="1" t="str">
        <f t="shared" si="9758"/>
        <v>0</v>
      </c>
      <c r="I5101" s="1" t="str">
        <f t="shared" si="9758"/>
        <v>0</v>
      </c>
      <c r="J5101" s="1" t="str">
        <f t="shared" ref="J5101:J5107" si="9759">"3"</f>
        <v>3</v>
      </c>
      <c r="K5101" s="1" t="str">
        <f t="shared" ref="K5101:P5101" si="9760">"0"</f>
        <v>0</v>
      </c>
      <c r="L5101" s="1" t="str">
        <f t="shared" si="9760"/>
        <v>0</v>
      </c>
      <c r="M5101" s="1" t="str">
        <f t="shared" si="9760"/>
        <v>0</v>
      </c>
      <c r="N5101" s="1" t="str">
        <f t="shared" si="9760"/>
        <v>0</v>
      </c>
      <c r="O5101" s="1" t="str">
        <f t="shared" si="9760"/>
        <v>0</v>
      </c>
      <c r="P5101" s="1" t="str">
        <f t="shared" si="9760"/>
        <v>0</v>
      </c>
      <c r="Q5101" s="1" t="str">
        <f t="shared" si="9667"/>
        <v>0.0070</v>
      </c>
      <c r="R5101" s="1" t="s">
        <v>25</v>
      </c>
      <c r="T5101" s="1" t="str">
        <f t="shared" si="9668"/>
        <v>0</v>
      </c>
      <c r="U5101" s="1" t="str">
        <f t="shared" si="9736"/>
        <v>0.0070</v>
      </c>
    </row>
    <row r="5102" s="1" customFormat="1" spans="1:21">
      <c r="A5102" s="1" t="str">
        <f>"4601992160680"</f>
        <v>4601992160680</v>
      </c>
      <c r="B5102" s="1" t="s">
        <v>5125</v>
      </c>
      <c r="C5102" s="1" t="s">
        <v>24</v>
      </c>
      <c r="D5102" s="1" t="str">
        <f t="shared" si="9664"/>
        <v>2021</v>
      </c>
      <c r="E5102" s="1" t="str">
        <f t="shared" ref="E5102:I5102" si="9761">"0"</f>
        <v>0</v>
      </c>
      <c r="F5102" s="1" t="str">
        <f t="shared" si="9761"/>
        <v>0</v>
      </c>
      <c r="G5102" s="1" t="str">
        <f t="shared" si="9761"/>
        <v>0</v>
      </c>
      <c r="H5102" s="1" t="str">
        <f t="shared" si="9761"/>
        <v>0</v>
      </c>
      <c r="I5102" s="1" t="str">
        <f t="shared" si="9761"/>
        <v>0</v>
      </c>
      <c r="J5102" s="1" t="str">
        <f>"1"</f>
        <v>1</v>
      </c>
      <c r="K5102" s="1" t="str">
        <f t="shared" ref="K5102:P5102" si="9762">"0"</f>
        <v>0</v>
      </c>
      <c r="L5102" s="1" t="str">
        <f t="shared" si="9762"/>
        <v>0</v>
      </c>
      <c r="M5102" s="1" t="str">
        <f t="shared" si="9762"/>
        <v>0</v>
      </c>
      <c r="N5102" s="1" t="str">
        <f t="shared" si="9762"/>
        <v>0</v>
      </c>
      <c r="O5102" s="1" t="str">
        <f t="shared" si="9762"/>
        <v>0</v>
      </c>
      <c r="P5102" s="1" t="str">
        <f t="shared" si="9762"/>
        <v>0</v>
      </c>
      <c r="Q5102" s="1" t="str">
        <f t="shared" si="9667"/>
        <v>0.0070</v>
      </c>
      <c r="R5102" s="1" t="s">
        <v>25</v>
      </c>
      <c r="T5102" s="1" t="str">
        <f t="shared" si="9668"/>
        <v>0</v>
      </c>
      <c r="U5102" s="1" t="str">
        <f t="shared" si="9736"/>
        <v>0.0070</v>
      </c>
    </row>
    <row r="5103" s="1" customFormat="1" spans="1:21">
      <c r="A5103" s="1" t="str">
        <f>"4601992160713"</f>
        <v>4601992160713</v>
      </c>
      <c r="B5103" s="1" t="s">
        <v>5126</v>
      </c>
      <c r="C5103" s="1" t="s">
        <v>24</v>
      </c>
      <c r="D5103" s="1" t="str">
        <f t="shared" si="9664"/>
        <v>2021</v>
      </c>
      <c r="E5103" s="1" t="str">
        <f t="shared" ref="E5103:I5103" si="9763">"0"</f>
        <v>0</v>
      </c>
      <c r="F5103" s="1" t="str">
        <f t="shared" si="9763"/>
        <v>0</v>
      </c>
      <c r="G5103" s="1" t="str">
        <f t="shared" si="9763"/>
        <v>0</v>
      </c>
      <c r="H5103" s="1" t="str">
        <f t="shared" si="9763"/>
        <v>0</v>
      </c>
      <c r="I5103" s="1" t="str">
        <f t="shared" si="9763"/>
        <v>0</v>
      </c>
      <c r="J5103" s="1" t="str">
        <f>"1"</f>
        <v>1</v>
      </c>
      <c r="K5103" s="1" t="str">
        <f t="shared" ref="K5103:P5103" si="9764">"0"</f>
        <v>0</v>
      </c>
      <c r="L5103" s="1" t="str">
        <f t="shared" si="9764"/>
        <v>0</v>
      </c>
      <c r="M5103" s="1" t="str">
        <f t="shared" si="9764"/>
        <v>0</v>
      </c>
      <c r="N5103" s="1" t="str">
        <f t="shared" si="9764"/>
        <v>0</v>
      </c>
      <c r="O5103" s="1" t="str">
        <f t="shared" si="9764"/>
        <v>0</v>
      </c>
      <c r="P5103" s="1" t="str">
        <f t="shared" si="9764"/>
        <v>0</v>
      </c>
      <c r="Q5103" s="1" t="str">
        <f t="shared" si="9667"/>
        <v>0.0070</v>
      </c>
      <c r="R5103" s="1" t="s">
        <v>25</v>
      </c>
      <c r="T5103" s="1" t="str">
        <f t="shared" si="9668"/>
        <v>0</v>
      </c>
      <c r="U5103" s="1" t="str">
        <f t="shared" si="9736"/>
        <v>0.0070</v>
      </c>
    </row>
    <row r="5104" s="1" customFormat="1" spans="1:21">
      <c r="A5104" s="1" t="str">
        <f>"4601992160670"</f>
        <v>4601992160670</v>
      </c>
      <c r="B5104" s="1" t="s">
        <v>5127</v>
      </c>
      <c r="C5104" s="1" t="s">
        <v>24</v>
      </c>
      <c r="D5104" s="1" t="str">
        <f t="shared" si="9664"/>
        <v>2021</v>
      </c>
      <c r="E5104" s="1" t="str">
        <f t="shared" ref="E5104:I5104" si="9765">"0"</f>
        <v>0</v>
      </c>
      <c r="F5104" s="1" t="str">
        <f t="shared" si="9765"/>
        <v>0</v>
      </c>
      <c r="G5104" s="1" t="str">
        <f t="shared" si="9765"/>
        <v>0</v>
      </c>
      <c r="H5104" s="1" t="str">
        <f t="shared" si="9765"/>
        <v>0</v>
      </c>
      <c r="I5104" s="1" t="str">
        <f t="shared" si="9765"/>
        <v>0</v>
      </c>
      <c r="J5104" s="1" t="str">
        <f>"4"</f>
        <v>4</v>
      </c>
      <c r="K5104" s="1" t="str">
        <f t="shared" ref="K5104:P5104" si="9766">"0"</f>
        <v>0</v>
      </c>
      <c r="L5104" s="1" t="str">
        <f t="shared" si="9766"/>
        <v>0</v>
      </c>
      <c r="M5104" s="1" t="str">
        <f t="shared" si="9766"/>
        <v>0</v>
      </c>
      <c r="N5104" s="1" t="str">
        <f t="shared" si="9766"/>
        <v>0</v>
      </c>
      <c r="O5104" s="1" t="str">
        <f t="shared" si="9766"/>
        <v>0</v>
      </c>
      <c r="P5104" s="1" t="str">
        <f t="shared" si="9766"/>
        <v>0</v>
      </c>
      <c r="Q5104" s="1" t="str">
        <f t="shared" si="9667"/>
        <v>0.0070</v>
      </c>
      <c r="R5104" s="1" t="s">
        <v>25</v>
      </c>
      <c r="T5104" s="1" t="str">
        <f t="shared" si="9668"/>
        <v>0</v>
      </c>
      <c r="U5104" s="1" t="str">
        <f t="shared" si="9736"/>
        <v>0.0070</v>
      </c>
    </row>
    <row r="5105" s="1" customFormat="1" spans="1:21">
      <c r="A5105" s="1" t="str">
        <f>"4601992160679"</f>
        <v>4601992160679</v>
      </c>
      <c r="B5105" s="1" t="s">
        <v>5128</v>
      </c>
      <c r="C5105" s="1" t="s">
        <v>24</v>
      </c>
      <c r="D5105" s="1" t="str">
        <f t="shared" si="9664"/>
        <v>2021</v>
      </c>
      <c r="E5105" s="1" t="str">
        <f t="shared" ref="E5105:I5105" si="9767">"0"</f>
        <v>0</v>
      </c>
      <c r="F5105" s="1" t="str">
        <f t="shared" si="9767"/>
        <v>0</v>
      </c>
      <c r="G5105" s="1" t="str">
        <f t="shared" si="9767"/>
        <v>0</v>
      </c>
      <c r="H5105" s="1" t="str">
        <f t="shared" si="9767"/>
        <v>0</v>
      </c>
      <c r="I5105" s="1" t="str">
        <f t="shared" si="9767"/>
        <v>0</v>
      </c>
      <c r="J5105" s="1" t="str">
        <f t="shared" si="9759"/>
        <v>3</v>
      </c>
      <c r="K5105" s="1" t="str">
        <f t="shared" ref="K5105:P5105" si="9768">"0"</f>
        <v>0</v>
      </c>
      <c r="L5105" s="1" t="str">
        <f t="shared" si="9768"/>
        <v>0</v>
      </c>
      <c r="M5105" s="1" t="str">
        <f t="shared" si="9768"/>
        <v>0</v>
      </c>
      <c r="N5105" s="1" t="str">
        <f t="shared" si="9768"/>
        <v>0</v>
      </c>
      <c r="O5105" s="1" t="str">
        <f t="shared" si="9768"/>
        <v>0</v>
      </c>
      <c r="P5105" s="1" t="str">
        <f t="shared" si="9768"/>
        <v>0</v>
      </c>
      <c r="Q5105" s="1" t="str">
        <f t="shared" si="9667"/>
        <v>0.0070</v>
      </c>
      <c r="R5105" s="1" t="s">
        <v>25</v>
      </c>
      <c r="T5105" s="1" t="str">
        <f t="shared" si="9668"/>
        <v>0</v>
      </c>
      <c r="U5105" s="1" t="str">
        <f t="shared" si="9736"/>
        <v>0.0070</v>
      </c>
    </row>
    <row r="5106" s="1" customFormat="1" spans="1:21">
      <c r="A5106" s="1" t="str">
        <f>"4601992160749"</f>
        <v>4601992160749</v>
      </c>
      <c r="B5106" s="1" t="s">
        <v>5129</v>
      </c>
      <c r="C5106" s="1" t="s">
        <v>24</v>
      </c>
      <c r="D5106" s="1" t="str">
        <f t="shared" si="9664"/>
        <v>2021</v>
      </c>
      <c r="E5106" s="1" t="str">
        <f t="shared" ref="E5106:I5106" si="9769">"0"</f>
        <v>0</v>
      </c>
      <c r="F5106" s="1" t="str">
        <f t="shared" si="9769"/>
        <v>0</v>
      </c>
      <c r="G5106" s="1" t="str">
        <f t="shared" si="9769"/>
        <v>0</v>
      </c>
      <c r="H5106" s="1" t="str">
        <f t="shared" si="9769"/>
        <v>0</v>
      </c>
      <c r="I5106" s="1" t="str">
        <f t="shared" si="9769"/>
        <v>0</v>
      </c>
      <c r="J5106" s="1" t="str">
        <f t="shared" si="9759"/>
        <v>3</v>
      </c>
      <c r="K5106" s="1" t="str">
        <f t="shared" ref="K5106:P5106" si="9770">"0"</f>
        <v>0</v>
      </c>
      <c r="L5106" s="1" t="str">
        <f t="shared" si="9770"/>
        <v>0</v>
      </c>
      <c r="M5106" s="1" t="str">
        <f t="shared" si="9770"/>
        <v>0</v>
      </c>
      <c r="N5106" s="1" t="str">
        <f t="shared" si="9770"/>
        <v>0</v>
      </c>
      <c r="O5106" s="1" t="str">
        <f t="shared" si="9770"/>
        <v>0</v>
      </c>
      <c r="P5106" s="1" t="str">
        <f t="shared" si="9770"/>
        <v>0</v>
      </c>
      <c r="Q5106" s="1" t="str">
        <f t="shared" si="9667"/>
        <v>0.0070</v>
      </c>
      <c r="R5106" s="1" t="s">
        <v>25</v>
      </c>
      <c r="T5106" s="1" t="str">
        <f t="shared" si="9668"/>
        <v>0</v>
      </c>
      <c r="U5106" s="1" t="str">
        <f t="shared" si="9736"/>
        <v>0.0070</v>
      </c>
    </row>
    <row r="5107" s="1" customFormat="1" spans="1:21">
      <c r="A5107" s="1" t="str">
        <f>"4601992160760"</f>
        <v>4601992160760</v>
      </c>
      <c r="B5107" s="1" t="s">
        <v>5130</v>
      </c>
      <c r="C5107" s="1" t="s">
        <v>24</v>
      </c>
      <c r="D5107" s="1" t="str">
        <f t="shared" si="9664"/>
        <v>2021</v>
      </c>
      <c r="E5107" s="1" t="str">
        <f>"11.98"</f>
        <v>11.98</v>
      </c>
      <c r="F5107" s="1" t="str">
        <f t="shared" ref="F5107:I5107" si="9771">"0"</f>
        <v>0</v>
      </c>
      <c r="G5107" s="1" t="str">
        <f t="shared" si="9771"/>
        <v>0</v>
      </c>
      <c r="H5107" s="1" t="str">
        <f t="shared" si="9771"/>
        <v>0</v>
      </c>
      <c r="I5107" s="1" t="str">
        <f t="shared" si="9771"/>
        <v>0</v>
      </c>
      <c r="J5107" s="1" t="str">
        <f t="shared" si="9759"/>
        <v>3</v>
      </c>
      <c r="K5107" s="1" t="str">
        <f t="shared" ref="K5107:P5107" si="9772">"0"</f>
        <v>0</v>
      </c>
      <c r="L5107" s="1" t="str">
        <f t="shared" si="9772"/>
        <v>0</v>
      </c>
      <c r="M5107" s="1" t="str">
        <f t="shared" si="9772"/>
        <v>0</v>
      </c>
      <c r="N5107" s="1" t="str">
        <f t="shared" si="9772"/>
        <v>0</v>
      </c>
      <c r="O5107" s="1" t="str">
        <f t="shared" si="9772"/>
        <v>0</v>
      </c>
      <c r="P5107" s="1" t="str">
        <f t="shared" si="9772"/>
        <v>0</v>
      </c>
      <c r="Q5107" s="1" t="str">
        <f t="shared" si="9667"/>
        <v>0.0070</v>
      </c>
      <c r="R5107" s="1" t="s">
        <v>29</v>
      </c>
      <c r="S5107" s="1">
        <v>-0.0014</v>
      </c>
      <c r="T5107" s="1" t="str">
        <f t="shared" si="9668"/>
        <v>0</v>
      </c>
      <c r="U5107" s="1" t="str">
        <f>"0.0056"</f>
        <v>0.0056</v>
      </c>
    </row>
    <row r="5108" s="1" customFormat="1" spans="1:21">
      <c r="A5108" s="1" t="str">
        <f>"4601992160752"</f>
        <v>4601992160752</v>
      </c>
      <c r="B5108" s="1" t="s">
        <v>5131</v>
      </c>
      <c r="C5108" s="1" t="s">
        <v>24</v>
      </c>
      <c r="D5108" s="1" t="str">
        <f t="shared" si="9664"/>
        <v>2021</v>
      </c>
      <c r="E5108" s="1" t="str">
        <f t="shared" ref="E5108:I5108" si="9773">"0"</f>
        <v>0</v>
      </c>
      <c r="F5108" s="1" t="str">
        <f t="shared" si="9773"/>
        <v>0</v>
      </c>
      <c r="G5108" s="1" t="str">
        <f t="shared" si="9773"/>
        <v>0</v>
      </c>
      <c r="H5108" s="1" t="str">
        <f t="shared" si="9773"/>
        <v>0</v>
      </c>
      <c r="I5108" s="1" t="str">
        <f t="shared" si="9773"/>
        <v>0</v>
      </c>
      <c r="J5108" s="1" t="str">
        <f t="shared" ref="J5108:J5113" si="9774">"2"</f>
        <v>2</v>
      </c>
      <c r="K5108" s="1" t="str">
        <f t="shared" ref="K5108:P5108" si="9775">"0"</f>
        <v>0</v>
      </c>
      <c r="L5108" s="1" t="str">
        <f t="shared" si="9775"/>
        <v>0</v>
      </c>
      <c r="M5108" s="1" t="str">
        <f t="shared" si="9775"/>
        <v>0</v>
      </c>
      <c r="N5108" s="1" t="str">
        <f t="shared" si="9775"/>
        <v>0</v>
      </c>
      <c r="O5108" s="1" t="str">
        <f t="shared" si="9775"/>
        <v>0</v>
      </c>
      <c r="P5108" s="1" t="str">
        <f t="shared" si="9775"/>
        <v>0</v>
      </c>
      <c r="Q5108" s="1" t="str">
        <f t="shared" si="9667"/>
        <v>0.0070</v>
      </c>
      <c r="R5108" s="1" t="s">
        <v>25</v>
      </c>
      <c r="T5108" s="1" t="str">
        <f t="shared" si="9668"/>
        <v>0</v>
      </c>
      <c r="U5108" s="1" t="str">
        <f t="shared" ref="U5108:U5125" si="9776">"0.0070"</f>
        <v>0.0070</v>
      </c>
    </row>
    <row r="5109" s="1" customFormat="1" spans="1:21">
      <c r="A5109" s="1" t="str">
        <f>"4601992160529"</f>
        <v>4601992160529</v>
      </c>
      <c r="B5109" s="1" t="s">
        <v>5132</v>
      </c>
      <c r="C5109" s="1" t="s">
        <v>24</v>
      </c>
      <c r="D5109" s="1" t="str">
        <f t="shared" si="9664"/>
        <v>2021</v>
      </c>
      <c r="E5109" s="1" t="str">
        <f t="shared" ref="E5109:I5109" si="9777">"0"</f>
        <v>0</v>
      </c>
      <c r="F5109" s="1" t="str">
        <f t="shared" si="9777"/>
        <v>0</v>
      </c>
      <c r="G5109" s="1" t="str">
        <f t="shared" si="9777"/>
        <v>0</v>
      </c>
      <c r="H5109" s="1" t="str">
        <f t="shared" si="9777"/>
        <v>0</v>
      </c>
      <c r="I5109" s="1" t="str">
        <f t="shared" si="9777"/>
        <v>0</v>
      </c>
      <c r="J5109" s="1" t="str">
        <f>"3"</f>
        <v>3</v>
      </c>
      <c r="K5109" s="1" t="str">
        <f t="shared" ref="K5109:P5109" si="9778">"0"</f>
        <v>0</v>
      </c>
      <c r="L5109" s="1" t="str">
        <f t="shared" si="9778"/>
        <v>0</v>
      </c>
      <c r="M5109" s="1" t="str">
        <f t="shared" si="9778"/>
        <v>0</v>
      </c>
      <c r="N5109" s="1" t="str">
        <f t="shared" si="9778"/>
        <v>0</v>
      </c>
      <c r="O5109" s="1" t="str">
        <f t="shared" si="9778"/>
        <v>0</v>
      </c>
      <c r="P5109" s="1" t="str">
        <f t="shared" si="9778"/>
        <v>0</v>
      </c>
      <c r="Q5109" s="1" t="str">
        <f t="shared" si="9667"/>
        <v>0.0070</v>
      </c>
      <c r="R5109" s="1" t="s">
        <v>25</v>
      </c>
      <c r="T5109" s="1" t="str">
        <f t="shared" si="9668"/>
        <v>0</v>
      </c>
      <c r="U5109" s="1" t="str">
        <f t="shared" si="9776"/>
        <v>0.0070</v>
      </c>
    </row>
    <row r="5110" s="1" customFormat="1" spans="1:21">
      <c r="A5110" s="1" t="str">
        <f>"4601992160855"</f>
        <v>4601992160855</v>
      </c>
      <c r="B5110" s="1" t="s">
        <v>5133</v>
      </c>
      <c r="C5110" s="1" t="s">
        <v>24</v>
      </c>
      <c r="D5110" s="1" t="str">
        <f t="shared" si="9664"/>
        <v>2021</v>
      </c>
      <c r="E5110" s="1" t="str">
        <f t="shared" ref="E5110:P5110" si="9779">"0"</f>
        <v>0</v>
      </c>
      <c r="F5110" s="1" t="str">
        <f t="shared" si="9779"/>
        <v>0</v>
      </c>
      <c r="G5110" s="1" t="str">
        <f t="shared" si="9779"/>
        <v>0</v>
      </c>
      <c r="H5110" s="1" t="str">
        <f t="shared" si="9779"/>
        <v>0</v>
      </c>
      <c r="I5110" s="1" t="str">
        <f t="shared" si="9779"/>
        <v>0</v>
      </c>
      <c r="J5110" s="1" t="str">
        <f t="shared" si="9779"/>
        <v>0</v>
      </c>
      <c r="K5110" s="1" t="str">
        <f t="shared" si="9779"/>
        <v>0</v>
      </c>
      <c r="L5110" s="1" t="str">
        <f t="shared" si="9779"/>
        <v>0</v>
      </c>
      <c r="M5110" s="1" t="str">
        <f t="shared" si="9779"/>
        <v>0</v>
      </c>
      <c r="N5110" s="1" t="str">
        <f t="shared" si="9779"/>
        <v>0</v>
      </c>
      <c r="O5110" s="1" t="str">
        <f t="shared" si="9779"/>
        <v>0</v>
      </c>
      <c r="P5110" s="1" t="str">
        <f t="shared" si="9779"/>
        <v>0</v>
      </c>
      <c r="Q5110" s="1" t="str">
        <f t="shared" si="9667"/>
        <v>0.0070</v>
      </c>
      <c r="R5110" s="1" t="s">
        <v>25</v>
      </c>
      <c r="T5110" s="1" t="str">
        <f t="shared" si="9668"/>
        <v>0</v>
      </c>
      <c r="U5110" s="1" t="str">
        <f t="shared" si="9776"/>
        <v>0.0070</v>
      </c>
    </row>
    <row r="5111" s="1" customFormat="1" spans="1:21">
      <c r="A5111" s="1" t="str">
        <f>"4601992160852"</f>
        <v>4601992160852</v>
      </c>
      <c r="B5111" s="1" t="s">
        <v>5134</v>
      </c>
      <c r="C5111" s="1" t="s">
        <v>24</v>
      </c>
      <c r="D5111" s="1" t="str">
        <f t="shared" si="9664"/>
        <v>2021</v>
      </c>
      <c r="E5111" s="1" t="str">
        <f t="shared" ref="E5111:I5111" si="9780">"0"</f>
        <v>0</v>
      </c>
      <c r="F5111" s="1" t="str">
        <f t="shared" si="9780"/>
        <v>0</v>
      </c>
      <c r="G5111" s="1" t="str">
        <f t="shared" si="9780"/>
        <v>0</v>
      </c>
      <c r="H5111" s="1" t="str">
        <f t="shared" si="9780"/>
        <v>0</v>
      </c>
      <c r="I5111" s="1" t="str">
        <f t="shared" si="9780"/>
        <v>0</v>
      </c>
      <c r="J5111" s="1" t="str">
        <f t="shared" ref="J5111:J5119" si="9781">"1"</f>
        <v>1</v>
      </c>
      <c r="K5111" s="1" t="str">
        <f t="shared" ref="K5111:P5111" si="9782">"0"</f>
        <v>0</v>
      </c>
      <c r="L5111" s="1" t="str">
        <f t="shared" si="9782"/>
        <v>0</v>
      </c>
      <c r="M5111" s="1" t="str">
        <f t="shared" si="9782"/>
        <v>0</v>
      </c>
      <c r="N5111" s="1" t="str">
        <f t="shared" si="9782"/>
        <v>0</v>
      </c>
      <c r="O5111" s="1" t="str">
        <f t="shared" si="9782"/>
        <v>0</v>
      </c>
      <c r="P5111" s="1" t="str">
        <f t="shared" si="9782"/>
        <v>0</v>
      </c>
      <c r="Q5111" s="1" t="str">
        <f t="shared" si="9667"/>
        <v>0.0070</v>
      </c>
      <c r="R5111" s="1" t="s">
        <v>25</v>
      </c>
      <c r="T5111" s="1" t="str">
        <f t="shared" si="9668"/>
        <v>0</v>
      </c>
      <c r="U5111" s="1" t="str">
        <f t="shared" si="9776"/>
        <v>0.0070</v>
      </c>
    </row>
    <row r="5112" s="1" customFormat="1" spans="1:21">
      <c r="A5112" s="1" t="str">
        <f>"4601992160830"</f>
        <v>4601992160830</v>
      </c>
      <c r="B5112" s="1" t="s">
        <v>5135</v>
      </c>
      <c r="C5112" s="1" t="s">
        <v>24</v>
      </c>
      <c r="D5112" s="1" t="str">
        <f t="shared" si="9664"/>
        <v>2021</v>
      </c>
      <c r="E5112" s="1" t="str">
        <f t="shared" ref="E5112:I5112" si="9783">"0"</f>
        <v>0</v>
      </c>
      <c r="F5112" s="1" t="str">
        <f t="shared" si="9783"/>
        <v>0</v>
      </c>
      <c r="G5112" s="1" t="str">
        <f t="shared" si="9783"/>
        <v>0</v>
      </c>
      <c r="H5112" s="1" t="str">
        <f t="shared" si="9783"/>
        <v>0</v>
      </c>
      <c r="I5112" s="1" t="str">
        <f t="shared" si="9783"/>
        <v>0</v>
      </c>
      <c r="J5112" s="1" t="str">
        <f t="shared" si="9774"/>
        <v>2</v>
      </c>
      <c r="K5112" s="1" t="str">
        <f t="shared" ref="K5112:P5112" si="9784">"0"</f>
        <v>0</v>
      </c>
      <c r="L5112" s="1" t="str">
        <f t="shared" si="9784"/>
        <v>0</v>
      </c>
      <c r="M5112" s="1" t="str">
        <f t="shared" si="9784"/>
        <v>0</v>
      </c>
      <c r="N5112" s="1" t="str">
        <f t="shared" si="9784"/>
        <v>0</v>
      </c>
      <c r="O5112" s="1" t="str">
        <f t="shared" si="9784"/>
        <v>0</v>
      </c>
      <c r="P5112" s="1" t="str">
        <f t="shared" si="9784"/>
        <v>0</v>
      </c>
      <c r="Q5112" s="1" t="str">
        <f t="shared" si="9667"/>
        <v>0.0070</v>
      </c>
      <c r="R5112" s="1" t="s">
        <v>25</v>
      </c>
      <c r="T5112" s="1" t="str">
        <f t="shared" si="9668"/>
        <v>0</v>
      </c>
      <c r="U5112" s="1" t="str">
        <f t="shared" si="9776"/>
        <v>0.0070</v>
      </c>
    </row>
    <row r="5113" s="1" customFormat="1" spans="1:21">
      <c r="A5113" s="1" t="str">
        <f>"4601992160810"</f>
        <v>4601992160810</v>
      </c>
      <c r="B5113" s="1" t="s">
        <v>5136</v>
      </c>
      <c r="C5113" s="1" t="s">
        <v>24</v>
      </c>
      <c r="D5113" s="1" t="str">
        <f t="shared" si="9664"/>
        <v>2021</v>
      </c>
      <c r="E5113" s="1" t="str">
        <f>"0.06"</f>
        <v>0.06</v>
      </c>
      <c r="F5113" s="1" t="str">
        <f t="shared" ref="F5113:I5113" si="9785">"0"</f>
        <v>0</v>
      </c>
      <c r="G5113" s="1" t="str">
        <f t="shared" si="9785"/>
        <v>0</v>
      </c>
      <c r="H5113" s="1" t="str">
        <f t="shared" si="9785"/>
        <v>0</v>
      </c>
      <c r="I5113" s="1" t="str">
        <f t="shared" si="9785"/>
        <v>0</v>
      </c>
      <c r="J5113" s="1" t="str">
        <f t="shared" si="9774"/>
        <v>2</v>
      </c>
      <c r="K5113" s="1" t="str">
        <f t="shared" ref="K5113:P5113" si="9786">"0"</f>
        <v>0</v>
      </c>
      <c r="L5113" s="1" t="str">
        <f t="shared" si="9786"/>
        <v>0</v>
      </c>
      <c r="M5113" s="1" t="str">
        <f t="shared" si="9786"/>
        <v>0</v>
      </c>
      <c r="N5113" s="1" t="str">
        <f t="shared" si="9786"/>
        <v>0</v>
      </c>
      <c r="O5113" s="1" t="str">
        <f t="shared" si="9786"/>
        <v>0</v>
      </c>
      <c r="P5113" s="1" t="str">
        <f t="shared" si="9786"/>
        <v>0</v>
      </c>
      <c r="Q5113" s="1" t="str">
        <f t="shared" si="9667"/>
        <v>0.0070</v>
      </c>
      <c r="R5113" s="1" t="s">
        <v>25</v>
      </c>
      <c r="T5113" s="1" t="str">
        <f t="shared" si="9668"/>
        <v>0</v>
      </c>
      <c r="U5113" s="1" t="str">
        <f t="shared" si="9776"/>
        <v>0.0070</v>
      </c>
    </row>
    <row r="5114" s="1" customFormat="1" spans="1:21">
      <c r="A5114" s="1" t="str">
        <f>"4601992160857"</f>
        <v>4601992160857</v>
      </c>
      <c r="B5114" s="1" t="s">
        <v>5137</v>
      </c>
      <c r="C5114" s="1" t="s">
        <v>24</v>
      </c>
      <c r="D5114" s="1" t="str">
        <f t="shared" si="9664"/>
        <v>2021</v>
      </c>
      <c r="E5114" s="1" t="str">
        <f t="shared" ref="E5114:I5114" si="9787">"0"</f>
        <v>0</v>
      </c>
      <c r="F5114" s="1" t="str">
        <f t="shared" si="9787"/>
        <v>0</v>
      </c>
      <c r="G5114" s="1" t="str">
        <f t="shared" si="9787"/>
        <v>0</v>
      </c>
      <c r="H5114" s="1" t="str">
        <f t="shared" si="9787"/>
        <v>0</v>
      </c>
      <c r="I5114" s="1" t="str">
        <f t="shared" si="9787"/>
        <v>0</v>
      </c>
      <c r="J5114" s="1" t="str">
        <f t="shared" si="9781"/>
        <v>1</v>
      </c>
      <c r="K5114" s="1" t="str">
        <f t="shared" ref="K5114:P5114" si="9788">"0"</f>
        <v>0</v>
      </c>
      <c r="L5114" s="1" t="str">
        <f t="shared" si="9788"/>
        <v>0</v>
      </c>
      <c r="M5114" s="1" t="str">
        <f t="shared" si="9788"/>
        <v>0</v>
      </c>
      <c r="N5114" s="1" t="str">
        <f t="shared" si="9788"/>
        <v>0</v>
      </c>
      <c r="O5114" s="1" t="str">
        <f t="shared" si="9788"/>
        <v>0</v>
      </c>
      <c r="P5114" s="1" t="str">
        <f t="shared" si="9788"/>
        <v>0</v>
      </c>
      <c r="Q5114" s="1" t="str">
        <f t="shared" si="9667"/>
        <v>0.0070</v>
      </c>
      <c r="R5114" s="1" t="s">
        <v>25</v>
      </c>
      <c r="T5114" s="1" t="str">
        <f t="shared" si="9668"/>
        <v>0</v>
      </c>
      <c r="U5114" s="1" t="str">
        <f t="shared" si="9776"/>
        <v>0.0070</v>
      </c>
    </row>
    <row r="5115" s="1" customFormat="1" spans="1:21">
      <c r="A5115" s="1" t="str">
        <f>"4601992046279"</f>
        <v>4601992046279</v>
      </c>
      <c r="B5115" s="1" t="s">
        <v>5138</v>
      </c>
      <c r="C5115" s="1" t="s">
        <v>24</v>
      </c>
      <c r="D5115" s="1" t="str">
        <f t="shared" si="9664"/>
        <v>2021</v>
      </c>
      <c r="E5115" s="1" t="str">
        <f t="shared" ref="E5115:I5115" si="9789">"0"</f>
        <v>0</v>
      </c>
      <c r="F5115" s="1" t="str">
        <f t="shared" si="9789"/>
        <v>0</v>
      </c>
      <c r="G5115" s="1" t="str">
        <f t="shared" si="9789"/>
        <v>0</v>
      </c>
      <c r="H5115" s="1" t="str">
        <f t="shared" si="9789"/>
        <v>0</v>
      </c>
      <c r="I5115" s="1" t="str">
        <f t="shared" si="9789"/>
        <v>0</v>
      </c>
      <c r="J5115" s="1" t="str">
        <f t="shared" si="9781"/>
        <v>1</v>
      </c>
      <c r="K5115" s="1" t="str">
        <f t="shared" ref="K5115:P5115" si="9790">"0"</f>
        <v>0</v>
      </c>
      <c r="L5115" s="1" t="str">
        <f t="shared" si="9790"/>
        <v>0</v>
      </c>
      <c r="M5115" s="1" t="str">
        <f t="shared" si="9790"/>
        <v>0</v>
      </c>
      <c r="N5115" s="1" t="str">
        <f t="shared" si="9790"/>
        <v>0</v>
      </c>
      <c r="O5115" s="1" t="str">
        <f t="shared" si="9790"/>
        <v>0</v>
      </c>
      <c r="P5115" s="1" t="str">
        <f t="shared" si="9790"/>
        <v>0</v>
      </c>
      <c r="Q5115" s="1" t="str">
        <f t="shared" si="9667"/>
        <v>0.0070</v>
      </c>
      <c r="R5115" s="1" t="s">
        <v>25</v>
      </c>
      <c r="T5115" s="1" t="str">
        <f t="shared" si="9668"/>
        <v>0</v>
      </c>
      <c r="U5115" s="1" t="str">
        <f t="shared" si="9776"/>
        <v>0.0070</v>
      </c>
    </row>
    <row r="5116" s="1" customFormat="1" spans="1:21">
      <c r="A5116" s="1" t="str">
        <f>"4601992160898"</f>
        <v>4601992160898</v>
      </c>
      <c r="B5116" s="1" t="s">
        <v>5139</v>
      </c>
      <c r="C5116" s="1" t="s">
        <v>24</v>
      </c>
      <c r="D5116" s="1" t="str">
        <f t="shared" si="9664"/>
        <v>2021</v>
      </c>
      <c r="E5116" s="1" t="str">
        <f t="shared" ref="E5116:I5116" si="9791">"0"</f>
        <v>0</v>
      </c>
      <c r="F5116" s="1" t="str">
        <f t="shared" si="9791"/>
        <v>0</v>
      </c>
      <c r="G5116" s="1" t="str">
        <f t="shared" si="9791"/>
        <v>0</v>
      </c>
      <c r="H5116" s="1" t="str">
        <f t="shared" si="9791"/>
        <v>0</v>
      </c>
      <c r="I5116" s="1" t="str">
        <f t="shared" si="9791"/>
        <v>0</v>
      </c>
      <c r="J5116" s="1" t="str">
        <f t="shared" si="9781"/>
        <v>1</v>
      </c>
      <c r="K5116" s="1" t="str">
        <f t="shared" ref="K5116:P5116" si="9792">"0"</f>
        <v>0</v>
      </c>
      <c r="L5116" s="1" t="str">
        <f t="shared" si="9792"/>
        <v>0</v>
      </c>
      <c r="M5116" s="1" t="str">
        <f t="shared" si="9792"/>
        <v>0</v>
      </c>
      <c r="N5116" s="1" t="str">
        <f t="shared" si="9792"/>
        <v>0</v>
      </c>
      <c r="O5116" s="1" t="str">
        <f t="shared" si="9792"/>
        <v>0</v>
      </c>
      <c r="P5116" s="1" t="str">
        <f t="shared" si="9792"/>
        <v>0</v>
      </c>
      <c r="Q5116" s="1" t="str">
        <f t="shared" si="9667"/>
        <v>0.0070</v>
      </c>
      <c r="R5116" s="1" t="s">
        <v>25</v>
      </c>
      <c r="T5116" s="1" t="str">
        <f t="shared" si="9668"/>
        <v>0</v>
      </c>
      <c r="U5116" s="1" t="str">
        <f t="shared" si="9776"/>
        <v>0.0070</v>
      </c>
    </row>
    <row r="5117" s="1" customFormat="1" spans="1:21">
      <c r="A5117" s="1" t="str">
        <f>"4601992160879"</f>
        <v>4601992160879</v>
      </c>
      <c r="B5117" s="1" t="s">
        <v>5140</v>
      </c>
      <c r="C5117" s="1" t="s">
        <v>24</v>
      </c>
      <c r="D5117" s="1" t="str">
        <f t="shared" si="9664"/>
        <v>2021</v>
      </c>
      <c r="E5117" s="1" t="str">
        <f t="shared" ref="E5117:I5117" si="9793">"0"</f>
        <v>0</v>
      </c>
      <c r="F5117" s="1" t="str">
        <f t="shared" si="9793"/>
        <v>0</v>
      </c>
      <c r="G5117" s="1" t="str">
        <f t="shared" si="9793"/>
        <v>0</v>
      </c>
      <c r="H5117" s="1" t="str">
        <f t="shared" si="9793"/>
        <v>0</v>
      </c>
      <c r="I5117" s="1" t="str">
        <f t="shared" si="9793"/>
        <v>0</v>
      </c>
      <c r="J5117" s="1" t="str">
        <f t="shared" si="9781"/>
        <v>1</v>
      </c>
      <c r="K5117" s="1" t="str">
        <f t="shared" ref="K5117:P5117" si="9794">"0"</f>
        <v>0</v>
      </c>
      <c r="L5117" s="1" t="str">
        <f t="shared" si="9794"/>
        <v>0</v>
      </c>
      <c r="M5117" s="1" t="str">
        <f t="shared" si="9794"/>
        <v>0</v>
      </c>
      <c r="N5117" s="1" t="str">
        <f t="shared" si="9794"/>
        <v>0</v>
      </c>
      <c r="O5117" s="1" t="str">
        <f t="shared" si="9794"/>
        <v>0</v>
      </c>
      <c r="P5117" s="1" t="str">
        <f t="shared" si="9794"/>
        <v>0</v>
      </c>
      <c r="Q5117" s="1" t="str">
        <f t="shared" si="9667"/>
        <v>0.0070</v>
      </c>
      <c r="R5117" s="1" t="s">
        <v>25</v>
      </c>
      <c r="T5117" s="1" t="str">
        <f t="shared" si="9668"/>
        <v>0</v>
      </c>
      <c r="U5117" s="1" t="str">
        <f t="shared" si="9776"/>
        <v>0.0070</v>
      </c>
    </row>
    <row r="5118" s="1" customFormat="1" spans="1:21">
      <c r="A5118" s="1" t="str">
        <f>"4601992160908"</f>
        <v>4601992160908</v>
      </c>
      <c r="B5118" s="1" t="s">
        <v>5141</v>
      </c>
      <c r="C5118" s="1" t="s">
        <v>24</v>
      </c>
      <c r="D5118" s="1" t="str">
        <f t="shared" si="9664"/>
        <v>2021</v>
      </c>
      <c r="E5118" s="1" t="str">
        <f t="shared" ref="E5118:I5118" si="9795">"0"</f>
        <v>0</v>
      </c>
      <c r="F5118" s="1" t="str">
        <f t="shared" si="9795"/>
        <v>0</v>
      </c>
      <c r="G5118" s="1" t="str">
        <f t="shared" si="9795"/>
        <v>0</v>
      </c>
      <c r="H5118" s="1" t="str">
        <f t="shared" si="9795"/>
        <v>0</v>
      </c>
      <c r="I5118" s="1" t="str">
        <f t="shared" si="9795"/>
        <v>0</v>
      </c>
      <c r="J5118" s="1" t="str">
        <f t="shared" si="9781"/>
        <v>1</v>
      </c>
      <c r="K5118" s="1" t="str">
        <f t="shared" ref="K5118:P5118" si="9796">"0"</f>
        <v>0</v>
      </c>
      <c r="L5118" s="1" t="str">
        <f t="shared" si="9796"/>
        <v>0</v>
      </c>
      <c r="M5118" s="1" t="str">
        <f t="shared" si="9796"/>
        <v>0</v>
      </c>
      <c r="N5118" s="1" t="str">
        <f t="shared" si="9796"/>
        <v>0</v>
      </c>
      <c r="O5118" s="1" t="str">
        <f t="shared" si="9796"/>
        <v>0</v>
      </c>
      <c r="P5118" s="1" t="str">
        <f t="shared" si="9796"/>
        <v>0</v>
      </c>
      <c r="Q5118" s="1" t="str">
        <f t="shared" si="9667"/>
        <v>0.0070</v>
      </c>
      <c r="R5118" s="1" t="s">
        <v>25</v>
      </c>
      <c r="T5118" s="1" t="str">
        <f t="shared" si="9668"/>
        <v>0</v>
      </c>
      <c r="U5118" s="1" t="str">
        <f t="shared" si="9776"/>
        <v>0.0070</v>
      </c>
    </row>
    <row r="5119" s="1" customFormat="1" spans="1:21">
      <c r="A5119" s="1" t="str">
        <f>"4601992160923"</f>
        <v>4601992160923</v>
      </c>
      <c r="B5119" s="1" t="s">
        <v>5142</v>
      </c>
      <c r="C5119" s="1" t="s">
        <v>24</v>
      </c>
      <c r="D5119" s="1" t="str">
        <f t="shared" si="9664"/>
        <v>2021</v>
      </c>
      <c r="E5119" s="1" t="str">
        <f t="shared" ref="E5119:I5119" si="9797">"0"</f>
        <v>0</v>
      </c>
      <c r="F5119" s="1" t="str">
        <f t="shared" si="9797"/>
        <v>0</v>
      </c>
      <c r="G5119" s="1" t="str">
        <f t="shared" si="9797"/>
        <v>0</v>
      </c>
      <c r="H5119" s="1" t="str">
        <f t="shared" si="9797"/>
        <v>0</v>
      </c>
      <c r="I5119" s="1" t="str">
        <f t="shared" si="9797"/>
        <v>0</v>
      </c>
      <c r="J5119" s="1" t="str">
        <f t="shared" si="9781"/>
        <v>1</v>
      </c>
      <c r="K5119" s="1" t="str">
        <f t="shared" ref="K5119:P5119" si="9798">"0"</f>
        <v>0</v>
      </c>
      <c r="L5119" s="1" t="str">
        <f t="shared" si="9798"/>
        <v>0</v>
      </c>
      <c r="M5119" s="1" t="str">
        <f t="shared" si="9798"/>
        <v>0</v>
      </c>
      <c r="N5119" s="1" t="str">
        <f t="shared" si="9798"/>
        <v>0</v>
      </c>
      <c r="O5119" s="1" t="str">
        <f t="shared" si="9798"/>
        <v>0</v>
      </c>
      <c r="P5119" s="1" t="str">
        <f t="shared" si="9798"/>
        <v>0</v>
      </c>
      <c r="Q5119" s="1" t="str">
        <f t="shared" si="9667"/>
        <v>0.0070</v>
      </c>
      <c r="R5119" s="1" t="s">
        <v>25</v>
      </c>
      <c r="T5119" s="1" t="str">
        <f t="shared" si="9668"/>
        <v>0</v>
      </c>
      <c r="U5119" s="1" t="str">
        <f t="shared" si="9776"/>
        <v>0.0070</v>
      </c>
    </row>
    <row r="5120" s="1" customFormat="1" spans="1:21">
      <c r="A5120" s="1" t="str">
        <f>"4601992160946"</f>
        <v>4601992160946</v>
      </c>
      <c r="B5120" s="1" t="s">
        <v>5143</v>
      </c>
      <c r="C5120" s="1" t="s">
        <v>24</v>
      </c>
      <c r="D5120" s="1" t="str">
        <f t="shared" si="9664"/>
        <v>2021</v>
      </c>
      <c r="E5120" s="1" t="str">
        <f t="shared" ref="E5120:I5120" si="9799">"0"</f>
        <v>0</v>
      </c>
      <c r="F5120" s="1" t="str">
        <f t="shared" si="9799"/>
        <v>0</v>
      </c>
      <c r="G5120" s="1" t="str">
        <f t="shared" si="9799"/>
        <v>0</v>
      </c>
      <c r="H5120" s="1" t="str">
        <f t="shared" si="9799"/>
        <v>0</v>
      </c>
      <c r="I5120" s="1" t="str">
        <f t="shared" si="9799"/>
        <v>0</v>
      </c>
      <c r="J5120" s="1" t="str">
        <f>"3"</f>
        <v>3</v>
      </c>
      <c r="K5120" s="1" t="str">
        <f t="shared" ref="K5120:P5120" si="9800">"0"</f>
        <v>0</v>
      </c>
      <c r="L5120" s="1" t="str">
        <f t="shared" si="9800"/>
        <v>0</v>
      </c>
      <c r="M5120" s="1" t="str">
        <f t="shared" si="9800"/>
        <v>0</v>
      </c>
      <c r="N5120" s="1" t="str">
        <f t="shared" si="9800"/>
        <v>0</v>
      </c>
      <c r="O5120" s="1" t="str">
        <f t="shared" si="9800"/>
        <v>0</v>
      </c>
      <c r="P5120" s="1" t="str">
        <f t="shared" si="9800"/>
        <v>0</v>
      </c>
      <c r="Q5120" s="1" t="str">
        <f t="shared" si="9667"/>
        <v>0.0070</v>
      </c>
      <c r="R5120" s="1" t="s">
        <v>25</v>
      </c>
      <c r="T5120" s="1" t="str">
        <f t="shared" si="9668"/>
        <v>0</v>
      </c>
      <c r="U5120" s="1" t="str">
        <f t="shared" si="9776"/>
        <v>0.0070</v>
      </c>
    </row>
    <row r="5121" s="1" customFormat="1" spans="1:21">
      <c r="A5121" s="1" t="str">
        <f>"4601992160960"</f>
        <v>4601992160960</v>
      </c>
      <c r="B5121" s="1" t="s">
        <v>5144</v>
      </c>
      <c r="C5121" s="1" t="s">
        <v>24</v>
      </c>
      <c r="D5121" s="1" t="str">
        <f t="shared" si="9664"/>
        <v>2021</v>
      </c>
      <c r="E5121" s="1" t="str">
        <f t="shared" ref="E5121:I5121" si="9801">"0"</f>
        <v>0</v>
      </c>
      <c r="F5121" s="1" t="str">
        <f t="shared" si="9801"/>
        <v>0</v>
      </c>
      <c r="G5121" s="1" t="str">
        <f t="shared" si="9801"/>
        <v>0</v>
      </c>
      <c r="H5121" s="1" t="str">
        <f t="shared" si="9801"/>
        <v>0</v>
      </c>
      <c r="I5121" s="1" t="str">
        <f t="shared" si="9801"/>
        <v>0</v>
      </c>
      <c r="J5121" s="1" t="str">
        <f>"25"</f>
        <v>25</v>
      </c>
      <c r="K5121" s="1" t="str">
        <f t="shared" ref="K5121:P5121" si="9802">"0"</f>
        <v>0</v>
      </c>
      <c r="L5121" s="1" t="str">
        <f t="shared" si="9802"/>
        <v>0</v>
      </c>
      <c r="M5121" s="1" t="str">
        <f t="shared" si="9802"/>
        <v>0</v>
      </c>
      <c r="N5121" s="1" t="str">
        <f t="shared" si="9802"/>
        <v>0</v>
      </c>
      <c r="O5121" s="1" t="str">
        <f t="shared" si="9802"/>
        <v>0</v>
      </c>
      <c r="P5121" s="1" t="str">
        <f t="shared" si="9802"/>
        <v>0</v>
      </c>
      <c r="Q5121" s="1" t="str">
        <f t="shared" si="9667"/>
        <v>0.0070</v>
      </c>
      <c r="R5121" s="1" t="s">
        <v>25</v>
      </c>
      <c r="T5121" s="1" t="str">
        <f t="shared" si="9668"/>
        <v>0</v>
      </c>
      <c r="U5121" s="1" t="str">
        <f t="shared" si="9776"/>
        <v>0.0070</v>
      </c>
    </row>
    <row r="5122" s="1" customFormat="1" spans="1:21">
      <c r="A5122" s="1" t="str">
        <f>"4601992160976"</f>
        <v>4601992160976</v>
      </c>
      <c r="B5122" s="1" t="s">
        <v>5145</v>
      </c>
      <c r="C5122" s="1" t="s">
        <v>24</v>
      </c>
      <c r="D5122" s="1" t="str">
        <f t="shared" si="9664"/>
        <v>2021</v>
      </c>
      <c r="E5122" s="1" t="str">
        <f t="shared" ref="E5122:I5122" si="9803">"0"</f>
        <v>0</v>
      </c>
      <c r="F5122" s="1" t="str">
        <f t="shared" si="9803"/>
        <v>0</v>
      </c>
      <c r="G5122" s="1" t="str">
        <f t="shared" si="9803"/>
        <v>0</v>
      </c>
      <c r="H5122" s="1" t="str">
        <f t="shared" si="9803"/>
        <v>0</v>
      </c>
      <c r="I5122" s="1" t="str">
        <f t="shared" si="9803"/>
        <v>0</v>
      </c>
      <c r="J5122" s="1" t="str">
        <f>"2"</f>
        <v>2</v>
      </c>
      <c r="K5122" s="1" t="str">
        <f t="shared" ref="K5122:P5122" si="9804">"0"</f>
        <v>0</v>
      </c>
      <c r="L5122" s="1" t="str">
        <f t="shared" si="9804"/>
        <v>0</v>
      </c>
      <c r="M5122" s="1" t="str">
        <f t="shared" si="9804"/>
        <v>0</v>
      </c>
      <c r="N5122" s="1" t="str">
        <f t="shared" si="9804"/>
        <v>0</v>
      </c>
      <c r="O5122" s="1" t="str">
        <f t="shared" si="9804"/>
        <v>0</v>
      </c>
      <c r="P5122" s="1" t="str">
        <f t="shared" si="9804"/>
        <v>0</v>
      </c>
      <c r="Q5122" s="1" t="str">
        <f t="shared" si="9667"/>
        <v>0.0070</v>
      </c>
      <c r="R5122" s="1" t="s">
        <v>25</v>
      </c>
      <c r="T5122" s="1" t="str">
        <f t="shared" si="9668"/>
        <v>0</v>
      </c>
      <c r="U5122" s="1" t="str">
        <f t="shared" si="9776"/>
        <v>0.0070</v>
      </c>
    </row>
    <row r="5123" s="1" customFormat="1" spans="1:21">
      <c r="A5123" s="1" t="str">
        <f>"4601992160981"</f>
        <v>4601992160981</v>
      </c>
      <c r="B5123" s="1" t="s">
        <v>5146</v>
      </c>
      <c r="C5123" s="1" t="s">
        <v>24</v>
      </c>
      <c r="D5123" s="1" t="str">
        <f t="shared" ref="D5123:D5186" si="9805">"2021"</f>
        <v>2021</v>
      </c>
      <c r="E5123" s="1" t="str">
        <f t="shared" ref="E5123:I5123" si="9806">"0"</f>
        <v>0</v>
      </c>
      <c r="F5123" s="1" t="str">
        <f t="shared" si="9806"/>
        <v>0</v>
      </c>
      <c r="G5123" s="1" t="str">
        <f t="shared" si="9806"/>
        <v>0</v>
      </c>
      <c r="H5123" s="1" t="str">
        <f t="shared" si="9806"/>
        <v>0</v>
      </c>
      <c r="I5123" s="1" t="str">
        <f t="shared" si="9806"/>
        <v>0</v>
      </c>
      <c r="J5123" s="1" t="str">
        <f>"3"</f>
        <v>3</v>
      </c>
      <c r="K5123" s="1" t="str">
        <f t="shared" ref="K5123:P5123" si="9807">"0"</f>
        <v>0</v>
      </c>
      <c r="L5123" s="1" t="str">
        <f t="shared" si="9807"/>
        <v>0</v>
      </c>
      <c r="M5123" s="1" t="str">
        <f t="shared" si="9807"/>
        <v>0</v>
      </c>
      <c r="N5123" s="1" t="str">
        <f t="shared" si="9807"/>
        <v>0</v>
      </c>
      <c r="O5123" s="1" t="str">
        <f t="shared" si="9807"/>
        <v>0</v>
      </c>
      <c r="P5123" s="1" t="str">
        <f t="shared" si="9807"/>
        <v>0</v>
      </c>
      <c r="Q5123" s="1" t="str">
        <f t="shared" ref="Q5123:Q5186" si="9808">"0.0070"</f>
        <v>0.0070</v>
      </c>
      <c r="R5123" s="1" t="s">
        <v>25</v>
      </c>
      <c r="T5123" s="1" t="str">
        <f t="shared" ref="T5123:T5186" si="9809">"0"</f>
        <v>0</v>
      </c>
      <c r="U5123" s="1" t="str">
        <f t="shared" si="9776"/>
        <v>0.0070</v>
      </c>
    </row>
    <row r="5124" s="1" customFormat="1" spans="1:21">
      <c r="A5124" s="1" t="str">
        <f>"4601992010996"</f>
        <v>4601992010996</v>
      </c>
      <c r="B5124" s="1" t="s">
        <v>5147</v>
      </c>
      <c r="C5124" s="1" t="s">
        <v>24</v>
      </c>
      <c r="D5124" s="1" t="str">
        <f t="shared" si="9805"/>
        <v>2021</v>
      </c>
      <c r="E5124" s="1" t="str">
        <f t="shared" ref="E5124:I5124" si="9810">"0"</f>
        <v>0</v>
      </c>
      <c r="F5124" s="1" t="str">
        <f t="shared" si="9810"/>
        <v>0</v>
      </c>
      <c r="G5124" s="1" t="str">
        <f t="shared" si="9810"/>
        <v>0</v>
      </c>
      <c r="H5124" s="1" t="str">
        <f t="shared" si="9810"/>
        <v>0</v>
      </c>
      <c r="I5124" s="1" t="str">
        <f t="shared" si="9810"/>
        <v>0</v>
      </c>
      <c r="J5124" s="1" t="str">
        <f>"18"</f>
        <v>18</v>
      </c>
      <c r="K5124" s="1" t="str">
        <f t="shared" ref="K5124:P5124" si="9811">"0"</f>
        <v>0</v>
      </c>
      <c r="L5124" s="1" t="str">
        <f t="shared" si="9811"/>
        <v>0</v>
      </c>
      <c r="M5124" s="1" t="str">
        <f t="shared" si="9811"/>
        <v>0</v>
      </c>
      <c r="N5124" s="1" t="str">
        <f t="shared" si="9811"/>
        <v>0</v>
      </c>
      <c r="O5124" s="1" t="str">
        <f t="shared" si="9811"/>
        <v>0</v>
      </c>
      <c r="P5124" s="1" t="str">
        <f t="shared" si="9811"/>
        <v>0</v>
      </c>
      <c r="Q5124" s="1" t="str">
        <f t="shared" si="9808"/>
        <v>0.0070</v>
      </c>
      <c r="R5124" s="1" t="s">
        <v>25</v>
      </c>
      <c r="T5124" s="1" t="str">
        <f t="shared" si="9809"/>
        <v>0</v>
      </c>
      <c r="U5124" s="1" t="str">
        <f t="shared" si="9776"/>
        <v>0.0070</v>
      </c>
    </row>
    <row r="5125" s="1" customFormat="1" spans="1:21">
      <c r="A5125" s="1" t="str">
        <f>"4601992160993"</f>
        <v>4601992160993</v>
      </c>
      <c r="B5125" s="1" t="s">
        <v>5148</v>
      </c>
      <c r="C5125" s="1" t="s">
        <v>24</v>
      </c>
      <c r="D5125" s="1" t="str">
        <f t="shared" si="9805"/>
        <v>2021</v>
      </c>
      <c r="E5125" s="1" t="str">
        <f t="shared" ref="E5125:I5125" si="9812">"0"</f>
        <v>0</v>
      </c>
      <c r="F5125" s="1" t="str">
        <f t="shared" si="9812"/>
        <v>0</v>
      </c>
      <c r="G5125" s="1" t="str">
        <f t="shared" si="9812"/>
        <v>0</v>
      </c>
      <c r="H5125" s="1" t="str">
        <f t="shared" si="9812"/>
        <v>0</v>
      </c>
      <c r="I5125" s="1" t="str">
        <f t="shared" si="9812"/>
        <v>0</v>
      </c>
      <c r="J5125" s="1" t="str">
        <f>"7"</f>
        <v>7</v>
      </c>
      <c r="K5125" s="1" t="str">
        <f t="shared" ref="K5125:P5125" si="9813">"0"</f>
        <v>0</v>
      </c>
      <c r="L5125" s="1" t="str">
        <f t="shared" si="9813"/>
        <v>0</v>
      </c>
      <c r="M5125" s="1" t="str">
        <f t="shared" si="9813"/>
        <v>0</v>
      </c>
      <c r="N5125" s="1" t="str">
        <f t="shared" si="9813"/>
        <v>0</v>
      </c>
      <c r="O5125" s="1" t="str">
        <f t="shared" si="9813"/>
        <v>0</v>
      </c>
      <c r="P5125" s="1" t="str">
        <f t="shared" si="9813"/>
        <v>0</v>
      </c>
      <c r="Q5125" s="1" t="str">
        <f t="shared" si="9808"/>
        <v>0.0070</v>
      </c>
      <c r="R5125" s="1" t="s">
        <v>25</v>
      </c>
      <c r="T5125" s="1" t="str">
        <f t="shared" si="9809"/>
        <v>0</v>
      </c>
      <c r="U5125" s="1" t="str">
        <f t="shared" si="9776"/>
        <v>0.0070</v>
      </c>
    </row>
    <row r="5126" s="1" customFormat="1" spans="1:21">
      <c r="A5126" s="1" t="str">
        <f>"4601992161003"</f>
        <v>4601992161003</v>
      </c>
      <c r="B5126" s="1" t="s">
        <v>5149</v>
      </c>
      <c r="C5126" s="1" t="s">
        <v>24</v>
      </c>
      <c r="D5126" s="1" t="str">
        <f t="shared" si="9805"/>
        <v>2021</v>
      </c>
      <c r="E5126" s="1" t="str">
        <f>"24.50"</f>
        <v>24.50</v>
      </c>
      <c r="F5126" s="1" t="str">
        <f t="shared" ref="F5126:I5126" si="9814">"0"</f>
        <v>0</v>
      </c>
      <c r="G5126" s="1" t="str">
        <f t="shared" si="9814"/>
        <v>0</v>
      </c>
      <c r="H5126" s="1" t="str">
        <f t="shared" si="9814"/>
        <v>0</v>
      </c>
      <c r="I5126" s="1" t="str">
        <f t="shared" si="9814"/>
        <v>0</v>
      </c>
      <c r="J5126" s="1" t="str">
        <f>"2"</f>
        <v>2</v>
      </c>
      <c r="K5126" s="1" t="str">
        <f t="shared" ref="K5126:P5126" si="9815">"0"</f>
        <v>0</v>
      </c>
      <c r="L5126" s="1" t="str">
        <f t="shared" si="9815"/>
        <v>0</v>
      </c>
      <c r="M5126" s="1" t="str">
        <f t="shared" si="9815"/>
        <v>0</v>
      </c>
      <c r="N5126" s="1" t="str">
        <f t="shared" si="9815"/>
        <v>0</v>
      </c>
      <c r="O5126" s="1" t="str">
        <f t="shared" si="9815"/>
        <v>0</v>
      </c>
      <c r="P5126" s="1" t="str">
        <f t="shared" si="9815"/>
        <v>0</v>
      </c>
      <c r="Q5126" s="1" t="str">
        <f t="shared" si="9808"/>
        <v>0.0070</v>
      </c>
      <c r="R5126" s="1" t="s">
        <v>29</v>
      </c>
      <c r="S5126" s="1">
        <v>-0.0014</v>
      </c>
      <c r="T5126" s="1" t="str">
        <f t="shared" si="9809"/>
        <v>0</v>
      </c>
      <c r="U5126" s="1" t="str">
        <f>"0.0056"</f>
        <v>0.0056</v>
      </c>
    </row>
    <row r="5127" s="1" customFormat="1" spans="1:21">
      <c r="A5127" s="1" t="str">
        <f>"4601992161024"</f>
        <v>4601992161024</v>
      </c>
      <c r="B5127" s="1" t="s">
        <v>5150</v>
      </c>
      <c r="C5127" s="1" t="s">
        <v>24</v>
      </c>
      <c r="D5127" s="1" t="str">
        <f t="shared" si="9805"/>
        <v>2021</v>
      </c>
      <c r="E5127" s="1" t="str">
        <f t="shared" ref="E5127:I5127" si="9816">"0"</f>
        <v>0</v>
      </c>
      <c r="F5127" s="1" t="str">
        <f t="shared" si="9816"/>
        <v>0</v>
      </c>
      <c r="G5127" s="1" t="str">
        <f t="shared" si="9816"/>
        <v>0</v>
      </c>
      <c r="H5127" s="1" t="str">
        <f t="shared" si="9816"/>
        <v>0</v>
      </c>
      <c r="I5127" s="1" t="str">
        <f t="shared" si="9816"/>
        <v>0</v>
      </c>
      <c r="J5127" s="1" t="str">
        <f>"1"</f>
        <v>1</v>
      </c>
      <c r="K5127" s="1" t="str">
        <f t="shared" ref="K5127:P5127" si="9817">"0"</f>
        <v>0</v>
      </c>
      <c r="L5127" s="1" t="str">
        <f t="shared" si="9817"/>
        <v>0</v>
      </c>
      <c r="M5127" s="1" t="str">
        <f t="shared" si="9817"/>
        <v>0</v>
      </c>
      <c r="N5127" s="1" t="str">
        <f t="shared" si="9817"/>
        <v>0</v>
      </c>
      <c r="O5127" s="1" t="str">
        <f t="shared" si="9817"/>
        <v>0</v>
      </c>
      <c r="P5127" s="1" t="str">
        <f t="shared" si="9817"/>
        <v>0</v>
      </c>
      <c r="Q5127" s="1" t="str">
        <f t="shared" si="9808"/>
        <v>0.0070</v>
      </c>
      <c r="R5127" s="1" t="s">
        <v>25</v>
      </c>
      <c r="T5127" s="1" t="str">
        <f t="shared" si="9809"/>
        <v>0</v>
      </c>
      <c r="U5127" s="1" t="str">
        <f t="shared" ref="U5127:U5141" si="9818">"0.0070"</f>
        <v>0.0070</v>
      </c>
    </row>
    <row r="5128" s="1" customFormat="1" spans="1:21">
      <c r="A5128" s="1" t="str">
        <f>"4601992161020"</f>
        <v>4601992161020</v>
      </c>
      <c r="B5128" s="1" t="s">
        <v>5151</v>
      </c>
      <c r="C5128" s="1" t="s">
        <v>24</v>
      </c>
      <c r="D5128" s="1" t="str">
        <f t="shared" si="9805"/>
        <v>2021</v>
      </c>
      <c r="E5128" s="1" t="str">
        <f t="shared" ref="E5128:I5128" si="9819">"0"</f>
        <v>0</v>
      </c>
      <c r="F5128" s="1" t="str">
        <f t="shared" si="9819"/>
        <v>0</v>
      </c>
      <c r="G5128" s="1" t="str">
        <f t="shared" si="9819"/>
        <v>0</v>
      </c>
      <c r="H5128" s="1" t="str">
        <f t="shared" si="9819"/>
        <v>0</v>
      </c>
      <c r="I5128" s="1" t="str">
        <f t="shared" si="9819"/>
        <v>0</v>
      </c>
      <c r="J5128" s="1" t="str">
        <f>"59"</f>
        <v>59</v>
      </c>
      <c r="K5128" s="1" t="str">
        <f t="shared" ref="K5128:P5128" si="9820">"0"</f>
        <v>0</v>
      </c>
      <c r="L5128" s="1" t="str">
        <f t="shared" si="9820"/>
        <v>0</v>
      </c>
      <c r="M5128" s="1" t="str">
        <f t="shared" si="9820"/>
        <v>0</v>
      </c>
      <c r="N5128" s="1" t="str">
        <f t="shared" si="9820"/>
        <v>0</v>
      </c>
      <c r="O5128" s="1" t="str">
        <f t="shared" si="9820"/>
        <v>0</v>
      </c>
      <c r="P5128" s="1" t="str">
        <f t="shared" si="9820"/>
        <v>0</v>
      </c>
      <c r="Q5128" s="1" t="str">
        <f t="shared" si="9808"/>
        <v>0.0070</v>
      </c>
      <c r="R5128" s="1" t="s">
        <v>25</v>
      </c>
      <c r="T5128" s="1" t="str">
        <f t="shared" si="9809"/>
        <v>0</v>
      </c>
      <c r="U5128" s="1" t="str">
        <f t="shared" si="9818"/>
        <v>0.0070</v>
      </c>
    </row>
    <row r="5129" s="1" customFormat="1" spans="1:21">
      <c r="A5129" s="1" t="str">
        <f>"4601992161021"</f>
        <v>4601992161021</v>
      </c>
      <c r="B5129" s="1" t="s">
        <v>5152</v>
      </c>
      <c r="C5129" s="1" t="s">
        <v>24</v>
      </c>
      <c r="D5129" s="1" t="str">
        <f t="shared" si="9805"/>
        <v>2021</v>
      </c>
      <c r="E5129" s="1" t="str">
        <f t="shared" ref="E5129:I5129" si="9821">"0"</f>
        <v>0</v>
      </c>
      <c r="F5129" s="1" t="str">
        <f t="shared" si="9821"/>
        <v>0</v>
      </c>
      <c r="G5129" s="1" t="str">
        <f t="shared" si="9821"/>
        <v>0</v>
      </c>
      <c r="H5129" s="1" t="str">
        <f t="shared" si="9821"/>
        <v>0</v>
      </c>
      <c r="I5129" s="1" t="str">
        <f t="shared" si="9821"/>
        <v>0</v>
      </c>
      <c r="J5129" s="1" t="str">
        <f>"1"</f>
        <v>1</v>
      </c>
      <c r="K5129" s="1" t="str">
        <f t="shared" ref="K5129:P5129" si="9822">"0"</f>
        <v>0</v>
      </c>
      <c r="L5129" s="1" t="str">
        <f t="shared" si="9822"/>
        <v>0</v>
      </c>
      <c r="M5129" s="1" t="str">
        <f t="shared" si="9822"/>
        <v>0</v>
      </c>
      <c r="N5129" s="1" t="str">
        <f t="shared" si="9822"/>
        <v>0</v>
      </c>
      <c r="O5129" s="1" t="str">
        <f t="shared" si="9822"/>
        <v>0</v>
      </c>
      <c r="P5129" s="1" t="str">
        <f t="shared" si="9822"/>
        <v>0</v>
      </c>
      <c r="Q5129" s="1" t="str">
        <f t="shared" si="9808"/>
        <v>0.0070</v>
      </c>
      <c r="R5129" s="1" t="s">
        <v>25</v>
      </c>
      <c r="T5129" s="1" t="str">
        <f t="shared" si="9809"/>
        <v>0</v>
      </c>
      <c r="U5129" s="1" t="str">
        <f t="shared" si="9818"/>
        <v>0.0070</v>
      </c>
    </row>
    <row r="5130" s="1" customFormat="1" spans="1:21">
      <c r="A5130" s="1" t="str">
        <f>"4601992161045"</f>
        <v>4601992161045</v>
      </c>
      <c r="B5130" s="1" t="s">
        <v>5153</v>
      </c>
      <c r="C5130" s="1" t="s">
        <v>24</v>
      </c>
      <c r="D5130" s="1" t="str">
        <f t="shared" si="9805"/>
        <v>2021</v>
      </c>
      <c r="E5130" s="1" t="str">
        <f t="shared" ref="E5130:I5130" si="9823">"0"</f>
        <v>0</v>
      </c>
      <c r="F5130" s="1" t="str">
        <f t="shared" si="9823"/>
        <v>0</v>
      </c>
      <c r="G5130" s="1" t="str">
        <f t="shared" si="9823"/>
        <v>0</v>
      </c>
      <c r="H5130" s="1" t="str">
        <f t="shared" si="9823"/>
        <v>0</v>
      </c>
      <c r="I5130" s="1" t="str">
        <f t="shared" si="9823"/>
        <v>0</v>
      </c>
      <c r="J5130" s="1" t="str">
        <f>"3"</f>
        <v>3</v>
      </c>
      <c r="K5130" s="1" t="str">
        <f t="shared" ref="K5130:P5130" si="9824">"0"</f>
        <v>0</v>
      </c>
      <c r="L5130" s="1" t="str">
        <f t="shared" si="9824"/>
        <v>0</v>
      </c>
      <c r="M5130" s="1" t="str">
        <f t="shared" si="9824"/>
        <v>0</v>
      </c>
      <c r="N5130" s="1" t="str">
        <f t="shared" si="9824"/>
        <v>0</v>
      </c>
      <c r="O5130" s="1" t="str">
        <f t="shared" si="9824"/>
        <v>0</v>
      </c>
      <c r="P5130" s="1" t="str">
        <f t="shared" si="9824"/>
        <v>0</v>
      </c>
      <c r="Q5130" s="1" t="str">
        <f t="shared" si="9808"/>
        <v>0.0070</v>
      </c>
      <c r="R5130" s="1" t="s">
        <v>25</v>
      </c>
      <c r="T5130" s="1" t="str">
        <f t="shared" si="9809"/>
        <v>0</v>
      </c>
      <c r="U5130" s="1" t="str">
        <f t="shared" si="9818"/>
        <v>0.0070</v>
      </c>
    </row>
    <row r="5131" s="1" customFormat="1" spans="1:21">
      <c r="A5131" s="1" t="str">
        <f>"4601992161046"</f>
        <v>4601992161046</v>
      </c>
      <c r="B5131" s="1" t="s">
        <v>5154</v>
      </c>
      <c r="C5131" s="1" t="s">
        <v>24</v>
      </c>
      <c r="D5131" s="1" t="str">
        <f t="shared" si="9805"/>
        <v>2021</v>
      </c>
      <c r="E5131" s="1" t="str">
        <f t="shared" ref="E5131:I5131" si="9825">"0"</f>
        <v>0</v>
      </c>
      <c r="F5131" s="1" t="str">
        <f t="shared" si="9825"/>
        <v>0</v>
      </c>
      <c r="G5131" s="1" t="str">
        <f t="shared" si="9825"/>
        <v>0</v>
      </c>
      <c r="H5131" s="1" t="str">
        <f t="shared" si="9825"/>
        <v>0</v>
      </c>
      <c r="I5131" s="1" t="str">
        <f t="shared" si="9825"/>
        <v>0</v>
      </c>
      <c r="J5131" s="1" t="str">
        <f>"4"</f>
        <v>4</v>
      </c>
      <c r="K5131" s="1" t="str">
        <f t="shared" ref="K5131:P5131" si="9826">"0"</f>
        <v>0</v>
      </c>
      <c r="L5131" s="1" t="str">
        <f t="shared" si="9826"/>
        <v>0</v>
      </c>
      <c r="M5131" s="1" t="str">
        <f t="shared" si="9826"/>
        <v>0</v>
      </c>
      <c r="N5131" s="1" t="str">
        <f t="shared" si="9826"/>
        <v>0</v>
      </c>
      <c r="O5131" s="1" t="str">
        <f t="shared" si="9826"/>
        <v>0</v>
      </c>
      <c r="P5131" s="1" t="str">
        <f t="shared" si="9826"/>
        <v>0</v>
      </c>
      <c r="Q5131" s="1" t="str">
        <f t="shared" si="9808"/>
        <v>0.0070</v>
      </c>
      <c r="R5131" s="1" t="s">
        <v>25</v>
      </c>
      <c r="T5131" s="1" t="str">
        <f t="shared" si="9809"/>
        <v>0</v>
      </c>
      <c r="U5131" s="1" t="str">
        <f t="shared" si="9818"/>
        <v>0.0070</v>
      </c>
    </row>
    <row r="5132" s="1" customFormat="1" spans="1:21">
      <c r="A5132" s="1" t="str">
        <f>"4601992161107"</f>
        <v>4601992161107</v>
      </c>
      <c r="B5132" s="1" t="s">
        <v>5155</v>
      </c>
      <c r="C5132" s="1" t="s">
        <v>24</v>
      </c>
      <c r="D5132" s="1" t="str">
        <f t="shared" si="9805"/>
        <v>2021</v>
      </c>
      <c r="E5132" s="1" t="str">
        <f t="shared" ref="E5132:I5132" si="9827">"0"</f>
        <v>0</v>
      </c>
      <c r="F5132" s="1" t="str">
        <f t="shared" si="9827"/>
        <v>0</v>
      </c>
      <c r="G5132" s="1" t="str">
        <f t="shared" si="9827"/>
        <v>0</v>
      </c>
      <c r="H5132" s="1" t="str">
        <f t="shared" si="9827"/>
        <v>0</v>
      </c>
      <c r="I5132" s="1" t="str">
        <f t="shared" si="9827"/>
        <v>0</v>
      </c>
      <c r="J5132" s="1" t="str">
        <f>"2"</f>
        <v>2</v>
      </c>
      <c r="K5132" s="1" t="str">
        <f t="shared" ref="K5132:P5132" si="9828">"0"</f>
        <v>0</v>
      </c>
      <c r="L5132" s="1" t="str">
        <f t="shared" si="9828"/>
        <v>0</v>
      </c>
      <c r="M5132" s="1" t="str">
        <f t="shared" si="9828"/>
        <v>0</v>
      </c>
      <c r="N5132" s="1" t="str">
        <f t="shared" si="9828"/>
        <v>0</v>
      </c>
      <c r="O5132" s="1" t="str">
        <f t="shared" si="9828"/>
        <v>0</v>
      </c>
      <c r="P5132" s="1" t="str">
        <f t="shared" si="9828"/>
        <v>0</v>
      </c>
      <c r="Q5132" s="1" t="str">
        <f t="shared" si="9808"/>
        <v>0.0070</v>
      </c>
      <c r="R5132" s="1" t="s">
        <v>25</v>
      </c>
      <c r="T5132" s="1" t="str">
        <f t="shared" si="9809"/>
        <v>0</v>
      </c>
      <c r="U5132" s="1" t="str">
        <f t="shared" si="9818"/>
        <v>0.0070</v>
      </c>
    </row>
    <row r="5133" s="1" customFormat="1" spans="1:21">
      <c r="A5133" s="1" t="str">
        <f>"4601992161059"</f>
        <v>4601992161059</v>
      </c>
      <c r="B5133" s="1" t="s">
        <v>5156</v>
      </c>
      <c r="C5133" s="1" t="s">
        <v>24</v>
      </c>
      <c r="D5133" s="1" t="str">
        <f t="shared" si="9805"/>
        <v>2021</v>
      </c>
      <c r="E5133" s="1" t="str">
        <f t="shared" ref="E5133:I5133" si="9829">"0"</f>
        <v>0</v>
      </c>
      <c r="F5133" s="1" t="str">
        <f t="shared" si="9829"/>
        <v>0</v>
      </c>
      <c r="G5133" s="1" t="str">
        <f t="shared" si="9829"/>
        <v>0</v>
      </c>
      <c r="H5133" s="1" t="str">
        <f t="shared" si="9829"/>
        <v>0</v>
      </c>
      <c r="I5133" s="1" t="str">
        <f t="shared" si="9829"/>
        <v>0</v>
      </c>
      <c r="J5133" s="1" t="str">
        <f t="shared" ref="J5133:J5138" si="9830">"1"</f>
        <v>1</v>
      </c>
      <c r="K5133" s="1" t="str">
        <f t="shared" ref="K5133:P5133" si="9831">"0"</f>
        <v>0</v>
      </c>
      <c r="L5133" s="1" t="str">
        <f t="shared" si="9831"/>
        <v>0</v>
      </c>
      <c r="M5133" s="1" t="str">
        <f t="shared" si="9831"/>
        <v>0</v>
      </c>
      <c r="N5133" s="1" t="str">
        <f t="shared" si="9831"/>
        <v>0</v>
      </c>
      <c r="O5133" s="1" t="str">
        <f t="shared" si="9831"/>
        <v>0</v>
      </c>
      <c r="P5133" s="1" t="str">
        <f t="shared" si="9831"/>
        <v>0</v>
      </c>
      <c r="Q5133" s="1" t="str">
        <f t="shared" si="9808"/>
        <v>0.0070</v>
      </c>
      <c r="R5133" s="1" t="s">
        <v>25</v>
      </c>
      <c r="T5133" s="1" t="str">
        <f t="shared" si="9809"/>
        <v>0</v>
      </c>
      <c r="U5133" s="1" t="str">
        <f t="shared" si="9818"/>
        <v>0.0070</v>
      </c>
    </row>
    <row r="5134" s="1" customFormat="1" spans="1:21">
      <c r="A5134" s="1" t="str">
        <f>"4601992161113"</f>
        <v>4601992161113</v>
      </c>
      <c r="B5134" s="1" t="s">
        <v>5157</v>
      </c>
      <c r="C5134" s="1" t="s">
        <v>24</v>
      </c>
      <c r="D5134" s="1" t="str">
        <f t="shared" si="9805"/>
        <v>2021</v>
      </c>
      <c r="E5134" s="1" t="str">
        <f t="shared" ref="E5134:I5134" si="9832">"0"</f>
        <v>0</v>
      </c>
      <c r="F5134" s="1" t="str">
        <f t="shared" si="9832"/>
        <v>0</v>
      </c>
      <c r="G5134" s="1" t="str">
        <f t="shared" si="9832"/>
        <v>0</v>
      </c>
      <c r="H5134" s="1" t="str">
        <f t="shared" si="9832"/>
        <v>0</v>
      </c>
      <c r="I5134" s="1" t="str">
        <f t="shared" si="9832"/>
        <v>0</v>
      </c>
      <c r="J5134" s="1" t="str">
        <f>"3"</f>
        <v>3</v>
      </c>
      <c r="K5134" s="1" t="str">
        <f t="shared" ref="K5134:P5134" si="9833">"0"</f>
        <v>0</v>
      </c>
      <c r="L5134" s="1" t="str">
        <f t="shared" si="9833"/>
        <v>0</v>
      </c>
      <c r="M5134" s="1" t="str">
        <f t="shared" si="9833"/>
        <v>0</v>
      </c>
      <c r="N5134" s="1" t="str">
        <f t="shared" si="9833"/>
        <v>0</v>
      </c>
      <c r="O5134" s="1" t="str">
        <f t="shared" si="9833"/>
        <v>0</v>
      </c>
      <c r="P5134" s="1" t="str">
        <f t="shared" si="9833"/>
        <v>0</v>
      </c>
      <c r="Q5134" s="1" t="str">
        <f t="shared" si="9808"/>
        <v>0.0070</v>
      </c>
      <c r="R5134" s="1" t="s">
        <v>25</v>
      </c>
      <c r="T5134" s="1" t="str">
        <f t="shared" si="9809"/>
        <v>0</v>
      </c>
      <c r="U5134" s="1" t="str">
        <f t="shared" si="9818"/>
        <v>0.0070</v>
      </c>
    </row>
    <row r="5135" s="1" customFormat="1" spans="1:21">
      <c r="A5135" s="1" t="str">
        <f>"4601992161125"</f>
        <v>4601992161125</v>
      </c>
      <c r="B5135" s="1" t="s">
        <v>5158</v>
      </c>
      <c r="C5135" s="1" t="s">
        <v>24</v>
      </c>
      <c r="D5135" s="1" t="str">
        <f t="shared" si="9805"/>
        <v>2021</v>
      </c>
      <c r="E5135" s="1" t="str">
        <f t="shared" ref="E5135:I5135" si="9834">"0"</f>
        <v>0</v>
      </c>
      <c r="F5135" s="1" t="str">
        <f t="shared" si="9834"/>
        <v>0</v>
      </c>
      <c r="G5135" s="1" t="str">
        <f t="shared" si="9834"/>
        <v>0</v>
      </c>
      <c r="H5135" s="1" t="str">
        <f t="shared" si="9834"/>
        <v>0</v>
      </c>
      <c r="I5135" s="1" t="str">
        <f t="shared" si="9834"/>
        <v>0</v>
      </c>
      <c r="J5135" s="1" t="str">
        <f t="shared" si="9830"/>
        <v>1</v>
      </c>
      <c r="K5135" s="1" t="str">
        <f t="shared" ref="K5135:P5135" si="9835">"0"</f>
        <v>0</v>
      </c>
      <c r="L5135" s="1" t="str">
        <f t="shared" si="9835"/>
        <v>0</v>
      </c>
      <c r="M5135" s="1" t="str">
        <f t="shared" si="9835"/>
        <v>0</v>
      </c>
      <c r="N5135" s="1" t="str">
        <f t="shared" si="9835"/>
        <v>0</v>
      </c>
      <c r="O5135" s="1" t="str">
        <f t="shared" si="9835"/>
        <v>0</v>
      </c>
      <c r="P5135" s="1" t="str">
        <f t="shared" si="9835"/>
        <v>0</v>
      </c>
      <c r="Q5135" s="1" t="str">
        <f t="shared" si="9808"/>
        <v>0.0070</v>
      </c>
      <c r="R5135" s="1" t="s">
        <v>25</v>
      </c>
      <c r="T5135" s="1" t="str">
        <f t="shared" si="9809"/>
        <v>0</v>
      </c>
      <c r="U5135" s="1" t="str">
        <f t="shared" si="9818"/>
        <v>0.0070</v>
      </c>
    </row>
    <row r="5136" s="1" customFormat="1" spans="1:21">
      <c r="A5136" s="1" t="str">
        <f>"4601992160964"</f>
        <v>4601992160964</v>
      </c>
      <c r="B5136" s="1" t="s">
        <v>5159</v>
      </c>
      <c r="C5136" s="1" t="s">
        <v>24</v>
      </c>
      <c r="D5136" s="1" t="str">
        <f t="shared" si="9805"/>
        <v>2021</v>
      </c>
      <c r="E5136" s="1" t="str">
        <f t="shared" ref="E5136:I5136" si="9836">"0"</f>
        <v>0</v>
      </c>
      <c r="F5136" s="1" t="str">
        <f t="shared" si="9836"/>
        <v>0</v>
      </c>
      <c r="G5136" s="1" t="str">
        <f t="shared" si="9836"/>
        <v>0</v>
      </c>
      <c r="H5136" s="1" t="str">
        <f t="shared" si="9836"/>
        <v>0</v>
      </c>
      <c r="I5136" s="1" t="str">
        <f t="shared" si="9836"/>
        <v>0</v>
      </c>
      <c r="J5136" s="1" t="str">
        <f>"40"</f>
        <v>40</v>
      </c>
      <c r="K5136" s="1" t="str">
        <f t="shared" ref="K5136:P5136" si="9837">"0"</f>
        <v>0</v>
      </c>
      <c r="L5136" s="1" t="str">
        <f t="shared" si="9837"/>
        <v>0</v>
      </c>
      <c r="M5136" s="1" t="str">
        <f t="shared" si="9837"/>
        <v>0</v>
      </c>
      <c r="N5136" s="1" t="str">
        <f t="shared" si="9837"/>
        <v>0</v>
      </c>
      <c r="O5136" s="1" t="str">
        <f t="shared" si="9837"/>
        <v>0</v>
      </c>
      <c r="P5136" s="1" t="str">
        <f t="shared" si="9837"/>
        <v>0</v>
      </c>
      <c r="Q5136" s="1" t="str">
        <f t="shared" si="9808"/>
        <v>0.0070</v>
      </c>
      <c r="R5136" s="1" t="s">
        <v>25</v>
      </c>
      <c r="T5136" s="1" t="str">
        <f t="shared" si="9809"/>
        <v>0</v>
      </c>
      <c r="U5136" s="1" t="str">
        <f t="shared" si="9818"/>
        <v>0.0070</v>
      </c>
    </row>
    <row r="5137" s="1" customFormat="1" spans="1:21">
      <c r="A5137" s="1" t="str">
        <f>"4601992161149"</f>
        <v>4601992161149</v>
      </c>
      <c r="B5137" s="1" t="s">
        <v>5160</v>
      </c>
      <c r="C5137" s="1" t="s">
        <v>24</v>
      </c>
      <c r="D5137" s="1" t="str">
        <f t="shared" si="9805"/>
        <v>2021</v>
      </c>
      <c r="E5137" s="1" t="str">
        <f t="shared" ref="E5137:I5137" si="9838">"0"</f>
        <v>0</v>
      </c>
      <c r="F5137" s="1" t="str">
        <f t="shared" si="9838"/>
        <v>0</v>
      </c>
      <c r="G5137" s="1" t="str">
        <f t="shared" si="9838"/>
        <v>0</v>
      </c>
      <c r="H5137" s="1" t="str">
        <f t="shared" si="9838"/>
        <v>0</v>
      </c>
      <c r="I5137" s="1" t="str">
        <f t="shared" si="9838"/>
        <v>0</v>
      </c>
      <c r="J5137" s="1" t="str">
        <f>"4"</f>
        <v>4</v>
      </c>
      <c r="K5137" s="1" t="str">
        <f t="shared" ref="K5137:P5137" si="9839">"0"</f>
        <v>0</v>
      </c>
      <c r="L5137" s="1" t="str">
        <f t="shared" si="9839"/>
        <v>0</v>
      </c>
      <c r="M5137" s="1" t="str">
        <f t="shared" si="9839"/>
        <v>0</v>
      </c>
      <c r="N5137" s="1" t="str">
        <f t="shared" si="9839"/>
        <v>0</v>
      </c>
      <c r="O5137" s="1" t="str">
        <f t="shared" si="9839"/>
        <v>0</v>
      </c>
      <c r="P5137" s="1" t="str">
        <f t="shared" si="9839"/>
        <v>0</v>
      </c>
      <c r="Q5137" s="1" t="str">
        <f t="shared" si="9808"/>
        <v>0.0070</v>
      </c>
      <c r="R5137" s="1" t="s">
        <v>25</v>
      </c>
      <c r="T5137" s="1" t="str">
        <f t="shared" si="9809"/>
        <v>0</v>
      </c>
      <c r="U5137" s="1" t="str">
        <f t="shared" si="9818"/>
        <v>0.0070</v>
      </c>
    </row>
    <row r="5138" s="1" customFormat="1" spans="1:21">
      <c r="A5138" s="1" t="str">
        <f>"4601992161136"</f>
        <v>4601992161136</v>
      </c>
      <c r="B5138" s="1" t="s">
        <v>5161</v>
      </c>
      <c r="C5138" s="1" t="s">
        <v>24</v>
      </c>
      <c r="D5138" s="1" t="str">
        <f t="shared" si="9805"/>
        <v>2021</v>
      </c>
      <c r="E5138" s="1" t="str">
        <f t="shared" ref="E5138:I5138" si="9840">"0"</f>
        <v>0</v>
      </c>
      <c r="F5138" s="1" t="str">
        <f t="shared" si="9840"/>
        <v>0</v>
      </c>
      <c r="G5138" s="1" t="str">
        <f t="shared" si="9840"/>
        <v>0</v>
      </c>
      <c r="H5138" s="1" t="str">
        <f t="shared" si="9840"/>
        <v>0</v>
      </c>
      <c r="I5138" s="1" t="str">
        <f t="shared" si="9840"/>
        <v>0</v>
      </c>
      <c r="J5138" s="1" t="str">
        <f t="shared" si="9830"/>
        <v>1</v>
      </c>
      <c r="K5138" s="1" t="str">
        <f t="shared" ref="K5138:P5138" si="9841">"0"</f>
        <v>0</v>
      </c>
      <c r="L5138" s="1" t="str">
        <f t="shared" si="9841"/>
        <v>0</v>
      </c>
      <c r="M5138" s="1" t="str">
        <f t="shared" si="9841"/>
        <v>0</v>
      </c>
      <c r="N5138" s="1" t="str">
        <f t="shared" si="9841"/>
        <v>0</v>
      </c>
      <c r="O5138" s="1" t="str">
        <f t="shared" si="9841"/>
        <v>0</v>
      </c>
      <c r="P5138" s="1" t="str">
        <f t="shared" si="9841"/>
        <v>0</v>
      </c>
      <c r="Q5138" s="1" t="str">
        <f t="shared" si="9808"/>
        <v>0.0070</v>
      </c>
      <c r="R5138" s="1" t="s">
        <v>25</v>
      </c>
      <c r="T5138" s="1" t="str">
        <f t="shared" si="9809"/>
        <v>0</v>
      </c>
      <c r="U5138" s="1" t="str">
        <f t="shared" si="9818"/>
        <v>0.0070</v>
      </c>
    </row>
    <row r="5139" s="1" customFormat="1" spans="1:21">
      <c r="A5139" s="1" t="str">
        <f>"4601992161169"</f>
        <v>4601992161169</v>
      </c>
      <c r="B5139" s="1" t="s">
        <v>5162</v>
      </c>
      <c r="C5139" s="1" t="s">
        <v>24</v>
      </c>
      <c r="D5139" s="1" t="str">
        <f t="shared" si="9805"/>
        <v>2021</v>
      </c>
      <c r="E5139" s="1" t="str">
        <f t="shared" ref="E5139:I5139" si="9842">"0"</f>
        <v>0</v>
      </c>
      <c r="F5139" s="1" t="str">
        <f t="shared" si="9842"/>
        <v>0</v>
      </c>
      <c r="G5139" s="1" t="str">
        <f t="shared" si="9842"/>
        <v>0</v>
      </c>
      <c r="H5139" s="1" t="str">
        <f t="shared" si="9842"/>
        <v>0</v>
      </c>
      <c r="I5139" s="1" t="str">
        <f t="shared" si="9842"/>
        <v>0</v>
      </c>
      <c r="J5139" s="1" t="str">
        <f>"8"</f>
        <v>8</v>
      </c>
      <c r="K5139" s="1" t="str">
        <f t="shared" ref="K5139:P5139" si="9843">"0"</f>
        <v>0</v>
      </c>
      <c r="L5139" s="1" t="str">
        <f t="shared" si="9843"/>
        <v>0</v>
      </c>
      <c r="M5139" s="1" t="str">
        <f t="shared" si="9843"/>
        <v>0</v>
      </c>
      <c r="N5139" s="1" t="str">
        <f t="shared" si="9843"/>
        <v>0</v>
      </c>
      <c r="O5139" s="1" t="str">
        <f t="shared" si="9843"/>
        <v>0</v>
      </c>
      <c r="P5139" s="1" t="str">
        <f t="shared" si="9843"/>
        <v>0</v>
      </c>
      <c r="Q5139" s="1" t="str">
        <f t="shared" si="9808"/>
        <v>0.0070</v>
      </c>
      <c r="R5139" s="1" t="s">
        <v>25</v>
      </c>
      <c r="T5139" s="1" t="str">
        <f t="shared" si="9809"/>
        <v>0</v>
      </c>
      <c r="U5139" s="1" t="str">
        <f t="shared" si="9818"/>
        <v>0.0070</v>
      </c>
    </row>
    <row r="5140" s="1" customFormat="1" spans="1:21">
      <c r="A5140" s="1" t="str">
        <f>"4601992161188"</f>
        <v>4601992161188</v>
      </c>
      <c r="B5140" s="1" t="s">
        <v>5163</v>
      </c>
      <c r="C5140" s="1" t="s">
        <v>24</v>
      </c>
      <c r="D5140" s="1" t="str">
        <f t="shared" si="9805"/>
        <v>2021</v>
      </c>
      <c r="E5140" s="1" t="str">
        <f t="shared" ref="E5140:I5140" si="9844">"0"</f>
        <v>0</v>
      </c>
      <c r="F5140" s="1" t="str">
        <f t="shared" si="9844"/>
        <v>0</v>
      </c>
      <c r="G5140" s="1" t="str">
        <f t="shared" si="9844"/>
        <v>0</v>
      </c>
      <c r="H5140" s="1" t="str">
        <f t="shared" si="9844"/>
        <v>0</v>
      </c>
      <c r="I5140" s="1" t="str">
        <f t="shared" si="9844"/>
        <v>0</v>
      </c>
      <c r="J5140" s="1" t="str">
        <f>"1"</f>
        <v>1</v>
      </c>
      <c r="K5140" s="1" t="str">
        <f t="shared" ref="K5140:P5140" si="9845">"0"</f>
        <v>0</v>
      </c>
      <c r="L5140" s="1" t="str">
        <f t="shared" si="9845"/>
        <v>0</v>
      </c>
      <c r="M5140" s="1" t="str">
        <f t="shared" si="9845"/>
        <v>0</v>
      </c>
      <c r="N5140" s="1" t="str">
        <f t="shared" si="9845"/>
        <v>0</v>
      </c>
      <c r="O5140" s="1" t="str">
        <f t="shared" si="9845"/>
        <v>0</v>
      </c>
      <c r="P5140" s="1" t="str">
        <f t="shared" si="9845"/>
        <v>0</v>
      </c>
      <c r="Q5140" s="1" t="str">
        <f t="shared" si="9808"/>
        <v>0.0070</v>
      </c>
      <c r="R5140" s="1" t="s">
        <v>25</v>
      </c>
      <c r="T5140" s="1" t="str">
        <f t="shared" si="9809"/>
        <v>0</v>
      </c>
      <c r="U5140" s="1" t="str">
        <f t="shared" si="9818"/>
        <v>0.0070</v>
      </c>
    </row>
    <row r="5141" s="1" customFormat="1" spans="1:21">
      <c r="A5141" s="1" t="str">
        <f>"4601992161186"</f>
        <v>4601992161186</v>
      </c>
      <c r="B5141" s="1" t="s">
        <v>5164</v>
      </c>
      <c r="C5141" s="1" t="s">
        <v>24</v>
      </c>
      <c r="D5141" s="1" t="str">
        <f t="shared" si="9805"/>
        <v>2021</v>
      </c>
      <c r="E5141" s="1" t="str">
        <f>"0.48"</f>
        <v>0.48</v>
      </c>
      <c r="F5141" s="1" t="str">
        <f t="shared" ref="F5141:I5141" si="9846">"0"</f>
        <v>0</v>
      </c>
      <c r="G5141" s="1" t="str">
        <f t="shared" si="9846"/>
        <v>0</v>
      </c>
      <c r="H5141" s="1" t="str">
        <f t="shared" si="9846"/>
        <v>0</v>
      </c>
      <c r="I5141" s="1" t="str">
        <f t="shared" si="9846"/>
        <v>0</v>
      </c>
      <c r="J5141" s="1" t="str">
        <f>"8"</f>
        <v>8</v>
      </c>
      <c r="K5141" s="1" t="str">
        <f t="shared" ref="K5141:P5141" si="9847">"0"</f>
        <v>0</v>
      </c>
      <c r="L5141" s="1" t="str">
        <f t="shared" si="9847"/>
        <v>0</v>
      </c>
      <c r="M5141" s="1" t="str">
        <f t="shared" si="9847"/>
        <v>0</v>
      </c>
      <c r="N5141" s="1" t="str">
        <f t="shared" si="9847"/>
        <v>0</v>
      </c>
      <c r="O5141" s="1" t="str">
        <f t="shared" si="9847"/>
        <v>0</v>
      </c>
      <c r="P5141" s="1" t="str">
        <f t="shared" si="9847"/>
        <v>0</v>
      </c>
      <c r="Q5141" s="1" t="str">
        <f t="shared" si="9808"/>
        <v>0.0070</v>
      </c>
      <c r="R5141" s="1" t="s">
        <v>25</v>
      </c>
      <c r="T5141" s="1" t="str">
        <f t="shared" si="9809"/>
        <v>0</v>
      </c>
      <c r="U5141" s="1" t="str">
        <f t="shared" si="9818"/>
        <v>0.0070</v>
      </c>
    </row>
    <row r="5142" s="1" customFormat="1" spans="1:21">
      <c r="A5142" s="1" t="str">
        <f>"4601992003683"</f>
        <v>4601992003683</v>
      </c>
      <c r="B5142" s="1" t="s">
        <v>5165</v>
      </c>
      <c r="C5142" s="1" t="s">
        <v>24</v>
      </c>
      <c r="D5142" s="1" t="str">
        <f t="shared" si="9805"/>
        <v>2021</v>
      </c>
      <c r="E5142" s="1" t="str">
        <f>"12.09"</f>
        <v>12.09</v>
      </c>
      <c r="F5142" s="1" t="str">
        <f t="shared" ref="F5142:I5142" si="9848">"0"</f>
        <v>0</v>
      </c>
      <c r="G5142" s="1" t="str">
        <f t="shared" si="9848"/>
        <v>0</v>
      </c>
      <c r="H5142" s="1" t="str">
        <f t="shared" si="9848"/>
        <v>0</v>
      </c>
      <c r="I5142" s="1" t="str">
        <f t="shared" si="9848"/>
        <v>0</v>
      </c>
      <c r="J5142" s="1" t="str">
        <f>"3"</f>
        <v>3</v>
      </c>
      <c r="K5142" s="1" t="str">
        <f t="shared" ref="K5142:P5142" si="9849">"0"</f>
        <v>0</v>
      </c>
      <c r="L5142" s="1" t="str">
        <f t="shared" si="9849"/>
        <v>0</v>
      </c>
      <c r="M5142" s="1" t="str">
        <f t="shared" si="9849"/>
        <v>0</v>
      </c>
      <c r="N5142" s="1" t="str">
        <f t="shared" si="9849"/>
        <v>0</v>
      </c>
      <c r="O5142" s="1" t="str">
        <f t="shared" si="9849"/>
        <v>0</v>
      </c>
      <c r="P5142" s="1" t="str">
        <f t="shared" si="9849"/>
        <v>0</v>
      </c>
      <c r="Q5142" s="1" t="str">
        <f t="shared" si="9808"/>
        <v>0.0070</v>
      </c>
      <c r="R5142" s="1" t="s">
        <v>29</v>
      </c>
      <c r="S5142" s="1">
        <v>-0.0014</v>
      </c>
      <c r="T5142" s="1" t="str">
        <f t="shared" si="9809"/>
        <v>0</v>
      </c>
      <c r="U5142" s="1" t="str">
        <f>"0.0056"</f>
        <v>0.0056</v>
      </c>
    </row>
    <row r="5143" s="1" customFormat="1" spans="1:21">
      <c r="A5143" s="1" t="str">
        <f>"4601992161195"</f>
        <v>4601992161195</v>
      </c>
      <c r="B5143" s="1" t="s">
        <v>5166</v>
      </c>
      <c r="C5143" s="1" t="s">
        <v>24</v>
      </c>
      <c r="D5143" s="1" t="str">
        <f t="shared" si="9805"/>
        <v>2021</v>
      </c>
      <c r="E5143" s="1" t="str">
        <f t="shared" ref="E5143:I5143" si="9850">"0"</f>
        <v>0</v>
      </c>
      <c r="F5143" s="1" t="str">
        <f t="shared" si="9850"/>
        <v>0</v>
      </c>
      <c r="G5143" s="1" t="str">
        <f t="shared" si="9850"/>
        <v>0</v>
      </c>
      <c r="H5143" s="1" t="str">
        <f t="shared" si="9850"/>
        <v>0</v>
      </c>
      <c r="I5143" s="1" t="str">
        <f t="shared" si="9850"/>
        <v>0</v>
      </c>
      <c r="J5143" s="1" t="str">
        <f>"1"</f>
        <v>1</v>
      </c>
      <c r="K5143" s="1" t="str">
        <f t="shared" ref="K5143:P5143" si="9851">"0"</f>
        <v>0</v>
      </c>
      <c r="L5143" s="1" t="str">
        <f t="shared" si="9851"/>
        <v>0</v>
      </c>
      <c r="M5143" s="1" t="str">
        <f t="shared" si="9851"/>
        <v>0</v>
      </c>
      <c r="N5143" s="1" t="str">
        <f t="shared" si="9851"/>
        <v>0</v>
      </c>
      <c r="O5143" s="1" t="str">
        <f t="shared" si="9851"/>
        <v>0</v>
      </c>
      <c r="P5143" s="1" t="str">
        <f t="shared" si="9851"/>
        <v>0</v>
      </c>
      <c r="Q5143" s="1" t="str">
        <f t="shared" si="9808"/>
        <v>0.0070</v>
      </c>
      <c r="R5143" s="1" t="s">
        <v>25</v>
      </c>
      <c r="T5143" s="1" t="str">
        <f t="shared" si="9809"/>
        <v>0</v>
      </c>
      <c r="U5143" s="1" t="str">
        <f t="shared" ref="U5143:U5155" si="9852">"0.0070"</f>
        <v>0.0070</v>
      </c>
    </row>
    <row r="5144" s="1" customFormat="1" spans="1:21">
      <c r="A5144" s="1" t="str">
        <f>"4601992161313"</f>
        <v>4601992161313</v>
      </c>
      <c r="B5144" s="1" t="s">
        <v>5167</v>
      </c>
      <c r="C5144" s="1" t="s">
        <v>24</v>
      </c>
      <c r="D5144" s="1" t="str">
        <f t="shared" si="9805"/>
        <v>2021</v>
      </c>
      <c r="E5144" s="1" t="str">
        <f t="shared" ref="E5144:P5144" si="9853">"0"</f>
        <v>0</v>
      </c>
      <c r="F5144" s="1" t="str">
        <f t="shared" si="9853"/>
        <v>0</v>
      </c>
      <c r="G5144" s="1" t="str">
        <f t="shared" si="9853"/>
        <v>0</v>
      </c>
      <c r="H5144" s="1" t="str">
        <f t="shared" si="9853"/>
        <v>0</v>
      </c>
      <c r="I5144" s="1" t="str">
        <f t="shared" si="9853"/>
        <v>0</v>
      </c>
      <c r="J5144" s="1" t="str">
        <f t="shared" si="9853"/>
        <v>0</v>
      </c>
      <c r="K5144" s="1" t="str">
        <f t="shared" si="9853"/>
        <v>0</v>
      </c>
      <c r="L5144" s="1" t="str">
        <f t="shared" si="9853"/>
        <v>0</v>
      </c>
      <c r="M5144" s="1" t="str">
        <f t="shared" si="9853"/>
        <v>0</v>
      </c>
      <c r="N5144" s="1" t="str">
        <f t="shared" si="9853"/>
        <v>0</v>
      </c>
      <c r="O5144" s="1" t="str">
        <f t="shared" si="9853"/>
        <v>0</v>
      </c>
      <c r="P5144" s="1" t="str">
        <f t="shared" si="9853"/>
        <v>0</v>
      </c>
      <c r="Q5144" s="1" t="str">
        <f t="shared" si="9808"/>
        <v>0.0070</v>
      </c>
      <c r="R5144" s="1" t="s">
        <v>25</v>
      </c>
      <c r="T5144" s="1" t="str">
        <f t="shared" si="9809"/>
        <v>0</v>
      </c>
      <c r="U5144" s="1" t="str">
        <f t="shared" si="9852"/>
        <v>0.0070</v>
      </c>
    </row>
    <row r="5145" s="1" customFormat="1" spans="1:21">
      <c r="A5145" s="1" t="str">
        <f>"4601992161644"</f>
        <v>4601992161644</v>
      </c>
      <c r="B5145" s="1" t="s">
        <v>5168</v>
      </c>
      <c r="C5145" s="1" t="s">
        <v>24</v>
      </c>
      <c r="D5145" s="1" t="str">
        <f t="shared" si="9805"/>
        <v>2021</v>
      </c>
      <c r="E5145" s="1" t="str">
        <f t="shared" ref="E5145:P5145" si="9854">"0"</f>
        <v>0</v>
      </c>
      <c r="F5145" s="1" t="str">
        <f t="shared" si="9854"/>
        <v>0</v>
      </c>
      <c r="G5145" s="1" t="str">
        <f t="shared" si="9854"/>
        <v>0</v>
      </c>
      <c r="H5145" s="1" t="str">
        <f t="shared" si="9854"/>
        <v>0</v>
      </c>
      <c r="I5145" s="1" t="str">
        <f t="shared" si="9854"/>
        <v>0</v>
      </c>
      <c r="J5145" s="1" t="str">
        <f t="shared" si="9854"/>
        <v>0</v>
      </c>
      <c r="K5145" s="1" t="str">
        <f t="shared" si="9854"/>
        <v>0</v>
      </c>
      <c r="L5145" s="1" t="str">
        <f t="shared" si="9854"/>
        <v>0</v>
      </c>
      <c r="M5145" s="1" t="str">
        <f t="shared" si="9854"/>
        <v>0</v>
      </c>
      <c r="N5145" s="1" t="str">
        <f t="shared" si="9854"/>
        <v>0</v>
      </c>
      <c r="O5145" s="1" t="str">
        <f t="shared" si="9854"/>
        <v>0</v>
      </c>
      <c r="P5145" s="1" t="str">
        <f t="shared" si="9854"/>
        <v>0</v>
      </c>
      <c r="Q5145" s="1" t="str">
        <f t="shared" si="9808"/>
        <v>0.0070</v>
      </c>
      <c r="R5145" s="1" t="s">
        <v>25</v>
      </c>
      <c r="T5145" s="1" t="str">
        <f t="shared" si="9809"/>
        <v>0</v>
      </c>
      <c r="U5145" s="1" t="str">
        <f t="shared" si="9852"/>
        <v>0.0070</v>
      </c>
    </row>
    <row r="5146" s="1" customFormat="1" spans="1:21">
      <c r="A5146" s="1" t="str">
        <f>"4601992161399"</f>
        <v>4601992161399</v>
      </c>
      <c r="B5146" s="1" t="s">
        <v>5169</v>
      </c>
      <c r="C5146" s="1" t="s">
        <v>24</v>
      </c>
      <c r="D5146" s="1" t="str">
        <f t="shared" si="9805"/>
        <v>2021</v>
      </c>
      <c r="E5146" s="1" t="str">
        <f t="shared" ref="E5146:P5146" si="9855">"0"</f>
        <v>0</v>
      </c>
      <c r="F5146" s="1" t="str">
        <f t="shared" si="9855"/>
        <v>0</v>
      </c>
      <c r="G5146" s="1" t="str">
        <f t="shared" si="9855"/>
        <v>0</v>
      </c>
      <c r="H5146" s="1" t="str">
        <f t="shared" si="9855"/>
        <v>0</v>
      </c>
      <c r="I5146" s="1" t="str">
        <f t="shared" si="9855"/>
        <v>0</v>
      </c>
      <c r="J5146" s="1" t="str">
        <f t="shared" si="9855"/>
        <v>0</v>
      </c>
      <c r="K5146" s="1" t="str">
        <f t="shared" si="9855"/>
        <v>0</v>
      </c>
      <c r="L5146" s="1" t="str">
        <f t="shared" si="9855"/>
        <v>0</v>
      </c>
      <c r="M5146" s="1" t="str">
        <f t="shared" si="9855"/>
        <v>0</v>
      </c>
      <c r="N5146" s="1" t="str">
        <f t="shared" si="9855"/>
        <v>0</v>
      </c>
      <c r="O5146" s="1" t="str">
        <f t="shared" si="9855"/>
        <v>0</v>
      </c>
      <c r="P5146" s="1" t="str">
        <f t="shared" si="9855"/>
        <v>0</v>
      </c>
      <c r="Q5146" s="1" t="str">
        <f t="shared" si="9808"/>
        <v>0.0070</v>
      </c>
      <c r="R5146" s="1" t="s">
        <v>25</v>
      </c>
      <c r="T5146" s="1" t="str">
        <f t="shared" si="9809"/>
        <v>0</v>
      </c>
      <c r="U5146" s="1" t="str">
        <f t="shared" si="9852"/>
        <v>0.0070</v>
      </c>
    </row>
    <row r="5147" s="1" customFormat="1" spans="1:21">
      <c r="A5147" s="1" t="str">
        <f>"4601992162187"</f>
        <v>4601992162187</v>
      </c>
      <c r="B5147" s="1" t="s">
        <v>5170</v>
      </c>
      <c r="C5147" s="1" t="s">
        <v>24</v>
      </c>
      <c r="D5147" s="1" t="str">
        <f t="shared" si="9805"/>
        <v>2021</v>
      </c>
      <c r="E5147" s="1" t="str">
        <f t="shared" ref="E5147:P5147" si="9856">"0"</f>
        <v>0</v>
      </c>
      <c r="F5147" s="1" t="str">
        <f t="shared" si="9856"/>
        <v>0</v>
      </c>
      <c r="G5147" s="1" t="str">
        <f t="shared" si="9856"/>
        <v>0</v>
      </c>
      <c r="H5147" s="1" t="str">
        <f t="shared" si="9856"/>
        <v>0</v>
      </c>
      <c r="I5147" s="1" t="str">
        <f t="shared" si="9856"/>
        <v>0</v>
      </c>
      <c r="J5147" s="1" t="str">
        <f t="shared" si="9856"/>
        <v>0</v>
      </c>
      <c r="K5147" s="1" t="str">
        <f t="shared" si="9856"/>
        <v>0</v>
      </c>
      <c r="L5147" s="1" t="str">
        <f t="shared" si="9856"/>
        <v>0</v>
      </c>
      <c r="M5147" s="1" t="str">
        <f t="shared" si="9856"/>
        <v>0</v>
      </c>
      <c r="N5147" s="1" t="str">
        <f t="shared" si="9856"/>
        <v>0</v>
      </c>
      <c r="O5147" s="1" t="str">
        <f t="shared" si="9856"/>
        <v>0</v>
      </c>
      <c r="P5147" s="1" t="str">
        <f t="shared" si="9856"/>
        <v>0</v>
      </c>
      <c r="Q5147" s="1" t="str">
        <f t="shared" si="9808"/>
        <v>0.0070</v>
      </c>
      <c r="R5147" s="1" t="s">
        <v>25</v>
      </c>
      <c r="T5147" s="1" t="str">
        <f t="shared" si="9809"/>
        <v>0</v>
      </c>
      <c r="U5147" s="1" t="str">
        <f t="shared" si="9852"/>
        <v>0.0070</v>
      </c>
    </row>
    <row r="5148" s="1" customFormat="1" spans="1:21">
      <c r="A5148" s="1" t="str">
        <f>"4601992162274"</f>
        <v>4601992162274</v>
      </c>
      <c r="B5148" s="1" t="s">
        <v>5171</v>
      </c>
      <c r="C5148" s="1" t="s">
        <v>24</v>
      </c>
      <c r="D5148" s="1" t="str">
        <f t="shared" si="9805"/>
        <v>2021</v>
      </c>
      <c r="E5148" s="1" t="str">
        <f t="shared" ref="E5148:P5148" si="9857">"0"</f>
        <v>0</v>
      </c>
      <c r="F5148" s="1" t="str">
        <f t="shared" si="9857"/>
        <v>0</v>
      </c>
      <c r="G5148" s="1" t="str">
        <f t="shared" si="9857"/>
        <v>0</v>
      </c>
      <c r="H5148" s="1" t="str">
        <f t="shared" si="9857"/>
        <v>0</v>
      </c>
      <c r="I5148" s="1" t="str">
        <f t="shared" si="9857"/>
        <v>0</v>
      </c>
      <c r="J5148" s="1" t="str">
        <f t="shared" si="9857"/>
        <v>0</v>
      </c>
      <c r="K5148" s="1" t="str">
        <f t="shared" si="9857"/>
        <v>0</v>
      </c>
      <c r="L5148" s="1" t="str">
        <f t="shared" si="9857"/>
        <v>0</v>
      </c>
      <c r="M5148" s="1" t="str">
        <f t="shared" si="9857"/>
        <v>0</v>
      </c>
      <c r="N5148" s="1" t="str">
        <f t="shared" si="9857"/>
        <v>0</v>
      </c>
      <c r="O5148" s="1" t="str">
        <f t="shared" si="9857"/>
        <v>0</v>
      </c>
      <c r="P5148" s="1" t="str">
        <f t="shared" si="9857"/>
        <v>0</v>
      </c>
      <c r="Q5148" s="1" t="str">
        <f t="shared" si="9808"/>
        <v>0.0070</v>
      </c>
      <c r="R5148" s="1" t="s">
        <v>25</v>
      </c>
      <c r="T5148" s="1" t="str">
        <f t="shared" si="9809"/>
        <v>0</v>
      </c>
      <c r="U5148" s="1" t="str">
        <f t="shared" si="9852"/>
        <v>0.0070</v>
      </c>
    </row>
    <row r="5149" s="1" customFormat="1" spans="1:21">
      <c r="A5149" s="1" t="str">
        <f>"4601992162297"</f>
        <v>4601992162297</v>
      </c>
      <c r="B5149" s="1" t="s">
        <v>5172</v>
      </c>
      <c r="C5149" s="1" t="s">
        <v>24</v>
      </c>
      <c r="D5149" s="1" t="str">
        <f t="shared" si="9805"/>
        <v>2021</v>
      </c>
      <c r="E5149" s="1" t="str">
        <f t="shared" ref="E5149:P5149" si="9858">"0"</f>
        <v>0</v>
      </c>
      <c r="F5149" s="1" t="str">
        <f t="shared" si="9858"/>
        <v>0</v>
      </c>
      <c r="G5149" s="1" t="str">
        <f t="shared" si="9858"/>
        <v>0</v>
      </c>
      <c r="H5149" s="1" t="str">
        <f t="shared" si="9858"/>
        <v>0</v>
      </c>
      <c r="I5149" s="1" t="str">
        <f t="shared" si="9858"/>
        <v>0</v>
      </c>
      <c r="J5149" s="1" t="str">
        <f t="shared" si="9858"/>
        <v>0</v>
      </c>
      <c r="K5149" s="1" t="str">
        <f t="shared" si="9858"/>
        <v>0</v>
      </c>
      <c r="L5149" s="1" t="str">
        <f t="shared" si="9858"/>
        <v>0</v>
      </c>
      <c r="M5149" s="1" t="str">
        <f t="shared" si="9858"/>
        <v>0</v>
      </c>
      <c r="N5149" s="1" t="str">
        <f t="shared" si="9858"/>
        <v>0</v>
      </c>
      <c r="O5149" s="1" t="str">
        <f t="shared" si="9858"/>
        <v>0</v>
      </c>
      <c r="P5149" s="1" t="str">
        <f t="shared" si="9858"/>
        <v>0</v>
      </c>
      <c r="Q5149" s="1" t="str">
        <f t="shared" si="9808"/>
        <v>0.0070</v>
      </c>
      <c r="R5149" s="1" t="s">
        <v>25</v>
      </c>
      <c r="T5149" s="1" t="str">
        <f t="shared" si="9809"/>
        <v>0</v>
      </c>
      <c r="U5149" s="1" t="str">
        <f t="shared" si="9852"/>
        <v>0.0070</v>
      </c>
    </row>
    <row r="5150" s="1" customFormat="1" spans="1:21">
      <c r="A5150" s="1" t="str">
        <f>"4601992162696"</f>
        <v>4601992162696</v>
      </c>
      <c r="B5150" s="1" t="s">
        <v>5173</v>
      </c>
      <c r="C5150" s="1" t="s">
        <v>24</v>
      </c>
      <c r="D5150" s="1" t="str">
        <f t="shared" si="9805"/>
        <v>2021</v>
      </c>
      <c r="E5150" s="1" t="str">
        <f t="shared" ref="E5150:P5150" si="9859">"0"</f>
        <v>0</v>
      </c>
      <c r="F5150" s="1" t="str">
        <f t="shared" si="9859"/>
        <v>0</v>
      </c>
      <c r="G5150" s="1" t="str">
        <f t="shared" si="9859"/>
        <v>0</v>
      </c>
      <c r="H5150" s="1" t="str">
        <f t="shared" si="9859"/>
        <v>0</v>
      </c>
      <c r="I5150" s="1" t="str">
        <f t="shared" si="9859"/>
        <v>0</v>
      </c>
      <c r="J5150" s="1" t="str">
        <f t="shared" si="9859"/>
        <v>0</v>
      </c>
      <c r="K5150" s="1" t="str">
        <f t="shared" si="9859"/>
        <v>0</v>
      </c>
      <c r="L5150" s="1" t="str">
        <f t="shared" si="9859"/>
        <v>0</v>
      </c>
      <c r="M5150" s="1" t="str">
        <f t="shared" si="9859"/>
        <v>0</v>
      </c>
      <c r="N5150" s="1" t="str">
        <f t="shared" si="9859"/>
        <v>0</v>
      </c>
      <c r="O5150" s="1" t="str">
        <f t="shared" si="9859"/>
        <v>0</v>
      </c>
      <c r="P5150" s="1" t="str">
        <f t="shared" si="9859"/>
        <v>0</v>
      </c>
      <c r="Q5150" s="1" t="str">
        <f t="shared" si="9808"/>
        <v>0.0070</v>
      </c>
      <c r="R5150" s="1" t="s">
        <v>25</v>
      </c>
      <c r="T5150" s="1" t="str">
        <f t="shared" si="9809"/>
        <v>0</v>
      </c>
      <c r="U5150" s="1" t="str">
        <f t="shared" si="9852"/>
        <v>0.0070</v>
      </c>
    </row>
    <row r="5151" s="1" customFormat="1" spans="1:21">
      <c r="A5151" s="1" t="str">
        <f>"4601992163082"</f>
        <v>4601992163082</v>
      </c>
      <c r="B5151" s="1" t="s">
        <v>5174</v>
      </c>
      <c r="C5151" s="1" t="s">
        <v>24</v>
      </c>
      <c r="D5151" s="1" t="str">
        <f t="shared" si="9805"/>
        <v>2021</v>
      </c>
      <c r="E5151" s="1" t="str">
        <f t="shared" ref="E5151:P5151" si="9860">"0"</f>
        <v>0</v>
      </c>
      <c r="F5151" s="1" t="str">
        <f t="shared" si="9860"/>
        <v>0</v>
      </c>
      <c r="G5151" s="1" t="str">
        <f t="shared" si="9860"/>
        <v>0</v>
      </c>
      <c r="H5151" s="1" t="str">
        <f t="shared" si="9860"/>
        <v>0</v>
      </c>
      <c r="I5151" s="1" t="str">
        <f t="shared" si="9860"/>
        <v>0</v>
      </c>
      <c r="J5151" s="1" t="str">
        <f t="shared" si="9860"/>
        <v>0</v>
      </c>
      <c r="K5151" s="1" t="str">
        <f t="shared" si="9860"/>
        <v>0</v>
      </c>
      <c r="L5151" s="1" t="str">
        <f t="shared" si="9860"/>
        <v>0</v>
      </c>
      <c r="M5151" s="1" t="str">
        <f t="shared" si="9860"/>
        <v>0</v>
      </c>
      <c r="N5151" s="1" t="str">
        <f t="shared" si="9860"/>
        <v>0</v>
      </c>
      <c r="O5151" s="1" t="str">
        <f t="shared" si="9860"/>
        <v>0</v>
      </c>
      <c r="P5151" s="1" t="str">
        <f t="shared" si="9860"/>
        <v>0</v>
      </c>
      <c r="Q5151" s="1" t="str">
        <f t="shared" si="9808"/>
        <v>0.0070</v>
      </c>
      <c r="R5151" s="1" t="s">
        <v>25</v>
      </c>
      <c r="T5151" s="1" t="str">
        <f t="shared" si="9809"/>
        <v>0</v>
      </c>
      <c r="U5151" s="1" t="str">
        <f t="shared" si="9852"/>
        <v>0.0070</v>
      </c>
    </row>
    <row r="5152" s="1" customFormat="1" spans="1:21">
      <c r="A5152" s="1" t="str">
        <f>"4601992163709"</f>
        <v>4601992163709</v>
      </c>
      <c r="B5152" s="1" t="s">
        <v>5175</v>
      </c>
      <c r="C5152" s="1" t="s">
        <v>24</v>
      </c>
      <c r="D5152" s="1" t="str">
        <f t="shared" si="9805"/>
        <v>2021</v>
      </c>
      <c r="E5152" s="1" t="str">
        <f t="shared" ref="E5152:P5152" si="9861">"0"</f>
        <v>0</v>
      </c>
      <c r="F5152" s="1" t="str">
        <f t="shared" si="9861"/>
        <v>0</v>
      </c>
      <c r="G5152" s="1" t="str">
        <f t="shared" si="9861"/>
        <v>0</v>
      </c>
      <c r="H5152" s="1" t="str">
        <f t="shared" si="9861"/>
        <v>0</v>
      </c>
      <c r="I5152" s="1" t="str">
        <f t="shared" si="9861"/>
        <v>0</v>
      </c>
      <c r="J5152" s="1" t="str">
        <f t="shared" si="9861"/>
        <v>0</v>
      </c>
      <c r="K5152" s="1" t="str">
        <f t="shared" si="9861"/>
        <v>0</v>
      </c>
      <c r="L5152" s="1" t="str">
        <f t="shared" si="9861"/>
        <v>0</v>
      </c>
      <c r="M5152" s="1" t="str">
        <f t="shared" si="9861"/>
        <v>0</v>
      </c>
      <c r="N5152" s="1" t="str">
        <f t="shared" si="9861"/>
        <v>0</v>
      </c>
      <c r="O5152" s="1" t="str">
        <f t="shared" si="9861"/>
        <v>0</v>
      </c>
      <c r="P5152" s="1" t="str">
        <f t="shared" si="9861"/>
        <v>0</v>
      </c>
      <c r="Q5152" s="1" t="str">
        <f t="shared" si="9808"/>
        <v>0.0070</v>
      </c>
      <c r="R5152" s="1" t="s">
        <v>25</v>
      </c>
      <c r="T5152" s="1" t="str">
        <f t="shared" si="9809"/>
        <v>0</v>
      </c>
      <c r="U5152" s="1" t="str">
        <f t="shared" si="9852"/>
        <v>0.0070</v>
      </c>
    </row>
    <row r="5153" s="1" customFormat="1" spans="1:21">
      <c r="A5153" s="1" t="str">
        <f>"4601992163711"</f>
        <v>4601992163711</v>
      </c>
      <c r="B5153" s="1" t="s">
        <v>5176</v>
      </c>
      <c r="C5153" s="1" t="s">
        <v>24</v>
      </c>
      <c r="D5153" s="1" t="str">
        <f t="shared" si="9805"/>
        <v>2021</v>
      </c>
      <c r="E5153" s="1" t="str">
        <f t="shared" ref="E5153:P5153" si="9862">"0"</f>
        <v>0</v>
      </c>
      <c r="F5153" s="1" t="str">
        <f t="shared" si="9862"/>
        <v>0</v>
      </c>
      <c r="G5153" s="1" t="str">
        <f t="shared" si="9862"/>
        <v>0</v>
      </c>
      <c r="H5153" s="1" t="str">
        <f t="shared" si="9862"/>
        <v>0</v>
      </c>
      <c r="I5153" s="1" t="str">
        <f t="shared" si="9862"/>
        <v>0</v>
      </c>
      <c r="J5153" s="1" t="str">
        <f t="shared" si="9862"/>
        <v>0</v>
      </c>
      <c r="K5153" s="1" t="str">
        <f t="shared" si="9862"/>
        <v>0</v>
      </c>
      <c r="L5153" s="1" t="str">
        <f t="shared" si="9862"/>
        <v>0</v>
      </c>
      <c r="M5153" s="1" t="str">
        <f t="shared" si="9862"/>
        <v>0</v>
      </c>
      <c r="N5153" s="1" t="str">
        <f t="shared" si="9862"/>
        <v>0</v>
      </c>
      <c r="O5153" s="1" t="str">
        <f t="shared" si="9862"/>
        <v>0</v>
      </c>
      <c r="P5153" s="1" t="str">
        <f t="shared" si="9862"/>
        <v>0</v>
      </c>
      <c r="Q5153" s="1" t="str">
        <f t="shared" si="9808"/>
        <v>0.0070</v>
      </c>
      <c r="R5153" s="1" t="s">
        <v>25</v>
      </c>
      <c r="T5153" s="1" t="str">
        <f t="shared" si="9809"/>
        <v>0</v>
      </c>
      <c r="U5153" s="1" t="str">
        <f t="shared" si="9852"/>
        <v>0.0070</v>
      </c>
    </row>
    <row r="5154" s="1" customFormat="1" spans="1:21">
      <c r="A5154" s="1" t="str">
        <f>"4601992001667"</f>
        <v>4601992001667</v>
      </c>
      <c r="B5154" s="1" t="s">
        <v>5177</v>
      </c>
      <c r="C5154" s="1" t="s">
        <v>24</v>
      </c>
      <c r="D5154" s="1" t="str">
        <f t="shared" si="9805"/>
        <v>2021</v>
      </c>
      <c r="E5154" s="1" t="str">
        <f t="shared" ref="E5154:I5154" si="9863">"0"</f>
        <v>0</v>
      </c>
      <c r="F5154" s="1" t="str">
        <f t="shared" si="9863"/>
        <v>0</v>
      </c>
      <c r="G5154" s="1" t="str">
        <f t="shared" si="9863"/>
        <v>0</v>
      </c>
      <c r="H5154" s="1" t="str">
        <f t="shared" si="9863"/>
        <v>0</v>
      </c>
      <c r="I5154" s="1" t="str">
        <f t="shared" si="9863"/>
        <v>0</v>
      </c>
      <c r="J5154" s="1" t="str">
        <f>"3"</f>
        <v>3</v>
      </c>
      <c r="K5154" s="1" t="str">
        <f t="shared" ref="K5154:P5154" si="9864">"0"</f>
        <v>0</v>
      </c>
      <c r="L5154" s="1" t="str">
        <f t="shared" si="9864"/>
        <v>0</v>
      </c>
      <c r="M5154" s="1" t="str">
        <f t="shared" si="9864"/>
        <v>0</v>
      </c>
      <c r="N5154" s="1" t="str">
        <f t="shared" si="9864"/>
        <v>0</v>
      </c>
      <c r="O5154" s="1" t="str">
        <f t="shared" si="9864"/>
        <v>0</v>
      </c>
      <c r="P5154" s="1" t="str">
        <f t="shared" si="9864"/>
        <v>0</v>
      </c>
      <c r="Q5154" s="1" t="str">
        <f t="shared" si="9808"/>
        <v>0.0070</v>
      </c>
      <c r="R5154" s="1" t="s">
        <v>25</v>
      </c>
      <c r="T5154" s="1" t="str">
        <f t="shared" si="9809"/>
        <v>0</v>
      </c>
      <c r="U5154" s="1" t="str">
        <f t="shared" si="9852"/>
        <v>0.0070</v>
      </c>
    </row>
    <row r="5155" s="1" customFormat="1" spans="1:21">
      <c r="A5155" s="1" t="str">
        <f>"4601992164398"</f>
        <v>4601992164398</v>
      </c>
      <c r="B5155" s="1" t="s">
        <v>5178</v>
      </c>
      <c r="C5155" s="1" t="s">
        <v>24</v>
      </c>
      <c r="D5155" s="1" t="str">
        <f t="shared" si="9805"/>
        <v>2021</v>
      </c>
      <c r="E5155" s="1" t="str">
        <f t="shared" ref="E5155:P5155" si="9865">"0"</f>
        <v>0</v>
      </c>
      <c r="F5155" s="1" t="str">
        <f t="shared" si="9865"/>
        <v>0</v>
      </c>
      <c r="G5155" s="1" t="str">
        <f t="shared" si="9865"/>
        <v>0</v>
      </c>
      <c r="H5155" s="1" t="str">
        <f t="shared" si="9865"/>
        <v>0</v>
      </c>
      <c r="I5155" s="1" t="str">
        <f t="shared" si="9865"/>
        <v>0</v>
      </c>
      <c r="J5155" s="1" t="str">
        <f t="shared" si="9865"/>
        <v>0</v>
      </c>
      <c r="K5155" s="1" t="str">
        <f t="shared" si="9865"/>
        <v>0</v>
      </c>
      <c r="L5155" s="1" t="str">
        <f t="shared" si="9865"/>
        <v>0</v>
      </c>
      <c r="M5155" s="1" t="str">
        <f t="shared" si="9865"/>
        <v>0</v>
      </c>
      <c r="N5155" s="1" t="str">
        <f t="shared" si="9865"/>
        <v>0</v>
      </c>
      <c r="O5155" s="1" t="str">
        <f t="shared" si="9865"/>
        <v>0</v>
      </c>
      <c r="P5155" s="1" t="str">
        <f t="shared" si="9865"/>
        <v>0</v>
      </c>
      <c r="Q5155" s="1" t="str">
        <f t="shared" si="9808"/>
        <v>0.0070</v>
      </c>
      <c r="R5155" s="1" t="s">
        <v>25</v>
      </c>
      <c r="T5155" s="1" t="str">
        <f t="shared" si="9809"/>
        <v>0</v>
      </c>
      <c r="U5155" s="1" t="str">
        <f t="shared" si="9852"/>
        <v>0.0070</v>
      </c>
    </row>
    <row r="5156" s="1" customFormat="1" spans="1:21">
      <c r="A5156" s="1" t="str">
        <f>"4601991408219"</f>
        <v>4601991408219</v>
      </c>
      <c r="B5156" s="1" t="s">
        <v>5179</v>
      </c>
      <c r="C5156" s="1" t="s">
        <v>24</v>
      </c>
      <c r="D5156" s="1" t="str">
        <f t="shared" si="9805"/>
        <v>2021</v>
      </c>
      <c r="E5156" s="1" t="str">
        <f>"1130.77"</f>
        <v>1130.77</v>
      </c>
      <c r="F5156" s="1" t="str">
        <f>"6325.00"</f>
        <v>6325.00</v>
      </c>
      <c r="G5156" s="1" t="str">
        <f t="shared" ref="G5156:P5156" si="9866">"0"</f>
        <v>0</v>
      </c>
      <c r="H5156" s="1" t="str">
        <f t="shared" si="9866"/>
        <v>0</v>
      </c>
      <c r="I5156" s="1" t="str">
        <f>"5.5935"</f>
        <v>5.5935</v>
      </c>
      <c r="J5156" s="1" t="str">
        <f>"88"</f>
        <v>88</v>
      </c>
      <c r="K5156" s="1" t="str">
        <f t="shared" si="9866"/>
        <v>0</v>
      </c>
      <c r="L5156" s="1" t="str">
        <f t="shared" si="9866"/>
        <v>0</v>
      </c>
      <c r="M5156" s="1" t="str">
        <f t="shared" si="9866"/>
        <v>0</v>
      </c>
      <c r="N5156" s="1" t="str">
        <f t="shared" si="9866"/>
        <v>0</v>
      </c>
      <c r="O5156" s="1" t="str">
        <f t="shared" si="9866"/>
        <v>0</v>
      </c>
      <c r="P5156" s="1" t="str">
        <f t="shared" si="9866"/>
        <v>0</v>
      </c>
      <c r="Q5156" s="1" t="str">
        <f t="shared" si="9808"/>
        <v>0.0070</v>
      </c>
      <c r="R5156" s="1" t="s">
        <v>69</v>
      </c>
      <c r="S5156" s="1" t="str">
        <f>"0.0014"</f>
        <v>0.0014</v>
      </c>
      <c r="T5156" s="1" t="str">
        <f t="shared" si="9809"/>
        <v>0</v>
      </c>
      <c r="U5156" s="1" t="str">
        <f>"0.0084"</f>
        <v>0.0084</v>
      </c>
    </row>
    <row r="5157" s="1" customFormat="1" spans="1:21">
      <c r="A5157" s="1" t="str">
        <f>"4601992164702"</f>
        <v>4601992164702</v>
      </c>
      <c r="B5157" s="1" t="s">
        <v>5180</v>
      </c>
      <c r="C5157" s="1" t="s">
        <v>24</v>
      </c>
      <c r="D5157" s="1" t="str">
        <f t="shared" si="9805"/>
        <v>2021</v>
      </c>
      <c r="E5157" s="1" t="str">
        <f t="shared" ref="E5157:P5157" si="9867">"0"</f>
        <v>0</v>
      </c>
      <c r="F5157" s="1" t="str">
        <f t="shared" si="9867"/>
        <v>0</v>
      </c>
      <c r="G5157" s="1" t="str">
        <f t="shared" si="9867"/>
        <v>0</v>
      </c>
      <c r="H5157" s="1" t="str">
        <f t="shared" si="9867"/>
        <v>0</v>
      </c>
      <c r="I5157" s="1" t="str">
        <f t="shared" si="9867"/>
        <v>0</v>
      </c>
      <c r="J5157" s="1" t="str">
        <f t="shared" si="9867"/>
        <v>0</v>
      </c>
      <c r="K5157" s="1" t="str">
        <f t="shared" si="9867"/>
        <v>0</v>
      </c>
      <c r="L5157" s="1" t="str">
        <f t="shared" si="9867"/>
        <v>0</v>
      </c>
      <c r="M5157" s="1" t="str">
        <f t="shared" si="9867"/>
        <v>0</v>
      </c>
      <c r="N5157" s="1" t="str">
        <f t="shared" si="9867"/>
        <v>0</v>
      </c>
      <c r="O5157" s="1" t="str">
        <f t="shared" si="9867"/>
        <v>0</v>
      </c>
      <c r="P5157" s="1" t="str">
        <f t="shared" si="9867"/>
        <v>0</v>
      </c>
      <c r="Q5157" s="1" t="str">
        <f t="shared" si="9808"/>
        <v>0.0070</v>
      </c>
      <c r="R5157" s="1" t="s">
        <v>25</v>
      </c>
      <c r="T5157" s="1" t="str">
        <f t="shared" si="9809"/>
        <v>0</v>
      </c>
      <c r="U5157" s="1" t="str">
        <f t="shared" ref="U5157:U5220" si="9868">"0.0070"</f>
        <v>0.0070</v>
      </c>
    </row>
    <row r="5158" s="1" customFormat="1" spans="1:21">
      <c r="A5158" s="1" t="str">
        <f>"4601992163955"</f>
        <v>4601992163955</v>
      </c>
      <c r="B5158" s="1" t="s">
        <v>5181</v>
      </c>
      <c r="C5158" s="1" t="s">
        <v>24</v>
      </c>
      <c r="D5158" s="1" t="str">
        <f t="shared" si="9805"/>
        <v>2021</v>
      </c>
      <c r="E5158" s="1" t="str">
        <f t="shared" ref="E5158:I5158" si="9869">"0"</f>
        <v>0</v>
      </c>
      <c r="F5158" s="1" t="str">
        <f t="shared" si="9869"/>
        <v>0</v>
      </c>
      <c r="G5158" s="1" t="str">
        <f t="shared" si="9869"/>
        <v>0</v>
      </c>
      <c r="H5158" s="1" t="str">
        <f t="shared" si="9869"/>
        <v>0</v>
      </c>
      <c r="I5158" s="1" t="str">
        <f t="shared" si="9869"/>
        <v>0</v>
      </c>
      <c r="J5158" s="1" t="str">
        <f>"4"</f>
        <v>4</v>
      </c>
      <c r="K5158" s="1" t="str">
        <f t="shared" ref="K5158:P5158" si="9870">"0"</f>
        <v>0</v>
      </c>
      <c r="L5158" s="1" t="str">
        <f t="shared" si="9870"/>
        <v>0</v>
      </c>
      <c r="M5158" s="1" t="str">
        <f t="shared" si="9870"/>
        <v>0</v>
      </c>
      <c r="N5158" s="1" t="str">
        <f t="shared" si="9870"/>
        <v>0</v>
      </c>
      <c r="O5158" s="1" t="str">
        <f t="shared" si="9870"/>
        <v>0</v>
      </c>
      <c r="P5158" s="1" t="str">
        <f t="shared" si="9870"/>
        <v>0</v>
      </c>
      <c r="Q5158" s="1" t="str">
        <f t="shared" si="9808"/>
        <v>0.0070</v>
      </c>
      <c r="R5158" s="1" t="s">
        <v>25</v>
      </c>
      <c r="T5158" s="1" t="str">
        <f t="shared" si="9809"/>
        <v>0</v>
      </c>
      <c r="U5158" s="1" t="str">
        <f t="shared" si="9868"/>
        <v>0.0070</v>
      </c>
    </row>
    <row r="5159" s="1" customFormat="1" spans="1:21">
      <c r="A5159" s="1" t="str">
        <f>"4601992165064"</f>
        <v>4601992165064</v>
      </c>
      <c r="B5159" s="1" t="s">
        <v>5182</v>
      </c>
      <c r="C5159" s="1" t="s">
        <v>24</v>
      </c>
      <c r="D5159" s="1" t="str">
        <f t="shared" si="9805"/>
        <v>2021</v>
      </c>
      <c r="E5159" s="1" t="str">
        <f t="shared" ref="E5159:P5159" si="9871">"0"</f>
        <v>0</v>
      </c>
      <c r="F5159" s="1" t="str">
        <f t="shared" si="9871"/>
        <v>0</v>
      </c>
      <c r="G5159" s="1" t="str">
        <f t="shared" si="9871"/>
        <v>0</v>
      </c>
      <c r="H5159" s="1" t="str">
        <f t="shared" si="9871"/>
        <v>0</v>
      </c>
      <c r="I5159" s="1" t="str">
        <f t="shared" si="9871"/>
        <v>0</v>
      </c>
      <c r="J5159" s="1" t="str">
        <f t="shared" si="9871"/>
        <v>0</v>
      </c>
      <c r="K5159" s="1" t="str">
        <f t="shared" si="9871"/>
        <v>0</v>
      </c>
      <c r="L5159" s="1" t="str">
        <f t="shared" si="9871"/>
        <v>0</v>
      </c>
      <c r="M5159" s="1" t="str">
        <f t="shared" si="9871"/>
        <v>0</v>
      </c>
      <c r="N5159" s="1" t="str">
        <f t="shared" si="9871"/>
        <v>0</v>
      </c>
      <c r="O5159" s="1" t="str">
        <f t="shared" si="9871"/>
        <v>0</v>
      </c>
      <c r="P5159" s="1" t="str">
        <f t="shared" si="9871"/>
        <v>0</v>
      </c>
      <c r="Q5159" s="1" t="str">
        <f t="shared" si="9808"/>
        <v>0.0070</v>
      </c>
      <c r="R5159" s="1" t="s">
        <v>25</v>
      </c>
      <c r="T5159" s="1" t="str">
        <f t="shared" si="9809"/>
        <v>0</v>
      </c>
      <c r="U5159" s="1" t="str">
        <f t="shared" si="9868"/>
        <v>0.0070</v>
      </c>
    </row>
    <row r="5160" s="1" customFormat="1" spans="1:21">
      <c r="A5160" s="1" t="str">
        <f>"4601992164468"</f>
        <v>4601992164468</v>
      </c>
      <c r="B5160" s="1" t="s">
        <v>5183</v>
      </c>
      <c r="C5160" s="1" t="s">
        <v>24</v>
      </c>
      <c r="D5160" s="1" t="str">
        <f t="shared" si="9805"/>
        <v>2021</v>
      </c>
      <c r="E5160" s="1" t="str">
        <f t="shared" ref="E5160:I5160" si="9872">"0"</f>
        <v>0</v>
      </c>
      <c r="F5160" s="1" t="str">
        <f t="shared" si="9872"/>
        <v>0</v>
      </c>
      <c r="G5160" s="1" t="str">
        <f t="shared" si="9872"/>
        <v>0</v>
      </c>
      <c r="H5160" s="1" t="str">
        <f t="shared" si="9872"/>
        <v>0</v>
      </c>
      <c r="I5160" s="1" t="str">
        <f t="shared" si="9872"/>
        <v>0</v>
      </c>
      <c r="J5160" s="1" t="str">
        <f>"2"</f>
        <v>2</v>
      </c>
      <c r="K5160" s="1" t="str">
        <f t="shared" ref="K5160:P5160" si="9873">"0"</f>
        <v>0</v>
      </c>
      <c r="L5160" s="1" t="str">
        <f t="shared" si="9873"/>
        <v>0</v>
      </c>
      <c r="M5160" s="1" t="str">
        <f t="shared" si="9873"/>
        <v>0</v>
      </c>
      <c r="N5160" s="1" t="str">
        <f t="shared" si="9873"/>
        <v>0</v>
      </c>
      <c r="O5160" s="1" t="str">
        <f t="shared" si="9873"/>
        <v>0</v>
      </c>
      <c r="P5160" s="1" t="str">
        <f t="shared" si="9873"/>
        <v>0</v>
      </c>
      <c r="Q5160" s="1" t="str">
        <f t="shared" si="9808"/>
        <v>0.0070</v>
      </c>
      <c r="R5160" s="1" t="s">
        <v>25</v>
      </c>
      <c r="T5160" s="1" t="str">
        <f t="shared" si="9809"/>
        <v>0</v>
      </c>
      <c r="U5160" s="1" t="str">
        <f t="shared" si="9868"/>
        <v>0.0070</v>
      </c>
    </row>
    <row r="5161" s="1" customFormat="1" spans="1:21">
      <c r="A5161" s="1" t="str">
        <f>"4601992165340"</f>
        <v>4601992165340</v>
      </c>
      <c r="B5161" s="1" t="s">
        <v>5184</v>
      </c>
      <c r="C5161" s="1" t="s">
        <v>24</v>
      </c>
      <c r="D5161" s="1" t="str">
        <f t="shared" si="9805"/>
        <v>2021</v>
      </c>
      <c r="E5161" s="1" t="str">
        <f t="shared" ref="E5161:P5161" si="9874">"0"</f>
        <v>0</v>
      </c>
      <c r="F5161" s="1" t="str">
        <f t="shared" si="9874"/>
        <v>0</v>
      </c>
      <c r="G5161" s="1" t="str">
        <f t="shared" si="9874"/>
        <v>0</v>
      </c>
      <c r="H5161" s="1" t="str">
        <f t="shared" si="9874"/>
        <v>0</v>
      </c>
      <c r="I5161" s="1" t="str">
        <f t="shared" si="9874"/>
        <v>0</v>
      </c>
      <c r="J5161" s="1" t="str">
        <f t="shared" si="9874"/>
        <v>0</v>
      </c>
      <c r="K5161" s="1" t="str">
        <f t="shared" si="9874"/>
        <v>0</v>
      </c>
      <c r="L5161" s="1" t="str">
        <f t="shared" si="9874"/>
        <v>0</v>
      </c>
      <c r="M5161" s="1" t="str">
        <f t="shared" si="9874"/>
        <v>0</v>
      </c>
      <c r="N5161" s="1" t="str">
        <f t="shared" si="9874"/>
        <v>0</v>
      </c>
      <c r="O5161" s="1" t="str">
        <f t="shared" si="9874"/>
        <v>0</v>
      </c>
      <c r="P5161" s="1" t="str">
        <f t="shared" si="9874"/>
        <v>0</v>
      </c>
      <c r="Q5161" s="1" t="str">
        <f t="shared" si="9808"/>
        <v>0.0070</v>
      </c>
      <c r="R5161" s="1" t="s">
        <v>25</v>
      </c>
      <c r="T5161" s="1" t="str">
        <f t="shared" si="9809"/>
        <v>0</v>
      </c>
      <c r="U5161" s="1" t="str">
        <f t="shared" si="9868"/>
        <v>0.0070</v>
      </c>
    </row>
    <row r="5162" s="1" customFormat="1" spans="1:21">
      <c r="A5162" s="1" t="str">
        <f>"4601992165493"</f>
        <v>4601992165493</v>
      </c>
      <c r="B5162" s="1" t="s">
        <v>5185</v>
      </c>
      <c r="C5162" s="1" t="s">
        <v>24</v>
      </c>
      <c r="D5162" s="1" t="str">
        <f t="shared" si="9805"/>
        <v>2021</v>
      </c>
      <c r="E5162" s="1" t="str">
        <f t="shared" ref="E5162:P5162" si="9875">"0"</f>
        <v>0</v>
      </c>
      <c r="F5162" s="1" t="str">
        <f t="shared" si="9875"/>
        <v>0</v>
      </c>
      <c r="G5162" s="1" t="str">
        <f t="shared" si="9875"/>
        <v>0</v>
      </c>
      <c r="H5162" s="1" t="str">
        <f t="shared" si="9875"/>
        <v>0</v>
      </c>
      <c r="I5162" s="1" t="str">
        <f t="shared" si="9875"/>
        <v>0</v>
      </c>
      <c r="J5162" s="1" t="str">
        <f t="shared" si="9875"/>
        <v>0</v>
      </c>
      <c r="K5162" s="1" t="str">
        <f t="shared" si="9875"/>
        <v>0</v>
      </c>
      <c r="L5162" s="1" t="str">
        <f t="shared" si="9875"/>
        <v>0</v>
      </c>
      <c r="M5162" s="1" t="str">
        <f t="shared" si="9875"/>
        <v>0</v>
      </c>
      <c r="N5162" s="1" t="str">
        <f t="shared" si="9875"/>
        <v>0</v>
      </c>
      <c r="O5162" s="1" t="str">
        <f t="shared" si="9875"/>
        <v>0</v>
      </c>
      <c r="P5162" s="1" t="str">
        <f t="shared" si="9875"/>
        <v>0</v>
      </c>
      <c r="Q5162" s="1" t="str">
        <f t="shared" si="9808"/>
        <v>0.0070</v>
      </c>
      <c r="R5162" s="1" t="s">
        <v>25</v>
      </c>
      <c r="T5162" s="1" t="str">
        <f t="shared" si="9809"/>
        <v>0</v>
      </c>
      <c r="U5162" s="1" t="str">
        <f t="shared" si="9868"/>
        <v>0.0070</v>
      </c>
    </row>
    <row r="5163" s="1" customFormat="1" spans="1:21">
      <c r="A5163" s="1" t="str">
        <f>"4601992165867"</f>
        <v>4601992165867</v>
      </c>
      <c r="B5163" s="1" t="s">
        <v>5186</v>
      </c>
      <c r="C5163" s="1" t="s">
        <v>24</v>
      </c>
      <c r="D5163" s="1" t="str">
        <f t="shared" si="9805"/>
        <v>2021</v>
      </c>
      <c r="E5163" s="1" t="str">
        <f t="shared" ref="E5163:P5163" si="9876">"0"</f>
        <v>0</v>
      </c>
      <c r="F5163" s="1" t="str">
        <f t="shared" si="9876"/>
        <v>0</v>
      </c>
      <c r="G5163" s="1" t="str">
        <f t="shared" si="9876"/>
        <v>0</v>
      </c>
      <c r="H5163" s="1" t="str">
        <f t="shared" si="9876"/>
        <v>0</v>
      </c>
      <c r="I5163" s="1" t="str">
        <f t="shared" si="9876"/>
        <v>0</v>
      </c>
      <c r="J5163" s="1" t="str">
        <f t="shared" si="9876"/>
        <v>0</v>
      </c>
      <c r="K5163" s="1" t="str">
        <f t="shared" si="9876"/>
        <v>0</v>
      </c>
      <c r="L5163" s="1" t="str">
        <f t="shared" si="9876"/>
        <v>0</v>
      </c>
      <c r="M5163" s="1" t="str">
        <f t="shared" si="9876"/>
        <v>0</v>
      </c>
      <c r="N5163" s="1" t="str">
        <f t="shared" si="9876"/>
        <v>0</v>
      </c>
      <c r="O5163" s="1" t="str">
        <f t="shared" si="9876"/>
        <v>0</v>
      </c>
      <c r="P5163" s="1" t="str">
        <f t="shared" si="9876"/>
        <v>0</v>
      </c>
      <c r="Q5163" s="1" t="str">
        <f t="shared" si="9808"/>
        <v>0.0070</v>
      </c>
      <c r="R5163" s="1" t="s">
        <v>25</v>
      </c>
      <c r="T5163" s="1" t="str">
        <f t="shared" si="9809"/>
        <v>0</v>
      </c>
      <c r="U5163" s="1" t="str">
        <f t="shared" si="9868"/>
        <v>0.0070</v>
      </c>
    </row>
    <row r="5164" s="1" customFormat="1" spans="1:21">
      <c r="A5164" s="1" t="str">
        <f>"4601992165953"</f>
        <v>4601992165953</v>
      </c>
      <c r="B5164" s="1" t="s">
        <v>5187</v>
      </c>
      <c r="C5164" s="1" t="s">
        <v>24</v>
      </c>
      <c r="D5164" s="1" t="str">
        <f t="shared" si="9805"/>
        <v>2021</v>
      </c>
      <c r="E5164" s="1" t="str">
        <f t="shared" ref="E5164:P5164" si="9877">"0"</f>
        <v>0</v>
      </c>
      <c r="F5164" s="1" t="str">
        <f t="shared" si="9877"/>
        <v>0</v>
      </c>
      <c r="G5164" s="1" t="str">
        <f t="shared" si="9877"/>
        <v>0</v>
      </c>
      <c r="H5164" s="1" t="str">
        <f t="shared" si="9877"/>
        <v>0</v>
      </c>
      <c r="I5164" s="1" t="str">
        <f t="shared" si="9877"/>
        <v>0</v>
      </c>
      <c r="J5164" s="1" t="str">
        <f t="shared" si="9877"/>
        <v>0</v>
      </c>
      <c r="K5164" s="1" t="str">
        <f t="shared" si="9877"/>
        <v>0</v>
      </c>
      <c r="L5164" s="1" t="str">
        <f t="shared" si="9877"/>
        <v>0</v>
      </c>
      <c r="M5164" s="1" t="str">
        <f t="shared" si="9877"/>
        <v>0</v>
      </c>
      <c r="N5164" s="1" t="str">
        <f t="shared" si="9877"/>
        <v>0</v>
      </c>
      <c r="O5164" s="1" t="str">
        <f t="shared" si="9877"/>
        <v>0</v>
      </c>
      <c r="P5164" s="1" t="str">
        <f t="shared" si="9877"/>
        <v>0</v>
      </c>
      <c r="Q5164" s="1" t="str">
        <f t="shared" si="9808"/>
        <v>0.0070</v>
      </c>
      <c r="R5164" s="1" t="s">
        <v>25</v>
      </c>
      <c r="T5164" s="1" t="str">
        <f t="shared" si="9809"/>
        <v>0</v>
      </c>
      <c r="U5164" s="1" t="str">
        <f t="shared" si="9868"/>
        <v>0.0070</v>
      </c>
    </row>
    <row r="5165" s="1" customFormat="1" spans="1:21">
      <c r="A5165" s="1" t="str">
        <f>"4601992165400"</f>
        <v>4601992165400</v>
      </c>
      <c r="B5165" s="1" t="s">
        <v>5188</v>
      </c>
      <c r="C5165" s="1" t="s">
        <v>24</v>
      </c>
      <c r="D5165" s="1" t="str">
        <f t="shared" si="9805"/>
        <v>2021</v>
      </c>
      <c r="E5165" s="1" t="str">
        <f t="shared" ref="E5165:I5165" si="9878">"0"</f>
        <v>0</v>
      </c>
      <c r="F5165" s="1" t="str">
        <f t="shared" si="9878"/>
        <v>0</v>
      </c>
      <c r="G5165" s="1" t="str">
        <f t="shared" si="9878"/>
        <v>0</v>
      </c>
      <c r="H5165" s="1" t="str">
        <f t="shared" si="9878"/>
        <v>0</v>
      </c>
      <c r="I5165" s="1" t="str">
        <f t="shared" si="9878"/>
        <v>0</v>
      </c>
      <c r="J5165" s="1" t="str">
        <f>"2"</f>
        <v>2</v>
      </c>
      <c r="K5165" s="1" t="str">
        <f t="shared" ref="K5165:P5165" si="9879">"0"</f>
        <v>0</v>
      </c>
      <c r="L5165" s="1" t="str">
        <f t="shared" si="9879"/>
        <v>0</v>
      </c>
      <c r="M5165" s="1" t="str">
        <f t="shared" si="9879"/>
        <v>0</v>
      </c>
      <c r="N5165" s="1" t="str">
        <f t="shared" si="9879"/>
        <v>0</v>
      </c>
      <c r="O5165" s="1" t="str">
        <f t="shared" si="9879"/>
        <v>0</v>
      </c>
      <c r="P5165" s="1" t="str">
        <f t="shared" si="9879"/>
        <v>0</v>
      </c>
      <c r="Q5165" s="1" t="str">
        <f t="shared" si="9808"/>
        <v>0.0070</v>
      </c>
      <c r="R5165" s="1" t="s">
        <v>25</v>
      </c>
      <c r="T5165" s="1" t="str">
        <f t="shared" si="9809"/>
        <v>0</v>
      </c>
      <c r="U5165" s="1" t="str">
        <f t="shared" si="9868"/>
        <v>0.0070</v>
      </c>
    </row>
    <row r="5166" s="1" customFormat="1" spans="1:21">
      <c r="A5166" s="1" t="str">
        <f>"4601992166017"</f>
        <v>4601992166017</v>
      </c>
      <c r="B5166" s="1" t="s">
        <v>5189</v>
      </c>
      <c r="C5166" s="1" t="s">
        <v>24</v>
      </c>
      <c r="D5166" s="1" t="str">
        <f t="shared" si="9805"/>
        <v>2021</v>
      </c>
      <c r="E5166" s="1" t="str">
        <f t="shared" ref="E5166:P5166" si="9880">"0"</f>
        <v>0</v>
      </c>
      <c r="F5166" s="1" t="str">
        <f t="shared" si="9880"/>
        <v>0</v>
      </c>
      <c r="G5166" s="1" t="str">
        <f t="shared" si="9880"/>
        <v>0</v>
      </c>
      <c r="H5166" s="1" t="str">
        <f t="shared" si="9880"/>
        <v>0</v>
      </c>
      <c r="I5166" s="1" t="str">
        <f t="shared" si="9880"/>
        <v>0</v>
      </c>
      <c r="J5166" s="1" t="str">
        <f t="shared" si="9880"/>
        <v>0</v>
      </c>
      <c r="K5166" s="1" t="str">
        <f t="shared" si="9880"/>
        <v>0</v>
      </c>
      <c r="L5166" s="1" t="str">
        <f t="shared" si="9880"/>
        <v>0</v>
      </c>
      <c r="M5166" s="1" t="str">
        <f t="shared" si="9880"/>
        <v>0</v>
      </c>
      <c r="N5166" s="1" t="str">
        <f t="shared" si="9880"/>
        <v>0</v>
      </c>
      <c r="O5166" s="1" t="str">
        <f t="shared" si="9880"/>
        <v>0</v>
      </c>
      <c r="P5166" s="1" t="str">
        <f t="shared" si="9880"/>
        <v>0</v>
      </c>
      <c r="Q5166" s="1" t="str">
        <f t="shared" si="9808"/>
        <v>0.0070</v>
      </c>
      <c r="R5166" s="1" t="s">
        <v>25</v>
      </c>
      <c r="T5166" s="1" t="str">
        <f t="shared" si="9809"/>
        <v>0</v>
      </c>
      <c r="U5166" s="1" t="str">
        <f t="shared" si="9868"/>
        <v>0.0070</v>
      </c>
    </row>
    <row r="5167" s="1" customFormat="1" spans="1:21">
      <c r="A5167" s="1" t="str">
        <f>"4601992165887"</f>
        <v>4601992165887</v>
      </c>
      <c r="B5167" s="1" t="s">
        <v>5190</v>
      </c>
      <c r="C5167" s="1" t="s">
        <v>24</v>
      </c>
      <c r="D5167" s="1" t="str">
        <f t="shared" si="9805"/>
        <v>2021</v>
      </c>
      <c r="E5167" s="1" t="str">
        <f t="shared" ref="E5167:I5167" si="9881">"0"</f>
        <v>0</v>
      </c>
      <c r="F5167" s="1" t="str">
        <f t="shared" si="9881"/>
        <v>0</v>
      </c>
      <c r="G5167" s="1" t="str">
        <f t="shared" si="9881"/>
        <v>0</v>
      </c>
      <c r="H5167" s="1" t="str">
        <f t="shared" si="9881"/>
        <v>0</v>
      </c>
      <c r="I5167" s="1" t="str">
        <f t="shared" si="9881"/>
        <v>0</v>
      </c>
      <c r="J5167" s="1" t="str">
        <f>"1"</f>
        <v>1</v>
      </c>
      <c r="K5167" s="1" t="str">
        <f t="shared" ref="K5167:P5167" si="9882">"0"</f>
        <v>0</v>
      </c>
      <c r="L5167" s="1" t="str">
        <f t="shared" si="9882"/>
        <v>0</v>
      </c>
      <c r="M5167" s="1" t="str">
        <f t="shared" si="9882"/>
        <v>0</v>
      </c>
      <c r="N5167" s="1" t="str">
        <f t="shared" si="9882"/>
        <v>0</v>
      </c>
      <c r="O5167" s="1" t="str">
        <f t="shared" si="9882"/>
        <v>0</v>
      </c>
      <c r="P5167" s="1" t="str">
        <f t="shared" si="9882"/>
        <v>0</v>
      </c>
      <c r="Q5167" s="1" t="str">
        <f t="shared" si="9808"/>
        <v>0.0070</v>
      </c>
      <c r="R5167" s="1" t="s">
        <v>25</v>
      </c>
      <c r="T5167" s="1" t="str">
        <f t="shared" si="9809"/>
        <v>0</v>
      </c>
      <c r="U5167" s="1" t="str">
        <f t="shared" si="9868"/>
        <v>0.0070</v>
      </c>
    </row>
    <row r="5168" s="1" customFormat="1" spans="1:21">
      <c r="A5168" s="1" t="str">
        <f>"4601992166196"</f>
        <v>4601992166196</v>
      </c>
      <c r="B5168" s="1" t="s">
        <v>5191</v>
      </c>
      <c r="C5168" s="1" t="s">
        <v>24</v>
      </c>
      <c r="D5168" s="1" t="str">
        <f t="shared" si="9805"/>
        <v>2021</v>
      </c>
      <c r="E5168" s="1" t="str">
        <f t="shared" ref="E5168:P5168" si="9883">"0"</f>
        <v>0</v>
      </c>
      <c r="F5168" s="1" t="str">
        <f t="shared" si="9883"/>
        <v>0</v>
      </c>
      <c r="G5168" s="1" t="str">
        <f t="shared" si="9883"/>
        <v>0</v>
      </c>
      <c r="H5168" s="1" t="str">
        <f t="shared" si="9883"/>
        <v>0</v>
      </c>
      <c r="I5168" s="1" t="str">
        <f t="shared" si="9883"/>
        <v>0</v>
      </c>
      <c r="J5168" s="1" t="str">
        <f t="shared" si="9883"/>
        <v>0</v>
      </c>
      <c r="K5168" s="1" t="str">
        <f t="shared" si="9883"/>
        <v>0</v>
      </c>
      <c r="L5168" s="1" t="str">
        <f t="shared" si="9883"/>
        <v>0</v>
      </c>
      <c r="M5168" s="1" t="str">
        <f t="shared" si="9883"/>
        <v>0</v>
      </c>
      <c r="N5168" s="1" t="str">
        <f t="shared" si="9883"/>
        <v>0</v>
      </c>
      <c r="O5168" s="1" t="str">
        <f t="shared" si="9883"/>
        <v>0</v>
      </c>
      <c r="P5168" s="1" t="str">
        <f t="shared" si="9883"/>
        <v>0</v>
      </c>
      <c r="Q5168" s="1" t="str">
        <f t="shared" si="9808"/>
        <v>0.0070</v>
      </c>
      <c r="R5168" s="1" t="s">
        <v>25</v>
      </c>
      <c r="T5168" s="1" t="str">
        <f t="shared" si="9809"/>
        <v>0</v>
      </c>
      <c r="U5168" s="1" t="str">
        <f t="shared" si="9868"/>
        <v>0.0070</v>
      </c>
    </row>
    <row r="5169" s="1" customFormat="1" spans="1:21">
      <c r="A5169" s="1" t="str">
        <f>"4601992167350"</f>
        <v>4601992167350</v>
      </c>
      <c r="B5169" s="1" t="s">
        <v>5192</v>
      </c>
      <c r="C5169" s="1" t="s">
        <v>24</v>
      </c>
      <c r="D5169" s="1" t="str">
        <f t="shared" si="9805"/>
        <v>2021</v>
      </c>
      <c r="E5169" s="1" t="str">
        <f t="shared" ref="E5169:P5169" si="9884">"0"</f>
        <v>0</v>
      </c>
      <c r="F5169" s="1" t="str">
        <f t="shared" si="9884"/>
        <v>0</v>
      </c>
      <c r="G5169" s="1" t="str">
        <f t="shared" si="9884"/>
        <v>0</v>
      </c>
      <c r="H5169" s="1" t="str">
        <f t="shared" si="9884"/>
        <v>0</v>
      </c>
      <c r="I5169" s="1" t="str">
        <f t="shared" si="9884"/>
        <v>0</v>
      </c>
      <c r="J5169" s="1" t="str">
        <f t="shared" si="9884"/>
        <v>0</v>
      </c>
      <c r="K5169" s="1" t="str">
        <f t="shared" si="9884"/>
        <v>0</v>
      </c>
      <c r="L5169" s="1" t="str">
        <f t="shared" si="9884"/>
        <v>0</v>
      </c>
      <c r="M5169" s="1" t="str">
        <f t="shared" si="9884"/>
        <v>0</v>
      </c>
      <c r="N5169" s="1" t="str">
        <f t="shared" si="9884"/>
        <v>0</v>
      </c>
      <c r="O5169" s="1" t="str">
        <f t="shared" si="9884"/>
        <v>0</v>
      </c>
      <c r="P5169" s="1" t="str">
        <f t="shared" si="9884"/>
        <v>0</v>
      </c>
      <c r="Q5169" s="1" t="str">
        <f t="shared" si="9808"/>
        <v>0.0070</v>
      </c>
      <c r="R5169" s="1" t="s">
        <v>25</v>
      </c>
      <c r="T5169" s="1" t="str">
        <f t="shared" si="9809"/>
        <v>0</v>
      </c>
      <c r="U5169" s="1" t="str">
        <f t="shared" si="9868"/>
        <v>0.0070</v>
      </c>
    </row>
    <row r="5170" s="1" customFormat="1" spans="1:21">
      <c r="A5170" s="1" t="str">
        <f>"4601992167352"</f>
        <v>4601992167352</v>
      </c>
      <c r="B5170" s="1" t="s">
        <v>5193</v>
      </c>
      <c r="C5170" s="1" t="s">
        <v>24</v>
      </c>
      <c r="D5170" s="1" t="str">
        <f t="shared" si="9805"/>
        <v>2021</v>
      </c>
      <c r="E5170" s="1" t="str">
        <f t="shared" ref="E5170:P5170" si="9885">"0"</f>
        <v>0</v>
      </c>
      <c r="F5170" s="1" t="str">
        <f t="shared" si="9885"/>
        <v>0</v>
      </c>
      <c r="G5170" s="1" t="str">
        <f t="shared" si="9885"/>
        <v>0</v>
      </c>
      <c r="H5170" s="1" t="str">
        <f t="shared" si="9885"/>
        <v>0</v>
      </c>
      <c r="I5170" s="1" t="str">
        <f t="shared" si="9885"/>
        <v>0</v>
      </c>
      <c r="J5170" s="1" t="str">
        <f t="shared" si="9885"/>
        <v>0</v>
      </c>
      <c r="K5170" s="1" t="str">
        <f t="shared" si="9885"/>
        <v>0</v>
      </c>
      <c r="L5170" s="1" t="str">
        <f t="shared" si="9885"/>
        <v>0</v>
      </c>
      <c r="M5170" s="1" t="str">
        <f t="shared" si="9885"/>
        <v>0</v>
      </c>
      <c r="N5170" s="1" t="str">
        <f t="shared" si="9885"/>
        <v>0</v>
      </c>
      <c r="O5170" s="1" t="str">
        <f t="shared" si="9885"/>
        <v>0</v>
      </c>
      <c r="P5170" s="1" t="str">
        <f t="shared" si="9885"/>
        <v>0</v>
      </c>
      <c r="Q5170" s="1" t="str">
        <f t="shared" si="9808"/>
        <v>0.0070</v>
      </c>
      <c r="R5170" s="1" t="s">
        <v>25</v>
      </c>
      <c r="T5170" s="1" t="str">
        <f t="shared" si="9809"/>
        <v>0</v>
      </c>
      <c r="U5170" s="1" t="str">
        <f t="shared" si="9868"/>
        <v>0.0070</v>
      </c>
    </row>
    <row r="5171" s="1" customFormat="1" spans="1:21">
      <c r="A5171" s="1" t="str">
        <f>"4601992167358"</f>
        <v>4601992167358</v>
      </c>
      <c r="B5171" s="1" t="s">
        <v>5194</v>
      </c>
      <c r="C5171" s="1" t="s">
        <v>24</v>
      </c>
      <c r="D5171" s="1" t="str">
        <f t="shared" si="9805"/>
        <v>2021</v>
      </c>
      <c r="E5171" s="1" t="str">
        <f t="shared" ref="E5171:P5171" si="9886">"0"</f>
        <v>0</v>
      </c>
      <c r="F5171" s="1" t="str">
        <f t="shared" si="9886"/>
        <v>0</v>
      </c>
      <c r="G5171" s="1" t="str">
        <f t="shared" si="9886"/>
        <v>0</v>
      </c>
      <c r="H5171" s="1" t="str">
        <f t="shared" si="9886"/>
        <v>0</v>
      </c>
      <c r="I5171" s="1" t="str">
        <f t="shared" si="9886"/>
        <v>0</v>
      </c>
      <c r="J5171" s="1" t="str">
        <f t="shared" si="9886"/>
        <v>0</v>
      </c>
      <c r="K5171" s="1" t="str">
        <f t="shared" si="9886"/>
        <v>0</v>
      </c>
      <c r="L5171" s="1" t="str">
        <f t="shared" si="9886"/>
        <v>0</v>
      </c>
      <c r="M5171" s="1" t="str">
        <f t="shared" si="9886"/>
        <v>0</v>
      </c>
      <c r="N5171" s="1" t="str">
        <f t="shared" si="9886"/>
        <v>0</v>
      </c>
      <c r="O5171" s="1" t="str">
        <f t="shared" si="9886"/>
        <v>0</v>
      </c>
      <c r="P5171" s="1" t="str">
        <f t="shared" si="9886"/>
        <v>0</v>
      </c>
      <c r="Q5171" s="1" t="str">
        <f t="shared" si="9808"/>
        <v>0.0070</v>
      </c>
      <c r="R5171" s="1" t="s">
        <v>25</v>
      </c>
      <c r="T5171" s="1" t="str">
        <f t="shared" si="9809"/>
        <v>0</v>
      </c>
      <c r="U5171" s="1" t="str">
        <f t="shared" si="9868"/>
        <v>0.0070</v>
      </c>
    </row>
    <row r="5172" s="1" customFormat="1" spans="1:21">
      <c r="A5172" s="1" t="str">
        <f>"4601992167548"</f>
        <v>4601992167548</v>
      </c>
      <c r="B5172" s="1" t="s">
        <v>5195</v>
      </c>
      <c r="C5172" s="1" t="s">
        <v>24</v>
      </c>
      <c r="D5172" s="1" t="str">
        <f t="shared" si="9805"/>
        <v>2021</v>
      </c>
      <c r="E5172" s="1" t="str">
        <f t="shared" ref="E5172:P5172" si="9887">"0"</f>
        <v>0</v>
      </c>
      <c r="F5172" s="1" t="str">
        <f t="shared" si="9887"/>
        <v>0</v>
      </c>
      <c r="G5172" s="1" t="str">
        <f t="shared" si="9887"/>
        <v>0</v>
      </c>
      <c r="H5172" s="1" t="str">
        <f t="shared" si="9887"/>
        <v>0</v>
      </c>
      <c r="I5172" s="1" t="str">
        <f t="shared" si="9887"/>
        <v>0</v>
      </c>
      <c r="J5172" s="1" t="str">
        <f t="shared" si="9887"/>
        <v>0</v>
      </c>
      <c r="K5172" s="1" t="str">
        <f t="shared" si="9887"/>
        <v>0</v>
      </c>
      <c r="L5172" s="1" t="str">
        <f t="shared" si="9887"/>
        <v>0</v>
      </c>
      <c r="M5172" s="1" t="str">
        <f t="shared" si="9887"/>
        <v>0</v>
      </c>
      <c r="N5172" s="1" t="str">
        <f t="shared" si="9887"/>
        <v>0</v>
      </c>
      <c r="O5172" s="1" t="str">
        <f t="shared" si="9887"/>
        <v>0</v>
      </c>
      <c r="P5172" s="1" t="str">
        <f t="shared" si="9887"/>
        <v>0</v>
      </c>
      <c r="Q5172" s="1" t="str">
        <f t="shared" si="9808"/>
        <v>0.0070</v>
      </c>
      <c r="R5172" s="1" t="s">
        <v>25</v>
      </c>
      <c r="T5172" s="1" t="str">
        <f t="shared" si="9809"/>
        <v>0</v>
      </c>
      <c r="U5172" s="1" t="str">
        <f t="shared" si="9868"/>
        <v>0.0070</v>
      </c>
    </row>
    <row r="5173" s="1" customFormat="1" spans="1:21">
      <c r="A5173" s="1" t="str">
        <f>"4601992167705"</f>
        <v>4601992167705</v>
      </c>
      <c r="B5173" s="1" t="s">
        <v>5196</v>
      </c>
      <c r="C5173" s="1" t="s">
        <v>24</v>
      </c>
      <c r="D5173" s="1" t="str">
        <f t="shared" si="9805"/>
        <v>2021</v>
      </c>
      <c r="E5173" s="1" t="str">
        <f t="shared" ref="E5173:P5173" si="9888">"0"</f>
        <v>0</v>
      </c>
      <c r="F5173" s="1" t="str">
        <f t="shared" si="9888"/>
        <v>0</v>
      </c>
      <c r="G5173" s="1" t="str">
        <f t="shared" si="9888"/>
        <v>0</v>
      </c>
      <c r="H5173" s="1" t="str">
        <f t="shared" si="9888"/>
        <v>0</v>
      </c>
      <c r="I5173" s="1" t="str">
        <f t="shared" si="9888"/>
        <v>0</v>
      </c>
      <c r="J5173" s="1" t="str">
        <f t="shared" si="9888"/>
        <v>0</v>
      </c>
      <c r="K5173" s="1" t="str">
        <f t="shared" si="9888"/>
        <v>0</v>
      </c>
      <c r="L5173" s="1" t="str">
        <f t="shared" si="9888"/>
        <v>0</v>
      </c>
      <c r="M5173" s="1" t="str">
        <f t="shared" si="9888"/>
        <v>0</v>
      </c>
      <c r="N5173" s="1" t="str">
        <f t="shared" si="9888"/>
        <v>0</v>
      </c>
      <c r="O5173" s="1" t="str">
        <f t="shared" si="9888"/>
        <v>0</v>
      </c>
      <c r="P5173" s="1" t="str">
        <f t="shared" si="9888"/>
        <v>0</v>
      </c>
      <c r="Q5173" s="1" t="str">
        <f t="shared" si="9808"/>
        <v>0.0070</v>
      </c>
      <c r="R5173" s="1" t="s">
        <v>25</v>
      </c>
      <c r="T5173" s="1" t="str">
        <f t="shared" si="9809"/>
        <v>0</v>
      </c>
      <c r="U5173" s="1" t="str">
        <f t="shared" si="9868"/>
        <v>0.0070</v>
      </c>
    </row>
    <row r="5174" s="1" customFormat="1" spans="1:21">
      <c r="A5174" s="1" t="str">
        <f>"4601992167850"</f>
        <v>4601992167850</v>
      </c>
      <c r="B5174" s="1" t="s">
        <v>5197</v>
      </c>
      <c r="C5174" s="1" t="s">
        <v>24</v>
      </c>
      <c r="D5174" s="1" t="str">
        <f t="shared" si="9805"/>
        <v>2021</v>
      </c>
      <c r="E5174" s="1" t="str">
        <f t="shared" ref="E5174:P5174" si="9889">"0"</f>
        <v>0</v>
      </c>
      <c r="F5174" s="1" t="str">
        <f t="shared" si="9889"/>
        <v>0</v>
      </c>
      <c r="G5174" s="1" t="str">
        <f t="shared" si="9889"/>
        <v>0</v>
      </c>
      <c r="H5174" s="1" t="str">
        <f t="shared" si="9889"/>
        <v>0</v>
      </c>
      <c r="I5174" s="1" t="str">
        <f t="shared" si="9889"/>
        <v>0</v>
      </c>
      <c r="J5174" s="1" t="str">
        <f t="shared" si="9889"/>
        <v>0</v>
      </c>
      <c r="K5174" s="1" t="str">
        <f t="shared" si="9889"/>
        <v>0</v>
      </c>
      <c r="L5174" s="1" t="str">
        <f t="shared" si="9889"/>
        <v>0</v>
      </c>
      <c r="M5174" s="1" t="str">
        <f t="shared" si="9889"/>
        <v>0</v>
      </c>
      <c r="N5174" s="1" t="str">
        <f t="shared" si="9889"/>
        <v>0</v>
      </c>
      <c r="O5174" s="1" t="str">
        <f t="shared" si="9889"/>
        <v>0</v>
      </c>
      <c r="P5174" s="1" t="str">
        <f t="shared" si="9889"/>
        <v>0</v>
      </c>
      <c r="Q5174" s="1" t="str">
        <f t="shared" si="9808"/>
        <v>0.0070</v>
      </c>
      <c r="R5174" s="1" t="s">
        <v>25</v>
      </c>
      <c r="T5174" s="1" t="str">
        <f t="shared" si="9809"/>
        <v>0</v>
      </c>
      <c r="U5174" s="1" t="str">
        <f t="shared" si="9868"/>
        <v>0.0070</v>
      </c>
    </row>
    <row r="5175" s="1" customFormat="1" spans="1:21">
      <c r="A5175" s="1" t="str">
        <f>"4601992167839"</f>
        <v>4601992167839</v>
      </c>
      <c r="B5175" s="1" t="s">
        <v>5198</v>
      </c>
      <c r="C5175" s="1" t="s">
        <v>24</v>
      </c>
      <c r="D5175" s="1" t="str">
        <f t="shared" si="9805"/>
        <v>2021</v>
      </c>
      <c r="E5175" s="1" t="str">
        <f t="shared" ref="E5175:P5175" si="9890">"0"</f>
        <v>0</v>
      </c>
      <c r="F5175" s="1" t="str">
        <f t="shared" si="9890"/>
        <v>0</v>
      </c>
      <c r="G5175" s="1" t="str">
        <f t="shared" si="9890"/>
        <v>0</v>
      </c>
      <c r="H5175" s="1" t="str">
        <f t="shared" si="9890"/>
        <v>0</v>
      </c>
      <c r="I5175" s="1" t="str">
        <f t="shared" si="9890"/>
        <v>0</v>
      </c>
      <c r="J5175" s="1" t="str">
        <f t="shared" si="9890"/>
        <v>0</v>
      </c>
      <c r="K5175" s="1" t="str">
        <f t="shared" si="9890"/>
        <v>0</v>
      </c>
      <c r="L5175" s="1" t="str">
        <f t="shared" si="9890"/>
        <v>0</v>
      </c>
      <c r="M5175" s="1" t="str">
        <f t="shared" si="9890"/>
        <v>0</v>
      </c>
      <c r="N5175" s="1" t="str">
        <f t="shared" si="9890"/>
        <v>0</v>
      </c>
      <c r="O5175" s="1" t="str">
        <f t="shared" si="9890"/>
        <v>0</v>
      </c>
      <c r="P5175" s="1" t="str">
        <f t="shared" si="9890"/>
        <v>0</v>
      </c>
      <c r="Q5175" s="1" t="str">
        <f t="shared" si="9808"/>
        <v>0.0070</v>
      </c>
      <c r="R5175" s="1" t="s">
        <v>25</v>
      </c>
      <c r="T5175" s="1" t="str">
        <f t="shared" si="9809"/>
        <v>0</v>
      </c>
      <c r="U5175" s="1" t="str">
        <f t="shared" si="9868"/>
        <v>0.0070</v>
      </c>
    </row>
    <row r="5176" s="1" customFormat="1" spans="1:21">
      <c r="A5176" s="1" t="str">
        <f>"4601992167857"</f>
        <v>4601992167857</v>
      </c>
      <c r="B5176" s="1" t="s">
        <v>5199</v>
      </c>
      <c r="C5176" s="1" t="s">
        <v>24</v>
      </c>
      <c r="D5176" s="1" t="str">
        <f t="shared" si="9805"/>
        <v>2021</v>
      </c>
      <c r="E5176" s="1" t="str">
        <f t="shared" ref="E5176:P5176" si="9891">"0"</f>
        <v>0</v>
      </c>
      <c r="F5176" s="1" t="str">
        <f t="shared" si="9891"/>
        <v>0</v>
      </c>
      <c r="G5176" s="1" t="str">
        <f t="shared" si="9891"/>
        <v>0</v>
      </c>
      <c r="H5176" s="1" t="str">
        <f t="shared" si="9891"/>
        <v>0</v>
      </c>
      <c r="I5176" s="1" t="str">
        <f t="shared" si="9891"/>
        <v>0</v>
      </c>
      <c r="J5176" s="1" t="str">
        <f t="shared" si="9891"/>
        <v>0</v>
      </c>
      <c r="K5176" s="1" t="str">
        <f t="shared" si="9891"/>
        <v>0</v>
      </c>
      <c r="L5176" s="1" t="str">
        <f t="shared" si="9891"/>
        <v>0</v>
      </c>
      <c r="M5176" s="1" t="str">
        <f t="shared" si="9891"/>
        <v>0</v>
      </c>
      <c r="N5176" s="1" t="str">
        <f t="shared" si="9891"/>
        <v>0</v>
      </c>
      <c r="O5176" s="1" t="str">
        <f t="shared" si="9891"/>
        <v>0</v>
      </c>
      <c r="P5176" s="1" t="str">
        <f t="shared" si="9891"/>
        <v>0</v>
      </c>
      <c r="Q5176" s="1" t="str">
        <f t="shared" si="9808"/>
        <v>0.0070</v>
      </c>
      <c r="R5176" s="1" t="s">
        <v>25</v>
      </c>
      <c r="T5176" s="1" t="str">
        <f t="shared" si="9809"/>
        <v>0</v>
      </c>
      <c r="U5176" s="1" t="str">
        <f t="shared" si="9868"/>
        <v>0.0070</v>
      </c>
    </row>
    <row r="5177" s="1" customFormat="1" spans="1:21">
      <c r="A5177" s="1" t="str">
        <f>"4601992167989"</f>
        <v>4601992167989</v>
      </c>
      <c r="B5177" s="1" t="s">
        <v>5200</v>
      </c>
      <c r="C5177" s="1" t="s">
        <v>24</v>
      </c>
      <c r="D5177" s="1" t="str">
        <f t="shared" si="9805"/>
        <v>2021</v>
      </c>
      <c r="E5177" s="1" t="str">
        <f t="shared" ref="E5177:P5177" si="9892">"0"</f>
        <v>0</v>
      </c>
      <c r="F5177" s="1" t="str">
        <f t="shared" si="9892"/>
        <v>0</v>
      </c>
      <c r="G5177" s="1" t="str">
        <f t="shared" si="9892"/>
        <v>0</v>
      </c>
      <c r="H5177" s="1" t="str">
        <f t="shared" si="9892"/>
        <v>0</v>
      </c>
      <c r="I5177" s="1" t="str">
        <f t="shared" si="9892"/>
        <v>0</v>
      </c>
      <c r="J5177" s="1" t="str">
        <f t="shared" si="9892"/>
        <v>0</v>
      </c>
      <c r="K5177" s="1" t="str">
        <f t="shared" si="9892"/>
        <v>0</v>
      </c>
      <c r="L5177" s="1" t="str">
        <f t="shared" si="9892"/>
        <v>0</v>
      </c>
      <c r="M5177" s="1" t="str">
        <f t="shared" si="9892"/>
        <v>0</v>
      </c>
      <c r="N5177" s="1" t="str">
        <f t="shared" si="9892"/>
        <v>0</v>
      </c>
      <c r="O5177" s="1" t="str">
        <f t="shared" si="9892"/>
        <v>0</v>
      </c>
      <c r="P5177" s="1" t="str">
        <f t="shared" si="9892"/>
        <v>0</v>
      </c>
      <c r="Q5177" s="1" t="str">
        <f t="shared" si="9808"/>
        <v>0.0070</v>
      </c>
      <c r="R5177" s="1" t="s">
        <v>25</v>
      </c>
      <c r="T5177" s="1" t="str">
        <f t="shared" si="9809"/>
        <v>0</v>
      </c>
      <c r="U5177" s="1" t="str">
        <f t="shared" si="9868"/>
        <v>0.0070</v>
      </c>
    </row>
    <row r="5178" s="1" customFormat="1" spans="1:21">
      <c r="A5178" s="1" t="str">
        <f>"4601992168069"</f>
        <v>4601992168069</v>
      </c>
      <c r="B5178" s="1" t="s">
        <v>5201</v>
      </c>
      <c r="C5178" s="1" t="s">
        <v>24</v>
      </c>
      <c r="D5178" s="1" t="str">
        <f t="shared" si="9805"/>
        <v>2021</v>
      </c>
      <c r="E5178" s="1" t="str">
        <f t="shared" ref="E5178:P5178" si="9893">"0"</f>
        <v>0</v>
      </c>
      <c r="F5178" s="1" t="str">
        <f t="shared" si="9893"/>
        <v>0</v>
      </c>
      <c r="G5178" s="1" t="str">
        <f t="shared" si="9893"/>
        <v>0</v>
      </c>
      <c r="H5178" s="1" t="str">
        <f t="shared" si="9893"/>
        <v>0</v>
      </c>
      <c r="I5178" s="1" t="str">
        <f t="shared" si="9893"/>
        <v>0</v>
      </c>
      <c r="J5178" s="1" t="str">
        <f t="shared" si="9893"/>
        <v>0</v>
      </c>
      <c r="K5178" s="1" t="str">
        <f t="shared" si="9893"/>
        <v>0</v>
      </c>
      <c r="L5178" s="1" t="str">
        <f t="shared" si="9893"/>
        <v>0</v>
      </c>
      <c r="M5178" s="1" t="str">
        <f t="shared" si="9893"/>
        <v>0</v>
      </c>
      <c r="N5178" s="1" t="str">
        <f t="shared" si="9893"/>
        <v>0</v>
      </c>
      <c r="O5178" s="1" t="str">
        <f t="shared" si="9893"/>
        <v>0</v>
      </c>
      <c r="P5178" s="1" t="str">
        <f t="shared" si="9893"/>
        <v>0</v>
      </c>
      <c r="Q5178" s="1" t="str">
        <f t="shared" si="9808"/>
        <v>0.0070</v>
      </c>
      <c r="R5178" s="1" t="s">
        <v>25</v>
      </c>
      <c r="T5178" s="1" t="str">
        <f t="shared" si="9809"/>
        <v>0</v>
      </c>
      <c r="U5178" s="1" t="str">
        <f t="shared" si="9868"/>
        <v>0.0070</v>
      </c>
    </row>
    <row r="5179" s="1" customFormat="1" spans="1:21">
      <c r="A5179" s="1" t="str">
        <f>"4601992167696"</f>
        <v>4601992167696</v>
      </c>
      <c r="B5179" s="1" t="s">
        <v>5202</v>
      </c>
      <c r="C5179" s="1" t="s">
        <v>24</v>
      </c>
      <c r="D5179" s="1" t="str">
        <f t="shared" si="9805"/>
        <v>2021</v>
      </c>
      <c r="E5179" s="1" t="str">
        <f t="shared" ref="E5179:I5179" si="9894">"0"</f>
        <v>0</v>
      </c>
      <c r="F5179" s="1" t="str">
        <f t="shared" si="9894"/>
        <v>0</v>
      </c>
      <c r="G5179" s="1" t="str">
        <f t="shared" si="9894"/>
        <v>0</v>
      </c>
      <c r="H5179" s="1" t="str">
        <f t="shared" si="9894"/>
        <v>0</v>
      </c>
      <c r="I5179" s="1" t="str">
        <f t="shared" si="9894"/>
        <v>0</v>
      </c>
      <c r="J5179" s="1" t="str">
        <f>"3"</f>
        <v>3</v>
      </c>
      <c r="K5179" s="1" t="str">
        <f t="shared" ref="K5179:P5179" si="9895">"0"</f>
        <v>0</v>
      </c>
      <c r="L5179" s="1" t="str">
        <f t="shared" si="9895"/>
        <v>0</v>
      </c>
      <c r="M5179" s="1" t="str">
        <f t="shared" si="9895"/>
        <v>0</v>
      </c>
      <c r="N5179" s="1" t="str">
        <f t="shared" si="9895"/>
        <v>0</v>
      </c>
      <c r="O5179" s="1" t="str">
        <f t="shared" si="9895"/>
        <v>0</v>
      </c>
      <c r="P5179" s="1" t="str">
        <f t="shared" si="9895"/>
        <v>0</v>
      </c>
      <c r="Q5179" s="1" t="str">
        <f t="shared" si="9808"/>
        <v>0.0070</v>
      </c>
      <c r="R5179" s="1" t="s">
        <v>25</v>
      </c>
      <c r="T5179" s="1" t="str">
        <f t="shared" si="9809"/>
        <v>0</v>
      </c>
      <c r="U5179" s="1" t="str">
        <f t="shared" si="9868"/>
        <v>0.0070</v>
      </c>
    </row>
    <row r="5180" s="1" customFormat="1" spans="1:21">
      <c r="A5180" s="1" t="str">
        <f>"4601992168179"</f>
        <v>4601992168179</v>
      </c>
      <c r="B5180" s="1" t="s">
        <v>5203</v>
      </c>
      <c r="C5180" s="1" t="s">
        <v>24</v>
      </c>
      <c r="D5180" s="1" t="str">
        <f t="shared" si="9805"/>
        <v>2021</v>
      </c>
      <c r="E5180" s="1" t="str">
        <f t="shared" ref="E5180:P5180" si="9896">"0"</f>
        <v>0</v>
      </c>
      <c r="F5180" s="1" t="str">
        <f t="shared" si="9896"/>
        <v>0</v>
      </c>
      <c r="G5180" s="1" t="str">
        <f t="shared" si="9896"/>
        <v>0</v>
      </c>
      <c r="H5180" s="1" t="str">
        <f t="shared" si="9896"/>
        <v>0</v>
      </c>
      <c r="I5180" s="1" t="str">
        <f t="shared" si="9896"/>
        <v>0</v>
      </c>
      <c r="J5180" s="1" t="str">
        <f t="shared" si="9896"/>
        <v>0</v>
      </c>
      <c r="K5180" s="1" t="str">
        <f t="shared" si="9896"/>
        <v>0</v>
      </c>
      <c r="L5180" s="1" t="str">
        <f t="shared" si="9896"/>
        <v>0</v>
      </c>
      <c r="M5180" s="1" t="str">
        <f t="shared" si="9896"/>
        <v>0</v>
      </c>
      <c r="N5180" s="1" t="str">
        <f t="shared" si="9896"/>
        <v>0</v>
      </c>
      <c r="O5180" s="1" t="str">
        <f t="shared" si="9896"/>
        <v>0</v>
      </c>
      <c r="P5180" s="1" t="str">
        <f t="shared" si="9896"/>
        <v>0</v>
      </c>
      <c r="Q5180" s="1" t="str">
        <f t="shared" si="9808"/>
        <v>0.0070</v>
      </c>
      <c r="R5180" s="1" t="s">
        <v>25</v>
      </c>
      <c r="T5180" s="1" t="str">
        <f t="shared" si="9809"/>
        <v>0</v>
      </c>
      <c r="U5180" s="1" t="str">
        <f t="shared" si="9868"/>
        <v>0.0070</v>
      </c>
    </row>
    <row r="5181" s="1" customFormat="1" spans="1:21">
      <c r="A5181" s="1" t="str">
        <f>"4601992168617"</f>
        <v>4601992168617</v>
      </c>
      <c r="B5181" s="1" t="s">
        <v>5204</v>
      </c>
      <c r="C5181" s="1" t="s">
        <v>24</v>
      </c>
      <c r="D5181" s="1" t="str">
        <f t="shared" si="9805"/>
        <v>2021</v>
      </c>
      <c r="E5181" s="1" t="str">
        <f t="shared" ref="E5181:P5181" si="9897">"0"</f>
        <v>0</v>
      </c>
      <c r="F5181" s="1" t="str">
        <f t="shared" si="9897"/>
        <v>0</v>
      </c>
      <c r="G5181" s="1" t="str">
        <f t="shared" si="9897"/>
        <v>0</v>
      </c>
      <c r="H5181" s="1" t="str">
        <f t="shared" si="9897"/>
        <v>0</v>
      </c>
      <c r="I5181" s="1" t="str">
        <f t="shared" si="9897"/>
        <v>0</v>
      </c>
      <c r="J5181" s="1" t="str">
        <f t="shared" si="9897"/>
        <v>0</v>
      </c>
      <c r="K5181" s="1" t="str">
        <f t="shared" si="9897"/>
        <v>0</v>
      </c>
      <c r="L5181" s="1" t="str">
        <f t="shared" si="9897"/>
        <v>0</v>
      </c>
      <c r="M5181" s="1" t="str">
        <f t="shared" si="9897"/>
        <v>0</v>
      </c>
      <c r="N5181" s="1" t="str">
        <f t="shared" si="9897"/>
        <v>0</v>
      </c>
      <c r="O5181" s="1" t="str">
        <f t="shared" si="9897"/>
        <v>0</v>
      </c>
      <c r="P5181" s="1" t="str">
        <f t="shared" si="9897"/>
        <v>0</v>
      </c>
      <c r="Q5181" s="1" t="str">
        <f t="shared" si="9808"/>
        <v>0.0070</v>
      </c>
      <c r="R5181" s="1" t="s">
        <v>25</v>
      </c>
      <c r="T5181" s="1" t="str">
        <f t="shared" si="9809"/>
        <v>0</v>
      </c>
      <c r="U5181" s="1" t="str">
        <f t="shared" si="9868"/>
        <v>0.0070</v>
      </c>
    </row>
    <row r="5182" s="1" customFormat="1" spans="1:21">
      <c r="A5182" s="1" t="str">
        <f>"4601992168666"</f>
        <v>4601992168666</v>
      </c>
      <c r="B5182" s="1" t="s">
        <v>5205</v>
      </c>
      <c r="C5182" s="1" t="s">
        <v>24</v>
      </c>
      <c r="D5182" s="1" t="str">
        <f t="shared" si="9805"/>
        <v>2021</v>
      </c>
      <c r="E5182" s="1" t="str">
        <f t="shared" ref="E5182:P5182" si="9898">"0"</f>
        <v>0</v>
      </c>
      <c r="F5182" s="1" t="str">
        <f t="shared" si="9898"/>
        <v>0</v>
      </c>
      <c r="G5182" s="1" t="str">
        <f t="shared" si="9898"/>
        <v>0</v>
      </c>
      <c r="H5182" s="1" t="str">
        <f t="shared" si="9898"/>
        <v>0</v>
      </c>
      <c r="I5182" s="1" t="str">
        <f t="shared" si="9898"/>
        <v>0</v>
      </c>
      <c r="J5182" s="1" t="str">
        <f t="shared" si="9898"/>
        <v>0</v>
      </c>
      <c r="K5182" s="1" t="str">
        <f t="shared" si="9898"/>
        <v>0</v>
      </c>
      <c r="L5182" s="1" t="str">
        <f t="shared" si="9898"/>
        <v>0</v>
      </c>
      <c r="M5182" s="1" t="str">
        <f t="shared" si="9898"/>
        <v>0</v>
      </c>
      <c r="N5182" s="1" t="str">
        <f t="shared" si="9898"/>
        <v>0</v>
      </c>
      <c r="O5182" s="1" t="str">
        <f t="shared" si="9898"/>
        <v>0</v>
      </c>
      <c r="P5182" s="1" t="str">
        <f t="shared" si="9898"/>
        <v>0</v>
      </c>
      <c r="Q5182" s="1" t="str">
        <f t="shared" si="9808"/>
        <v>0.0070</v>
      </c>
      <c r="R5182" s="1" t="s">
        <v>25</v>
      </c>
      <c r="T5182" s="1" t="str">
        <f t="shared" si="9809"/>
        <v>0</v>
      </c>
      <c r="U5182" s="1" t="str">
        <f t="shared" si="9868"/>
        <v>0.0070</v>
      </c>
    </row>
    <row r="5183" s="1" customFormat="1" spans="1:21">
      <c r="A5183" s="1" t="str">
        <f>"4601992168128"</f>
        <v>4601992168128</v>
      </c>
      <c r="B5183" s="1" t="s">
        <v>5206</v>
      </c>
      <c r="C5183" s="1" t="s">
        <v>24</v>
      </c>
      <c r="D5183" s="1" t="str">
        <f t="shared" si="9805"/>
        <v>2021</v>
      </c>
      <c r="E5183" s="1" t="str">
        <f t="shared" ref="E5183:I5183" si="9899">"0"</f>
        <v>0</v>
      </c>
      <c r="F5183" s="1" t="str">
        <f t="shared" si="9899"/>
        <v>0</v>
      </c>
      <c r="G5183" s="1" t="str">
        <f t="shared" si="9899"/>
        <v>0</v>
      </c>
      <c r="H5183" s="1" t="str">
        <f t="shared" si="9899"/>
        <v>0</v>
      </c>
      <c r="I5183" s="1" t="str">
        <f t="shared" si="9899"/>
        <v>0</v>
      </c>
      <c r="J5183" s="1" t="str">
        <f>"3"</f>
        <v>3</v>
      </c>
      <c r="K5183" s="1" t="str">
        <f t="shared" ref="K5183:P5183" si="9900">"0"</f>
        <v>0</v>
      </c>
      <c r="L5183" s="1" t="str">
        <f t="shared" si="9900"/>
        <v>0</v>
      </c>
      <c r="M5183" s="1" t="str">
        <f t="shared" si="9900"/>
        <v>0</v>
      </c>
      <c r="N5183" s="1" t="str">
        <f t="shared" si="9900"/>
        <v>0</v>
      </c>
      <c r="O5183" s="1" t="str">
        <f t="shared" si="9900"/>
        <v>0</v>
      </c>
      <c r="P5183" s="1" t="str">
        <f t="shared" si="9900"/>
        <v>0</v>
      </c>
      <c r="Q5183" s="1" t="str">
        <f t="shared" si="9808"/>
        <v>0.0070</v>
      </c>
      <c r="R5183" s="1" t="s">
        <v>25</v>
      </c>
      <c r="T5183" s="1" t="str">
        <f t="shared" si="9809"/>
        <v>0</v>
      </c>
      <c r="U5183" s="1" t="str">
        <f t="shared" si="9868"/>
        <v>0.0070</v>
      </c>
    </row>
    <row r="5184" s="1" customFormat="1" spans="1:21">
      <c r="A5184" s="1" t="str">
        <f>"4601992168686"</f>
        <v>4601992168686</v>
      </c>
      <c r="B5184" s="1" t="s">
        <v>5207</v>
      </c>
      <c r="C5184" s="1" t="s">
        <v>24</v>
      </c>
      <c r="D5184" s="1" t="str">
        <f t="shared" si="9805"/>
        <v>2021</v>
      </c>
      <c r="E5184" s="1" t="str">
        <f t="shared" ref="E5184:P5184" si="9901">"0"</f>
        <v>0</v>
      </c>
      <c r="F5184" s="1" t="str">
        <f t="shared" si="9901"/>
        <v>0</v>
      </c>
      <c r="G5184" s="1" t="str">
        <f t="shared" si="9901"/>
        <v>0</v>
      </c>
      <c r="H5184" s="1" t="str">
        <f t="shared" si="9901"/>
        <v>0</v>
      </c>
      <c r="I5184" s="1" t="str">
        <f t="shared" si="9901"/>
        <v>0</v>
      </c>
      <c r="J5184" s="1" t="str">
        <f t="shared" si="9901"/>
        <v>0</v>
      </c>
      <c r="K5184" s="1" t="str">
        <f t="shared" si="9901"/>
        <v>0</v>
      </c>
      <c r="L5184" s="1" t="str">
        <f t="shared" si="9901"/>
        <v>0</v>
      </c>
      <c r="M5184" s="1" t="str">
        <f t="shared" si="9901"/>
        <v>0</v>
      </c>
      <c r="N5184" s="1" t="str">
        <f t="shared" si="9901"/>
        <v>0</v>
      </c>
      <c r="O5184" s="1" t="str">
        <f t="shared" si="9901"/>
        <v>0</v>
      </c>
      <c r="P5184" s="1" t="str">
        <f t="shared" si="9901"/>
        <v>0</v>
      </c>
      <c r="Q5184" s="1" t="str">
        <f t="shared" si="9808"/>
        <v>0.0070</v>
      </c>
      <c r="R5184" s="1" t="s">
        <v>25</v>
      </c>
      <c r="T5184" s="1" t="str">
        <f t="shared" si="9809"/>
        <v>0</v>
      </c>
      <c r="U5184" s="1" t="str">
        <f t="shared" si="9868"/>
        <v>0.0070</v>
      </c>
    </row>
    <row r="5185" s="1" customFormat="1" spans="1:21">
      <c r="A5185" s="1" t="str">
        <f>"4601992168755"</f>
        <v>4601992168755</v>
      </c>
      <c r="B5185" s="1" t="s">
        <v>5208</v>
      </c>
      <c r="C5185" s="1" t="s">
        <v>24</v>
      </c>
      <c r="D5185" s="1" t="str">
        <f t="shared" si="9805"/>
        <v>2021</v>
      </c>
      <c r="E5185" s="1" t="str">
        <f t="shared" ref="E5185:P5185" si="9902">"0"</f>
        <v>0</v>
      </c>
      <c r="F5185" s="1" t="str">
        <f t="shared" si="9902"/>
        <v>0</v>
      </c>
      <c r="G5185" s="1" t="str">
        <f t="shared" si="9902"/>
        <v>0</v>
      </c>
      <c r="H5185" s="1" t="str">
        <f t="shared" si="9902"/>
        <v>0</v>
      </c>
      <c r="I5185" s="1" t="str">
        <f t="shared" si="9902"/>
        <v>0</v>
      </c>
      <c r="J5185" s="1" t="str">
        <f t="shared" si="9902"/>
        <v>0</v>
      </c>
      <c r="K5185" s="1" t="str">
        <f t="shared" si="9902"/>
        <v>0</v>
      </c>
      <c r="L5185" s="1" t="str">
        <f t="shared" si="9902"/>
        <v>0</v>
      </c>
      <c r="M5185" s="1" t="str">
        <f t="shared" si="9902"/>
        <v>0</v>
      </c>
      <c r="N5185" s="1" t="str">
        <f t="shared" si="9902"/>
        <v>0</v>
      </c>
      <c r="O5185" s="1" t="str">
        <f t="shared" si="9902"/>
        <v>0</v>
      </c>
      <c r="P5185" s="1" t="str">
        <f t="shared" si="9902"/>
        <v>0</v>
      </c>
      <c r="Q5185" s="1" t="str">
        <f t="shared" si="9808"/>
        <v>0.0070</v>
      </c>
      <c r="R5185" s="1" t="s">
        <v>25</v>
      </c>
      <c r="T5185" s="1" t="str">
        <f t="shared" si="9809"/>
        <v>0</v>
      </c>
      <c r="U5185" s="1" t="str">
        <f t="shared" si="9868"/>
        <v>0.0070</v>
      </c>
    </row>
    <row r="5186" s="1" customFormat="1" spans="1:21">
      <c r="A5186" s="1" t="str">
        <f>"4601992168874"</f>
        <v>4601992168874</v>
      </c>
      <c r="B5186" s="1" t="s">
        <v>5209</v>
      </c>
      <c r="C5186" s="1" t="s">
        <v>24</v>
      </c>
      <c r="D5186" s="1" t="str">
        <f t="shared" si="9805"/>
        <v>2021</v>
      </c>
      <c r="E5186" s="1" t="str">
        <f t="shared" ref="E5186:P5186" si="9903">"0"</f>
        <v>0</v>
      </c>
      <c r="F5186" s="1" t="str">
        <f t="shared" si="9903"/>
        <v>0</v>
      </c>
      <c r="G5186" s="1" t="str">
        <f t="shared" si="9903"/>
        <v>0</v>
      </c>
      <c r="H5186" s="1" t="str">
        <f t="shared" si="9903"/>
        <v>0</v>
      </c>
      <c r="I5186" s="1" t="str">
        <f t="shared" si="9903"/>
        <v>0</v>
      </c>
      <c r="J5186" s="1" t="str">
        <f t="shared" si="9903"/>
        <v>0</v>
      </c>
      <c r="K5186" s="1" t="str">
        <f t="shared" si="9903"/>
        <v>0</v>
      </c>
      <c r="L5186" s="1" t="str">
        <f t="shared" si="9903"/>
        <v>0</v>
      </c>
      <c r="M5186" s="1" t="str">
        <f t="shared" si="9903"/>
        <v>0</v>
      </c>
      <c r="N5186" s="1" t="str">
        <f t="shared" si="9903"/>
        <v>0</v>
      </c>
      <c r="O5186" s="1" t="str">
        <f t="shared" si="9903"/>
        <v>0</v>
      </c>
      <c r="P5186" s="1" t="str">
        <f t="shared" si="9903"/>
        <v>0</v>
      </c>
      <c r="Q5186" s="1" t="str">
        <f t="shared" si="9808"/>
        <v>0.0070</v>
      </c>
      <c r="R5186" s="1" t="s">
        <v>25</v>
      </c>
      <c r="T5186" s="1" t="str">
        <f t="shared" si="9809"/>
        <v>0</v>
      </c>
      <c r="U5186" s="1" t="str">
        <f t="shared" si="9868"/>
        <v>0.0070</v>
      </c>
    </row>
    <row r="5187" s="1" customFormat="1" spans="1:21">
      <c r="A5187" s="1" t="str">
        <f>"4601992169119"</f>
        <v>4601992169119</v>
      </c>
      <c r="B5187" s="1" t="s">
        <v>5210</v>
      </c>
      <c r="C5187" s="1" t="s">
        <v>24</v>
      </c>
      <c r="D5187" s="1" t="str">
        <f t="shared" ref="D5187:D5250" si="9904">"2021"</f>
        <v>2021</v>
      </c>
      <c r="E5187" s="1" t="str">
        <f t="shared" ref="E5187:P5187" si="9905">"0"</f>
        <v>0</v>
      </c>
      <c r="F5187" s="1" t="str">
        <f t="shared" si="9905"/>
        <v>0</v>
      </c>
      <c r="G5187" s="1" t="str">
        <f t="shared" si="9905"/>
        <v>0</v>
      </c>
      <c r="H5187" s="1" t="str">
        <f t="shared" si="9905"/>
        <v>0</v>
      </c>
      <c r="I5187" s="1" t="str">
        <f t="shared" si="9905"/>
        <v>0</v>
      </c>
      <c r="J5187" s="1" t="str">
        <f t="shared" si="9905"/>
        <v>0</v>
      </c>
      <c r="K5187" s="1" t="str">
        <f t="shared" si="9905"/>
        <v>0</v>
      </c>
      <c r="L5187" s="1" t="str">
        <f t="shared" si="9905"/>
        <v>0</v>
      </c>
      <c r="M5187" s="1" t="str">
        <f t="shared" si="9905"/>
        <v>0</v>
      </c>
      <c r="N5187" s="1" t="str">
        <f t="shared" si="9905"/>
        <v>0</v>
      </c>
      <c r="O5187" s="1" t="str">
        <f t="shared" si="9905"/>
        <v>0</v>
      </c>
      <c r="P5187" s="1" t="str">
        <f t="shared" si="9905"/>
        <v>0</v>
      </c>
      <c r="Q5187" s="1" t="str">
        <f t="shared" ref="Q5187:Q5250" si="9906">"0.0070"</f>
        <v>0.0070</v>
      </c>
      <c r="R5187" s="1" t="s">
        <v>25</v>
      </c>
      <c r="T5187" s="1" t="str">
        <f t="shared" ref="T5187:T5250" si="9907">"0"</f>
        <v>0</v>
      </c>
      <c r="U5187" s="1" t="str">
        <f t="shared" si="9868"/>
        <v>0.0070</v>
      </c>
    </row>
    <row r="5188" s="1" customFormat="1" spans="1:21">
      <c r="A5188" s="1" t="str">
        <f>"4601992169175"</f>
        <v>4601992169175</v>
      </c>
      <c r="B5188" s="1" t="s">
        <v>5211</v>
      </c>
      <c r="C5188" s="1" t="s">
        <v>24</v>
      </c>
      <c r="D5188" s="1" t="str">
        <f t="shared" si="9904"/>
        <v>2021</v>
      </c>
      <c r="E5188" s="1" t="str">
        <f t="shared" ref="E5188:P5188" si="9908">"0"</f>
        <v>0</v>
      </c>
      <c r="F5188" s="1" t="str">
        <f t="shared" si="9908"/>
        <v>0</v>
      </c>
      <c r="G5188" s="1" t="str">
        <f t="shared" si="9908"/>
        <v>0</v>
      </c>
      <c r="H5188" s="1" t="str">
        <f t="shared" si="9908"/>
        <v>0</v>
      </c>
      <c r="I5188" s="1" t="str">
        <f t="shared" si="9908"/>
        <v>0</v>
      </c>
      <c r="J5188" s="1" t="str">
        <f t="shared" si="9908"/>
        <v>0</v>
      </c>
      <c r="K5188" s="1" t="str">
        <f t="shared" si="9908"/>
        <v>0</v>
      </c>
      <c r="L5188" s="1" t="str">
        <f t="shared" si="9908"/>
        <v>0</v>
      </c>
      <c r="M5188" s="1" t="str">
        <f t="shared" si="9908"/>
        <v>0</v>
      </c>
      <c r="N5188" s="1" t="str">
        <f t="shared" si="9908"/>
        <v>0</v>
      </c>
      <c r="O5188" s="1" t="str">
        <f t="shared" si="9908"/>
        <v>0</v>
      </c>
      <c r="P5188" s="1" t="str">
        <f t="shared" si="9908"/>
        <v>0</v>
      </c>
      <c r="Q5188" s="1" t="str">
        <f t="shared" si="9906"/>
        <v>0.0070</v>
      </c>
      <c r="R5188" s="1" t="s">
        <v>25</v>
      </c>
      <c r="T5188" s="1" t="str">
        <f t="shared" si="9907"/>
        <v>0</v>
      </c>
      <c r="U5188" s="1" t="str">
        <f t="shared" si="9868"/>
        <v>0.0070</v>
      </c>
    </row>
    <row r="5189" s="1" customFormat="1" spans="1:21">
      <c r="A5189" s="1" t="str">
        <f>"4601992169162"</f>
        <v>4601992169162</v>
      </c>
      <c r="B5189" s="1" t="s">
        <v>5212</v>
      </c>
      <c r="C5189" s="1" t="s">
        <v>24</v>
      </c>
      <c r="D5189" s="1" t="str">
        <f t="shared" si="9904"/>
        <v>2021</v>
      </c>
      <c r="E5189" s="1" t="str">
        <f t="shared" ref="E5189:P5189" si="9909">"0"</f>
        <v>0</v>
      </c>
      <c r="F5189" s="1" t="str">
        <f t="shared" si="9909"/>
        <v>0</v>
      </c>
      <c r="G5189" s="1" t="str">
        <f t="shared" si="9909"/>
        <v>0</v>
      </c>
      <c r="H5189" s="1" t="str">
        <f t="shared" si="9909"/>
        <v>0</v>
      </c>
      <c r="I5189" s="1" t="str">
        <f t="shared" si="9909"/>
        <v>0</v>
      </c>
      <c r="J5189" s="1" t="str">
        <f t="shared" si="9909"/>
        <v>0</v>
      </c>
      <c r="K5189" s="1" t="str">
        <f t="shared" si="9909"/>
        <v>0</v>
      </c>
      <c r="L5189" s="1" t="str">
        <f t="shared" si="9909"/>
        <v>0</v>
      </c>
      <c r="M5189" s="1" t="str">
        <f t="shared" si="9909"/>
        <v>0</v>
      </c>
      <c r="N5189" s="1" t="str">
        <f t="shared" si="9909"/>
        <v>0</v>
      </c>
      <c r="O5189" s="1" t="str">
        <f t="shared" si="9909"/>
        <v>0</v>
      </c>
      <c r="P5189" s="1" t="str">
        <f t="shared" si="9909"/>
        <v>0</v>
      </c>
      <c r="Q5189" s="1" t="str">
        <f t="shared" si="9906"/>
        <v>0.0070</v>
      </c>
      <c r="R5189" s="1" t="s">
        <v>25</v>
      </c>
      <c r="T5189" s="1" t="str">
        <f t="shared" si="9907"/>
        <v>0</v>
      </c>
      <c r="U5189" s="1" t="str">
        <f t="shared" si="9868"/>
        <v>0.0070</v>
      </c>
    </row>
    <row r="5190" s="1" customFormat="1" spans="1:21">
      <c r="A5190" s="1" t="str">
        <f>"4601992169253"</f>
        <v>4601992169253</v>
      </c>
      <c r="B5190" s="1" t="s">
        <v>5213</v>
      </c>
      <c r="C5190" s="1" t="s">
        <v>24</v>
      </c>
      <c r="D5190" s="1" t="str">
        <f t="shared" si="9904"/>
        <v>2021</v>
      </c>
      <c r="E5190" s="1" t="str">
        <f t="shared" ref="E5190:P5190" si="9910">"0"</f>
        <v>0</v>
      </c>
      <c r="F5190" s="1" t="str">
        <f t="shared" si="9910"/>
        <v>0</v>
      </c>
      <c r="G5190" s="1" t="str">
        <f t="shared" si="9910"/>
        <v>0</v>
      </c>
      <c r="H5190" s="1" t="str">
        <f t="shared" si="9910"/>
        <v>0</v>
      </c>
      <c r="I5190" s="1" t="str">
        <f t="shared" si="9910"/>
        <v>0</v>
      </c>
      <c r="J5190" s="1" t="str">
        <f t="shared" si="9910"/>
        <v>0</v>
      </c>
      <c r="K5190" s="1" t="str">
        <f t="shared" si="9910"/>
        <v>0</v>
      </c>
      <c r="L5190" s="1" t="str">
        <f t="shared" si="9910"/>
        <v>0</v>
      </c>
      <c r="M5190" s="1" t="str">
        <f t="shared" si="9910"/>
        <v>0</v>
      </c>
      <c r="N5190" s="1" t="str">
        <f t="shared" si="9910"/>
        <v>0</v>
      </c>
      <c r="O5190" s="1" t="str">
        <f t="shared" si="9910"/>
        <v>0</v>
      </c>
      <c r="P5190" s="1" t="str">
        <f t="shared" si="9910"/>
        <v>0</v>
      </c>
      <c r="Q5190" s="1" t="str">
        <f t="shared" si="9906"/>
        <v>0.0070</v>
      </c>
      <c r="R5190" s="1" t="s">
        <v>25</v>
      </c>
      <c r="T5190" s="1" t="str">
        <f t="shared" si="9907"/>
        <v>0</v>
      </c>
      <c r="U5190" s="1" t="str">
        <f t="shared" si="9868"/>
        <v>0.0070</v>
      </c>
    </row>
    <row r="5191" s="1" customFormat="1" spans="1:21">
      <c r="A5191" s="1" t="str">
        <f>"4601992169380"</f>
        <v>4601992169380</v>
      </c>
      <c r="B5191" s="1" t="s">
        <v>5214</v>
      </c>
      <c r="C5191" s="1" t="s">
        <v>24</v>
      </c>
      <c r="D5191" s="1" t="str">
        <f t="shared" si="9904"/>
        <v>2021</v>
      </c>
      <c r="E5191" s="1" t="str">
        <f t="shared" ref="E5191:P5191" si="9911">"0"</f>
        <v>0</v>
      </c>
      <c r="F5191" s="1" t="str">
        <f t="shared" si="9911"/>
        <v>0</v>
      </c>
      <c r="G5191" s="1" t="str">
        <f t="shared" si="9911"/>
        <v>0</v>
      </c>
      <c r="H5191" s="1" t="str">
        <f t="shared" si="9911"/>
        <v>0</v>
      </c>
      <c r="I5191" s="1" t="str">
        <f t="shared" si="9911"/>
        <v>0</v>
      </c>
      <c r="J5191" s="1" t="str">
        <f t="shared" si="9911"/>
        <v>0</v>
      </c>
      <c r="K5191" s="1" t="str">
        <f t="shared" si="9911"/>
        <v>0</v>
      </c>
      <c r="L5191" s="1" t="str">
        <f t="shared" si="9911"/>
        <v>0</v>
      </c>
      <c r="M5191" s="1" t="str">
        <f t="shared" si="9911"/>
        <v>0</v>
      </c>
      <c r="N5191" s="1" t="str">
        <f t="shared" si="9911"/>
        <v>0</v>
      </c>
      <c r="O5191" s="1" t="str">
        <f t="shared" si="9911"/>
        <v>0</v>
      </c>
      <c r="P5191" s="1" t="str">
        <f t="shared" si="9911"/>
        <v>0</v>
      </c>
      <c r="Q5191" s="1" t="str">
        <f t="shared" si="9906"/>
        <v>0.0070</v>
      </c>
      <c r="R5191" s="1" t="s">
        <v>25</v>
      </c>
      <c r="T5191" s="1" t="str">
        <f t="shared" si="9907"/>
        <v>0</v>
      </c>
      <c r="U5191" s="1" t="str">
        <f t="shared" si="9868"/>
        <v>0.0070</v>
      </c>
    </row>
    <row r="5192" s="1" customFormat="1" spans="1:21">
      <c r="A5192" s="1" t="str">
        <f>"4601992169451"</f>
        <v>4601992169451</v>
      </c>
      <c r="B5192" s="1" t="s">
        <v>5215</v>
      </c>
      <c r="C5192" s="1" t="s">
        <v>24</v>
      </c>
      <c r="D5192" s="1" t="str">
        <f t="shared" si="9904"/>
        <v>2021</v>
      </c>
      <c r="E5192" s="1" t="str">
        <f t="shared" ref="E5192:P5192" si="9912">"0"</f>
        <v>0</v>
      </c>
      <c r="F5192" s="1" t="str">
        <f t="shared" si="9912"/>
        <v>0</v>
      </c>
      <c r="G5192" s="1" t="str">
        <f t="shared" si="9912"/>
        <v>0</v>
      </c>
      <c r="H5192" s="1" t="str">
        <f t="shared" si="9912"/>
        <v>0</v>
      </c>
      <c r="I5192" s="1" t="str">
        <f t="shared" si="9912"/>
        <v>0</v>
      </c>
      <c r="J5192" s="1" t="str">
        <f t="shared" si="9912"/>
        <v>0</v>
      </c>
      <c r="K5192" s="1" t="str">
        <f t="shared" si="9912"/>
        <v>0</v>
      </c>
      <c r="L5192" s="1" t="str">
        <f t="shared" si="9912"/>
        <v>0</v>
      </c>
      <c r="M5192" s="1" t="str">
        <f t="shared" si="9912"/>
        <v>0</v>
      </c>
      <c r="N5192" s="1" t="str">
        <f t="shared" si="9912"/>
        <v>0</v>
      </c>
      <c r="O5192" s="1" t="str">
        <f t="shared" si="9912"/>
        <v>0</v>
      </c>
      <c r="P5192" s="1" t="str">
        <f t="shared" si="9912"/>
        <v>0</v>
      </c>
      <c r="Q5192" s="1" t="str">
        <f t="shared" si="9906"/>
        <v>0.0070</v>
      </c>
      <c r="R5192" s="1" t="s">
        <v>25</v>
      </c>
      <c r="T5192" s="1" t="str">
        <f t="shared" si="9907"/>
        <v>0</v>
      </c>
      <c r="U5192" s="1" t="str">
        <f t="shared" si="9868"/>
        <v>0.0070</v>
      </c>
    </row>
    <row r="5193" s="1" customFormat="1" spans="1:21">
      <c r="A5193" s="1" t="str">
        <f>"4601992169569"</f>
        <v>4601992169569</v>
      </c>
      <c r="B5193" s="1" t="s">
        <v>5216</v>
      </c>
      <c r="C5193" s="1" t="s">
        <v>24</v>
      </c>
      <c r="D5193" s="1" t="str">
        <f t="shared" si="9904"/>
        <v>2021</v>
      </c>
      <c r="E5193" s="1" t="str">
        <f t="shared" ref="E5193:P5193" si="9913">"0"</f>
        <v>0</v>
      </c>
      <c r="F5193" s="1" t="str">
        <f t="shared" si="9913"/>
        <v>0</v>
      </c>
      <c r="G5193" s="1" t="str">
        <f t="shared" si="9913"/>
        <v>0</v>
      </c>
      <c r="H5193" s="1" t="str">
        <f t="shared" si="9913"/>
        <v>0</v>
      </c>
      <c r="I5193" s="1" t="str">
        <f t="shared" si="9913"/>
        <v>0</v>
      </c>
      <c r="J5193" s="1" t="str">
        <f t="shared" si="9913"/>
        <v>0</v>
      </c>
      <c r="K5193" s="1" t="str">
        <f t="shared" si="9913"/>
        <v>0</v>
      </c>
      <c r="L5193" s="1" t="str">
        <f t="shared" si="9913"/>
        <v>0</v>
      </c>
      <c r="M5193" s="1" t="str">
        <f t="shared" si="9913"/>
        <v>0</v>
      </c>
      <c r="N5193" s="1" t="str">
        <f t="shared" si="9913"/>
        <v>0</v>
      </c>
      <c r="O5193" s="1" t="str">
        <f t="shared" si="9913"/>
        <v>0</v>
      </c>
      <c r="P5193" s="1" t="str">
        <f t="shared" si="9913"/>
        <v>0</v>
      </c>
      <c r="Q5193" s="1" t="str">
        <f t="shared" si="9906"/>
        <v>0.0070</v>
      </c>
      <c r="R5193" s="1" t="s">
        <v>25</v>
      </c>
      <c r="T5193" s="1" t="str">
        <f t="shared" si="9907"/>
        <v>0</v>
      </c>
      <c r="U5193" s="1" t="str">
        <f t="shared" si="9868"/>
        <v>0.0070</v>
      </c>
    </row>
    <row r="5194" s="1" customFormat="1" spans="1:21">
      <c r="A5194" s="1" t="str">
        <f>"4601992169596"</f>
        <v>4601992169596</v>
      </c>
      <c r="B5194" s="1" t="s">
        <v>5217</v>
      </c>
      <c r="C5194" s="1" t="s">
        <v>24</v>
      </c>
      <c r="D5194" s="1" t="str">
        <f t="shared" si="9904"/>
        <v>2021</v>
      </c>
      <c r="E5194" s="1" t="str">
        <f t="shared" ref="E5194:P5194" si="9914">"0"</f>
        <v>0</v>
      </c>
      <c r="F5194" s="1" t="str">
        <f t="shared" si="9914"/>
        <v>0</v>
      </c>
      <c r="G5194" s="1" t="str">
        <f t="shared" si="9914"/>
        <v>0</v>
      </c>
      <c r="H5194" s="1" t="str">
        <f t="shared" si="9914"/>
        <v>0</v>
      </c>
      <c r="I5194" s="1" t="str">
        <f t="shared" si="9914"/>
        <v>0</v>
      </c>
      <c r="J5194" s="1" t="str">
        <f t="shared" si="9914"/>
        <v>0</v>
      </c>
      <c r="K5194" s="1" t="str">
        <f t="shared" si="9914"/>
        <v>0</v>
      </c>
      <c r="L5194" s="1" t="str">
        <f t="shared" si="9914"/>
        <v>0</v>
      </c>
      <c r="M5194" s="1" t="str">
        <f t="shared" si="9914"/>
        <v>0</v>
      </c>
      <c r="N5194" s="1" t="str">
        <f t="shared" si="9914"/>
        <v>0</v>
      </c>
      <c r="O5194" s="1" t="str">
        <f t="shared" si="9914"/>
        <v>0</v>
      </c>
      <c r="P5194" s="1" t="str">
        <f t="shared" si="9914"/>
        <v>0</v>
      </c>
      <c r="Q5194" s="1" t="str">
        <f t="shared" si="9906"/>
        <v>0.0070</v>
      </c>
      <c r="R5194" s="1" t="s">
        <v>25</v>
      </c>
      <c r="T5194" s="1" t="str">
        <f t="shared" si="9907"/>
        <v>0</v>
      </c>
      <c r="U5194" s="1" t="str">
        <f t="shared" si="9868"/>
        <v>0.0070</v>
      </c>
    </row>
    <row r="5195" s="1" customFormat="1" spans="1:21">
      <c r="A5195" s="1" t="str">
        <f>"4601992169461"</f>
        <v>4601992169461</v>
      </c>
      <c r="B5195" s="1" t="s">
        <v>5218</v>
      </c>
      <c r="C5195" s="1" t="s">
        <v>24</v>
      </c>
      <c r="D5195" s="1" t="str">
        <f t="shared" si="9904"/>
        <v>2021</v>
      </c>
      <c r="E5195" s="1" t="str">
        <f t="shared" ref="E5195:I5195" si="9915">"0"</f>
        <v>0</v>
      </c>
      <c r="F5195" s="1" t="str">
        <f t="shared" si="9915"/>
        <v>0</v>
      </c>
      <c r="G5195" s="1" t="str">
        <f t="shared" si="9915"/>
        <v>0</v>
      </c>
      <c r="H5195" s="1" t="str">
        <f t="shared" si="9915"/>
        <v>0</v>
      </c>
      <c r="I5195" s="1" t="str">
        <f t="shared" si="9915"/>
        <v>0</v>
      </c>
      <c r="J5195" s="1" t="str">
        <f>"1"</f>
        <v>1</v>
      </c>
      <c r="K5195" s="1" t="str">
        <f t="shared" ref="K5195:P5195" si="9916">"0"</f>
        <v>0</v>
      </c>
      <c r="L5195" s="1" t="str">
        <f t="shared" si="9916"/>
        <v>0</v>
      </c>
      <c r="M5195" s="1" t="str">
        <f t="shared" si="9916"/>
        <v>0</v>
      </c>
      <c r="N5195" s="1" t="str">
        <f t="shared" si="9916"/>
        <v>0</v>
      </c>
      <c r="O5195" s="1" t="str">
        <f t="shared" si="9916"/>
        <v>0</v>
      </c>
      <c r="P5195" s="1" t="str">
        <f t="shared" si="9916"/>
        <v>0</v>
      </c>
      <c r="Q5195" s="1" t="str">
        <f t="shared" si="9906"/>
        <v>0.0070</v>
      </c>
      <c r="R5195" s="1" t="s">
        <v>25</v>
      </c>
      <c r="T5195" s="1" t="str">
        <f t="shared" si="9907"/>
        <v>0</v>
      </c>
      <c r="U5195" s="1" t="str">
        <f t="shared" si="9868"/>
        <v>0.0070</v>
      </c>
    </row>
    <row r="5196" s="1" customFormat="1" spans="1:21">
      <c r="A5196" s="1" t="str">
        <f>"4601992169681"</f>
        <v>4601992169681</v>
      </c>
      <c r="B5196" s="1" t="s">
        <v>5219</v>
      </c>
      <c r="C5196" s="1" t="s">
        <v>24</v>
      </c>
      <c r="D5196" s="1" t="str">
        <f t="shared" si="9904"/>
        <v>2021</v>
      </c>
      <c r="E5196" s="1" t="str">
        <f t="shared" ref="E5196:P5196" si="9917">"0"</f>
        <v>0</v>
      </c>
      <c r="F5196" s="1" t="str">
        <f t="shared" si="9917"/>
        <v>0</v>
      </c>
      <c r="G5196" s="1" t="str">
        <f t="shared" si="9917"/>
        <v>0</v>
      </c>
      <c r="H5196" s="1" t="str">
        <f t="shared" si="9917"/>
        <v>0</v>
      </c>
      <c r="I5196" s="1" t="str">
        <f t="shared" si="9917"/>
        <v>0</v>
      </c>
      <c r="J5196" s="1" t="str">
        <f t="shared" si="9917"/>
        <v>0</v>
      </c>
      <c r="K5196" s="1" t="str">
        <f t="shared" si="9917"/>
        <v>0</v>
      </c>
      <c r="L5196" s="1" t="str">
        <f t="shared" si="9917"/>
        <v>0</v>
      </c>
      <c r="M5196" s="1" t="str">
        <f t="shared" si="9917"/>
        <v>0</v>
      </c>
      <c r="N5196" s="1" t="str">
        <f t="shared" si="9917"/>
        <v>0</v>
      </c>
      <c r="O5196" s="1" t="str">
        <f t="shared" si="9917"/>
        <v>0</v>
      </c>
      <c r="P5196" s="1" t="str">
        <f t="shared" si="9917"/>
        <v>0</v>
      </c>
      <c r="Q5196" s="1" t="str">
        <f t="shared" si="9906"/>
        <v>0.0070</v>
      </c>
      <c r="R5196" s="1" t="s">
        <v>25</v>
      </c>
      <c r="T5196" s="1" t="str">
        <f t="shared" si="9907"/>
        <v>0</v>
      </c>
      <c r="U5196" s="1" t="str">
        <f t="shared" si="9868"/>
        <v>0.0070</v>
      </c>
    </row>
    <row r="5197" s="1" customFormat="1" spans="1:21">
      <c r="A5197" s="1" t="str">
        <f>"4601992169743"</f>
        <v>4601992169743</v>
      </c>
      <c r="B5197" s="1" t="s">
        <v>5220</v>
      </c>
      <c r="C5197" s="1" t="s">
        <v>24</v>
      </c>
      <c r="D5197" s="1" t="str">
        <f t="shared" si="9904"/>
        <v>2021</v>
      </c>
      <c r="E5197" s="1" t="str">
        <f t="shared" ref="E5197:P5197" si="9918">"0"</f>
        <v>0</v>
      </c>
      <c r="F5197" s="1" t="str">
        <f t="shared" si="9918"/>
        <v>0</v>
      </c>
      <c r="G5197" s="1" t="str">
        <f t="shared" si="9918"/>
        <v>0</v>
      </c>
      <c r="H5197" s="1" t="str">
        <f t="shared" si="9918"/>
        <v>0</v>
      </c>
      <c r="I5197" s="1" t="str">
        <f t="shared" si="9918"/>
        <v>0</v>
      </c>
      <c r="J5197" s="1" t="str">
        <f t="shared" si="9918"/>
        <v>0</v>
      </c>
      <c r="K5197" s="1" t="str">
        <f t="shared" si="9918"/>
        <v>0</v>
      </c>
      <c r="L5197" s="1" t="str">
        <f t="shared" si="9918"/>
        <v>0</v>
      </c>
      <c r="M5197" s="1" t="str">
        <f t="shared" si="9918"/>
        <v>0</v>
      </c>
      <c r="N5197" s="1" t="str">
        <f t="shared" si="9918"/>
        <v>0</v>
      </c>
      <c r="O5197" s="1" t="str">
        <f t="shared" si="9918"/>
        <v>0</v>
      </c>
      <c r="P5197" s="1" t="str">
        <f t="shared" si="9918"/>
        <v>0</v>
      </c>
      <c r="Q5197" s="1" t="str">
        <f t="shared" si="9906"/>
        <v>0.0070</v>
      </c>
      <c r="R5197" s="1" t="s">
        <v>25</v>
      </c>
      <c r="T5197" s="1" t="str">
        <f t="shared" si="9907"/>
        <v>0</v>
      </c>
      <c r="U5197" s="1" t="str">
        <f t="shared" si="9868"/>
        <v>0.0070</v>
      </c>
    </row>
    <row r="5198" s="1" customFormat="1" spans="1:21">
      <c r="A5198" s="1" t="str">
        <f>"4601992169799"</f>
        <v>4601992169799</v>
      </c>
      <c r="B5198" s="1" t="s">
        <v>5221</v>
      </c>
      <c r="C5198" s="1" t="s">
        <v>24</v>
      </c>
      <c r="D5198" s="1" t="str">
        <f t="shared" si="9904"/>
        <v>2021</v>
      </c>
      <c r="E5198" s="1" t="str">
        <f t="shared" ref="E5198:P5198" si="9919">"0"</f>
        <v>0</v>
      </c>
      <c r="F5198" s="1" t="str">
        <f t="shared" si="9919"/>
        <v>0</v>
      </c>
      <c r="G5198" s="1" t="str">
        <f t="shared" si="9919"/>
        <v>0</v>
      </c>
      <c r="H5198" s="1" t="str">
        <f t="shared" si="9919"/>
        <v>0</v>
      </c>
      <c r="I5198" s="1" t="str">
        <f t="shared" si="9919"/>
        <v>0</v>
      </c>
      <c r="J5198" s="1" t="str">
        <f t="shared" si="9919"/>
        <v>0</v>
      </c>
      <c r="K5198" s="1" t="str">
        <f t="shared" si="9919"/>
        <v>0</v>
      </c>
      <c r="L5198" s="1" t="str">
        <f t="shared" si="9919"/>
        <v>0</v>
      </c>
      <c r="M5198" s="1" t="str">
        <f t="shared" si="9919"/>
        <v>0</v>
      </c>
      <c r="N5198" s="1" t="str">
        <f t="shared" si="9919"/>
        <v>0</v>
      </c>
      <c r="O5198" s="1" t="str">
        <f t="shared" si="9919"/>
        <v>0</v>
      </c>
      <c r="P5198" s="1" t="str">
        <f t="shared" si="9919"/>
        <v>0</v>
      </c>
      <c r="Q5198" s="1" t="str">
        <f t="shared" si="9906"/>
        <v>0.0070</v>
      </c>
      <c r="R5198" s="1" t="s">
        <v>25</v>
      </c>
      <c r="T5198" s="1" t="str">
        <f t="shared" si="9907"/>
        <v>0</v>
      </c>
      <c r="U5198" s="1" t="str">
        <f t="shared" si="9868"/>
        <v>0.0070</v>
      </c>
    </row>
    <row r="5199" s="1" customFormat="1" spans="1:21">
      <c r="A5199" s="1" t="str">
        <f>"4601992169815"</f>
        <v>4601992169815</v>
      </c>
      <c r="B5199" s="1" t="s">
        <v>5222</v>
      </c>
      <c r="C5199" s="1" t="s">
        <v>24</v>
      </c>
      <c r="D5199" s="1" t="str">
        <f t="shared" si="9904"/>
        <v>2021</v>
      </c>
      <c r="E5199" s="1" t="str">
        <f t="shared" ref="E5199:P5199" si="9920">"0"</f>
        <v>0</v>
      </c>
      <c r="F5199" s="1" t="str">
        <f t="shared" si="9920"/>
        <v>0</v>
      </c>
      <c r="G5199" s="1" t="str">
        <f t="shared" si="9920"/>
        <v>0</v>
      </c>
      <c r="H5199" s="1" t="str">
        <f t="shared" si="9920"/>
        <v>0</v>
      </c>
      <c r="I5199" s="1" t="str">
        <f t="shared" si="9920"/>
        <v>0</v>
      </c>
      <c r="J5199" s="1" t="str">
        <f t="shared" si="9920"/>
        <v>0</v>
      </c>
      <c r="K5199" s="1" t="str">
        <f t="shared" si="9920"/>
        <v>0</v>
      </c>
      <c r="L5199" s="1" t="str">
        <f t="shared" si="9920"/>
        <v>0</v>
      </c>
      <c r="M5199" s="1" t="str">
        <f t="shared" si="9920"/>
        <v>0</v>
      </c>
      <c r="N5199" s="1" t="str">
        <f t="shared" si="9920"/>
        <v>0</v>
      </c>
      <c r="O5199" s="1" t="str">
        <f t="shared" si="9920"/>
        <v>0</v>
      </c>
      <c r="P5199" s="1" t="str">
        <f t="shared" si="9920"/>
        <v>0</v>
      </c>
      <c r="Q5199" s="1" t="str">
        <f t="shared" si="9906"/>
        <v>0.0070</v>
      </c>
      <c r="R5199" s="1" t="s">
        <v>25</v>
      </c>
      <c r="T5199" s="1" t="str">
        <f t="shared" si="9907"/>
        <v>0</v>
      </c>
      <c r="U5199" s="1" t="str">
        <f t="shared" si="9868"/>
        <v>0.0070</v>
      </c>
    </row>
    <row r="5200" s="1" customFormat="1" spans="1:21">
      <c r="A5200" s="1" t="str">
        <f>"4601992169885"</f>
        <v>4601992169885</v>
      </c>
      <c r="B5200" s="1" t="s">
        <v>5223</v>
      </c>
      <c r="C5200" s="1" t="s">
        <v>24</v>
      </c>
      <c r="D5200" s="1" t="str">
        <f t="shared" si="9904"/>
        <v>2021</v>
      </c>
      <c r="E5200" s="1" t="str">
        <f t="shared" ref="E5200:P5200" si="9921">"0"</f>
        <v>0</v>
      </c>
      <c r="F5200" s="1" t="str">
        <f t="shared" si="9921"/>
        <v>0</v>
      </c>
      <c r="G5200" s="1" t="str">
        <f t="shared" si="9921"/>
        <v>0</v>
      </c>
      <c r="H5200" s="1" t="str">
        <f t="shared" si="9921"/>
        <v>0</v>
      </c>
      <c r="I5200" s="1" t="str">
        <f t="shared" si="9921"/>
        <v>0</v>
      </c>
      <c r="J5200" s="1" t="str">
        <f t="shared" si="9921"/>
        <v>0</v>
      </c>
      <c r="K5200" s="1" t="str">
        <f t="shared" si="9921"/>
        <v>0</v>
      </c>
      <c r="L5200" s="1" t="str">
        <f t="shared" si="9921"/>
        <v>0</v>
      </c>
      <c r="M5200" s="1" t="str">
        <f t="shared" si="9921"/>
        <v>0</v>
      </c>
      <c r="N5200" s="1" t="str">
        <f t="shared" si="9921"/>
        <v>0</v>
      </c>
      <c r="O5200" s="1" t="str">
        <f t="shared" si="9921"/>
        <v>0</v>
      </c>
      <c r="P5200" s="1" t="str">
        <f t="shared" si="9921"/>
        <v>0</v>
      </c>
      <c r="Q5200" s="1" t="str">
        <f t="shared" si="9906"/>
        <v>0.0070</v>
      </c>
      <c r="R5200" s="1" t="s">
        <v>25</v>
      </c>
      <c r="T5200" s="1" t="str">
        <f t="shared" si="9907"/>
        <v>0</v>
      </c>
      <c r="U5200" s="1" t="str">
        <f t="shared" si="9868"/>
        <v>0.0070</v>
      </c>
    </row>
    <row r="5201" s="1" customFormat="1" spans="1:21">
      <c r="A5201" s="1" t="str">
        <f>"4601992169975"</f>
        <v>4601992169975</v>
      </c>
      <c r="B5201" s="1" t="s">
        <v>5224</v>
      </c>
      <c r="C5201" s="1" t="s">
        <v>24</v>
      </c>
      <c r="D5201" s="1" t="str">
        <f t="shared" si="9904"/>
        <v>2021</v>
      </c>
      <c r="E5201" s="1" t="str">
        <f t="shared" ref="E5201:P5201" si="9922">"0"</f>
        <v>0</v>
      </c>
      <c r="F5201" s="1" t="str">
        <f t="shared" si="9922"/>
        <v>0</v>
      </c>
      <c r="G5201" s="1" t="str">
        <f t="shared" si="9922"/>
        <v>0</v>
      </c>
      <c r="H5201" s="1" t="str">
        <f t="shared" si="9922"/>
        <v>0</v>
      </c>
      <c r="I5201" s="1" t="str">
        <f t="shared" si="9922"/>
        <v>0</v>
      </c>
      <c r="J5201" s="1" t="str">
        <f t="shared" si="9922"/>
        <v>0</v>
      </c>
      <c r="K5201" s="1" t="str">
        <f t="shared" si="9922"/>
        <v>0</v>
      </c>
      <c r="L5201" s="1" t="str">
        <f t="shared" si="9922"/>
        <v>0</v>
      </c>
      <c r="M5201" s="1" t="str">
        <f t="shared" si="9922"/>
        <v>0</v>
      </c>
      <c r="N5201" s="1" t="str">
        <f t="shared" si="9922"/>
        <v>0</v>
      </c>
      <c r="O5201" s="1" t="str">
        <f t="shared" si="9922"/>
        <v>0</v>
      </c>
      <c r="P5201" s="1" t="str">
        <f t="shared" si="9922"/>
        <v>0</v>
      </c>
      <c r="Q5201" s="1" t="str">
        <f t="shared" si="9906"/>
        <v>0.0070</v>
      </c>
      <c r="R5201" s="1" t="s">
        <v>25</v>
      </c>
      <c r="T5201" s="1" t="str">
        <f t="shared" si="9907"/>
        <v>0</v>
      </c>
      <c r="U5201" s="1" t="str">
        <f t="shared" si="9868"/>
        <v>0.0070</v>
      </c>
    </row>
    <row r="5202" s="1" customFormat="1" spans="1:21">
      <c r="A5202" s="1" t="str">
        <f>"4601992170098"</f>
        <v>4601992170098</v>
      </c>
      <c r="B5202" s="1" t="s">
        <v>5225</v>
      </c>
      <c r="C5202" s="1" t="s">
        <v>24</v>
      </c>
      <c r="D5202" s="1" t="str">
        <f t="shared" si="9904"/>
        <v>2021</v>
      </c>
      <c r="E5202" s="1" t="str">
        <f t="shared" ref="E5202:P5202" si="9923">"0"</f>
        <v>0</v>
      </c>
      <c r="F5202" s="1" t="str">
        <f t="shared" si="9923"/>
        <v>0</v>
      </c>
      <c r="G5202" s="1" t="str">
        <f t="shared" si="9923"/>
        <v>0</v>
      </c>
      <c r="H5202" s="1" t="str">
        <f t="shared" si="9923"/>
        <v>0</v>
      </c>
      <c r="I5202" s="1" t="str">
        <f t="shared" si="9923"/>
        <v>0</v>
      </c>
      <c r="J5202" s="1" t="str">
        <f t="shared" si="9923"/>
        <v>0</v>
      </c>
      <c r="K5202" s="1" t="str">
        <f t="shared" si="9923"/>
        <v>0</v>
      </c>
      <c r="L5202" s="1" t="str">
        <f t="shared" si="9923"/>
        <v>0</v>
      </c>
      <c r="M5202" s="1" t="str">
        <f t="shared" si="9923"/>
        <v>0</v>
      </c>
      <c r="N5202" s="1" t="str">
        <f t="shared" si="9923"/>
        <v>0</v>
      </c>
      <c r="O5202" s="1" t="str">
        <f t="shared" si="9923"/>
        <v>0</v>
      </c>
      <c r="P5202" s="1" t="str">
        <f t="shared" si="9923"/>
        <v>0</v>
      </c>
      <c r="Q5202" s="1" t="str">
        <f t="shared" si="9906"/>
        <v>0.0070</v>
      </c>
      <c r="R5202" s="1" t="s">
        <v>25</v>
      </c>
      <c r="T5202" s="1" t="str">
        <f t="shared" si="9907"/>
        <v>0</v>
      </c>
      <c r="U5202" s="1" t="str">
        <f t="shared" si="9868"/>
        <v>0.0070</v>
      </c>
    </row>
    <row r="5203" s="1" customFormat="1" spans="1:21">
      <c r="A5203" s="1" t="str">
        <f>"4601992169990"</f>
        <v>4601992169990</v>
      </c>
      <c r="B5203" s="1" t="s">
        <v>5226</v>
      </c>
      <c r="C5203" s="1" t="s">
        <v>24</v>
      </c>
      <c r="D5203" s="1" t="str">
        <f t="shared" si="9904"/>
        <v>2021</v>
      </c>
      <c r="E5203" s="1" t="str">
        <f t="shared" ref="E5203:P5203" si="9924">"0"</f>
        <v>0</v>
      </c>
      <c r="F5203" s="1" t="str">
        <f t="shared" si="9924"/>
        <v>0</v>
      </c>
      <c r="G5203" s="1" t="str">
        <f t="shared" si="9924"/>
        <v>0</v>
      </c>
      <c r="H5203" s="1" t="str">
        <f t="shared" si="9924"/>
        <v>0</v>
      </c>
      <c r="I5203" s="1" t="str">
        <f t="shared" si="9924"/>
        <v>0</v>
      </c>
      <c r="J5203" s="1" t="str">
        <f t="shared" si="9924"/>
        <v>0</v>
      </c>
      <c r="K5203" s="1" t="str">
        <f t="shared" si="9924"/>
        <v>0</v>
      </c>
      <c r="L5203" s="1" t="str">
        <f t="shared" si="9924"/>
        <v>0</v>
      </c>
      <c r="M5203" s="1" t="str">
        <f t="shared" si="9924"/>
        <v>0</v>
      </c>
      <c r="N5203" s="1" t="str">
        <f t="shared" si="9924"/>
        <v>0</v>
      </c>
      <c r="O5203" s="1" t="str">
        <f t="shared" si="9924"/>
        <v>0</v>
      </c>
      <c r="P5203" s="1" t="str">
        <f t="shared" si="9924"/>
        <v>0</v>
      </c>
      <c r="Q5203" s="1" t="str">
        <f t="shared" si="9906"/>
        <v>0.0070</v>
      </c>
      <c r="R5203" s="1" t="s">
        <v>25</v>
      </c>
      <c r="T5203" s="1" t="str">
        <f t="shared" si="9907"/>
        <v>0</v>
      </c>
      <c r="U5203" s="1" t="str">
        <f t="shared" si="9868"/>
        <v>0.0070</v>
      </c>
    </row>
    <row r="5204" s="1" customFormat="1" spans="1:21">
      <c r="A5204" s="1" t="str">
        <f>"4601992169837"</f>
        <v>4601992169837</v>
      </c>
      <c r="B5204" s="1" t="s">
        <v>5227</v>
      </c>
      <c r="C5204" s="1" t="s">
        <v>24</v>
      </c>
      <c r="D5204" s="1" t="str">
        <f t="shared" si="9904"/>
        <v>2021</v>
      </c>
      <c r="E5204" s="1" t="str">
        <f t="shared" ref="E5204:I5204" si="9925">"0"</f>
        <v>0</v>
      </c>
      <c r="F5204" s="1" t="str">
        <f t="shared" si="9925"/>
        <v>0</v>
      </c>
      <c r="G5204" s="1" t="str">
        <f t="shared" si="9925"/>
        <v>0</v>
      </c>
      <c r="H5204" s="1" t="str">
        <f t="shared" si="9925"/>
        <v>0</v>
      </c>
      <c r="I5204" s="1" t="str">
        <f t="shared" si="9925"/>
        <v>0</v>
      </c>
      <c r="J5204" s="1" t="str">
        <f>"1"</f>
        <v>1</v>
      </c>
      <c r="K5204" s="1" t="str">
        <f t="shared" ref="K5204:P5204" si="9926">"0"</f>
        <v>0</v>
      </c>
      <c r="L5204" s="1" t="str">
        <f t="shared" si="9926"/>
        <v>0</v>
      </c>
      <c r="M5204" s="1" t="str">
        <f t="shared" si="9926"/>
        <v>0</v>
      </c>
      <c r="N5204" s="1" t="str">
        <f t="shared" si="9926"/>
        <v>0</v>
      </c>
      <c r="O5204" s="1" t="str">
        <f t="shared" si="9926"/>
        <v>0</v>
      </c>
      <c r="P5204" s="1" t="str">
        <f t="shared" si="9926"/>
        <v>0</v>
      </c>
      <c r="Q5204" s="1" t="str">
        <f t="shared" si="9906"/>
        <v>0.0070</v>
      </c>
      <c r="R5204" s="1" t="s">
        <v>25</v>
      </c>
      <c r="T5204" s="1" t="str">
        <f t="shared" si="9907"/>
        <v>0</v>
      </c>
      <c r="U5204" s="1" t="str">
        <f t="shared" si="9868"/>
        <v>0.0070</v>
      </c>
    </row>
    <row r="5205" s="1" customFormat="1" spans="1:21">
      <c r="A5205" s="1" t="str">
        <f>"4601992170180"</f>
        <v>4601992170180</v>
      </c>
      <c r="B5205" s="1" t="s">
        <v>5228</v>
      </c>
      <c r="C5205" s="1" t="s">
        <v>24</v>
      </c>
      <c r="D5205" s="1" t="str">
        <f t="shared" si="9904"/>
        <v>2021</v>
      </c>
      <c r="E5205" s="1" t="str">
        <f t="shared" ref="E5205:P5205" si="9927">"0"</f>
        <v>0</v>
      </c>
      <c r="F5205" s="1" t="str">
        <f t="shared" si="9927"/>
        <v>0</v>
      </c>
      <c r="G5205" s="1" t="str">
        <f t="shared" si="9927"/>
        <v>0</v>
      </c>
      <c r="H5205" s="1" t="str">
        <f t="shared" si="9927"/>
        <v>0</v>
      </c>
      <c r="I5205" s="1" t="str">
        <f t="shared" si="9927"/>
        <v>0</v>
      </c>
      <c r="J5205" s="1" t="str">
        <f t="shared" si="9927"/>
        <v>0</v>
      </c>
      <c r="K5205" s="1" t="str">
        <f t="shared" si="9927"/>
        <v>0</v>
      </c>
      <c r="L5205" s="1" t="str">
        <f t="shared" si="9927"/>
        <v>0</v>
      </c>
      <c r="M5205" s="1" t="str">
        <f t="shared" si="9927"/>
        <v>0</v>
      </c>
      <c r="N5205" s="1" t="str">
        <f t="shared" si="9927"/>
        <v>0</v>
      </c>
      <c r="O5205" s="1" t="str">
        <f t="shared" si="9927"/>
        <v>0</v>
      </c>
      <c r="P5205" s="1" t="str">
        <f t="shared" si="9927"/>
        <v>0</v>
      </c>
      <c r="Q5205" s="1" t="str">
        <f t="shared" si="9906"/>
        <v>0.0070</v>
      </c>
      <c r="R5205" s="1" t="s">
        <v>25</v>
      </c>
      <c r="T5205" s="1" t="str">
        <f t="shared" si="9907"/>
        <v>0</v>
      </c>
      <c r="U5205" s="1" t="str">
        <f t="shared" si="9868"/>
        <v>0.0070</v>
      </c>
    </row>
    <row r="5206" s="1" customFormat="1" spans="1:21">
      <c r="A5206" s="1" t="str">
        <f>"4601992170229"</f>
        <v>4601992170229</v>
      </c>
      <c r="B5206" s="1" t="s">
        <v>5229</v>
      </c>
      <c r="C5206" s="1" t="s">
        <v>24</v>
      </c>
      <c r="D5206" s="1" t="str">
        <f t="shared" si="9904"/>
        <v>2021</v>
      </c>
      <c r="E5206" s="1" t="str">
        <f t="shared" ref="E5206:P5206" si="9928">"0"</f>
        <v>0</v>
      </c>
      <c r="F5206" s="1" t="str">
        <f t="shared" si="9928"/>
        <v>0</v>
      </c>
      <c r="G5206" s="1" t="str">
        <f t="shared" si="9928"/>
        <v>0</v>
      </c>
      <c r="H5206" s="1" t="str">
        <f t="shared" si="9928"/>
        <v>0</v>
      </c>
      <c r="I5206" s="1" t="str">
        <f t="shared" si="9928"/>
        <v>0</v>
      </c>
      <c r="J5206" s="1" t="str">
        <f t="shared" si="9928"/>
        <v>0</v>
      </c>
      <c r="K5206" s="1" t="str">
        <f t="shared" si="9928"/>
        <v>0</v>
      </c>
      <c r="L5206" s="1" t="str">
        <f t="shared" si="9928"/>
        <v>0</v>
      </c>
      <c r="M5206" s="1" t="str">
        <f t="shared" si="9928"/>
        <v>0</v>
      </c>
      <c r="N5206" s="1" t="str">
        <f t="shared" si="9928"/>
        <v>0</v>
      </c>
      <c r="O5206" s="1" t="str">
        <f t="shared" si="9928"/>
        <v>0</v>
      </c>
      <c r="P5206" s="1" t="str">
        <f t="shared" si="9928"/>
        <v>0</v>
      </c>
      <c r="Q5206" s="1" t="str">
        <f t="shared" si="9906"/>
        <v>0.0070</v>
      </c>
      <c r="R5206" s="1" t="s">
        <v>25</v>
      </c>
      <c r="T5206" s="1" t="str">
        <f t="shared" si="9907"/>
        <v>0</v>
      </c>
      <c r="U5206" s="1" t="str">
        <f t="shared" si="9868"/>
        <v>0.0070</v>
      </c>
    </row>
    <row r="5207" s="1" customFormat="1" spans="1:21">
      <c r="A5207" s="1" t="str">
        <f>"4601992170281"</f>
        <v>4601992170281</v>
      </c>
      <c r="B5207" s="1" t="s">
        <v>5230</v>
      </c>
      <c r="C5207" s="1" t="s">
        <v>24</v>
      </c>
      <c r="D5207" s="1" t="str">
        <f t="shared" si="9904"/>
        <v>2021</v>
      </c>
      <c r="E5207" s="1" t="str">
        <f t="shared" ref="E5207:P5207" si="9929">"0"</f>
        <v>0</v>
      </c>
      <c r="F5207" s="1" t="str">
        <f t="shared" si="9929"/>
        <v>0</v>
      </c>
      <c r="G5207" s="1" t="str">
        <f t="shared" si="9929"/>
        <v>0</v>
      </c>
      <c r="H5207" s="1" t="str">
        <f t="shared" si="9929"/>
        <v>0</v>
      </c>
      <c r="I5207" s="1" t="str">
        <f t="shared" si="9929"/>
        <v>0</v>
      </c>
      <c r="J5207" s="1" t="str">
        <f t="shared" si="9929"/>
        <v>0</v>
      </c>
      <c r="K5207" s="1" t="str">
        <f t="shared" si="9929"/>
        <v>0</v>
      </c>
      <c r="L5207" s="1" t="str">
        <f t="shared" si="9929"/>
        <v>0</v>
      </c>
      <c r="M5207" s="1" t="str">
        <f t="shared" si="9929"/>
        <v>0</v>
      </c>
      <c r="N5207" s="1" t="str">
        <f t="shared" si="9929"/>
        <v>0</v>
      </c>
      <c r="O5207" s="1" t="str">
        <f t="shared" si="9929"/>
        <v>0</v>
      </c>
      <c r="P5207" s="1" t="str">
        <f t="shared" si="9929"/>
        <v>0</v>
      </c>
      <c r="Q5207" s="1" t="str">
        <f t="shared" si="9906"/>
        <v>0.0070</v>
      </c>
      <c r="R5207" s="1" t="s">
        <v>25</v>
      </c>
      <c r="T5207" s="1" t="str">
        <f t="shared" si="9907"/>
        <v>0</v>
      </c>
      <c r="U5207" s="1" t="str">
        <f t="shared" si="9868"/>
        <v>0.0070</v>
      </c>
    </row>
    <row r="5208" s="1" customFormat="1" spans="1:21">
      <c r="A5208" s="1" t="str">
        <f>"4601992170566"</f>
        <v>4601992170566</v>
      </c>
      <c r="B5208" s="1" t="s">
        <v>5231</v>
      </c>
      <c r="C5208" s="1" t="s">
        <v>24</v>
      </c>
      <c r="D5208" s="1" t="str">
        <f t="shared" si="9904"/>
        <v>2021</v>
      </c>
      <c r="E5208" s="1" t="str">
        <f t="shared" ref="E5208:P5208" si="9930">"0"</f>
        <v>0</v>
      </c>
      <c r="F5208" s="1" t="str">
        <f t="shared" si="9930"/>
        <v>0</v>
      </c>
      <c r="G5208" s="1" t="str">
        <f t="shared" si="9930"/>
        <v>0</v>
      </c>
      <c r="H5208" s="1" t="str">
        <f t="shared" si="9930"/>
        <v>0</v>
      </c>
      <c r="I5208" s="1" t="str">
        <f t="shared" si="9930"/>
        <v>0</v>
      </c>
      <c r="J5208" s="1" t="str">
        <f t="shared" si="9930"/>
        <v>0</v>
      </c>
      <c r="K5208" s="1" t="str">
        <f t="shared" si="9930"/>
        <v>0</v>
      </c>
      <c r="L5208" s="1" t="str">
        <f t="shared" si="9930"/>
        <v>0</v>
      </c>
      <c r="M5208" s="1" t="str">
        <f t="shared" si="9930"/>
        <v>0</v>
      </c>
      <c r="N5208" s="1" t="str">
        <f t="shared" si="9930"/>
        <v>0</v>
      </c>
      <c r="O5208" s="1" t="str">
        <f t="shared" si="9930"/>
        <v>0</v>
      </c>
      <c r="P5208" s="1" t="str">
        <f t="shared" si="9930"/>
        <v>0</v>
      </c>
      <c r="Q5208" s="1" t="str">
        <f t="shared" si="9906"/>
        <v>0.0070</v>
      </c>
      <c r="R5208" s="1" t="s">
        <v>25</v>
      </c>
      <c r="T5208" s="1" t="str">
        <f t="shared" si="9907"/>
        <v>0</v>
      </c>
      <c r="U5208" s="1" t="str">
        <f t="shared" si="9868"/>
        <v>0.0070</v>
      </c>
    </row>
    <row r="5209" s="1" customFormat="1" spans="1:21">
      <c r="A5209" s="1" t="str">
        <f>"4601992170803"</f>
        <v>4601992170803</v>
      </c>
      <c r="B5209" s="1" t="s">
        <v>5232</v>
      </c>
      <c r="C5209" s="1" t="s">
        <v>24</v>
      </c>
      <c r="D5209" s="1" t="str">
        <f t="shared" si="9904"/>
        <v>2021</v>
      </c>
      <c r="E5209" s="1" t="str">
        <f t="shared" ref="E5209:P5209" si="9931">"0"</f>
        <v>0</v>
      </c>
      <c r="F5209" s="1" t="str">
        <f t="shared" si="9931"/>
        <v>0</v>
      </c>
      <c r="G5209" s="1" t="str">
        <f t="shared" si="9931"/>
        <v>0</v>
      </c>
      <c r="H5209" s="1" t="str">
        <f t="shared" si="9931"/>
        <v>0</v>
      </c>
      <c r="I5209" s="1" t="str">
        <f t="shared" si="9931"/>
        <v>0</v>
      </c>
      <c r="J5209" s="1" t="str">
        <f t="shared" si="9931"/>
        <v>0</v>
      </c>
      <c r="K5209" s="1" t="str">
        <f t="shared" si="9931"/>
        <v>0</v>
      </c>
      <c r="L5209" s="1" t="str">
        <f t="shared" si="9931"/>
        <v>0</v>
      </c>
      <c r="M5209" s="1" t="str">
        <f t="shared" si="9931"/>
        <v>0</v>
      </c>
      <c r="N5209" s="1" t="str">
        <f t="shared" si="9931"/>
        <v>0</v>
      </c>
      <c r="O5209" s="1" t="str">
        <f t="shared" si="9931"/>
        <v>0</v>
      </c>
      <c r="P5209" s="1" t="str">
        <f t="shared" si="9931"/>
        <v>0</v>
      </c>
      <c r="Q5209" s="1" t="str">
        <f t="shared" si="9906"/>
        <v>0.0070</v>
      </c>
      <c r="R5209" s="1" t="s">
        <v>25</v>
      </c>
      <c r="T5209" s="1" t="str">
        <f t="shared" si="9907"/>
        <v>0</v>
      </c>
      <c r="U5209" s="1" t="str">
        <f t="shared" si="9868"/>
        <v>0.0070</v>
      </c>
    </row>
    <row r="5210" s="1" customFormat="1" spans="1:21">
      <c r="A5210" s="1" t="str">
        <f>"4601992170335"</f>
        <v>4601992170335</v>
      </c>
      <c r="B5210" s="1" t="s">
        <v>5233</v>
      </c>
      <c r="C5210" s="1" t="s">
        <v>24</v>
      </c>
      <c r="D5210" s="1" t="str">
        <f t="shared" si="9904"/>
        <v>2021</v>
      </c>
      <c r="E5210" s="1" t="str">
        <f t="shared" ref="E5210:I5210" si="9932">"0"</f>
        <v>0</v>
      </c>
      <c r="F5210" s="1" t="str">
        <f t="shared" si="9932"/>
        <v>0</v>
      </c>
      <c r="G5210" s="1" t="str">
        <f t="shared" si="9932"/>
        <v>0</v>
      </c>
      <c r="H5210" s="1" t="str">
        <f t="shared" si="9932"/>
        <v>0</v>
      </c>
      <c r="I5210" s="1" t="str">
        <f t="shared" si="9932"/>
        <v>0</v>
      </c>
      <c r="J5210" s="1" t="str">
        <f>"5"</f>
        <v>5</v>
      </c>
      <c r="K5210" s="1" t="str">
        <f t="shared" ref="K5210:P5210" si="9933">"0"</f>
        <v>0</v>
      </c>
      <c r="L5210" s="1" t="str">
        <f t="shared" si="9933"/>
        <v>0</v>
      </c>
      <c r="M5210" s="1" t="str">
        <f t="shared" si="9933"/>
        <v>0</v>
      </c>
      <c r="N5210" s="1" t="str">
        <f t="shared" si="9933"/>
        <v>0</v>
      </c>
      <c r="O5210" s="1" t="str">
        <f t="shared" si="9933"/>
        <v>0</v>
      </c>
      <c r="P5210" s="1" t="str">
        <f t="shared" si="9933"/>
        <v>0</v>
      </c>
      <c r="Q5210" s="1" t="str">
        <f t="shared" si="9906"/>
        <v>0.0070</v>
      </c>
      <c r="R5210" s="1" t="s">
        <v>25</v>
      </c>
      <c r="T5210" s="1" t="str">
        <f t="shared" si="9907"/>
        <v>0</v>
      </c>
      <c r="U5210" s="1" t="str">
        <f t="shared" si="9868"/>
        <v>0.0070</v>
      </c>
    </row>
    <row r="5211" s="1" customFormat="1" spans="1:21">
      <c r="A5211" s="1" t="str">
        <f>"4601992170817"</f>
        <v>4601992170817</v>
      </c>
      <c r="B5211" s="1" t="s">
        <v>5234</v>
      </c>
      <c r="C5211" s="1" t="s">
        <v>24</v>
      </c>
      <c r="D5211" s="1" t="str">
        <f t="shared" si="9904"/>
        <v>2021</v>
      </c>
      <c r="E5211" s="1" t="str">
        <f t="shared" ref="E5211:P5211" si="9934">"0"</f>
        <v>0</v>
      </c>
      <c r="F5211" s="1" t="str">
        <f t="shared" si="9934"/>
        <v>0</v>
      </c>
      <c r="G5211" s="1" t="str">
        <f t="shared" si="9934"/>
        <v>0</v>
      </c>
      <c r="H5211" s="1" t="str">
        <f t="shared" si="9934"/>
        <v>0</v>
      </c>
      <c r="I5211" s="1" t="str">
        <f t="shared" si="9934"/>
        <v>0</v>
      </c>
      <c r="J5211" s="1" t="str">
        <f t="shared" si="9934"/>
        <v>0</v>
      </c>
      <c r="K5211" s="1" t="str">
        <f t="shared" si="9934"/>
        <v>0</v>
      </c>
      <c r="L5211" s="1" t="str">
        <f t="shared" si="9934"/>
        <v>0</v>
      </c>
      <c r="M5211" s="1" t="str">
        <f t="shared" si="9934"/>
        <v>0</v>
      </c>
      <c r="N5211" s="1" t="str">
        <f t="shared" si="9934"/>
        <v>0</v>
      </c>
      <c r="O5211" s="1" t="str">
        <f t="shared" si="9934"/>
        <v>0</v>
      </c>
      <c r="P5211" s="1" t="str">
        <f t="shared" si="9934"/>
        <v>0</v>
      </c>
      <c r="Q5211" s="1" t="str">
        <f t="shared" si="9906"/>
        <v>0.0070</v>
      </c>
      <c r="R5211" s="1" t="s">
        <v>25</v>
      </c>
      <c r="T5211" s="1" t="str">
        <f t="shared" si="9907"/>
        <v>0</v>
      </c>
      <c r="U5211" s="1" t="str">
        <f t="shared" si="9868"/>
        <v>0.0070</v>
      </c>
    </row>
    <row r="5212" s="1" customFormat="1" spans="1:21">
      <c r="A5212" s="1" t="str">
        <f>"4601992170801"</f>
        <v>4601992170801</v>
      </c>
      <c r="B5212" s="1" t="s">
        <v>5235</v>
      </c>
      <c r="C5212" s="1" t="s">
        <v>24</v>
      </c>
      <c r="D5212" s="1" t="str">
        <f t="shared" si="9904"/>
        <v>2021</v>
      </c>
      <c r="E5212" s="1" t="str">
        <f t="shared" ref="E5212:I5212" si="9935">"0"</f>
        <v>0</v>
      </c>
      <c r="F5212" s="1" t="str">
        <f t="shared" si="9935"/>
        <v>0</v>
      </c>
      <c r="G5212" s="1" t="str">
        <f t="shared" si="9935"/>
        <v>0</v>
      </c>
      <c r="H5212" s="1" t="str">
        <f t="shared" si="9935"/>
        <v>0</v>
      </c>
      <c r="I5212" s="1" t="str">
        <f t="shared" si="9935"/>
        <v>0</v>
      </c>
      <c r="J5212" s="1" t="str">
        <f>"2"</f>
        <v>2</v>
      </c>
      <c r="K5212" s="1" t="str">
        <f t="shared" ref="K5212:P5212" si="9936">"0"</f>
        <v>0</v>
      </c>
      <c r="L5212" s="1" t="str">
        <f t="shared" si="9936"/>
        <v>0</v>
      </c>
      <c r="M5212" s="1" t="str">
        <f t="shared" si="9936"/>
        <v>0</v>
      </c>
      <c r="N5212" s="1" t="str">
        <f t="shared" si="9936"/>
        <v>0</v>
      </c>
      <c r="O5212" s="1" t="str">
        <f t="shared" si="9936"/>
        <v>0</v>
      </c>
      <c r="P5212" s="1" t="str">
        <f t="shared" si="9936"/>
        <v>0</v>
      </c>
      <c r="Q5212" s="1" t="str">
        <f t="shared" si="9906"/>
        <v>0.0070</v>
      </c>
      <c r="R5212" s="1" t="s">
        <v>25</v>
      </c>
      <c r="T5212" s="1" t="str">
        <f t="shared" si="9907"/>
        <v>0</v>
      </c>
      <c r="U5212" s="1" t="str">
        <f t="shared" si="9868"/>
        <v>0.0070</v>
      </c>
    </row>
    <row r="5213" s="1" customFormat="1" spans="1:21">
      <c r="A5213" s="1" t="str">
        <f>"4601992170901"</f>
        <v>4601992170901</v>
      </c>
      <c r="B5213" s="1" t="s">
        <v>5236</v>
      </c>
      <c r="C5213" s="1" t="s">
        <v>24</v>
      </c>
      <c r="D5213" s="1" t="str">
        <f t="shared" si="9904"/>
        <v>2021</v>
      </c>
      <c r="E5213" s="1" t="str">
        <f t="shared" ref="E5213:P5213" si="9937">"0"</f>
        <v>0</v>
      </c>
      <c r="F5213" s="1" t="str">
        <f t="shared" si="9937"/>
        <v>0</v>
      </c>
      <c r="G5213" s="1" t="str">
        <f t="shared" si="9937"/>
        <v>0</v>
      </c>
      <c r="H5213" s="1" t="str">
        <f t="shared" si="9937"/>
        <v>0</v>
      </c>
      <c r="I5213" s="1" t="str">
        <f t="shared" si="9937"/>
        <v>0</v>
      </c>
      <c r="J5213" s="1" t="str">
        <f t="shared" si="9937"/>
        <v>0</v>
      </c>
      <c r="K5213" s="1" t="str">
        <f t="shared" si="9937"/>
        <v>0</v>
      </c>
      <c r="L5213" s="1" t="str">
        <f t="shared" si="9937"/>
        <v>0</v>
      </c>
      <c r="M5213" s="1" t="str">
        <f t="shared" si="9937"/>
        <v>0</v>
      </c>
      <c r="N5213" s="1" t="str">
        <f t="shared" si="9937"/>
        <v>0</v>
      </c>
      <c r="O5213" s="1" t="str">
        <f t="shared" si="9937"/>
        <v>0</v>
      </c>
      <c r="P5213" s="1" t="str">
        <f t="shared" si="9937"/>
        <v>0</v>
      </c>
      <c r="Q5213" s="1" t="str">
        <f t="shared" si="9906"/>
        <v>0.0070</v>
      </c>
      <c r="R5213" s="1" t="s">
        <v>25</v>
      </c>
      <c r="T5213" s="1" t="str">
        <f t="shared" si="9907"/>
        <v>0</v>
      </c>
      <c r="U5213" s="1" t="str">
        <f t="shared" si="9868"/>
        <v>0.0070</v>
      </c>
    </row>
    <row r="5214" s="1" customFormat="1" spans="1:21">
      <c r="A5214" s="1" t="str">
        <f>"4601992170989"</f>
        <v>4601992170989</v>
      </c>
      <c r="B5214" s="1" t="s">
        <v>5237</v>
      </c>
      <c r="C5214" s="1" t="s">
        <v>24</v>
      </c>
      <c r="D5214" s="1" t="str">
        <f t="shared" si="9904"/>
        <v>2021</v>
      </c>
      <c r="E5214" s="1" t="str">
        <f t="shared" ref="E5214:P5214" si="9938">"0"</f>
        <v>0</v>
      </c>
      <c r="F5214" s="1" t="str">
        <f t="shared" si="9938"/>
        <v>0</v>
      </c>
      <c r="G5214" s="1" t="str">
        <f t="shared" si="9938"/>
        <v>0</v>
      </c>
      <c r="H5214" s="1" t="str">
        <f t="shared" si="9938"/>
        <v>0</v>
      </c>
      <c r="I5214" s="1" t="str">
        <f t="shared" si="9938"/>
        <v>0</v>
      </c>
      <c r="J5214" s="1" t="str">
        <f t="shared" si="9938"/>
        <v>0</v>
      </c>
      <c r="K5214" s="1" t="str">
        <f t="shared" si="9938"/>
        <v>0</v>
      </c>
      <c r="L5214" s="1" t="str">
        <f t="shared" si="9938"/>
        <v>0</v>
      </c>
      <c r="M5214" s="1" t="str">
        <f t="shared" si="9938"/>
        <v>0</v>
      </c>
      <c r="N5214" s="1" t="str">
        <f t="shared" si="9938"/>
        <v>0</v>
      </c>
      <c r="O5214" s="1" t="str">
        <f t="shared" si="9938"/>
        <v>0</v>
      </c>
      <c r="P5214" s="1" t="str">
        <f t="shared" si="9938"/>
        <v>0</v>
      </c>
      <c r="Q5214" s="1" t="str">
        <f t="shared" si="9906"/>
        <v>0.0070</v>
      </c>
      <c r="R5214" s="1" t="s">
        <v>25</v>
      </c>
      <c r="T5214" s="1" t="str">
        <f t="shared" si="9907"/>
        <v>0</v>
      </c>
      <c r="U5214" s="1" t="str">
        <f t="shared" si="9868"/>
        <v>0.0070</v>
      </c>
    </row>
    <row r="5215" s="1" customFormat="1" spans="1:21">
      <c r="A5215" s="1" t="str">
        <f>"4601992171066"</f>
        <v>4601992171066</v>
      </c>
      <c r="B5215" s="1" t="s">
        <v>5238</v>
      </c>
      <c r="C5215" s="1" t="s">
        <v>24</v>
      </c>
      <c r="D5215" s="1" t="str">
        <f t="shared" si="9904"/>
        <v>2021</v>
      </c>
      <c r="E5215" s="1" t="str">
        <f t="shared" ref="E5215:P5215" si="9939">"0"</f>
        <v>0</v>
      </c>
      <c r="F5215" s="1" t="str">
        <f t="shared" si="9939"/>
        <v>0</v>
      </c>
      <c r="G5215" s="1" t="str">
        <f t="shared" si="9939"/>
        <v>0</v>
      </c>
      <c r="H5215" s="1" t="str">
        <f t="shared" si="9939"/>
        <v>0</v>
      </c>
      <c r="I5215" s="1" t="str">
        <f t="shared" si="9939"/>
        <v>0</v>
      </c>
      <c r="J5215" s="1" t="str">
        <f t="shared" si="9939"/>
        <v>0</v>
      </c>
      <c r="K5215" s="1" t="str">
        <f t="shared" si="9939"/>
        <v>0</v>
      </c>
      <c r="L5215" s="1" t="str">
        <f t="shared" si="9939"/>
        <v>0</v>
      </c>
      <c r="M5215" s="1" t="str">
        <f t="shared" si="9939"/>
        <v>0</v>
      </c>
      <c r="N5215" s="1" t="str">
        <f t="shared" si="9939"/>
        <v>0</v>
      </c>
      <c r="O5215" s="1" t="str">
        <f t="shared" si="9939"/>
        <v>0</v>
      </c>
      <c r="P5215" s="1" t="str">
        <f t="shared" si="9939"/>
        <v>0</v>
      </c>
      <c r="Q5215" s="1" t="str">
        <f t="shared" si="9906"/>
        <v>0.0070</v>
      </c>
      <c r="R5215" s="1" t="s">
        <v>25</v>
      </c>
      <c r="T5215" s="1" t="str">
        <f t="shared" si="9907"/>
        <v>0</v>
      </c>
      <c r="U5215" s="1" t="str">
        <f t="shared" si="9868"/>
        <v>0.0070</v>
      </c>
    </row>
    <row r="5216" s="1" customFormat="1" spans="1:21">
      <c r="A5216" s="1" t="str">
        <f>"4601992171100"</f>
        <v>4601992171100</v>
      </c>
      <c r="B5216" s="1" t="s">
        <v>5239</v>
      </c>
      <c r="C5216" s="1" t="s">
        <v>24</v>
      </c>
      <c r="D5216" s="1" t="str">
        <f t="shared" si="9904"/>
        <v>2021</v>
      </c>
      <c r="E5216" s="1" t="str">
        <f t="shared" ref="E5216:P5216" si="9940">"0"</f>
        <v>0</v>
      </c>
      <c r="F5216" s="1" t="str">
        <f t="shared" si="9940"/>
        <v>0</v>
      </c>
      <c r="G5216" s="1" t="str">
        <f t="shared" si="9940"/>
        <v>0</v>
      </c>
      <c r="H5216" s="1" t="str">
        <f t="shared" si="9940"/>
        <v>0</v>
      </c>
      <c r="I5216" s="1" t="str">
        <f t="shared" si="9940"/>
        <v>0</v>
      </c>
      <c r="J5216" s="1" t="str">
        <f t="shared" si="9940"/>
        <v>0</v>
      </c>
      <c r="K5216" s="1" t="str">
        <f t="shared" si="9940"/>
        <v>0</v>
      </c>
      <c r="L5216" s="1" t="str">
        <f t="shared" si="9940"/>
        <v>0</v>
      </c>
      <c r="M5216" s="1" t="str">
        <f t="shared" si="9940"/>
        <v>0</v>
      </c>
      <c r="N5216" s="1" t="str">
        <f t="shared" si="9940"/>
        <v>0</v>
      </c>
      <c r="O5216" s="1" t="str">
        <f t="shared" si="9940"/>
        <v>0</v>
      </c>
      <c r="P5216" s="1" t="str">
        <f t="shared" si="9940"/>
        <v>0</v>
      </c>
      <c r="Q5216" s="1" t="str">
        <f t="shared" si="9906"/>
        <v>0.0070</v>
      </c>
      <c r="R5216" s="1" t="s">
        <v>25</v>
      </c>
      <c r="T5216" s="1" t="str">
        <f t="shared" si="9907"/>
        <v>0</v>
      </c>
      <c r="U5216" s="1" t="str">
        <f t="shared" si="9868"/>
        <v>0.0070</v>
      </c>
    </row>
    <row r="5217" s="1" customFormat="1" spans="1:21">
      <c r="A5217" s="1" t="str">
        <f>"4601992170877"</f>
        <v>4601992170877</v>
      </c>
      <c r="B5217" s="1" t="s">
        <v>5240</v>
      </c>
      <c r="C5217" s="1" t="s">
        <v>24</v>
      </c>
      <c r="D5217" s="1" t="str">
        <f t="shared" si="9904"/>
        <v>2021</v>
      </c>
      <c r="E5217" s="1" t="str">
        <f t="shared" ref="E5217:I5217" si="9941">"0"</f>
        <v>0</v>
      </c>
      <c r="F5217" s="1" t="str">
        <f t="shared" si="9941"/>
        <v>0</v>
      </c>
      <c r="G5217" s="1" t="str">
        <f t="shared" si="9941"/>
        <v>0</v>
      </c>
      <c r="H5217" s="1" t="str">
        <f t="shared" si="9941"/>
        <v>0</v>
      </c>
      <c r="I5217" s="1" t="str">
        <f t="shared" si="9941"/>
        <v>0</v>
      </c>
      <c r="J5217" s="1" t="str">
        <f>"3"</f>
        <v>3</v>
      </c>
      <c r="K5217" s="1" t="str">
        <f t="shared" ref="K5217:P5217" si="9942">"0"</f>
        <v>0</v>
      </c>
      <c r="L5217" s="1" t="str">
        <f t="shared" si="9942"/>
        <v>0</v>
      </c>
      <c r="M5217" s="1" t="str">
        <f t="shared" si="9942"/>
        <v>0</v>
      </c>
      <c r="N5217" s="1" t="str">
        <f t="shared" si="9942"/>
        <v>0</v>
      </c>
      <c r="O5217" s="1" t="str">
        <f t="shared" si="9942"/>
        <v>0</v>
      </c>
      <c r="P5217" s="1" t="str">
        <f t="shared" si="9942"/>
        <v>0</v>
      </c>
      <c r="Q5217" s="1" t="str">
        <f t="shared" si="9906"/>
        <v>0.0070</v>
      </c>
      <c r="R5217" s="1" t="s">
        <v>25</v>
      </c>
      <c r="T5217" s="1" t="str">
        <f t="shared" si="9907"/>
        <v>0</v>
      </c>
      <c r="U5217" s="1" t="str">
        <f t="shared" si="9868"/>
        <v>0.0070</v>
      </c>
    </row>
    <row r="5218" s="1" customFormat="1" spans="1:21">
      <c r="A5218" s="1" t="str">
        <f>"4601992171192"</f>
        <v>4601992171192</v>
      </c>
      <c r="B5218" s="1" t="s">
        <v>5241</v>
      </c>
      <c r="C5218" s="1" t="s">
        <v>24</v>
      </c>
      <c r="D5218" s="1" t="str">
        <f t="shared" si="9904"/>
        <v>2021</v>
      </c>
      <c r="E5218" s="1" t="str">
        <f t="shared" ref="E5218:P5218" si="9943">"0"</f>
        <v>0</v>
      </c>
      <c r="F5218" s="1" t="str">
        <f t="shared" si="9943"/>
        <v>0</v>
      </c>
      <c r="G5218" s="1" t="str">
        <f t="shared" si="9943"/>
        <v>0</v>
      </c>
      <c r="H5218" s="1" t="str">
        <f t="shared" si="9943"/>
        <v>0</v>
      </c>
      <c r="I5218" s="1" t="str">
        <f t="shared" si="9943"/>
        <v>0</v>
      </c>
      <c r="J5218" s="1" t="str">
        <f t="shared" si="9943"/>
        <v>0</v>
      </c>
      <c r="K5218" s="1" t="str">
        <f t="shared" si="9943"/>
        <v>0</v>
      </c>
      <c r="L5218" s="1" t="str">
        <f t="shared" si="9943"/>
        <v>0</v>
      </c>
      <c r="M5218" s="1" t="str">
        <f t="shared" si="9943"/>
        <v>0</v>
      </c>
      <c r="N5218" s="1" t="str">
        <f t="shared" si="9943"/>
        <v>0</v>
      </c>
      <c r="O5218" s="1" t="str">
        <f t="shared" si="9943"/>
        <v>0</v>
      </c>
      <c r="P5218" s="1" t="str">
        <f t="shared" si="9943"/>
        <v>0</v>
      </c>
      <c r="Q5218" s="1" t="str">
        <f t="shared" si="9906"/>
        <v>0.0070</v>
      </c>
      <c r="R5218" s="1" t="s">
        <v>25</v>
      </c>
      <c r="T5218" s="1" t="str">
        <f t="shared" si="9907"/>
        <v>0</v>
      </c>
      <c r="U5218" s="1" t="str">
        <f t="shared" si="9868"/>
        <v>0.0070</v>
      </c>
    </row>
    <row r="5219" s="1" customFormat="1" spans="1:21">
      <c r="A5219" s="1" t="str">
        <f>"4601992171333"</f>
        <v>4601992171333</v>
      </c>
      <c r="B5219" s="1" t="s">
        <v>5242</v>
      </c>
      <c r="C5219" s="1" t="s">
        <v>24</v>
      </c>
      <c r="D5219" s="1" t="str">
        <f t="shared" si="9904"/>
        <v>2021</v>
      </c>
      <c r="E5219" s="1" t="str">
        <f t="shared" ref="E5219:P5219" si="9944">"0"</f>
        <v>0</v>
      </c>
      <c r="F5219" s="1" t="str">
        <f t="shared" si="9944"/>
        <v>0</v>
      </c>
      <c r="G5219" s="1" t="str">
        <f t="shared" si="9944"/>
        <v>0</v>
      </c>
      <c r="H5219" s="1" t="str">
        <f t="shared" si="9944"/>
        <v>0</v>
      </c>
      <c r="I5219" s="1" t="str">
        <f t="shared" si="9944"/>
        <v>0</v>
      </c>
      <c r="J5219" s="1" t="str">
        <f t="shared" si="9944"/>
        <v>0</v>
      </c>
      <c r="K5219" s="1" t="str">
        <f t="shared" si="9944"/>
        <v>0</v>
      </c>
      <c r="L5219" s="1" t="str">
        <f t="shared" si="9944"/>
        <v>0</v>
      </c>
      <c r="M5219" s="1" t="str">
        <f t="shared" si="9944"/>
        <v>0</v>
      </c>
      <c r="N5219" s="1" t="str">
        <f t="shared" si="9944"/>
        <v>0</v>
      </c>
      <c r="O5219" s="1" t="str">
        <f t="shared" si="9944"/>
        <v>0</v>
      </c>
      <c r="P5219" s="1" t="str">
        <f t="shared" si="9944"/>
        <v>0</v>
      </c>
      <c r="Q5219" s="1" t="str">
        <f t="shared" si="9906"/>
        <v>0.0070</v>
      </c>
      <c r="R5219" s="1" t="s">
        <v>25</v>
      </c>
      <c r="T5219" s="1" t="str">
        <f t="shared" si="9907"/>
        <v>0</v>
      </c>
      <c r="U5219" s="1" t="str">
        <f t="shared" si="9868"/>
        <v>0.0070</v>
      </c>
    </row>
    <row r="5220" s="1" customFormat="1" spans="1:21">
      <c r="A5220" s="1" t="str">
        <f>"4601992171766"</f>
        <v>4601992171766</v>
      </c>
      <c r="B5220" s="1" t="s">
        <v>5243</v>
      </c>
      <c r="C5220" s="1" t="s">
        <v>24</v>
      </c>
      <c r="D5220" s="1" t="str">
        <f t="shared" si="9904"/>
        <v>2021</v>
      </c>
      <c r="E5220" s="1" t="str">
        <f t="shared" ref="E5220:P5220" si="9945">"0"</f>
        <v>0</v>
      </c>
      <c r="F5220" s="1" t="str">
        <f t="shared" si="9945"/>
        <v>0</v>
      </c>
      <c r="G5220" s="1" t="str">
        <f t="shared" si="9945"/>
        <v>0</v>
      </c>
      <c r="H5220" s="1" t="str">
        <f t="shared" si="9945"/>
        <v>0</v>
      </c>
      <c r="I5220" s="1" t="str">
        <f t="shared" si="9945"/>
        <v>0</v>
      </c>
      <c r="J5220" s="1" t="str">
        <f t="shared" si="9945"/>
        <v>0</v>
      </c>
      <c r="K5220" s="1" t="str">
        <f t="shared" si="9945"/>
        <v>0</v>
      </c>
      <c r="L5220" s="1" t="str">
        <f t="shared" si="9945"/>
        <v>0</v>
      </c>
      <c r="M5220" s="1" t="str">
        <f t="shared" si="9945"/>
        <v>0</v>
      </c>
      <c r="N5220" s="1" t="str">
        <f t="shared" si="9945"/>
        <v>0</v>
      </c>
      <c r="O5220" s="1" t="str">
        <f t="shared" si="9945"/>
        <v>0</v>
      </c>
      <c r="P5220" s="1" t="str">
        <f t="shared" si="9945"/>
        <v>0</v>
      </c>
      <c r="Q5220" s="1" t="str">
        <f t="shared" si="9906"/>
        <v>0.0070</v>
      </c>
      <c r="R5220" s="1" t="s">
        <v>25</v>
      </c>
      <c r="T5220" s="1" t="str">
        <f t="shared" si="9907"/>
        <v>0</v>
      </c>
      <c r="U5220" s="1" t="str">
        <f t="shared" si="9868"/>
        <v>0.0070</v>
      </c>
    </row>
    <row r="5221" s="1" customFormat="1" spans="1:21">
      <c r="A5221" s="1" t="str">
        <f>"4601992171324"</f>
        <v>4601992171324</v>
      </c>
      <c r="B5221" s="1" t="s">
        <v>5244</v>
      </c>
      <c r="C5221" s="1" t="s">
        <v>24</v>
      </c>
      <c r="D5221" s="1" t="str">
        <f t="shared" si="9904"/>
        <v>2021</v>
      </c>
      <c r="E5221" s="1" t="str">
        <f t="shared" ref="E5221:I5221" si="9946">"0"</f>
        <v>0</v>
      </c>
      <c r="F5221" s="1" t="str">
        <f t="shared" si="9946"/>
        <v>0</v>
      </c>
      <c r="G5221" s="1" t="str">
        <f t="shared" si="9946"/>
        <v>0</v>
      </c>
      <c r="H5221" s="1" t="str">
        <f t="shared" si="9946"/>
        <v>0</v>
      </c>
      <c r="I5221" s="1" t="str">
        <f t="shared" si="9946"/>
        <v>0</v>
      </c>
      <c r="J5221" s="1" t="str">
        <f>"3"</f>
        <v>3</v>
      </c>
      <c r="K5221" s="1" t="str">
        <f t="shared" ref="K5221:P5221" si="9947">"0"</f>
        <v>0</v>
      </c>
      <c r="L5221" s="1" t="str">
        <f t="shared" si="9947"/>
        <v>0</v>
      </c>
      <c r="M5221" s="1" t="str">
        <f t="shared" si="9947"/>
        <v>0</v>
      </c>
      <c r="N5221" s="1" t="str">
        <f t="shared" si="9947"/>
        <v>0</v>
      </c>
      <c r="O5221" s="1" t="str">
        <f t="shared" si="9947"/>
        <v>0</v>
      </c>
      <c r="P5221" s="1" t="str">
        <f t="shared" si="9947"/>
        <v>0</v>
      </c>
      <c r="Q5221" s="1" t="str">
        <f t="shared" si="9906"/>
        <v>0.0070</v>
      </c>
      <c r="R5221" s="1" t="s">
        <v>25</v>
      </c>
      <c r="T5221" s="1" t="str">
        <f t="shared" si="9907"/>
        <v>0</v>
      </c>
      <c r="U5221" s="1" t="str">
        <f t="shared" ref="U5221:U5279" si="9948">"0.0070"</f>
        <v>0.0070</v>
      </c>
    </row>
    <row r="5222" s="1" customFormat="1" spans="1:21">
      <c r="A5222" s="1" t="str">
        <f>"4601992172317"</f>
        <v>4601992172317</v>
      </c>
      <c r="B5222" s="1" t="s">
        <v>5245</v>
      </c>
      <c r="C5222" s="1" t="s">
        <v>24</v>
      </c>
      <c r="D5222" s="1" t="str">
        <f t="shared" si="9904"/>
        <v>2021</v>
      </c>
      <c r="E5222" s="1" t="str">
        <f t="shared" ref="E5222:P5222" si="9949">"0"</f>
        <v>0</v>
      </c>
      <c r="F5222" s="1" t="str">
        <f t="shared" si="9949"/>
        <v>0</v>
      </c>
      <c r="G5222" s="1" t="str">
        <f t="shared" si="9949"/>
        <v>0</v>
      </c>
      <c r="H5222" s="1" t="str">
        <f t="shared" si="9949"/>
        <v>0</v>
      </c>
      <c r="I5222" s="1" t="str">
        <f t="shared" si="9949"/>
        <v>0</v>
      </c>
      <c r="J5222" s="1" t="str">
        <f t="shared" si="9949"/>
        <v>0</v>
      </c>
      <c r="K5222" s="1" t="str">
        <f t="shared" si="9949"/>
        <v>0</v>
      </c>
      <c r="L5222" s="1" t="str">
        <f t="shared" si="9949"/>
        <v>0</v>
      </c>
      <c r="M5222" s="1" t="str">
        <f t="shared" si="9949"/>
        <v>0</v>
      </c>
      <c r="N5222" s="1" t="str">
        <f t="shared" si="9949"/>
        <v>0</v>
      </c>
      <c r="O5222" s="1" t="str">
        <f t="shared" si="9949"/>
        <v>0</v>
      </c>
      <c r="P5222" s="1" t="str">
        <f t="shared" si="9949"/>
        <v>0</v>
      </c>
      <c r="Q5222" s="1" t="str">
        <f t="shared" si="9906"/>
        <v>0.0070</v>
      </c>
      <c r="R5222" s="1" t="s">
        <v>25</v>
      </c>
      <c r="T5222" s="1" t="str">
        <f t="shared" si="9907"/>
        <v>0</v>
      </c>
      <c r="U5222" s="1" t="str">
        <f t="shared" si="9948"/>
        <v>0.0070</v>
      </c>
    </row>
    <row r="5223" s="1" customFormat="1" spans="1:21">
      <c r="A5223" s="1" t="str">
        <f>"4601992172386"</f>
        <v>4601992172386</v>
      </c>
      <c r="B5223" s="1" t="s">
        <v>5246</v>
      </c>
      <c r="C5223" s="1" t="s">
        <v>24</v>
      </c>
      <c r="D5223" s="1" t="str">
        <f t="shared" si="9904"/>
        <v>2021</v>
      </c>
      <c r="E5223" s="1" t="str">
        <f t="shared" ref="E5223:P5223" si="9950">"0"</f>
        <v>0</v>
      </c>
      <c r="F5223" s="1" t="str">
        <f t="shared" si="9950"/>
        <v>0</v>
      </c>
      <c r="G5223" s="1" t="str">
        <f t="shared" si="9950"/>
        <v>0</v>
      </c>
      <c r="H5223" s="1" t="str">
        <f t="shared" si="9950"/>
        <v>0</v>
      </c>
      <c r="I5223" s="1" t="str">
        <f t="shared" si="9950"/>
        <v>0</v>
      </c>
      <c r="J5223" s="1" t="str">
        <f t="shared" si="9950"/>
        <v>0</v>
      </c>
      <c r="K5223" s="1" t="str">
        <f t="shared" si="9950"/>
        <v>0</v>
      </c>
      <c r="L5223" s="1" t="str">
        <f t="shared" si="9950"/>
        <v>0</v>
      </c>
      <c r="M5223" s="1" t="str">
        <f t="shared" si="9950"/>
        <v>0</v>
      </c>
      <c r="N5223" s="1" t="str">
        <f t="shared" si="9950"/>
        <v>0</v>
      </c>
      <c r="O5223" s="1" t="str">
        <f t="shared" si="9950"/>
        <v>0</v>
      </c>
      <c r="P5223" s="1" t="str">
        <f t="shared" si="9950"/>
        <v>0</v>
      </c>
      <c r="Q5223" s="1" t="str">
        <f t="shared" si="9906"/>
        <v>0.0070</v>
      </c>
      <c r="R5223" s="1" t="s">
        <v>25</v>
      </c>
      <c r="T5223" s="1" t="str">
        <f t="shared" si="9907"/>
        <v>0</v>
      </c>
      <c r="U5223" s="1" t="str">
        <f t="shared" si="9948"/>
        <v>0.0070</v>
      </c>
    </row>
    <row r="5224" s="1" customFormat="1" spans="1:21">
      <c r="A5224" s="1" t="str">
        <f>"4601992172435"</f>
        <v>4601992172435</v>
      </c>
      <c r="B5224" s="1" t="s">
        <v>5247</v>
      </c>
      <c r="C5224" s="1" t="s">
        <v>24</v>
      </c>
      <c r="D5224" s="1" t="str">
        <f t="shared" si="9904"/>
        <v>2021</v>
      </c>
      <c r="E5224" s="1" t="str">
        <f t="shared" ref="E5224:P5224" si="9951">"0"</f>
        <v>0</v>
      </c>
      <c r="F5224" s="1" t="str">
        <f t="shared" si="9951"/>
        <v>0</v>
      </c>
      <c r="G5224" s="1" t="str">
        <f t="shared" si="9951"/>
        <v>0</v>
      </c>
      <c r="H5224" s="1" t="str">
        <f t="shared" si="9951"/>
        <v>0</v>
      </c>
      <c r="I5224" s="1" t="str">
        <f t="shared" si="9951"/>
        <v>0</v>
      </c>
      <c r="J5224" s="1" t="str">
        <f t="shared" si="9951"/>
        <v>0</v>
      </c>
      <c r="K5224" s="1" t="str">
        <f t="shared" si="9951"/>
        <v>0</v>
      </c>
      <c r="L5224" s="1" t="str">
        <f t="shared" si="9951"/>
        <v>0</v>
      </c>
      <c r="M5224" s="1" t="str">
        <f t="shared" si="9951"/>
        <v>0</v>
      </c>
      <c r="N5224" s="1" t="str">
        <f t="shared" si="9951"/>
        <v>0</v>
      </c>
      <c r="O5224" s="1" t="str">
        <f t="shared" si="9951"/>
        <v>0</v>
      </c>
      <c r="P5224" s="1" t="str">
        <f t="shared" si="9951"/>
        <v>0</v>
      </c>
      <c r="Q5224" s="1" t="str">
        <f t="shared" si="9906"/>
        <v>0.0070</v>
      </c>
      <c r="R5224" s="1" t="s">
        <v>25</v>
      </c>
      <c r="T5224" s="1" t="str">
        <f t="shared" si="9907"/>
        <v>0</v>
      </c>
      <c r="U5224" s="1" t="str">
        <f t="shared" si="9948"/>
        <v>0.0070</v>
      </c>
    </row>
    <row r="5225" s="1" customFormat="1" spans="1:21">
      <c r="A5225" s="1" t="str">
        <f>"4601992172390"</f>
        <v>4601992172390</v>
      </c>
      <c r="B5225" s="1" t="s">
        <v>5248</v>
      </c>
      <c r="C5225" s="1" t="s">
        <v>24</v>
      </c>
      <c r="D5225" s="1" t="str">
        <f t="shared" si="9904"/>
        <v>2021</v>
      </c>
      <c r="E5225" s="1" t="str">
        <f t="shared" ref="E5225:P5225" si="9952">"0"</f>
        <v>0</v>
      </c>
      <c r="F5225" s="1" t="str">
        <f t="shared" si="9952"/>
        <v>0</v>
      </c>
      <c r="G5225" s="1" t="str">
        <f t="shared" si="9952"/>
        <v>0</v>
      </c>
      <c r="H5225" s="1" t="str">
        <f t="shared" si="9952"/>
        <v>0</v>
      </c>
      <c r="I5225" s="1" t="str">
        <f t="shared" si="9952"/>
        <v>0</v>
      </c>
      <c r="J5225" s="1" t="str">
        <f t="shared" si="9952"/>
        <v>0</v>
      </c>
      <c r="K5225" s="1" t="str">
        <f t="shared" si="9952"/>
        <v>0</v>
      </c>
      <c r="L5225" s="1" t="str">
        <f t="shared" si="9952"/>
        <v>0</v>
      </c>
      <c r="M5225" s="1" t="str">
        <f t="shared" si="9952"/>
        <v>0</v>
      </c>
      <c r="N5225" s="1" t="str">
        <f t="shared" si="9952"/>
        <v>0</v>
      </c>
      <c r="O5225" s="1" t="str">
        <f t="shared" si="9952"/>
        <v>0</v>
      </c>
      <c r="P5225" s="1" t="str">
        <f t="shared" si="9952"/>
        <v>0</v>
      </c>
      <c r="Q5225" s="1" t="str">
        <f t="shared" si="9906"/>
        <v>0.0070</v>
      </c>
      <c r="R5225" s="1" t="s">
        <v>25</v>
      </c>
      <c r="T5225" s="1" t="str">
        <f t="shared" si="9907"/>
        <v>0</v>
      </c>
      <c r="U5225" s="1" t="str">
        <f t="shared" si="9948"/>
        <v>0.0070</v>
      </c>
    </row>
    <row r="5226" s="1" customFormat="1" spans="1:21">
      <c r="A5226" s="1" t="str">
        <f>"4601992172382"</f>
        <v>4601992172382</v>
      </c>
      <c r="B5226" s="1" t="s">
        <v>5249</v>
      </c>
      <c r="C5226" s="1" t="s">
        <v>24</v>
      </c>
      <c r="D5226" s="1" t="str">
        <f t="shared" si="9904"/>
        <v>2021</v>
      </c>
      <c r="E5226" s="1" t="str">
        <f t="shared" ref="E5226:I5226" si="9953">"0"</f>
        <v>0</v>
      </c>
      <c r="F5226" s="1" t="str">
        <f t="shared" si="9953"/>
        <v>0</v>
      </c>
      <c r="G5226" s="1" t="str">
        <f t="shared" si="9953"/>
        <v>0</v>
      </c>
      <c r="H5226" s="1" t="str">
        <f t="shared" si="9953"/>
        <v>0</v>
      </c>
      <c r="I5226" s="1" t="str">
        <f t="shared" si="9953"/>
        <v>0</v>
      </c>
      <c r="J5226" s="1" t="str">
        <f>"2"</f>
        <v>2</v>
      </c>
      <c r="K5226" s="1" t="str">
        <f t="shared" ref="K5226:P5226" si="9954">"0"</f>
        <v>0</v>
      </c>
      <c r="L5226" s="1" t="str">
        <f t="shared" si="9954"/>
        <v>0</v>
      </c>
      <c r="M5226" s="1" t="str">
        <f t="shared" si="9954"/>
        <v>0</v>
      </c>
      <c r="N5226" s="1" t="str">
        <f t="shared" si="9954"/>
        <v>0</v>
      </c>
      <c r="O5226" s="1" t="str">
        <f t="shared" si="9954"/>
        <v>0</v>
      </c>
      <c r="P5226" s="1" t="str">
        <f t="shared" si="9954"/>
        <v>0</v>
      </c>
      <c r="Q5226" s="1" t="str">
        <f t="shared" si="9906"/>
        <v>0.0070</v>
      </c>
      <c r="R5226" s="1" t="s">
        <v>25</v>
      </c>
      <c r="T5226" s="1" t="str">
        <f t="shared" si="9907"/>
        <v>0</v>
      </c>
      <c r="U5226" s="1" t="str">
        <f t="shared" si="9948"/>
        <v>0.0070</v>
      </c>
    </row>
    <row r="5227" s="1" customFormat="1" spans="1:21">
      <c r="A5227" s="1" t="str">
        <f>"4601992172543"</f>
        <v>4601992172543</v>
      </c>
      <c r="B5227" s="1" t="s">
        <v>5250</v>
      </c>
      <c r="C5227" s="1" t="s">
        <v>24</v>
      </c>
      <c r="D5227" s="1" t="str">
        <f t="shared" si="9904"/>
        <v>2021</v>
      </c>
      <c r="E5227" s="1" t="str">
        <f t="shared" ref="E5227:P5227" si="9955">"0"</f>
        <v>0</v>
      </c>
      <c r="F5227" s="1" t="str">
        <f t="shared" si="9955"/>
        <v>0</v>
      </c>
      <c r="G5227" s="1" t="str">
        <f t="shared" si="9955"/>
        <v>0</v>
      </c>
      <c r="H5227" s="1" t="str">
        <f t="shared" si="9955"/>
        <v>0</v>
      </c>
      <c r="I5227" s="1" t="str">
        <f t="shared" si="9955"/>
        <v>0</v>
      </c>
      <c r="J5227" s="1" t="str">
        <f t="shared" si="9955"/>
        <v>0</v>
      </c>
      <c r="K5227" s="1" t="str">
        <f t="shared" si="9955"/>
        <v>0</v>
      </c>
      <c r="L5227" s="1" t="str">
        <f t="shared" si="9955"/>
        <v>0</v>
      </c>
      <c r="M5227" s="1" t="str">
        <f t="shared" si="9955"/>
        <v>0</v>
      </c>
      <c r="N5227" s="1" t="str">
        <f t="shared" si="9955"/>
        <v>0</v>
      </c>
      <c r="O5227" s="1" t="str">
        <f t="shared" si="9955"/>
        <v>0</v>
      </c>
      <c r="P5227" s="1" t="str">
        <f t="shared" si="9955"/>
        <v>0</v>
      </c>
      <c r="Q5227" s="1" t="str">
        <f t="shared" si="9906"/>
        <v>0.0070</v>
      </c>
      <c r="R5227" s="1" t="s">
        <v>25</v>
      </c>
      <c r="T5227" s="1" t="str">
        <f t="shared" si="9907"/>
        <v>0</v>
      </c>
      <c r="U5227" s="1" t="str">
        <f t="shared" si="9948"/>
        <v>0.0070</v>
      </c>
    </row>
    <row r="5228" s="1" customFormat="1" spans="1:21">
      <c r="A5228" s="1" t="str">
        <f>"4601992172656"</f>
        <v>4601992172656</v>
      </c>
      <c r="B5228" s="1" t="s">
        <v>5251</v>
      </c>
      <c r="C5228" s="1" t="s">
        <v>24</v>
      </c>
      <c r="D5228" s="1" t="str">
        <f t="shared" si="9904"/>
        <v>2021</v>
      </c>
      <c r="E5228" s="1" t="str">
        <f t="shared" ref="E5228:P5228" si="9956">"0"</f>
        <v>0</v>
      </c>
      <c r="F5228" s="1" t="str">
        <f t="shared" si="9956"/>
        <v>0</v>
      </c>
      <c r="G5228" s="1" t="str">
        <f t="shared" si="9956"/>
        <v>0</v>
      </c>
      <c r="H5228" s="1" t="str">
        <f t="shared" si="9956"/>
        <v>0</v>
      </c>
      <c r="I5228" s="1" t="str">
        <f t="shared" si="9956"/>
        <v>0</v>
      </c>
      <c r="J5228" s="1" t="str">
        <f t="shared" si="9956"/>
        <v>0</v>
      </c>
      <c r="K5228" s="1" t="str">
        <f t="shared" si="9956"/>
        <v>0</v>
      </c>
      <c r="L5228" s="1" t="str">
        <f t="shared" si="9956"/>
        <v>0</v>
      </c>
      <c r="M5228" s="1" t="str">
        <f t="shared" si="9956"/>
        <v>0</v>
      </c>
      <c r="N5228" s="1" t="str">
        <f t="shared" si="9956"/>
        <v>0</v>
      </c>
      <c r="O5228" s="1" t="str">
        <f t="shared" si="9956"/>
        <v>0</v>
      </c>
      <c r="P5228" s="1" t="str">
        <f t="shared" si="9956"/>
        <v>0</v>
      </c>
      <c r="Q5228" s="1" t="str">
        <f t="shared" si="9906"/>
        <v>0.0070</v>
      </c>
      <c r="R5228" s="1" t="s">
        <v>25</v>
      </c>
      <c r="T5228" s="1" t="str">
        <f t="shared" si="9907"/>
        <v>0</v>
      </c>
      <c r="U5228" s="1" t="str">
        <f t="shared" si="9948"/>
        <v>0.0070</v>
      </c>
    </row>
    <row r="5229" s="1" customFormat="1" spans="1:21">
      <c r="A5229" s="1" t="str">
        <f>"4601992172836"</f>
        <v>4601992172836</v>
      </c>
      <c r="B5229" s="1" t="s">
        <v>5252</v>
      </c>
      <c r="C5229" s="1" t="s">
        <v>24</v>
      </c>
      <c r="D5229" s="1" t="str">
        <f t="shared" si="9904"/>
        <v>2021</v>
      </c>
      <c r="E5229" s="1" t="str">
        <f t="shared" ref="E5229:P5229" si="9957">"0"</f>
        <v>0</v>
      </c>
      <c r="F5229" s="1" t="str">
        <f t="shared" si="9957"/>
        <v>0</v>
      </c>
      <c r="G5229" s="1" t="str">
        <f t="shared" si="9957"/>
        <v>0</v>
      </c>
      <c r="H5229" s="1" t="str">
        <f t="shared" si="9957"/>
        <v>0</v>
      </c>
      <c r="I5229" s="1" t="str">
        <f t="shared" si="9957"/>
        <v>0</v>
      </c>
      <c r="J5229" s="1" t="str">
        <f t="shared" si="9957"/>
        <v>0</v>
      </c>
      <c r="K5229" s="1" t="str">
        <f t="shared" si="9957"/>
        <v>0</v>
      </c>
      <c r="L5229" s="1" t="str">
        <f t="shared" si="9957"/>
        <v>0</v>
      </c>
      <c r="M5229" s="1" t="str">
        <f t="shared" si="9957"/>
        <v>0</v>
      </c>
      <c r="N5229" s="1" t="str">
        <f t="shared" si="9957"/>
        <v>0</v>
      </c>
      <c r="O5229" s="1" t="str">
        <f t="shared" si="9957"/>
        <v>0</v>
      </c>
      <c r="P5229" s="1" t="str">
        <f t="shared" si="9957"/>
        <v>0</v>
      </c>
      <c r="Q5229" s="1" t="str">
        <f t="shared" si="9906"/>
        <v>0.0070</v>
      </c>
      <c r="R5229" s="1" t="s">
        <v>25</v>
      </c>
      <c r="T5229" s="1" t="str">
        <f t="shared" si="9907"/>
        <v>0</v>
      </c>
      <c r="U5229" s="1" t="str">
        <f t="shared" si="9948"/>
        <v>0.0070</v>
      </c>
    </row>
    <row r="5230" s="1" customFormat="1" spans="1:21">
      <c r="A5230" s="1" t="str">
        <f>"4601992172929"</f>
        <v>4601992172929</v>
      </c>
      <c r="B5230" s="1" t="s">
        <v>5253</v>
      </c>
      <c r="C5230" s="1" t="s">
        <v>24</v>
      </c>
      <c r="D5230" s="1" t="str">
        <f t="shared" si="9904"/>
        <v>2021</v>
      </c>
      <c r="E5230" s="1" t="str">
        <f t="shared" ref="E5230:P5230" si="9958">"0"</f>
        <v>0</v>
      </c>
      <c r="F5230" s="1" t="str">
        <f t="shared" si="9958"/>
        <v>0</v>
      </c>
      <c r="G5230" s="1" t="str">
        <f t="shared" si="9958"/>
        <v>0</v>
      </c>
      <c r="H5230" s="1" t="str">
        <f t="shared" si="9958"/>
        <v>0</v>
      </c>
      <c r="I5230" s="1" t="str">
        <f t="shared" si="9958"/>
        <v>0</v>
      </c>
      <c r="J5230" s="1" t="str">
        <f t="shared" si="9958"/>
        <v>0</v>
      </c>
      <c r="K5230" s="1" t="str">
        <f t="shared" si="9958"/>
        <v>0</v>
      </c>
      <c r="L5230" s="1" t="str">
        <f t="shared" si="9958"/>
        <v>0</v>
      </c>
      <c r="M5230" s="1" t="str">
        <f t="shared" si="9958"/>
        <v>0</v>
      </c>
      <c r="N5230" s="1" t="str">
        <f t="shared" si="9958"/>
        <v>0</v>
      </c>
      <c r="O5230" s="1" t="str">
        <f t="shared" si="9958"/>
        <v>0</v>
      </c>
      <c r="P5230" s="1" t="str">
        <f t="shared" si="9958"/>
        <v>0</v>
      </c>
      <c r="Q5230" s="1" t="str">
        <f t="shared" si="9906"/>
        <v>0.0070</v>
      </c>
      <c r="R5230" s="1" t="s">
        <v>25</v>
      </c>
      <c r="T5230" s="1" t="str">
        <f t="shared" si="9907"/>
        <v>0</v>
      </c>
      <c r="U5230" s="1" t="str">
        <f t="shared" si="9948"/>
        <v>0.0070</v>
      </c>
    </row>
    <row r="5231" s="1" customFormat="1" spans="1:21">
      <c r="A5231" s="1" t="str">
        <f>"4601992172985"</f>
        <v>4601992172985</v>
      </c>
      <c r="B5231" s="1" t="s">
        <v>5254</v>
      </c>
      <c r="C5231" s="1" t="s">
        <v>24</v>
      </c>
      <c r="D5231" s="1" t="str">
        <f t="shared" si="9904"/>
        <v>2021</v>
      </c>
      <c r="E5231" s="1" t="str">
        <f t="shared" ref="E5231:P5231" si="9959">"0"</f>
        <v>0</v>
      </c>
      <c r="F5231" s="1" t="str">
        <f t="shared" si="9959"/>
        <v>0</v>
      </c>
      <c r="G5231" s="1" t="str">
        <f t="shared" si="9959"/>
        <v>0</v>
      </c>
      <c r="H5231" s="1" t="str">
        <f t="shared" si="9959"/>
        <v>0</v>
      </c>
      <c r="I5231" s="1" t="str">
        <f t="shared" si="9959"/>
        <v>0</v>
      </c>
      <c r="J5231" s="1" t="str">
        <f t="shared" si="9959"/>
        <v>0</v>
      </c>
      <c r="K5231" s="1" t="str">
        <f t="shared" si="9959"/>
        <v>0</v>
      </c>
      <c r="L5231" s="1" t="str">
        <f t="shared" si="9959"/>
        <v>0</v>
      </c>
      <c r="M5231" s="1" t="str">
        <f t="shared" si="9959"/>
        <v>0</v>
      </c>
      <c r="N5231" s="1" t="str">
        <f t="shared" si="9959"/>
        <v>0</v>
      </c>
      <c r="O5231" s="1" t="str">
        <f t="shared" si="9959"/>
        <v>0</v>
      </c>
      <c r="P5231" s="1" t="str">
        <f t="shared" si="9959"/>
        <v>0</v>
      </c>
      <c r="Q5231" s="1" t="str">
        <f t="shared" si="9906"/>
        <v>0.0070</v>
      </c>
      <c r="R5231" s="1" t="s">
        <v>25</v>
      </c>
      <c r="T5231" s="1" t="str">
        <f t="shared" si="9907"/>
        <v>0</v>
      </c>
      <c r="U5231" s="1" t="str">
        <f t="shared" si="9948"/>
        <v>0.0070</v>
      </c>
    </row>
    <row r="5232" s="1" customFormat="1" spans="1:21">
      <c r="A5232" s="1" t="str">
        <f>"4601992172997"</f>
        <v>4601992172997</v>
      </c>
      <c r="B5232" s="1" t="s">
        <v>5255</v>
      </c>
      <c r="C5232" s="1" t="s">
        <v>24</v>
      </c>
      <c r="D5232" s="1" t="str">
        <f t="shared" si="9904"/>
        <v>2021</v>
      </c>
      <c r="E5232" s="1" t="str">
        <f t="shared" ref="E5232:P5232" si="9960">"0"</f>
        <v>0</v>
      </c>
      <c r="F5232" s="1" t="str">
        <f t="shared" si="9960"/>
        <v>0</v>
      </c>
      <c r="G5232" s="1" t="str">
        <f t="shared" si="9960"/>
        <v>0</v>
      </c>
      <c r="H5232" s="1" t="str">
        <f t="shared" si="9960"/>
        <v>0</v>
      </c>
      <c r="I5232" s="1" t="str">
        <f t="shared" si="9960"/>
        <v>0</v>
      </c>
      <c r="J5232" s="1" t="str">
        <f t="shared" si="9960"/>
        <v>0</v>
      </c>
      <c r="K5232" s="1" t="str">
        <f t="shared" si="9960"/>
        <v>0</v>
      </c>
      <c r="L5232" s="1" t="str">
        <f t="shared" si="9960"/>
        <v>0</v>
      </c>
      <c r="M5232" s="1" t="str">
        <f t="shared" si="9960"/>
        <v>0</v>
      </c>
      <c r="N5232" s="1" t="str">
        <f t="shared" si="9960"/>
        <v>0</v>
      </c>
      <c r="O5232" s="1" t="str">
        <f t="shared" si="9960"/>
        <v>0</v>
      </c>
      <c r="P5232" s="1" t="str">
        <f t="shared" si="9960"/>
        <v>0</v>
      </c>
      <c r="Q5232" s="1" t="str">
        <f t="shared" si="9906"/>
        <v>0.0070</v>
      </c>
      <c r="R5232" s="1" t="s">
        <v>25</v>
      </c>
      <c r="T5232" s="1" t="str">
        <f t="shared" si="9907"/>
        <v>0</v>
      </c>
      <c r="U5232" s="1" t="str">
        <f t="shared" si="9948"/>
        <v>0.0070</v>
      </c>
    </row>
    <row r="5233" s="1" customFormat="1" spans="1:21">
      <c r="A5233" s="1" t="str">
        <f>"4601992173080"</f>
        <v>4601992173080</v>
      </c>
      <c r="B5233" s="1" t="s">
        <v>5256</v>
      </c>
      <c r="C5233" s="1" t="s">
        <v>24</v>
      </c>
      <c r="D5233" s="1" t="str">
        <f t="shared" si="9904"/>
        <v>2021</v>
      </c>
      <c r="E5233" s="1" t="str">
        <f t="shared" ref="E5233:P5233" si="9961">"0"</f>
        <v>0</v>
      </c>
      <c r="F5233" s="1" t="str">
        <f t="shared" si="9961"/>
        <v>0</v>
      </c>
      <c r="G5233" s="1" t="str">
        <f t="shared" si="9961"/>
        <v>0</v>
      </c>
      <c r="H5233" s="1" t="str">
        <f t="shared" si="9961"/>
        <v>0</v>
      </c>
      <c r="I5233" s="1" t="str">
        <f t="shared" si="9961"/>
        <v>0</v>
      </c>
      <c r="J5233" s="1" t="str">
        <f t="shared" si="9961"/>
        <v>0</v>
      </c>
      <c r="K5233" s="1" t="str">
        <f t="shared" si="9961"/>
        <v>0</v>
      </c>
      <c r="L5233" s="1" t="str">
        <f t="shared" si="9961"/>
        <v>0</v>
      </c>
      <c r="M5233" s="1" t="str">
        <f t="shared" si="9961"/>
        <v>0</v>
      </c>
      <c r="N5233" s="1" t="str">
        <f t="shared" si="9961"/>
        <v>0</v>
      </c>
      <c r="O5233" s="1" t="str">
        <f t="shared" si="9961"/>
        <v>0</v>
      </c>
      <c r="P5233" s="1" t="str">
        <f t="shared" si="9961"/>
        <v>0</v>
      </c>
      <c r="Q5233" s="1" t="str">
        <f t="shared" si="9906"/>
        <v>0.0070</v>
      </c>
      <c r="R5233" s="1" t="s">
        <v>25</v>
      </c>
      <c r="T5233" s="1" t="str">
        <f t="shared" si="9907"/>
        <v>0</v>
      </c>
      <c r="U5233" s="1" t="str">
        <f t="shared" si="9948"/>
        <v>0.0070</v>
      </c>
    </row>
    <row r="5234" s="1" customFormat="1" spans="1:21">
      <c r="A5234" s="1" t="str">
        <f>"4601992173263"</f>
        <v>4601992173263</v>
      </c>
      <c r="B5234" s="1" t="s">
        <v>5257</v>
      </c>
      <c r="C5234" s="1" t="s">
        <v>24</v>
      </c>
      <c r="D5234" s="1" t="str">
        <f t="shared" si="9904"/>
        <v>2021</v>
      </c>
      <c r="E5234" s="1" t="str">
        <f t="shared" ref="E5234:P5234" si="9962">"0"</f>
        <v>0</v>
      </c>
      <c r="F5234" s="1" t="str">
        <f t="shared" si="9962"/>
        <v>0</v>
      </c>
      <c r="G5234" s="1" t="str">
        <f t="shared" si="9962"/>
        <v>0</v>
      </c>
      <c r="H5234" s="1" t="str">
        <f t="shared" si="9962"/>
        <v>0</v>
      </c>
      <c r="I5234" s="1" t="str">
        <f t="shared" si="9962"/>
        <v>0</v>
      </c>
      <c r="J5234" s="1" t="str">
        <f t="shared" si="9962"/>
        <v>0</v>
      </c>
      <c r="K5234" s="1" t="str">
        <f t="shared" si="9962"/>
        <v>0</v>
      </c>
      <c r="L5234" s="1" t="str">
        <f t="shared" si="9962"/>
        <v>0</v>
      </c>
      <c r="M5234" s="1" t="str">
        <f t="shared" si="9962"/>
        <v>0</v>
      </c>
      <c r="N5234" s="1" t="str">
        <f t="shared" si="9962"/>
        <v>0</v>
      </c>
      <c r="O5234" s="1" t="str">
        <f t="shared" si="9962"/>
        <v>0</v>
      </c>
      <c r="P5234" s="1" t="str">
        <f t="shared" si="9962"/>
        <v>0</v>
      </c>
      <c r="Q5234" s="1" t="str">
        <f t="shared" si="9906"/>
        <v>0.0070</v>
      </c>
      <c r="R5234" s="1" t="s">
        <v>25</v>
      </c>
      <c r="T5234" s="1" t="str">
        <f t="shared" si="9907"/>
        <v>0</v>
      </c>
      <c r="U5234" s="1" t="str">
        <f t="shared" si="9948"/>
        <v>0.0070</v>
      </c>
    </row>
    <row r="5235" s="1" customFormat="1" spans="1:21">
      <c r="A5235" s="1" t="str">
        <f>"4601992173358"</f>
        <v>4601992173358</v>
      </c>
      <c r="B5235" s="1" t="s">
        <v>5258</v>
      </c>
      <c r="C5235" s="1" t="s">
        <v>24</v>
      </c>
      <c r="D5235" s="1" t="str">
        <f t="shared" si="9904"/>
        <v>2021</v>
      </c>
      <c r="E5235" s="1" t="str">
        <f t="shared" ref="E5235:P5235" si="9963">"0"</f>
        <v>0</v>
      </c>
      <c r="F5235" s="1" t="str">
        <f t="shared" si="9963"/>
        <v>0</v>
      </c>
      <c r="G5235" s="1" t="str">
        <f t="shared" si="9963"/>
        <v>0</v>
      </c>
      <c r="H5235" s="1" t="str">
        <f t="shared" si="9963"/>
        <v>0</v>
      </c>
      <c r="I5235" s="1" t="str">
        <f t="shared" si="9963"/>
        <v>0</v>
      </c>
      <c r="J5235" s="1" t="str">
        <f t="shared" si="9963"/>
        <v>0</v>
      </c>
      <c r="K5235" s="1" t="str">
        <f t="shared" si="9963"/>
        <v>0</v>
      </c>
      <c r="L5235" s="1" t="str">
        <f t="shared" si="9963"/>
        <v>0</v>
      </c>
      <c r="M5235" s="1" t="str">
        <f t="shared" si="9963"/>
        <v>0</v>
      </c>
      <c r="N5235" s="1" t="str">
        <f t="shared" si="9963"/>
        <v>0</v>
      </c>
      <c r="O5235" s="1" t="str">
        <f t="shared" si="9963"/>
        <v>0</v>
      </c>
      <c r="P5235" s="1" t="str">
        <f t="shared" si="9963"/>
        <v>0</v>
      </c>
      <c r="Q5235" s="1" t="str">
        <f t="shared" si="9906"/>
        <v>0.0070</v>
      </c>
      <c r="R5235" s="1" t="s">
        <v>25</v>
      </c>
      <c r="T5235" s="1" t="str">
        <f t="shared" si="9907"/>
        <v>0</v>
      </c>
      <c r="U5235" s="1" t="str">
        <f t="shared" si="9948"/>
        <v>0.0070</v>
      </c>
    </row>
    <row r="5236" s="1" customFormat="1" spans="1:21">
      <c r="A5236" s="1" t="str">
        <f>"4601992173360"</f>
        <v>4601992173360</v>
      </c>
      <c r="B5236" s="1" t="s">
        <v>5259</v>
      </c>
      <c r="C5236" s="1" t="s">
        <v>24</v>
      </c>
      <c r="D5236" s="1" t="str">
        <f t="shared" si="9904"/>
        <v>2021</v>
      </c>
      <c r="E5236" s="1" t="str">
        <f t="shared" ref="E5236:P5236" si="9964">"0"</f>
        <v>0</v>
      </c>
      <c r="F5236" s="1" t="str">
        <f t="shared" si="9964"/>
        <v>0</v>
      </c>
      <c r="G5236" s="1" t="str">
        <f t="shared" si="9964"/>
        <v>0</v>
      </c>
      <c r="H5236" s="1" t="str">
        <f t="shared" si="9964"/>
        <v>0</v>
      </c>
      <c r="I5236" s="1" t="str">
        <f t="shared" si="9964"/>
        <v>0</v>
      </c>
      <c r="J5236" s="1" t="str">
        <f t="shared" si="9964"/>
        <v>0</v>
      </c>
      <c r="K5236" s="1" t="str">
        <f t="shared" si="9964"/>
        <v>0</v>
      </c>
      <c r="L5236" s="1" t="str">
        <f t="shared" si="9964"/>
        <v>0</v>
      </c>
      <c r="M5236" s="1" t="str">
        <f t="shared" si="9964"/>
        <v>0</v>
      </c>
      <c r="N5236" s="1" t="str">
        <f t="shared" si="9964"/>
        <v>0</v>
      </c>
      <c r="O5236" s="1" t="str">
        <f t="shared" si="9964"/>
        <v>0</v>
      </c>
      <c r="P5236" s="1" t="str">
        <f t="shared" si="9964"/>
        <v>0</v>
      </c>
      <c r="Q5236" s="1" t="str">
        <f t="shared" si="9906"/>
        <v>0.0070</v>
      </c>
      <c r="R5236" s="1" t="s">
        <v>25</v>
      </c>
      <c r="T5236" s="1" t="str">
        <f t="shared" si="9907"/>
        <v>0</v>
      </c>
      <c r="U5236" s="1" t="str">
        <f t="shared" si="9948"/>
        <v>0.0070</v>
      </c>
    </row>
    <row r="5237" s="1" customFormat="1" spans="1:21">
      <c r="A5237" s="1" t="str">
        <f>"4601992173464"</f>
        <v>4601992173464</v>
      </c>
      <c r="B5237" s="1" t="s">
        <v>5260</v>
      </c>
      <c r="C5237" s="1" t="s">
        <v>24</v>
      </c>
      <c r="D5237" s="1" t="str">
        <f t="shared" si="9904"/>
        <v>2021</v>
      </c>
      <c r="E5237" s="1" t="str">
        <f t="shared" ref="E5237:P5237" si="9965">"0"</f>
        <v>0</v>
      </c>
      <c r="F5237" s="1" t="str">
        <f t="shared" si="9965"/>
        <v>0</v>
      </c>
      <c r="G5237" s="1" t="str">
        <f t="shared" si="9965"/>
        <v>0</v>
      </c>
      <c r="H5237" s="1" t="str">
        <f t="shared" si="9965"/>
        <v>0</v>
      </c>
      <c r="I5237" s="1" t="str">
        <f t="shared" si="9965"/>
        <v>0</v>
      </c>
      <c r="J5237" s="1" t="str">
        <f t="shared" si="9965"/>
        <v>0</v>
      </c>
      <c r="K5237" s="1" t="str">
        <f t="shared" si="9965"/>
        <v>0</v>
      </c>
      <c r="L5237" s="1" t="str">
        <f t="shared" si="9965"/>
        <v>0</v>
      </c>
      <c r="M5237" s="1" t="str">
        <f t="shared" si="9965"/>
        <v>0</v>
      </c>
      <c r="N5237" s="1" t="str">
        <f t="shared" si="9965"/>
        <v>0</v>
      </c>
      <c r="O5237" s="1" t="str">
        <f t="shared" si="9965"/>
        <v>0</v>
      </c>
      <c r="P5237" s="1" t="str">
        <f t="shared" si="9965"/>
        <v>0</v>
      </c>
      <c r="Q5237" s="1" t="str">
        <f t="shared" si="9906"/>
        <v>0.0070</v>
      </c>
      <c r="R5237" s="1" t="s">
        <v>25</v>
      </c>
      <c r="T5237" s="1" t="str">
        <f t="shared" si="9907"/>
        <v>0</v>
      </c>
      <c r="U5237" s="1" t="str">
        <f t="shared" si="9948"/>
        <v>0.0070</v>
      </c>
    </row>
    <row r="5238" s="1" customFormat="1" spans="1:21">
      <c r="A5238" s="1" t="str">
        <f>"4601992173102"</f>
        <v>4601992173102</v>
      </c>
      <c r="B5238" s="1" t="s">
        <v>5261</v>
      </c>
      <c r="C5238" s="1" t="s">
        <v>24</v>
      </c>
      <c r="D5238" s="1" t="str">
        <f t="shared" si="9904"/>
        <v>2021</v>
      </c>
      <c r="E5238" s="1" t="str">
        <f t="shared" ref="E5238:I5238" si="9966">"0"</f>
        <v>0</v>
      </c>
      <c r="F5238" s="1" t="str">
        <f t="shared" si="9966"/>
        <v>0</v>
      </c>
      <c r="G5238" s="1" t="str">
        <f t="shared" si="9966"/>
        <v>0</v>
      </c>
      <c r="H5238" s="1" t="str">
        <f t="shared" si="9966"/>
        <v>0</v>
      </c>
      <c r="I5238" s="1" t="str">
        <f t="shared" si="9966"/>
        <v>0</v>
      </c>
      <c r="J5238" s="1" t="str">
        <f>"1"</f>
        <v>1</v>
      </c>
      <c r="K5238" s="1" t="str">
        <f t="shared" ref="K5238:P5238" si="9967">"0"</f>
        <v>0</v>
      </c>
      <c r="L5238" s="1" t="str">
        <f t="shared" si="9967"/>
        <v>0</v>
      </c>
      <c r="M5238" s="1" t="str">
        <f t="shared" si="9967"/>
        <v>0</v>
      </c>
      <c r="N5238" s="1" t="str">
        <f t="shared" si="9967"/>
        <v>0</v>
      </c>
      <c r="O5238" s="1" t="str">
        <f t="shared" si="9967"/>
        <v>0</v>
      </c>
      <c r="P5238" s="1" t="str">
        <f t="shared" si="9967"/>
        <v>0</v>
      </c>
      <c r="Q5238" s="1" t="str">
        <f t="shared" si="9906"/>
        <v>0.0070</v>
      </c>
      <c r="R5238" s="1" t="s">
        <v>25</v>
      </c>
      <c r="T5238" s="1" t="str">
        <f t="shared" si="9907"/>
        <v>0</v>
      </c>
      <c r="U5238" s="1" t="str">
        <f t="shared" si="9948"/>
        <v>0.0070</v>
      </c>
    </row>
    <row r="5239" s="1" customFormat="1" spans="1:21">
      <c r="A5239" s="1" t="str">
        <f>"4601992173623"</f>
        <v>4601992173623</v>
      </c>
      <c r="B5239" s="1" t="s">
        <v>5262</v>
      </c>
      <c r="C5239" s="1" t="s">
        <v>24</v>
      </c>
      <c r="D5239" s="1" t="str">
        <f t="shared" si="9904"/>
        <v>2021</v>
      </c>
      <c r="E5239" s="1" t="str">
        <f t="shared" ref="E5239:P5239" si="9968">"0"</f>
        <v>0</v>
      </c>
      <c r="F5239" s="1" t="str">
        <f t="shared" si="9968"/>
        <v>0</v>
      </c>
      <c r="G5239" s="1" t="str">
        <f t="shared" si="9968"/>
        <v>0</v>
      </c>
      <c r="H5239" s="1" t="str">
        <f t="shared" si="9968"/>
        <v>0</v>
      </c>
      <c r="I5239" s="1" t="str">
        <f t="shared" si="9968"/>
        <v>0</v>
      </c>
      <c r="J5239" s="1" t="str">
        <f t="shared" si="9968"/>
        <v>0</v>
      </c>
      <c r="K5239" s="1" t="str">
        <f t="shared" si="9968"/>
        <v>0</v>
      </c>
      <c r="L5239" s="1" t="str">
        <f t="shared" si="9968"/>
        <v>0</v>
      </c>
      <c r="M5239" s="1" t="str">
        <f t="shared" si="9968"/>
        <v>0</v>
      </c>
      <c r="N5239" s="1" t="str">
        <f t="shared" si="9968"/>
        <v>0</v>
      </c>
      <c r="O5239" s="1" t="str">
        <f t="shared" si="9968"/>
        <v>0</v>
      </c>
      <c r="P5239" s="1" t="str">
        <f t="shared" si="9968"/>
        <v>0</v>
      </c>
      <c r="Q5239" s="1" t="str">
        <f t="shared" si="9906"/>
        <v>0.0070</v>
      </c>
      <c r="R5239" s="1" t="s">
        <v>25</v>
      </c>
      <c r="T5239" s="1" t="str">
        <f t="shared" si="9907"/>
        <v>0</v>
      </c>
      <c r="U5239" s="1" t="str">
        <f t="shared" si="9948"/>
        <v>0.0070</v>
      </c>
    </row>
    <row r="5240" s="1" customFormat="1" spans="1:21">
      <c r="A5240" s="1" t="str">
        <f>"4601992173604"</f>
        <v>4601992173604</v>
      </c>
      <c r="B5240" s="1" t="s">
        <v>5263</v>
      </c>
      <c r="C5240" s="1" t="s">
        <v>24</v>
      </c>
      <c r="D5240" s="1" t="str">
        <f t="shared" si="9904"/>
        <v>2021</v>
      </c>
      <c r="E5240" s="1" t="str">
        <f t="shared" ref="E5240:P5240" si="9969">"0"</f>
        <v>0</v>
      </c>
      <c r="F5240" s="1" t="str">
        <f t="shared" si="9969"/>
        <v>0</v>
      </c>
      <c r="G5240" s="1" t="str">
        <f t="shared" si="9969"/>
        <v>0</v>
      </c>
      <c r="H5240" s="1" t="str">
        <f t="shared" si="9969"/>
        <v>0</v>
      </c>
      <c r="I5240" s="1" t="str">
        <f t="shared" si="9969"/>
        <v>0</v>
      </c>
      <c r="J5240" s="1" t="str">
        <f t="shared" si="9969"/>
        <v>0</v>
      </c>
      <c r="K5240" s="1" t="str">
        <f t="shared" si="9969"/>
        <v>0</v>
      </c>
      <c r="L5240" s="1" t="str">
        <f t="shared" si="9969"/>
        <v>0</v>
      </c>
      <c r="M5240" s="1" t="str">
        <f t="shared" si="9969"/>
        <v>0</v>
      </c>
      <c r="N5240" s="1" t="str">
        <f t="shared" si="9969"/>
        <v>0</v>
      </c>
      <c r="O5240" s="1" t="str">
        <f t="shared" si="9969"/>
        <v>0</v>
      </c>
      <c r="P5240" s="1" t="str">
        <f t="shared" si="9969"/>
        <v>0</v>
      </c>
      <c r="Q5240" s="1" t="str">
        <f t="shared" si="9906"/>
        <v>0.0070</v>
      </c>
      <c r="R5240" s="1" t="s">
        <v>25</v>
      </c>
      <c r="T5240" s="1" t="str">
        <f t="shared" si="9907"/>
        <v>0</v>
      </c>
      <c r="U5240" s="1" t="str">
        <f t="shared" si="9948"/>
        <v>0.0070</v>
      </c>
    </row>
    <row r="5241" s="1" customFormat="1" spans="1:21">
      <c r="A5241" s="1" t="str">
        <f>"4601992173818"</f>
        <v>4601992173818</v>
      </c>
      <c r="B5241" s="1" t="s">
        <v>5264</v>
      </c>
      <c r="C5241" s="1" t="s">
        <v>24</v>
      </c>
      <c r="D5241" s="1" t="str">
        <f t="shared" si="9904"/>
        <v>2021</v>
      </c>
      <c r="E5241" s="1" t="str">
        <f t="shared" ref="E5241:I5241" si="9970">"0"</f>
        <v>0</v>
      </c>
      <c r="F5241" s="1" t="str">
        <f t="shared" si="9970"/>
        <v>0</v>
      </c>
      <c r="G5241" s="1" t="str">
        <f t="shared" si="9970"/>
        <v>0</v>
      </c>
      <c r="H5241" s="1" t="str">
        <f t="shared" si="9970"/>
        <v>0</v>
      </c>
      <c r="I5241" s="1" t="str">
        <f t="shared" si="9970"/>
        <v>0</v>
      </c>
      <c r="J5241" s="1" t="str">
        <f>"18"</f>
        <v>18</v>
      </c>
      <c r="K5241" s="1" t="str">
        <f t="shared" ref="K5241:P5241" si="9971">"0"</f>
        <v>0</v>
      </c>
      <c r="L5241" s="1" t="str">
        <f t="shared" si="9971"/>
        <v>0</v>
      </c>
      <c r="M5241" s="1" t="str">
        <f t="shared" si="9971"/>
        <v>0</v>
      </c>
      <c r="N5241" s="1" t="str">
        <f t="shared" si="9971"/>
        <v>0</v>
      </c>
      <c r="O5241" s="1" t="str">
        <f t="shared" si="9971"/>
        <v>0</v>
      </c>
      <c r="P5241" s="1" t="str">
        <f t="shared" si="9971"/>
        <v>0</v>
      </c>
      <c r="Q5241" s="1" t="str">
        <f t="shared" si="9906"/>
        <v>0.0070</v>
      </c>
      <c r="R5241" s="1" t="s">
        <v>25</v>
      </c>
      <c r="T5241" s="1" t="str">
        <f t="shared" si="9907"/>
        <v>0</v>
      </c>
      <c r="U5241" s="1" t="str">
        <f t="shared" si="9948"/>
        <v>0.0070</v>
      </c>
    </row>
    <row r="5242" s="1" customFormat="1" spans="1:21">
      <c r="A5242" s="1" t="str">
        <f>"4601992173904"</f>
        <v>4601992173904</v>
      </c>
      <c r="B5242" s="1" t="s">
        <v>5265</v>
      </c>
      <c r="C5242" s="1" t="s">
        <v>24</v>
      </c>
      <c r="D5242" s="1" t="str">
        <f t="shared" si="9904"/>
        <v>2021</v>
      </c>
      <c r="E5242" s="1" t="str">
        <f t="shared" ref="E5242:I5242" si="9972">"0"</f>
        <v>0</v>
      </c>
      <c r="F5242" s="1" t="str">
        <f t="shared" si="9972"/>
        <v>0</v>
      </c>
      <c r="G5242" s="1" t="str">
        <f t="shared" si="9972"/>
        <v>0</v>
      </c>
      <c r="H5242" s="1" t="str">
        <f t="shared" si="9972"/>
        <v>0</v>
      </c>
      <c r="I5242" s="1" t="str">
        <f t="shared" si="9972"/>
        <v>0</v>
      </c>
      <c r="J5242" s="1" t="str">
        <f>"4"</f>
        <v>4</v>
      </c>
      <c r="K5242" s="1" t="str">
        <f t="shared" ref="K5242:P5242" si="9973">"0"</f>
        <v>0</v>
      </c>
      <c r="L5242" s="1" t="str">
        <f t="shared" si="9973"/>
        <v>0</v>
      </c>
      <c r="M5242" s="1" t="str">
        <f t="shared" si="9973"/>
        <v>0</v>
      </c>
      <c r="N5242" s="1" t="str">
        <f t="shared" si="9973"/>
        <v>0</v>
      </c>
      <c r="O5242" s="1" t="str">
        <f t="shared" si="9973"/>
        <v>0</v>
      </c>
      <c r="P5242" s="1" t="str">
        <f t="shared" si="9973"/>
        <v>0</v>
      </c>
      <c r="Q5242" s="1" t="str">
        <f t="shared" si="9906"/>
        <v>0.0070</v>
      </c>
      <c r="R5242" s="1" t="s">
        <v>25</v>
      </c>
      <c r="T5242" s="1" t="str">
        <f t="shared" si="9907"/>
        <v>0</v>
      </c>
      <c r="U5242" s="1" t="str">
        <f t="shared" si="9948"/>
        <v>0.0070</v>
      </c>
    </row>
    <row r="5243" s="1" customFormat="1" spans="1:21">
      <c r="A5243" s="1" t="str">
        <f>"4601992173926"</f>
        <v>4601992173926</v>
      </c>
      <c r="B5243" s="1" t="s">
        <v>5266</v>
      </c>
      <c r="C5243" s="1" t="s">
        <v>24</v>
      </c>
      <c r="D5243" s="1" t="str">
        <f t="shared" si="9904"/>
        <v>2021</v>
      </c>
      <c r="E5243" s="1" t="str">
        <f t="shared" ref="E5243:I5243" si="9974">"0"</f>
        <v>0</v>
      </c>
      <c r="F5243" s="1" t="str">
        <f t="shared" si="9974"/>
        <v>0</v>
      </c>
      <c r="G5243" s="1" t="str">
        <f t="shared" si="9974"/>
        <v>0</v>
      </c>
      <c r="H5243" s="1" t="str">
        <f t="shared" si="9974"/>
        <v>0</v>
      </c>
      <c r="I5243" s="1" t="str">
        <f t="shared" si="9974"/>
        <v>0</v>
      </c>
      <c r="J5243" s="1" t="str">
        <f>"2"</f>
        <v>2</v>
      </c>
      <c r="K5243" s="1" t="str">
        <f t="shared" ref="K5243:P5243" si="9975">"0"</f>
        <v>0</v>
      </c>
      <c r="L5243" s="1" t="str">
        <f t="shared" si="9975"/>
        <v>0</v>
      </c>
      <c r="M5243" s="1" t="str">
        <f t="shared" si="9975"/>
        <v>0</v>
      </c>
      <c r="N5243" s="1" t="str">
        <f t="shared" si="9975"/>
        <v>0</v>
      </c>
      <c r="O5243" s="1" t="str">
        <f t="shared" si="9975"/>
        <v>0</v>
      </c>
      <c r="P5243" s="1" t="str">
        <f t="shared" si="9975"/>
        <v>0</v>
      </c>
      <c r="Q5243" s="1" t="str">
        <f t="shared" si="9906"/>
        <v>0.0070</v>
      </c>
      <c r="R5243" s="1" t="s">
        <v>25</v>
      </c>
      <c r="T5243" s="1" t="str">
        <f t="shared" si="9907"/>
        <v>0</v>
      </c>
      <c r="U5243" s="1" t="str">
        <f t="shared" si="9948"/>
        <v>0.0070</v>
      </c>
    </row>
    <row r="5244" s="1" customFormat="1" spans="1:21">
      <c r="A5244" s="1" t="str">
        <f>"4601992174256"</f>
        <v>4601992174256</v>
      </c>
      <c r="B5244" s="1" t="s">
        <v>5267</v>
      </c>
      <c r="C5244" s="1" t="s">
        <v>24</v>
      </c>
      <c r="D5244" s="1" t="str">
        <f t="shared" si="9904"/>
        <v>2021</v>
      </c>
      <c r="E5244" s="1" t="str">
        <f t="shared" ref="E5244:I5244" si="9976">"0"</f>
        <v>0</v>
      </c>
      <c r="F5244" s="1" t="str">
        <f t="shared" si="9976"/>
        <v>0</v>
      </c>
      <c r="G5244" s="1" t="str">
        <f t="shared" si="9976"/>
        <v>0</v>
      </c>
      <c r="H5244" s="1" t="str">
        <f t="shared" si="9976"/>
        <v>0</v>
      </c>
      <c r="I5244" s="1" t="str">
        <f t="shared" si="9976"/>
        <v>0</v>
      </c>
      <c r="J5244" s="1" t="str">
        <f>"2"</f>
        <v>2</v>
      </c>
      <c r="K5244" s="1" t="str">
        <f t="shared" ref="K5244:P5244" si="9977">"0"</f>
        <v>0</v>
      </c>
      <c r="L5244" s="1" t="str">
        <f t="shared" si="9977"/>
        <v>0</v>
      </c>
      <c r="M5244" s="1" t="str">
        <f t="shared" si="9977"/>
        <v>0</v>
      </c>
      <c r="N5244" s="1" t="str">
        <f t="shared" si="9977"/>
        <v>0</v>
      </c>
      <c r="O5244" s="1" t="str">
        <f t="shared" si="9977"/>
        <v>0</v>
      </c>
      <c r="P5244" s="1" t="str">
        <f t="shared" si="9977"/>
        <v>0</v>
      </c>
      <c r="Q5244" s="1" t="str">
        <f t="shared" si="9906"/>
        <v>0.0070</v>
      </c>
      <c r="R5244" s="1" t="s">
        <v>25</v>
      </c>
      <c r="T5244" s="1" t="str">
        <f t="shared" si="9907"/>
        <v>0</v>
      </c>
      <c r="U5244" s="1" t="str">
        <f t="shared" si="9948"/>
        <v>0.0070</v>
      </c>
    </row>
    <row r="5245" s="1" customFormat="1" spans="1:21">
      <c r="A5245" s="1" t="str">
        <f>"4601992174332"</f>
        <v>4601992174332</v>
      </c>
      <c r="B5245" s="1" t="s">
        <v>5268</v>
      </c>
      <c r="C5245" s="1" t="s">
        <v>24</v>
      </c>
      <c r="D5245" s="1" t="str">
        <f t="shared" si="9904"/>
        <v>2021</v>
      </c>
      <c r="E5245" s="1" t="str">
        <f t="shared" ref="E5245:I5245" si="9978">"0"</f>
        <v>0</v>
      </c>
      <c r="F5245" s="1" t="str">
        <f t="shared" si="9978"/>
        <v>0</v>
      </c>
      <c r="G5245" s="1" t="str">
        <f t="shared" si="9978"/>
        <v>0</v>
      </c>
      <c r="H5245" s="1" t="str">
        <f t="shared" si="9978"/>
        <v>0</v>
      </c>
      <c r="I5245" s="1" t="str">
        <f t="shared" si="9978"/>
        <v>0</v>
      </c>
      <c r="J5245" s="1" t="str">
        <f>"3"</f>
        <v>3</v>
      </c>
      <c r="K5245" s="1" t="str">
        <f t="shared" ref="K5245:P5245" si="9979">"0"</f>
        <v>0</v>
      </c>
      <c r="L5245" s="1" t="str">
        <f t="shared" si="9979"/>
        <v>0</v>
      </c>
      <c r="M5245" s="1" t="str">
        <f t="shared" si="9979"/>
        <v>0</v>
      </c>
      <c r="N5245" s="1" t="str">
        <f t="shared" si="9979"/>
        <v>0</v>
      </c>
      <c r="O5245" s="1" t="str">
        <f t="shared" si="9979"/>
        <v>0</v>
      </c>
      <c r="P5245" s="1" t="str">
        <f t="shared" si="9979"/>
        <v>0</v>
      </c>
      <c r="Q5245" s="1" t="str">
        <f t="shared" si="9906"/>
        <v>0.0070</v>
      </c>
      <c r="R5245" s="1" t="s">
        <v>25</v>
      </c>
      <c r="T5245" s="1" t="str">
        <f t="shared" si="9907"/>
        <v>0</v>
      </c>
      <c r="U5245" s="1" t="str">
        <f t="shared" si="9948"/>
        <v>0.0070</v>
      </c>
    </row>
    <row r="5246" s="1" customFormat="1" spans="1:21">
      <c r="A5246" s="1" t="str">
        <f>"4601992174269"</f>
        <v>4601992174269</v>
      </c>
      <c r="B5246" s="1" t="s">
        <v>5269</v>
      </c>
      <c r="C5246" s="1" t="s">
        <v>24</v>
      </c>
      <c r="D5246" s="1" t="str">
        <f t="shared" si="9904"/>
        <v>2021</v>
      </c>
      <c r="E5246" s="1" t="str">
        <f t="shared" ref="E5246:I5246" si="9980">"0"</f>
        <v>0</v>
      </c>
      <c r="F5246" s="1" t="str">
        <f t="shared" si="9980"/>
        <v>0</v>
      </c>
      <c r="G5246" s="1" t="str">
        <f t="shared" si="9980"/>
        <v>0</v>
      </c>
      <c r="H5246" s="1" t="str">
        <f t="shared" si="9980"/>
        <v>0</v>
      </c>
      <c r="I5246" s="1" t="str">
        <f t="shared" si="9980"/>
        <v>0</v>
      </c>
      <c r="J5246" s="1" t="str">
        <f>"6"</f>
        <v>6</v>
      </c>
      <c r="K5246" s="1" t="str">
        <f t="shared" ref="K5246:P5246" si="9981">"0"</f>
        <v>0</v>
      </c>
      <c r="L5246" s="1" t="str">
        <f t="shared" si="9981"/>
        <v>0</v>
      </c>
      <c r="M5246" s="1" t="str">
        <f t="shared" si="9981"/>
        <v>0</v>
      </c>
      <c r="N5246" s="1" t="str">
        <f t="shared" si="9981"/>
        <v>0</v>
      </c>
      <c r="O5246" s="1" t="str">
        <f t="shared" si="9981"/>
        <v>0</v>
      </c>
      <c r="P5246" s="1" t="str">
        <f t="shared" si="9981"/>
        <v>0</v>
      </c>
      <c r="Q5246" s="1" t="str">
        <f t="shared" si="9906"/>
        <v>0.0070</v>
      </c>
      <c r="R5246" s="1" t="s">
        <v>25</v>
      </c>
      <c r="T5246" s="1" t="str">
        <f t="shared" si="9907"/>
        <v>0</v>
      </c>
      <c r="U5246" s="1" t="str">
        <f t="shared" si="9948"/>
        <v>0.0070</v>
      </c>
    </row>
    <row r="5247" s="1" customFormat="1" spans="1:21">
      <c r="A5247" s="1" t="str">
        <f>"4601992174260"</f>
        <v>4601992174260</v>
      </c>
      <c r="B5247" s="1" t="s">
        <v>5270</v>
      </c>
      <c r="C5247" s="1" t="s">
        <v>24</v>
      </c>
      <c r="D5247" s="1" t="str">
        <f t="shared" si="9904"/>
        <v>2021</v>
      </c>
      <c r="E5247" s="1" t="str">
        <f t="shared" ref="E5247:I5247" si="9982">"0"</f>
        <v>0</v>
      </c>
      <c r="F5247" s="1" t="str">
        <f t="shared" si="9982"/>
        <v>0</v>
      </c>
      <c r="G5247" s="1" t="str">
        <f t="shared" si="9982"/>
        <v>0</v>
      </c>
      <c r="H5247" s="1" t="str">
        <f t="shared" si="9982"/>
        <v>0</v>
      </c>
      <c r="I5247" s="1" t="str">
        <f t="shared" si="9982"/>
        <v>0</v>
      </c>
      <c r="J5247" s="1" t="str">
        <f>"4"</f>
        <v>4</v>
      </c>
      <c r="K5247" s="1" t="str">
        <f t="shared" ref="K5247:P5247" si="9983">"0"</f>
        <v>0</v>
      </c>
      <c r="L5247" s="1" t="str">
        <f t="shared" si="9983"/>
        <v>0</v>
      </c>
      <c r="M5247" s="1" t="str">
        <f t="shared" si="9983"/>
        <v>0</v>
      </c>
      <c r="N5247" s="1" t="str">
        <f t="shared" si="9983"/>
        <v>0</v>
      </c>
      <c r="O5247" s="1" t="str">
        <f t="shared" si="9983"/>
        <v>0</v>
      </c>
      <c r="P5247" s="1" t="str">
        <f t="shared" si="9983"/>
        <v>0</v>
      </c>
      <c r="Q5247" s="1" t="str">
        <f t="shared" si="9906"/>
        <v>0.0070</v>
      </c>
      <c r="R5247" s="1" t="s">
        <v>25</v>
      </c>
      <c r="T5247" s="1" t="str">
        <f t="shared" si="9907"/>
        <v>0</v>
      </c>
      <c r="U5247" s="1" t="str">
        <f t="shared" si="9948"/>
        <v>0.0070</v>
      </c>
    </row>
    <row r="5248" s="1" customFormat="1" spans="1:21">
      <c r="A5248" s="1" t="str">
        <f>"4601992174262"</f>
        <v>4601992174262</v>
      </c>
      <c r="B5248" s="1" t="s">
        <v>5271</v>
      </c>
      <c r="C5248" s="1" t="s">
        <v>24</v>
      </c>
      <c r="D5248" s="1" t="str">
        <f t="shared" si="9904"/>
        <v>2021</v>
      </c>
      <c r="E5248" s="1" t="str">
        <f t="shared" ref="E5248:I5248" si="9984">"0"</f>
        <v>0</v>
      </c>
      <c r="F5248" s="1" t="str">
        <f t="shared" si="9984"/>
        <v>0</v>
      </c>
      <c r="G5248" s="1" t="str">
        <f t="shared" si="9984"/>
        <v>0</v>
      </c>
      <c r="H5248" s="1" t="str">
        <f t="shared" si="9984"/>
        <v>0</v>
      </c>
      <c r="I5248" s="1" t="str">
        <f t="shared" si="9984"/>
        <v>0</v>
      </c>
      <c r="J5248" s="1" t="str">
        <f>"33"</f>
        <v>33</v>
      </c>
      <c r="K5248" s="1" t="str">
        <f t="shared" ref="K5248:P5248" si="9985">"0"</f>
        <v>0</v>
      </c>
      <c r="L5248" s="1" t="str">
        <f t="shared" si="9985"/>
        <v>0</v>
      </c>
      <c r="M5248" s="1" t="str">
        <f t="shared" si="9985"/>
        <v>0</v>
      </c>
      <c r="N5248" s="1" t="str">
        <f t="shared" si="9985"/>
        <v>0</v>
      </c>
      <c r="O5248" s="1" t="str">
        <f t="shared" si="9985"/>
        <v>0</v>
      </c>
      <c r="P5248" s="1" t="str">
        <f t="shared" si="9985"/>
        <v>0</v>
      </c>
      <c r="Q5248" s="1" t="str">
        <f t="shared" si="9906"/>
        <v>0.0070</v>
      </c>
      <c r="R5248" s="1" t="s">
        <v>25</v>
      </c>
      <c r="T5248" s="1" t="str">
        <f t="shared" si="9907"/>
        <v>0</v>
      </c>
      <c r="U5248" s="1" t="str">
        <f t="shared" si="9948"/>
        <v>0.0070</v>
      </c>
    </row>
    <row r="5249" s="1" customFormat="1" spans="1:21">
      <c r="A5249" s="1" t="str">
        <f>"4601992174330"</f>
        <v>4601992174330</v>
      </c>
      <c r="B5249" s="1" t="s">
        <v>5272</v>
      </c>
      <c r="C5249" s="1" t="s">
        <v>24</v>
      </c>
      <c r="D5249" s="1" t="str">
        <f t="shared" si="9904"/>
        <v>2021</v>
      </c>
      <c r="E5249" s="1" t="str">
        <f t="shared" ref="E5249:I5249" si="9986">"0"</f>
        <v>0</v>
      </c>
      <c r="F5249" s="1" t="str">
        <f t="shared" si="9986"/>
        <v>0</v>
      </c>
      <c r="G5249" s="1" t="str">
        <f t="shared" si="9986"/>
        <v>0</v>
      </c>
      <c r="H5249" s="1" t="str">
        <f t="shared" si="9986"/>
        <v>0</v>
      </c>
      <c r="I5249" s="1" t="str">
        <f t="shared" si="9986"/>
        <v>0</v>
      </c>
      <c r="J5249" s="1" t="str">
        <f t="shared" ref="J5249:J5251" si="9987">"1"</f>
        <v>1</v>
      </c>
      <c r="K5249" s="1" t="str">
        <f t="shared" ref="K5249:P5249" si="9988">"0"</f>
        <v>0</v>
      </c>
      <c r="L5249" s="1" t="str">
        <f t="shared" si="9988"/>
        <v>0</v>
      </c>
      <c r="M5249" s="1" t="str">
        <f t="shared" si="9988"/>
        <v>0</v>
      </c>
      <c r="N5249" s="1" t="str">
        <f t="shared" si="9988"/>
        <v>0</v>
      </c>
      <c r="O5249" s="1" t="str">
        <f t="shared" si="9988"/>
        <v>0</v>
      </c>
      <c r="P5249" s="1" t="str">
        <f t="shared" si="9988"/>
        <v>0</v>
      </c>
      <c r="Q5249" s="1" t="str">
        <f t="shared" si="9906"/>
        <v>0.0070</v>
      </c>
      <c r="R5249" s="1" t="s">
        <v>25</v>
      </c>
      <c r="T5249" s="1" t="str">
        <f t="shared" si="9907"/>
        <v>0</v>
      </c>
      <c r="U5249" s="1" t="str">
        <f t="shared" si="9948"/>
        <v>0.0070</v>
      </c>
    </row>
    <row r="5250" s="1" customFormat="1" spans="1:21">
      <c r="A5250" s="1" t="str">
        <f>"4601992174378"</f>
        <v>4601992174378</v>
      </c>
      <c r="B5250" s="1" t="s">
        <v>5273</v>
      </c>
      <c r="C5250" s="1" t="s">
        <v>24</v>
      </c>
      <c r="D5250" s="1" t="str">
        <f t="shared" si="9904"/>
        <v>2021</v>
      </c>
      <c r="E5250" s="1" t="str">
        <f t="shared" ref="E5250:I5250" si="9989">"0"</f>
        <v>0</v>
      </c>
      <c r="F5250" s="1" t="str">
        <f t="shared" si="9989"/>
        <v>0</v>
      </c>
      <c r="G5250" s="1" t="str">
        <f t="shared" si="9989"/>
        <v>0</v>
      </c>
      <c r="H5250" s="1" t="str">
        <f t="shared" si="9989"/>
        <v>0</v>
      </c>
      <c r="I5250" s="1" t="str">
        <f t="shared" si="9989"/>
        <v>0</v>
      </c>
      <c r="J5250" s="1" t="str">
        <f t="shared" si="9987"/>
        <v>1</v>
      </c>
      <c r="K5250" s="1" t="str">
        <f t="shared" ref="K5250:P5250" si="9990">"0"</f>
        <v>0</v>
      </c>
      <c r="L5250" s="1" t="str">
        <f t="shared" si="9990"/>
        <v>0</v>
      </c>
      <c r="M5250" s="1" t="str">
        <f t="shared" si="9990"/>
        <v>0</v>
      </c>
      <c r="N5250" s="1" t="str">
        <f t="shared" si="9990"/>
        <v>0</v>
      </c>
      <c r="O5250" s="1" t="str">
        <f t="shared" si="9990"/>
        <v>0</v>
      </c>
      <c r="P5250" s="1" t="str">
        <f t="shared" si="9990"/>
        <v>0</v>
      </c>
      <c r="Q5250" s="1" t="str">
        <f t="shared" si="9906"/>
        <v>0.0070</v>
      </c>
      <c r="R5250" s="1" t="s">
        <v>25</v>
      </c>
      <c r="T5250" s="1" t="str">
        <f t="shared" si="9907"/>
        <v>0</v>
      </c>
      <c r="U5250" s="1" t="str">
        <f t="shared" si="9948"/>
        <v>0.0070</v>
      </c>
    </row>
    <row r="5251" s="1" customFormat="1" spans="1:21">
      <c r="A5251" s="1" t="str">
        <f>"4601992174379"</f>
        <v>4601992174379</v>
      </c>
      <c r="B5251" s="1" t="s">
        <v>5274</v>
      </c>
      <c r="C5251" s="1" t="s">
        <v>24</v>
      </c>
      <c r="D5251" s="1" t="str">
        <f t="shared" ref="D5251:D5314" si="9991">"2021"</f>
        <v>2021</v>
      </c>
      <c r="E5251" s="1" t="str">
        <f t="shared" ref="E5251:I5251" si="9992">"0"</f>
        <v>0</v>
      </c>
      <c r="F5251" s="1" t="str">
        <f t="shared" si="9992"/>
        <v>0</v>
      </c>
      <c r="G5251" s="1" t="str">
        <f t="shared" si="9992"/>
        <v>0</v>
      </c>
      <c r="H5251" s="1" t="str">
        <f t="shared" si="9992"/>
        <v>0</v>
      </c>
      <c r="I5251" s="1" t="str">
        <f t="shared" si="9992"/>
        <v>0</v>
      </c>
      <c r="J5251" s="1" t="str">
        <f t="shared" si="9987"/>
        <v>1</v>
      </c>
      <c r="K5251" s="1" t="str">
        <f t="shared" ref="K5251:P5251" si="9993">"0"</f>
        <v>0</v>
      </c>
      <c r="L5251" s="1" t="str">
        <f t="shared" si="9993"/>
        <v>0</v>
      </c>
      <c r="M5251" s="1" t="str">
        <f t="shared" si="9993"/>
        <v>0</v>
      </c>
      <c r="N5251" s="1" t="str">
        <f t="shared" si="9993"/>
        <v>0</v>
      </c>
      <c r="O5251" s="1" t="str">
        <f t="shared" si="9993"/>
        <v>0</v>
      </c>
      <c r="P5251" s="1" t="str">
        <f t="shared" si="9993"/>
        <v>0</v>
      </c>
      <c r="Q5251" s="1" t="str">
        <f t="shared" ref="Q5251:Q5314" si="9994">"0.0070"</f>
        <v>0.0070</v>
      </c>
      <c r="R5251" s="1" t="s">
        <v>25</v>
      </c>
      <c r="T5251" s="1" t="str">
        <f t="shared" ref="T5251:T5314" si="9995">"0"</f>
        <v>0</v>
      </c>
      <c r="U5251" s="1" t="str">
        <f t="shared" si="9948"/>
        <v>0.0070</v>
      </c>
    </row>
    <row r="5252" s="1" customFormat="1" spans="1:21">
      <c r="A5252" s="1" t="str">
        <f>"4601992174383"</f>
        <v>4601992174383</v>
      </c>
      <c r="B5252" s="1" t="s">
        <v>5275</v>
      </c>
      <c r="C5252" s="1" t="s">
        <v>24</v>
      </c>
      <c r="D5252" s="1" t="str">
        <f t="shared" si="9991"/>
        <v>2021</v>
      </c>
      <c r="E5252" s="1" t="str">
        <f t="shared" ref="E5252:I5252" si="9996">"0"</f>
        <v>0</v>
      </c>
      <c r="F5252" s="1" t="str">
        <f t="shared" si="9996"/>
        <v>0</v>
      </c>
      <c r="G5252" s="1" t="str">
        <f t="shared" si="9996"/>
        <v>0</v>
      </c>
      <c r="H5252" s="1" t="str">
        <f t="shared" si="9996"/>
        <v>0</v>
      </c>
      <c r="I5252" s="1" t="str">
        <f t="shared" si="9996"/>
        <v>0</v>
      </c>
      <c r="J5252" s="1" t="str">
        <f>"8"</f>
        <v>8</v>
      </c>
      <c r="K5252" s="1" t="str">
        <f t="shared" ref="K5252:P5252" si="9997">"0"</f>
        <v>0</v>
      </c>
      <c r="L5252" s="1" t="str">
        <f t="shared" si="9997"/>
        <v>0</v>
      </c>
      <c r="M5252" s="1" t="str">
        <f t="shared" si="9997"/>
        <v>0</v>
      </c>
      <c r="N5252" s="1" t="str">
        <f t="shared" si="9997"/>
        <v>0</v>
      </c>
      <c r="O5252" s="1" t="str">
        <f t="shared" si="9997"/>
        <v>0</v>
      </c>
      <c r="P5252" s="1" t="str">
        <f t="shared" si="9997"/>
        <v>0</v>
      </c>
      <c r="Q5252" s="1" t="str">
        <f t="shared" si="9994"/>
        <v>0.0070</v>
      </c>
      <c r="R5252" s="1" t="s">
        <v>25</v>
      </c>
      <c r="T5252" s="1" t="str">
        <f t="shared" si="9995"/>
        <v>0</v>
      </c>
      <c r="U5252" s="1" t="str">
        <f t="shared" si="9948"/>
        <v>0.0070</v>
      </c>
    </row>
    <row r="5253" s="1" customFormat="1" spans="1:21">
      <c r="A5253" s="1" t="str">
        <f>"4601992174396"</f>
        <v>4601992174396</v>
      </c>
      <c r="B5253" s="1" t="s">
        <v>5276</v>
      </c>
      <c r="C5253" s="1" t="s">
        <v>24</v>
      </c>
      <c r="D5253" s="1" t="str">
        <f t="shared" si="9991"/>
        <v>2021</v>
      </c>
      <c r="E5253" s="1" t="str">
        <f t="shared" ref="E5253:I5253" si="9998">"0"</f>
        <v>0</v>
      </c>
      <c r="F5253" s="1" t="str">
        <f t="shared" si="9998"/>
        <v>0</v>
      </c>
      <c r="G5253" s="1" t="str">
        <f t="shared" si="9998"/>
        <v>0</v>
      </c>
      <c r="H5253" s="1" t="str">
        <f t="shared" si="9998"/>
        <v>0</v>
      </c>
      <c r="I5253" s="1" t="str">
        <f t="shared" si="9998"/>
        <v>0</v>
      </c>
      <c r="J5253" s="1" t="str">
        <f>"1"</f>
        <v>1</v>
      </c>
      <c r="K5253" s="1" t="str">
        <f t="shared" ref="K5253:P5253" si="9999">"0"</f>
        <v>0</v>
      </c>
      <c r="L5253" s="1" t="str">
        <f t="shared" si="9999"/>
        <v>0</v>
      </c>
      <c r="M5253" s="1" t="str">
        <f t="shared" si="9999"/>
        <v>0</v>
      </c>
      <c r="N5253" s="1" t="str">
        <f t="shared" si="9999"/>
        <v>0</v>
      </c>
      <c r="O5253" s="1" t="str">
        <f t="shared" si="9999"/>
        <v>0</v>
      </c>
      <c r="P5253" s="1" t="str">
        <f t="shared" si="9999"/>
        <v>0</v>
      </c>
      <c r="Q5253" s="1" t="str">
        <f t="shared" si="9994"/>
        <v>0.0070</v>
      </c>
      <c r="R5253" s="1" t="s">
        <v>25</v>
      </c>
      <c r="T5253" s="1" t="str">
        <f t="shared" si="9995"/>
        <v>0</v>
      </c>
      <c r="U5253" s="1" t="str">
        <f t="shared" si="9948"/>
        <v>0.0070</v>
      </c>
    </row>
    <row r="5254" s="1" customFormat="1" spans="1:21">
      <c r="A5254" s="1" t="str">
        <f>"4601992174423"</f>
        <v>4601992174423</v>
      </c>
      <c r="B5254" s="1" t="s">
        <v>5277</v>
      </c>
      <c r="C5254" s="1" t="s">
        <v>24</v>
      </c>
      <c r="D5254" s="1" t="str">
        <f t="shared" si="9991"/>
        <v>2021</v>
      </c>
      <c r="E5254" s="1" t="str">
        <f>"28.00"</f>
        <v>28.00</v>
      </c>
      <c r="F5254" s="1" t="str">
        <f t="shared" ref="F5254:I5254" si="10000">"0"</f>
        <v>0</v>
      </c>
      <c r="G5254" s="1" t="str">
        <f t="shared" si="10000"/>
        <v>0</v>
      </c>
      <c r="H5254" s="1" t="str">
        <f t="shared" si="10000"/>
        <v>0</v>
      </c>
      <c r="I5254" s="1" t="str">
        <f t="shared" si="10000"/>
        <v>0</v>
      </c>
      <c r="J5254" s="1" t="str">
        <f>"2"</f>
        <v>2</v>
      </c>
      <c r="K5254" s="1" t="str">
        <f t="shared" ref="K5254:P5254" si="10001">"0"</f>
        <v>0</v>
      </c>
      <c r="L5254" s="1" t="str">
        <f t="shared" si="10001"/>
        <v>0</v>
      </c>
      <c r="M5254" s="1" t="str">
        <f t="shared" si="10001"/>
        <v>0</v>
      </c>
      <c r="N5254" s="1" t="str">
        <f t="shared" si="10001"/>
        <v>0</v>
      </c>
      <c r="O5254" s="1" t="str">
        <f t="shared" si="10001"/>
        <v>0</v>
      </c>
      <c r="P5254" s="1" t="str">
        <f t="shared" si="10001"/>
        <v>0</v>
      </c>
      <c r="Q5254" s="1" t="str">
        <f t="shared" si="9994"/>
        <v>0.0070</v>
      </c>
      <c r="R5254" s="1" t="s">
        <v>25</v>
      </c>
      <c r="T5254" s="1" t="str">
        <f t="shared" si="9995"/>
        <v>0</v>
      </c>
      <c r="U5254" s="1" t="str">
        <f t="shared" si="9948"/>
        <v>0.0070</v>
      </c>
    </row>
    <row r="5255" s="1" customFormat="1" spans="1:21">
      <c r="A5255" s="1" t="str">
        <f>"4601992174439"</f>
        <v>4601992174439</v>
      </c>
      <c r="B5255" s="1" t="s">
        <v>5278</v>
      </c>
      <c r="C5255" s="1" t="s">
        <v>24</v>
      </c>
      <c r="D5255" s="1" t="str">
        <f t="shared" si="9991"/>
        <v>2021</v>
      </c>
      <c r="E5255" s="1" t="str">
        <f t="shared" ref="E5255:I5255" si="10002">"0"</f>
        <v>0</v>
      </c>
      <c r="F5255" s="1" t="str">
        <f t="shared" si="10002"/>
        <v>0</v>
      </c>
      <c r="G5255" s="1" t="str">
        <f t="shared" si="10002"/>
        <v>0</v>
      </c>
      <c r="H5255" s="1" t="str">
        <f t="shared" si="10002"/>
        <v>0</v>
      </c>
      <c r="I5255" s="1" t="str">
        <f t="shared" si="10002"/>
        <v>0</v>
      </c>
      <c r="J5255" s="1" t="str">
        <f>"3"</f>
        <v>3</v>
      </c>
      <c r="K5255" s="1" t="str">
        <f t="shared" ref="K5255:P5255" si="10003">"0"</f>
        <v>0</v>
      </c>
      <c r="L5255" s="1" t="str">
        <f t="shared" si="10003"/>
        <v>0</v>
      </c>
      <c r="M5255" s="1" t="str">
        <f t="shared" si="10003"/>
        <v>0</v>
      </c>
      <c r="N5255" s="1" t="str">
        <f t="shared" si="10003"/>
        <v>0</v>
      </c>
      <c r="O5255" s="1" t="str">
        <f t="shared" si="10003"/>
        <v>0</v>
      </c>
      <c r="P5255" s="1" t="str">
        <f t="shared" si="10003"/>
        <v>0</v>
      </c>
      <c r="Q5255" s="1" t="str">
        <f t="shared" si="9994"/>
        <v>0.0070</v>
      </c>
      <c r="R5255" s="1" t="s">
        <v>25</v>
      </c>
      <c r="T5255" s="1" t="str">
        <f t="shared" si="9995"/>
        <v>0</v>
      </c>
      <c r="U5255" s="1" t="str">
        <f t="shared" si="9948"/>
        <v>0.0070</v>
      </c>
    </row>
    <row r="5256" s="1" customFormat="1" spans="1:21">
      <c r="A5256" s="1" t="str">
        <f>"4601992174412"</f>
        <v>4601992174412</v>
      </c>
      <c r="B5256" s="1" t="s">
        <v>5279</v>
      </c>
      <c r="C5256" s="1" t="s">
        <v>24</v>
      </c>
      <c r="D5256" s="1" t="str">
        <f t="shared" si="9991"/>
        <v>2021</v>
      </c>
      <c r="E5256" s="1" t="str">
        <f t="shared" ref="E5256:I5256" si="10004">"0"</f>
        <v>0</v>
      </c>
      <c r="F5256" s="1" t="str">
        <f t="shared" si="10004"/>
        <v>0</v>
      </c>
      <c r="G5256" s="1" t="str">
        <f t="shared" si="10004"/>
        <v>0</v>
      </c>
      <c r="H5256" s="1" t="str">
        <f t="shared" si="10004"/>
        <v>0</v>
      </c>
      <c r="I5256" s="1" t="str">
        <f t="shared" si="10004"/>
        <v>0</v>
      </c>
      <c r="J5256" s="1" t="str">
        <f>"3"</f>
        <v>3</v>
      </c>
      <c r="K5256" s="1" t="str">
        <f t="shared" ref="K5256:P5256" si="10005">"0"</f>
        <v>0</v>
      </c>
      <c r="L5256" s="1" t="str">
        <f t="shared" si="10005"/>
        <v>0</v>
      </c>
      <c r="M5256" s="1" t="str">
        <f t="shared" si="10005"/>
        <v>0</v>
      </c>
      <c r="N5256" s="1" t="str">
        <f t="shared" si="10005"/>
        <v>0</v>
      </c>
      <c r="O5256" s="1" t="str">
        <f t="shared" si="10005"/>
        <v>0</v>
      </c>
      <c r="P5256" s="1" t="str">
        <f t="shared" si="10005"/>
        <v>0</v>
      </c>
      <c r="Q5256" s="1" t="str">
        <f t="shared" si="9994"/>
        <v>0.0070</v>
      </c>
      <c r="R5256" s="1" t="s">
        <v>25</v>
      </c>
      <c r="T5256" s="1" t="str">
        <f t="shared" si="9995"/>
        <v>0</v>
      </c>
      <c r="U5256" s="1" t="str">
        <f t="shared" si="9948"/>
        <v>0.0070</v>
      </c>
    </row>
    <row r="5257" s="1" customFormat="1" spans="1:21">
      <c r="A5257" s="1" t="str">
        <f>"4601992174469"</f>
        <v>4601992174469</v>
      </c>
      <c r="B5257" s="1" t="s">
        <v>5280</v>
      </c>
      <c r="C5257" s="1" t="s">
        <v>24</v>
      </c>
      <c r="D5257" s="1" t="str">
        <f t="shared" si="9991"/>
        <v>2021</v>
      </c>
      <c r="E5257" s="1" t="str">
        <f t="shared" ref="E5257:I5257" si="10006">"0"</f>
        <v>0</v>
      </c>
      <c r="F5257" s="1" t="str">
        <f t="shared" si="10006"/>
        <v>0</v>
      </c>
      <c r="G5257" s="1" t="str">
        <f t="shared" si="10006"/>
        <v>0</v>
      </c>
      <c r="H5257" s="1" t="str">
        <f t="shared" si="10006"/>
        <v>0</v>
      </c>
      <c r="I5257" s="1" t="str">
        <f t="shared" si="10006"/>
        <v>0</v>
      </c>
      <c r="J5257" s="1" t="str">
        <f>"2"</f>
        <v>2</v>
      </c>
      <c r="K5257" s="1" t="str">
        <f t="shared" ref="K5257:P5257" si="10007">"0"</f>
        <v>0</v>
      </c>
      <c r="L5257" s="1" t="str">
        <f t="shared" si="10007"/>
        <v>0</v>
      </c>
      <c r="M5257" s="1" t="str">
        <f t="shared" si="10007"/>
        <v>0</v>
      </c>
      <c r="N5257" s="1" t="str">
        <f t="shared" si="10007"/>
        <v>0</v>
      </c>
      <c r="O5257" s="1" t="str">
        <f t="shared" si="10007"/>
        <v>0</v>
      </c>
      <c r="P5257" s="1" t="str">
        <f t="shared" si="10007"/>
        <v>0</v>
      </c>
      <c r="Q5257" s="1" t="str">
        <f t="shared" si="9994"/>
        <v>0.0070</v>
      </c>
      <c r="R5257" s="1" t="s">
        <v>25</v>
      </c>
      <c r="T5257" s="1" t="str">
        <f t="shared" si="9995"/>
        <v>0</v>
      </c>
      <c r="U5257" s="1" t="str">
        <f t="shared" si="9948"/>
        <v>0.0070</v>
      </c>
    </row>
    <row r="5258" s="1" customFormat="1" spans="1:21">
      <c r="A5258" s="1" t="str">
        <f>"4601992174501"</f>
        <v>4601992174501</v>
      </c>
      <c r="B5258" s="1" t="s">
        <v>5281</v>
      </c>
      <c r="C5258" s="1" t="s">
        <v>24</v>
      </c>
      <c r="D5258" s="1" t="str">
        <f t="shared" si="9991"/>
        <v>2021</v>
      </c>
      <c r="E5258" s="1" t="str">
        <f>"0.24"</f>
        <v>0.24</v>
      </c>
      <c r="F5258" s="1" t="str">
        <f t="shared" ref="F5258:I5258" si="10008">"0"</f>
        <v>0</v>
      </c>
      <c r="G5258" s="1" t="str">
        <f t="shared" si="10008"/>
        <v>0</v>
      </c>
      <c r="H5258" s="1" t="str">
        <f t="shared" si="10008"/>
        <v>0</v>
      </c>
      <c r="I5258" s="1" t="str">
        <f t="shared" si="10008"/>
        <v>0</v>
      </c>
      <c r="J5258" s="1" t="str">
        <f>"7"</f>
        <v>7</v>
      </c>
      <c r="K5258" s="1" t="str">
        <f t="shared" ref="K5258:P5258" si="10009">"0"</f>
        <v>0</v>
      </c>
      <c r="L5258" s="1" t="str">
        <f t="shared" si="10009"/>
        <v>0</v>
      </c>
      <c r="M5258" s="1" t="str">
        <f t="shared" si="10009"/>
        <v>0</v>
      </c>
      <c r="N5258" s="1" t="str">
        <f t="shared" si="10009"/>
        <v>0</v>
      </c>
      <c r="O5258" s="1" t="str">
        <f t="shared" si="10009"/>
        <v>0</v>
      </c>
      <c r="P5258" s="1" t="str">
        <f t="shared" si="10009"/>
        <v>0</v>
      </c>
      <c r="Q5258" s="1" t="str">
        <f t="shared" si="9994"/>
        <v>0.0070</v>
      </c>
      <c r="R5258" s="1" t="s">
        <v>25</v>
      </c>
      <c r="T5258" s="1" t="str">
        <f t="shared" si="9995"/>
        <v>0</v>
      </c>
      <c r="U5258" s="1" t="str">
        <f t="shared" si="9948"/>
        <v>0.0070</v>
      </c>
    </row>
    <row r="5259" s="1" customFormat="1" spans="1:21">
      <c r="A5259" s="1" t="str">
        <f>"4601992174543"</f>
        <v>4601992174543</v>
      </c>
      <c r="B5259" s="1" t="s">
        <v>5282</v>
      </c>
      <c r="C5259" s="1" t="s">
        <v>24</v>
      </c>
      <c r="D5259" s="1" t="str">
        <f t="shared" si="9991"/>
        <v>2021</v>
      </c>
      <c r="E5259" s="1" t="str">
        <f t="shared" ref="E5259:P5259" si="10010">"0"</f>
        <v>0</v>
      </c>
      <c r="F5259" s="1" t="str">
        <f t="shared" si="10010"/>
        <v>0</v>
      </c>
      <c r="G5259" s="1" t="str">
        <f t="shared" si="10010"/>
        <v>0</v>
      </c>
      <c r="H5259" s="1" t="str">
        <f t="shared" si="10010"/>
        <v>0</v>
      </c>
      <c r="I5259" s="1" t="str">
        <f t="shared" si="10010"/>
        <v>0</v>
      </c>
      <c r="J5259" s="1" t="str">
        <f t="shared" si="10010"/>
        <v>0</v>
      </c>
      <c r="K5259" s="1" t="str">
        <f t="shared" si="10010"/>
        <v>0</v>
      </c>
      <c r="L5259" s="1" t="str">
        <f t="shared" si="10010"/>
        <v>0</v>
      </c>
      <c r="M5259" s="1" t="str">
        <f t="shared" si="10010"/>
        <v>0</v>
      </c>
      <c r="N5259" s="1" t="str">
        <f t="shared" si="10010"/>
        <v>0</v>
      </c>
      <c r="O5259" s="1" t="str">
        <f t="shared" si="10010"/>
        <v>0</v>
      </c>
      <c r="P5259" s="1" t="str">
        <f t="shared" si="10010"/>
        <v>0</v>
      </c>
      <c r="Q5259" s="1" t="str">
        <f t="shared" si="9994"/>
        <v>0.0070</v>
      </c>
      <c r="R5259" s="1" t="s">
        <v>25</v>
      </c>
      <c r="T5259" s="1" t="str">
        <f t="shared" si="9995"/>
        <v>0</v>
      </c>
      <c r="U5259" s="1" t="str">
        <f t="shared" si="9948"/>
        <v>0.0070</v>
      </c>
    </row>
    <row r="5260" s="1" customFormat="1" spans="1:21">
      <c r="A5260" s="1" t="str">
        <f>"4601992174507"</f>
        <v>4601992174507</v>
      </c>
      <c r="B5260" s="1" t="s">
        <v>5283</v>
      </c>
      <c r="C5260" s="1" t="s">
        <v>24</v>
      </c>
      <c r="D5260" s="1" t="str">
        <f t="shared" si="9991"/>
        <v>2021</v>
      </c>
      <c r="E5260" s="1" t="str">
        <f t="shared" ref="E5260:P5260" si="10011">"0"</f>
        <v>0</v>
      </c>
      <c r="F5260" s="1" t="str">
        <f t="shared" si="10011"/>
        <v>0</v>
      </c>
      <c r="G5260" s="1" t="str">
        <f t="shared" si="10011"/>
        <v>0</v>
      </c>
      <c r="H5260" s="1" t="str">
        <f t="shared" si="10011"/>
        <v>0</v>
      </c>
      <c r="I5260" s="1" t="str">
        <f t="shared" si="10011"/>
        <v>0</v>
      </c>
      <c r="J5260" s="1" t="str">
        <f t="shared" si="10011"/>
        <v>0</v>
      </c>
      <c r="K5260" s="1" t="str">
        <f t="shared" si="10011"/>
        <v>0</v>
      </c>
      <c r="L5260" s="1" t="str">
        <f t="shared" si="10011"/>
        <v>0</v>
      </c>
      <c r="M5260" s="1" t="str">
        <f t="shared" si="10011"/>
        <v>0</v>
      </c>
      <c r="N5260" s="1" t="str">
        <f t="shared" si="10011"/>
        <v>0</v>
      </c>
      <c r="O5260" s="1" t="str">
        <f t="shared" si="10011"/>
        <v>0</v>
      </c>
      <c r="P5260" s="1" t="str">
        <f t="shared" si="10011"/>
        <v>0</v>
      </c>
      <c r="Q5260" s="1" t="str">
        <f t="shared" si="9994"/>
        <v>0.0070</v>
      </c>
      <c r="R5260" s="1" t="s">
        <v>25</v>
      </c>
      <c r="T5260" s="1" t="str">
        <f t="shared" si="9995"/>
        <v>0</v>
      </c>
      <c r="U5260" s="1" t="str">
        <f t="shared" si="9948"/>
        <v>0.0070</v>
      </c>
    </row>
    <row r="5261" s="1" customFormat="1" spans="1:21">
      <c r="A5261" s="1" t="str">
        <f>"4601992174503"</f>
        <v>4601992174503</v>
      </c>
      <c r="B5261" s="1" t="s">
        <v>5284</v>
      </c>
      <c r="C5261" s="1" t="s">
        <v>24</v>
      </c>
      <c r="D5261" s="1" t="str">
        <f t="shared" si="9991"/>
        <v>2021</v>
      </c>
      <c r="E5261" s="1" t="str">
        <f t="shared" ref="E5261:I5261" si="10012">"0"</f>
        <v>0</v>
      </c>
      <c r="F5261" s="1" t="str">
        <f t="shared" si="10012"/>
        <v>0</v>
      </c>
      <c r="G5261" s="1" t="str">
        <f t="shared" si="10012"/>
        <v>0</v>
      </c>
      <c r="H5261" s="1" t="str">
        <f t="shared" si="10012"/>
        <v>0</v>
      </c>
      <c r="I5261" s="1" t="str">
        <f t="shared" si="10012"/>
        <v>0</v>
      </c>
      <c r="J5261" s="1" t="str">
        <f>"2"</f>
        <v>2</v>
      </c>
      <c r="K5261" s="1" t="str">
        <f t="shared" ref="K5261:P5261" si="10013">"0"</f>
        <v>0</v>
      </c>
      <c r="L5261" s="1" t="str">
        <f t="shared" si="10013"/>
        <v>0</v>
      </c>
      <c r="M5261" s="1" t="str">
        <f t="shared" si="10013"/>
        <v>0</v>
      </c>
      <c r="N5261" s="1" t="str">
        <f t="shared" si="10013"/>
        <v>0</v>
      </c>
      <c r="O5261" s="1" t="str">
        <f t="shared" si="10013"/>
        <v>0</v>
      </c>
      <c r="P5261" s="1" t="str">
        <f t="shared" si="10013"/>
        <v>0</v>
      </c>
      <c r="Q5261" s="1" t="str">
        <f t="shared" si="9994"/>
        <v>0.0070</v>
      </c>
      <c r="R5261" s="1" t="s">
        <v>25</v>
      </c>
      <c r="T5261" s="1" t="str">
        <f t="shared" si="9995"/>
        <v>0</v>
      </c>
      <c r="U5261" s="1" t="str">
        <f t="shared" si="9948"/>
        <v>0.0070</v>
      </c>
    </row>
    <row r="5262" s="1" customFormat="1" spans="1:21">
      <c r="A5262" s="1" t="str">
        <f>"4601992175156"</f>
        <v>4601992175156</v>
      </c>
      <c r="B5262" s="1" t="s">
        <v>5285</v>
      </c>
      <c r="C5262" s="1" t="s">
        <v>24</v>
      </c>
      <c r="D5262" s="1" t="str">
        <f t="shared" si="9991"/>
        <v>2021</v>
      </c>
      <c r="E5262" s="1" t="str">
        <f t="shared" ref="E5262:P5262" si="10014">"0"</f>
        <v>0</v>
      </c>
      <c r="F5262" s="1" t="str">
        <f t="shared" si="10014"/>
        <v>0</v>
      </c>
      <c r="G5262" s="1" t="str">
        <f t="shared" si="10014"/>
        <v>0</v>
      </c>
      <c r="H5262" s="1" t="str">
        <f t="shared" si="10014"/>
        <v>0</v>
      </c>
      <c r="I5262" s="1" t="str">
        <f t="shared" si="10014"/>
        <v>0</v>
      </c>
      <c r="J5262" s="1" t="str">
        <f t="shared" si="10014"/>
        <v>0</v>
      </c>
      <c r="K5262" s="1" t="str">
        <f t="shared" si="10014"/>
        <v>0</v>
      </c>
      <c r="L5262" s="1" t="str">
        <f t="shared" si="10014"/>
        <v>0</v>
      </c>
      <c r="M5262" s="1" t="str">
        <f t="shared" si="10014"/>
        <v>0</v>
      </c>
      <c r="N5262" s="1" t="str">
        <f t="shared" si="10014"/>
        <v>0</v>
      </c>
      <c r="O5262" s="1" t="str">
        <f t="shared" si="10014"/>
        <v>0</v>
      </c>
      <c r="P5262" s="1" t="str">
        <f t="shared" si="10014"/>
        <v>0</v>
      </c>
      <c r="Q5262" s="1" t="str">
        <f t="shared" si="9994"/>
        <v>0.0070</v>
      </c>
      <c r="R5262" s="1" t="s">
        <v>25</v>
      </c>
      <c r="T5262" s="1" t="str">
        <f t="shared" si="9995"/>
        <v>0</v>
      </c>
      <c r="U5262" s="1" t="str">
        <f t="shared" si="9948"/>
        <v>0.0070</v>
      </c>
    </row>
    <row r="5263" s="1" customFormat="1" spans="1:21">
      <c r="A5263" s="1" t="str">
        <f>"4601992175008"</f>
        <v>4601992175008</v>
      </c>
      <c r="B5263" s="1" t="s">
        <v>5286</v>
      </c>
      <c r="C5263" s="1" t="s">
        <v>24</v>
      </c>
      <c r="D5263" s="1" t="str">
        <f t="shared" si="9991"/>
        <v>2021</v>
      </c>
      <c r="E5263" s="1" t="str">
        <f t="shared" ref="E5263:I5263" si="10015">"0"</f>
        <v>0</v>
      </c>
      <c r="F5263" s="1" t="str">
        <f t="shared" si="10015"/>
        <v>0</v>
      </c>
      <c r="G5263" s="1" t="str">
        <f t="shared" si="10015"/>
        <v>0</v>
      </c>
      <c r="H5263" s="1" t="str">
        <f t="shared" si="10015"/>
        <v>0</v>
      </c>
      <c r="I5263" s="1" t="str">
        <f t="shared" si="10015"/>
        <v>0</v>
      </c>
      <c r="J5263" s="1" t="str">
        <f>"4"</f>
        <v>4</v>
      </c>
      <c r="K5263" s="1" t="str">
        <f t="shared" ref="K5263:P5263" si="10016">"0"</f>
        <v>0</v>
      </c>
      <c r="L5263" s="1" t="str">
        <f t="shared" si="10016"/>
        <v>0</v>
      </c>
      <c r="M5263" s="1" t="str">
        <f t="shared" si="10016"/>
        <v>0</v>
      </c>
      <c r="N5263" s="1" t="str">
        <f t="shared" si="10016"/>
        <v>0</v>
      </c>
      <c r="O5263" s="1" t="str">
        <f t="shared" si="10016"/>
        <v>0</v>
      </c>
      <c r="P5263" s="1" t="str">
        <f t="shared" si="10016"/>
        <v>0</v>
      </c>
      <c r="Q5263" s="1" t="str">
        <f t="shared" si="9994"/>
        <v>0.0070</v>
      </c>
      <c r="R5263" s="1" t="s">
        <v>25</v>
      </c>
      <c r="T5263" s="1" t="str">
        <f t="shared" si="9995"/>
        <v>0</v>
      </c>
      <c r="U5263" s="1" t="str">
        <f t="shared" si="9948"/>
        <v>0.0070</v>
      </c>
    </row>
    <row r="5264" s="1" customFormat="1" spans="1:21">
      <c r="A5264" s="1" t="str">
        <f>"4601992174700"</f>
        <v>4601992174700</v>
      </c>
      <c r="B5264" s="1" t="s">
        <v>5287</v>
      </c>
      <c r="C5264" s="1" t="s">
        <v>24</v>
      </c>
      <c r="D5264" s="1" t="str">
        <f t="shared" si="9991"/>
        <v>2021</v>
      </c>
      <c r="E5264" s="1" t="str">
        <f t="shared" ref="E5264:I5264" si="10017">"0"</f>
        <v>0</v>
      </c>
      <c r="F5264" s="1" t="str">
        <f t="shared" si="10017"/>
        <v>0</v>
      </c>
      <c r="G5264" s="1" t="str">
        <f t="shared" si="10017"/>
        <v>0</v>
      </c>
      <c r="H5264" s="1" t="str">
        <f t="shared" si="10017"/>
        <v>0</v>
      </c>
      <c r="I5264" s="1" t="str">
        <f t="shared" si="10017"/>
        <v>0</v>
      </c>
      <c r="J5264" s="1" t="str">
        <f>"5"</f>
        <v>5</v>
      </c>
      <c r="K5264" s="1" t="str">
        <f t="shared" ref="K5264:P5264" si="10018">"0"</f>
        <v>0</v>
      </c>
      <c r="L5264" s="1" t="str">
        <f t="shared" si="10018"/>
        <v>0</v>
      </c>
      <c r="M5264" s="1" t="str">
        <f t="shared" si="10018"/>
        <v>0</v>
      </c>
      <c r="N5264" s="1" t="str">
        <f t="shared" si="10018"/>
        <v>0</v>
      </c>
      <c r="O5264" s="1" t="str">
        <f t="shared" si="10018"/>
        <v>0</v>
      </c>
      <c r="P5264" s="1" t="str">
        <f t="shared" si="10018"/>
        <v>0</v>
      </c>
      <c r="Q5264" s="1" t="str">
        <f t="shared" si="9994"/>
        <v>0.0070</v>
      </c>
      <c r="R5264" s="1" t="s">
        <v>25</v>
      </c>
      <c r="T5264" s="1" t="str">
        <f t="shared" si="9995"/>
        <v>0</v>
      </c>
      <c r="U5264" s="1" t="str">
        <f t="shared" si="9948"/>
        <v>0.0070</v>
      </c>
    </row>
    <row r="5265" s="1" customFormat="1" spans="1:21">
      <c r="A5265" s="1" t="str">
        <f>"4601992175138"</f>
        <v>4601992175138</v>
      </c>
      <c r="B5265" s="1" t="s">
        <v>5288</v>
      </c>
      <c r="C5265" s="1" t="s">
        <v>24</v>
      </c>
      <c r="D5265" s="1" t="str">
        <f t="shared" si="9991"/>
        <v>2021</v>
      </c>
      <c r="E5265" s="1" t="str">
        <f t="shared" ref="E5265:I5265" si="10019">"0"</f>
        <v>0</v>
      </c>
      <c r="F5265" s="1" t="str">
        <f t="shared" si="10019"/>
        <v>0</v>
      </c>
      <c r="G5265" s="1" t="str">
        <f t="shared" si="10019"/>
        <v>0</v>
      </c>
      <c r="H5265" s="1" t="str">
        <f t="shared" si="10019"/>
        <v>0</v>
      </c>
      <c r="I5265" s="1" t="str">
        <f t="shared" si="10019"/>
        <v>0</v>
      </c>
      <c r="J5265" s="1" t="str">
        <f>"4"</f>
        <v>4</v>
      </c>
      <c r="K5265" s="1" t="str">
        <f t="shared" ref="K5265:P5265" si="10020">"0"</f>
        <v>0</v>
      </c>
      <c r="L5265" s="1" t="str">
        <f t="shared" si="10020"/>
        <v>0</v>
      </c>
      <c r="M5265" s="1" t="str">
        <f t="shared" si="10020"/>
        <v>0</v>
      </c>
      <c r="N5265" s="1" t="str">
        <f t="shared" si="10020"/>
        <v>0</v>
      </c>
      <c r="O5265" s="1" t="str">
        <f t="shared" si="10020"/>
        <v>0</v>
      </c>
      <c r="P5265" s="1" t="str">
        <f t="shared" si="10020"/>
        <v>0</v>
      </c>
      <c r="Q5265" s="1" t="str">
        <f t="shared" si="9994"/>
        <v>0.0070</v>
      </c>
      <c r="R5265" s="1" t="s">
        <v>25</v>
      </c>
      <c r="T5265" s="1" t="str">
        <f t="shared" si="9995"/>
        <v>0</v>
      </c>
      <c r="U5265" s="1" t="str">
        <f t="shared" si="9948"/>
        <v>0.0070</v>
      </c>
    </row>
    <row r="5266" s="1" customFormat="1" spans="1:21">
      <c r="A5266" s="1" t="str">
        <f>"4601992175259"</f>
        <v>4601992175259</v>
      </c>
      <c r="B5266" s="1" t="s">
        <v>5289</v>
      </c>
      <c r="C5266" s="1" t="s">
        <v>24</v>
      </c>
      <c r="D5266" s="1" t="str">
        <f t="shared" si="9991"/>
        <v>2021</v>
      </c>
      <c r="E5266" s="1" t="str">
        <f t="shared" ref="E5266:P5266" si="10021">"0"</f>
        <v>0</v>
      </c>
      <c r="F5266" s="1" t="str">
        <f t="shared" si="10021"/>
        <v>0</v>
      </c>
      <c r="G5266" s="1" t="str">
        <f t="shared" si="10021"/>
        <v>0</v>
      </c>
      <c r="H5266" s="1" t="str">
        <f t="shared" si="10021"/>
        <v>0</v>
      </c>
      <c r="I5266" s="1" t="str">
        <f t="shared" si="10021"/>
        <v>0</v>
      </c>
      <c r="J5266" s="1" t="str">
        <f t="shared" si="10021"/>
        <v>0</v>
      </c>
      <c r="K5266" s="1" t="str">
        <f t="shared" si="10021"/>
        <v>0</v>
      </c>
      <c r="L5266" s="1" t="str">
        <f t="shared" si="10021"/>
        <v>0</v>
      </c>
      <c r="M5266" s="1" t="str">
        <f t="shared" si="10021"/>
        <v>0</v>
      </c>
      <c r="N5266" s="1" t="str">
        <f t="shared" si="10021"/>
        <v>0</v>
      </c>
      <c r="O5266" s="1" t="str">
        <f t="shared" si="10021"/>
        <v>0</v>
      </c>
      <c r="P5266" s="1" t="str">
        <f t="shared" si="10021"/>
        <v>0</v>
      </c>
      <c r="Q5266" s="1" t="str">
        <f t="shared" si="9994"/>
        <v>0.0070</v>
      </c>
      <c r="R5266" s="1" t="s">
        <v>25</v>
      </c>
      <c r="T5266" s="1" t="str">
        <f t="shared" si="9995"/>
        <v>0</v>
      </c>
      <c r="U5266" s="1" t="str">
        <f t="shared" si="9948"/>
        <v>0.0070</v>
      </c>
    </row>
    <row r="5267" s="1" customFormat="1" spans="1:21">
      <c r="A5267" s="1" t="str">
        <f>"4601992175275"</f>
        <v>4601992175275</v>
      </c>
      <c r="B5267" s="1" t="s">
        <v>5290</v>
      </c>
      <c r="C5267" s="1" t="s">
        <v>24</v>
      </c>
      <c r="D5267" s="1" t="str">
        <f t="shared" si="9991"/>
        <v>2021</v>
      </c>
      <c r="E5267" s="1" t="str">
        <f t="shared" ref="E5267:P5267" si="10022">"0"</f>
        <v>0</v>
      </c>
      <c r="F5267" s="1" t="str">
        <f t="shared" si="10022"/>
        <v>0</v>
      </c>
      <c r="G5267" s="1" t="str">
        <f t="shared" si="10022"/>
        <v>0</v>
      </c>
      <c r="H5267" s="1" t="str">
        <f t="shared" si="10022"/>
        <v>0</v>
      </c>
      <c r="I5267" s="1" t="str">
        <f t="shared" si="10022"/>
        <v>0</v>
      </c>
      <c r="J5267" s="1" t="str">
        <f t="shared" si="10022"/>
        <v>0</v>
      </c>
      <c r="K5267" s="1" t="str">
        <f t="shared" si="10022"/>
        <v>0</v>
      </c>
      <c r="L5267" s="1" t="str">
        <f t="shared" si="10022"/>
        <v>0</v>
      </c>
      <c r="M5267" s="1" t="str">
        <f t="shared" si="10022"/>
        <v>0</v>
      </c>
      <c r="N5267" s="1" t="str">
        <f t="shared" si="10022"/>
        <v>0</v>
      </c>
      <c r="O5267" s="1" t="str">
        <f t="shared" si="10022"/>
        <v>0</v>
      </c>
      <c r="P5267" s="1" t="str">
        <f t="shared" si="10022"/>
        <v>0</v>
      </c>
      <c r="Q5267" s="1" t="str">
        <f t="shared" si="9994"/>
        <v>0.0070</v>
      </c>
      <c r="R5267" s="1" t="s">
        <v>25</v>
      </c>
      <c r="T5267" s="1" t="str">
        <f t="shared" si="9995"/>
        <v>0</v>
      </c>
      <c r="U5267" s="1" t="str">
        <f t="shared" si="9948"/>
        <v>0.0070</v>
      </c>
    </row>
    <row r="5268" s="1" customFormat="1" spans="1:21">
      <c r="A5268" s="1" t="str">
        <f>"4601992175297"</f>
        <v>4601992175297</v>
      </c>
      <c r="B5268" s="1" t="s">
        <v>5291</v>
      </c>
      <c r="C5268" s="1" t="s">
        <v>24</v>
      </c>
      <c r="D5268" s="1" t="str">
        <f t="shared" si="9991"/>
        <v>2021</v>
      </c>
      <c r="E5268" s="1" t="str">
        <f t="shared" ref="E5268:P5268" si="10023">"0"</f>
        <v>0</v>
      </c>
      <c r="F5268" s="1" t="str">
        <f t="shared" si="10023"/>
        <v>0</v>
      </c>
      <c r="G5268" s="1" t="str">
        <f t="shared" si="10023"/>
        <v>0</v>
      </c>
      <c r="H5268" s="1" t="str">
        <f t="shared" si="10023"/>
        <v>0</v>
      </c>
      <c r="I5268" s="1" t="str">
        <f t="shared" si="10023"/>
        <v>0</v>
      </c>
      <c r="J5268" s="1" t="str">
        <f t="shared" si="10023"/>
        <v>0</v>
      </c>
      <c r="K5268" s="1" t="str">
        <f t="shared" si="10023"/>
        <v>0</v>
      </c>
      <c r="L5268" s="1" t="str">
        <f t="shared" si="10023"/>
        <v>0</v>
      </c>
      <c r="M5268" s="1" t="str">
        <f t="shared" si="10023"/>
        <v>0</v>
      </c>
      <c r="N5268" s="1" t="str">
        <f t="shared" si="10023"/>
        <v>0</v>
      </c>
      <c r="O5268" s="1" t="str">
        <f t="shared" si="10023"/>
        <v>0</v>
      </c>
      <c r="P5268" s="1" t="str">
        <f t="shared" si="10023"/>
        <v>0</v>
      </c>
      <c r="Q5268" s="1" t="str">
        <f t="shared" si="9994"/>
        <v>0.0070</v>
      </c>
      <c r="R5268" s="1" t="s">
        <v>25</v>
      </c>
      <c r="T5268" s="1" t="str">
        <f t="shared" si="9995"/>
        <v>0</v>
      </c>
      <c r="U5268" s="1" t="str">
        <f t="shared" si="9948"/>
        <v>0.0070</v>
      </c>
    </row>
    <row r="5269" s="1" customFormat="1" spans="1:21">
      <c r="A5269" s="1" t="str">
        <f>"4601992175557"</f>
        <v>4601992175557</v>
      </c>
      <c r="B5269" s="1" t="s">
        <v>5292</v>
      </c>
      <c r="C5269" s="1" t="s">
        <v>24</v>
      </c>
      <c r="D5269" s="1" t="str">
        <f t="shared" si="9991"/>
        <v>2021</v>
      </c>
      <c r="E5269" s="1" t="str">
        <f t="shared" ref="E5269:P5269" si="10024">"0"</f>
        <v>0</v>
      </c>
      <c r="F5269" s="1" t="str">
        <f t="shared" si="10024"/>
        <v>0</v>
      </c>
      <c r="G5269" s="1" t="str">
        <f t="shared" si="10024"/>
        <v>0</v>
      </c>
      <c r="H5269" s="1" t="str">
        <f t="shared" si="10024"/>
        <v>0</v>
      </c>
      <c r="I5269" s="1" t="str">
        <f t="shared" si="10024"/>
        <v>0</v>
      </c>
      <c r="J5269" s="1" t="str">
        <f t="shared" si="10024"/>
        <v>0</v>
      </c>
      <c r="K5269" s="1" t="str">
        <f t="shared" si="10024"/>
        <v>0</v>
      </c>
      <c r="L5269" s="1" t="str">
        <f t="shared" si="10024"/>
        <v>0</v>
      </c>
      <c r="M5269" s="1" t="str">
        <f t="shared" si="10024"/>
        <v>0</v>
      </c>
      <c r="N5269" s="1" t="str">
        <f t="shared" si="10024"/>
        <v>0</v>
      </c>
      <c r="O5269" s="1" t="str">
        <f t="shared" si="10024"/>
        <v>0</v>
      </c>
      <c r="P5269" s="1" t="str">
        <f t="shared" si="10024"/>
        <v>0</v>
      </c>
      <c r="Q5269" s="1" t="str">
        <f t="shared" si="9994"/>
        <v>0.0070</v>
      </c>
      <c r="R5269" s="1" t="s">
        <v>25</v>
      </c>
      <c r="T5269" s="1" t="str">
        <f t="shared" si="9995"/>
        <v>0</v>
      </c>
      <c r="U5269" s="1" t="str">
        <f t="shared" si="9948"/>
        <v>0.0070</v>
      </c>
    </row>
    <row r="5270" s="1" customFormat="1" spans="1:21">
      <c r="A5270" s="1" t="str">
        <f>"4601992176039"</f>
        <v>4601992176039</v>
      </c>
      <c r="B5270" s="1" t="s">
        <v>5293</v>
      </c>
      <c r="C5270" s="1" t="s">
        <v>24</v>
      </c>
      <c r="D5270" s="1" t="str">
        <f t="shared" si="9991"/>
        <v>2021</v>
      </c>
      <c r="E5270" s="1" t="str">
        <f t="shared" ref="E5270:P5270" si="10025">"0"</f>
        <v>0</v>
      </c>
      <c r="F5270" s="1" t="str">
        <f t="shared" si="10025"/>
        <v>0</v>
      </c>
      <c r="G5270" s="1" t="str">
        <f t="shared" si="10025"/>
        <v>0</v>
      </c>
      <c r="H5270" s="1" t="str">
        <f t="shared" si="10025"/>
        <v>0</v>
      </c>
      <c r="I5270" s="1" t="str">
        <f t="shared" si="10025"/>
        <v>0</v>
      </c>
      <c r="J5270" s="1" t="str">
        <f t="shared" si="10025"/>
        <v>0</v>
      </c>
      <c r="K5270" s="1" t="str">
        <f t="shared" si="10025"/>
        <v>0</v>
      </c>
      <c r="L5270" s="1" t="str">
        <f t="shared" si="10025"/>
        <v>0</v>
      </c>
      <c r="M5270" s="1" t="str">
        <f t="shared" si="10025"/>
        <v>0</v>
      </c>
      <c r="N5270" s="1" t="str">
        <f t="shared" si="10025"/>
        <v>0</v>
      </c>
      <c r="O5270" s="1" t="str">
        <f t="shared" si="10025"/>
        <v>0</v>
      </c>
      <c r="P5270" s="1" t="str">
        <f t="shared" si="10025"/>
        <v>0</v>
      </c>
      <c r="Q5270" s="1" t="str">
        <f t="shared" si="9994"/>
        <v>0.0070</v>
      </c>
      <c r="R5270" s="1" t="s">
        <v>25</v>
      </c>
      <c r="T5270" s="1" t="str">
        <f t="shared" si="9995"/>
        <v>0</v>
      </c>
      <c r="U5270" s="1" t="str">
        <f t="shared" si="9948"/>
        <v>0.0070</v>
      </c>
    </row>
    <row r="5271" s="1" customFormat="1" spans="1:21">
      <c r="A5271" s="1" t="str">
        <f>"4601992175531"</f>
        <v>4601992175531</v>
      </c>
      <c r="B5271" s="1" t="s">
        <v>5294</v>
      </c>
      <c r="C5271" s="1" t="s">
        <v>24</v>
      </c>
      <c r="D5271" s="1" t="str">
        <f t="shared" si="9991"/>
        <v>2021</v>
      </c>
      <c r="E5271" s="1" t="str">
        <f t="shared" ref="E5271:I5271" si="10026">"0"</f>
        <v>0</v>
      </c>
      <c r="F5271" s="1" t="str">
        <f t="shared" si="10026"/>
        <v>0</v>
      </c>
      <c r="G5271" s="1" t="str">
        <f t="shared" si="10026"/>
        <v>0</v>
      </c>
      <c r="H5271" s="1" t="str">
        <f t="shared" si="10026"/>
        <v>0</v>
      </c>
      <c r="I5271" s="1" t="str">
        <f t="shared" si="10026"/>
        <v>0</v>
      </c>
      <c r="J5271" s="1" t="str">
        <f>"3"</f>
        <v>3</v>
      </c>
      <c r="K5271" s="1" t="str">
        <f t="shared" ref="K5271:P5271" si="10027">"0"</f>
        <v>0</v>
      </c>
      <c r="L5271" s="1" t="str">
        <f t="shared" si="10027"/>
        <v>0</v>
      </c>
      <c r="M5271" s="1" t="str">
        <f t="shared" si="10027"/>
        <v>0</v>
      </c>
      <c r="N5271" s="1" t="str">
        <f t="shared" si="10027"/>
        <v>0</v>
      </c>
      <c r="O5271" s="1" t="str">
        <f t="shared" si="10027"/>
        <v>0</v>
      </c>
      <c r="P5271" s="1" t="str">
        <f t="shared" si="10027"/>
        <v>0</v>
      </c>
      <c r="Q5271" s="1" t="str">
        <f t="shared" si="9994"/>
        <v>0.0070</v>
      </c>
      <c r="R5271" s="1" t="s">
        <v>25</v>
      </c>
      <c r="T5271" s="1" t="str">
        <f t="shared" si="9995"/>
        <v>0</v>
      </c>
      <c r="U5271" s="1" t="str">
        <f t="shared" si="9948"/>
        <v>0.0070</v>
      </c>
    </row>
    <row r="5272" s="1" customFormat="1" spans="1:21">
      <c r="A5272" s="1" t="str">
        <f>"4601992175941"</f>
        <v>4601992175941</v>
      </c>
      <c r="B5272" s="1" t="s">
        <v>5295</v>
      </c>
      <c r="C5272" s="1" t="s">
        <v>24</v>
      </c>
      <c r="D5272" s="1" t="str">
        <f t="shared" si="9991"/>
        <v>2021</v>
      </c>
      <c r="E5272" s="1" t="str">
        <f t="shared" ref="E5272:I5272" si="10028">"0"</f>
        <v>0</v>
      </c>
      <c r="F5272" s="1" t="str">
        <f t="shared" si="10028"/>
        <v>0</v>
      </c>
      <c r="G5272" s="1" t="str">
        <f t="shared" si="10028"/>
        <v>0</v>
      </c>
      <c r="H5272" s="1" t="str">
        <f t="shared" si="10028"/>
        <v>0</v>
      </c>
      <c r="I5272" s="1" t="str">
        <f t="shared" si="10028"/>
        <v>0</v>
      </c>
      <c r="J5272" s="1" t="str">
        <f>"1"</f>
        <v>1</v>
      </c>
      <c r="K5272" s="1" t="str">
        <f t="shared" ref="K5272:P5272" si="10029">"0"</f>
        <v>0</v>
      </c>
      <c r="L5272" s="1" t="str">
        <f t="shared" si="10029"/>
        <v>0</v>
      </c>
      <c r="M5272" s="1" t="str">
        <f t="shared" si="10029"/>
        <v>0</v>
      </c>
      <c r="N5272" s="1" t="str">
        <f t="shared" si="10029"/>
        <v>0</v>
      </c>
      <c r="O5272" s="1" t="str">
        <f t="shared" si="10029"/>
        <v>0</v>
      </c>
      <c r="P5272" s="1" t="str">
        <f t="shared" si="10029"/>
        <v>0</v>
      </c>
      <c r="Q5272" s="1" t="str">
        <f t="shared" si="9994"/>
        <v>0.0070</v>
      </c>
      <c r="R5272" s="1" t="s">
        <v>25</v>
      </c>
      <c r="T5272" s="1" t="str">
        <f t="shared" si="9995"/>
        <v>0</v>
      </c>
      <c r="U5272" s="1" t="str">
        <f t="shared" si="9948"/>
        <v>0.0070</v>
      </c>
    </row>
    <row r="5273" s="1" customFormat="1" spans="1:21">
      <c r="A5273" s="1" t="str">
        <f>"4601992176318"</f>
        <v>4601992176318</v>
      </c>
      <c r="B5273" s="1" t="s">
        <v>5296</v>
      </c>
      <c r="C5273" s="1" t="s">
        <v>24</v>
      </c>
      <c r="D5273" s="1" t="str">
        <f t="shared" si="9991"/>
        <v>2021</v>
      </c>
      <c r="E5273" s="1" t="str">
        <f t="shared" ref="E5273:I5273" si="10030">"0"</f>
        <v>0</v>
      </c>
      <c r="F5273" s="1" t="str">
        <f t="shared" si="10030"/>
        <v>0</v>
      </c>
      <c r="G5273" s="1" t="str">
        <f t="shared" si="10030"/>
        <v>0</v>
      </c>
      <c r="H5273" s="1" t="str">
        <f t="shared" si="10030"/>
        <v>0</v>
      </c>
      <c r="I5273" s="1" t="str">
        <f t="shared" si="10030"/>
        <v>0</v>
      </c>
      <c r="J5273" s="1" t="str">
        <f>"5"</f>
        <v>5</v>
      </c>
      <c r="K5273" s="1" t="str">
        <f t="shared" ref="K5273:P5273" si="10031">"0"</f>
        <v>0</v>
      </c>
      <c r="L5273" s="1" t="str">
        <f t="shared" si="10031"/>
        <v>0</v>
      </c>
      <c r="M5273" s="1" t="str">
        <f t="shared" si="10031"/>
        <v>0</v>
      </c>
      <c r="N5273" s="1" t="str">
        <f t="shared" si="10031"/>
        <v>0</v>
      </c>
      <c r="O5273" s="1" t="str">
        <f t="shared" si="10031"/>
        <v>0</v>
      </c>
      <c r="P5273" s="1" t="str">
        <f t="shared" si="10031"/>
        <v>0</v>
      </c>
      <c r="Q5273" s="1" t="str">
        <f t="shared" si="9994"/>
        <v>0.0070</v>
      </c>
      <c r="R5273" s="1" t="s">
        <v>25</v>
      </c>
      <c r="T5273" s="1" t="str">
        <f t="shared" si="9995"/>
        <v>0</v>
      </c>
      <c r="U5273" s="1" t="str">
        <f t="shared" si="9948"/>
        <v>0.0070</v>
      </c>
    </row>
    <row r="5274" s="1" customFormat="1" spans="1:21">
      <c r="A5274" s="1" t="str">
        <f>"4601992078631"</f>
        <v>4601992078631</v>
      </c>
      <c r="B5274" s="1" t="s">
        <v>5297</v>
      </c>
      <c r="C5274" s="1" t="s">
        <v>24</v>
      </c>
      <c r="D5274" s="1" t="str">
        <f t="shared" si="9991"/>
        <v>2021</v>
      </c>
      <c r="E5274" s="1" t="str">
        <f t="shared" ref="E5274:I5274" si="10032">"0"</f>
        <v>0</v>
      </c>
      <c r="F5274" s="1" t="str">
        <f t="shared" si="10032"/>
        <v>0</v>
      </c>
      <c r="G5274" s="1" t="str">
        <f t="shared" si="10032"/>
        <v>0</v>
      </c>
      <c r="H5274" s="1" t="str">
        <f t="shared" si="10032"/>
        <v>0</v>
      </c>
      <c r="I5274" s="1" t="str">
        <f t="shared" si="10032"/>
        <v>0</v>
      </c>
      <c r="J5274" s="1" t="str">
        <f>"2"</f>
        <v>2</v>
      </c>
      <c r="K5274" s="1" t="str">
        <f t="shared" ref="K5274:P5274" si="10033">"0"</f>
        <v>0</v>
      </c>
      <c r="L5274" s="1" t="str">
        <f t="shared" si="10033"/>
        <v>0</v>
      </c>
      <c r="M5274" s="1" t="str">
        <f t="shared" si="10033"/>
        <v>0</v>
      </c>
      <c r="N5274" s="1" t="str">
        <f t="shared" si="10033"/>
        <v>0</v>
      </c>
      <c r="O5274" s="1" t="str">
        <f t="shared" si="10033"/>
        <v>0</v>
      </c>
      <c r="P5274" s="1" t="str">
        <f t="shared" si="10033"/>
        <v>0</v>
      </c>
      <c r="Q5274" s="1" t="str">
        <f t="shared" si="9994"/>
        <v>0.0070</v>
      </c>
      <c r="R5274" s="1" t="s">
        <v>25</v>
      </c>
      <c r="T5274" s="1" t="str">
        <f t="shared" si="9995"/>
        <v>0</v>
      </c>
      <c r="U5274" s="1" t="str">
        <f t="shared" si="9948"/>
        <v>0.0070</v>
      </c>
    </row>
    <row r="5275" s="1" customFormat="1" spans="1:21">
      <c r="A5275" s="1" t="str">
        <f>"4601992176442"</f>
        <v>4601992176442</v>
      </c>
      <c r="B5275" s="1" t="s">
        <v>5298</v>
      </c>
      <c r="C5275" s="1" t="s">
        <v>24</v>
      </c>
      <c r="D5275" s="1" t="str">
        <f t="shared" si="9991"/>
        <v>2021</v>
      </c>
      <c r="E5275" s="1" t="str">
        <f t="shared" ref="E5275:I5275" si="10034">"0"</f>
        <v>0</v>
      </c>
      <c r="F5275" s="1" t="str">
        <f t="shared" si="10034"/>
        <v>0</v>
      </c>
      <c r="G5275" s="1" t="str">
        <f t="shared" si="10034"/>
        <v>0</v>
      </c>
      <c r="H5275" s="1" t="str">
        <f t="shared" si="10034"/>
        <v>0</v>
      </c>
      <c r="I5275" s="1" t="str">
        <f t="shared" si="10034"/>
        <v>0</v>
      </c>
      <c r="J5275" s="1" t="str">
        <f>"2"</f>
        <v>2</v>
      </c>
      <c r="K5275" s="1" t="str">
        <f t="shared" ref="K5275:P5275" si="10035">"0"</f>
        <v>0</v>
      </c>
      <c r="L5275" s="1" t="str">
        <f t="shared" si="10035"/>
        <v>0</v>
      </c>
      <c r="M5275" s="1" t="str">
        <f t="shared" si="10035"/>
        <v>0</v>
      </c>
      <c r="N5275" s="1" t="str">
        <f t="shared" si="10035"/>
        <v>0</v>
      </c>
      <c r="O5275" s="1" t="str">
        <f t="shared" si="10035"/>
        <v>0</v>
      </c>
      <c r="P5275" s="1" t="str">
        <f t="shared" si="10035"/>
        <v>0</v>
      </c>
      <c r="Q5275" s="1" t="str">
        <f t="shared" si="9994"/>
        <v>0.0070</v>
      </c>
      <c r="R5275" s="1" t="s">
        <v>25</v>
      </c>
      <c r="T5275" s="1" t="str">
        <f t="shared" si="9995"/>
        <v>0</v>
      </c>
      <c r="U5275" s="1" t="str">
        <f t="shared" si="9948"/>
        <v>0.0070</v>
      </c>
    </row>
    <row r="5276" s="1" customFormat="1" spans="1:21">
      <c r="A5276" s="1" t="str">
        <f>"4601992176482"</f>
        <v>4601992176482</v>
      </c>
      <c r="B5276" s="1" t="s">
        <v>5299</v>
      </c>
      <c r="C5276" s="1" t="s">
        <v>24</v>
      </c>
      <c r="D5276" s="1" t="str">
        <f t="shared" si="9991"/>
        <v>2021</v>
      </c>
      <c r="E5276" s="1" t="str">
        <f t="shared" ref="E5276:P5276" si="10036">"0"</f>
        <v>0</v>
      </c>
      <c r="F5276" s="1" t="str">
        <f t="shared" si="10036"/>
        <v>0</v>
      </c>
      <c r="G5276" s="1" t="str">
        <f t="shared" si="10036"/>
        <v>0</v>
      </c>
      <c r="H5276" s="1" t="str">
        <f t="shared" si="10036"/>
        <v>0</v>
      </c>
      <c r="I5276" s="1" t="str">
        <f t="shared" si="10036"/>
        <v>0</v>
      </c>
      <c r="J5276" s="1" t="str">
        <f t="shared" si="10036"/>
        <v>0</v>
      </c>
      <c r="K5276" s="1" t="str">
        <f t="shared" si="10036"/>
        <v>0</v>
      </c>
      <c r="L5276" s="1" t="str">
        <f t="shared" si="10036"/>
        <v>0</v>
      </c>
      <c r="M5276" s="1" t="str">
        <f t="shared" si="10036"/>
        <v>0</v>
      </c>
      <c r="N5276" s="1" t="str">
        <f t="shared" si="10036"/>
        <v>0</v>
      </c>
      <c r="O5276" s="1" t="str">
        <f t="shared" si="10036"/>
        <v>0</v>
      </c>
      <c r="P5276" s="1" t="str">
        <f t="shared" si="10036"/>
        <v>0</v>
      </c>
      <c r="Q5276" s="1" t="str">
        <f t="shared" si="9994"/>
        <v>0.0070</v>
      </c>
      <c r="R5276" s="1" t="s">
        <v>25</v>
      </c>
      <c r="T5276" s="1" t="str">
        <f t="shared" si="9995"/>
        <v>0</v>
      </c>
      <c r="U5276" s="1" t="str">
        <f t="shared" si="9948"/>
        <v>0.0070</v>
      </c>
    </row>
    <row r="5277" s="1" customFormat="1" spans="1:21">
      <c r="A5277" s="1" t="str">
        <f>"4601992176444"</f>
        <v>4601992176444</v>
      </c>
      <c r="B5277" s="1" t="s">
        <v>5300</v>
      </c>
      <c r="C5277" s="1" t="s">
        <v>24</v>
      </c>
      <c r="D5277" s="1" t="str">
        <f t="shared" si="9991"/>
        <v>2021</v>
      </c>
      <c r="E5277" s="1" t="str">
        <f t="shared" ref="E5277:I5277" si="10037">"0"</f>
        <v>0</v>
      </c>
      <c r="F5277" s="1" t="str">
        <f t="shared" si="10037"/>
        <v>0</v>
      </c>
      <c r="G5277" s="1" t="str">
        <f t="shared" si="10037"/>
        <v>0</v>
      </c>
      <c r="H5277" s="1" t="str">
        <f t="shared" si="10037"/>
        <v>0</v>
      </c>
      <c r="I5277" s="1" t="str">
        <f t="shared" si="10037"/>
        <v>0</v>
      </c>
      <c r="J5277" s="1" t="str">
        <f>"20"</f>
        <v>20</v>
      </c>
      <c r="K5277" s="1" t="str">
        <f t="shared" ref="K5277:P5277" si="10038">"0"</f>
        <v>0</v>
      </c>
      <c r="L5277" s="1" t="str">
        <f t="shared" si="10038"/>
        <v>0</v>
      </c>
      <c r="M5277" s="1" t="str">
        <f t="shared" si="10038"/>
        <v>0</v>
      </c>
      <c r="N5277" s="1" t="str">
        <f t="shared" si="10038"/>
        <v>0</v>
      </c>
      <c r="O5277" s="1" t="str">
        <f t="shared" si="10038"/>
        <v>0</v>
      </c>
      <c r="P5277" s="1" t="str">
        <f t="shared" si="10038"/>
        <v>0</v>
      </c>
      <c r="Q5277" s="1" t="str">
        <f t="shared" si="9994"/>
        <v>0.0070</v>
      </c>
      <c r="R5277" s="1" t="s">
        <v>25</v>
      </c>
      <c r="T5277" s="1" t="str">
        <f t="shared" si="9995"/>
        <v>0</v>
      </c>
      <c r="U5277" s="1" t="str">
        <f t="shared" si="9948"/>
        <v>0.0070</v>
      </c>
    </row>
    <row r="5278" s="1" customFormat="1" spans="1:21">
      <c r="A5278" s="1" t="str">
        <f>"4601992176494"</f>
        <v>4601992176494</v>
      </c>
      <c r="B5278" s="1" t="s">
        <v>5301</v>
      </c>
      <c r="C5278" s="1" t="s">
        <v>24</v>
      </c>
      <c r="D5278" s="1" t="str">
        <f t="shared" si="9991"/>
        <v>2021</v>
      </c>
      <c r="E5278" s="1" t="str">
        <f t="shared" ref="E5278:P5278" si="10039">"0"</f>
        <v>0</v>
      </c>
      <c r="F5278" s="1" t="str">
        <f t="shared" si="10039"/>
        <v>0</v>
      </c>
      <c r="G5278" s="1" t="str">
        <f t="shared" si="10039"/>
        <v>0</v>
      </c>
      <c r="H5278" s="1" t="str">
        <f t="shared" si="10039"/>
        <v>0</v>
      </c>
      <c r="I5278" s="1" t="str">
        <f t="shared" si="10039"/>
        <v>0</v>
      </c>
      <c r="J5278" s="1" t="str">
        <f t="shared" si="10039"/>
        <v>0</v>
      </c>
      <c r="K5278" s="1" t="str">
        <f t="shared" si="10039"/>
        <v>0</v>
      </c>
      <c r="L5278" s="1" t="str">
        <f t="shared" si="10039"/>
        <v>0</v>
      </c>
      <c r="M5278" s="1" t="str">
        <f t="shared" si="10039"/>
        <v>0</v>
      </c>
      <c r="N5278" s="1" t="str">
        <f t="shared" si="10039"/>
        <v>0</v>
      </c>
      <c r="O5278" s="1" t="str">
        <f t="shared" si="10039"/>
        <v>0</v>
      </c>
      <c r="P5278" s="1" t="str">
        <f t="shared" si="10039"/>
        <v>0</v>
      </c>
      <c r="Q5278" s="1" t="str">
        <f t="shared" si="9994"/>
        <v>0.0070</v>
      </c>
      <c r="R5278" s="1" t="s">
        <v>25</v>
      </c>
      <c r="T5278" s="1" t="str">
        <f t="shared" si="9995"/>
        <v>0</v>
      </c>
      <c r="U5278" s="1" t="str">
        <f t="shared" si="9948"/>
        <v>0.0070</v>
      </c>
    </row>
    <row r="5279" s="1" customFormat="1" spans="1:21">
      <c r="A5279" s="1" t="str">
        <f>"4601992176509"</f>
        <v>4601992176509</v>
      </c>
      <c r="B5279" s="1" t="s">
        <v>5302</v>
      </c>
      <c r="C5279" s="1" t="s">
        <v>24</v>
      </c>
      <c r="D5279" s="1" t="str">
        <f t="shared" si="9991"/>
        <v>2021</v>
      </c>
      <c r="E5279" s="1" t="str">
        <f t="shared" ref="E5279:P5279" si="10040">"0"</f>
        <v>0</v>
      </c>
      <c r="F5279" s="1" t="str">
        <f t="shared" si="10040"/>
        <v>0</v>
      </c>
      <c r="G5279" s="1" t="str">
        <f t="shared" si="10040"/>
        <v>0</v>
      </c>
      <c r="H5279" s="1" t="str">
        <f t="shared" si="10040"/>
        <v>0</v>
      </c>
      <c r="I5279" s="1" t="str">
        <f t="shared" si="10040"/>
        <v>0</v>
      </c>
      <c r="J5279" s="1" t="str">
        <f t="shared" si="10040"/>
        <v>0</v>
      </c>
      <c r="K5279" s="1" t="str">
        <f t="shared" si="10040"/>
        <v>0</v>
      </c>
      <c r="L5279" s="1" t="str">
        <f t="shared" si="10040"/>
        <v>0</v>
      </c>
      <c r="M5279" s="1" t="str">
        <f t="shared" si="10040"/>
        <v>0</v>
      </c>
      <c r="N5279" s="1" t="str">
        <f t="shared" si="10040"/>
        <v>0</v>
      </c>
      <c r="O5279" s="1" t="str">
        <f t="shared" si="10040"/>
        <v>0</v>
      </c>
      <c r="P5279" s="1" t="str">
        <f t="shared" si="10040"/>
        <v>0</v>
      </c>
      <c r="Q5279" s="1" t="str">
        <f t="shared" si="9994"/>
        <v>0.0070</v>
      </c>
      <c r="R5279" s="1" t="s">
        <v>25</v>
      </c>
      <c r="T5279" s="1" t="str">
        <f t="shared" si="9995"/>
        <v>0</v>
      </c>
      <c r="U5279" s="1" t="str">
        <f t="shared" si="9948"/>
        <v>0.0070</v>
      </c>
    </row>
    <row r="5280" s="1" customFormat="1" spans="1:21">
      <c r="A5280" s="1" t="str">
        <f>"4601992045038"</f>
        <v>4601992045038</v>
      </c>
      <c r="B5280" s="1" t="s">
        <v>5303</v>
      </c>
      <c r="C5280" s="1" t="s">
        <v>24</v>
      </c>
      <c r="D5280" s="1" t="str">
        <f t="shared" si="9991"/>
        <v>2021</v>
      </c>
      <c r="E5280" s="1" t="str">
        <f>"749.58"</f>
        <v>749.58</v>
      </c>
      <c r="F5280" s="1" t="str">
        <f>"29281.92"</f>
        <v>29281.92</v>
      </c>
      <c r="G5280" s="1" t="str">
        <f t="shared" ref="G5280:L5280" si="10041">"0"</f>
        <v>0</v>
      </c>
      <c r="H5280" s="1" t="str">
        <f t="shared" si="10041"/>
        <v>0</v>
      </c>
      <c r="I5280" s="1" t="str">
        <f>"39.0644"</f>
        <v>39.0644</v>
      </c>
      <c r="J5280" s="1" t="str">
        <f>"73"</f>
        <v>73</v>
      </c>
      <c r="K5280" s="1" t="str">
        <f>"1"</f>
        <v>1</v>
      </c>
      <c r="L5280" s="1" t="str">
        <f t="shared" si="10041"/>
        <v>0</v>
      </c>
      <c r="M5280" s="1" t="str">
        <f>"0.0137"</f>
        <v>0.0137</v>
      </c>
      <c r="N5280" s="1" t="str">
        <f t="shared" ref="N5280:P5280" si="10042">"0"</f>
        <v>0</v>
      </c>
      <c r="O5280" s="1" t="str">
        <f t="shared" si="10042"/>
        <v>0</v>
      </c>
      <c r="P5280" s="1" t="str">
        <f t="shared" si="10042"/>
        <v>0</v>
      </c>
      <c r="Q5280" s="1" t="str">
        <f t="shared" si="9994"/>
        <v>0.0070</v>
      </c>
      <c r="R5280" s="1" t="s">
        <v>69</v>
      </c>
      <c r="S5280" s="1" t="str">
        <f>"0.0014"</f>
        <v>0.0014</v>
      </c>
      <c r="T5280" s="1" t="str">
        <f t="shared" si="9995"/>
        <v>0</v>
      </c>
      <c r="U5280" s="1" t="str">
        <f>"0.0084"</f>
        <v>0.0084</v>
      </c>
    </row>
    <row r="5281" s="1" customFormat="1" spans="1:21">
      <c r="A5281" s="1" t="str">
        <f>"4601992176581"</f>
        <v>4601992176581</v>
      </c>
      <c r="B5281" s="1" t="s">
        <v>5304</v>
      </c>
      <c r="C5281" s="1" t="s">
        <v>24</v>
      </c>
      <c r="D5281" s="1" t="str">
        <f t="shared" si="9991"/>
        <v>2021</v>
      </c>
      <c r="E5281" s="1" t="str">
        <f t="shared" ref="E5281:P5281" si="10043">"0"</f>
        <v>0</v>
      </c>
      <c r="F5281" s="1" t="str">
        <f t="shared" si="10043"/>
        <v>0</v>
      </c>
      <c r="G5281" s="1" t="str">
        <f t="shared" si="10043"/>
        <v>0</v>
      </c>
      <c r="H5281" s="1" t="str">
        <f t="shared" si="10043"/>
        <v>0</v>
      </c>
      <c r="I5281" s="1" t="str">
        <f t="shared" si="10043"/>
        <v>0</v>
      </c>
      <c r="J5281" s="1" t="str">
        <f t="shared" si="10043"/>
        <v>0</v>
      </c>
      <c r="K5281" s="1" t="str">
        <f t="shared" si="10043"/>
        <v>0</v>
      </c>
      <c r="L5281" s="1" t="str">
        <f t="shared" si="10043"/>
        <v>0</v>
      </c>
      <c r="M5281" s="1" t="str">
        <f t="shared" si="10043"/>
        <v>0</v>
      </c>
      <c r="N5281" s="1" t="str">
        <f t="shared" si="10043"/>
        <v>0</v>
      </c>
      <c r="O5281" s="1" t="str">
        <f t="shared" si="10043"/>
        <v>0</v>
      </c>
      <c r="P5281" s="1" t="str">
        <f t="shared" si="10043"/>
        <v>0</v>
      </c>
      <c r="Q5281" s="1" t="str">
        <f t="shared" si="9994"/>
        <v>0.0070</v>
      </c>
      <c r="R5281" s="1" t="s">
        <v>25</v>
      </c>
      <c r="T5281" s="1" t="str">
        <f t="shared" si="9995"/>
        <v>0</v>
      </c>
      <c r="U5281" s="1" t="str">
        <f t="shared" ref="U5281:U5284" si="10044">"0.0070"</f>
        <v>0.0070</v>
      </c>
    </row>
    <row r="5282" s="1" customFormat="1" spans="1:21">
      <c r="A5282" s="1" t="str">
        <f>"4601992176558"</f>
        <v>4601992176558</v>
      </c>
      <c r="B5282" s="1" t="s">
        <v>5305</v>
      </c>
      <c r="C5282" s="1" t="s">
        <v>24</v>
      </c>
      <c r="D5282" s="1" t="str">
        <f t="shared" si="9991"/>
        <v>2021</v>
      </c>
      <c r="E5282" s="1" t="str">
        <f>"11.98"</f>
        <v>11.98</v>
      </c>
      <c r="F5282" s="1" t="str">
        <f t="shared" ref="F5282:I5282" si="10045">"0"</f>
        <v>0</v>
      </c>
      <c r="G5282" s="1" t="str">
        <f t="shared" si="10045"/>
        <v>0</v>
      </c>
      <c r="H5282" s="1" t="str">
        <f t="shared" si="10045"/>
        <v>0</v>
      </c>
      <c r="I5282" s="1" t="str">
        <f t="shared" si="10045"/>
        <v>0</v>
      </c>
      <c r="J5282" s="1" t="str">
        <f>"1"</f>
        <v>1</v>
      </c>
      <c r="K5282" s="1" t="str">
        <f t="shared" ref="K5282:P5282" si="10046">"0"</f>
        <v>0</v>
      </c>
      <c r="L5282" s="1" t="str">
        <f t="shared" si="10046"/>
        <v>0</v>
      </c>
      <c r="M5282" s="1" t="str">
        <f t="shared" si="10046"/>
        <v>0</v>
      </c>
      <c r="N5282" s="1" t="str">
        <f t="shared" si="10046"/>
        <v>0</v>
      </c>
      <c r="O5282" s="1" t="str">
        <f t="shared" si="10046"/>
        <v>0</v>
      </c>
      <c r="P5282" s="1" t="str">
        <f t="shared" si="10046"/>
        <v>0</v>
      </c>
      <c r="Q5282" s="1" t="str">
        <f t="shared" si="9994"/>
        <v>0.0070</v>
      </c>
      <c r="R5282" s="1" t="s">
        <v>29</v>
      </c>
      <c r="S5282" s="1">
        <v>-0.0014</v>
      </c>
      <c r="T5282" s="1" t="str">
        <f t="shared" si="9995"/>
        <v>0</v>
      </c>
      <c r="U5282" s="1" t="str">
        <f t="shared" ref="U5282:U5287" si="10047">"0.0056"</f>
        <v>0.0056</v>
      </c>
    </row>
    <row r="5283" s="1" customFormat="1" spans="1:21">
      <c r="A5283" s="1" t="str">
        <f>"4601992176576"</f>
        <v>4601992176576</v>
      </c>
      <c r="B5283" s="1" t="s">
        <v>5306</v>
      </c>
      <c r="C5283" s="1" t="s">
        <v>24</v>
      </c>
      <c r="D5283" s="1" t="str">
        <f t="shared" si="9991"/>
        <v>2021</v>
      </c>
      <c r="E5283" s="1" t="str">
        <f t="shared" ref="E5283:I5283" si="10048">"0"</f>
        <v>0</v>
      </c>
      <c r="F5283" s="1" t="str">
        <f t="shared" si="10048"/>
        <v>0</v>
      </c>
      <c r="G5283" s="1" t="str">
        <f t="shared" si="10048"/>
        <v>0</v>
      </c>
      <c r="H5283" s="1" t="str">
        <f t="shared" si="10048"/>
        <v>0</v>
      </c>
      <c r="I5283" s="1" t="str">
        <f t="shared" si="10048"/>
        <v>0</v>
      </c>
      <c r="J5283" s="1" t="str">
        <f>"12"</f>
        <v>12</v>
      </c>
      <c r="K5283" s="1" t="str">
        <f t="shared" ref="K5283:P5283" si="10049">"0"</f>
        <v>0</v>
      </c>
      <c r="L5283" s="1" t="str">
        <f t="shared" si="10049"/>
        <v>0</v>
      </c>
      <c r="M5283" s="1" t="str">
        <f t="shared" si="10049"/>
        <v>0</v>
      </c>
      <c r="N5283" s="1" t="str">
        <f t="shared" si="10049"/>
        <v>0</v>
      </c>
      <c r="O5283" s="1" t="str">
        <f t="shared" si="10049"/>
        <v>0</v>
      </c>
      <c r="P5283" s="1" t="str">
        <f t="shared" si="10049"/>
        <v>0</v>
      </c>
      <c r="Q5283" s="1" t="str">
        <f t="shared" si="9994"/>
        <v>0.0070</v>
      </c>
      <c r="R5283" s="1" t="s">
        <v>25</v>
      </c>
      <c r="T5283" s="1" t="str">
        <f t="shared" si="9995"/>
        <v>0</v>
      </c>
      <c r="U5283" s="1" t="str">
        <f t="shared" si="10044"/>
        <v>0.0070</v>
      </c>
    </row>
    <row r="5284" s="1" customFormat="1" spans="1:21">
      <c r="A5284" s="1" t="str">
        <f>"4601992176555"</f>
        <v>4601992176555</v>
      </c>
      <c r="B5284" s="1" t="s">
        <v>5307</v>
      </c>
      <c r="C5284" s="1" t="s">
        <v>24</v>
      </c>
      <c r="D5284" s="1" t="str">
        <f t="shared" si="9991"/>
        <v>2021</v>
      </c>
      <c r="E5284" s="1" t="str">
        <f t="shared" ref="E5284:I5284" si="10050">"0"</f>
        <v>0</v>
      </c>
      <c r="F5284" s="1" t="str">
        <f t="shared" si="10050"/>
        <v>0</v>
      </c>
      <c r="G5284" s="1" t="str">
        <f t="shared" si="10050"/>
        <v>0</v>
      </c>
      <c r="H5284" s="1" t="str">
        <f t="shared" si="10050"/>
        <v>0</v>
      </c>
      <c r="I5284" s="1" t="str">
        <f t="shared" si="10050"/>
        <v>0</v>
      </c>
      <c r="J5284" s="1" t="str">
        <f>"4"</f>
        <v>4</v>
      </c>
      <c r="K5284" s="1" t="str">
        <f t="shared" ref="K5284:P5284" si="10051">"0"</f>
        <v>0</v>
      </c>
      <c r="L5284" s="1" t="str">
        <f t="shared" si="10051"/>
        <v>0</v>
      </c>
      <c r="M5284" s="1" t="str">
        <f t="shared" si="10051"/>
        <v>0</v>
      </c>
      <c r="N5284" s="1" t="str">
        <f t="shared" si="10051"/>
        <v>0</v>
      </c>
      <c r="O5284" s="1" t="str">
        <f t="shared" si="10051"/>
        <v>0</v>
      </c>
      <c r="P5284" s="1" t="str">
        <f t="shared" si="10051"/>
        <v>0</v>
      </c>
      <c r="Q5284" s="1" t="str">
        <f t="shared" si="9994"/>
        <v>0.0070</v>
      </c>
      <c r="R5284" s="1" t="s">
        <v>25</v>
      </c>
      <c r="T5284" s="1" t="str">
        <f t="shared" si="9995"/>
        <v>0</v>
      </c>
      <c r="U5284" s="1" t="str">
        <f t="shared" si="10044"/>
        <v>0.0070</v>
      </c>
    </row>
    <row r="5285" s="1" customFormat="1" spans="1:21">
      <c r="A5285" s="1" t="str">
        <f>"4601992176601"</f>
        <v>4601992176601</v>
      </c>
      <c r="B5285" s="1" t="s">
        <v>5308</v>
      </c>
      <c r="C5285" s="1" t="s">
        <v>24</v>
      </c>
      <c r="D5285" s="1" t="str">
        <f t="shared" si="9991"/>
        <v>2021</v>
      </c>
      <c r="E5285" s="1" t="str">
        <f>"48.51"</f>
        <v>48.51</v>
      </c>
      <c r="F5285" s="1" t="str">
        <f t="shared" ref="F5285:I5285" si="10052">"0"</f>
        <v>0</v>
      </c>
      <c r="G5285" s="1" t="str">
        <f t="shared" si="10052"/>
        <v>0</v>
      </c>
      <c r="H5285" s="1" t="str">
        <f t="shared" si="10052"/>
        <v>0</v>
      </c>
      <c r="I5285" s="1" t="str">
        <f t="shared" si="10052"/>
        <v>0</v>
      </c>
      <c r="J5285" s="1" t="str">
        <f>"4"</f>
        <v>4</v>
      </c>
      <c r="K5285" s="1" t="str">
        <f t="shared" ref="K5285:P5285" si="10053">"0"</f>
        <v>0</v>
      </c>
      <c r="L5285" s="1" t="str">
        <f t="shared" si="10053"/>
        <v>0</v>
      </c>
      <c r="M5285" s="1" t="str">
        <f t="shared" si="10053"/>
        <v>0</v>
      </c>
      <c r="N5285" s="1" t="str">
        <f t="shared" si="10053"/>
        <v>0</v>
      </c>
      <c r="O5285" s="1" t="str">
        <f t="shared" si="10053"/>
        <v>0</v>
      </c>
      <c r="P5285" s="1" t="str">
        <f t="shared" si="10053"/>
        <v>0</v>
      </c>
      <c r="Q5285" s="1" t="str">
        <f t="shared" si="9994"/>
        <v>0.0070</v>
      </c>
      <c r="R5285" s="1" t="s">
        <v>29</v>
      </c>
      <c r="S5285" s="1">
        <v>-0.0014</v>
      </c>
      <c r="T5285" s="1" t="str">
        <f t="shared" si="9995"/>
        <v>0</v>
      </c>
      <c r="U5285" s="1" t="str">
        <f t="shared" si="10047"/>
        <v>0.0056</v>
      </c>
    </row>
    <row r="5286" s="1" customFormat="1" spans="1:21">
      <c r="A5286" s="1" t="str">
        <f>"4601992176702"</f>
        <v>4601992176702</v>
      </c>
      <c r="B5286" s="1" t="s">
        <v>5309</v>
      </c>
      <c r="C5286" s="1" t="s">
        <v>24</v>
      </c>
      <c r="D5286" s="1" t="str">
        <f t="shared" si="9991"/>
        <v>2021</v>
      </c>
      <c r="E5286" s="1" t="str">
        <f t="shared" ref="E5286:P5286" si="10054">"0"</f>
        <v>0</v>
      </c>
      <c r="F5286" s="1" t="str">
        <f t="shared" si="10054"/>
        <v>0</v>
      </c>
      <c r="G5286" s="1" t="str">
        <f t="shared" si="10054"/>
        <v>0</v>
      </c>
      <c r="H5286" s="1" t="str">
        <f t="shared" si="10054"/>
        <v>0</v>
      </c>
      <c r="I5286" s="1" t="str">
        <f t="shared" si="10054"/>
        <v>0</v>
      </c>
      <c r="J5286" s="1" t="str">
        <f t="shared" si="10054"/>
        <v>0</v>
      </c>
      <c r="K5286" s="1" t="str">
        <f t="shared" si="10054"/>
        <v>0</v>
      </c>
      <c r="L5286" s="1" t="str">
        <f t="shared" si="10054"/>
        <v>0</v>
      </c>
      <c r="M5286" s="1" t="str">
        <f t="shared" si="10054"/>
        <v>0</v>
      </c>
      <c r="N5286" s="1" t="str">
        <f t="shared" si="10054"/>
        <v>0</v>
      </c>
      <c r="O5286" s="1" t="str">
        <f t="shared" si="10054"/>
        <v>0</v>
      </c>
      <c r="P5286" s="1" t="str">
        <f t="shared" si="10054"/>
        <v>0</v>
      </c>
      <c r="Q5286" s="1" t="str">
        <f t="shared" si="9994"/>
        <v>0.0070</v>
      </c>
      <c r="R5286" s="1" t="s">
        <v>25</v>
      </c>
      <c r="T5286" s="1" t="str">
        <f t="shared" si="9995"/>
        <v>0</v>
      </c>
      <c r="U5286" s="1" t="str">
        <f t="shared" ref="U5286:U5296" si="10055">"0.0070"</f>
        <v>0.0070</v>
      </c>
    </row>
    <row r="5287" s="1" customFormat="1" spans="1:21">
      <c r="A5287" s="1" t="str">
        <f>"4601992176605"</f>
        <v>4601992176605</v>
      </c>
      <c r="B5287" s="1" t="s">
        <v>5310</v>
      </c>
      <c r="C5287" s="1" t="s">
        <v>24</v>
      </c>
      <c r="D5287" s="1" t="str">
        <f t="shared" si="9991"/>
        <v>2021</v>
      </c>
      <c r="E5287" s="1" t="str">
        <f>"11.98"</f>
        <v>11.98</v>
      </c>
      <c r="F5287" s="1" t="str">
        <f t="shared" ref="F5287:I5287" si="10056">"0"</f>
        <v>0</v>
      </c>
      <c r="G5287" s="1" t="str">
        <f t="shared" si="10056"/>
        <v>0</v>
      </c>
      <c r="H5287" s="1" t="str">
        <f t="shared" si="10056"/>
        <v>0</v>
      </c>
      <c r="I5287" s="1" t="str">
        <f t="shared" si="10056"/>
        <v>0</v>
      </c>
      <c r="J5287" s="1" t="str">
        <f>"3"</f>
        <v>3</v>
      </c>
      <c r="K5287" s="1" t="str">
        <f t="shared" ref="K5287:P5287" si="10057">"0"</f>
        <v>0</v>
      </c>
      <c r="L5287" s="1" t="str">
        <f t="shared" si="10057"/>
        <v>0</v>
      </c>
      <c r="M5287" s="1" t="str">
        <f t="shared" si="10057"/>
        <v>0</v>
      </c>
      <c r="N5287" s="1" t="str">
        <f t="shared" si="10057"/>
        <v>0</v>
      </c>
      <c r="O5287" s="1" t="str">
        <f t="shared" si="10057"/>
        <v>0</v>
      </c>
      <c r="P5287" s="1" t="str">
        <f t="shared" si="10057"/>
        <v>0</v>
      </c>
      <c r="Q5287" s="1" t="str">
        <f t="shared" si="9994"/>
        <v>0.0070</v>
      </c>
      <c r="R5287" s="1" t="s">
        <v>29</v>
      </c>
      <c r="S5287" s="1">
        <v>-0.0014</v>
      </c>
      <c r="T5287" s="1" t="str">
        <f t="shared" si="9995"/>
        <v>0</v>
      </c>
      <c r="U5287" s="1" t="str">
        <f t="shared" si="10047"/>
        <v>0.0056</v>
      </c>
    </row>
    <row r="5288" s="1" customFormat="1" spans="1:21">
      <c r="A5288" s="1" t="str">
        <f>"4601992176615"</f>
        <v>4601992176615</v>
      </c>
      <c r="B5288" s="1" t="s">
        <v>5311</v>
      </c>
      <c r="C5288" s="1" t="s">
        <v>24</v>
      </c>
      <c r="D5288" s="1" t="str">
        <f t="shared" si="9991"/>
        <v>2021</v>
      </c>
      <c r="E5288" s="1" t="str">
        <f t="shared" ref="E5288:I5288" si="10058">"0"</f>
        <v>0</v>
      </c>
      <c r="F5288" s="1" t="str">
        <f t="shared" si="10058"/>
        <v>0</v>
      </c>
      <c r="G5288" s="1" t="str">
        <f t="shared" si="10058"/>
        <v>0</v>
      </c>
      <c r="H5288" s="1" t="str">
        <f t="shared" si="10058"/>
        <v>0</v>
      </c>
      <c r="I5288" s="1" t="str">
        <f t="shared" si="10058"/>
        <v>0</v>
      </c>
      <c r="J5288" s="1" t="str">
        <f t="shared" ref="J5288:J5294" si="10059">"2"</f>
        <v>2</v>
      </c>
      <c r="K5288" s="1" t="str">
        <f t="shared" ref="K5288:P5288" si="10060">"0"</f>
        <v>0</v>
      </c>
      <c r="L5288" s="1" t="str">
        <f t="shared" si="10060"/>
        <v>0</v>
      </c>
      <c r="M5288" s="1" t="str">
        <f t="shared" si="10060"/>
        <v>0</v>
      </c>
      <c r="N5288" s="1" t="str">
        <f t="shared" si="10060"/>
        <v>0</v>
      </c>
      <c r="O5288" s="1" t="str">
        <f t="shared" si="10060"/>
        <v>0</v>
      </c>
      <c r="P5288" s="1" t="str">
        <f t="shared" si="10060"/>
        <v>0</v>
      </c>
      <c r="Q5288" s="1" t="str">
        <f t="shared" si="9994"/>
        <v>0.0070</v>
      </c>
      <c r="R5288" s="1" t="s">
        <v>25</v>
      </c>
      <c r="T5288" s="1" t="str">
        <f t="shared" si="9995"/>
        <v>0</v>
      </c>
      <c r="U5288" s="1" t="str">
        <f t="shared" si="10055"/>
        <v>0.0070</v>
      </c>
    </row>
    <row r="5289" s="1" customFormat="1" spans="1:21">
      <c r="A5289" s="1" t="str">
        <f>"4601992176761"</f>
        <v>4601992176761</v>
      </c>
      <c r="B5289" s="1" t="s">
        <v>5312</v>
      </c>
      <c r="C5289" s="1" t="s">
        <v>24</v>
      </c>
      <c r="D5289" s="1" t="str">
        <f t="shared" si="9991"/>
        <v>2021</v>
      </c>
      <c r="E5289" s="1" t="str">
        <f t="shared" ref="E5289:I5289" si="10061">"0"</f>
        <v>0</v>
      </c>
      <c r="F5289" s="1" t="str">
        <f t="shared" si="10061"/>
        <v>0</v>
      </c>
      <c r="G5289" s="1" t="str">
        <f t="shared" si="10061"/>
        <v>0</v>
      </c>
      <c r="H5289" s="1" t="str">
        <f t="shared" si="10061"/>
        <v>0</v>
      </c>
      <c r="I5289" s="1" t="str">
        <f t="shared" si="10061"/>
        <v>0</v>
      </c>
      <c r="J5289" s="1" t="str">
        <f t="shared" si="10059"/>
        <v>2</v>
      </c>
      <c r="K5289" s="1" t="str">
        <f t="shared" ref="K5289:P5289" si="10062">"0"</f>
        <v>0</v>
      </c>
      <c r="L5289" s="1" t="str">
        <f t="shared" si="10062"/>
        <v>0</v>
      </c>
      <c r="M5289" s="1" t="str">
        <f t="shared" si="10062"/>
        <v>0</v>
      </c>
      <c r="N5289" s="1" t="str">
        <f t="shared" si="10062"/>
        <v>0</v>
      </c>
      <c r="O5289" s="1" t="str">
        <f t="shared" si="10062"/>
        <v>0</v>
      </c>
      <c r="P5289" s="1" t="str">
        <f t="shared" si="10062"/>
        <v>0</v>
      </c>
      <c r="Q5289" s="1" t="str">
        <f t="shared" si="9994"/>
        <v>0.0070</v>
      </c>
      <c r="R5289" s="1" t="s">
        <v>25</v>
      </c>
      <c r="T5289" s="1" t="str">
        <f t="shared" si="9995"/>
        <v>0</v>
      </c>
      <c r="U5289" s="1" t="str">
        <f t="shared" si="10055"/>
        <v>0.0070</v>
      </c>
    </row>
    <row r="5290" s="1" customFormat="1" spans="1:21">
      <c r="A5290" s="1" t="str">
        <f>"4601992176801"</f>
        <v>4601992176801</v>
      </c>
      <c r="B5290" s="1" t="s">
        <v>5313</v>
      </c>
      <c r="C5290" s="1" t="s">
        <v>24</v>
      </c>
      <c r="D5290" s="1" t="str">
        <f t="shared" si="9991"/>
        <v>2021</v>
      </c>
      <c r="E5290" s="1" t="str">
        <f t="shared" ref="E5290:I5290" si="10063">"0"</f>
        <v>0</v>
      </c>
      <c r="F5290" s="1" t="str">
        <f t="shared" si="10063"/>
        <v>0</v>
      </c>
      <c r="G5290" s="1" t="str">
        <f t="shared" si="10063"/>
        <v>0</v>
      </c>
      <c r="H5290" s="1" t="str">
        <f t="shared" si="10063"/>
        <v>0</v>
      </c>
      <c r="I5290" s="1" t="str">
        <f t="shared" si="10063"/>
        <v>0</v>
      </c>
      <c r="J5290" s="1" t="str">
        <f t="shared" ref="J5290:J5295" si="10064">"1"</f>
        <v>1</v>
      </c>
      <c r="K5290" s="1" t="str">
        <f t="shared" ref="K5290:P5290" si="10065">"0"</f>
        <v>0</v>
      </c>
      <c r="L5290" s="1" t="str">
        <f t="shared" si="10065"/>
        <v>0</v>
      </c>
      <c r="M5290" s="1" t="str">
        <f t="shared" si="10065"/>
        <v>0</v>
      </c>
      <c r="N5290" s="1" t="str">
        <f t="shared" si="10065"/>
        <v>0</v>
      </c>
      <c r="O5290" s="1" t="str">
        <f t="shared" si="10065"/>
        <v>0</v>
      </c>
      <c r="P5290" s="1" t="str">
        <f t="shared" si="10065"/>
        <v>0</v>
      </c>
      <c r="Q5290" s="1" t="str">
        <f t="shared" si="9994"/>
        <v>0.0070</v>
      </c>
      <c r="R5290" s="1" t="s">
        <v>25</v>
      </c>
      <c r="T5290" s="1" t="str">
        <f t="shared" si="9995"/>
        <v>0</v>
      </c>
      <c r="U5290" s="1" t="str">
        <f t="shared" si="10055"/>
        <v>0.0070</v>
      </c>
    </row>
    <row r="5291" s="1" customFormat="1" spans="1:21">
      <c r="A5291" s="1" t="str">
        <f>"4601992176756"</f>
        <v>4601992176756</v>
      </c>
      <c r="B5291" s="1" t="s">
        <v>5314</v>
      </c>
      <c r="C5291" s="1" t="s">
        <v>24</v>
      </c>
      <c r="D5291" s="1" t="str">
        <f t="shared" si="9991"/>
        <v>2021</v>
      </c>
      <c r="E5291" s="1" t="str">
        <f t="shared" ref="E5291:I5291" si="10066">"0"</f>
        <v>0</v>
      </c>
      <c r="F5291" s="1" t="str">
        <f t="shared" si="10066"/>
        <v>0</v>
      </c>
      <c r="G5291" s="1" t="str">
        <f t="shared" si="10066"/>
        <v>0</v>
      </c>
      <c r="H5291" s="1" t="str">
        <f t="shared" si="10066"/>
        <v>0</v>
      </c>
      <c r="I5291" s="1" t="str">
        <f t="shared" si="10066"/>
        <v>0</v>
      </c>
      <c r="J5291" s="1" t="str">
        <f t="shared" si="10064"/>
        <v>1</v>
      </c>
      <c r="K5291" s="1" t="str">
        <f t="shared" ref="K5291:P5291" si="10067">"0"</f>
        <v>0</v>
      </c>
      <c r="L5291" s="1" t="str">
        <f t="shared" si="10067"/>
        <v>0</v>
      </c>
      <c r="M5291" s="1" t="str">
        <f t="shared" si="10067"/>
        <v>0</v>
      </c>
      <c r="N5291" s="1" t="str">
        <f t="shared" si="10067"/>
        <v>0</v>
      </c>
      <c r="O5291" s="1" t="str">
        <f t="shared" si="10067"/>
        <v>0</v>
      </c>
      <c r="P5291" s="1" t="str">
        <f t="shared" si="10067"/>
        <v>0</v>
      </c>
      <c r="Q5291" s="1" t="str">
        <f t="shared" si="9994"/>
        <v>0.0070</v>
      </c>
      <c r="R5291" s="1" t="s">
        <v>25</v>
      </c>
      <c r="T5291" s="1" t="str">
        <f t="shared" si="9995"/>
        <v>0</v>
      </c>
      <c r="U5291" s="1" t="str">
        <f t="shared" si="10055"/>
        <v>0.0070</v>
      </c>
    </row>
    <row r="5292" s="1" customFormat="1" spans="1:21">
      <c r="A5292" s="1" t="str">
        <f>"4601992176849"</f>
        <v>4601992176849</v>
      </c>
      <c r="B5292" s="1" t="s">
        <v>5315</v>
      </c>
      <c r="C5292" s="1" t="s">
        <v>24</v>
      </c>
      <c r="D5292" s="1" t="str">
        <f t="shared" si="9991"/>
        <v>2021</v>
      </c>
      <c r="E5292" s="1" t="str">
        <f t="shared" ref="E5292:P5292" si="10068">"0"</f>
        <v>0</v>
      </c>
      <c r="F5292" s="1" t="str">
        <f t="shared" si="10068"/>
        <v>0</v>
      </c>
      <c r="G5292" s="1" t="str">
        <f t="shared" si="10068"/>
        <v>0</v>
      </c>
      <c r="H5292" s="1" t="str">
        <f t="shared" si="10068"/>
        <v>0</v>
      </c>
      <c r="I5292" s="1" t="str">
        <f t="shared" si="10068"/>
        <v>0</v>
      </c>
      <c r="J5292" s="1" t="str">
        <f t="shared" si="10068"/>
        <v>0</v>
      </c>
      <c r="K5292" s="1" t="str">
        <f t="shared" si="10068"/>
        <v>0</v>
      </c>
      <c r="L5292" s="1" t="str">
        <f t="shared" si="10068"/>
        <v>0</v>
      </c>
      <c r="M5292" s="1" t="str">
        <f t="shared" si="10068"/>
        <v>0</v>
      </c>
      <c r="N5292" s="1" t="str">
        <f t="shared" si="10068"/>
        <v>0</v>
      </c>
      <c r="O5292" s="1" t="str">
        <f t="shared" si="10068"/>
        <v>0</v>
      </c>
      <c r="P5292" s="1" t="str">
        <f t="shared" si="10068"/>
        <v>0</v>
      </c>
      <c r="Q5292" s="1" t="str">
        <f t="shared" si="9994"/>
        <v>0.0070</v>
      </c>
      <c r="R5292" s="1" t="s">
        <v>25</v>
      </c>
      <c r="T5292" s="1" t="str">
        <f t="shared" si="9995"/>
        <v>0</v>
      </c>
      <c r="U5292" s="1" t="str">
        <f t="shared" si="10055"/>
        <v>0.0070</v>
      </c>
    </row>
    <row r="5293" s="1" customFormat="1" spans="1:21">
      <c r="A5293" s="1" t="str">
        <f>"4601992176824"</f>
        <v>4601992176824</v>
      </c>
      <c r="B5293" s="1" t="s">
        <v>5316</v>
      </c>
      <c r="C5293" s="1" t="s">
        <v>24</v>
      </c>
      <c r="D5293" s="1" t="str">
        <f t="shared" si="9991"/>
        <v>2021</v>
      </c>
      <c r="E5293" s="1" t="str">
        <f t="shared" ref="E5293:I5293" si="10069">"0"</f>
        <v>0</v>
      </c>
      <c r="F5293" s="1" t="str">
        <f t="shared" si="10069"/>
        <v>0</v>
      </c>
      <c r="G5293" s="1" t="str">
        <f t="shared" si="10069"/>
        <v>0</v>
      </c>
      <c r="H5293" s="1" t="str">
        <f t="shared" si="10069"/>
        <v>0</v>
      </c>
      <c r="I5293" s="1" t="str">
        <f t="shared" si="10069"/>
        <v>0</v>
      </c>
      <c r="J5293" s="1" t="str">
        <f t="shared" si="10059"/>
        <v>2</v>
      </c>
      <c r="K5293" s="1" t="str">
        <f t="shared" ref="K5293:P5293" si="10070">"0"</f>
        <v>0</v>
      </c>
      <c r="L5293" s="1" t="str">
        <f t="shared" si="10070"/>
        <v>0</v>
      </c>
      <c r="M5293" s="1" t="str">
        <f t="shared" si="10070"/>
        <v>0</v>
      </c>
      <c r="N5293" s="1" t="str">
        <f t="shared" si="10070"/>
        <v>0</v>
      </c>
      <c r="O5293" s="1" t="str">
        <f t="shared" si="10070"/>
        <v>0</v>
      </c>
      <c r="P5293" s="1" t="str">
        <f t="shared" si="10070"/>
        <v>0</v>
      </c>
      <c r="Q5293" s="1" t="str">
        <f t="shared" si="9994"/>
        <v>0.0070</v>
      </c>
      <c r="R5293" s="1" t="s">
        <v>25</v>
      </c>
      <c r="T5293" s="1" t="str">
        <f t="shared" si="9995"/>
        <v>0</v>
      </c>
      <c r="U5293" s="1" t="str">
        <f t="shared" si="10055"/>
        <v>0.0070</v>
      </c>
    </row>
    <row r="5294" s="1" customFormat="1" spans="1:21">
      <c r="A5294" s="1" t="str">
        <f>"4601992176915"</f>
        <v>4601992176915</v>
      </c>
      <c r="B5294" s="1" t="s">
        <v>5317</v>
      </c>
      <c r="C5294" s="1" t="s">
        <v>24</v>
      </c>
      <c r="D5294" s="1" t="str">
        <f t="shared" si="9991"/>
        <v>2021</v>
      </c>
      <c r="E5294" s="1" t="str">
        <f t="shared" ref="E5294:I5294" si="10071">"0"</f>
        <v>0</v>
      </c>
      <c r="F5294" s="1" t="str">
        <f t="shared" si="10071"/>
        <v>0</v>
      </c>
      <c r="G5294" s="1" t="str">
        <f t="shared" si="10071"/>
        <v>0</v>
      </c>
      <c r="H5294" s="1" t="str">
        <f t="shared" si="10071"/>
        <v>0</v>
      </c>
      <c r="I5294" s="1" t="str">
        <f t="shared" si="10071"/>
        <v>0</v>
      </c>
      <c r="J5294" s="1" t="str">
        <f t="shared" si="10059"/>
        <v>2</v>
      </c>
      <c r="K5294" s="1" t="str">
        <f t="shared" ref="K5294:P5294" si="10072">"0"</f>
        <v>0</v>
      </c>
      <c r="L5294" s="1" t="str">
        <f t="shared" si="10072"/>
        <v>0</v>
      </c>
      <c r="M5294" s="1" t="str">
        <f t="shared" si="10072"/>
        <v>0</v>
      </c>
      <c r="N5294" s="1" t="str">
        <f t="shared" si="10072"/>
        <v>0</v>
      </c>
      <c r="O5294" s="1" t="str">
        <f t="shared" si="10072"/>
        <v>0</v>
      </c>
      <c r="P5294" s="1" t="str">
        <f t="shared" si="10072"/>
        <v>0</v>
      </c>
      <c r="Q5294" s="1" t="str">
        <f t="shared" si="9994"/>
        <v>0.0070</v>
      </c>
      <c r="R5294" s="1" t="s">
        <v>25</v>
      </c>
      <c r="T5294" s="1" t="str">
        <f t="shared" si="9995"/>
        <v>0</v>
      </c>
      <c r="U5294" s="1" t="str">
        <f t="shared" si="10055"/>
        <v>0.0070</v>
      </c>
    </row>
    <row r="5295" s="1" customFormat="1" spans="1:21">
      <c r="A5295" s="1" t="str">
        <f>"4601992176954"</f>
        <v>4601992176954</v>
      </c>
      <c r="B5295" s="1" t="s">
        <v>5318</v>
      </c>
      <c r="C5295" s="1" t="s">
        <v>24</v>
      </c>
      <c r="D5295" s="1" t="str">
        <f t="shared" si="9991"/>
        <v>2021</v>
      </c>
      <c r="E5295" s="1" t="str">
        <f t="shared" ref="E5295:I5295" si="10073">"0"</f>
        <v>0</v>
      </c>
      <c r="F5295" s="1" t="str">
        <f t="shared" si="10073"/>
        <v>0</v>
      </c>
      <c r="G5295" s="1" t="str">
        <f t="shared" si="10073"/>
        <v>0</v>
      </c>
      <c r="H5295" s="1" t="str">
        <f t="shared" si="10073"/>
        <v>0</v>
      </c>
      <c r="I5295" s="1" t="str">
        <f t="shared" si="10073"/>
        <v>0</v>
      </c>
      <c r="J5295" s="1" t="str">
        <f t="shared" si="10064"/>
        <v>1</v>
      </c>
      <c r="K5295" s="1" t="str">
        <f t="shared" ref="K5295:P5295" si="10074">"0"</f>
        <v>0</v>
      </c>
      <c r="L5295" s="1" t="str">
        <f t="shared" si="10074"/>
        <v>0</v>
      </c>
      <c r="M5295" s="1" t="str">
        <f t="shared" si="10074"/>
        <v>0</v>
      </c>
      <c r="N5295" s="1" t="str">
        <f t="shared" si="10074"/>
        <v>0</v>
      </c>
      <c r="O5295" s="1" t="str">
        <f t="shared" si="10074"/>
        <v>0</v>
      </c>
      <c r="P5295" s="1" t="str">
        <f t="shared" si="10074"/>
        <v>0</v>
      </c>
      <c r="Q5295" s="1" t="str">
        <f t="shared" si="9994"/>
        <v>0.0070</v>
      </c>
      <c r="R5295" s="1" t="s">
        <v>25</v>
      </c>
      <c r="T5295" s="1" t="str">
        <f t="shared" si="9995"/>
        <v>0</v>
      </c>
      <c r="U5295" s="1" t="str">
        <f t="shared" si="10055"/>
        <v>0.0070</v>
      </c>
    </row>
    <row r="5296" s="1" customFormat="1" spans="1:21">
      <c r="A5296" s="1" t="str">
        <f>"4601992176923"</f>
        <v>4601992176923</v>
      </c>
      <c r="B5296" s="1" t="s">
        <v>5319</v>
      </c>
      <c r="C5296" s="1" t="s">
        <v>24</v>
      </c>
      <c r="D5296" s="1" t="str">
        <f t="shared" si="9991"/>
        <v>2021</v>
      </c>
      <c r="E5296" s="1" t="str">
        <f t="shared" ref="E5296:I5296" si="10075">"0"</f>
        <v>0</v>
      </c>
      <c r="F5296" s="1" t="str">
        <f t="shared" si="10075"/>
        <v>0</v>
      </c>
      <c r="G5296" s="1" t="str">
        <f t="shared" si="10075"/>
        <v>0</v>
      </c>
      <c r="H5296" s="1" t="str">
        <f t="shared" si="10075"/>
        <v>0</v>
      </c>
      <c r="I5296" s="1" t="str">
        <f t="shared" si="10075"/>
        <v>0</v>
      </c>
      <c r="J5296" s="1" t="str">
        <f>"3"</f>
        <v>3</v>
      </c>
      <c r="K5296" s="1" t="str">
        <f t="shared" ref="K5296:P5296" si="10076">"0"</f>
        <v>0</v>
      </c>
      <c r="L5296" s="1" t="str">
        <f t="shared" si="10076"/>
        <v>0</v>
      </c>
      <c r="M5296" s="1" t="str">
        <f t="shared" si="10076"/>
        <v>0</v>
      </c>
      <c r="N5296" s="1" t="str">
        <f t="shared" si="10076"/>
        <v>0</v>
      </c>
      <c r="O5296" s="1" t="str">
        <f t="shared" si="10076"/>
        <v>0</v>
      </c>
      <c r="P5296" s="1" t="str">
        <f t="shared" si="10076"/>
        <v>0</v>
      </c>
      <c r="Q5296" s="1" t="str">
        <f t="shared" si="9994"/>
        <v>0.0070</v>
      </c>
      <c r="R5296" s="1" t="s">
        <v>25</v>
      </c>
      <c r="T5296" s="1" t="str">
        <f t="shared" si="9995"/>
        <v>0</v>
      </c>
      <c r="U5296" s="1" t="str">
        <f t="shared" si="10055"/>
        <v>0.0070</v>
      </c>
    </row>
    <row r="5297" s="1" customFormat="1" spans="1:21">
      <c r="A5297" s="1" t="str">
        <f>"4601992176956"</f>
        <v>4601992176956</v>
      </c>
      <c r="B5297" s="1" t="s">
        <v>5320</v>
      </c>
      <c r="C5297" s="1" t="s">
        <v>24</v>
      </c>
      <c r="D5297" s="1" t="str">
        <f t="shared" si="9991"/>
        <v>2021</v>
      </c>
      <c r="E5297" s="1" t="str">
        <f>"24.51"</f>
        <v>24.51</v>
      </c>
      <c r="F5297" s="1" t="str">
        <f t="shared" ref="F5297:I5297" si="10077">"0"</f>
        <v>0</v>
      </c>
      <c r="G5297" s="1" t="str">
        <f t="shared" si="10077"/>
        <v>0</v>
      </c>
      <c r="H5297" s="1" t="str">
        <f t="shared" si="10077"/>
        <v>0</v>
      </c>
      <c r="I5297" s="1" t="str">
        <f t="shared" si="10077"/>
        <v>0</v>
      </c>
      <c r="J5297" s="1" t="str">
        <f>"5"</f>
        <v>5</v>
      </c>
      <c r="K5297" s="1" t="str">
        <f t="shared" ref="K5297:P5297" si="10078">"0"</f>
        <v>0</v>
      </c>
      <c r="L5297" s="1" t="str">
        <f t="shared" si="10078"/>
        <v>0</v>
      </c>
      <c r="M5297" s="1" t="str">
        <f t="shared" si="10078"/>
        <v>0</v>
      </c>
      <c r="N5297" s="1" t="str">
        <f t="shared" si="10078"/>
        <v>0</v>
      </c>
      <c r="O5297" s="1" t="str">
        <f t="shared" si="10078"/>
        <v>0</v>
      </c>
      <c r="P5297" s="1" t="str">
        <f t="shared" si="10078"/>
        <v>0</v>
      </c>
      <c r="Q5297" s="1" t="str">
        <f t="shared" si="9994"/>
        <v>0.0070</v>
      </c>
      <c r="R5297" s="1" t="s">
        <v>29</v>
      </c>
      <c r="S5297" s="1">
        <v>-0.0014</v>
      </c>
      <c r="T5297" s="1" t="str">
        <f t="shared" si="9995"/>
        <v>0</v>
      </c>
      <c r="U5297" s="1" t="str">
        <f>"0.0056"</f>
        <v>0.0056</v>
      </c>
    </row>
    <row r="5298" s="1" customFormat="1" spans="1:21">
      <c r="A5298" s="1" t="str">
        <f>"4601992176990"</f>
        <v>4601992176990</v>
      </c>
      <c r="B5298" s="1" t="s">
        <v>5321</v>
      </c>
      <c r="C5298" s="1" t="s">
        <v>24</v>
      </c>
      <c r="D5298" s="1" t="str">
        <f t="shared" si="9991"/>
        <v>2021</v>
      </c>
      <c r="E5298" s="1" t="str">
        <f t="shared" ref="E5298:P5298" si="10079">"0"</f>
        <v>0</v>
      </c>
      <c r="F5298" s="1" t="str">
        <f t="shared" si="10079"/>
        <v>0</v>
      </c>
      <c r="G5298" s="1" t="str">
        <f t="shared" si="10079"/>
        <v>0</v>
      </c>
      <c r="H5298" s="1" t="str">
        <f t="shared" si="10079"/>
        <v>0</v>
      </c>
      <c r="I5298" s="1" t="str">
        <f t="shared" si="10079"/>
        <v>0</v>
      </c>
      <c r="J5298" s="1" t="str">
        <f t="shared" si="10079"/>
        <v>0</v>
      </c>
      <c r="K5298" s="1" t="str">
        <f t="shared" si="10079"/>
        <v>0</v>
      </c>
      <c r="L5298" s="1" t="str">
        <f t="shared" si="10079"/>
        <v>0</v>
      </c>
      <c r="M5298" s="1" t="str">
        <f t="shared" si="10079"/>
        <v>0</v>
      </c>
      <c r="N5298" s="1" t="str">
        <f t="shared" si="10079"/>
        <v>0</v>
      </c>
      <c r="O5298" s="1" t="str">
        <f t="shared" si="10079"/>
        <v>0</v>
      </c>
      <c r="P5298" s="1" t="str">
        <f t="shared" si="10079"/>
        <v>0</v>
      </c>
      <c r="Q5298" s="1" t="str">
        <f t="shared" si="9994"/>
        <v>0.0070</v>
      </c>
      <c r="R5298" s="1" t="s">
        <v>25</v>
      </c>
      <c r="T5298" s="1" t="str">
        <f t="shared" si="9995"/>
        <v>0</v>
      </c>
      <c r="U5298" s="1" t="str">
        <f t="shared" ref="U5298:U5301" si="10080">"0.0070"</f>
        <v>0.0070</v>
      </c>
    </row>
    <row r="5299" s="1" customFormat="1" spans="1:21">
      <c r="A5299" s="1" t="str">
        <f>"4601992176985"</f>
        <v>4601992176985</v>
      </c>
      <c r="B5299" s="1" t="s">
        <v>5322</v>
      </c>
      <c r="C5299" s="1" t="s">
        <v>24</v>
      </c>
      <c r="D5299" s="1" t="str">
        <f t="shared" si="9991"/>
        <v>2021</v>
      </c>
      <c r="E5299" s="1" t="str">
        <f t="shared" ref="E5299:I5299" si="10081">"0"</f>
        <v>0</v>
      </c>
      <c r="F5299" s="1" t="str">
        <f t="shared" si="10081"/>
        <v>0</v>
      </c>
      <c r="G5299" s="1" t="str">
        <f t="shared" si="10081"/>
        <v>0</v>
      </c>
      <c r="H5299" s="1" t="str">
        <f t="shared" si="10081"/>
        <v>0</v>
      </c>
      <c r="I5299" s="1" t="str">
        <f t="shared" si="10081"/>
        <v>0</v>
      </c>
      <c r="J5299" s="1" t="str">
        <f>"2"</f>
        <v>2</v>
      </c>
      <c r="K5299" s="1" t="str">
        <f t="shared" ref="K5299:P5299" si="10082">"0"</f>
        <v>0</v>
      </c>
      <c r="L5299" s="1" t="str">
        <f t="shared" si="10082"/>
        <v>0</v>
      </c>
      <c r="M5299" s="1" t="str">
        <f t="shared" si="10082"/>
        <v>0</v>
      </c>
      <c r="N5299" s="1" t="str">
        <f t="shared" si="10082"/>
        <v>0</v>
      </c>
      <c r="O5299" s="1" t="str">
        <f t="shared" si="10082"/>
        <v>0</v>
      </c>
      <c r="P5299" s="1" t="str">
        <f t="shared" si="10082"/>
        <v>0</v>
      </c>
      <c r="Q5299" s="1" t="str">
        <f t="shared" si="9994"/>
        <v>0.0070</v>
      </c>
      <c r="R5299" s="1" t="s">
        <v>25</v>
      </c>
      <c r="T5299" s="1" t="str">
        <f t="shared" si="9995"/>
        <v>0</v>
      </c>
      <c r="U5299" s="1" t="str">
        <f t="shared" si="10080"/>
        <v>0.0070</v>
      </c>
    </row>
    <row r="5300" s="1" customFormat="1" spans="1:21">
      <c r="A5300" s="1" t="str">
        <f>"4601992176999"</f>
        <v>4601992176999</v>
      </c>
      <c r="B5300" s="1" t="s">
        <v>5323</v>
      </c>
      <c r="C5300" s="1" t="s">
        <v>24</v>
      </c>
      <c r="D5300" s="1" t="str">
        <f t="shared" si="9991"/>
        <v>2021</v>
      </c>
      <c r="E5300" s="1" t="str">
        <f t="shared" ref="E5300:I5300" si="10083">"0"</f>
        <v>0</v>
      </c>
      <c r="F5300" s="1" t="str">
        <f t="shared" si="10083"/>
        <v>0</v>
      </c>
      <c r="G5300" s="1" t="str">
        <f t="shared" si="10083"/>
        <v>0</v>
      </c>
      <c r="H5300" s="1" t="str">
        <f t="shared" si="10083"/>
        <v>0</v>
      </c>
      <c r="I5300" s="1" t="str">
        <f t="shared" si="10083"/>
        <v>0</v>
      </c>
      <c r="J5300" s="1" t="str">
        <f t="shared" ref="J5300:J5303" si="10084">"3"</f>
        <v>3</v>
      </c>
      <c r="K5300" s="1" t="str">
        <f t="shared" ref="K5300:P5300" si="10085">"0"</f>
        <v>0</v>
      </c>
      <c r="L5300" s="1" t="str">
        <f t="shared" si="10085"/>
        <v>0</v>
      </c>
      <c r="M5300" s="1" t="str">
        <f t="shared" si="10085"/>
        <v>0</v>
      </c>
      <c r="N5300" s="1" t="str">
        <f t="shared" si="10085"/>
        <v>0</v>
      </c>
      <c r="O5300" s="1" t="str">
        <f t="shared" si="10085"/>
        <v>0</v>
      </c>
      <c r="P5300" s="1" t="str">
        <f t="shared" si="10085"/>
        <v>0</v>
      </c>
      <c r="Q5300" s="1" t="str">
        <f t="shared" si="9994"/>
        <v>0.0070</v>
      </c>
      <c r="R5300" s="1" t="s">
        <v>25</v>
      </c>
      <c r="T5300" s="1" t="str">
        <f t="shared" si="9995"/>
        <v>0</v>
      </c>
      <c r="U5300" s="1" t="str">
        <f t="shared" si="10080"/>
        <v>0.0070</v>
      </c>
    </row>
    <row r="5301" s="1" customFormat="1" spans="1:21">
      <c r="A5301" s="1" t="str">
        <f>"4601992177016"</f>
        <v>4601992177016</v>
      </c>
      <c r="B5301" s="1" t="s">
        <v>5324</v>
      </c>
      <c r="C5301" s="1" t="s">
        <v>24</v>
      </c>
      <c r="D5301" s="1" t="str">
        <f t="shared" si="9991"/>
        <v>2021</v>
      </c>
      <c r="E5301" s="1" t="str">
        <f t="shared" ref="E5301:I5301" si="10086">"0"</f>
        <v>0</v>
      </c>
      <c r="F5301" s="1" t="str">
        <f t="shared" si="10086"/>
        <v>0</v>
      </c>
      <c r="G5301" s="1" t="str">
        <f t="shared" si="10086"/>
        <v>0</v>
      </c>
      <c r="H5301" s="1" t="str">
        <f t="shared" si="10086"/>
        <v>0</v>
      </c>
      <c r="I5301" s="1" t="str">
        <f t="shared" si="10086"/>
        <v>0</v>
      </c>
      <c r="J5301" s="1" t="str">
        <f>"1"</f>
        <v>1</v>
      </c>
      <c r="K5301" s="1" t="str">
        <f t="shared" ref="K5301:P5301" si="10087">"0"</f>
        <v>0</v>
      </c>
      <c r="L5301" s="1" t="str">
        <f t="shared" si="10087"/>
        <v>0</v>
      </c>
      <c r="M5301" s="1" t="str">
        <f t="shared" si="10087"/>
        <v>0</v>
      </c>
      <c r="N5301" s="1" t="str">
        <f t="shared" si="10087"/>
        <v>0</v>
      </c>
      <c r="O5301" s="1" t="str">
        <f t="shared" si="10087"/>
        <v>0</v>
      </c>
      <c r="P5301" s="1" t="str">
        <f t="shared" si="10087"/>
        <v>0</v>
      </c>
      <c r="Q5301" s="1" t="str">
        <f t="shared" si="9994"/>
        <v>0.0070</v>
      </c>
      <c r="R5301" s="1" t="s">
        <v>25</v>
      </c>
      <c r="T5301" s="1" t="str">
        <f t="shared" si="9995"/>
        <v>0</v>
      </c>
      <c r="U5301" s="1" t="str">
        <f t="shared" si="10080"/>
        <v>0.0070</v>
      </c>
    </row>
    <row r="5302" s="1" customFormat="1" spans="1:21">
      <c r="A5302" s="1" t="str">
        <f>"4601992003216"</f>
        <v>4601992003216</v>
      </c>
      <c r="B5302" s="1" t="s">
        <v>5325</v>
      </c>
      <c r="C5302" s="1" t="s">
        <v>24</v>
      </c>
      <c r="D5302" s="1" t="str">
        <f t="shared" si="9991"/>
        <v>2021</v>
      </c>
      <c r="E5302" s="1" t="str">
        <f>"36.27"</f>
        <v>36.27</v>
      </c>
      <c r="F5302" s="1" t="str">
        <f t="shared" ref="F5302:I5302" si="10088">"0"</f>
        <v>0</v>
      </c>
      <c r="G5302" s="1" t="str">
        <f t="shared" si="10088"/>
        <v>0</v>
      </c>
      <c r="H5302" s="1" t="str">
        <f t="shared" si="10088"/>
        <v>0</v>
      </c>
      <c r="I5302" s="1" t="str">
        <f t="shared" si="10088"/>
        <v>0</v>
      </c>
      <c r="J5302" s="1" t="str">
        <f t="shared" si="10084"/>
        <v>3</v>
      </c>
      <c r="K5302" s="1" t="str">
        <f t="shared" ref="K5302:P5302" si="10089">"0"</f>
        <v>0</v>
      </c>
      <c r="L5302" s="1" t="str">
        <f t="shared" si="10089"/>
        <v>0</v>
      </c>
      <c r="M5302" s="1" t="str">
        <f t="shared" si="10089"/>
        <v>0</v>
      </c>
      <c r="N5302" s="1" t="str">
        <f t="shared" si="10089"/>
        <v>0</v>
      </c>
      <c r="O5302" s="1" t="str">
        <f t="shared" si="10089"/>
        <v>0</v>
      </c>
      <c r="P5302" s="1" t="str">
        <f t="shared" si="10089"/>
        <v>0</v>
      </c>
      <c r="Q5302" s="1" t="str">
        <f t="shared" si="9994"/>
        <v>0.0070</v>
      </c>
      <c r="R5302" s="1" t="s">
        <v>29</v>
      </c>
      <c r="S5302" s="1">
        <v>-0.0014</v>
      </c>
      <c r="T5302" s="1" t="str">
        <f t="shared" si="9995"/>
        <v>0</v>
      </c>
      <c r="U5302" s="1" t="str">
        <f>"0.0056"</f>
        <v>0.0056</v>
      </c>
    </row>
    <row r="5303" s="1" customFormat="1" spans="1:21">
      <c r="A5303" s="1" t="str">
        <f>"4601992177026"</f>
        <v>4601992177026</v>
      </c>
      <c r="B5303" s="1" t="s">
        <v>5326</v>
      </c>
      <c r="C5303" s="1" t="s">
        <v>24</v>
      </c>
      <c r="D5303" s="1" t="str">
        <f t="shared" si="9991"/>
        <v>2021</v>
      </c>
      <c r="E5303" s="1" t="str">
        <f t="shared" ref="E5303:I5303" si="10090">"0"</f>
        <v>0</v>
      </c>
      <c r="F5303" s="1" t="str">
        <f t="shared" si="10090"/>
        <v>0</v>
      </c>
      <c r="G5303" s="1" t="str">
        <f t="shared" si="10090"/>
        <v>0</v>
      </c>
      <c r="H5303" s="1" t="str">
        <f t="shared" si="10090"/>
        <v>0</v>
      </c>
      <c r="I5303" s="1" t="str">
        <f t="shared" si="10090"/>
        <v>0</v>
      </c>
      <c r="J5303" s="1" t="str">
        <f t="shared" si="10084"/>
        <v>3</v>
      </c>
      <c r="K5303" s="1" t="str">
        <f t="shared" ref="K5303:P5303" si="10091">"0"</f>
        <v>0</v>
      </c>
      <c r="L5303" s="1" t="str">
        <f t="shared" si="10091"/>
        <v>0</v>
      </c>
      <c r="M5303" s="1" t="str">
        <f t="shared" si="10091"/>
        <v>0</v>
      </c>
      <c r="N5303" s="1" t="str">
        <f t="shared" si="10091"/>
        <v>0</v>
      </c>
      <c r="O5303" s="1" t="str">
        <f t="shared" si="10091"/>
        <v>0</v>
      </c>
      <c r="P5303" s="1" t="str">
        <f t="shared" si="10091"/>
        <v>0</v>
      </c>
      <c r="Q5303" s="1" t="str">
        <f t="shared" si="9994"/>
        <v>0.0070</v>
      </c>
      <c r="R5303" s="1" t="s">
        <v>25</v>
      </c>
      <c r="T5303" s="1" t="str">
        <f t="shared" si="9995"/>
        <v>0</v>
      </c>
      <c r="U5303" s="1" t="str">
        <f t="shared" ref="U5303:U5306" si="10092">"0.0070"</f>
        <v>0.0070</v>
      </c>
    </row>
    <row r="5304" s="1" customFormat="1" spans="1:21">
      <c r="A5304" s="1" t="str">
        <f>"4601992177050"</f>
        <v>4601992177050</v>
      </c>
      <c r="B5304" s="1" t="s">
        <v>5327</v>
      </c>
      <c r="C5304" s="1" t="s">
        <v>24</v>
      </c>
      <c r="D5304" s="1" t="str">
        <f t="shared" si="9991"/>
        <v>2021</v>
      </c>
      <c r="E5304" s="1" t="str">
        <f t="shared" ref="E5304:I5304" si="10093">"0"</f>
        <v>0</v>
      </c>
      <c r="F5304" s="1" t="str">
        <f t="shared" si="10093"/>
        <v>0</v>
      </c>
      <c r="G5304" s="1" t="str">
        <f t="shared" si="10093"/>
        <v>0</v>
      </c>
      <c r="H5304" s="1" t="str">
        <f t="shared" si="10093"/>
        <v>0</v>
      </c>
      <c r="I5304" s="1" t="str">
        <f t="shared" si="10093"/>
        <v>0</v>
      </c>
      <c r="J5304" s="1" t="str">
        <f>"5"</f>
        <v>5</v>
      </c>
      <c r="K5304" s="1" t="str">
        <f t="shared" ref="K5304:P5304" si="10094">"0"</f>
        <v>0</v>
      </c>
      <c r="L5304" s="1" t="str">
        <f t="shared" si="10094"/>
        <v>0</v>
      </c>
      <c r="M5304" s="1" t="str">
        <f t="shared" si="10094"/>
        <v>0</v>
      </c>
      <c r="N5304" s="1" t="str">
        <f t="shared" si="10094"/>
        <v>0</v>
      </c>
      <c r="O5304" s="1" t="str">
        <f t="shared" si="10094"/>
        <v>0</v>
      </c>
      <c r="P5304" s="1" t="str">
        <f t="shared" si="10094"/>
        <v>0</v>
      </c>
      <c r="Q5304" s="1" t="str">
        <f t="shared" si="9994"/>
        <v>0.0070</v>
      </c>
      <c r="R5304" s="1" t="s">
        <v>25</v>
      </c>
      <c r="T5304" s="1" t="str">
        <f t="shared" si="9995"/>
        <v>0</v>
      </c>
      <c r="U5304" s="1" t="str">
        <f t="shared" si="10092"/>
        <v>0.0070</v>
      </c>
    </row>
    <row r="5305" s="1" customFormat="1" spans="1:21">
      <c r="A5305" s="1" t="str">
        <f>"4601992177057"</f>
        <v>4601992177057</v>
      </c>
      <c r="B5305" s="1" t="s">
        <v>5328</v>
      </c>
      <c r="C5305" s="1" t="s">
        <v>24</v>
      </c>
      <c r="D5305" s="1" t="str">
        <f t="shared" si="9991"/>
        <v>2021</v>
      </c>
      <c r="E5305" s="1" t="str">
        <f t="shared" ref="E5305:I5305" si="10095">"0"</f>
        <v>0</v>
      </c>
      <c r="F5305" s="1" t="str">
        <f t="shared" si="10095"/>
        <v>0</v>
      </c>
      <c r="G5305" s="1" t="str">
        <f t="shared" si="10095"/>
        <v>0</v>
      </c>
      <c r="H5305" s="1" t="str">
        <f t="shared" si="10095"/>
        <v>0</v>
      </c>
      <c r="I5305" s="1" t="str">
        <f t="shared" si="10095"/>
        <v>0</v>
      </c>
      <c r="J5305" s="1" t="str">
        <f>"2"</f>
        <v>2</v>
      </c>
      <c r="K5305" s="1" t="str">
        <f t="shared" ref="K5305:P5305" si="10096">"0"</f>
        <v>0</v>
      </c>
      <c r="L5305" s="1" t="str">
        <f t="shared" si="10096"/>
        <v>0</v>
      </c>
      <c r="M5305" s="1" t="str">
        <f t="shared" si="10096"/>
        <v>0</v>
      </c>
      <c r="N5305" s="1" t="str">
        <f t="shared" si="10096"/>
        <v>0</v>
      </c>
      <c r="O5305" s="1" t="str">
        <f t="shared" si="10096"/>
        <v>0</v>
      </c>
      <c r="P5305" s="1" t="str">
        <f t="shared" si="10096"/>
        <v>0</v>
      </c>
      <c r="Q5305" s="1" t="str">
        <f t="shared" si="9994"/>
        <v>0.0070</v>
      </c>
      <c r="R5305" s="1" t="s">
        <v>25</v>
      </c>
      <c r="T5305" s="1" t="str">
        <f t="shared" si="9995"/>
        <v>0</v>
      </c>
      <c r="U5305" s="1" t="str">
        <f t="shared" si="10092"/>
        <v>0.0070</v>
      </c>
    </row>
    <row r="5306" s="1" customFormat="1" spans="1:21">
      <c r="A5306" s="1" t="str">
        <f>"4601992177048"</f>
        <v>4601992177048</v>
      </c>
      <c r="B5306" s="1" t="s">
        <v>5329</v>
      </c>
      <c r="C5306" s="1" t="s">
        <v>24</v>
      </c>
      <c r="D5306" s="1" t="str">
        <f t="shared" si="9991"/>
        <v>2021</v>
      </c>
      <c r="E5306" s="1" t="str">
        <f t="shared" ref="E5306:I5306" si="10097">"0"</f>
        <v>0</v>
      </c>
      <c r="F5306" s="1" t="str">
        <f t="shared" si="10097"/>
        <v>0</v>
      </c>
      <c r="G5306" s="1" t="str">
        <f t="shared" si="10097"/>
        <v>0</v>
      </c>
      <c r="H5306" s="1" t="str">
        <f t="shared" si="10097"/>
        <v>0</v>
      </c>
      <c r="I5306" s="1" t="str">
        <f t="shared" si="10097"/>
        <v>0</v>
      </c>
      <c r="J5306" s="1" t="str">
        <f>"15"</f>
        <v>15</v>
      </c>
      <c r="K5306" s="1" t="str">
        <f t="shared" ref="K5306:P5306" si="10098">"0"</f>
        <v>0</v>
      </c>
      <c r="L5306" s="1" t="str">
        <f t="shared" si="10098"/>
        <v>0</v>
      </c>
      <c r="M5306" s="1" t="str">
        <f t="shared" si="10098"/>
        <v>0</v>
      </c>
      <c r="N5306" s="1" t="str">
        <f t="shared" si="10098"/>
        <v>0</v>
      </c>
      <c r="O5306" s="1" t="str">
        <f t="shared" si="10098"/>
        <v>0</v>
      </c>
      <c r="P5306" s="1" t="str">
        <f t="shared" si="10098"/>
        <v>0</v>
      </c>
      <c r="Q5306" s="1" t="str">
        <f t="shared" si="9994"/>
        <v>0.0070</v>
      </c>
      <c r="R5306" s="1" t="s">
        <v>25</v>
      </c>
      <c r="T5306" s="1" t="str">
        <f t="shared" si="9995"/>
        <v>0</v>
      </c>
      <c r="U5306" s="1" t="str">
        <f t="shared" si="10092"/>
        <v>0.0070</v>
      </c>
    </row>
    <row r="5307" s="1" customFormat="1" spans="1:21">
      <c r="A5307" s="1" t="str">
        <f>"4601992177068"</f>
        <v>4601992177068</v>
      </c>
      <c r="B5307" s="1" t="s">
        <v>5330</v>
      </c>
      <c r="C5307" s="1" t="s">
        <v>24</v>
      </c>
      <c r="D5307" s="1" t="str">
        <f t="shared" si="9991"/>
        <v>2021</v>
      </c>
      <c r="E5307" s="1" t="str">
        <f>"12.09"</f>
        <v>12.09</v>
      </c>
      <c r="F5307" s="1" t="str">
        <f t="shared" ref="F5307:I5307" si="10099">"0"</f>
        <v>0</v>
      </c>
      <c r="G5307" s="1" t="str">
        <f t="shared" si="10099"/>
        <v>0</v>
      </c>
      <c r="H5307" s="1" t="str">
        <f t="shared" si="10099"/>
        <v>0</v>
      </c>
      <c r="I5307" s="1" t="str">
        <f t="shared" si="10099"/>
        <v>0</v>
      </c>
      <c r="J5307" s="1" t="str">
        <f>"3"</f>
        <v>3</v>
      </c>
      <c r="K5307" s="1" t="str">
        <f t="shared" ref="K5307:P5307" si="10100">"0"</f>
        <v>0</v>
      </c>
      <c r="L5307" s="1" t="str">
        <f t="shared" si="10100"/>
        <v>0</v>
      </c>
      <c r="M5307" s="1" t="str">
        <f t="shared" si="10100"/>
        <v>0</v>
      </c>
      <c r="N5307" s="1" t="str">
        <f t="shared" si="10100"/>
        <v>0</v>
      </c>
      <c r="O5307" s="1" t="str">
        <f t="shared" si="10100"/>
        <v>0</v>
      </c>
      <c r="P5307" s="1" t="str">
        <f t="shared" si="10100"/>
        <v>0</v>
      </c>
      <c r="Q5307" s="1" t="str">
        <f t="shared" si="9994"/>
        <v>0.0070</v>
      </c>
      <c r="R5307" s="1" t="s">
        <v>29</v>
      </c>
      <c r="S5307" s="1">
        <v>-0.0014</v>
      </c>
      <c r="T5307" s="1" t="str">
        <f t="shared" si="9995"/>
        <v>0</v>
      </c>
      <c r="U5307" s="1" t="str">
        <f>"0.0056"</f>
        <v>0.0056</v>
      </c>
    </row>
    <row r="5308" s="1" customFormat="1" spans="1:21">
      <c r="A5308" s="1" t="str">
        <f>"4601992177072"</f>
        <v>4601992177072</v>
      </c>
      <c r="B5308" s="1" t="s">
        <v>5331</v>
      </c>
      <c r="C5308" s="1" t="s">
        <v>24</v>
      </c>
      <c r="D5308" s="1" t="str">
        <f t="shared" si="9991"/>
        <v>2021</v>
      </c>
      <c r="E5308" s="1" t="str">
        <f t="shared" ref="E5308:I5308" si="10101">"0"</f>
        <v>0</v>
      </c>
      <c r="F5308" s="1" t="str">
        <f t="shared" si="10101"/>
        <v>0</v>
      </c>
      <c r="G5308" s="1" t="str">
        <f t="shared" si="10101"/>
        <v>0</v>
      </c>
      <c r="H5308" s="1" t="str">
        <f t="shared" si="10101"/>
        <v>0</v>
      </c>
      <c r="I5308" s="1" t="str">
        <f t="shared" si="10101"/>
        <v>0</v>
      </c>
      <c r="J5308" s="1" t="str">
        <f>"1"</f>
        <v>1</v>
      </c>
      <c r="K5308" s="1" t="str">
        <f t="shared" ref="K5308:P5308" si="10102">"0"</f>
        <v>0</v>
      </c>
      <c r="L5308" s="1" t="str">
        <f t="shared" si="10102"/>
        <v>0</v>
      </c>
      <c r="M5308" s="1" t="str">
        <f t="shared" si="10102"/>
        <v>0</v>
      </c>
      <c r="N5308" s="1" t="str">
        <f t="shared" si="10102"/>
        <v>0</v>
      </c>
      <c r="O5308" s="1" t="str">
        <f t="shared" si="10102"/>
        <v>0</v>
      </c>
      <c r="P5308" s="1" t="str">
        <f t="shared" si="10102"/>
        <v>0</v>
      </c>
      <c r="Q5308" s="1" t="str">
        <f t="shared" si="9994"/>
        <v>0.0070</v>
      </c>
      <c r="R5308" s="1" t="s">
        <v>25</v>
      </c>
      <c r="T5308" s="1" t="str">
        <f t="shared" si="9995"/>
        <v>0</v>
      </c>
      <c r="U5308" s="1" t="str">
        <f t="shared" ref="U5308:U5314" si="10103">"0.0070"</f>
        <v>0.0070</v>
      </c>
    </row>
    <row r="5309" s="1" customFormat="1" spans="1:21">
      <c r="A5309" s="1" t="str">
        <f>"4601992177071"</f>
        <v>4601992177071</v>
      </c>
      <c r="B5309" s="1" t="s">
        <v>5332</v>
      </c>
      <c r="C5309" s="1" t="s">
        <v>24</v>
      </c>
      <c r="D5309" s="1" t="str">
        <f t="shared" si="9991"/>
        <v>2021</v>
      </c>
      <c r="E5309" s="1" t="str">
        <f t="shared" ref="E5309:I5309" si="10104">"0"</f>
        <v>0</v>
      </c>
      <c r="F5309" s="1" t="str">
        <f t="shared" si="10104"/>
        <v>0</v>
      </c>
      <c r="G5309" s="1" t="str">
        <f t="shared" si="10104"/>
        <v>0</v>
      </c>
      <c r="H5309" s="1" t="str">
        <f t="shared" si="10104"/>
        <v>0</v>
      </c>
      <c r="I5309" s="1" t="str">
        <f t="shared" si="10104"/>
        <v>0</v>
      </c>
      <c r="J5309" s="1" t="str">
        <f>"4"</f>
        <v>4</v>
      </c>
      <c r="K5309" s="1" t="str">
        <f t="shared" ref="K5309:P5309" si="10105">"0"</f>
        <v>0</v>
      </c>
      <c r="L5309" s="1" t="str">
        <f t="shared" si="10105"/>
        <v>0</v>
      </c>
      <c r="M5309" s="1" t="str">
        <f t="shared" si="10105"/>
        <v>0</v>
      </c>
      <c r="N5309" s="1" t="str">
        <f t="shared" si="10105"/>
        <v>0</v>
      </c>
      <c r="O5309" s="1" t="str">
        <f t="shared" si="10105"/>
        <v>0</v>
      </c>
      <c r="P5309" s="1" t="str">
        <f t="shared" si="10105"/>
        <v>0</v>
      </c>
      <c r="Q5309" s="1" t="str">
        <f t="shared" si="9994"/>
        <v>0.0070</v>
      </c>
      <c r="R5309" s="1" t="s">
        <v>25</v>
      </c>
      <c r="T5309" s="1" t="str">
        <f t="shared" si="9995"/>
        <v>0</v>
      </c>
      <c r="U5309" s="1" t="str">
        <f t="shared" si="10103"/>
        <v>0.0070</v>
      </c>
    </row>
    <row r="5310" s="1" customFormat="1" spans="1:21">
      <c r="A5310" s="1" t="str">
        <f>"4601992177075"</f>
        <v>4601992177075</v>
      </c>
      <c r="B5310" s="1" t="s">
        <v>5333</v>
      </c>
      <c r="C5310" s="1" t="s">
        <v>24</v>
      </c>
      <c r="D5310" s="1" t="str">
        <f t="shared" si="9991"/>
        <v>2021</v>
      </c>
      <c r="E5310" s="1" t="str">
        <f t="shared" ref="E5310:I5310" si="10106">"0"</f>
        <v>0</v>
      </c>
      <c r="F5310" s="1" t="str">
        <f t="shared" si="10106"/>
        <v>0</v>
      </c>
      <c r="G5310" s="1" t="str">
        <f t="shared" si="10106"/>
        <v>0</v>
      </c>
      <c r="H5310" s="1" t="str">
        <f t="shared" si="10106"/>
        <v>0</v>
      </c>
      <c r="I5310" s="1" t="str">
        <f t="shared" si="10106"/>
        <v>0</v>
      </c>
      <c r="J5310" s="1" t="str">
        <f>"2"</f>
        <v>2</v>
      </c>
      <c r="K5310" s="1" t="str">
        <f t="shared" ref="K5310:P5310" si="10107">"0"</f>
        <v>0</v>
      </c>
      <c r="L5310" s="1" t="str">
        <f t="shared" si="10107"/>
        <v>0</v>
      </c>
      <c r="M5310" s="1" t="str">
        <f t="shared" si="10107"/>
        <v>0</v>
      </c>
      <c r="N5310" s="1" t="str">
        <f t="shared" si="10107"/>
        <v>0</v>
      </c>
      <c r="O5310" s="1" t="str">
        <f t="shared" si="10107"/>
        <v>0</v>
      </c>
      <c r="P5310" s="1" t="str">
        <f t="shared" si="10107"/>
        <v>0</v>
      </c>
      <c r="Q5310" s="1" t="str">
        <f t="shared" si="9994"/>
        <v>0.0070</v>
      </c>
      <c r="R5310" s="1" t="s">
        <v>25</v>
      </c>
      <c r="T5310" s="1" t="str">
        <f t="shared" si="9995"/>
        <v>0</v>
      </c>
      <c r="U5310" s="1" t="str">
        <f t="shared" si="10103"/>
        <v>0.0070</v>
      </c>
    </row>
    <row r="5311" s="1" customFormat="1" spans="1:21">
      <c r="A5311" s="1" t="str">
        <f>"4601992177087"</f>
        <v>4601992177087</v>
      </c>
      <c r="B5311" s="1" t="s">
        <v>5334</v>
      </c>
      <c r="C5311" s="1" t="s">
        <v>24</v>
      </c>
      <c r="D5311" s="1" t="str">
        <f t="shared" si="9991"/>
        <v>2021</v>
      </c>
      <c r="E5311" s="1" t="str">
        <f t="shared" ref="E5311:I5311" si="10108">"0"</f>
        <v>0</v>
      </c>
      <c r="F5311" s="1" t="str">
        <f t="shared" si="10108"/>
        <v>0</v>
      </c>
      <c r="G5311" s="1" t="str">
        <f t="shared" si="10108"/>
        <v>0</v>
      </c>
      <c r="H5311" s="1" t="str">
        <f t="shared" si="10108"/>
        <v>0</v>
      </c>
      <c r="I5311" s="1" t="str">
        <f t="shared" si="10108"/>
        <v>0</v>
      </c>
      <c r="J5311" s="1" t="str">
        <f>"3"</f>
        <v>3</v>
      </c>
      <c r="K5311" s="1" t="str">
        <f t="shared" ref="K5311:P5311" si="10109">"0"</f>
        <v>0</v>
      </c>
      <c r="L5311" s="1" t="str">
        <f t="shared" si="10109"/>
        <v>0</v>
      </c>
      <c r="M5311" s="1" t="str">
        <f t="shared" si="10109"/>
        <v>0</v>
      </c>
      <c r="N5311" s="1" t="str">
        <f t="shared" si="10109"/>
        <v>0</v>
      </c>
      <c r="O5311" s="1" t="str">
        <f t="shared" si="10109"/>
        <v>0</v>
      </c>
      <c r="P5311" s="1" t="str">
        <f t="shared" si="10109"/>
        <v>0</v>
      </c>
      <c r="Q5311" s="1" t="str">
        <f t="shared" si="9994"/>
        <v>0.0070</v>
      </c>
      <c r="R5311" s="1" t="s">
        <v>25</v>
      </c>
      <c r="T5311" s="1" t="str">
        <f t="shared" si="9995"/>
        <v>0</v>
      </c>
      <c r="U5311" s="1" t="str">
        <f t="shared" si="10103"/>
        <v>0.0070</v>
      </c>
    </row>
    <row r="5312" s="1" customFormat="1" spans="1:21">
      <c r="A5312" s="1" t="str">
        <f>"4601992177090"</f>
        <v>4601992177090</v>
      </c>
      <c r="B5312" s="1" t="s">
        <v>5335</v>
      </c>
      <c r="C5312" s="1" t="s">
        <v>24</v>
      </c>
      <c r="D5312" s="1" t="str">
        <f t="shared" si="9991"/>
        <v>2021</v>
      </c>
      <c r="E5312" s="1" t="str">
        <f t="shared" ref="E5312:I5312" si="10110">"0"</f>
        <v>0</v>
      </c>
      <c r="F5312" s="1" t="str">
        <f t="shared" si="10110"/>
        <v>0</v>
      </c>
      <c r="G5312" s="1" t="str">
        <f t="shared" si="10110"/>
        <v>0</v>
      </c>
      <c r="H5312" s="1" t="str">
        <f t="shared" si="10110"/>
        <v>0</v>
      </c>
      <c r="I5312" s="1" t="str">
        <f t="shared" si="10110"/>
        <v>0</v>
      </c>
      <c r="J5312" s="1" t="str">
        <f>"2"</f>
        <v>2</v>
      </c>
      <c r="K5312" s="1" t="str">
        <f t="shared" ref="K5312:P5312" si="10111">"0"</f>
        <v>0</v>
      </c>
      <c r="L5312" s="1" t="str">
        <f t="shared" si="10111"/>
        <v>0</v>
      </c>
      <c r="M5312" s="1" t="str">
        <f t="shared" si="10111"/>
        <v>0</v>
      </c>
      <c r="N5312" s="1" t="str">
        <f t="shared" si="10111"/>
        <v>0</v>
      </c>
      <c r="O5312" s="1" t="str">
        <f t="shared" si="10111"/>
        <v>0</v>
      </c>
      <c r="P5312" s="1" t="str">
        <f t="shared" si="10111"/>
        <v>0</v>
      </c>
      <c r="Q5312" s="1" t="str">
        <f t="shared" si="9994"/>
        <v>0.0070</v>
      </c>
      <c r="R5312" s="1" t="s">
        <v>25</v>
      </c>
      <c r="T5312" s="1" t="str">
        <f t="shared" si="9995"/>
        <v>0</v>
      </c>
      <c r="U5312" s="1" t="str">
        <f t="shared" si="10103"/>
        <v>0.0070</v>
      </c>
    </row>
    <row r="5313" s="1" customFormat="1" spans="1:21">
      <c r="A5313" s="1" t="str">
        <f>"4601992177099"</f>
        <v>4601992177099</v>
      </c>
      <c r="B5313" s="1" t="s">
        <v>5336</v>
      </c>
      <c r="C5313" s="1" t="s">
        <v>24</v>
      </c>
      <c r="D5313" s="1" t="str">
        <f t="shared" si="9991"/>
        <v>2021</v>
      </c>
      <c r="E5313" s="1" t="str">
        <f t="shared" ref="E5313:I5313" si="10112">"0"</f>
        <v>0</v>
      </c>
      <c r="F5313" s="1" t="str">
        <f t="shared" si="10112"/>
        <v>0</v>
      </c>
      <c r="G5313" s="1" t="str">
        <f t="shared" si="10112"/>
        <v>0</v>
      </c>
      <c r="H5313" s="1" t="str">
        <f t="shared" si="10112"/>
        <v>0</v>
      </c>
      <c r="I5313" s="1" t="str">
        <f t="shared" si="10112"/>
        <v>0</v>
      </c>
      <c r="J5313" s="1" t="str">
        <f>"6"</f>
        <v>6</v>
      </c>
      <c r="K5313" s="1" t="str">
        <f t="shared" ref="K5313:P5313" si="10113">"0"</f>
        <v>0</v>
      </c>
      <c r="L5313" s="1" t="str">
        <f t="shared" si="10113"/>
        <v>0</v>
      </c>
      <c r="M5313" s="1" t="str">
        <f t="shared" si="10113"/>
        <v>0</v>
      </c>
      <c r="N5313" s="1" t="str">
        <f t="shared" si="10113"/>
        <v>0</v>
      </c>
      <c r="O5313" s="1" t="str">
        <f t="shared" si="10113"/>
        <v>0</v>
      </c>
      <c r="P5313" s="1" t="str">
        <f t="shared" si="10113"/>
        <v>0</v>
      </c>
      <c r="Q5313" s="1" t="str">
        <f t="shared" si="9994"/>
        <v>0.0070</v>
      </c>
      <c r="R5313" s="1" t="s">
        <v>25</v>
      </c>
      <c r="T5313" s="1" t="str">
        <f t="shared" si="9995"/>
        <v>0</v>
      </c>
      <c r="U5313" s="1" t="str">
        <f t="shared" si="10103"/>
        <v>0.0070</v>
      </c>
    </row>
    <row r="5314" s="1" customFormat="1" spans="1:21">
      <c r="A5314" s="1" t="str">
        <f>"4601992177101"</f>
        <v>4601992177101</v>
      </c>
      <c r="B5314" s="1" t="s">
        <v>5337</v>
      </c>
      <c r="C5314" s="1" t="s">
        <v>24</v>
      </c>
      <c r="D5314" s="1" t="str">
        <f t="shared" si="9991"/>
        <v>2021</v>
      </c>
      <c r="E5314" s="1" t="str">
        <f>"0.17"</f>
        <v>0.17</v>
      </c>
      <c r="F5314" s="1" t="str">
        <f t="shared" ref="F5314:I5314" si="10114">"0"</f>
        <v>0</v>
      </c>
      <c r="G5314" s="1" t="str">
        <f t="shared" si="10114"/>
        <v>0</v>
      </c>
      <c r="H5314" s="1" t="str">
        <f t="shared" si="10114"/>
        <v>0</v>
      </c>
      <c r="I5314" s="1" t="str">
        <f t="shared" si="10114"/>
        <v>0</v>
      </c>
      <c r="J5314" s="1" t="str">
        <f>"8"</f>
        <v>8</v>
      </c>
      <c r="K5314" s="1" t="str">
        <f t="shared" ref="K5314:P5314" si="10115">"0"</f>
        <v>0</v>
      </c>
      <c r="L5314" s="1" t="str">
        <f t="shared" si="10115"/>
        <v>0</v>
      </c>
      <c r="M5314" s="1" t="str">
        <f t="shared" si="10115"/>
        <v>0</v>
      </c>
      <c r="N5314" s="1" t="str">
        <f t="shared" si="10115"/>
        <v>0</v>
      </c>
      <c r="O5314" s="1" t="str">
        <f t="shared" si="10115"/>
        <v>0</v>
      </c>
      <c r="P5314" s="1" t="str">
        <f t="shared" si="10115"/>
        <v>0</v>
      </c>
      <c r="Q5314" s="1" t="str">
        <f t="shared" si="9994"/>
        <v>0.0070</v>
      </c>
      <c r="R5314" s="1" t="s">
        <v>25</v>
      </c>
      <c r="T5314" s="1" t="str">
        <f t="shared" si="9995"/>
        <v>0</v>
      </c>
      <c r="U5314" s="1" t="str">
        <f t="shared" si="10103"/>
        <v>0.0070</v>
      </c>
    </row>
    <row r="5315" s="1" customFormat="1" spans="1:21">
      <c r="A5315" s="1" t="str">
        <f>"4601992026611"</f>
        <v>4601992026611</v>
      </c>
      <c r="B5315" s="1" t="s">
        <v>5338</v>
      </c>
      <c r="C5315" s="1" t="s">
        <v>24</v>
      </c>
      <c r="D5315" s="1" t="str">
        <f t="shared" ref="D5315:D5378" si="10116">"2021"</f>
        <v>2021</v>
      </c>
      <c r="E5315" s="1" t="str">
        <f>"72.10"</f>
        <v>72.10</v>
      </c>
      <c r="F5315" s="1" t="str">
        <f t="shared" ref="F5315:I5315" si="10117">"0"</f>
        <v>0</v>
      </c>
      <c r="G5315" s="1" t="str">
        <f t="shared" si="10117"/>
        <v>0</v>
      </c>
      <c r="H5315" s="1" t="str">
        <f t="shared" si="10117"/>
        <v>0</v>
      </c>
      <c r="I5315" s="1" t="str">
        <f t="shared" si="10117"/>
        <v>0</v>
      </c>
      <c r="J5315" s="1" t="str">
        <f>"8"</f>
        <v>8</v>
      </c>
      <c r="K5315" s="1" t="str">
        <f t="shared" ref="K5315:P5315" si="10118">"0"</f>
        <v>0</v>
      </c>
      <c r="L5315" s="1" t="str">
        <f t="shared" si="10118"/>
        <v>0</v>
      </c>
      <c r="M5315" s="1" t="str">
        <f t="shared" si="10118"/>
        <v>0</v>
      </c>
      <c r="N5315" s="1" t="str">
        <f t="shared" si="10118"/>
        <v>0</v>
      </c>
      <c r="O5315" s="1" t="str">
        <f t="shared" si="10118"/>
        <v>0</v>
      </c>
      <c r="P5315" s="1" t="str">
        <f t="shared" si="10118"/>
        <v>0</v>
      </c>
      <c r="Q5315" s="1" t="str">
        <f t="shared" ref="Q5315:Q5378" si="10119">"0.0070"</f>
        <v>0.0070</v>
      </c>
      <c r="R5315" s="1" t="s">
        <v>29</v>
      </c>
      <c r="S5315" s="1">
        <v>-0.0014</v>
      </c>
      <c r="T5315" s="1" t="str">
        <f t="shared" ref="T5315:T5378" si="10120">"0"</f>
        <v>0</v>
      </c>
      <c r="U5315" s="1" t="str">
        <f t="shared" ref="U5315:U5318" si="10121">"0.0056"</f>
        <v>0.0056</v>
      </c>
    </row>
    <row r="5316" s="1" customFormat="1" spans="1:21">
      <c r="A5316" s="1" t="str">
        <f>"4601992177140"</f>
        <v>4601992177140</v>
      </c>
      <c r="B5316" s="1" t="s">
        <v>5339</v>
      </c>
      <c r="C5316" s="1" t="s">
        <v>24</v>
      </c>
      <c r="D5316" s="1" t="str">
        <f t="shared" si="10116"/>
        <v>2021</v>
      </c>
      <c r="E5316" s="1" t="str">
        <f t="shared" ref="E5316:I5316" si="10122">"0"</f>
        <v>0</v>
      </c>
      <c r="F5316" s="1" t="str">
        <f t="shared" si="10122"/>
        <v>0</v>
      </c>
      <c r="G5316" s="1" t="str">
        <f t="shared" si="10122"/>
        <v>0</v>
      </c>
      <c r="H5316" s="1" t="str">
        <f t="shared" si="10122"/>
        <v>0</v>
      </c>
      <c r="I5316" s="1" t="str">
        <f t="shared" si="10122"/>
        <v>0</v>
      </c>
      <c r="J5316" s="1" t="str">
        <f>"1"</f>
        <v>1</v>
      </c>
      <c r="K5316" s="1" t="str">
        <f t="shared" ref="K5316:P5316" si="10123">"0"</f>
        <v>0</v>
      </c>
      <c r="L5316" s="1" t="str">
        <f t="shared" si="10123"/>
        <v>0</v>
      </c>
      <c r="M5316" s="1" t="str">
        <f t="shared" si="10123"/>
        <v>0</v>
      </c>
      <c r="N5316" s="1" t="str">
        <f t="shared" si="10123"/>
        <v>0</v>
      </c>
      <c r="O5316" s="1" t="str">
        <f t="shared" si="10123"/>
        <v>0</v>
      </c>
      <c r="P5316" s="1" t="str">
        <f t="shared" si="10123"/>
        <v>0</v>
      </c>
      <c r="Q5316" s="1" t="str">
        <f t="shared" si="10119"/>
        <v>0.0070</v>
      </c>
      <c r="R5316" s="1" t="s">
        <v>25</v>
      </c>
      <c r="T5316" s="1" t="str">
        <f t="shared" si="10120"/>
        <v>0</v>
      </c>
      <c r="U5316" s="1" t="str">
        <f t="shared" ref="U5316:U5323" si="10124">"0.0070"</f>
        <v>0.0070</v>
      </c>
    </row>
    <row r="5317" s="1" customFormat="1" spans="1:21">
      <c r="A5317" s="1" t="str">
        <f>"4601992177165"</f>
        <v>4601992177165</v>
      </c>
      <c r="B5317" s="1" t="s">
        <v>5340</v>
      </c>
      <c r="C5317" s="1" t="s">
        <v>24</v>
      </c>
      <c r="D5317" s="1" t="str">
        <f t="shared" si="10116"/>
        <v>2021</v>
      </c>
      <c r="E5317" s="1" t="str">
        <f>"12.09"</f>
        <v>12.09</v>
      </c>
      <c r="F5317" s="1" t="str">
        <f t="shared" ref="F5317:I5317" si="10125">"0"</f>
        <v>0</v>
      </c>
      <c r="G5317" s="1" t="str">
        <f t="shared" si="10125"/>
        <v>0</v>
      </c>
      <c r="H5317" s="1" t="str">
        <f t="shared" si="10125"/>
        <v>0</v>
      </c>
      <c r="I5317" s="1" t="str">
        <f t="shared" si="10125"/>
        <v>0</v>
      </c>
      <c r="J5317" s="1" t="str">
        <f>"1"</f>
        <v>1</v>
      </c>
      <c r="K5317" s="1" t="str">
        <f t="shared" ref="K5317:P5317" si="10126">"0"</f>
        <v>0</v>
      </c>
      <c r="L5317" s="1" t="str">
        <f t="shared" si="10126"/>
        <v>0</v>
      </c>
      <c r="M5317" s="1" t="str">
        <f t="shared" si="10126"/>
        <v>0</v>
      </c>
      <c r="N5317" s="1" t="str">
        <f t="shared" si="10126"/>
        <v>0</v>
      </c>
      <c r="O5317" s="1" t="str">
        <f t="shared" si="10126"/>
        <v>0</v>
      </c>
      <c r="P5317" s="1" t="str">
        <f t="shared" si="10126"/>
        <v>0</v>
      </c>
      <c r="Q5317" s="1" t="str">
        <f t="shared" si="10119"/>
        <v>0.0070</v>
      </c>
      <c r="R5317" s="1" t="s">
        <v>29</v>
      </c>
      <c r="S5317" s="1">
        <v>-0.0014</v>
      </c>
      <c r="T5317" s="1" t="str">
        <f t="shared" si="10120"/>
        <v>0</v>
      </c>
      <c r="U5317" s="1" t="str">
        <f t="shared" si="10121"/>
        <v>0.0056</v>
      </c>
    </row>
    <row r="5318" s="1" customFormat="1" spans="1:21">
      <c r="A5318" s="1" t="str">
        <f>"4601992177112"</f>
        <v>4601992177112</v>
      </c>
      <c r="B5318" s="1" t="s">
        <v>5341</v>
      </c>
      <c r="C5318" s="1" t="s">
        <v>24</v>
      </c>
      <c r="D5318" s="1" t="str">
        <f t="shared" si="10116"/>
        <v>2021</v>
      </c>
      <c r="E5318" s="1" t="str">
        <f>"23.96"</f>
        <v>23.96</v>
      </c>
      <c r="F5318" s="1" t="str">
        <f t="shared" ref="F5318:I5318" si="10127">"0"</f>
        <v>0</v>
      </c>
      <c r="G5318" s="1" t="str">
        <f t="shared" si="10127"/>
        <v>0</v>
      </c>
      <c r="H5318" s="1" t="str">
        <f t="shared" si="10127"/>
        <v>0</v>
      </c>
      <c r="I5318" s="1" t="str">
        <f t="shared" si="10127"/>
        <v>0</v>
      </c>
      <c r="J5318" s="1" t="str">
        <f t="shared" ref="J5318:J5320" si="10128">"2"</f>
        <v>2</v>
      </c>
      <c r="K5318" s="1" t="str">
        <f t="shared" ref="K5318:P5318" si="10129">"0"</f>
        <v>0</v>
      </c>
      <c r="L5318" s="1" t="str">
        <f t="shared" si="10129"/>
        <v>0</v>
      </c>
      <c r="M5318" s="1" t="str">
        <f t="shared" si="10129"/>
        <v>0</v>
      </c>
      <c r="N5318" s="1" t="str">
        <f t="shared" si="10129"/>
        <v>0</v>
      </c>
      <c r="O5318" s="1" t="str">
        <f t="shared" si="10129"/>
        <v>0</v>
      </c>
      <c r="P5318" s="1" t="str">
        <f t="shared" si="10129"/>
        <v>0</v>
      </c>
      <c r="Q5318" s="1" t="str">
        <f t="shared" si="10119"/>
        <v>0.0070</v>
      </c>
      <c r="R5318" s="1" t="s">
        <v>29</v>
      </c>
      <c r="S5318" s="1">
        <v>-0.0014</v>
      </c>
      <c r="T5318" s="1" t="str">
        <f t="shared" si="10120"/>
        <v>0</v>
      </c>
      <c r="U5318" s="1" t="str">
        <f t="shared" si="10121"/>
        <v>0.0056</v>
      </c>
    </row>
    <row r="5319" s="1" customFormat="1" spans="1:21">
      <c r="A5319" s="1" t="str">
        <f>"4601992177195"</f>
        <v>4601992177195</v>
      </c>
      <c r="B5319" s="1" t="s">
        <v>5342</v>
      </c>
      <c r="C5319" s="1" t="s">
        <v>24</v>
      </c>
      <c r="D5319" s="1" t="str">
        <f t="shared" si="10116"/>
        <v>2021</v>
      </c>
      <c r="E5319" s="1" t="str">
        <f t="shared" ref="E5319:I5319" si="10130">"0"</f>
        <v>0</v>
      </c>
      <c r="F5319" s="1" t="str">
        <f t="shared" si="10130"/>
        <v>0</v>
      </c>
      <c r="G5319" s="1" t="str">
        <f t="shared" si="10130"/>
        <v>0</v>
      </c>
      <c r="H5319" s="1" t="str">
        <f t="shared" si="10130"/>
        <v>0</v>
      </c>
      <c r="I5319" s="1" t="str">
        <f t="shared" si="10130"/>
        <v>0</v>
      </c>
      <c r="J5319" s="1" t="str">
        <f t="shared" si="10128"/>
        <v>2</v>
      </c>
      <c r="K5319" s="1" t="str">
        <f t="shared" ref="K5319:P5319" si="10131">"0"</f>
        <v>0</v>
      </c>
      <c r="L5319" s="1" t="str">
        <f t="shared" si="10131"/>
        <v>0</v>
      </c>
      <c r="M5319" s="1" t="str">
        <f t="shared" si="10131"/>
        <v>0</v>
      </c>
      <c r="N5319" s="1" t="str">
        <f t="shared" si="10131"/>
        <v>0</v>
      </c>
      <c r="O5319" s="1" t="str">
        <f t="shared" si="10131"/>
        <v>0</v>
      </c>
      <c r="P5319" s="1" t="str">
        <f t="shared" si="10131"/>
        <v>0</v>
      </c>
      <c r="Q5319" s="1" t="str">
        <f t="shared" si="10119"/>
        <v>0.0070</v>
      </c>
      <c r="R5319" s="1" t="s">
        <v>25</v>
      </c>
      <c r="T5319" s="1" t="str">
        <f t="shared" si="10120"/>
        <v>0</v>
      </c>
      <c r="U5319" s="1" t="str">
        <f t="shared" si="10124"/>
        <v>0.0070</v>
      </c>
    </row>
    <row r="5320" s="1" customFormat="1" spans="1:21">
      <c r="A5320" s="1" t="str">
        <f>"4601992177198"</f>
        <v>4601992177198</v>
      </c>
      <c r="B5320" s="1" t="s">
        <v>5343</v>
      </c>
      <c r="C5320" s="1" t="s">
        <v>24</v>
      </c>
      <c r="D5320" s="1" t="str">
        <f t="shared" si="10116"/>
        <v>2021</v>
      </c>
      <c r="E5320" s="1" t="str">
        <f t="shared" ref="E5320:I5320" si="10132">"0"</f>
        <v>0</v>
      </c>
      <c r="F5320" s="1" t="str">
        <f t="shared" si="10132"/>
        <v>0</v>
      </c>
      <c r="G5320" s="1" t="str">
        <f t="shared" si="10132"/>
        <v>0</v>
      </c>
      <c r="H5320" s="1" t="str">
        <f t="shared" si="10132"/>
        <v>0</v>
      </c>
      <c r="I5320" s="1" t="str">
        <f t="shared" si="10132"/>
        <v>0</v>
      </c>
      <c r="J5320" s="1" t="str">
        <f t="shared" si="10128"/>
        <v>2</v>
      </c>
      <c r="K5320" s="1" t="str">
        <f t="shared" ref="K5320:P5320" si="10133">"0"</f>
        <v>0</v>
      </c>
      <c r="L5320" s="1" t="str">
        <f t="shared" si="10133"/>
        <v>0</v>
      </c>
      <c r="M5320" s="1" t="str">
        <f t="shared" si="10133"/>
        <v>0</v>
      </c>
      <c r="N5320" s="1" t="str">
        <f t="shared" si="10133"/>
        <v>0</v>
      </c>
      <c r="O5320" s="1" t="str">
        <f t="shared" si="10133"/>
        <v>0</v>
      </c>
      <c r="P5320" s="1" t="str">
        <f t="shared" si="10133"/>
        <v>0</v>
      </c>
      <c r="Q5320" s="1" t="str">
        <f t="shared" si="10119"/>
        <v>0.0070</v>
      </c>
      <c r="R5320" s="1" t="s">
        <v>25</v>
      </c>
      <c r="T5320" s="1" t="str">
        <f t="shared" si="10120"/>
        <v>0</v>
      </c>
      <c r="U5320" s="1" t="str">
        <f t="shared" si="10124"/>
        <v>0.0070</v>
      </c>
    </row>
    <row r="5321" s="1" customFormat="1" spans="1:21">
      <c r="A5321" s="1" t="str">
        <f>"4601992177222"</f>
        <v>4601992177222</v>
      </c>
      <c r="B5321" s="1" t="s">
        <v>5344</v>
      </c>
      <c r="C5321" s="1" t="s">
        <v>24</v>
      </c>
      <c r="D5321" s="1" t="str">
        <f t="shared" si="10116"/>
        <v>2021</v>
      </c>
      <c r="E5321" s="1" t="str">
        <f t="shared" ref="E5321:I5321" si="10134">"0"</f>
        <v>0</v>
      </c>
      <c r="F5321" s="1" t="str">
        <f t="shared" si="10134"/>
        <v>0</v>
      </c>
      <c r="G5321" s="1" t="str">
        <f t="shared" si="10134"/>
        <v>0</v>
      </c>
      <c r="H5321" s="1" t="str">
        <f t="shared" si="10134"/>
        <v>0</v>
      </c>
      <c r="I5321" s="1" t="str">
        <f t="shared" si="10134"/>
        <v>0</v>
      </c>
      <c r="J5321" s="1" t="str">
        <f>"5"</f>
        <v>5</v>
      </c>
      <c r="K5321" s="1" t="str">
        <f t="shared" ref="K5321:P5321" si="10135">"0"</f>
        <v>0</v>
      </c>
      <c r="L5321" s="1" t="str">
        <f t="shared" si="10135"/>
        <v>0</v>
      </c>
      <c r="M5321" s="1" t="str">
        <f t="shared" si="10135"/>
        <v>0</v>
      </c>
      <c r="N5321" s="1" t="str">
        <f t="shared" si="10135"/>
        <v>0</v>
      </c>
      <c r="O5321" s="1" t="str">
        <f t="shared" si="10135"/>
        <v>0</v>
      </c>
      <c r="P5321" s="1" t="str">
        <f t="shared" si="10135"/>
        <v>0</v>
      </c>
      <c r="Q5321" s="1" t="str">
        <f t="shared" si="10119"/>
        <v>0.0070</v>
      </c>
      <c r="R5321" s="1" t="s">
        <v>25</v>
      </c>
      <c r="T5321" s="1" t="str">
        <f t="shared" si="10120"/>
        <v>0</v>
      </c>
      <c r="U5321" s="1" t="str">
        <f t="shared" si="10124"/>
        <v>0.0070</v>
      </c>
    </row>
    <row r="5322" s="1" customFormat="1" spans="1:21">
      <c r="A5322" s="1" t="str">
        <f>"4601992177221"</f>
        <v>4601992177221</v>
      </c>
      <c r="B5322" s="1" t="s">
        <v>5345</v>
      </c>
      <c r="C5322" s="1" t="s">
        <v>24</v>
      </c>
      <c r="D5322" s="1" t="str">
        <f t="shared" si="10116"/>
        <v>2021</v>
      </c>
      <c r="E5322" s="1" t="str">
        <f t="shared" ref="E5322:I5322" si="10136">"0"</f>
        <v>0</v>
      </c>
      <c r="F5322" s="1" t="str">
        <f t="shared" si="10136"/>
        <v>0</v>
      </c>
      <c r="G5322" s="1" t="str">
        <f t="shared" si="10136"/>
        <v>0</v>
      </c>
      <c r="H5322" s="1" t="str">
        <f t="shared" si="10136"/>
        <v>0</v>
      </c>
      <c r="I5322" s="1" t="str">
        <f t="shared" si="10136"/>
        <v>0</v>
      </c>
      <c r="J5322" s="1" t="str">
        <f>"1"</f>
        <v>1</v>
      </c>
      <c r="K5322" s="1" t="str">
        <f t="shared" ref="K5322:P5322" si="10137">"0"</f>
        <v>0</v>
      </c>
      <c r="L5322" s="1" t="str">
        <f t="shared" si="10137"/>
        <v>0</v>
      </c>
      <c r="M5322" s="1" t="str">
        <f t="shared" si="10137"/>
        <v>0</v>
      </c>
      <c r="N5322" s="1" t="str">
        <f t="shared" si="10137"/>
        <v>0</v>
      </c>
      <c r="O5322" s="1" t="str">
        <f t="shared" si="10137"/>
        <v>0</v>
      </c>
      <c r="P5322" s="1" t="str">
        <f t="shared" si="10137"/>
        <v>0</v>
      </c>
      <c r="Q5322" s="1" t="str">
        <f t="shared" si="10119"/>
        <v>0.0070</v>
      </c>
      <c r="R5322" s="1" t="s">
        <v>25</v>
      </c>
      <c r="T5322" s="1" t="str">
        <f t="shared" si="10120"/>
        <v>0</v>
      </c>
      <c r="U5322" s="1" t="str">
        <f t="shared" si="10124"/>
        <v>0.0070</v>
      </c>
    </row>
    <row r="5323" s="1" customFormat="1" spans="1:21">
      <c r="A5323" s="1" t="str">
        <f>"4601992177225"</f>
        <v>4601992177225</v>
      </c>
      <c r="B5323" s="1" t="s">
        <v>5346</v>
      </c>
      <c r="C5323" s="1" t="s">
        <v>24</v>
      </c>
      <c r="D5323" s="1" t="str">
        <f t="shared" si="10116"/>
        <v>2021</v>
      </c>
      <c r="E5323" s="1" t="str">
        <f t="shared" ref="E5323:I5323" si="10138">"0"</f>
        <v>0</v>
      </c>
      <c r="F5323" s="1" t="str">
        <f t="shared" si="10138"/>
        <v>0</v>
      </c>
      <c r="G5323" s="1" t="str">
        <f t="shared" si="10138"/>
        <v>0</v>
      </c>
      <c r="H5323" s="1" t="str">
        <f t="shared" si="10138"/>
        <v>0</v>
      </c>
      <c r="I5323" s="1" t="str">
        <f t="shared" si="10138"/>
        <v>0</v>
      </c>
      <c r="J5323" s="1" t="str">
        <f t="shared" ref="J5323:J5326" si="10139">"4"</f>
        <v>4</v>
      </c>
      <c r="K5323" s="1" t="str">
        <f t="shared" ref="K5323:P5323" si="10140">"0"</f>
        <v>0</v>
      </c>
      <c r="L5323" s="1" t="str">
        <f t="shared" si="10140"/>
        <v>0</v>
      </c>
      <c r="M5323" s="1" t="str">
        <f t="shared" si="10140"/>
        <v>0</v>
      </c>
      <c r="N5323" s="1" t="str">
        <f t="shared" si="10140"/>
        <v>0</v>
      </c>
      <c r="O5323" s="1" t="str">
        <f t="shared" si="10140"/>
        <v>0</v>
      </c>
      <c r="P5323" s="1" t="str">
        <f t="shared" si="10140"/>
        <v>0</v>
      </c>
      <c r="Q5323" s="1" t="str">
        <f t="shared" si="10119"/>
        <v>0.0070</v>
      </c>
      <c r="R5323" s="1" t="s">
        <v>25</v>
      </c>
      <c r="T5323" s="1" t="str">
        <f t="shared" si="10120"/>
        <v>0</v>
      </c>
      <c r="U5323" s="1" t="str">
        <f t="shared" si="10124"/>
        <v>0.0070</v>
      </c>
    </row>
    <row r="5324" s="1" customFormat="1" spans="1:21">
      <c r="A5324" s="1" t="str">
        <f>"4601991413477"</f>
        <v>4601991413477</v>
      </c>
      <c r="B5324" s="1" t="s">
        <v>5347</v>
      </c>
      <c r="C5324" s="1" t="s">
        <v>24</v>
      </c>
      <c r="D5324" s="1" t="str">
        <f t="shared" si="10116"/>
        <v>2021</v>
      </c>
      <c r="E5324" s="1" t="str">
        <f>"28.74"</f>
        <v>28.74</v>
      </c>
      <c r="F5324" s="1" t="str">
        <f t="shared" ref="F5324:I5324" si="10141">"0"</f>
        <v>0</v>
      </c>
      <c r="G5324" s="1" t="str">
        <f t="shared" si="10141"/>
        <v>0</v>
      </c>
      <c r="H5324" s="1" t="str">
        <f t="shared" si="10141"/>
        <v>0</v>
      </c>
      <c r="I5324" s="1" t="str">
        <f t="shared" si="10141"/>
        <v>0</v>
      </c>
      <c r="J5324" s="1" t="str">
        <f t="shared" si="10139"/>
        <v>4</v>
      </c>
      <c r="K5324" s="1" t="str">
        <f t="shared" ref="K5324:P5324" si="10142">"0"</f>
        <v>0</v>
      </c>
      <c r="L5324" s="1" t="str">
        <f t="shared" si="10142"/>
        <v>0</v>
      </c>
      <c r="M5324" s="1" t="str">
        <f t="shared" si="10142"/>
        <v>0</v>
      </c>
      <c r="N5324" s="1" t="str">
        <f t="shared" si="10142"/>
        <v>0</v>
      </c>
      <c r="O5324" s="1" t="str">
        <f t="shared" si="10142"/>
        <v>0</v>
      </c>
      <c r="P5324" s="1" t="str">
        <f t="shared" si="10142"/>
        <v>0</v>
      </c>
      <c r="Q5324" s="1" t="str">
        <f t="shared" si="10119"/>
        <v>0.0070</v>
      </c>
      <c r="R5324" s="1" t="s">
        <v>29</v>
      </c>
      <c r="S5324" s="1">
        <v>-0.0014</v>
      </c>
      <c r="T5324" s="1" t="str">
        <f t="shared" si="10120"/>
        <v>0</v>
      </c>
      <c r="U5324" s="1" t="str">
        <f>"0.0056"</f>
        <v>0.0056</v>
      </c>
    </row>
    <row r="5325" s="1" customFormat="1" spans="1:21">
      <c r="A5325" s="1" t="str">
        <f>"4601992177228"</f>
        <v>4601992177228</v>
      </c>
      <c r="B5325" s="1" t="s">
        <v>5348</v>
      </c>
      <c r="C5325" s="1" t="s">
        <v>24</v>
      </c>
      <c r="D5325" s="1" t="str">
        <f t="shared" si="10116"/>
        <v>2021</v>
      </c>
      <c r="E5325" s="1" t="str">
        <f t="shared" ref="E5325:I5325" si="10143">"0"</f>
        <v>0</v>
      </c>
      <c r="F5325" s="1" t="str">
        <f t="shared" si="10143"/>
        <v>0</v>
      </c>
      <c r="G5325" s="1" t="str">
        <f t="shared" si="10143"/>
        <v>0</v>
      </c>
      <c r="H5325" s="1" t="str">
        <f t="shared" si="10143"/>
        <v>0</v>
      </c>
      <c r="I5325" s="1" t="str">
        <f t="shared" si="10143"/>
        <v>0</v>
      </c>
      <c r="J5325" s="1" t="str">
        <f>"1"</f>
        <v>1</v>
      </c>
      <c r="K5325" s="1" t="str">
        <f t="shared" ref="K5325:P5325" si="10144">"0"</f>
        <v>0</v>
      </c>
      <c r="L5325" s="1" t="str">
        <f t="shared" si="10144"/>
        <v>0</v>
      </c>
      <c r="M5325" s="1" t="str">
        <f t="shared" si="10144"/>
        <v>0</v>
      </c>
      <c r="N5325" s="1" t="str">
        <f t="shared" si="10144"/>
        <v>0</v>
      </c>
      <c r="O5325" s="1" t="str">
        <f t="shared" si="10144"/>
        <v>0</v>
      </c>
      <c r="P5325" s="1" t="str">
        <f t="shared" si="10144"/>
        <v>0</v>
      </c>
      <c r="Q5325" s="1" t="str">
        <f t="shared" si="10119"/>
        <v>0.0070</v>
      </c>
      <c r="R5325" s="1" t="s">
        <v>25</v>
      </c>
      <c r="T5325" s="1" t="str">
        <f t="shared" si="10120"/>
        <v>0</v>
      </c>
      <c r="U5325" s="1" t="str">
        <f t="shared" ref="U5325:U5330" si="10145">"0.0070"</f>
        <v>0.0070</v>
      </c>
    </row>
    <row r="5326" s="1" customFormat="1" spans="1:21">
      <c r="A5326" s="1" t="str">
        <f>"4601992177242"</f>
        <v>4601992177242</v>
      </c>
      <c r="B5326" s="1" t="s">
        <v>5349</v>
      </c>
      <c r="C5326" s="1" t="s">
        <v>24</v>
      </c>
      <c r="D5326" s="1" t="str">
        <f t="shared" si="10116"/>
        <v>2021</v>
      </c>
      <c r="E5326" s="1" t="str">
        <f t="shared" ref="E5326:I5326" si="10146">"0"</f>
        <v>0</v>
      </c>
      <c r="F5326" s="1" t="str">
        <f t="shared" si="10146"/>
        <v>0</v>
      </c>
      <c r="G5326" s="1" t="str">
        <f t="shared" si="10146"/>
        <v>0</v>
      </c>
      <c r="H5326" s="1" t="str">
        <f t="shared" si="10146"/>
        <v>0</v>
      </c>
      <c r="I5326" s="1" t="str">
        <f t="shared" si="10146"/>
        <v>0</v>
      </c>
      <c r="J5326" s="1" t="str">
        <f t="shared" si="10139"/>
        <v>4</v>
      </c>
      <c r="K5326" s="1" t="str">
        <f t="shared" ref="K5326:P5326" si="10147">"0"</f>
        <v>0</v>
      </c>
      <c r="L5326" s="1" t="str">
        <f t="shared" si="10147"/>
        <v>0</v>
      </c>
      <c r="M5326" s="1" t="str">
        <f t="shared" si="10147"/>
        <v>0</v>
      </c>
      <c r="N5326" s="1" t="str">
        <f t="shared" si="10147"/>
        <v>0</v>
      </c>
      <c r="O5326" s="1" t="str">
        <f t="shared" si="10147"/>
        <v>0</v>
      </c>
      <c r="P5326" s="1" t="str">
        <f t="shared" si="10147"/>
        <v>0</v>
      </c>
      <c r="Q5326" s="1" t="str">
        <f t="shared" si="10119"/>
        <v>0.0070</v>
      </c>
      <c r="R5326" s="1" t="s">
        <v>25</v>
      </c>
      <c r="T5326" s="1" t="str">
        <f t="shared" si="10120"/>
        <v>0</v>
      </c>
      <c r="U5326" s="1" t="str">
        <f t="shared" si="10145"/>
        <v>0.0070</v>
      </c>
    </row>
    <row r="5327" s="1" customFormat="1" spans="1:21">
      <c r="A5327" s="1" t="str">
        <f>"4601992177275"</f>
        <v>4601992177275</v>
      </c>
      <c r="B5327" s="1" t="s">
        <v>5350</v>
      </c>
      <c r="C5327" s="1" t="s">
        <v>24</v>
      </c>
      <c r="D5327" s="1" t="str">
        <f t="shared" si="10116"/>
        <v>2021</v>
      </c>
      <c r="E5327" s="1" t="str">
        <f t="shared" ref="E5327:I5327" si="10148">"0"</f>
        <v>0</v>
      </c>
      <c r="F5327" s="1" t="str">
        <f t="shared" si="10148"/>
        <v>0</v>
      </c>
      <c r="G5327" s="1" t="str">
        <f t="shared" si="10148"/>
        <v>0</v>
      </c>
      <c r="H5327" s="1" t="str">
        <f t="shared" si="10148"/>
        <v>0</v>
      </c>
      <c r="I5327" s="1" t="str">
        <f t="shared" si="10148"/>
        <v>0</v>
      </c>
      <c r="J5327" s="1" t="str">
        <f>"2"</f>
        <v>2</v>
      </c>
      <c r="K5327" s="1" t="str">
        <f t="shared" ref="K5327:P5327" si="10149">"0"</f>
        <v>0</v>
      </c>
      <c r="L5327" s="1" t="str">
        <f t="shared" si="10149"/>
        <v>0</v>
      </c>
      <c r="M5327" s="1" t="str">
        <f t="shared" si="10149"/>
        <v>0</v>
      </c>
      <c r="N5327" s="1" t="str">
        <f t="shared" si="10149"/>
        <v>0</v>
      </c>
      <c r="O5327" s="1" t="str">
        <f t="shared" si="10149"/>
        <v>0</v>
      </c>
      <c r="P5327" s="1" t="str">
        <f t="shared" si="10149"/>
        <v>0</v>
      </c>
      <c r="Q5327" s="1" t="str">
        <f t="shared" si="10119"/>
        <v>0.0070</v>
      </c>
      <c r="R5327" s="1" t="s">
        <v>25</v>
      </c>
      <c r="T5327" s="1" t="str">
        <f t="shared" si="10120"/>
        <v>0</v>
      </c>
      <c r="U5327" s="1" t="str">
        <f t="shared" si="10145"/>
        <v>0.0070</v>
      </c>
    </row>
    <row r="5328" s="1" customFormat="1" spans="1:21">
      <c r="A5328" s="1" t="str">
        <f>"4601992177619"</f>
        <v>4601992177619</v>
      </c>
      <c r="B5328" s="1" t="s">
        <v>5351</v>
      </c>
      <c r="C5328" s="1" t="s">
        <v>24</v>
      </c>
      <c r="D5328" s="1" t="str">
        <f t="shared" si="10116"/>
        <v>2021</v>
      </c>
      <c r="E5328" s="1" t="str">
        <f t="shared" ref="E5328:P5328" si="10150">"0"</f>
        <v>0</v>
      </c>
      <c r="F5328" s="1" t="str">
        <f t="shared" si="10150"/>
        <v>0</v>
      </c>
      <c r="G5328" s="1" t="str">
        <f t="shared" si="10150"/>
        <v>0</v>
      </c>
      <c r="H5328" s="1" t="str">
        <f t="shared" si="10150"/>
        <v>0</v>
      </c>
      <c r="I5328" s="1" t="str">
        <f t="shared" si="10150"/>
        <v>0</v>
      </c>
      <c r="J5328" s="1" t="str">
        <f t="shared" si="10150"/>
        <v>0</v>
      </c>
      <c r="K5328" s="1" t="str">
        <f t="shared" si="10150"/>
        <v>0</v>
      </c>
      <c r="L5328" s="1" t="str">
        <f t="shared" si="10150"/>
        <v>0</v>
      </c>
      <c r="M5328" s="1" t="str">
        <f t="shared" si="10150"/>
        <v>0</v>
      </c>
      <c r="N5328" s="1" t="str">
        <f t="shared" si="10150"/>
        <v>0</v>
      </c>
      <c r="O5328" s="1" t="str">
        <f t="shared" si="10150"/>
        <v>0</v>
      </c>
      <c r="P5328" s="1" t="str">
        <f t="shared" si="10150"/>
        <v>0</v>
      </c>
      <c r="Q5328" s="1" t="str">
        <f t="shared" si="10119"/>
        <v>0.0070</v>
      </c>
      <c r="R5328" s="1" t="s">
        <v>25</v>
      </c>
      <c r="T5328" s="1" t="str">
        <f t="shared" si="10120"/>
        <v>0</v>
      </c>
      <c r="U5328" s="1" t="str">
        <f t="shared" si="10145"/>
        <v>0.0070</v>
      </c>
    </row>
    <row r="5329" s="1" customFormat="1" spans="1:21">
      <c r="A5329" s="1" t="str">
        <f>"4601992177282"</f>
        <v>4601992177282</v>
      </c>
      <c r="B5329" s="1" t="s">
        <v>5352</v>
      </c>
      <c r="C5329" s="1" t="s">
        <v>24</v>
      </c>
      <c r="D5329" s="1" t="str">
        <f t="shared" si="10116"/>
        <v>2021</v>
      </c>
      <c r="E5329" s="1" t="str">
        <f t="shared" ref="E5329:I5329" si="10151">"0"</f>
        <v>0</v>
      </c>
      <c r="F5329" s="1" t="str">
        <f t="shared" si="10151"/>
        <v>0</v>
      </c>
      <c r="G5329" s="1" t="str">
        <f t="shared" si="10151"/>
        <v>0</v>
      </c>
      <c r="H5329" s="1" t="str">
        <f t="shared" si="10151"/>
        <v>0</v>
      </c>
      <c r="I5329" s="1" t="str">
        <f t="shared" si="10151"/>
        <v>0</v>
      </c>
      <c r="J5329" s="1" t="str">
        <f>"1"</f>
        <v>1</v>
      </c>
      <c r="K5329" s="1" t="str">
        <f t="shared" ref="K5329:P5329" si="10152">"0"</f>
        <v>0</v>
      </c>
      <c r="L5329" s="1" t="str">
        <f t="shared" si="10152"/>
        <v>0</v>
      </c>
      <c r="M5329" s="1" t="str">
        <f t="shared" si="10152"/>
        <v>0</v>
      </c>
      <c r="N5329" s="1" t="str">
        <f t="shared" si="10152"/>
        <v>0</v>
      </c>
      <c r="O5329" s="1" t="str">
        <f t="shared" si="10152"/>
        <v>0</v>
      </c>
      <c r="P5329" s="1" t="str">
        <f t="shared" si="10152"/>
        <v>0</v>
      </c>
      <c r="Q5329" s="1" t="str">
        <f t="shared" si="10119"/>
        <v>0.0070</v>
      </c>
      <c r="R5329" s="1" t="s">
        <v>25</v>
      </c>
      <c r="T5329" s="1" t="str">
        <f t="shared" si="10120"/>
        <v>0</v>
      </c>
      <c r="U5329" s="1" t="str">
        <f t="shared" si="10145"/>
        <v>0.0070</v>
      </c>
    </row>
    <row r="5330" s="1" customFormat="1" spans="1:21">
      <c r="A5330" s="1" t="str">
        <f>"4601992177812"</f>
        <v>4601992177812</v>
      </c>
      <c r="B5330" s="1" t="s">
        <v>5353</v>
      </c>
      <c r="C5330" s="1" t="s">
        <v>24</v>
      </c>
      <c r="D5330" s="1" t="str">
        <f t="shared" si="10116"/>
        <v>2021</v>
      </c>
      <c r="E5330" s="1" t="str">
        <f t="shared" ref="E5330:P5330" si="10153">"0"</f>
        <v>0</v>
      </c>
      <c r="F5330" s="1" t="str">
        <f t="shared" si="10153"/>
        <v>0</v>
      </c>
      <c r="G5330" s="1" t="str">
        <f t="shared" si="10153"/>
        <v>0</v>
      </c>
      <c r="H5330" s="1" t="str">
        <f t="shared" si="10153"/>
        <v>0</v>
      </c>
      <c r="I5330" s="1" t="str">
        <f t="shared" si="10153"/>
        <v>0</v>
      </c>
      <c r="J5330" s="1" t="str">
        <f t="shared" si="10153"/>
        <v>0</v>
      </c>
      <c r="K5330" s="1" t="str">
        <f t="shared" si="10153"/>
        <v>0</v>
      </c>
      <c r="L5330" s="1" t="str">
        <f t="shared" si="10153"/>
        <v>0</v>
      </c>
      <c r="M5330" s="1" t="str">
        <f t="shared" si="10153"/>
        <v>0</v>
      </c>
      <c r="N5330" s="1" t="str">
        <f t="shared" si="10153"/>
        <v>0</v>
      </c>
      <c r="O5330" s="1" t="str">
        <f t="shared" si="10153"/>
        <v>0</v>
      </c>
      <c r="P5330" s="1" t="str">
        <f t="shared" si="10153"/>
        <v>0</v>
      </c>
      <c r="Q5330" s="1" t="str">
        <f t="shared" si="10119"/>
        <v>0.0070</v>
      </c>
      <c r="R5330" s="1" t="s">
        <v>25</v>
      </c>
      <c r="T5330" s="1" t="str">
        <f t="shared" si="10120"/>
        <v>0</v>
      </c>
      <c r="U5330" s="1" t="str">
        <f t="shared" si="10145"/>
        <v>0.0070</v>
      </c>
    </row>
    <row r="5331" s="1" customFormat="1" spans="1:21">
      <c r="A5331" s="1" t="str">
        <f>"4601992177962"</f>
        <v>4601992177962</v>
      </c>
      <c r="B5331" s="1" t="s">
        <v>5354</v>
      </c>
      <c r="C5331" s="1" t="s">
        <v>24</v>
      </c>
      <c r="D5331" s="1" t="str">
        <f t="shared" si="10116"/>
        <v>2021</v>
      </c>
      <c r="E5331" s="1" t="str">
        <f>"11.98"</f>
        <v>11.98</v>
      </c>
      <c r="F5331" s="1" t="str">
        <f t="shared" ref="F5331:I5331" si="10154">"0"</f>
        <v>0</v>
      </c>
      <c r="G5331" s="1" t="str">
        <f t="shared" si="10154"/>
        <v>0</v>
      </c>
      <c r="H5331" s="1" t="str">
        <f t="shared" si="10154"/>
        <v>0</v>
      </c>
      <c r="I5331" s="1" t="str">
        <f t="shared" si="10154"/>
        <v>0</v>
      </c>
      <c r="J5331" s="1" t="str">
        <f>"1"</f>
        <v>1</v>
      </c>
      <c r="K5331" s="1" t="str">
        <f t="shared" ref="K5331:P5331" si="10155">"0"</f>
        <v>0</v>
      </c>
      <c r="L5331" s="1" t="str">
        <f t="shared" si="10155"/>
        <v>0</v>
      </c>
      <c r="M5331" s="1" t="str">
        <f t="shared" si="10155"/>
        <v>0</v>
      </c>
      <c r="N5331" s="1" t="str">
        <f t="shared" si="10155"/>
        <v>0</v>
      </c>
      <c r="O5331" s="1" t="str">
        <f t="shared" si="10155"/>
        <v>0</v>
      </c>
      <c r="P5331" s="1" t="str">
        <f t="shared" si="10155"/>
        <v>0</v>
      </c>
      <c r="Q5331" s="1" t="str">
        <f t="shared" si="10119"/>
        <v>0.0070</v>
      </c>
      <c r="R5331" s="1" t="s">
        <v>29</v>
      </c>
      <c r="S5331" s="1">
        <v>-0.0014</v>
      </c>
      <c r="T5331" s="1" t="str">
        <f t="shared" si="10120"/>
        <v>0</v>
      </c>
      <c r="U5331" s="1" t="str">
        <f t="shared" ref="U5331:U5334" si="10156">"0.0056"</f>
        <v>0.0056</v>
      </c>
    </row>
    <row r="5332" s="1" customFormat="1" spans="1:21">
      <c r="A5332" s="1" t="str">
        <f>"4601992177966"</f>
        <v>4601992177966</v>
      </c>
      <c r="B5332" s="1" t="s">
        <v>5355</v>
      </c>
      <c r="C5332" s="1" t="s">
        <v>24</v>
      </c>
      <c r="D5332" s="1" t="str">
        <f t="shared" si="10116"/>
        <v>2021</v>
      </c>
      <c r="E5332" s="1" t="str">
        <f>"12.55"</f>
        <v>12.55</v>
      </c>
      <c r="F5332" s="1" t="str">
        <f t="shared" ref="F5332:I5332" si="10157">"0"</f>
        <v>0</v>
      </c>
      <c r="G5332" s="1" t="str">
        <f t="shared" si="10157"/>
        <v>0</v>
      </c>
      <c r="H5332" s="1" t="str">
        <f t="shared" si="10157"/>
        <v>0</v>
      </c>
      <c r="I5332" s="1" t="str">
        <f t="shared" si="10157"/>
        <v>0</v>
      </c>
      <c r="J5332" s="1" t="str">
        <f t="shared" ref="J5332:J5335" si="10158">"3"</f>
        <v>3</v>
      </c>
      <c r="K5332" s="1" t="str">
        <f t="shared" ref="K5332:P5332" si="10159">"0"</f>
        <v>0</v>
      </c>
      <c r="L5332" s="1" t="str">
        <f t="shared" si="10159"/>
        <v>0</v>
      </c>
      <c r="M5332" s="1" t="str">
        <f t="shared" si="10159"/>
        <v>0</v>
      </c>
      <c r="N5332" s="1" t="str">
        <f t="shared" si="10159"/>
        <v>0</v>
      </c>
      <c r="O5332" s="1" t="str">
        <f t="shared" si="10159"/>
        <v>0</v>
      </c>
      <c r="P5332" s="1" t="str">
        <f t="shared" si="10159"/>
        <v>0</v>
      </c>
      <c r="Q5332" s="1" t="str">
        <f t="shared" si="10119"/>
        <v>0.0070</v>
      </c>
      <c r="R5332" s="1" t="s">
        <v>29</v>
      </c>
      <c r="S5332" s="1">
        <v>-0.0014</v>
      </c>
      <c r="T5332" s="1" t="str">
        <f t="shared" si="10120"/>
        <v>0</v>
      </c>
      <c r="U5332" s="1" t="str">
        <f t="shared" si="10156"/>
        <v>0.0056</v>
      </c>
    </row>
    <row r="5333" s="1" customFormat="1" spans="1:21">
      <c r="A5333" s="1" t="str">
        <f>"4601992177995"</f>
        <v>4601992177995</v>
      </c>
      <c r="B5333" s="1" t="s">
        <v>5356</v>
      </c>
      <c r="C5333" s="1" t="s">
        <v>24</v>
      </c>
      <c r="D5333" s="1" t="str">
        <f t="shared" si="10116"/>
        <v>2021</v>
      </c>
      <c r="E5333" s="1" t="str">
        <f>"35.94"</f>
        <v>35.94</v>
      </c>
      <c r="F5333" s="1" t="str">
        <f t="shared" ref="F5333:I5333" si="10160">"0"</f>
        <v>0</v>
      </c>
      <c r="G5333" s="1" t="str">
        <f t="shared" si="10160"/>
        <v>0</v>
      </c>
      <c r="H5333" s="1" t="str">
        <f t="shared" si="10160"/>
        <v>0</v>
      </c>
      <c r="I5333" s="1" t="str">
        <f t="shared" si="10160"/>
        <v>0</v>
      </c>
      <c r="J5333" s="1" t="str">
        <f t="shared" si="10158"/>
        <v>3</v>
      </c>
      <c r="K5333" s="1" t="str">
        <f t="shared" ref="K5333:P5333" si="10161">"0"</f>
        <v>0</v>
      </c>
      <c r="L5333" s="1" t="str">
        <f t="shared" si="10161"/>
        <v>0</v>
      </c>
      <c r="M5333" s="1" t="str">
        <f t="shared" si="10161"/>
        <v>0</v>
      </c>
      <c r="N5333" s="1" t="str">
        <f t="shared" si="10161"/>
        <v>0</v>
      </c>
      <c r="O5333" s="1" t="str">
        <f t="shared" si="10161"/>
        <v>0</v>
      </c>
      <c r="P5333" s="1" t="str">
        <f t="shared" si="10161"/>
        <v>0</v>
      </c>
      <c r="Q5333" s="1" t="str">
        <f t="shared" si="10119"/>
        <v>0.0070</v>
      </c>
      <c r="R5333" s="1" t="s">
        <v>29</v>
      </c>
      <c r="S5333" s="1">
        <v>-0.0014</v>
      </c>
      <c r="T5333" s="1" t="str">
        <f t="shared" si="10120"/>
        <v>0</v>
      </c>
      <c r="U5333" s="1" t="str">
        <f t="shared" si="10156"/>
        <v>0.0056</v>
      </c>
    </row>
    <row r="5334" s="1" customFormat="1" spans="1:21">
      <c r="A5334" s="1" t="str">
        <f>"4601992177980"</f>
        <v>4601992177980</v>
      </c>
      <c r="B5334" s="1" t="s">
        <v>5357</v>
      </c>
      <c r="C5334" s="1" t="s">
        <v>24</v>
      </c>
      <c r="D5334" s="1" t="str">
        <f t="shared" si="10116"/>
        <v>2021</v>
      </c>
      <c r="E5334" s="1" t="str">
        <f>"23.96"</f>
        <v>23.96</v>
      </c>
      <c r="F5334" s="1" t="str">
        <f t="shared" ref="F5334:I5334" si="10162">"0"</f>
        <v>0</v>
      </c>
      <c r="G5334" s="1" t="str">
        <f t="shared" si="10162"/>
        <v>0</v>
      </c>
      <c r="H5334" s="1" t="str">
        <f t="shared" si="10162"/>
        <v>0</v>
      </c>
      <c r="I5334" s="1" t="str">
        <f t="shared" si="10162"/>
        <v>0</v>
      </c>
      <c r="J5334" s="1" t="str">
        <f t="shared" si="10158"/>
        <v>3</v>
      </c>
      <c r="K5334" s="1" t="str">
        <f t="shared" ref="K5334:P5334" si="10163">"0"</f>
        <v>0</v>
      </c>
      <c r="L5334" s="1" t="str">
        <f t="shared" si="10163"/>
        <v>0</v>
      </c>
      <c r="M5334" s="1" t="str">
        <f t="shared" si="10163"/>
        <v>0</v>
      </c>
      <c r="N5334" s="1" t="str">
        <f t="shared" si="10163"/>
        <v>0</v>
      </c>
      <c r="O5334" s="1" t="str">
        <f t="shared" si="10163"/>
        <v>0</v>
      </c>
      <c r="P5334" s="1" t="str">
        <f t="shared" si="10163"/>
        <v>0</v>
      </c>
      <c r="Q5334" s="1" t="str">
        <f t="shared" si="10119"/>
        <v>0.0070</v>
      </c>
      <c r="R5334" s="1" t="s">
        <v>29</v>
      </c>
      <c r="S5334" s="1">
        <v>-0.0014</v>
      </c>
      <c r="T5334" s="1" t="str">
        <f t="shared" si="10120"/>
        <v>0</v>
      </c>
      <c r="U5334" s="1" t="str">
        <f t="shared" si="10156"/>
        <v>0.0056</v>
      </c>
    </row>
    <row r="5335" s="1" customFormat="1" spans="1:21">
      <c r="A5335" s="1" t="str">
        <f>"4601992178045"</f>
        <v>4601992178045</v>
      </c>
      <c r="B5335" s="1" t="s">
        <v>5358</v>
      </c>
      <c r="C5335" s="1" t="s">
        <v>24</v>
      </c>
      <c r="D5335" s="1" t="str">
        <f t="shared" si="10116"/>
        <v>2021</v>
      </c>
      <c r="E5335" s="1" t="str">
        <f t="shared" ref="E5335:I5335" si="10164">"0"</f>
        <v>0</v>
      </c>
      <c r="F5335" s="1" t="str">
        <f t="shared" si="10164"/>
        <v>0</v>
      </c>
      <c r="G5335" s="1" t="str">
        <f t="shared" si="10164"/>
        <v>0</v>
      </c>
      <c r="H5335" s="1" t="str">
        <f t="shared" si="10164"/>
        <v>0</v>
      </c>
      <c r="I5335" s="1" t="str">
        <f t="shared" si="10164"/>
        <v>0</v>
      </c>
      <c r="J5335" s="1" t="str">
        <f t="shared" si="10158"/>
        <v>3</v>
      </c>
      <c r="K5335" s="1" t="str">
        <f t="shared" ref="K5335:P5335" si="10165">"0"</f>
        <v>0</v>
      </c>
      <c r="L5335" s="1" t="str">
        <f t="shared" si="10165"/>
        <v>0</v>
      </c>
      <c r="M5335" s="1" t="str">
        <f t="shared" si="10165"/>
        <v>0</v>
      </c>
      <c r="N5335" s="1" t="str">
        <f t="shared" si="10165"/>
        <v>0</v>
      </c>
      <c r="O5335" s="1" t="str">
        <f t="shared" si="10165"/>
        <v>0</v>
      </c>
      <c r="P5335" s="1" t="str">
        <f t="shared" si="10165"/>
        <v>0</v>
      </c>
      <c r="Q5335" s="1" t="str">
        <f t="shared" si="10119"/>
        <v>0.0070</v>
      </c>
      <c r="R5335" s="1" t="s">
        <v>25</v>
      </c>
      <c r="T5335" s="1" t="str">
        <f t="shared" si="10120"/>
        <v>0</v>
      </c>
      <c r="U5335" s="1" t="str">
        <f t="shared" ref="U5335:U5352" si="10166">"0.0070"</f>
        <v>0.0070</v>
      </c>
    </row>
    <row r="5336" s="1" customFormat="1" spans="1:21">
      <c r="A5336" s="1" t="str">
        <f>"4601992178059"</f>
        <v>4601992178059</v>
      </c>
      <c r="B5336" s="1" t="s">
        <v>5359</v>
      </c>
      <c r="C5336" s="1" t="s">
        <v>24</v>
      </c>
      <c r="D5336" s="1" t="str">
        <f t="shared" si="10116"/>
        <v>2021</v>
      </c>
      <c r="E5336" s="1" t="str">
        <f t="shared" ref="E5336:I5336" si="10167">"0"</f>
        <v>0</v>
      </c>
      <c r="F5336" s="1" t="str">
        <f t="shared" si="10167"/>
        <v>0</v>
      </c>
      <c r="G5336" s="1" t="str">
        <f t="shared" si="10167"/>
        <v>0</v>
      </c>
      <c r="H5336" s="1" t="str">
        <f t="shared" si="10167"/>
        <v>0</v>
      </c>
      <c r="I5336" s="1" t="str">
        <f t="shared" si="10167"/>
        <v>0</v>
      </c>
      <c r="J5336" s="1" t="str">
        <f>"4"</f>
        <v>4</v>
      </c>
      <c r="K5336" s="1" t="str">
        <f t="shared" ref="K5336:P5336" si="10168">"0"</f>
        <v>0</v>
      </c>
      <c r="L5336" s="1" t="str">
        <f t="shared" si="10168"/>
        <v>0</v>
      </c>
      <c r="M5336" s="1" t="str">
        <f t="shared" si="10168"/>
        <v>0</v>
      </c>
      <c r="N5336" s="1" t="str">
        <f t="shared" si="10168"/>
        <v>0</v>
      </c>
      <c r="O5336" s="1" t="str">
        <f t="shared" si="10168"/>
        <v>0</v>
      </c>
      <c r="P5336" s="1" t="str">
        <f t="shared" si="10168"/>
        <v>0</v>
      </c>
      <c r="Q5336" s="1" t="str">
        <f t="shared" si="10119"/>
        <v>0.0070</v>
      </c>
      <c r="R5336" s="1" t="s">
        <v>25</v>
      </c>
      <c r="T5336" s="1" t="str">
        <f t="shared" si="10120"/>
        <v>0</v>
      </c>
      <c r="U5336" s="1" t="str">
        <f t="shared" si="10166"/>
        <v>0.0070</v>
      </c>
    </row>
    <row r="5337" s="1" customFormat="1" spans="1:21">
      <c r="A5337" s="1" t="str">
        <f>"4601992178054"</f>
        <v>4601992178054</v>
      </c>
      <c r="B5337" s="1" t="s">
        <v>5360</v>
      </c>
      <c r="C5337" s="1" t="s">
        <v>24</v>
      </c>
      <c r="D5337" s="1" t="str">
        <f t="shared" si="10116"/>
        <v>2021</v>
      </c>
      <c r="E5337" s="1" t="str">
        <f t="shared" ref="E5337:I5337" si="10169">"0"</f>
        <v>0</v>
      </c>
      <c r="F5337" s="1" t="str">
        <f t="shared" si="10169"/>
        <v>0</v>
      </c>
      <c r="G5337" s="1" t="str">
        <f t="shared" si="10169"/>
        <v>0</v>
      </c>
      <c r="H5337" s="1" t="str">
        <f t="shared" si="10169"/>
        <v>0</v>
      </c>
      <c r="I5337" s="1" t="str">
        <f t="shared" si="10169"/>
        <v>0</v>
      </c>
      <c r="J5337" s="1" t="str">
        <f t="shared" ref="J5337:J5340" si="10170">"1"</f>
        <v>1</v>
      </c>
      <c r="K5337" s="1" t="str">
        <f t="shared" ref="K5337:P5337" si="10171">"0"</f>
        <v>0</v>
      </c>
      <c r="L5337" s="1" t="str">
        <f t="shared" si="10171"/>
        <v>0</v>
      </c>
      <c r="M5337" s="1" t="str">
        <f t="shared" si="10171"/>
        <v>0</v>
      </c>
      <c r="N5337" s="1" t="str">
        <f t="shared" si="10171"/>
        <v>0</v>
      </c>
      <c r="O5337" s="1" t="str">
        <f t="shared" si="10171"/>
        <v>0</v>
      </c>
      <c r="P5337" s="1" t="str">
        <f t="shared" si="10171"/>
        <v>0</v>
      </c>
      <c r="Q5337" s="1" t="str">
        <f t="shared" si="10119"/>
        <v>0.0070</v>
      </c>
      <c r="R5337" s="1" t="s">
        <v>25</v>
      </c>
      <c r="T5337" s="1" t="str">
        <f t="shared" si="10120"/>
        <v>0</v>
      </c>
      <c r="U5337" s="1" t="str">
        <f t="shared" si="10166"/>
        <v>0.0070</v>
      </c>
    </row>
    <row r="5338" s="1" customFormat="1" spans="1:21">
      <c r="A5338" s="1" t="str">
        <f>"4601992178047"</f>
        <v>4601992178047</v>
      </c>
      <c r="B5338" s="1" t="s">
        <v>5361</v>
      </c>
      <c r="C5338" s="1" t="s">
        <v>24</v>
      </c>
      <c r="D5338" s="1" t="str">
        <f t="shared" si="10116"/>
        <v>2021</v>
      </c>
      <c r="E5338" s="1" t="str">
        <f t="shared" ref="E5338:I5338" si="10172">"0"</f>
        <v>0</v>
      </c>
      <c r="F5338" s="1" t="str">
        <f t="shared" si="10172"/>
        <v>0</v>
      </c>
      <c r="G5338" s="1" t="str">
        <f t="shared" si="10172"/>
        <v>0</v>
      </c>
      <c r="H5338" s="1" t="str">
        <f t="shared" si="10172"/>
        <v>0</v>
      </c>
      <c r="I5338" s="1" t="str">
        <f t="shared" si="10172"/>
        <v>0</v>
      </c>
      <c r="J5338" s="1" t="str">
        <f t="shared" ref="J5338:J5342" si="10173">"2"</f>
        <v>2</v>
      </c>
      <c r="K5338" s="1" t="str">
        <f t="shared" ref="K5338:P5338" si="10174">"0"</f>
        <v>0</v>
      </c>
      <c r="L5338" s="1" t="str">
        <f t="shared" si="10174"/>
        <v>0</v>
      </c>
      <c r="M5338" s="1" t="str">
        <f t="shared" si="10174"/>
        <v>0</v>
      </c>
      <c r="N5338" s="1" t="str">
        <f t="shared" si="10174"/>
        <v>0</v>
      </c>
      <c r="O5338" s="1" t="str">
        <f t="shared" si="10174"/>
        <v>0</v>
      </c>
      <c r="P5338" s="1" t="str">
        <f t="shared" si="10174"/>
        <v>0</v>
      </c>
      <c r="Q5338" s="1" t="str">
        <f t="shared" si="10119"/>
        <v>0.0070</v>
      </c>
      <c r="R5338" s="1" t="s">
        <v>25</v>
      </c>
      <c r="T5338" s="1" t="str">
        <f t="shared" si="10120"/>
        <v>0</v>
      </c>
      <c r="U5338" s="1" t="str">
        <f t="shared" si="10166"/>
        <v>0.0070</v>
      </c>
    </row>
    <row r="5339" s="1" customFormat="1" spans="1:21">
      <c r="A5339" s="1" t="str">
        <f>"4601992178100"</f>
        <v>4601992178100</v>
      </c>
      <c r="B5339" s="1" t="s">
        <v>5362</v>
      </c>
      <c r="C5339" s="1" t="s">
        <v>24</v>
      </c>
      <c r="D5339" s="1" t="str">
        <f t="shared" si="10116"/>
        <v>2021</v>
      </c>
      <c r="E5339" s="1" t="str">
        <f t="shared" ref="E5339:I5339" si="10175">"0"</f>
        <v>0</v>
      </c>
      <c r="F5339" s="1" t="str">
        <f t="shared" si="10175"/>
        <v>0</v>
      </c>
      <c r="G5339" s="1" t="str">
        <f t="shared" si="10175"/>
        <v>0</v>
      </c>
      <c r="H5339" s="1" t="str">
        <f t="shared" si="10175"/>
        <v>0</v>
      </c>
      <c r="I5339" s="1" t="str">
        <f t="shared" si="10175"/>
        <v>0</v>
      </c>
      <c r="J5339" s="1" t="str">
        <f t="shared" si="10170"/>
        <v>1</v>
      </c>
      <c r="K5339" s="1" t="str">
        <f t="shared" ref="K5339:P5339" si="10176">"0"</f>
        <v>0</v>
      </c>
      <c r="L5339" s="1" t="str">
        <f t="shared" si="10176"/>
        <v>0</v>
      </c>
      <c r="M5339" s="1" t="str">
        <f t="shared" si="10176"/>
        <v>0</v>
      </c>
      <c r="N5339" s="1" t="str">
        <f t="shared" si="10176"/>
        <v>0</v>
      </c>
      <c r="O5339" s="1" t="str">
        <f t="shared" si="10176"/>
        <v>0</v>
      </c>
      <c r="P5339" s="1" t="str">
        <f t="shared" si="10176"/>
        <v>0</v>
      </c>
      <c r="Q5339" s="1" t="str">
        <f t="shared" si="10119"/>
        <v>0.0070</v>
      </c>
      <c r="R5339" s="1" t="s">
        <v>25</v>
      </c>
      <c r="T5339" s="1" t="str">
        <f t="shared" si="10120"/>
        <v>0</v>
      </c>
      <c r="U5339" s="1" t="str">
        <f t="shared" si="10166"/>
        <v>0.0070</v>
      </c>
    </row>
    <row r="5340" s="1" customFormat="1" spans="1:21">
      <c r="A5340" s="1" t="str">
        <f>"4601992178113"</f>
        <v>4601992178113</v>
      </c>
      <c r="B5340" s="1" t="s">
        <v>5363</v>
      </c>
      <c r="C5340" s="1" t="s">
        <v>24</v>
      </c>
      <c r="D5340" s="1" t="str">
        <f t="shared" si="10116"/>
        <v>2021</v>
      </c>
      <c r="E5340" s="1" t="str">
        <f t="shared" ref="E5340:I5340" si="10177">"0"</f>
        <v>0</v>
      </c>
      <c r="F5340" s="1" t="str">
        <f t="shared" si="10177"/>
        <v>0</v>
      </c>
      <c r="G5340" s="1" t="str">
        <f t="shared" si="10177"/>
        <v>0</v>
      </c>
      <c r="H5340" s="1" t="str">
        <f t="shared" si="10177"/>
        <v>0</v>
      </c>
      <c r="I5340" s="1" t="str">
        <f t="shared" si="10177"/>
        <v>0</v>
      </c>
      <c r="J5340" s="1" t="str">
        <f t="shared" si="10170"/>
        <v>1</v>
      </c>
      <c r="K5340" s="1" t="str">
        <f t="shared" ref="K5340:P5340" si="10178">"0"</f>
        <v>0</v>
      </c>
      <c r="L5340" s="1" t="str">
        <f t="shared" si="10178"/>
        <v>0</v>
      </c>
      <c r="M5340" s="1" t="str">
        <f t="shared" si="10178"/>
        <v>0</v>
      </c>
      <c r="N5340" s="1" t="str">
        <f t="shared" si="10178"/>
        <v>0</v>
      </c>
      <c r="O5340" s="1" t="str">
        <f t="shared" si="10178"/>
        <v>0</v>
      </c>
      <c r="P5340" s="1" t="str">
        <f t="shared" si="10178"/>
        <v>0</v>
      </c>
      <c r="Q5340" s="1" t="str">
        <f t="shared" si="10119"/>
        <v>0.0070</v>
      </c>
      <c r="R5340" s="1" t="s">
        <v>25</v>
      </c>
      <c r="T5340" s="1" t="str">
        <f t="shared" si="10120"/>
        <v>0</v>
      </c>
      <c r="U5340" s="1" t="str">
        <f t="shared" si="10166"/>
        <v>0.0070</v>
      </c>
    </row>
    <row r="5341" s="1" customFormat="1" spans="1:21">
      <c r="A5341" s="1" t="str">
        <f>"4601992178110"</f>
        <v>4601992178110</v>
      </c>
      <c r="B5341" s="1" t="s">
        <v>5364</v>
      </c>
      <c r="C5341" s="1" t="s">
        <v>24</v>
      </c>
      <c r="D5341" s="1" t="str">
        <f t="shared" si="10116"/>
        <v>2021</v>
      </c>
      <c r="E5341" s="1" t="str">
        <f t="shared" ref="E5341:I5341" si="10179">"0"</f>
        <v>0</v>
      </c>
      <c r="F5341" s="1" t="str">
        <f t="shared" si="10179"/>
        <v>0</v>
      </c>
      <c r="G5341" s="1" t="str">
        <f t="shared" si="10179"/>
        <v>0</v>
      </c>
      <c r="H5341" s="1" t="str">
        <f t="shared" si="10179"/>
        <v>0</v>
      </c>
      <c r="I5341" s="1" t="str">
        <f t="shared" si="10179"/>
        <v>0</v>
      </c>
      <c r="J5341" s="1" t="str">
        <f t="shared" si="10173"/>
        <v>2</v>
      </c>
      <c r="K5341" s="1" t="str">
        <f t="shared" ref="K5341:P5341" si="10180">"0"</f>
        <v>0</v>
      </c>
      <c r="L5341" s="1" t="str">
        <f t="shared" si="10180"/>
        <v>0</v>
      </c>
      <c r="M5341" s="1" t="str">
        <f t="shared" si="10180"/>
        <v>0</v>
      </c>
      <c r="N5341" s="1" t="str">
        <f t="shared" si="10180"/>
        <v>0</v>
      </c>
      <c r="O5341" s="1" t="str">
        <f t="shared" si="10180"/>
        <v>0</v>
      </c>
      <c r="P5341" s="1" t="str">
        <f t="shared" si="10180"/>
        <v>0</v>
      </c>
      <c r="Q5341" s="1" t="str">
        <f t="shared" si="10119"/>
        <v>0.0070</v>
      </c>
      <c r="R5341" s="1" t="s">
        <v>25</v>
      </c>
      <c r="T5341" s="1" t="str">
        <f t="shared" si="10120"/>
        <v>0</v>
      </c>
      <c r="U5341" s="1" t="str">
        <f t="shared" si="10166"/>
        <v>0.0070</v>
      </c>
    </row>
    <row r="5342" s="1" customFormat="1" spans="1:21">
      <c r="A5342" s="1" t="str">
        <f>"4601992178117"</f>
        <v>4601992178117</v>
      </c>
      <c r="B5342" s="1" t="s">
        <v>5365</v>
      </c>
      <c r="C5342" s="1" t="s">
        <v>24</v>
      </c>
      <c r="D5342" s="1" t="str">
        <f t="shared" si="10116"/>
        <v>2021</v>
      </c>
      <c r="E5342" s="1" t="str">
        <f t="shared" ref="E5342:I5342" si="10181">"0"</f>
        <v>0</v>
      </c>
      <c r="F5342" s="1" t="str">
        <f t="shared" si="10181"/>
        <v>0</v>
      </c>
      <c r="G5342" s="1" t="str">
        <f t="shared" si="10181"/>
        <v>0</v>
      </c>
      <c r="H5342" s="1" t="str">
        <f t="shared" si="10181"/>
        <v>0</v>
      </c>
      <c r="I5342" s="1" t="str">
        <f t="shared" si="10181"/>
        <v>0</v>
      </c>
      <c r="J5342" s="1" t="str">
        <f t="shared" si="10173"/>
        <v>2</v>
      </c>
      <c r="K5342" s="1" t="str">
        <f t="shared" ref="K5342:P5342" si="10182">"0"</f>
        <v>0</v>
      </c>
      <c r="L5342" s="1" t="str">
        <f t="shared" si="10182"/>
        <v>0</v>
      </c>
      <c r="M5342" s="1" t="str">
        <f t="shared" si="10182"/>
        <v>0</v>
      </c>
      <c r="N5342" s="1" t="str">
        <f t="shared" si="10182"/>
        <v>0</v>
      </c>
      <c r="O5342" s="1" t="str">
        <f t="shared" si="10182"/>
        <v>0</v>
      </c>
      <c r="P5342" s="1" t="str">
        <f t="shared" si="10182"/>
        <v>0</v>
      </c>
      <c r="Q5342" s="1" t="str">
        <f t="shared" si="10119"/>
        <v>0.0070</v>
      </c>
      <c r="R5342" s="1" t="s">
        <v>25</v>
      </c>
      <c r="T5342" s="1" t="str">
        <f t="shared" si="10120"/>
        <v>0</v>
      </c>
      <c r="U5342" s="1" t="str">
        <f t="shared" si="10166"/>
        <v>0.0070</v>
      </c>
    </row>
    <row r="5343" s="1" customFormat="1" spans="1:21">
      <c r="A5343" s="1" t="str">
        <f>"4601992178232"</f>
        <v>4601992178232</v>
      </c>
      <c r="B5343" s="1" t="s">
        <v>5366</v>
      </c>
      <c r="C5343" s="1" t="s">
        <v>24</v>
      </c>
      <c r="D5343" s="1" t="str">
        <f t="shared" si="10116"/>
        <v>2021</v>
      </c>
      <c r="E5343" s="1" t="str">
        <f t="shared" ref="E5343:P5343" si="10183">"0"</f>
        <v>0</v>
      </c>
      <c r="F5343" s="1" t="str">
        <f t="shared" si="10183"/>
        <v>0</v>
      </c>
      <c r="G5343" s="1" t="str">
        <f t="shared" si="10183"/>
        <v>0</v>
      </c>
      <c r="H5343" s="1" t="str">
        <f t="shared" si="10183"/>
        <v>0</v>
      </c>
      <c r="I5343" s="1" t="str">
        <f t="shared" si="10183"/>
        <v>0</v>
      </c>
      <c r="J5343" s="1" t="str">
        <f t="shared" si="10183"/>
        <v>0</v>
      </c>
      <c r="K5343" s="1" t="str">
        <f t="shared" si="10183"/>
        <v>0</v>
      </c>
      <c r="L5343" s="1" t="str">
        <f t="shared" si="10183"/>
        <v>0</v>
      </c>
      <c r="M5343" s="1" t="str">
        <f t="shared" si="10183"/>
        <v>0</v>
      </c>
      <c r="N5343" s="1" t="str">
        <f t="shared" si="10183"/>
        <v>0</v>
      </c>
      <c r="O5343" s="1" t="str">
        <f t="shared" si="10183"/>
        <v>0</v>
      </c>
      <c r="P5343" s="1" t="str">
        <f t="shared" si="10183"/>
        <v>0</v>
      </c>
      <c r="Q5343" s="1" t="str">
        <f t="shared" si="10119"/>
        <v>0.0070</v>
      </c>
      <c r="R5343" s="1" t="s">
        <v>25</v>
      </c>
      <c r="T5343" s="1" t="str">
        <f t="shared" si="10120"/>
        <v>0</v>
      </c>
      <c r="U5343" s="1" t="str">
        <f t="shared" si="10166"/>
        <v>0.0070</v>
      </c>
    </row>
    <row r="5344" s="1" customFormat="1" spans="1:21">
      <c r="A5344" s="1" t="str">
        <f>"4601992178321"</f>
        <v>4601992178321</v>
      </c>
      <c r="B5344" s="1" t="s">
        <v>5367</v>
      </c>
      <c r="C5344" s="1" t="s">
        <v>24</v>
      </c>
      <c r="D5344" s="1" t="str">
        <f t="shared" si="10116"/>
        <v>2021</v>
      </c>
      <c r="E5344" s="1" t="str">
        <f t="shared" ref="E5344:P5344" si="10184">"0"</f>
        <v>0</v>
      </c>
      <c r="F5344" s="1" t="str">
        <f t="shared" si="10184"/>
        <v>0</v>
      </c>
      <c r="G5344" s="1" t="str">
        <f t="shared" si="10184"/>
        <v>0</v>
      </c>
      <c r="H5344" s="1" t="str">
        <f t="shared" si="10184"/>
        <v>0</v>
      </c>
      <c r="I5344" s="1" t="str">
        <f t="shared" si="10184"/>
        <v>0</v>
      </c>
      <c r="J5344" s="1" t="str">
        <f t="shared" si="10184"/>
        <v>0</v>
      </c>
      <c r="K5344" s="1" t="str">
        <f t="shared" si="10184"/>
        <v>0</v>
      </c>
      <c r="L5344" s="1" t="str">
        <f t="shared" si="10184"/>
        <v>0</v>
      </c>
      <c r="M5344" s="1" t="str">
        <f t="shared" si="10184"/>
        <v>0</v>
      </c>
      <c r="N5344" s="1" t="str">
        <f t="shared" si="10184"/>
        <v>0</v>
      </c>
      <c r="O5344" s="1" t="str">
        <f t="shared" si="10184"/>
        <v>0</v>
      </c>
      <c r="P5344" s="1" t="str">
        <f t="shared" si="10184"/>
        <v>0</v>
      </c>
      <c r="Q5344" s="1" t="str">
        <f t="shared" si="10119"/>
        <v>0.0070</v>
      </c>
      <c r="R5344" s="1" t="s">
        <v>25</v>
      </c>
      <c r="T5344" s="1" t="str">
        <f t="shared" si="10120"/>
        <v>0</v>
      </c>
      <c r="U5344" s="1" t="str">
        <f t="shared" si="10166"/>
        <v>0.0070</v>
      </c>
    </row>
    <row r="5345" s="1" customFormat="1" spans="1:21">
      <c r="A5345" s="1" t="str">
        <f>"4601992178129"</f>
        <v>4601992178129</v>
      </c>
      <c r="B5345" s="1" t="s">
        <v>5368</v>
      </c>
      <c r="C5345" s="1" t="s">
        <v>24</v>
      </c>
      <c r="D5345" s="1" t="str">
        <f t="shared" si="10116"/>
        <v>2021</v>
      </c>
      <c r="E5345" s="1" t="str">
        <f>"0.03"</f>
        <v>0.03</v>
      </c>
      <c r="F5345" s="1" t="str">
        <f t="shared" ref="F5345:I5345" si="10185">"0"</f>
        <v>0</v>
      </c>
      <c r="G5345" s="1" t="str">
        <f t="shared" si="10185"/>
        <v>0</v>
      </c>
      <c r="H5345" s="1" t="str">
        <f t="shared" si="10185"/>
        <v>0</v>
      </c>
      <c r="I5345" s="1" t="str">
        <f t="shared" si="10185"/>
        <v>0</v>
      </c>
      <c r="J5345" s="1" t="str">
        <f>"3"</f>
        <v>3</v>
      </c>
      <c r="K5345" s="1" t="str">
        <f t="shared" ref="K5345:P5345" si="10186">"0"</f>
        <v>0</v>
      </c>
      <c r="L5345" s="1" t="str">
        <f t="shared" si="10186"/>
        <v>0</v>
      </c>
      <c r="M5345" s="1" t="str">
        <f t="shared" si="10186"/>
        <v>0</v>
      </c>
      <c r="N5345" s="1" t="str">
        <f t="shared" si="10186"/>
        <v>0</v>
      </c>
      <c r="O5345" s="1" t="str">
        <f t="shared" si="10186"/>
        <v>0</v>
      </c>
      <c r="P5345" s="1" t="str">
        <f t="shared" si="10186"/>
        <v>0</v>
      </c>
      <c r="Q5345" s="1" t="str">
        <f t="shared" si="10119"/>
        <v>0.0070</v>
      </c>
      <c r="R5345" s="1" t="s">
        <v>25</v>
      </c>
      <c r="T5345" s="1" t="str">
        <f t="shared" si="10120"/>
        <v>0</v>
      </c>
      <c r="U5345" s="1" t="str">
        <f t="shared" si="10166"/>
        <v>0.0070</v>
      </c>
    </row>
    <row r="5346" s="1" customFormat="1" spans="1:21">
      <c r="A5346" s="1" t="str">
        <f>"4601992178152"</f>
        <v>4601992178152</v>
      </c>
      <c r="B5346" s="1" t="s">
        <v>5369</v>
      </c>
      <c r="C5346" s="1" t="s">
        <v>24</v>
      </c>
      <c r="D5346" s="1" t="str">
        <f t="shared" si="10116"/>
        <v>2021</v>
      </c>
      <c r="E5346" s="1" t="str">
        <f t="shared" ref="E5346:I5346" si="10187">"0"</f>
        <v>0</v>
      </c>
      <c r="F5346" s="1" t="str">
        <f t="shared" si="10187"/>
        <v>0</v>
      </c>
      <c r="G5346" s="1" t="str">
        <f t="shared" si="10187"/>
        <v>0</v>
      </c>
      <c r="H5346" s="1" t="str">
        <f t="shared" si="10187"/>
        <v>0</v>
      </c>
      <c r="I5346" s="1" t="str">
        <f t="shared" si="10187"/>
        <v>0</v>
      </c>
      <c r="J5346" s="1" t="str">
        <f>"2"</f>
        <v>2</v>
      </c>
      <c r="K5346" s="1" t="str">
        <f t="shared" ref="K5346:P5346" si="10188">"0"</f>
        <v>0</v>
      </c>
      <c r="L5346" s="1" t="str">
        <f t="shared" si="10188"/>
        <v>0</v>
      </c>
      <c r="M5346" s="1" t="str">
        <f t="shared" si="10188"/>
        <v>0</v>
      </c>
      <c r="N5346" s="1" t="str">
        <f t="shared" si="10188"/>
        <v>0</v>
      </c>
      <c r="O5346" s="1" t="str">
        <f t="shared" si="10188"/>
        <v>0</v>
      </c>
      <c r="P5346" s="1" t="str">
        <f t="shared" si="10188"/>
        <v>0</v>
      </c>
      <c r="Q5346" s="1" t="str">
        <f t="shared" si="10119"/>
        <v>0.0070</v>
      </c>
      <c r="R5346" s="1" t="s">
        <v>25</v>
      </c>
      <c r="T5346" s="1" t="str">
        <f t="shared" si="10120"/>
        <v>0</v>
      </c>
      <c r="U5346" s="1" t="str">
        <f t="shared" si="10166"/>
        <v>0.0070</v>
      </c>
    </row>
    <row r="5347" s="1" customFormat="1" spans="1:21">
      <c r="A5347" s="1" t="str">
        <f>"4601992178349"</f>
        <v>4601992178349</v>
      </c>
      <c r="B5347" s="1" t="s">
        <v>5370</v>
      </c>
      <c r="C5347" s="1" t="s">
        <v>24</v>
      </c>
      <c r="D5347" s="1" t="str">
        <f t="shared" si="10116"/>
        <v>2021</v>
      </c>
      <c r="E5347" s="1" t="str">
        <f t="shared" ref="E5347:P5347" si="10189">"0"</f>
        <v>0</v>
      </c>
      <c r="F5347" s="1" t="str">
        <f t="shared" si="10189"/>
        <v>0</v>
      </c>
      <c r="G5347" s="1" t="str">
        <f t="shared" si="10189"/>
        <v>0</v>
      </c>
      <c r="H5347" s="1" t="str">
        <f t="shared" si="10189"/>
        <v>0</v>
      </c>
      <c r="I5347" s="1" t="str">
        <f t="shared" si="10189"/>
        <v>0</v>
      </c>
      <c r="J5347" s="1" t="str">
        <f t="shared" si="10189"/>
        <v>0</v>
      </c>
      <c r="K5347" s="1" t="str">
        <f t="shared" si="10189"/>
        <v>0</v>
      </c>
      <c r="L5347" s="1" t="str">
        <f t="shared" si="10189"/>
        <v>0</v>
      </c>
      <c r="M5347" s="1" t="str">
        <f t="shared" si="10189"/>
        <v>0</v>
      </c>
      <c r="N5347" s="1" t="str">
        <f t="shared" si="10189"/>
        <v>0</v>
      </c>
      <c r="O5347" s="1" t="str">
        <f t="shared" si="10189"/>
        <v>0</v>
      </c>
      <c r="P5347" s="1" t="str">
        <f t="shared" si="10189"/>
        <v>0</v>
      </c>
      <c r="Q5347" s="1" t="str">
        <f t="shared" si="10119"/>
        <v>0.0070</v>
      </c>
      <c r="R5347" s="1" t="s">
        <v>25</v>
      </c>
      <c r="T5347" s="1" t="str">
        <f t="shared" si="10120"/>
        <v>0</v>
      </c>
      <c r="U5347" s="1" t="str">
        <f t="shared" si="10166"/>
        <v>0.0070</v>
      </c>
    </row>
    <row r="5348" s="1" customFormat="1" spans="1:21">
      <c r="A5348" s="1" t="str">
        <f>"4601992178361"</f>
        <v>4601992178361</v>
      </c>
      <c r="B5348" s="1" t="s">
        <v>5371</v>
      </c>
      <c r="C5348" s="1" t="s">
        <v>24</v>
      </c>
      <c r="D5348" s="1" t="str">
        <f t="shared" si="10116"/>
        <v>2021</v>
      </c>
      <c r="E5348" s="1" t="str">
        <f t="shared" ref="E5348:P5348" si="10190">"0"</f>
        <v>0</v>
      </c>
      <c r="F5348" s="1" t="str">
        <f t="shared" si="10190"/>
        <v>0</v>
      </c>
      <c r="G5348" s="1" t="str">
        <f t="shared" si="10190"/>
        <v>0</v>
      </c>
      <c r="H5348" s="1" t="str">
        <f t="shared" si="10190"/>
        <v>0</v>
      </c>
      <c r="I5348" s="1" t="str">
        <f t="shared" si="10190"/>
        <v>0</v>
      </c>
      <c r="J5348" s="1" t="str">
        <f t="shared" si="10190"/>
        <v>0</v>
      </c>
      <c r="K5348" s="1" t="str">
        <f t="shared" si="10190"/>
        <v>0</v>
      </c>
      <c r="L5348" s="1" t="str">
        <f t="shared" si="10190"/>
        <v>0</v>
      </c>
      <c r="M5348" s="1" t="str">
        <f t="shared" si="10190"/>
        <v>0</v>
      </c>
      <c r="N5348" s="1" t="str">
        <f t="shared" si="10190"/>
        <v>0</v>
      </c>
      <c r="O5348" s="1" t="str">
        <f t="shared" si="10190"/>
        <v>0</v>
      </c>
      <c r="P5348" s="1" t="str">
        <f t="shared" si="10190"/>
        <v>0</v>
      </c>
      <c r="Q5348" s="1" t="str">
        <f t="shared" si="10119"/>
        <v>0.0070</v>
      </c>
      <c r="R5348" s="1" t="s">
        <v>25</v>
      </c>
      <c r="T5348" s="1" t="str">
        <f t="shared" si="10120"/>
        <v>0</v>
      </c>
      <c r="U5348" s="1" t="str">
        <f t="shared" si="10166"/>
        <v>0.0070</v>
      </c>
    </row>
    <row r="5349" s="1" customFormat="1" spans="1:21">
      <c r="A5349" s="1" t="str">
        <f>"4601992178440"</f>
        <v>4601992178440</v>
      </c>
      <c r="B5349" s="1" t="s">
        <v>5372</v>
      </c>
      <c r="C5349" s="1" t="s">
        <v>24</v>
      </c>
      <c r="D5349" s="1" t="str">
        <f t="shared" si="10116"/>
        <v>2021</v>
      </c>
      <c r="E5349" s="1" t="str">
        <f t="shared" ref="E5349:P5349" si="10191">"0"</f>
        <v>0</v>
      </c>
      <c r="F5349" s="1" t="str">
        <f t="shared" si="10191"/>
        <v>0</v>
      </c>
      <c r="G5349" s="1" t="str">
        <f t="shared" si="10191"/>
        <v>0</v>
      </c>
      <c r="H5349" s="1" t="str">
        <f t="shared" si="10191"/>
        <v>0</v>
      </c>
      <c r="I5349" s="1" t="str">
        <f t="shared" si="10191"/>
        <v>0</v>
      </c>
      <c r="J5349" s="1" t="str">
        <f t="shared" si="10191"/>
        <v>0</v>
      </c>
      <c r="K5349" s="1" t="str">
        <f t="shared" si="10191"/>
        <v>0</v>
      </c>
      <c r="L5349" s="1" t="str">
        <f t="shared" si="10191"/>
        <v>0</v>
      </c>
      <c r="M5349" s="1" t="str">
        <f t="shared" si="10191"/>
        <v>0</v>
      </c>
      <c r="N5349" s="1" t="str">
        <f t="shared" si="10191"/>
        <v>0</v>
      </c>
      <c r="O5349" s="1" t="str">
        <f t="shared" si="10191"/>
        <v>0</v>
      </c>
      <c r="P5349" s="1" t="str">
        <f t="shared" si="10191"/>
        <v>0</v>
      </c>
      <c r="Q5349" s="1" t="str">
        <f t="shared" si="10119"/>
        <v>0.0070</v>
      </c>
      <c r="R5349" s="1" t="s">
        <v>25</v>
      </c>
      <c r="T5349" s="1" t="str">
        <f t="shared" si="10120"/>
        <v>0</v>
      </c>
      <c r="U5349" s="1" t="str">
        <f t="shared" si="10166"/>
        <v>0.0070</v>
      </c>
    </row>
    <row r="5350" s="1" customFormat="1" spans="1:21">
      <c r="A5350" s="1" t="str">
        <f>"4601992178625"</f>
        <v>4601992178625</v>
      </c>
      <c r="B5350" s="1" t="s">
        <v>5373</v>
      </c>
      <c r="C5350" s="1" t="s">
        <v>24</v>
      </c>
      <c r="D5350" s="1" t="str">
        <f t="shared" si="10116"/>
        <v>2021</v>
      </c>
      <c r="E5350" s="1" t="str">
        <f t="shared" ref="E5350:P5350" si="10192">"0"</f>
        <v>0</v>
      </c>
      <c r="F5350" s="1" t="str">
        <f t="shared" si="10192"/>
        <v>0</v>
      </c>
      <c r="G5350" s="1" t="str">
        <f t="shared" si="10192"/>
        <v>0</v>
      </c>
      <c r="H5350" s="1" t="str">
        <f t="shared" si="10192"/>
        <v>0</v>
      </c>
      <c r="I5350" s="1" t="str">
        <f t="shared" si="10192"/>
        <v>0</v>
      </c>
      <c r="J5350" s="1" t="str">
        <f t="shared" si="10192"/>
        <v>0</v>
      </c>
      <c r="K5350" s="1" t="str">
        <f t="shared" si="10192"/>
        <v>0</v>
      </c>
      <c r="L5350" s="1" t="str">
        <f t="shared" si="10192"/>
        <v>0</v>
      </c>
      <c r="M5350" s="1" t="str">
        <f t="shared" si="10192"/>
        <v>0</v>
      </c>
      <c r="N5350" s="1" t="str">
        <f t="shared" si="10192"/>
        <v>0</v>
      </c>
      <c r="O5350" s="1" t="str">
        <f t="shared" si="10192"/>
        <v>0</v>
      </c>
      <c r="P5350" s="1" t="str">
        <f t="shared" si="10192"/>
        <v>0</v>
      </c>
      <c r="Q5350" s="1" t="str">
        <f t="shared" si="10119"/>
        <v>0.0070</v>
      </c>
      <c r="R5350" s="1" t="s">
        <v>25</v>
      </c>
      <c r="T5350" s="1" t="str">
        <f t="shared" si="10120"/>
        <v>0</v>
      </c>
      <c r="U5350" s="1" t="str">
        <f t="shared" si="10166"/>
        <v>0.0070</v>
      </c>
    </row>
    <row r="5351" s="1" customFormat="1" spans="1:21">
      <c r="A5351" s="1" t="str">
        <f>"4601992178707"</f>
        <v>4601992178707</v>
      </c>
      <c r="B5351" s="1" t="s">
        <v>5374</v>
      </c>
      <c r="C5351" s="1" t="s">
        <v>24</v>
      </c>
      <c r="D5351" s="1" t="str">
        <f t="shared" si="10116"/>
        <v>2021</v>
      </c>
      <c r="E5351" s="1" t="str">
        <f t="shared" ref="E5351:P5351" si="10193">"0"</f>
        <v>0</v>
      </c>
      <c r="F5351" s="1" t="str">
        <f t="shared" si="10193"/>
        <v>0</v>
      </c>
      <c r="G5351" s="1" t="str">
        <f t="shared" si="10193"/>
        <v>0</v>
      </c>
      <c r="H5351" s="1" t="str">
        <f t="shared" si="10193"/>
        <v>0</v>
      </c>
      <c r="I5351" s="1" t="str">
        <f t="shared" si="10193"/>
        <v>0</v>
      </c>
      <c r="J5351" s="1" t="str">
        <f t="shared" si="10193"/>
        <v>0</v>
      </c>
      <c r="K5351" s="1" t="str">
        <f t="shared" si="10193"/>
        <v>0</v>
      </c>
      <c r="L5351" s="1" t="str">
        <f t="shared" si="10193"/>
        <v>0</v>
      </c>
      <c r="M5351" s="1" t="str">
        <f t="shared" si="10193"/>
        <v>0</v>
      </c>
      <c r="N5351" s="1" t="str">
        <f t="shared" si="10193"/>
        <v>0</v>
      </c>
      <c r="O5351" s="1" t="str">
        <f t="shared" si="10193"/>
        <v>0</v>
      </c>
      <c r="P5351" s="1" t="str">
        <f t="shared" si="10193"/>
        <v>0</v>
      </c>
      <c r="Q5351" s="1" t="str">
        <f t="shared" si="10119"/>
        <v>0.0070</v>
      </c>
      <c r="R5351" s="1" t="s">
        <v>25</v>
      </c>
      <c r="T5351" s="1" t="str">
        <f t="shared" si="10120"/>
        <v>0</v>
      </c>
      <c r="U5351" s="1" t="str">
        <f t="shared" si="10166"/>
        <v>0.0070</v>
      </c>
    </row>
    <row r="5352" s="1" customFormat="1" spans="1:21">
      <c r="A5352" s="1" t="str">
        <f>"4601992178903"</f>
        <v>4601992178903</v>
      </c>
      <c r="B5352" s="1" t="s">
        <v>5375</v>
      </c>
      <c r="C5352" s="1" t="s">
        <v>24</v>
      </c>
      <c r="D5352" s="1" t="str">
        <f t="shared" si="10116"/>
        <v>2021</v>
      </c>
      <c r="E5352" s="1" t="str">
        <f t="shared" ref="E5352:P5352" si="10194">"0"</f>
        <v>0</v>
      </c>
      <c r="F5352" s="1" t="str">
        <f t="shared" si="10194"/>
        <v>0</v>
      </c>
      <c r="G5352" s="1" t="str">
        <f t="shared" si="10194"/>
        <v>0</v>
      </c>
      <c r="H5352" s="1" t="str">
        <f t="shared" si="10194"/>
        <v>0</v>
      </c>
      <c r="I5352" s="1" t="str">
        <f t="shared" si="10194"/>
        <v>0</v>
      </c>
      <c r="J5352" s="1" t="str">
        <f t="shared" si="10194"/>
        <v>0</v>
      </c>
      <c r="K5352" s="1" t="str">
        <f t="shared" si="10194"/>
        <v>0</v>
      </c>
      <c r="L5352" s="1" t="str">
        <f t="shared" si="10194"/>
        <v>0</v>
      </c>
      <c r="M5352" s="1" t="str">
        <f t="shared" si="10194"/>
        <v>0</v>
      </c>
      <c r="N5352" s="1" t="str">
        <f t="shared" si="10194"/>
        <v>0</v>
      </c>
      <c r="O5352" s="1" t="str">
        <f t="shared" si="10194"/>
        <v>0</v>
      </c>
      <c r="P5352" s="1" t="str">
        <f t="shared" si="10194"/>
        <v>0</v>
      </c>
      <c r="Q5352" s="1" t="str">
        <f t="shared" si="10119"/>
        <v>0.0070</v>
      </c>
      <c r="R5352" s="1" t="s">
        <v>25</v>
      </c>
      <c r="T5352" s="1" t="str">
        <f t="shared" si="10120"/>
        <v>0</v>
      </c>
      <c r="U5352" s="1" t="str">
        <f t="shared" si="10166"/>
        <v>0.0070</v>
      </c>
    </row>
    <row r="5353" s="1" customFormat="1" spans="1:21">
      <c r="A5353" s="1" t="str">
        <f>"4601992178747"</f>
        <v>4601992178747</v>
      </c>
      <c r="B5353" s="1" t="s">
        <v>5376</v>
      </c>
      <c r="C5353" s="1" t="s">
        <v>24</v>
      </c>
      <c r="D5353" s="1" t="str">
        <f t="shared" si="10116"/>
        <v>2021</v>
      </c>
      <c r="E5353" s="1" t="str">
        <f>"13.42"</f>
        <v>13.42</v>
      </c>
      <c r="F5353" s="1" t="str">
        <f t="shared" ref="F5353:I5353" si="10195">"0"</f>
        <v>0</v>
      </c>
      <c r="G5353" s="1" t="str">
        <f t="shared" si="10195"/>
        <v>0</v>
      </c>
      <c r="H5353" s="1" t="str">
        <f t="shared" si="10195"/>
        <v>0</v>
      </c>
      <c r="I5353" s="1" t="str">
        <f t="shared" si="10195"/>
        <v>0</v>
      </c>
      <c r="J5353" s="1" t="str">
        <f>"1"</f>
        <v>1</v>
      </c>
      <c r="K5353" s="1" t="str">
        <f t="shared" ref="K5353:P5353" si="10196">"0"</f>
        <v>0</v>
      </c>
      <c r="L5353" s="1" t="str">
        <f t="shared" si="10196"/>
        <v>0</v>
      </c>
      <c r="M5353" s="1" t="str">
        <f t="shared" si="10196"/>
        <v>0</v>
      </c>
      <c r="N5353" s="1" t="str">
        <f t="shared" si="10196"/>
        <v>0</v>
      </c>
      <c r="O5353" s="1" t="str">
        <f t="shared" si="10196"/>
        <v>0</v>
      </c>
      <c r="P5353" s="1" t="str">
        <f t="shared" si="10196"/>
        <v>0</v>
      </c>
      <c r="Q5353" s="1" t="str">
        <f t="shared" si="10119"/>
        <v>0.0070</v>
      </c>
      <c r="R5353" s="1" t="s">
        <v>29</v>
      </c>
      <c r="S5353" s="1">
        <v>-0.0014</v>
      </c>
      <c r="T5353" s="1" t="str">
        <f t="shared" si="10120"/>
        <v>0</v>
      </c>
      <c r="U5353" s="1" t="str">
        <f>"0.0056"</f>
        <v>0.0056</v>
      </c>
    </row>
    <row r="5354" s="1" customFormat="1" spans="1:21">
      <c r="A5354" s="1" t="str">
        <f>"4601992178995"</f>
        <v>4601992178995</v>
      </c>
      <c r="B5354" s="1" t="s">
        <v>5377</v>
      </c>
      <c r="C5354" s="1" t="s">
        <v>24</v>
      </c>
      <c r="D5354" s="1" t="str">
        <f t="shared" si="10116"/>
        <v>2021</v>
      </c>
      <c r="E5354" s="1" t="str">
        <f t="shared" ref="E5354:P5354" si="10197">"0"</f>
        <v>0</v>
      </c>
      <c r="F5354" s="1" t="str">
        <f t="shared" si="10197"/>
        <v>0</v>
      </c>
      <c r="G5354" s="1" t="str">
        <f t="shared" si="10197"/>
        <v>0</v>
      </c>
      <c r="H5354" s="1" t="str">
        <f t="shared" si="10197"/>
        <v>0</v>
      </c>
      <c r="I5354" s="1" t="str">
        <f t="shared" si="10197"/>
        <v>0</v>
      </c>
      <c r="J5354" s="1" t="str">
        <f t="shared" si="10197"/>
        <v>0</v>
      </c>
      <c r="K5354" s="1" t="str">
        <f t="shared" si="10197"/>
        <v>0</v>
      </c>
      <c r="L5354" s="1" t="str">
        <f t="shared" si="10197"/>
        <v>0</v>
      </c>
      <c r="M5354" s="1" t="str">
        <f t="shared" si="10197"/>
        <v>0</v>
      </c>
      <c r="N5354" s="1" t="str">
        <f t="shared" si="10197"/>
        <v>0</v>
      </c>
      <c r="O5354" s="1" t="str">
        <f t="shared" si="10197"/>
        <v>0</v>
      </c>
      <c r="P5354" s="1" t="str">
        <f t="shared" si="10197"/>
        <v>0</v>
      </c>
      <c r="Q5354" s="1" t="str">
        <f t="shared" si="10119"/>
        <v>0.0070</v>
      </c>
      <c r="R5354" s="1" t="s">
        <v>25</v>
      </c>
      <c r="T5354" s="1" t="str">
        <f t="shared" si="10120"/>
        <v>0</v>
      </c>
      <c r="U5354" s="1" t="str">
        <f t="shared" ref="U5354:U5380" si="10198">"0.0070"</f>
        <v>0.0070</v>
      </c>
    </row>
    <row r="5355" s="1" customFormat="1" spans="1:21">
      <c r="A5355" s="1" t="str">
        <f>"4601992178783"</f>
        <v>4601992178783</v>
      </c>
      <c r="B5355" s="1" t="s">
        <v>5378</v>
      </c>
      <c r="C5355" s="1" t="s">
        <v>24</v>
      </c>
      <c r="D5355" s="1" t="str">
        <f t="shared" si="10116"/>
        <v>2021</v>
      </c>
      <c r="E5355" s="1" t="str">
        <f t="shared" ref="E5355:I5355" si="10199">"0"</f>
        <v>0</v>
      </c>
      <c r="F5355" s="1" t="str">
        <f t="shared" si="10199"/>
        <v>0</v>
      </c>
      <c r="G5355" s="1" t="str">
        <f t="shared" si="10199"/>
        <v>0</v>
      </c>
      <c r="H5355" s="1" t="str">
        <f t="shared" si="10199"/>
        <v>0</v>
      </c>
      <c r="I5355" s="1" t="str">
        <f t="shared" si="10199"/>
        <v>0</v>
      </c>
      <c r="J5355" s="1" t="str">
        <f>"12"</f>
        <v>12</v>
      </c>
      <c r="K5355" s="1" t="str">
        <f t="shared" ref="K5355:P5355" si="10200">"0"</f>
        <v>0</v>
      </c>
      <c r="L5355" s="1" t="str">
        <f t="shared" si="10200"/>
        <v>0</v>
      </c>
      <c r="M5355" s="1" t="str">
        <f t="shared" si="10200"/>
        <v>0</v>
      </c>
      <c r="N5355" s="1" t="str">
        <f t="shared" si="10200"/>
        <v>0</v>
      </c>
      <c r="O5355" s="1" t="str">
        <f t="shared" si="10200"/>
        <v>0</v>
      </c>
      <c r="P5355" s="1" t="str">
        <f t="shared" si="10200"/>
        <v>0</v>
      </c>
      <c r="Q5355" s="1" t="str">
        <f t="shared" si="10119"/>
        <v>0.0070</v>
      </c>
      <c r="R5355" s="1" t="s">
        <v>25</v>
      </c>
      <c r="T5355" s="1" t="str">
        <f t="shared" si="10120"/>
        <v>0</v>
      </c>
      <c r="U5355" s="1" t="str">
        <f t="shared" si="10198"/>
        <v>0.0070</v>
      </c>
    </row>
    <row r="5356" s="1" customFormat="1" spans="1:21">
      <c r="A5356" s="1" t="str">
        <f>"4601992178936"</f>
        <v>4601992178936</v>
      </c>
      <c r="B5356" s="1" t="s">
        <v>5379</v>
      </c>
      <c r="C5356" s="1" t="s">
        <v>24</v>
      </c>
      <c r="D5356" s="1" t="str">
        <f t="shared" si="10116"/>
        <v>2021</v>
      </c>
      <c r="E5356" s="1" t="str">
        <f t="shared" ref="E5356:I5356" si="10201">"0"</f>
        <v>0</v>
      </c>
      <c r="F5356" s="1" t="str">
        <f t="shared" si="10201"/>
        <v>0</v>
      </c>
      <c r="G5356" s="1" t="str">
        <f t="shared" si="10201"/>
        <v>0</v>
      </c>
      <c r="H5356" s="1" t="str">
        <f t="shared" si="10201"/>
        <v>0</v>
      </c>
      <c r="I5356" s="1" t="str">
        <f t="shared" si="10201"/>
        <v>0</v>
      </c>
      <c r="J5356" s="1" t="str">
        <f>"4"</f>
        <v>4</v>
      </c>
      <c r="K5356" s="1" t="str">
        <f t="shared" ref="K5356:P5356" si="10202">"0"</f>
        <v>0</v>
      </c>
      <c r="L5356" s="1" t="str">
        <f t="shared" si="10202"/>
        <v>0</v>
      </c>
      <c r="M5356" s="1" t="str">
        <f t="shared" si="10202"/>
        <v>0</v>
      </c>
      <c r="N5356" s="1" t="str">
        <f t="shared" si="10202"/>
        <v>0</v>
      </c>
      <c r="O5356" s="1" t="str">
        <f t="shared" si="10202"/>
        <v>0</v>
      </c>
      <c r="P5356" s="1" t="str">
        <f t="shared" si="10202"/>
        <v>0</v>
      </c>
      <c r="Q5356" s="1" t="str">
        <f t="shared" si="10119"/>
        <v>0.0070</v>
      </c>
      <c r="R5356" s="1" t="s">
        <v>25</v>
      </c>
      <c r="T5356" s="1" t="str">
        <f t="shared" si="10120"/>
        <v>0</v>
      </c>
      <c r="U5356" s="1" t="str">
        <f t="shared" si="10198"/>
        <v>0.0070</v>
      </c>
    </row>
    <row r="5357" s="1" customFormat="1" spans="1:21">
      <c r="A5357" s="1" t="str">
        <f>"4601992179275"</f>
        <v>4601992179275</v>
      </c>
      <c r="B5357" s="1" t="s">
        <v>5380</v>
      </c>
      <c r="C5357" s="1" t="s">
        <v>24</v>
      </c>
      <c r="D5357" s="1" t="str">
        <f t="shared" si="10116"/>
        <v>2021</v>
      </c>
      <c r="E5357" s="1" t="str">
        <f t="shared" ref="E5357:P5357" si="10203">"0"</f>
        <v>0</v>
      </c>
      <c r="F5357" s="1" t="str">
        <f t="shared" si="10203"/>
        <v>0</v>
      </c>
      <c r="G5357" s="1" t="str">
        <f t="shared" si="10203"/>
        <v>0</v>
      </c>
      <c r="H5357" s="1" t="str">
        <f t="shared" si="10203"/>
        <v>0</v>
      </c>
      <c r="I5357" s="1" t="str">
        <f t="shared" si="10203"/>
        <v>0</v>
      </c>
      <c r="J5357" s="1" t="str">
        <f t="shared" si="10203"/>
        <v>0</v>
      </c>
      <c r="K5357" s="1" t="str">
        <f t="shared" si="10203"/>
        <v>0</v>
      </c>
      <c r="L5357" s="1" t="str">
        <f t="shared" si="10203"/>
        <v>0</v>
      </c>
      <c r="M5357" s="1" t="str">
        <f t="shared" si="10203"/>
        <v>0</v>
      </c>
      <c r="N5357" s="1" t="str">
        <f t="shared" si="10203"/>
        <v>0</v>
      </c>
      <c r="O5357" s="1" t="str">
        <f t="shared" si="10203"/>
        <v>0</v>
      </c>
      <c r="P5357" s="1" t="str">
        <f t="shared" si="10203"/>
        <v>0</v>
      </c>
      <c r="Q5357" s="1" t="str">
        <f t="shared" si="10119"/>
        <v>0.0070</v>
      </c>
      <c r="R5357" s="1" t="s">
        <v>25</v>
      </c>
      <c r="T5357" s="1" t="str">
        <f t="shared" si="10120"/>
        <v>0</v>
      </c>
      <c r="U5357" s="1" t="str">
        <f t="shared" si="10198"/>
        <v>0.0070</v>
      </c>
    </row>
    <row r="5358" s="1" customFormat="1" spans="1:21">
      <c r="A5358" s="1" t="str">
        <f>"4601992179044"</f>
        <v>4601992179044</v>
      </c>
      <c r="B5358" s="1" t="s">
        <v>5381</v>
      </c>
      <c r="C5358" s="1" t="s">
        <v>24</v>
      </c>
      <c r="D5358" s="1" t="str">
        <f t="shared" si="10116"/>
        <v>2021</v>
      </c>
      <c r="E5358" s="1" t="str">
        <f t="shared" ref="E5358:P5358" si="10204">"0"</f>
        <v>0</v>
      </c>
      <c r="F5358" s="1" t="str">
        <f t="shared" si="10204"/>
        <v>0</v>
      </c>
      <c r="G5358" s="1" t="str">
        <f t="shared" si="10204"/>
        <v>0</v>
      </c>
      <c r="H5358" s="1" t="str">
        <f t="shared" si="10204"/>
        <v>0</v>
      </c>
      <c r="I5358" s="1" t="str">
        <f t="shared" si="10204"/>
        <v>0</v>
      </c>
      <c r="J5358" s="1" t="str">
        <f t="shared" si="10204"/>
        <v>0</v>
      </c>
      <c r="K5358" s="1" t="str">
        <f t="shared" si="10204"/>
        <v>0</v>
      </c>
      <c r="L5358" s="1" t="str">
        <f t="shared" si="10204"/>
        <v>0</v>
      </c>
      <c r="M5358" s="1" t="str">
        <f t="shared" si="10204"/>
        <v>0</v>
      </c>
      <c r="N5358" s="1" t="str">
        <f t="shared" si="10204"/>
        <v>0</v>
      </c>
      <c r="O5358" s="1" t="str">
        <f t="shared" si="10204"/>
        <v>0</v>
      </c>
      <c r="P5358" s="1" t="str">
        <f t="shared" si="10204"/>
        <v>0</v>
      </c>
      <c r="Q5358" s="1" t="str">
        <f t="shared" si="10119"/>
        <v>0.0070</v>
      </c>
      <c r="R5358" s="1" t="s">
        <v>25</v>
      </c>
      <c r="T5358" s="1" t="str">
        <f t="shared" si="10120"/>
        <v>0</v>
      </c>
      <c r="U5358" s="1" t="str">
        <f t="shared" si="10198"/>
        <v>0.0070</v>
      </c>
    </row>
    <row r="5359" s="1" customFormat="1" spans="1:21">
      <c r="A5359" s="1" t="str">
        <f>"4601992179392"</f>
        <v>4601992179392</v>
      </c>
      <c r="B5359" s="1" t="s">
        <v>5382</v>
      </c>
      <c r="C5359" s="1" t="s">
        <v>24</v>
      </c>
      <c r="D5359" s="1" t="str">
        <f t="shared" si="10116"/>
        <v>2021</v>
      </c>
      <c r="E5359" s="1" t="str">
        <f t="shared" ref="E5359:P5359" si="10205">"0"</f>
        <v>0</v>
      </c>
      <c r="F5359" s="1" t="str">
        <f t="shared" si="10205"/>
        <v>0</v>
      </c>
      <c r="G5359" s="1" t="str">
        <f t="shared" si="10205"/>
        <v>0</v>
      </c>
      <c r="H5359" s="1" t="str">
        <f t="shared" si="10205"/>
        <v>0</v>
      </c>
      <c r="I5359" s="1" t="str">
        <f t="shared" si="10205"/>
        <v>0</v>
      </c>
      <c r="J5359" s="1" t="str">
        <f t="shared" si="10205"/>
        <v>0</v>
      </c>
      <c r="K5359" s="1" t="str">
        <f t="shared" si="10205"/>
        <v>0</v>
      </c>
      <c r="L5359" s="1" t="str">
        <f t="shared" si="10205"/>
        <v>0</v>
      </c>
      <c r="M5359" s="1" t="str">
        <f t="shared" si="10205"/>
        <v>0</v>
      </c>
      <c r="N5359" s="1" t="str">
        <f t="shared" si="10205"/>
        <v>0</v>
      </c>
      <c r="O5359" s="1" t="str">
        <f t="shared" si="10205"/>
        <v>0</v>
      </c>
      <c r="P5359" s="1" t="str">
        <f t="shared" si="10205"/>
        <v>0</v>
      </c>
      <c r="Q5359" s="1" t="str">
        <f t="shared" si="10119"/>
        <v>0.0070</v>
      </c>
      <c r="R5359" s="1" t="s">
        <v>25</v>
      </c>
      <c r="T5359" s="1" t="str">
        <f t="shared" si="10120"/>
        <v>0</v>
      </c>
      <c r="U5359" s="1" t="str">
        <f t="shared" si="10198"/>
        <v>0.0070</v>
      </c>
    </row>
    <row r="5360" s="1" customFormat="1" spans="1:21">
      <c r="A5360" s="1" t="str">
        <f>"4601992179404"</f>
        <v>4601992179404</v>
      </c>
      <c r="B5360" s="1" t="s">
        <v>5383</v>
      </c>
      <c r="C5360" s="1" t="s">
        <v>24</v>
      </c>
      <c r="D5360" s="1" t="str">
        <f t="shared" si="10116"/>
        <v>2021</v>
      </c>
      <c r="E5360" s="1" t="str">
        <f t="shared" ref="E5360:P5360" si="10206">"0"</f>
        <v>0</v>
      </c>
      <c r="F5360" s="1" t="str">
        <f t="shared" si="10206"/>
        <v>0</v>
      </c>
      <c r="G5360" s="1" t="str">
        <f t="shared" si="10206"/>
        <v>0</v>
      </c>
      <c r="H5360" s="1" t="str">
        <f t="shared" si="10206"/>
        <v>0</v>
      </c>
      <c r="I5360" s="1" t="str">
        <f t="shared" si="10206"/>
        <v>0</v>
      </c>
      <c r="J5360" s="1" t="str">
        <f t="shared" si="10206"/>
        <v>0</v>
      </c>
      <c r="K5360" s="1" t="str">
        <f t="shared" si="10206"/>
        <v>0</v>
      </c>
      <c r="L5360" s="1" t="str">
        <f t="shared" si="10206"/>
        <v>0</v>
      </c>
      <c r="M5360" s="1" t="str">
        <f t="shared" si="10206"/>
        <v>0</v>
      </c>
      <c r="N5360" s="1" t="str">
        <f t="shared" si="10206"/>
        <v>0</v>
      </c>
      <c r="O5360" s="1" t="str">
        <f t="shared" si="10206"/>
        <v>0</v>
      </c>
      <c r="P5360" s="1" t="str">
        <f t="shared" si="10206"/>
        <v>0</v>
      </c>
      <c r="Q5360" s="1" t="str">
        <f t="shared" si="10119"/>
        <v>0.0070</v>
      </c>
      <c r="R5360" s="1" t="s">
        <v>25</v>
      </c>
      <c r="T5360" s="1" t="str">
        <f t="shared" si="10120"/>
        <v>0</v>
      </c>
      <c r="U5360" s="1" t="str">
        <f t="shared" si="10198"/>
        <v>0.0070</v>
      </c>
    </row>
    <row r="5361" s="1" customFormat="1" spans="1:21">
      <c r="A5361" s="1" t="str">
        <f>"4601992179526"</f>
        <v>4601992179526</v>
      </c>
      <c r="B5361" s="1" t="s">
        <v>5384</v>
      </c>
      <c r="C5361" s="1" t="s">
        <v>24</v>
      </c>
      <c r="D5361" s="1" t="str">
        <f t="shared" si="10116"/>
        <v>2021</v>
      </c>
      <c r="E5361" s="1" t="str">
        <f t="shared" ref="E5361:P5361" si="10207">"0"</f>
        <v>0</v>
      </c>
      <c r="F5361" s="1" t="str">
        <f t="shared" si="10207"/>
        <v>0</v>
      </c>
      <c r="G5361" s="1" t="str">
        <f t="shared" si="10207"/>
        <v>0</v>
      </c>
      <c r="H5361" s="1" t="str">
        <f t="shared" si="10207"/>
        <v>0</v>
      </c>
      <c r="I5361" s="1" t="str">
        <f t="shared" si="10207"/>
        <v>0</v>
      </c>
      <c r="J5361" s="1" t="str">
        <f t="shared" si="10207"/>
        <v>0</v>
      </c>
      <c r="K5361" s="1" t="str">
        <f t="shared" si="10207"/>
        <v>0</v>
      </c>
      <c r="L5361" s="1" t="str">
        <f t="shared" si="10207"/>
        <v>0</v>
      </c>
      <c r="M5361" s="1" t="str">
        <f t="shared" si="10207"/>
        <v>0</v>
      </c>
      <c r="N5361" s="1" t="str">
        <f t="shared" si="10207"/>
        <v>0</v>
      </c>
      <c r="O5361" s="1" t="str">
        <f t="shared" si="10207"/>
        <v>0</v>
      </c>
      <c r="P5361" s="1" t="str">
        <f t="shared" si="10207"/>
        <v>0</v>
      </c>
      <c r="Q5361" s="1" t="str">
        <f t="shared" si="10119"/>
        <v>0.0070</v>
      </c>
      <c r="R5361" s="1" t="s">
        <v>25</v>
      </c>
      <c r="T5361" s="1" t="str">
        <f t="shared" si="10120"/>
        <v>0</v>
      </c>
      <c r="U5361" s="1" t="str">
        <f t="shared" si="10198"/>
        <v>0.0070</v>
      </c>
    </row>
    <row r="5362" s="1" customFormat="1" spans="1:21">
      <c r="A5362" s="1" t="str">
        <f>"4601992179303"</f>
        <v>4601992179303</v>
      </c>
      <c r="B5362" s="1" t="s">
        <v>5385</v>
      </c>
      <c r="C5362" s="1" t="s">
        <v>24</v>
      </c>
      <c r="D5362" s="1" t="str">
        <f t="shared" si="10116"/>
        <v>2021</v>
      </c>
      <c r="E5362" s="1" t="str">
        <f t="shared" ref="E5362:I5362" si="10208">"0"</f>
        <v>0</v>
      </c>
      <c r="F5362" s="1" t="str">
        <f t="shared" si="10208"/>
        <v>0</v>
      </c>
      <c r="G5362" s="1" t="str">
        <f t="shared" si="10208"/>
        <v>0</v>
      </c>
      <c r="H5362" s="1" t="str">
        <f t="shared" si="10208"/>
        <v>0</v>
      </c>
      <c r="I5362" s="1" t="str">
        <f t="shared" si="10208"/>
        <v>0</v>
      </c>
      <c r="J5362" s="1" t="str">
        <f>"2"</f>
        <v>2</v>
      </c>
      <c r="K5362" s="1" t="str">
        <f t="shared" ref="K5362:P5362" si="10209">"0"</f>
        <v>0</v>
      </c>
      <c r="L5362" s="1" t="str">
        <f t="shared" si="10209"/>
        <v>0</v>
      </c>
      <c r="M5362" s="1" t="str">
        <f t="shared" si="10209"/>
        <v>0</v>
      </c>
      <c r="N5362" s="1" t="str">
        <f t="shared" si="10209"/>
        <v>0</v>
      </c>
      <c r="O5362" s="1" t="str">
        <f t="shared" si="10209"/>
        <v>0</v>
      </c>
      <c r="P5362" s="1" t="str">
        <f t="shared" si="10209"/>
        <v>0</v>
      </c>
      <c r="Q5362" s="1" t="str">
        <f t="shared" si="10119"/>
        <v>0.0070</v>
      </c>
      <c r="R5362" s="1" t="s">
        <v>25</v>
      </c>
      <c r="T5362" s="1" t="str">
        <f t="shared" si="10120"/>
        <v>0</v>
      </c>
      <c r="U5362" s="1" t="str">
        <f t="shared" si="10198"/>
        <v>0.0070</v>
      </c>
    </row>
    <row r="5363" s="1" customFormat="1" spans="1:21">
      <c r="A5363" s="1" t="str">
        <f>"4601992179654"</f>
        <v>4601992179654</v>
      </c>
      <c r="B5363" s="1" t="s">
        <v>5386</v>
      </c>
      <c r="C5363" s="1" t="s">
        <v>24</v>
      </c>
      <c r="D5363" s="1" t="str">
        <f t="shared" si="10116"/>
        <v>2021</v>
      </c>
      <c r="E5363" s="1" t="str">
        <f t="shared" ref="E5363:P5363" si="10210">"0"</f>
        <v>0</v>
      </c>
      <c r="F5363" s="1" t="str">
        <f t="shared" si="10210"/>
        <v>0</v>
      </c>
      <c r="G5363" s="1" t="str">
        <f t="shared" si="10210"/>
        <v>0</v>
      </c>
      <c r="H5363" s="1" t="str">
        <f t="shared" si="10210"/>
        <v>0</v>
      </c>
      <c r="I5363" s="1" t="str">
        <f t="shared" si="10210"/>
        <v>0</v>
      </c>
      <c r="J5363" s="1" t="str">
        <f t="shared" si="10210"/>
        <v>0</v>
      </c>
      <c r="K5363" s="1" t="str">
        <f t="shared" si="10210"/>
        <v>0</v>
      </c>
      <c r="L5363" s="1" t="str">
        <f t="shared" si="10210"/>
        <v>0</v>
      </c>
      <c r="M5363" s="1" t="str">
        <f t="shared" si="10210"/>
        <v>0</v>
      </c>
      <c r="N5363" s="1" t="str">
        <f t="shared" si="10210"/>
        <v>0</v>
      </c>
      <c r="O5363" s="1" t="str">
        <f t="shared" si="10210"/>
        <v>0</v>
      </c>
      <c r="P5363" s="1" t="str">
        <f t="shared" si="10210"/>
        <v>0</v>
      </c>
      <c r="Q5363" s="1" t="str">
        <f t="shared" si="10119"/>
        <v>0.0070</v>
      </c>
      <c r="R5363" s="1" t="s">
        <v>25</v>
      </c>
      <c r="T5363" s="1" t="str">
        <f t="shared" si="10120"/>
        <v>0</v>
      </c>
      <c r="U5363" s="1" t="str">
        <f t="shared" si="10198"/>
        <v>0.0070</v>
      </c>
    </row>
    <row r="5364" s="1" customFormat="1" spans="1:21">
      <c r="A5364" s="1" t="str">
        <f>"4601992179575"</f>
        <v>4601992179575</v>
      </c>
      <c r="B5364" s="1" t="s">
        <v>5387</v>
      </c>
      <c r="C5364" s="1" t="s">
        <v>24</v>
      </c>
      <c r="D5364" s="1" t="str">
        <f t="shared" si="10116"/>
        <v>2021</v>
      </c>
      <c r="E5364" s="1" t="str">
        <f t="shared" ref="E5364:P5364" si="10211">"0"</f>
        <v>0</v>
      </c>
      <c r="F5364" s="1" t="str">
        <f t="shared" si="10211"/>
        <v>0</v>
      </c>
      <c r="G5364" s="1" t="str">
        <f t="shared" si="10211"/>
        <v>0</v>
      </c>
      <c r="H5364" s="1" t="str">
        <f t="shared" si="10211"/>
        <v>0</v>
      </c>
      <c r="I5364" s="1" t="str">
        <f t="shared" si="10211"/>
        <v>0</v>
      </c>
      <c r="J5364" s="1" t="str">
        <f t="shared" si="10211"/>
        <v>0</v>
      </c>
      <c r="K5364" s="1" t="str">
        <f t="shared" si="10211"/>
        <v>0</v>
      </c>
      <c r="L5364" s="1" t="str">
        <f t="shared" si="10211"/>
        <v>0</v>
      </c>
      <c r="M5364" s="1" t="str">
        <f t="shared" si="10211"/>
        <v>0</v>
      </c>
      <c r="N5364" s="1" t="str">
        <f t="shared" si="10211"/>
        <v>0</v>
      </c>
      <c r="O5364" s="1" t="str">
        <f t="shared" si="10211"/>
        <v>0</v>
      </c>
      <c r="P5364" s="1" t="str">
        <f t="shared" si="10211"/>
        <v>0</v>
      </c>
      <c r="Q5364" s="1" t="str">
        <f t="shared" si="10119"/>
        <v>0.0070</v>
      </c>
      <c r="R5364" s="1" t="s">
        <v>25</v>
      </c>
      <c r="T5364" s="1" t="str">
        <f t="shared" si="10120"/>
        <v>0</v>
      </c>
      <c r="U5364" s="1" t="str">
        <f t="shared" si="10198"/>
        <v>0.0070</v>
      </c>
    </row>
    <row r="5365" s="1" customFormat="1" spans="1:21">
      <c r="A5365" s="1" t="str">
        <f>"4601992179660"</f>
        <v>4601992179660</v>
      </c>
      <c r="B5365" s="1" t="s">
        <v>5388</v>
      </c>
      <c r="C5365" s="1" t="s">
        <v>24</v>
      </c>
      <c r="D5365" s="1" t="str">
        <f t="shared" si="10116"/>
        <v>2021</v>
      </c>
      <c r="E5365" s="1" t="str">
        <f t="shared" ref="E5365:P5365" si="10212">"0"</f>
        <v>0</v>
      </c>
      <c r="F5365" s="1" t="str">
        <f t="shared" si="10212"/>
        <v>0</v>
      </c>
      <c r="G5365" s="1" t="str">
        <f t="shared" si="10212"/>
        <v>0</v>
      </c>
      <c r="H5365" s="1" t="str">
        <f t="shared" si="10212"/>
        <v>0</v>
      </c>
      <c r="I5365" s="1" t="str">
        <f t="shared" si="10212"/>
        <v>0</v>
      </c>
      <c r="J5365" s="1" t="str">
        <f t="shared" si="10212"/>
        <v>0</v>
      </c>
      <c r="K5365" s="1" t="str">
        <f t="shared" si="10212"/>
        <v>0</v>
      </c>
      <c r="L5365" s="1" t="str">
        <f t="shared" si="10212"/>
        <v>0</v>
      </c>
      <c r="M5365" s="1" t="str">
        <f t="shared" si="10212"/>
        <v>0</v>
      </c>
      <c r="N5365" s="1" t="str">
        <f t="shared" si="10212"/>
        <v>0</v>
      </c>
      <c r="O5365" s="1" t="str">
        <f t="shared" si="10212"/>
        <v>0</v>
      </c>
      <c r="P5365" s="1" t="str">
        <f t="shared" si="10212"/>
        <v>0</v>
      </c>
      <c r="Q5365" s="1" t="str">
        <f t="shared" si="10119"/>
        <v>0.0070</v>
      </c>
      <c r="R5365" s="1" t="s">
        <v>25</v>
      </c>
      <c r="T5365" s="1" t="str">
        <f t="shared" si="10120"/>
        <v>0</v>
      </c>
      <c r="U5365" s="1" t="str">
        <f t="shared" si="10198"/>
        <v>0.0070</v>
      </c>
    </row>
    <row r="5366" s="1" customFormat="1" spans="1:21">
      <c r="A5366" s="1" t="str">
        <f>"4601992179627"</f>
        <v>4601992179627</v>
      </c>
      <c r="B5366" s="1" t="s">
        <v>5389</v>
      </c>
      <c r="C5366" s="1" t="s">
        <v>24</v>
      </c>
      <c r="D5366" s="1" t="str">
        <f t="shared" si="10116"/>
        <v>2021</v>
      </c>
      <c r="E5366" s="1" t="str">
        <f t="shared" ref="E5366:I5366" si="10213">"0"</f>
        <v>0</v>
      </c>
      <c r="F5366" s="1" t="str">
        <f t="shared" si="10213"/>
        <v>0</v>
      </c>
      <c r="G5366" s="1" t="str">
        <f t="shared" si="10213"/>
        <v>0</v>
      </c>
      <c r="H5366" s="1" t="str">
        <f t="shared" si="10213"/>
        <v>0</v>
      </c>
      <c r="I5366" s="1" t="str">
        <f t="shared" si="10213"/>
        <v>0</v>
      </c>
      <c r="J5366" s="1" t="str">
        <f>"3"</f>
        <v>3</v>
      </c>
      <c r="K5366" s="1" t="str">
        <f t="shared" ref="K5366:P5366" si="10214">"0"</f>
        <v>0</v>
      </c>
      <c r="L5366" s="1" t="str">
        <f t="shared" si="10214"/>
        <v>0</v>
      </c>
      <c r="M5366" s="1" t="str">
        <f t="shared" si="10214"/>
        <v>0</v>
      </c>
      <c r="N5366" s="1" t="str">
        <f t="shared" si="10214"/>
        <v>0</v>
      </c>
      <c r="O5366" s="1" t="str">
        <f t="shared" si="10214"/>
        <v>0</v>
      </c>
      <c r="P5366" s="1" t="str">
        <f t="shared" si="10214"/>
        <v>0</v>
      </c>
      <c r="Q5366" s="1" t="str">
        <f t="shared" si="10119"/>
        <v>0.0070</v>
      </c>
      <c r="R5366" s="1" t="s">
        <v>25</v>
      </c>
      <c r="T5366" s="1" t="str">
        <f t="shared" si="10120"/>
        <v>0</v>
      </c>
      <c r="U5366" s="1" t="str">
        <f t="shared" si="10198"/>
        <v>0.0070</v>
      </c>
    </row>
    <row r="5367" s="1" customFormat="1" spans="1:21">
      <c r="A5367" s="1" t="str">
        <f>"4601992179835"</f>
        <v>4601992179835</v>
      </c>
      <c r="B5367" s="1" t="s">
        <v>5390</v>
      </c>
      <c r="C5367" s="1" t="s">
        <v>24</v>
      </c>
      <c r="D5367" s="1" t="str">
        <f t="shared" si="10116"/>
        <v>2021</v>
      </c>
      <c r="E5367" s="1" t="str">
        <f t="shared" ref="E5367:P5367" si="10215">"0"</f>
        <v>0</v>
      </c>
      <c r="F5367" s="1" t="str">
        <f t="shared" si="10215"/>
        <v>0</v>
      </c>
      <c r="G5367" s="1" t="str">
        <f t="shared" si="10215"/>
        <v>0</v>
      </c>
      <c r="H5367" s="1" t="str">
        <f t="shared" si="10215"/>
        <v>0</v>
      </c>
      <c r="I5367" s="1" t="str">
        <f t="shared" si="10215"/>
        <v>0</v>
      </c>
      <c r="J5367" s="1" t="str">
        <f t="shared" si="10215"/>
        <v>0</v>
      </c>
      <c r="K5367" s="1" t="str">
        <f t="shared" si="10215"/>
        <v>0</v>
      </c>
      <c r="L5367" s="1" t="str">
        <f t="shared" si="10215"/>
        <v>0</v>
      </c>
      <c r="M5367" s="1" t="str">
        <f t="shared" si="10215"/>
        <v>0</v>
      </c>
      <c r="N5367" s="1" t="str">
        <f t="shared" si="10215"/>
        <v>0</v>
      </c>
      <c r="O5367" s="1" t="str">
        <f t="shared" si="10215"/>
        <v>0</v>
      </c>
      <c r="P5367" s="1" t="str">
        <f t="shared" si="10215"/>
        <v>0</v>
      </c>
      <c r="Q5367" s="1" t="str">
        <f t="shared" si="10119"/>
        <v>0.0070</v>
      </c>
      <c r="R5367" s="1" t="s">
        <v>25</v>
      </c>
      <c r="T5367" s="1" t="str">
        <f t="shared" si="10120"/>
        <v>0</v>
      </c>
      <c r="U5367" s="1" t="str">
        <f t="shared" si="10198"/>
        <v>0.0070</v>
      </c>
    </row>
    <row r="5368" s="1" customFormat="1" spans="1:21">
      <c r="A5368" s="1" t="str">
        <f>"4601992179899"</f>
        <v>4601992179899</v>
      </c>
      <c r="B5368" s="1" t="s">
        <v>5391</v>
      </c>
      <c r="C5368" s="1" t="s">
        <v>24</v>
      </c>
      <c r="D5368" s="1" t="str">
        <f t="shared" si="10116"/>
        <v>2021</v>
      </c>
      <c r="E5368" s="1" t="str">
        <f t="shared" ref="E5368:P5368" si="10216">"0"</f>
        <v>0</v>
      </c>
      <c r="F5368" s="1" t="str">
        <f t="shared" si="10216"/>
        <v>0</v>
      </c>
      <c r="G5368" s="1" t="str">
        <f t="shared" si="10216"/>
        <v>0</v>
      </c>
      <c r="H5368" s="1" t="str">
        <f t="shared" si="10216"/>
        <v>0</v>
      </c>
      <c r="I5368" s="1" t="str">
        <f t="shared" si="10216"/>
        <v>0</v>
      </c>
      <c r="J5368" s="1" t="str">
        <f t="shared" si="10216"/>
        <v>0</v>
      </c>
      <c r="K5368" s="1" t="str">
        <f t="shared" si="10216"/>
        <v>0</v>
      </c>
      <c r="L5368" s="1" t="str">
        <f t="shared" si="10216"/>
        <v>0</v>
      </c>
      <c r="M5368" s="1" t="str">
        <f t="shared" si="10216"/>
        <v>0</v>
      </c>
      <c r="N5368" s="1" t="str">
        <f t="shared" si="10216"/>
        <v>0</v>
      </c>
      <c r="O5368" s="1" t="str">
        <f t="shared" si="10216"/>
        <v>0</v>
      </c>
      <c r="P5368" s="1" t="str">
        <f t="shared" si="10216"/>
        <v>0</v>
      </c>
      <c r="Q5368" s="1" t="str">
        <f t="shared" si="10119"/>
        <v>0.0070</v>
      </c>
      <c r="R5368" s="1" t="s">
        <v>25</v>
      </c>
      <c r="T5368" s="1" t="str">
        <f t="shared" si="10120"/>
        <v>0</v>
      </c>
      <c r="U5368" s="1" t="str">
        <f t="shared" si="10198"/>
        <v>0.0070</v>
      </c>
    </row>
    <row r="5369" s="1" customFormat="1" spans="1:21">
      <c r="A5369" s="1" t="str">
        <f>"4601992180135"</f>
        <v>4601992180135</v>
      </c>
      <c r="B5369" s="1" t="s">
        <v>5392</v>
      </c>
      <c r="C5369" s="1" t="s">
        <v>24</v>
      </c>
      <c r="D5369" s="1" t="str">
        <f t="shared" si="10116"/>
        <v>2021</v>
      </c>
      <c r="E5369" s="1" t="str">
        <f t="shared" ref="E5369:P5369" si="10217">"0"</f>
        <v>0</v>
      </c>
      <c r="F5369" s="1" t="str">
        <f t="shared" si="10217"/>
        <v>0</v>
      </c>
      <c r="G5369" s="1" t="str">
        <f t="shared" si="10217"/>
        <v>0</v>
      </c>
      <c r="H5369" s="1" t="str">
        <f t="shared" si="10217"/>
        <v>0</v>
      </c>
      <c r="I5369" s="1" t="str">
        <f t="shared" si="10217"/>
        <v>0</v>
      </c>
      <c r="J5369" s="1" t="str">
        <f t="shared" si="10217"/>
        <v>0</v>
      </c>
      <c r="K5369" s="1" t="str">
        <f t="shared" si="10217"/>
        <v>0</v>
      </c>
      <c r="L5369" s="1" t="str">
        <f t="shared" si="10217"/>
        <v>0</v>
      </c>
      <c r="M5369" s="1" t="str">
        <f t="shared" si="10217"/>
        <v>0</v>
      </c>
      <c r="N5369" s="1" t="str">
        <f t="shared" si="10217"/>
        <v>0</v>
      </c>
      <c r="O5369" s="1" t="str">
        <f t="shared" si="10217"/>
        <v>0</v>
      </c>
      <c r="P5369" s="1" t="str">
        <f t="shared" si="10217"/>
        <v>0</v>
      </c>
      <c r="Q5369" s="1" t="str">
        <f t="shared" si="10119"/>
        <v>0.0070</v>
      </c>
      <c r="R5369" s="1" t="s">
        <v>25</v>
      </c>
      <c r="T5369" s="1" t="str">
        <f t="shared" si="10120"/>
        <v>0</v>
      </c>
      <c r="U5369" s="1" t="str">
        <f t="shared" si="10198"/>
        <v>0.0070</v>
      </c>
    </row>
    <row r="5370" s="1" customFormat="1" spans="1:21">
      <c r="A5370" s="1" t="str">
        <f>"4601992180644"</f>
        <v>4601992180644</v>
      </c>
      <c r="B5370" s="1" t="s">
        <v>5393</v>
      </c>
      <c r="C5370" s="1" t="s">
        <v>24</v>
      </c>
      <c r="D5370" s="1" t="str">
        <f t="shared" si="10116"/>
        <v>2021</v>
      </c>
      <c r="E5370" s="1" t="str">
        <f t="shared" ref="E5370:P5370" si="10218">"0"</f>
        <v>0</v>
      </c>
      <c r="F5370" s="1" t="str">
        <f t="shared" si="10218"/>
        <v>0</v>
      </c>
      <c r="G5370" s="1" t="str">
        <f t="shared" si="10218"/>
        <v>0</v>
      </c>
      <c r="H5370" s="1" t="str">
        <f t="shared" si="10218"/>
        <v>0</v>
      </c>
      <c r="I5370" s="1" t="str">
        <f t="shared" si="10218"/>
        <v>0</v>
      </c>
      <c r="J5370" s="1" t="str">
        <f t="shared" si="10218"/>
        <v>0</v>
      </c>
      <c r="K5370" s="1" t="str">
        <f t="shared" si="10218"/>
        <v>0</v>
      </c>
      <c r="L5370" s="1" t="str">
        <f t="shared" si="10218"/>
        <v>0</v>
      </c>
      <c r="M5370" s="1" t="str">
        <f t="shared" si="10218"/>
        <v>0</v>
      </c>
      <c r="N5370" s="1" t="str">
        <f t="shared" si="10218"/>
        <v>0</v>
      </c>
      <c r="O5370" s="1" t="str">
        <f t="shared" si="10218"/>
        <v>0</v>
      </c>
      <c r="P5370" s="1" t="str">
        <f t="shared" si="10218"/>
        <v>0</v>
      </c>
      <c r="Q5370" s="1" t="str">
        <f t="shared" si="10119"/>
        <v>0.0070</v>
      </c>
      <c r="R5370" s="1" t="s">
        <v>25</v>
      </c>
      <c r="T5370" s="1" t="str">
        <f t="shared" si="10120"/>
        <v>0</v>
      </c>
      <c r="U5370" s="1" t="str">
        <f t="shared" si="10198"/>
        <v>0.0070</v>
      </c>
    </row>
    <row r="5371" s="1" customFormat="1" spans="1:21">
      <c r="A5371" s="1" t="str">
        <f>"4601992180323"</f>
        <v>4601992180323</v>
      </c>
      <c r="B5371" s="1" t="s">
        <v>5394</v>
      </c>
      <c r="C5371" s="1" t="s">
        <v>24</v>
      </c>
      <c r="D5371" s="1" t="str">
        <f t="shared" si="10116"/>
        <v>2021</v>
      </c>
      <c r="E5371" s="1" t="str">
        <f t="shared" ref="E5371:I5371" si="10219">"0"</f>
        <v>0</v>
      </c>
      <c r="F5371" s="1" t="str">
        <f t="shared" si="10219"/>
        <v>0</v>
      </c>
      <c r="G5371" s="1" t="str">
        <f t="shared" si="10219"/>
        <v>0</v>
      </c>
      <c r="H5371" s="1" t="str">
        <f t="shared" si="10219"/>
        <v>0</v>
      </c>
      <c r="I5371" s="1" t="str">
        <f t="shared" si="10219"/>
        <v>0</v>
      </c>
      <c r="J5371" s="1" t="str">
        <f>"1"</f>
        <v>1</v>
      </c>
      <c r="K5371" s="1" t="str">
        <f t="shared" ref="K5371:P5371" si="10220">"0"</f>
        <v>0</v>
      </c>
      <c r="L5371" s="1" t="str">
        <f t="shared" si="10220"/>
        <v>0</v>
      </c>
      <c r="M5371" s="1" t="str">
        <f t="shared" si="10220"/>
        <v>0</v>
      </c>
      <c r="N5371" s="1" t="str">
        <f t="shared" si="10220"/>
        <v>0</v>
      </c>
      <c r="O5371" s="1" t="str">
        <f t="shared" si="10220"/>
        <v>0</v>
      </c>
      <c r="P5371" s="1" t="str">
        <f t="shared" si="10220"/>
        <v>0</v>
      </c>
      <c r="Q5371" s="1" t="str">
        <f t="shared" si="10119"/>
        <v>0.0070</v>
      </c>
      <c r="R5371" s="1" t="s">
        <v>25</v>
      </c>
      <c r="T5371" s="1" t="str">
        <f t="shared" si="10120"/>
        <v>0</v>
      </c>
      <c r="U5371" s="1" t="str">
        <f t="shared" si="10198"/>
        <v>0.0070</v>
      </c>
    </row>
    <row r="5372" s="1" customFormat="1" spans="1:21">
      <c r="A5372" s="1" t="str">
        <f>"4601992180879"</f>
        <v>4601992180879</v>
      </c>
      <c r="B5372" s="1" t="s">
        <v>5395</v>
      </c>
      <c r="C5372" s="1" t="s">
        <v>24</v>
      </c>
      <c r="D5372" s="1" t="str">
        <f t="shared" si="10116"/>
        <v>2021</v>
      </c>
      <c r="E5372" s="1" t="str">
        <f t="shared" ref="E5372:P5372" si="10221">"0"</f>
        <v>0</v>
      </c>
      <c r="F5372" s="1" t="str">
        <f t="shared" si="10221"/>
        <v>0</v>
      </c>
      <c r="G5372" s="1" t="str">
        <f t="shared" si="10221"/>
        <v>0</v>
      </c>
      <c r="H5372" s="1" t="str">
        <f t="shared" si="10221"/>
        <v>0</v>
      </c>
      <c r="I5372" s="1" t="str">
        <f t="shared" si="10221"/>
        <v>0</v>
      </c>
      <c r="J5372" s="1" t="str">
        <f t="shared" si="10221"/>
        <v>0</v>
      </c>
      <c r="K5372" s="1" t="str">
        <f t="shared" si="10221"/>
        <v>0</v>
      </c>
      <c r="L5372" s="1" t="str">
        <f t="shared" si="10221"/>
        <v>0</v>
      </c>
      <c r="M5372" s="1" t="str">
        <f t="shared" si="10221"/>
        <v>0</v>
      </c>
      <c r="N5372" s="1" t="str">
        <f t="shared" si="10221"/>
        <v>0</v>
      </c>
      <c r="O5372" s="1" t="str">
        <f t="shared" si="10221"/>
        <v>0</v>
      </c>
      <c r="P5372" s="1" t="str">
        <f t="shared" si="10221"/>
        <v>0</v>
      </c>
      <c r="Q5372" s="1" t="str">
        <f t="shared" si="10119"/>
        <v>0.0070</v>
      </c>
      <c r="R5372" s="1" t="s">
        <v>25</v>
      </c>
      <c r="T5372" s="1" t="str">
        <f t="shared" si="10120"/>
        <v>0</v>
      </c>
      <c r="U5372" s="1" t="str">
        <f t="shared" si="10198"/>
        <v>0.0070</v>
      </c>
    </row>
    <row r="5373" s="1" customFormat="1" spans="1:21">
      <c r="A5373" s="1" t="str">
        <f>"4601992180908"</f>
        <v>4601992180908</v>
      </c>
      <c r="B5373" s="1" t="s">
        <v>5396</v>
      </c>
      <c r="C5373" s="1" t="s">
        <v>24</v>
      </c>
      <c r="D5373" s="1" t="str">
        <f t="shared" si="10116"/>
        <v>2021</v>
      </c>
      <c r="E5373" s="1" t="str">
        <f t="shared" ref="E5373:P5373" si="10222">"0"</f>
        <v>0</v>
      </c>
      <c r="F5373" s="1" t="str">
        <f t="shared" si="10222"/>
        <v>0</v>
      </c>
      <c r="G5373" s="1" t="str">
        <f t="shared" si="10222"/>
        <v>0</v>
      </c>
      <c r="H5373" s="1" t="str">
        <f t="shared" si="10222"/>
        <v>0</v>
      </c>
      <c r="I5373" s="1" t="str">
        <f t="shared" si="10222"/>
        <v>0</v>
      </c>
      <c r="J5373" s="1" t="str">
        <f t="shared" si="10222"/>
        <v>0</v>
      </c>
      <c r="K5373" s="1" t="str">
        <f t="shared" si="10222"/>
        <v>0</v>
      </c>
      <c r="L5373" s="1" t="str">
        <f t="shared" si="10222"/>
        <v>0</v>
      </c>
      <c r="M5373" s="1" t="str">
        <f t="shared" si="10222"/>
        <v>0</v>
      </c>
      <c r="N5373" s="1" t="str">
        <f t="shared" si="10222"/>
        <v>0</v>
      </c>
      <c r="O5373" s="1" t="str">
        <f t="shared" si="10222"/>
        <v>0</v>
      </c>
      <c r="P5373" s="1" t="str">
        <f t="shared" si="10222"/>
        <v>0</v>
      </c>
      <c r="Q5373" s="1" t="str">
        <f t="shared" si="10119"/>
        <v>0.0070</v>
      </c>
      <c r="R5373" s="1" t="s">
        <v>25</v>
      </c>
      <c r="T5373" s="1" t="str">
        <f t="shared" si="10120"/>
        <v>0</v>
      </c>
      <c r="U5373" s="1" t="str">
        <f t="shared" si="10198"/>
        <v>0.0070</v>
      </c>
    </row>
    <row r="5374" s="1" customFormat="1" spans="1:21">
      <c r="A5374" s="1" t="str">
        <f>"4601992180894"</f>
        <v>4601992180894</v>
      </c>
      <c r="B5374" s="1" t="s">
        <v>5397</v>
      </c>
      <c r="C5374" s="1" t="s">
        <v>24</v>
      </c>
      <c r="D5374" s="1" t="str">
        <f t="shared" si="10116"/>
        <v>2021</v>
      </c>
      <c r="E5374" s="1" t="str">
        <f t="shared" ref="E5374:P5374" si="10223">"0"</f>
        <v>0</v>
      </c>
      <c r="F5374" s="1" t="str">
        <f t="shared" si="10223"/>
        <v>0</v>
      </c>
      <c r="G5374" s="1" t="str">
        <f t="shared" si="10223"/>
        <v>0</v>
      </c>
      <c r="H5374" s="1" t="str">
        <f t="shared" si="10223"/>
        <v>0</v>
      </c>
      <c r="I5374" s="1" t="str">
        <f t="shared" si="10223"/>
        <v>0</v>
      </c>
      <c r="J5374" s="1" t="str">
        <f t="shared" si="10223"/>
        <v>0</v>
      </c>
      <c r="K5374" s="1" t="str">
        <f t="shared" si="10223"/>
        <v>0</v>
      </c>
      <c r="L5374" s="1" t="str">
        <f t="shared" si="10223"/>
        <v>0</v>
      </c>
      <c r="M5374" s="1" t="str">
        <f t="shared" si="10223"/>
        <v>0</v>
      </c>
      <c r="N5374" s="1" t="str">
        <f t="shared" si="10223"/>
        <v>0</v>
      </c>
      <c r="O5374" s="1" t="str">
        <f t="shared" si="10223"/>
        <v>0</v>
      </c>
      <c r="P5374" s="1" t="str">
        <f t="shared" si="10223"/>
        <v>0</v>
      </c>
      <c r="Q5374" s="1" t="str">
        <f t="shared" si="10119"/>
        <v>0.0070</v>
      </c>
      <c r="R5374" s="1" t="s">
        <v>25</v>
      </c>
      <c r="T5374" s="1" t="str">
        <f t="shared" si="10120"/>
        <v>0</v>
      </c>
      <c r="U5374" s="1" t="str">
        <f t="shared" si="10198"/>
        <v>0.0070</v>
      </c>
    </row>
    <row r="5375" s="1" customFormat="1" spans="1:21">
      <c r="A5375" s="1" t="str">
        <f>"4601992180887"</f>
        <v>4601992180887</v>
      </c>
      <c r="B5375" s="1" t="s">
        <v>5398</v>
      </c>
      <c r="C5375" s="1" t="s">
        <v>24</v>
      </c>
      <c r="D5375" s="1" t="str">
        <f t="shared" si="10116"/>
        <v>2021</v>
      </c>
      <c r="E5375" s="1" t="str">
        <f t="shared" ref="E5375:P5375" si="10224">"0"</f>
        <v>0</v>
      </c>
      <c r="F5375" s="1" t="str">
        <f t="shared" si="10224"/>
        <v>0</v>
      </c>
      <c r="G5375" s="1" t="str">
        <f t="shared" si="10224"/>
        <v>0</v>
      </c>
      <c r="H5375" s="1" t="str">
        <f t="shared" si="10224"/>
        <v>0</v>
      </c>
      <c r="I5375" s="1" t="str">
        <f t="shared" si="10224"/>
        <v>0</v>
      </c>
      <c r="J5375" s="1" t="str">
        <f t="shared" si="10224"/>
        <v>0</v>
      </c>
      <c r="K5375" s="1" t="str">
        <f t="shared" si="10224"/>
        <v>0</v>
      </c>
      <c r="L5375" s="1" t="str">
        <f t="shared" si="10224"/>
        <v>0</v>
      </c>
      <c r="M5375" s="1" t="str">
        <f t="shared" si="10224"/>
        <v>0</v>
      </c>
      <c r="N5375" s="1" t="str">
        <f t="shared" si="10224"/>
        <v>0</v>
      </c>
      <c r="O5375" s="1" t="str">
        <f t="shared" si="10224"/>
        <v>0</v>
      </c>
      <c r="P5375" s="1" t="str">
        <f t="shared" si="10224"/>
        <v>0</v>
      </c>
      <c r="Q5375" s="1" t="str">
        <f t="shared" si="10119"/>
        <v>0.0070</v>
      </c>
      <c r="R5375" s="1" t="s">
        <v>25</v>
      </c>
      <c r="T5375" s="1" t="str">
        <f t="shared" si="10120"/>
        <v>0</v>
      </c>
      <c r="U5375" s="1" t="str">
        <f t="shared" si="10198"/>
        <v>0.0070</v>
      </c>
    </row>
    <row r="5376" s="1" customFormat="1" spans="1:21">
      <c r="A5376" s="1" t="str">
        <f>"4601992181599"</f>
        <v>4601992181599</v>
      </c>
      <c r="B5376" s="1" t="s">
        <v>5399</v>
      </c>
      <c r="C5376" s="1" t="s">
        <v>24</v>
      </c>
      <c r="D5376" s="1" t="str">
        <f t="shared" si="10116"/>
        <v>2021</v>
      </c>
      <c r="E5376" s="1" t="str">
        <f t="shared" ref="E5376:P5376" si="10225">"0"</f>
        <v>0</v>
      </c>
      <c r="F5376" s="1" t="str">
        <f t="shared" si="10225"/>
        <v>0</v>
      </c>
      <c r="G5376" s="1" t="str">
        <f t="shared" si="10225"/>
        <v>0</v>
      </c>
      <c r="H5376" s="1" t="str">
        <f t="shared" si="10225"/>
        <v>0</v>
      </c>
      <c r="I5376" s="1" t="str">
        <f t="shared" si="10225"/>
        <v>0</v>
      </c>
      <c r="J5376" s="1" t="str">
        <f t="shared" si="10225"/>
        <v>0</v>
      </c>
      <c r="K5376" s="1" t="str">
        <f t="shared" si="10225"/>
        <v>0</v>
      </c>
      <c r="L5376" s="1" t="str">
        <f t="shared" si="10225"/>
        <v>0</v>
      </c>
      <c r="M5376" s="1" t="str">
        <f t="shared" si="10225"/>
        <v>0</v>
      </c>
      <c r="N5376" s="1" t="str">
        <f t="shared" si="10225"/>
        <v>0</v>
      </c>
      <c r="O5376" s="1" t="str">
        <f t="shared" si="10225"/>
        <v>0</v>
      </c>
      <c r="P5376" s="1" t="str">
        <f t="shared" si="10225"/>
        <v>0</v>
      </c>
      <c r="Q5376" s="1" t="str">
        <f t="shared" si="10119"/>
        <v>0.0070</v>
      </c>
      <c r="R5376" s="1" t="s">
        <v>25</v>
      </c>
      <c r="T5376" s="1" t="str">
        <f t="shared" si="10120"/>
        <v>0</v>
      </c>
      <c r="U5376" s="1" t="str">
        <f t="shared" si="10198"/>
        <v>0.0070</v>
      </c>
    </row>
    <row r="5377" s="1" customFormat="1" spans="1:21">
      <c r="A5377" s="1" t="str">
        <f>"4601992182214"</f>
        <v>4601992182214</v>
      </c>
      <c r="B5377" s="1" t="s">
        <v>5400</v>
      </c>
      <c r="C5377" s="1" t="s">
        <v>24</v>
      </c>
      <c r="D5377" s="1" t="str">
        <f t="shared" si="10116"/>
        <v>2021</v>
      </c>
      <c r="E5377" s="1" t="str">
        <f t="shared" ref="E5377:P5377" si="10226">"0"</f>
        <v>0</v>
      </c>
      <c r="F5377" s="1" t="str">
        <f t="shared" si="10226"/>
        <v>0</v>
      </c>
      <c r="G5377" s="1" t="str">
        <f t="shared" si="10226"/>
        <v>0</v>
      </c>
      <c r="H5377" s="1" t="str">
        <f t="shared" si="10226"/>
        <v>0</v>
      </c>
      <c r="I5377" s="1" t="str">
        <f t="shared" si="10226"/>
        <v>0</v>
      </c>
      <c r="J5377" s="1" t="str">
        <f t="shared" si="10226"/>
        <v>0</v>
      </c>
      <c r="K5377" s="1" t="str">
        <f t="shared" si="10226"/>
        <v>0</v>
      </c>
      <c r="L5377" s="1" t="str">
        <f t="shared" si="10226"/>
        <v>0</v>
      </c>
      <c r="M5377" s="1" t="str">
        <f t="shared" si="10226"/>
        <v>0</v>
      </c>
      <c r="N5377" s="1" t="str">
        <f t="shared" si="10226"/>
        <v>0</v>
      </c>
      <c r="O5377" s="1" t="str">
        <f t="shared" si="10226"/>
        <v>0</v>
      </c>
      <c r="P5377" s="1" t="str">
        <f t="shared" si="10226"/>
        <v>0</v>
      </c>
      <c r="Q5377" s="1" t="str">
        <f t="shared" si="10119"/>
        <v>0.0070</v>
      </c>
      <c r="R5377" s="1" t="s">
        <v>25</v>
      </c>
      <c r="T5377" s="1" t="str">
        <f t="shared" si="10120"/>
        <v>0</v>
      </c>
      <c r="U5377" s="1" t="str">
        <f t="shared" si="10198"/>
        <v>0.0070</v>
      </c>
    </row>
    <row r="5378" s="1" customFormat="1" spans="1:21">
      <c r="A5378" s="1" t="str">
        <f>"4601992182507"</f>
        <v>4601992182507</v>
      </c>
      <c r="B5378" s="1" t="s">
        <v>5401</v>
      </c>
      <c r="C5378" s="1" t="s">
        <v>24</v>
      </c>
      <c r="D5378" s="1" t="str">
        <f t="shared" si="10116"/>
        <v>2021</v>
      </c>
      <c r="E5378" s="1" t="str">
        <f t="shared" ref="E5378:P5378" si="10227">"0"</f>
        <v>0</v>
      </c>
      <c r="F5378" s="1" t="str">
        <f t="shared" si="10227"/>
        <v>0</v>
      </c>
      <c r="G5378" s="1" t="str">
        <f t="shared" si="10227"/>
        <v>0</v>
      </c>
      <c r="H5378" s="1" t="str">
        <f t="shared" si="10227"/>
        <v>0</v>
      </c>
      <c r="I5378" s="1" t="str">
        <f t="shared" si="10227"/>
        <v>0</v>
      </c>
      <c r="J5378" s="1" t="str">
        <f t="shared" si="10227"/>
        <v>0</v>
      </c>
      <c r="K5378" s="1" t="str">
        <f t="shared" si="10227"/>
        <v>0</v>
      </c>
      <c r="L5378" s="1" t="str">
        <f t="shared" si="10227"/>
        <v>0</v>
      </c>
      <c r="M5378" s="1" t="str">
        <f t="shared" si="10227"/>
        <v>0</v>
      </c>
      <c r="N5378" s="1" t="str">
        <f t="shared" si="10227"/>
        <v>0</v>
      </c>
      <c r="O5378" s="1" t="str">
        <f t="shared" si="10227"/>
        <v>0</v>
      </c>
      <c r="P5378" s="1" t="str">
        <f t="shared" si="10227"/>
        <v>0</v>
      </c>
      <c r="Q5378" s="1" t="str">
        <f t="shared" si="10119"/>
        <v>0.0070</v>
      </c>
      <c r="R5378" s="1" t="s">
        <v>25</v>
      </c>
      <c r="T5378" s="1" t="str">
        <f t="shared" si="10120"/>
        <v>0</v>
      </c>
      <c r="U5378" s="1" t="str">
        <f t="shared" si="10198"/>
        <v>0.0070</v>
      </c>
    </row>
    <row r="5379" s="1" customFormat="1" spans="1:21">
      <c r="A5379" s="1" t="str">
        <f>"4601992182600"</f>
        <v>4601992182600</v>
      </c>
      <c r="B5379" s="1" t="s">
        <v>5402</v>
      </c>
      <c r="C5379" s="1" t="s">
        <v>24</v>
      </c>
      <c r="D5379" s="1" t="str">
        <f t="shared" ref="D5379:D5442" si="10228">"2021"</f>
        <v>2021</v>
      </c>
      <c r="E5379" s="1" t="str">
        <f t="shared" ref="E5379:P5379" si="10229">"0"</f>
        <v>0</v>
      </c>
      <c r="F5379" s="1" t="str">
        <f t="shared" si="10229"/>
        <v>0</v>
      </c>
      <c r="G5379" s="1" t="str">
        <f t="shared" si="10229"/>
        <v>0</v>
      </c>
      <c r="H5379" s="1" t="str">
        <f t="shared" si="10229"/>
        <v>0</v>
      </c>
      <c r="I5379" s="1" t="str">
        <f t="shared" si="10229"/>
        <v>0</v>
      </c>
      <c r="J5379" s="1" t="str">
        <f t="shared" si="10229"/>
        <v>0</v>
      </c>
      <c r="K5379" s="1" t="str">
        <f t="shared" si="10229"/>
        <v>0</v>
      </c>
      <c r="L5379" s="1" t="str">
        <f t="shared" si="10229"/>
        <v>0</v>
      </c>
      <c r="M5379" s="1" t="str">
        <f t="shared" si="10229"/>
        <v>0</v>
      </c>
      <c r="N5379" s="1" t="str">
        <f t="shared" si="10229"/>
        <v>0</v>
      </c>
      <c r="O5379" s="1" t="str">
        <f t="shared" si="10229"/>
        <v>0</v>
      </c>
      <c r="P5379" s="1" t="str">
        <f t="shared" si="10229"/>
        <v>0</v>
      </c>
      <c r="Q5379" s="1" t="str">
        <f t="shared" ref="Q5379:Q5442" si="10230">"0.0070"</f>
        <v>0.0070</v>
      </c>
      <c r="R5379" s="1" t="s">
        <v>25</v>
      </c>
      <c r="T5379" s="1" t="str">
        <f t="shared" ref="T5379:T5442" si="10231">"0"</f>
        <v>0</v>
      </c>
      <c r="U5379" s="1" t="str">
        <f t="shared" si="10198"/>
        <v>0.0070</v>
      </c>
    </row>
    <row r="5380" s="1" customFormat="1" spans="1:21">
      <c r="A5380" s="1" t="str">
        <f>"4601992182764"</f>
        <v>4601992182764</v>
      </c>
      <c r="B5380" s="1" t="s">
        <v>5403</v>
      </c>
      <c r="C5380" s="1" t="s">
        <v>24</v>
      </c>
      <c r="D5380" s="1" t="str">
        <f t="shared" si="10228"/>
        <v>2021</v>
      </c>
      <c r="E5380" s="1" t="str">
        <f t="shared" ref="E5380:P5380" si="10232">"0"</f>
        <v>0</v>
      </c>
      <c r="F5380" s="1" t="str">
        <f t="shared" si="10232"/>
        <v>0</v>
      </c>
      <c r="G5380" s="1" t="str">
        <f t="shared" si="10232"/>
        <v>0</v>
      </c>
      <c r="H5380" s="1" t="str">
        <f t="shared" si="10232"/>
        <v>0</v>
      </c>
      <c r="I5380" s="1" t="str">
        <f t="shared" si="10232"/>
        <v>0</v>
      </c>
      <c r="J5380" s="1" t="str">
        <f t="shared" si="10232"/>
        <v>0</v>
      </c>
      <c r="K5380" s="1" t="str">
        <f t="shared" si="10232"/>
        <v>0</v>
      </c>
      <c r="L5380" s="1" t="str">
        <f t="shared" si="10232"/>
        <v>0</v>
      </c>
      <c r="M5380" s="1" t="str">
        <f t="shared" si="10232"/>
        <v>0</v>
      </c>
      <c r="N5380" s="1" t="str">
        <f t="shared" si="10232"/>
        <v>0</v>
      </c>
      <c r="O5380" s="1" t="str">
        <f t="shared" si="10232"/>
        <v>0</v>
      </c>
      <c r="P5380" s="1" t="str">
        <f t="shared" si="10232"/>
        <v>0</v>
      </c>
      <c r="Q5380" s="1" t="str">
        <f t="shared" si="10230"/>
        <v>0.0070</v>
      </c>
      <c r="R5380" s="1" t="s">
        <v>25</v>
      </c>
      <c r="T5380" s="1" t="str">
        <f t="shared" si="10231"/>
        <v>0</v>
      </c>
      <c r="U5380" s="1" t="str">
        <f t="shared" si="10198"/>
        <v>0.0070</v>
      </c>
    </row>
    <row r="5381" s="1" customFormat="1" spans="1:21">
      <c r="A5381" s="1" t="str">
        <f>"4601992031356"</f>
        <v>4601992031356</v>
      </c>
      <c r="B5381" s="1" t="s">
        <v>5404</v>
      </c>
      <c r="C5381" s="1" t="s">
        <v>24</v>
      </c>
      <c r="D5381" s="1" t="str">
        <f t="shared" si="10228"/>
        <v>2021</v>
      </c>
      <c r="E5381" s="1" t="str">
        <f>"24.18"</f>
        <v>24.18</v>
      </c>
      <c r="F5381" s="1" t="str">
        <f t="shared" ref="F5381:I5381" si="10233">"0"</f>
        <v>0</v>
      </c>
      <c r="G5381" s="1" t="str">
        <f t="shared" si="10233"/>
        <v>0</v>
      </c>
      <c r="H5381" s="1" t="str">
        <f t="shared" si="10233"/>
        <v>0</v>
      </c>
      <c r="I5381" s="1" t="str">
        <f t="shared" si="10233"/>
        <v>0</v>
      </c>
      <c r="J5381" s="1" t="str">
        <f>"3"</f>
        <v>3</v>
      </c>
      <c r="K5381" s="1" t="str">
        <f t="shared" ref="K5381:P5381" si="10234">"0"</f>
        <v>0</v>
      </c>
      <c r="L5381" s="1" t="str">
        <f t="shared" si="10234"/>
        <v>0</v>
      </c>
      <c r="M5381" s="1" t="str">
        <f t="shared" si="10234"/>
        <v>0</v>
      </c>
      <c r="N5381" s="1" t="str">
        <f t="shared" si="10234"/>
        <v>0</v>
      </c>
      <c r="O5381" s="1" t="str">
        <f t="shared" si="10234"/>
        <v>0</v>
      </c>
      <c r="P5381" s="1" t="str">
        <f t="shared" si="10234"/>
        <v>0</v>
      </c>
      <c r="Q5381" s="1" t="str">
        <f t="shared" si="10230"/>
        <v>0.0070</v>
      </c>
      <c r="R5381" s="1" t="s">
        <v>29</v>
      </c>
      <c r="S5381" s="1">
        <v>-0.0014</v>
      </c>
      <c r="T5381" s="1" t="str">
        <f t="shared" si="10231"/>
        <v>0</v>
      </c>
      <c r="U5381" s="1" t="str">
        <f>"0.0056"</f>
        <v>0.0056</v>
      </c>
    </row>
    <row r="5382" s="1" customFormat="1" spans="1:21">
      <c r="A5382" s="1" t="str">
        <f>"4601992182690"</f>
        <v>4601992182690</v>
      </c>
      <c r="B5382" s="1" t="s">
        <v>5405</v>
      </c>
      <c r="C5382" s="1" t="s">
        <v>24</v>
      </c>
      <c r="D5382" s="1" t="str">
        <f t="shared" si="10228"/>
        <v>2021</v>
      </c>
      <c r="E5382" s="1" t="str">
        <f t="shared" ref="E5382:I5382" si="10235">"0"</f>
        <v>0</v>
      </c>
      <c r="F5382" s="1" t="str">
        <f t="shared" si="10235"/>
        <v>0</v>
      </c>
      <c r="G5382" s="1" t="str">
        <f t="shared" si="10235"/>
        <v>0</v>
      </c>
      <c r="H5382" s="1" t="str">
        <f t="shared" si="10235"/>
        <v>0</v>
      </c>
      <c r="I5382" s="1" t="str">
        <f t="shared" si="10235"/>
        <v>0</v>
      </c>
      <c r="J5382" s="1" t="str">
        <f>"2"</f>
        <v>2</v>
      </c>
      <c r="K5382" s="1" t="str">
        <f t="shared" ref="K5382:P5382" si="10236">"0"</f>
        <v>0</v>
      </c>
      <c r="L5382" s="1" t="str">
        <f t="shared" si="10236"/>
        <v>0</v>
      </c>
      <c r="M5382" s="1" t="str">
        <f t="shared" si="10236"/>
        <v>0</v>
      </c>
      <c r="N5382" s="1" t="str">
        <f t="shared" si="10236"/>
        <v>0</v>
      </c>
      <c r="O5382" s="1" t="str">
        <f t="shared" si="10236"/>
        <v>0</v>
      </c>
      <c r="P5382" s="1" t="str">
        <f t="shared" si="10236"/>
        <v>0</v>
      </c>
      <c r="Q5382" s="1" t="str">
        <f t="shared" si="10230"/>
        <v>0.0070</v>
      </c>
      <c r="R5382" s="1" t="s">
        <v>25</v>
      </c>
      <c r="T5382" s="1" t="str">
        <f t="shared" si="10231"/>
        <v>0</v>
      </c>
      <c r="U5382" s="1" t="str">
        <f t="shared" ref="U5382:U5410" si="10237">"0.0070"</f>
        <v>0.0070</v>
      </c>
    </row>
    <row r="5383" s="1" customFormat="1" spans="1:21">
      <c r="A5383" s="1" t="str">
        <f>"4601992183511"</f>
        <v>4601992183511</v>
      </c>
      <c r="B5383" s="1" t="s">
        <v>5406</v>
      </c>
      <c r="C5383" s="1" t="s">
        <v>24</v>
      </c>
      <c r="D5383" s="1" t="str">
        <f t="shared" si="10228"/>
        <v>2021</v>
      </c>
      <c r="E5383" s="1" t="str">
        <f t="shared" ref="E5383:P5383" si="10238">"0"</f>
        <v>0</v>
      </c>
      <c r="F5383" s="1" t="str">
        <f t="shared" si="10238"/>
        <v>0</v>
      </c>
      <c r="G5383" s="1" t="str">
        <f t="shared" si="10238"/>
        <v>0</v>
      </c>
      <c r="H5383" s="1" t="str">
        <f t="shared" si="10238"/>
        <v>0</v>
      </c>
      <c r="I5383" s="1" t="str">
        <f t="shared" si="10238"/>
        <v>0</v>
      </c>
      <c r="J5383" s="1" t="str">
        <f t="shared" si="10238"/>
        <v>0</v>
      </c>
      <c r="K5383" s="1" t="str">
        <f t="shared" si="10238"/>
        <v>0</v>
      </c>
      <c r="L5383" s="1" t="str">
        <f t="shared" si="10238"/>
        <v>0</v>
      </c>
      <c r="M5383" s="1" t="str">
        <f t="shared" si="10238"/>
        <v>0</v>
      </c>
      <c r="N5383" s="1" t="str">
        <f t="shared" si="10238"/>
        <v>0</v>
      </c>
      <c r="O5383" s="1" t="str">
        <f t="shared" si="10238"/>
        <v>0</v>
      </c>
      <c r="P5383" s="1" t="str">
        <f t="shared" si="10238"/>
        <v>0</v>
      </c>
      <c r="Q5383" s="1" t="str">
        <f t="shared" si="10230"/>
        <v>0.0070</v>
      </c>
      <c r="R5383" s="1" t="s">
        <v>25</v>
      </c>
      <c r="T5383" s="1" t="str">
        <f t="shared" si="10231"/>
        <v>0</v>
      </c>
      <c r="U5383" s="1" t="str">
        <f t="shared" si="10237"/>
        <v>0.0070</v>
      </c>
    </row>
    <row r="5384" s="1" customFormat="1" spans="1:21">
      <c r="A5384" s="1" t="str">
        <f>"4601992183250"</f>
        <v>4601992183250</v>
      </c>
      <c r="B5384" s="1" t="s">
        <v>5407</v>
      </c>
      <c r="C5384" s="1" t="s">
        <v>24</v>
      </c>
      <c r="D5384" s="1" t="str">
        <f t="shared" si="10228"/>
        <v>2021</v>
      </c>
      <c r="E5384" s="1" t="str">
        <f t="shared" ref="E5384:P5384" si="10239">"0"</f>
        <v>0</v>
      </c>
      <c r="F5384" s="1" t="str">
        <f t="shared" si="10239"/>
        <v>0</v>
      </c>
      <c r="G5384" s="1" t="str">
        <f t="shared" si="10239"/>
        <v>0</v>
      </c>
      <c r="H5384" s="1" t="str">
        <f t="shared" si="10239"/>
        <v>0</v>
      </c>
      <c r="I5384" s="1" t="str">
        <f t="shared" si="10239"/>
        <v>0</v>
      </c>
      <c r="J5384" s="1" t="str">
        <f t="shared" si="10239"/>
        <v>0</v>
      </c>
      <c r="K5384" s="1" t="str">
        <f t="shared" si="10239"/>
        <v>0</v>
      </c>
      <c r="L5384" s="1" t="str">
        <f t="shared" si="10239"/>
        <v>0</v>
      </c>
      <c r="M5384" s="1" t="str">
        <f t="shared" si="10239"/>
        <v>0</v>
      </c>
      <c r="N5384" s="1" t="str">
        <f t="shared" si="10239"/>
        <v>0</v>
      </c>
      <c r="O5384" s="1" t="str">
        <f t="shared" si="10239"/>
        <v>0</v>
      </c>
      <c r="P5384" s="1" t="str">
        <f t="shared" si="10239"/>
        <v>0</v>
      </c>
      <c r="Q5384" s="1" t="str">
        <f t="shared" si="10230"/>
        <v>0.0070</v>
      </c>
      <c r="R5384" s="1" t="s">
        <v>25</v>
      </c>
      <c r="T5384" s="1" t="str">
        <f t="shared" si="10231"/>
        <v>0</v>
      </c>
      <c r="U5384" s="1" t="str">
        <f t="shared" si="10237"/>
        <v>0.0070</v>
      </c>
    </row>
    <row r="5385" s="1" customFormat="1" spans="1:21">
      <c r="A5385" s="1" t="str">
        <f>"4601992183112"</f>
        <v>4601992183112</v>
      </c>
      <c r="B5385" s="1" t="s">
        <v>5408</v>
      </c>
      <c r="C5385" s="1" t="s">
        <v>24</v>
      </c>
      <c r="D5385" s="1" t="str">
        <f t="shared" si="10228"/>
        <v>2021</v>
      </c>
      <c r="E5385" s="1" t="str">
        <f t="shared" ref="E5385:I5385" si="10240">"0"</f>
        <v>0</v>
      </c>
      <c r="F5385" s="1" t="str">
        <f t="shared" si="10240"/>
        <v>0</v>
      </c>
      <c r="G5385" s="1" t="str">
        <f t="shared" si="10240"/>
        <v>0</v>
      </c>
      <c r="H5385" s="1" t="str">
        <f t="shared" si="10240"/>
        <v>0</v>
      </c>
      <c r="I5385" s="1" t="str">
        <f t="shared" si="10240"/>
        <v>0</v>
      </c>
      <c r="J5385" s="1" t="str">
        <f>"1"</f>
        <v>1</v>
      </c>
      <c r="K5385" s="1" t="str">
        <f t="shared" ref="K5385:P5385" si="10241">"0"</f>
        <v>0</v>
      </c>
      <c r="L5385" s="1" t="str">
        <f t="shared" si="10241"/>
        <v>0</v>
      </c>
      <c r="M5385" s="1" t="str">
        <f t="shared" si="10241"/>
        <v>0</v>
      </c>
      <c r="N5385" s="1" t="str">
        <f t="shared" si="10241"/>
        <v>0</v>
      </c>
      <c r="O5385" s="1" t="str">
        <f t="shared" si="10241"/>
        <v>0</v>
      </c>
      <c r="P5385" s="1" t="str">
        <f t="shared" si="10241"/>
        <v>0</v>
      </c>
      <c r="Q5385" s="1" t="str">
        <f t="shared" si="10230"/>
        <v>0.0070</v>
      </c>
      <c r="R5385" s="1" t="s">
        <v>25</v>
      </c>
      <c r="T5385" s="1" t="str">
        <f t="shared" si="10231"/>
        <v>0</v>
      </c>
      <c r="U5385" s="1" t="str">
        <f t="shared" si="10237"/>
        <v>0.0070</v>
      </c>
    </row>
    <row r="5386" s="1" customFormat="1" spans="1:21">
      <c r="A5386" s="1" t="str">
        <f>"4601992183543"</f>
        <v>4601992183543</v>
      </c>
      <c r="B5386" s="1" t="s">
        <v>5409</v>
      </c>
      <c r="C5386" s="1" t="s">
        <v>24</v>
      </c>
      <c r="D5386" s="1" t="str">
        <f t="shared" si="10228"/>
        <v>2021</v>
      </c>
      <c r="E5386" s="1" t="str">
        <f t="shared" ref="E5386:P5386" si="10242">"0"</f>
        <v>0</v>
      </c>
      <c r="F5386" s="1" t="str">
        <f t="shared" si="10242"/>
        <v>0</v>
      </c>
      <c r="G5386" s="1" t="str">
        <f t="shared" si="10242"/>
        <v>0</v>
      </c>
      <c r="H5386" s="1" t="str">
        <f t="shared" si="10242"/>
        <v>0</v>
      </c>
      <c r="I5386" s="1" t="str">
        <f t="shared" si="10242"/>
        <v>0</v>
      </c>
      <c r="J5386" s="1" t="str">
        <f t="shared" si="10242"/>
        <v>0</v>
      </c>
      <c r="K5386" s="1" t="str">
        <f t="shared" si="10242"/>
        <v>0</v>
      </c>
      <c r="L5386" s="1" t="str">
        <f t="shared" si="10242"/>
        <v>0</v>
      </c>
      <c r="M5386" s="1" t="str">
        <f t="shared" si="10242"/>
        <v>0</v>
      </c>
      <c r="N5386" s="1" t="str">
        <f t="shared" si="10242"/>
        <v>0</v>
      </c>
      <c r="O5386" s="1" t="str">
        <f t="shared" si="10242"/>
        <v>0</v>
      </c>
      <c r="P5386" s="1" t="str">
        <f t="shared" si="10242"/>
        <v>0</v>
      </c>
      <c r="Q5386" s="1" t="str">
        <f t="shared" si="10230"/>
        <v>0.0070</v>
      </c>
      <c r="R5386" s="1" t="s">
        <v>25</v>
      </c>
      <c r="T5386" s="1" t="str">
        <f t="shared" si="10231"/>
        <v>0</v>
      </c>
      <c r="U5386" s="1" t="str">
        <f t="shared" si="10237"/>
        <v>0.0070</v>
      </c>
    </row>
    <row r="5387" s="1" customFormat="1" spans="1:21">
      <c r="A5387" s="1" t="str">
        <f>"4601992184028"</f>
        <v>4601992184028</v>
      </c>
      <c r="B5387" s="1" t="s">
        <v>5410</v>
      </c>
      <c r="C5387" s="1" t="s">
        <v>24</v>
      </c>
      <c r="D5387" s="1" t="str">
        <f t="shared" si="10228"/>
        <v>2021</v>
      </c>
      <c r="E5387" s="1" t="str">
        <f t="shared" ref="E5387:P5387" si="10243">"0"</f>
        <v>0</v>
      </c>
      <c r="F5387" s="1" t="str">
        <f t="shared" si="10243"/>
        <v>0</v>
      </c>
      <c r="G5387" s="1" t="str">
        <f t="shared" si="10243"/>
        <v>0</v>
      </c>
      <c r="H5387" s="1" t="str">
        <f t="shared" si="10243"/>
        <v>0</v>
      </c>
      <c r="I5387" s="1" t="str">
        <f t="shared" si="10243"/>
        <v>0</v>
      </c>
      <c r="J5387" s="1" t="str">
        <f t="shared" si="10243"/>
        <v>0</v>
      </c>
      <c r="K5387" s="1" t="str">
        <f t="shared" si="10243"/>
        <v>0</v>
      </c>
      <c r="L5387" s="1" t="str">
        <f t="shared" si="10243"/>
        <v>0</v>
      </c>
      <c r="M5387" s="1" t="str">
        <f t="shared" si="10243"/>
        <v>0</v>
      </c>
      <c r="N5387" s="1" t="str">
        <f t="shared" si="10243"/>
        <v>0</v>
      </c>
      <c r="O5387" s="1" t="str">
        <f t="shared" si="10243"/>
        <v>0</v>
      </c>
      <c r="P5387" s="1" t="str">
        <f t="shared" si="10243"/>
        <v>0</v>
      </c>
      <c r="Q5387" s="1" t="str">
        <f t="shared" si="10230"/>
        <v>0.0070</v>
      </c>
      <c r="R5387" s="1" t="s">
        <v>25</v>
      </c>
      <c r="T5387" s="1" t="str">
        <f t="shared" si="10231"/>
        <v>0</v>
      </c>
      <c r="U5387" s="1" t="str">
        <f t="shared" si="10237"/>
        <v>0.0070</v>
      </c>
    </row>
    <row r="5388" s="1" customFormat="1" spans="1:21">
      <c r="A5388" s="1" t="str">
        <f>"4601992184245"</f>
        <v>4601992184245</v>
      </c>
      <c r="B5388" s="1" t="s">
        <v>5411</v>
      </c>
      <c r="C5388" s="1" t="s">
        <v>24</v>
      </c>
      <c r="D5388" s="1" t="str">
        <f t="shared" si="10228"/>
        <v>2021</v>
      </c>
      <c r="E5388" s="1" t="str">
        <f t="shared" ref="E5388:P5388" si="10244">"0"</f>
        <v>0</v>
      </c>
      <c r="F5388" s="1" t="str">
        <f t="shared" si="10244"/>
        <v>0</v>
      </c>
      <c r="G5388" s="1" t="str">
        <f t="shared" si="10244"/>
        <v>0</v>
      </c>
      <c r="H5388" s="1" t="str">
        <f t="shared" si="10244"/>
        <v>0</v>
      </c>
      <c r="I5388" s="1" t="str">
        <f t="shared" si="10244"/>
        <v>0</v>
      </c>
      <c r="J5388" s="1" t="str">
        <f t="shared" si="10244"/>
        <v>0</v>
      </c>
      <c r="K5388" s="1" t="str">
        <f t="shared" si="10244"/>
        <v>0</v>
      </c>
      <c r="L5388" s="1" t="str">
        <f t="shared" si="10244"/>
        <v>0</v>
      </c>
      <c r="M5388" s="1" t="str">
        <f t="shared" si="10244"/>
        <v>0</v>
      </c>
      <c r="N5388" s="1" t="str">
        <f t="shared" si="10244"/>
        <v>0</v>
      </c>
      <c r="O5388" s="1" t="str">
        <f t="shared" si="10244"/>
        <v>0</v>
      </c>
      <c r="P5388" s="1" t="str">
        <f t="shared" si="10244"/>
        <v>0</v>
      </c>
      <c r="Q5388" s="1" t="str">
        <f t="shared" si="10230"/>
        <v>0.0070</v>
      </c>
      <c r="R5388" s="1" t="s">
        <v>25</v>
      </c>
      <c r="T5388" s="1" t="str">
        <f t="shared" si="10231"/>
        <v>0</v>
      </c>
      <c r="U5388" s="1" t="str">
        <f t="shared" si="10237"/>
        <v>0.0070</v>
      </c>
    </row>
    <row r="5389" s="1" customFormat="1" spans="1:21">
      <c r="A5389" s="1" t="str">
        <f>"4601992185495"</f>
        <v>4601992185495</v>
      </c>
      <c r="B5389" s="1" t="s">
        <v>5412</v>
      </c>
      <c r="C5389" s="1" t="s">
        <v>24</v>
      </c>
      <c r="D5389" s="1" t="str">
        <f t="shared" si="10228"/>
        <v>2021</v>
      </c>
      <c r="E5389" s="1" t="str">
        <f t="shared" ref="E5389:P5389" si="10245">"0"</f>
        <v>0</v>
      </c>
      <c r="F5389" s="1" t="str">
        <f t="shared" si="10245"/>
        <v>0</v>
      </c>
      <c r="G5389" s="1" t="str">
        <f t="shared" si="10245"/>
        <v>0</v>
      </c>
      <c r="H5389" s="1" t="str">
        <f t="shared" si="10245"/>
        <v>0</v>
      </c>
      <c r="I5389" s="1" t="str">
        <f t="shared" si="10245"/>
        <v>0</v>
      </c>
      <c r="J5389" s="1" t="str">
        <f t="shared" si="10245"/>
        <v>0</v>
      </c>
      <c r="K5389" s="1" t="str">
        <f t="shared" si="10245"/>
        <v>0</v>
      </c>
      <c r="L5389" s="1" t="str">
        <f t="shared" si="10245"/>
        <v>0</v>
      </c>
      <c r="M5389" s="1" t="str">
        <f t="shared" si="10245"/>
        <v>0</v>
      </c>
      <c r="N5389" s="1" t="str">
        <f t="shared" si="10245"/>
        <v>0</v>
      </c>
      <c r="O5389" s="1" t="str">
        <f t="shared" si="10245"/>
        <v>0</v>
      </c>
      <c r="P5389" s="1" t="str">
        <f t="shared" si="10245"/>
        <v>0</v>
      </c>
      <c r="Q5389" s="1" t="str">
        <f t="shared" si="10230"/>
        <v>0.0070</v>
      </c>
      <c r="R5389" s="1" t="s">
        <v>25</v>
      </c>
      <c r="T5389" s="1" t="str">
        <f t="shared" si="10231"/>
        <v>0</v>
      </c>
      <c r="U5389" s="1" t="str">
        <f t="shared" si="10237"/>
        <v>0.0070</v>
      </c>
    </row>
    <row r="5390" s="1" customFormat="1" spans="1:21">
      <c r="A5390" s="1" t="str">
        <f>"4601992184119"</f>
        <v>4601992184119</v>
      </c>
      <c r="B5390" s="1" t="s">
        <v>5413</v>
      </c>
      <c r="C5390" s="1" t="s">
        <v>24</v>
      </c>
      <c r="D5390" s="1" t="str">
        <f t="shared" si="10228"/>
        <v>2021</v>
      </c>
      <c r="E5390" s="1" t="str">
        <f t="shared" ref="E5390:I5390" si="10246">"0"</f>
        <v>0</v>
      </c>
      <c r="F5390" s="1" t="str">
        <f t="shared" si="10246"/>
        <v>0</v>
      </c>
      <c r="G5390" s="1" t="str">
        <f t="shared" si="10246"/>
        <v>0</v>
      </c>
      <c r="H5390" s="1" t="str">
        <f t="shared" si="10246"/>
        <v>0</v>
      </c>
      <c r="I5390" s="1" t="str">
        <f t="shared" si="10246"/>
        <v>0</v>
      </c>
      <c r="J5390" s="1" t="str">
        <f>"1"</f>
        <v>1</v>
      </c>
      <c r="K5390" s="1" t="str">
        <f t="shared" ref="K5390:P5390" si="10247">"0"</f>
        <v>0</v>
      </c>
      <c r="L5390" s="1" t="str">
        <f t="shared" si="10247"/>
        <v>0</v>
      </c>
      <c r="M5390" s="1" t="str">
        <f t="shared" si="10247"/>
        <v>0</v>
      </c>
      <c r="N5390" s="1" t="str">
        <f t="shared" si="10247"/>
        <v>0</v>
      </c>
      <c r="O5390" s="1" t="str">
        <f t="shared" si="10247"/>
        <v>0</v>
      </c>
      <c r="P5390" s="1" t="str">
        <f t="shared" si="10247"/>
        <v>0</v>
      </c>
      <c r="Q5390" s="1" t="str">
        <f t="shared" si="10230"/>
        <v>0.0070</v>
      </c>
      <c r="R5390" s="1" t="s">
        <v>25</v>
      </c>
      <c r="T5390" s="1" t="str">
        <f t="shared" si="10231"/>
        <v>0</v>
      </c>
      <c r="U5390" s="1" t="str">
        <f t="shared" si="10237"/>
        <v>0.0070</v>
      </c>
    </row>
    <row r="5391" s="1" customFormat="1" spans="1:21">
      <c r="A5391" s="1" t="str">
        <f>"4601992185513"</f>
        <v>4601992185513</v>
      </c>
      <c r="B5391" s="1" t="s">
        <v>5414</v>
      </c>
      <c r="C5391" s="1" t="s">
        <v>24</v>
      </c>
      <c r="D5391" s="1" t="str">
        <f t="shared" si="10228"/>
        <v>2021</v>
      </c>
      <c r="E5391" s="1" t="str">
        <f t="shared" ref="E5391:P5391" si="10248">"0"</f>
        <v>0</v>
      </c>
      <c r="F5391" s="1" t="str">
        <f t="shared" si="10248"/>
        <v>0</v>
      </c>
      <c r="G5391" s="1" t="str">
        <f t="shared" si="10248"/>
        <v>0</v>
      </c>
      <c r="H5391" s="1" t="str">
        <f t="shared" si="10248"/>
        <v>0</v>
      </c>
      <c r="I5391" s="1" t="str">
        <f t="shared" si="10248"/>
        <v>0</v>
      </c>
      <c r="J5391" s="1" t="str">
        <f t="shared" si="10248"/>
        <v>0</v>
      </c>
      <c r="K5391" s="1" t="str">
        <f t="shared" si="10248"/>
        <v>0</v>
      </c>
      <c r="L5391" s="1" t="str">
        <f t="shared" si="10248"/>
        <v>0</v>
      </c>
      <c r="M5391" s="1" t="str">
        <f t="shared" si="10248"/>
        <v>0</v>
      </c>
      <c r="N5391" s="1" t="str">
        <f t="shared" si="10248"/>
        <v>0</v>
      </c>
      <c r="O5391" s="1" t="str">
        <f t="shared" si="10248"/>
        <v>0</v>
      </c>
      <c r="P5391" s="1" t="str">
        <f t="shared" si="10248"/>
        <v>0</v>
      </c>
      <c r="Q5391" s="1" t="str">
        <f t="shared" si="10230"/>
        <v>0.0070</v>
      </c>
      <c r="R5391" s="1" t="s">
        <v>25</v>
      </c>
      <c r="T5391" s="1" t="str">
        <f t="shared" si="10231"/>
        <v>0</v>
      </c>
      <c r="U5391" s="1" t="str">
        <f t="shared" si="10237"/>
        <v>0.0070</v>
      </c>
    </row>
    <row r="5392" s="1" customFormat="1" spans="1:21">
      <c r="A5392" s="1" t="str">
        <f>"4601992184670"</f>
        <v>4601992184670</v>
      </c>
      <c r="B5392" s="1" t="s">
        <v>5415</v>
      </c>
      <c r="C5392" s="1" t="s">
        <v>24</v>
      </c>
      <c r="D5392" s="1" t="str">
        <f t="shared" si="10228"/>
        <v>2021</v>
      </c>
      <c r="E5392" s="1" t="str">
        <f t="shared" ref="E5392:I5392" si="10249">"0"</f>
        <v>0</v>
      </c>
      <c r="F5392" s="1" t="str">
        <f t="shared" si="10249"/>
        <v>0</v>
      </c>
      <c r="G5392" s="1" t="str">
        <f t="shared" si="10249"/>
        <v>0</v>
      </c>
      <c r="H5392" s="1" t="str">
        <f t="shared" si="10249"/>
        <v>0</v>
      </c>
      <c r="I5392" s="1" t="str">
        <f t="shared" si="10249"/>
        <v>0</v>
      </c>
      <c r="J5392" s="1" t="str">
        <f>"2"</f>
        <v>2</v>
      </c>
      <c r="K5392" s="1" t="str">
        <f t="shared" ref="K5392:P5392" si="10250">"0"</f>
        <v>0</v>
      </c>
      <c r="L5392" s="1" t="str">
        <f t="shared" si="10250"/>
        <v>0</v>
      </c>
      <c r="M5392" s="1" t="str">
        <f t="shared" si="10250"/>
        <v>0</v>
      </c>
      <c r="N5392" s="1" t="str">
        <f t="shared" si="10250"/>
        <v>0</v>
      </c>
      <c r="O5392" s="1" t="str">
        <f t="shared" si="10250"/>
        <v>0</v>
      </c>
      <c r="P5392" s="1" t="str">
        <f t="shared" si="10250"/>
        <v>0</v>
      </c>
      <c r="Q5392" s="1" t="str">
        <f t="shared" si="10230"/>
        <v>0.0070</v>
      </c>
      <c r="R5392" s="1" t="s">
        <v>25</v>
      </c>
      <c r="T5392" s="1" t="str">
        <f t="shared" si="10231"/>
        <v>0</v>
      </c>
      <c r="U5392" s="1" t="str">
        <f t="shared" si="10237"/>
        <v>0.0070</v>
      </c>
    </row>
    <row r="5393" s="1" customFormat="1" spans="1:21">
      <c r="A5393" s="1" t="str">
        <f>"4601992185652"</f>
        <v>4601992185652</v>
      </c>
      <c r="B5393" s="1" t="s">
        <v>5416</v>
      </c>
      <c r="C5393" s="1" t="s">
        <v>24</v>
      </c>
      <c r="D5393" s="1" t="str">
        <f t="shared" si="10228"/>
        <v>2021</v>
      </c>
      <c r="E5393" s="1" t="str">
        <f t="shared" ref="E5393:P5393" si="10251">"0"</f>
        <v>0</v>
      </c>
      <c r="F5393" s="1" t="str">
        <f t="shared" si="10251"/>
        <v>0</v>
      </c>
      <c r="G5393" s="1" t="str">
        <f t="shared" si="10251"/>
        <v>0</v>
      </c>
      <c r="H5393" s="1" t="str">
        <f t="shared" si="10251"/>
        <v>0</v>
      </c>
      <c r="I5393" s="1" t="str">
        <f t="shared" si="10251"/>
        <v>0</v>
      </c>
      <c r="J5393" s="1" t="str">
        <f t="shared" si="10251"/>
        <v>0</v>
      </c>
      <c r="K5393" s="1" t="str">
        <f t="shared" si="10251"/>
        <v>0</v>
      </c>
      <c r="L5393" s="1" t="str">
        <f t="shared" si="10251"/>
        <v>0</v>
      </c>
      <c r="M5393" s="1" t="str">
        <f t="shared" si="10251"/>
        <v>0</v>
      </c>
      <c r="N5393" s="1" t="str">
        <f t="shared" si="10251"/>
        <v>0</v>
      </c>
      <c r="O5393" s="1" t="str">
        <f t="shared" si="10251"/>
        <v>0</v>
      </c>
      <c r="P5393" s="1" t="str">
        <f t="shared" si="10251"/>
        <v>0</v>
      </c>
      <c r="Q5393" s="1" t="str">
        <f t="shared" si="10230"/>
        <v>0.0070</v>
      </c>
      <c r="R5393" s="1" t="s">
        <v>25</v>
      </c>
      <c r="T5393" s="1" t="str">
        <f t="shared" si="10231"/>
        <v>0</v>
      </c>
      <c r="U5393" s="1" t="str">
        <f t="shared" si="10237"/>
        <v>0.0070</v>
      </c>
    </row>
    <row r="5394" s="1" customFormat="1" spans="1:21">
      <c r="A5394" s="1" t="str">
        <f>"4601992185836"</f>
        <v>4601992185836</v>
      </c>
      <c r="B5394" s="1" t="s">
        <v>5417</v>
      </c>
      <c r="C5394" s="1" t="s">
        <v>24</v>
      </c>
      <c r="D5394" s="1" t="str">
        <f t="shared" si="10228"/>
        <v>2021</v>
      </c>
      <c r="E5394" s="1" t="str">
        <f t="shared" ref="E5394:P5394" si="10252">"0"</f>
        <v>0</v>
      </c>
      <c r="F5394" s="1" t="str">
        <f t="shared" si="10252"/>
        <v>0</v>
      </c>
      <c r="G5394" s="1" t="str">
        <f t="shared" si="10252"/>
        <v>0</v>
      </c>
      <c r="H5394" s="1" t="str">
        <f t="shared" si="10252"/>
        <v>0</v>
      </c>
      <c r="I5394" s="1" t="str">
        <f t="shared" si="10252"/>
        <v>0</v>
      </c>
      <c r="J5394" s="1" t="str">
        <f t="shared" si="10252"/>
        <v>0</v>
      </c>
      <c r="K5394" s="1" t="str">
        <f t="shared" si="10252"/>
        <v>0</v>
      </c>
      <c r="L5394" s="1" t="str">
        <f t="shared" si="10252"/>
        <v>0</v>
      </c>
      <c r="M5394" s="1" t="str">
        <f t="shared" si="10252"/>
        <v>0</v>
      </c>
      <c r="N5394" s="1" t="str">
        <f t="shared" si="10252"/>
        <v>0</v>
      </c>
      <c r="O5394" s="1" t="str">
        <f t="shared" si="10252"/>
        <v>0</v>
      </c>
      <c r="P5394" s="1" t="str">
        <f t="shared" si="10252"/>
        <v>0</v>
      </c>
      <c r="Q5394" s="1" t="str">
        <f t="shared" si="10230"/>
        <v>0.0070</v>
      </c>
      <c r="R5394" s="1" t="s">
        <v>25</v>
      </c>
      <c r="T5394" s="1" t="str">
        <f t="shared" si="10231"/>
        <v>0</v>
      </c>
      <c r="U5394" s="1" t="str">
        <f t="shared" si="10237"/>
        <v>0.0070</v>
      </c>
    </row>
    <row r="5395" s="1" customFormat="1" spans="1:21">
      <c r="A5395" s="1" t="str">
        <f>"4601992185805"</f>
        <v>4601992185805</v>
      </c>
      <c r="B5395" s="1" t="s">
        <v>5418</v>
      </c>
      <c r="C5395" s="1" t="s">
        <v>24</v>
      </c>
      <c r="D5395" s="1" t="str">
        <f t="shared" si="10228"/>
        <v>2021</v>
      </c>
      <c r="E5395" s="1" t="str">
        <f t="shared" ref="E5395:P5395" si="10253">"0"</f>
        <v>0</v>
      </c>
      <c r="F5395" s="1" t="str">
        <f t="shared" si="10253"/>
        <v>0</v>
      </c>
      <c r="G5395" s="1" t="str">
        <f t="shared" si="10253"/>
        <v>0</v>
      </c>
      <c r="H5395" s="1" t="str">
        <f t="shared" si="10253"/>
        <v>0</v>
      </c>
      <c r="I5395" s="1" t="str">
        <f t="shared" si="10253"/>
        <v>0</v>
      </c>
      <c r="J5395" s="1" t="str">
        <f t="shared" si="10253"/>
        <v>0</v>
      </c>
      <c r="K5395" s="1" t="str">
        <f t="shared" si="10253"/>
        <v>0</v>
      </c>
      <c r="L5395" s="1" t="str">
        <f t="shared" si="10253"/>
        <v>0</v>
      </c>
      <c r="M5395" s="1" t="str">
        <f t="shared" si="10253"/>
        <v>0</v>
      </c>
      <c r="N5395" s="1" t="str">
        <f t="shared" si="10253"/>
        <v>0</v>
      </c>
      <c r="O5395" s="1" t="str">
        <f t="shared" si="10253"/>
        <v>0</v>
      </c>
      <c r="P5395" s="1" t="str">
        <f t="shared" si="10253"/>
        <v>0</v>
      </c>
      <c r="Q5395" s="1" t="str">
        <f t="shared" si="10230"/>
        <v>0.0070</v>
      </c>
      <c r="R5395" s="1" t="s">
        <v>25</v>
      </c>
      <c r="T5395" s="1" t="str">
        <f t="shared" si="10231"/>
        <v>0</v>
      </c>
      <c r="U5395" s="1" t="str">
        <f t="shared" si="10237"/>
        <v>0.0070</v>
      </c>
    </row>
    <row r="5396" s="1" customFormat="1" spans="1:21">
      <c r="A5396" s="1" t="str">
        <f>"4601992185981"</f>
        <v>4601992185981</v>
      </c>
      <c r="B5396" s="1" t="s">
        <v>5419</v>
      </c>
      <c r="C5396" s="1" t="s">
        <v>24</v>
      </c>
      <c r="D5396" s="1" t="str">
        <f t="shared" si="10228"/>
        <v>2021</v>
      </c>
      <c r="E5396" s="1" t="str">
        <f t="shared" ref="E5396:P5396" si="10254">"0"</f>
        <v>0</v>
      </c>
      <c r="F5396" s="1" t="str">
        <f t="shared" si="10254"/>
        <v>0</v>
      </c>
      <c r="G5396" s="1" t="str">
        <f t="shared" si="10254"/>
        <v>0</v>
      </c>
      <c r="H5396" s="1" t="str">
        <f t="shared" si="10254"/>
        <v>0</v>
      </c>
      <c r="I5396" s="1" t="str">
        <f t="shared" si="10254"/>
        <v>0</v>
      </c>
      <c r="J5396" s="1" t="str">
        <f t="shared" si="10254"/>
        <v>0</v>
      </c>
      <c r="K5396" s="1" t="str">
        <f t="shared" si="10254"/>
        <v>0</v>
      </c>
      <c r="L5396" s="1" t="str">
        <f t="shared" si="10254"/>
        <v>0</v>
      </c>
      <c r="M5396" s="1" t="str">
        <f t="shared" si="10254"/>
        <v>0</v>
      </c>
      <c r="N5396" s="1" t="str">
        <f t="shared" si="10254"/>
        <v>0</v>
      </c>
      <c r="O5396" s="1" t="str">
        <f t="shared" si="10254"/>
        <v>0</v>
      </c>
      <c r="P5396" s="1" t="str">
        <f t="shared" si="10254"/>
        <v>0</v>
      </c>
      <c r="Q5396" s="1" t="str">
        <f t="shared" si="10230"/>
        <v>0.0070</v>
      </c>
      <c r="R5396" s="1" t="s">
        <v>25</v>
      </c>
      <c r="T5396" s="1" t="str">
        <f t="shared" si="10231"/>
        <v>0</v>
      </c>
      <c r="U5396" s="1" t="str">
        <f t="shared" si="10237"/>
        <v>0.0070</v>
      </c>
    </row>
    <row r="5397" s="1" customFormat="1" spans="1:21">
      <c r="A5397" s="1" t="str">
        <f>"4601992186026"</f>
        <v>4601992186026</v>
      </c>
      <c r="B5397" s="1" t="s">
        <v>5420</v>
      </c>
      <c r="C5397" s="1" t="s">
        <v>24</v>
      </c>
      <c r="D5397" s="1" t="str">
        <f t="shared" si="10228"/>
        <v>2021</v>
      </c>
      <c r="E5397" s="1" t="str">
        <f t="shared" ref="E5397:P5397" si="10255">"0"</f>
        <v>0</v>
      </c>
      <c r="F5397" s="1" t="str">
        <f t="shared" si="10255"/>
        <v>0</v>
      </c>
      <c r="G5397" s="1" t="str">
        <f t="shared" si="10255"/>
        <v>0</v>
      </c>
      <c r="H5397" s="1" t="str">
        <f t="shared" si="10255"/>
        <v>0</v>
      </c>
      <c r="I5397" s="1" t="str">
        <f t="shared" si="10255"/>
        <v>0</v>
      </c>
      <c r="J5397" s="1" t="str">
        <f t="shared" si="10255"/>
        <v>0</v>
      </c>
      <c r="K5397" s="1" t="str">
        <f t="shared" si="10255"/>
        <v>0</v>
      </c>
      <c r="L5397" s="1" t="str">
        <f t="shared" si="10255"/>
        <v>0</v>
      </c>
      <c r="M5397" s="1" t="str">
        <f t="shared" si="10255"/>
        <v>0</v>
      </c>
      <c r="N5397" s="1" t="str">
        <f t="shared" si="10255"/>
        <v>0</v>
      </c>
      <c r="O5397" s="1" t="str">
        <f t="shared" si="10255"/>
        <v>0</v>
      </c>
      <c r="P5397" s="1" t="str">
        <f t="shared" si="10255"/>
        <v>0</v>
      </c>
      <c r="Q5397" s="1" t="str">
        <f t="shared" si="10230"/>
        <v>0.0070</v>
      </c>
      <c r="R5397" s="1" t="s">
        <v>25</v>
      </c>
      <c r="T5397" s="1" t="str">
        <f t="shared" si="10231"/>
        <v>0</v>
      </c>
      <c r="U5397" s="1" t="str">
        <f t="shared" si="10237"/>
        <v>0.0070</v>
      </c>
    </row>
    <row r="5398" s="1" customFormat="1" spans="1:21">
      <c r="A5398" s="1" t="str">
        <f>"4601992186122"</f>
        <v>4601992186122</v>
      </c>
      <c r="B5398" s="1" t="s">
        <v>5421</v>
      </c>
      <c r="C5398" s="1" t="s">
        <v>24</v>
      </c>
      <c r="D5398" s="1" t="str">
        <f t="shared" si="10228"/>
        <v>2021</v>
      </c>
      <c r="E5398" s="1" t="str">
        <f t="shared" ref="E5398:P5398" si="10256">"0"</f>
        <v>0</v>
      </c>
      <c r="F5398" s="1" t="str">
        <f t="shared" si="10256"/>
        <v>0</v>
      </c>
      <c r="G5398" s="1" t="str">
        <f t="shared" si="10256"/>
        <v>0</v>
      </c>
      <c r="H5398" s="1" t="str">
        <f t="shared" si="10256"/>
        <v>0</v>
      </c>
      <c r="I5398" s="1" t="str">
        <f t="shared" si="10256"/>
        <v>0</v>
      </c>
      <c r="J5398" s="1" t="str">
        <f t="shared" si="10256"/>
        <v>0</v>
      </c>
      <c r="K5398" s="1" t="str">
        <f t="shared" si="10256"/>
        <v>0</v>
      </c>
      <c r="L5398" s="1" t="str">
        <f t="shared" si="10256"/>
        <v>0</v>
      </c>
      <c r="M5398" s="1" t="str">
        <f t="shared" si="10256"/>
        <v>0</v>
      </c>
      <c r="N5398" s="1" t="str">
        <f t="shared" si="10256"/>
        <v>0</v>
      </c>
      <c r="O5398" s="1" t="str">
        <f t="shared" si="10256"/>
        <v>0</v>
      </c>
      <c r="P5398" s="1" t="str">
        <f t="shared" si="10256"/>
        <v>0</v>
      </c>
      <c r="Q5398" s="1" t="str">
        <f t="shared" si="10230"/>
        <v>0.0070</v>
      </c>
      <c r="R5398" s="1" t="s">
        <v>25</v>
      </c>
      <c r="T5398" s="1" t="str">
        <f t="shared" si="10231"/>
        <v>0</v>
      </c>
      <c r="U5398" s="1" t="str">
        <f t="shared" si="10237"/>
        <v>0.0070</v>
      </c>
    </row>
    <row r="5399" s="1" customFormat="1" spans="1:21">
      <c r="A5399" s="1" t="str">
        <f>"4601992186458"</f>
        <v>4601992186458</v>
      </c>
      <c r="B5399" s="1" t="s">
        <v>5422</v>
      </c>
      <c r="C5399" s="1" t="s">
        <v>24</v>
      </c>
      <c r="D5399" s="1" t="str">
        <f t="shared" si="10228"/>
        <v>2021</v>
      </c>
      <c r="E5399" s="1" t="str">
        <f t="shared" ref="E5399:P5399" si="10257">"0"</f>
        <v>0</v>
      </c>
      <c r="F5399" s="1" t="str">
        <f t="shared" si="10257"/>
        <v>0</v>
      </c>
      <c r="G5399" s="1" t="str">
        <f t="shared" si="10257"/>
        <v>0</v>
      </c>
      <c r="H5399" s="1" t="str">
        <f t="shared" si="10257"/>
        <v>0</v>
      </c>
      <c r="I5399" s="1" t="str">
        <f t="shared" si="10257"/>
        <v>0</v>
      </c>
      <c r="J5399" s="1" t="str">
        <f t="shared" si="10257"/>
        <v>0</v>
      </c>
      <c r="K5399" s="1" t="str">
        <f t="shared" si="10257"/>
        <v>0</v>
      </c>
      <c r="L5399" s="1" t="str">
        <f t="shared" si="10257"/>
        <v>0</v>
      </c>
      <c r="M5399" s="1" t="str">
        <f t="shared" si="10257"/>
        <v>0</v>
      </c>
      <c r="N5399" s="1" t="str">
        <f t="shared" si="10257"/>
        <v>0</v>
      </c>
      <c r="O5399" s="1" t="str">
        <f t="shared" si="10257"/>
        <v>0</v>
      </c>
      <c r="P5399" s="1" t="str">
        <f t="shared" si="10257"/>
        <v>0</v>
      </c>
      <c r="Q5399" s="1" t="str">
        <f t="shared" si="10230"/>
        <v>0.0070</v>
      </c>
      <c r="R5399" s="1" t="s">
        <v>25</v>
      </c>
      <c r="T5399" s="1" t="str">
        <f t="shared" si="10231"/>
        <v>0</v>
      </c>
      <c r="U5399" s="1" t="str">
        <f t="shared" si="10237"/>
        <v>0.0070</v>
      </c>
    </row>
    <row r="5400" s="1" customFormat="1" spans="1:21">
      <c r="A5400" s="1" t="str">
        <f>"4601992186488"</f>
        <v>4601992186488</v>
      </c>
      <c r="B5400" s="1" t="s">
        <v>5423</v>
      </c>
      <c r="C5400" s="1" t="s">
        <v>24</v>
      </c>
      <c r="D5400" s="1" t="str">
        <f t="shared" si="10228"/>
        <v>2021</v>
      </c>
      <c r="E5400" s="1" t="str">
        <f t="shared" ref="E5400:P5400" si="10258">"0"</f>
        <v>0</v>
      </c>
      <c r="F5400" s="1" t="str">
        <f t="shared" si="10258"/>
        <v>0</v>
      </c>
      <c r="G5400" s="1" t="str">
        <f t="shared" si="10258"/>
        <v>0</v>
      </c>
      <c r="H5400" s="1" t="str">
        <f t="shared" si="10258"/>
        <v>0</v>
      </c>
      <c r="I5400" s="1" t="str">
        <f t="shared" si="10258"/>
        <v>0</v>
      </c>
      <c r="J5400" s="1" t="str">
        <f t="shared" si="10258"/>
        <v>0</v>
      </c>
      <c r="K5400" s="1" t="str">
        <f t="shared" si="10258"/>
        <v>0</v>
      </c>
      <c r="L5400" s="1" t="str">
        <f t="shared" si="10258"/>
        <v>0</v>
      </c>
      <c r="M5400" s="1" t="str">
        <f t="shared" si="10258"/>
        <v>0</v>
      </c>
      <c r="N5400" s="1" t="str">
        <f t="shared" si="10258"/>
        <v>0</v>
      </c>
      <c r="O5400" s="1" t="str">
        <f t="shared" si="10258"/>
        <v>0</v>
      </c>
      <c r="P5400" s="1" t="str">
        <f t="shared" si="10258"/>
        <v>0</v>
      </c>
      <c r="Q5400" s="1" t="str">
        <f t="shared" si="10230"/>
        <v>0.0070</v>
      </c>
      <c r="R5400" s="1" t="s">
        <v>25</v>
      </c>
      <c r="T5400" s="1" t="str">
        <f t="shared" si="10231"/>
        <v>0</v>
      </c>
      <c r="U5400" s="1" t="str">
        <f t="shared" si="10237"/>
        <v>0.0070</v>
      </c>
    </row>
    <row r="5401" s="1" customFormat="1" spans="1:21">
      <c r="A5401" s="1" t="str">
        <f>"4601992186434"</f>
        <v>4601992186434</v>
      </c>
      <c r="B5401" s="1" t="s">
        <v>5424</v>
      </c>
      <c r="C5401" s="1" t="s">
        <v>24</v>
      </c>
      <c r="D5401" s="1" t="str">
        <f t="shared" si="10228"/>
        <v>2021</v>
      </c>
      <c r="E5401" s="1" t="str">
        <f t="shared" ref="E5401:I5401" si="10259">"0"</f>
        <v>0</v>
      </c>
      <c r="F5401" s="1" t="str">
        <f t="shared" si="10259"/>
        <v>0</v>
      </c>
      <c r="G5401" s="1" t="str">
        <f t="shared" si="10259"/>
        <v>0</v>
      </c>
      <c r="H5401" s="1" t="str">
        <f t="shared" si="10259"/>
        <v>0</v>
      </c>
      <c r="I5401" s="1" t="str">
        <f t="shared" si="10259"/>
        <v>0</v>
      </c>
      <c r="J5401" s="1" t="str">
        <f>"1"</f>
        <v>1</v>
      </c>
      <c r="K5401" s="1" t="str">
        <f t="shared" ref="K5401:P5401" si="10260">"0"</f>
        <v>0</v>
      </c>
      <c r="L5401" s="1" t="str">
        <f t="shared" si="10260"/>
        <v>0</v>
      </c>
      <c r="M5401" s="1" t="str">
        <f t="shared" si="10260"/>
        <v>0</v>
      </c>
      <c r="N5401" s="1" t="str">
        <f t="shared" si="10260"/>
        <v>0</v>
      </c>
      <c r="O5401" s="1" t="str">
        <f t="shared" si="10260"/>
        <v>0</v>
      </c>
      <c r="P5401" s="1" t="str">
        <f t="shared" si="10260"/>
        <v>0</v>
      </c>
      <c r="Q5401" s="1" t="str">
        <f t="shared" si="10230"/>
        <v>0.0070</v>
      </c>
      <c r="R5401" s="1" t="s">
        <v>25</v>
      </c>
      <c r="T5401" s="1" t="str">
        <f t="shared" si="10231"/>
        <v>0</v>
      </c>
      <c r="U5401" s="1" t="str">
        <f t="shared" si="10237"/>
        <v>0.0070</v>
      </c>
    </row>
    <row r="5402" s="1" customFormat="1" spans="1:21">
      <c r="A5402" s="1" t="str">
        <f>"4601992186511"</f>
        <v>4601992186511</v>
      </c>
      <c r="B5402" s="1" t="s">
        <v>5425</v>
      </c>
      <c r="C5402" s="1" t="s">
        <v>24</v>
      </c>
      <c r="D5402" s="1" t="str">
        <f t="shared" si="10228"/>
        <v>2021</v>
      </c>
      <c r="E5402" s="1" t="str">
        <f t="shared" ref="E5402:P5402" si="10261">"0"</f>
        <v>0</v>
      </c>
      <c r="F5402" s="1" t="str">
        <f t="shared" si="10261"/>
        <v>0</v>
      </c>
      <c r="G5402" s="1" t="str">
        <f t="shared" si="10261"/>
        <v>0</v>
      </c>
      <c r="H5402" s="1" t="str">
        <f t="shared" si="10261"/>
        <v>0</v>
      </c>
      <c r="I5402" s="1" t="str">
        <f t="shared" si="10261"/>
        <v>0</v>
      </c>
      <c r="J5402" s="1" t="str">
        <f t="shared" si="10261"/>
        <v>0</v>
      </c>
      <c r="K5402" s="1" t="str">
        <f t="shared" si="10261"/>
        <v>0</v>
      </c>
      <c r="L5402" s="1" t="str">
        <f t="shared" si="10261"/>
        <v>0</v>
      </c>
      <c r="M5402" s="1" t="str">
        <f t="shared" si="10261"/>
        <v>0</v>
      </c>
      <c r="N5402" s="1" t="str">
        <f t="shared" si="10261"/>
        <v>0</v>
      </c>
      <c r="O5402" s="1" t="str">
        <f t="shared" si="10261"/>
        <v>0</v>
      </c>
      <c r="P5402" s="1" t="str">
        <f t="shared" si="10261"/>
        <v>0</v>
      </c>
      <c r="Q5402" s="1" t="str">
        <f t="shared" si="10230"/>
        <v>0.0070</v>
      </c>
      <c r="R5402" s="1" t="s">
        <v>25</v>
      </c>
      <c r="T5402" s="1" t="str">
        <f t="shared" si="10231"/>
        <v>0</v>
      </c>
      <c r="U5402" s="1" t="str">
        <f t="shared" si="10237"/>
        <v>0.0070</v>
      </c>
    </row>
    <row r="5403" s="1" customFormat="1" spans="1:21">
      <c r="A5403" s="1" t="str">
        <f>"4601992186584"</f>
        <v>4601992186584</v>
      </c>
      <c r="B5403" s="1" t="s">
        <v>5426</v>
      </c>
      <c r="C5403" s="1" t="s">
        <v>24</v>
      </c>
      <c r="D5403" s="1" t="str">
        <f t="shared" si="10228"/>
        <v>2021</v>
      </c>
      <c r="E5403" s="1" t="str">
        <f t="shared" ref="E5403:P5403" si="10262">"0"</f>
        <v>0</v>
      </c>
      <c r="F5403" s="1" t="str">
        <f t="shared" si="10262"/>
        <v>0</v>
      </c>
      <c r="G5403" s="1" t="str">
        <f t="shared" si="10262"/>
        <v>0</v>
      </c>
      <c r="H5403" s="1" t="str">
        <f t="shared" si="10262"/>
        <v>0</v>
      </c>
      <c r="I5403" s="1" t="str">
        <f t="shared" si="10262"/>
        <v>0</v>
      </c>
      <c r="J5403" s="1" t="str">
        <f t="shared" si="10262"/>
        <v>0</v>
      </c>
      <c r="K5403" s="1" t="str">
        <f t="shared" si="10262"/>
        <v>0</v>
      </c>
      <c r="L5403" s="1" t="str">
        <f t="shared" si="10262"/>
        <v>0</v>
      </c>
      <c r="M5403" s="1" t="str">
        <f t="shared" si="10262"/>
        <v>0</v>
      </c>
      <c r="N5403" s="1" t="str">
        <f t="shared" si="10262"/>
        <v>0</v>
      </c>
      <c r="O5403" s="1" t="str">
        <f t="shared" si="10262"/>
        <v>0</v>
      </c>
      <c r="P5403" s="1" t="str">
        <f t="shared" si="10262"/>
        <v>0</v>
      </c>
      <c r="Q5403" s="1" t="str">
        <f t="shared" si="10230"/>
        <v>0.0070</v>
      </c>
      <c r="R5403" s="1" t="s">
        <v>25</v>
      </c>
      <c r="T5403" s="1" t="str">
        <f t="shared" si="10231"/>
        <v>0</v>
      </c>
      <c r="U5403" s="1" t="str">
        <f t="shared" si="10237"/>
        <v>0.0070</v>
      </c>
    </row>
    <row r="5404" s="1" customFormat="1" spans="1:21">
      <c r="A5404" s="1" t="str">
        <f>"4601992186636"</f>
        <v>4601992186636</v>
      </c>
      <c r="B5404" s="1" t="s">
        <v>5427</v>
      </c>
      <c r="C5404" s="1" t="s">
        <v>24</v>
      </c>
      <c r="D5404" s="1" t="str">
        <f t="shared" si="10228"/>
        <v>2021</v>
      </c>
      <c r="E5404" s="1" t="str">
        <f t="shared" ref="E5404:P5404" si="10263">"0"</f>
        <v>0</v>
      </c>
      <c r="F5404" s="1" t="str">
        <f t="shared" si="10263"/>
        <v>0</v>
      </c>
      <c r="G5404" s="1" t="str">
        <f t="shared" si="10263"/>
        <v>0</v>
      </c>
      <c r="H5404" s="1" t="str">
        <f t="shared" si="10263"/>
        <v>0</v>
      </c>
      <c r="I5404" s="1" t="str">
        <f t="shared" si="10263"/>
        <v>0</v>
      </c>
      <c r="J5404" s="1" t="str">
        <f t="shared" si="10263"/>
        <v>0</v>
      </c>
      <c r="K5404" s="1" t="str">
        <f t="shared" si="10263"/>
        <v>0</v>
      </c>
      <c r="L5404" s="1" t="str">
        <f t="shared" si="10263"/>
        <v>0</v>
      </c>
      <c r="M5404" s="1" t="str">
        <f t="shared" si="10263"/>
        <v>0</v>
      </c>
      <c r="N5404" s="1" t="str">
        <f t="shared" si="10263"/>
        <v>0</v>
      </c>
      <c r="O5404" s="1" t="str">
        <f t="shared" si="10263"/>
        <v>0</v>
      </c>
      <c r="P5404" s="1" t="str">
        <f t="shared" si="10263"/>
        <v>0</v>
      </c>
      <c r="Q5404" s="1" t="str">
        <f t="shared" si="10230"/>
        <v>0.0070</v>
      </c>
      <c r="R5404" s="1" t="s">
        <v>25</v>
      </c>
      <c r="T5404" s="1" t="str">
        <f t="shared" si="10231"/>
        <v>0</v>
      </c>
      <c r="U5404" s="1" t="str">
        <f t="shared" si="10237"/>
        <v>0.0070</v>
      </c>
    </row>
    <row r="5405" s="1" customFormat="1" spans="1:21">
      <c r="A5405" s="1" t="str">
        <f>"4601992186701"</f>
        <v>4601992186701</v>
      </c>
      <c r="B5405" s="1" t="s">
        <v>5428</v>
      </c>
      <c r="C5405" s="1" t="s">
        <v>24</v>
      </c>
      <c r="D5405" s="1" t="str">
        <f t="shared" si="10228"/>
        <v>2021</v>
      </c>
      <c r="E5405" s="1" t="str">
        <f t="shared" ref="E5405:P5405" si="10264">"0"</f>
        <v>0</v>
      </c>
      <c r="F5405" s="1" t="str">
        <f t="shared" si="10264"/>
        <v>0</v>
      </c>
      <c r="G5405" s="1" t="str">
        <f t="shared" si="10264"/>
        <v>0</v>
      </c>
      <c r="H5405" s="1" t="str">
        <f t="shared" si="10264"/>
        <v>0</v>
      </c>
      <c r="I5405" s="1" t="str">
        <f t="shared" si="10264"/>
        <v>0</v>
      </c>
      <c r="J5405" s="1" t="str">
        <f t="shared" si="10264"/>
        <v>0</v>
      </c>
      <c r="K5405" s="1" t="str">
        <f t="shared" si="10264"/>
        <v>0</v>
      </c>
      <c r="L5405" s="1" t="str">
        <f t="shared" si="10264"/>
        <v>0</v>
      </c>
      <c r="M5405" s="1" t="str">
        <f t="shared" si="10264"/>
        <v>0</v>
      </c>
      <c r="N5405" s="1" t="str">
        <f t="shared" si="10264"/>
        <v>0</v>
      </c>
      <c r="O5405" s="1" t="str">
        <f t="shared" si="10264"/>
        <v>0</v>
      </c>
      <c r="P5405" s="1" t="str">
        <f t="shared" si="10264"/>
        <v>0</v>
      </c>
      <c r="Q5405" s="1" t="str">
        <f t="shared" si="10230"/>
        <v>0.0070</v>
      </c>
      <c r="R5405" s="1" t="s">
        <v>25</v>
      </c>
      <c r="T5405" s="1" t="str">
        <f t="shared" si="10231"/>
        <v>0</v>
      </c>
      <c r="U5405" s="1" t="str">
        <f t="shared" si="10237"/>
        <v>0.0070</v>
      </c>
    </row>
    <row r="5406" s="1" customFormat="1" spans="1:21">
      <c r="A5406" s="1" t="str">
        <f>"4601992187001"</f>
        <v>4601992187001</v>
      </c>
      <c r="B5406" s="1" t="s">
        <v>5429</v>
      </c>
      <c r="C5406" s="1" t="s">
        <v>24</v>
      </c>
      <c r="D5406" s="1" t="str">
        <f t="shared" si="10228"/>
        <v>2021</v>
      </c>
      <c r="E5406" s="1" t="str">
        <f t="shared" ref="E5406:P5406" si="10265">"0"</f>
        <v>0</v>
      </c>
      <c r="F5406" s="1" t="str">
        <f t="shared" si="10265"/>
        <v>0</v>
      </c>
      <c r="G5406" s="1" t="str">
        <f t="shared" si="10265"/>
        <v>0</v>
      </c>
      <c r="H5406" s="1" t="str">
        <f t="shared" si="10265"/>
        <v>0</v>
      </c>
      <c r="I5406" s="1" t="str">
        <f t="shared" si="10265"/>
        <v>0</v>
      </c>
      <c r="J5406" s="1" t="str">
        <f t="shared" si="10265"/>
        <v>0</v>
      </c>
      <c r="K5406" s="1" t="str">
        <f t="shared" si="10265"/>
        <v>0</v>
      </c>
      <c r="L5406" s="1" t="str">
        <f t="shared" si="10265"/>
        <v>0</v>
      </c>
      <c r="M5406" s="1" t="str">
        <f t="shared" si="10265"/>
        <v>0</v>
      </c>
      <c r="N5406" s="1" t="str">
        <f t="shared" si="10265"/>
        <v>0</v>
      </c>
      <c r="O5406" s="1" t="str">
        <f t="shared" si="10265"/>
        <v>0</v>
      </c>
      <c r="P5406" s="1" t="str">
        <f t="shared" si="10265"/>
        <v>0</v>
      </c>
      <c r="Q5406" s="1" t="str">
        <f t="shared" si="10230"/>
        <v>0.0070</v>
      </c>
      <c r="R5406" s="1" t="s">
        <v>25</v>
      </c>
      <c r="T5406" s="1" t="str">
        <f t="shared" si="10231"/>
        <v>0</v>
      </c>
      <c r="U5406" s="1" t="str">
        <f t="shared" si="10237"/>
        <v>0.0070</v>
      </c>
    </row>
    <row r="5407" s="1" customFormat="1" spans="1:21">
      <c r="A5407" s="1" t="str">
        <f>"4601992186867"</f>
        <v>4601992186867</v>
      </c>
      <c r="B5407" s="1" t="s">
        <v>5430</v>
      </c>
      <c r="C5407" s="1" t="s">
        <v>24</v>
      </c>
      <c r="D5407" s="1" t="str">
        <f t="shared" si="10228"/>
        <v>2021</v>
      </c>
      <c r="E5407" s="1" t="str">
        <f t="shared" ref="E5407:P5407" si="10266">"0"</f>
        <v>0</v>
      </c>
      <c r="F5407" s="1" t="str">
        <f t="shared" si="10266"/>
        <v>0</v>
      </c>
      <c r="G5407" s="1" t="str">
        <f t="shared" si="10266"/>
        <v>0</v>
      </c>
      <c r="H5407" s="1" t="str">
        <f t="shared" si="10266"/>
        <v>0</v>
      </c>
      <c r="I5407" s="1" t="str">
        <f t="shared" si="10266"/>
        <v>0</v>
      </c>
      <c r="J5407" s="1" t="str">
        <f t="shared" si="10266"/>
        <v>0</v>
      </c>
      <c r="K5407" s="1" t="str">
        <f t="shared" si="10266"/>
        <v>0</v>
      </c>
      <c r="L5407" s="1" t="str">
        <f t="shared" si="10266"/>
        <v>0</v>
      </c>
      <c r="M5407" s="1" t="str">
        <f t="shared" si="10266"/>
        <v>0</v>
      </c>
      <c r="N5407" s="1" t="str">
        <f t="shared" si="10266"/>
        <v>0</v>
      </c>
      <c r="O5407" s="1" t="str">
        <f t="shared" si="10266"/>
        <v>0</v>
      </c>
      <c r="P5407" s="1" t="str">
        <f t="shared" si="10266"/>
        <v>0</v>
      </c>
      <c r="Q5407" s="1" t="str">
        <f t="shared" si="10230"/>
        <v>0.0070</v>
      </c>
      <c r="R5407" s="1" t="s">
        <v>25</v>
      </c>
      <c r="T5407" s="1" t="str">
        <f t="shared" si="10231"/>
        <v>0</v>
      </c>
      <c r="U5407" s="1" t="str">
        <f t="shared" si="10237"/>
        <v>0.0070</v>
      </c>
    </row>
    <row r="5408" s="1" customFormat="1" spans="1:21">
      <c r="A5408" s="1" t="str">
        <f>"4601992186514"</f>
        <v>4601992186514</v>
      </c>
      <c r="B5408" s="1" t="s">
        <v>5431</v>
      </c>
      <c r="C5408" s="1" t="s">
        <v>24</v>
      </c>
      <c r="D5408" s="1" t="str">
        <f t="shared" si="10228"/>
        <v>2021</v>
      </c>
      <c r="E5408" s="1" t="str">
        <f t="shared" ref="E5408:I5408" si="10267">"0"</f>
        <v>0</v>
      </c>
      <c r="F5408" s="1" t="str">
        <f t="shared" si="10267"/>
        <v>0</v>
      </c>
      <c r="G5408" s="1" t="str">
        <f t="shared" si="10267"/>
        <v>0</v>
      </c>
      <c r="H5408" s="1" t="str">
        <f t="shared" si="10267"/>
        <v>0</v>
      </c>
      <c r="I5408" s="1" t="str">
        <f t="shared" si="10267"/>
        <v>0</v>
      </c>
      <c r="J5408" s="1" t="str">
        <f>"3"</f>
        <v>3</v>
      </c>
      <c r="K5408" s="1" t="str">
        <f t="shared" ref="K5408:P5408" si="10268">"0"</f>
        <v>0</v>
      </c>
      <c r="L5408" s="1" t="str">
        <f t="shared" si="10268"/>
        <v>0</v>
      </c>
      <c r="M5408" s="1" t="str">
        <f t="shared" si="10268"/>
        <v>0</v>
      </c>
      <c r="N5408" s="1" t="str">
        <f t="shared" si="10268"/>
        <v>0</v>
      </c>
      <c r="O5408" s="1" t="str">
        <f t="shared" si="10268"/>
        <v>0</v>
      </c>
      <c r="P5408" s="1" t="str">
        <f t="shared" si="10268"/>
        <v>0</v>
      </c>
      <c r="Q5408" s="1" t="str">
        <f t="shared" si="10230"/>
        <v>0.0070</v>
      </c>
      <c r="R5408" s="1" t="s">
        <v>25</v>
      </c>
      <c r="T5408" s="1" t="str">
        <f t="shared" si="10231"/>
        <v>0</v>
      </c>
      <c r="U5408" s="1" t="str">
        <f t="shared" si="10237"/>
        <v>0.0070</v>
      </c>
    </row>
    <row r="5409" s="1" customFormat="1" spans="1:21">
      <c r="A5409" s="1" t="str">
        <f>"4601992187031"</f>
        <v>4601992187031</v>
      </c>
      <c r="B5409" s="1" t="s">
        <v>5432</v>
      </c>
      <c r="C5409" s="1" t="s">
        <v>24</v>
      </c>
      <c r="D5409" s="1" t="str">
        <f t="shared" si="10228"/>
        <v>2021</v>
      </c>
      <c r="E5409" s="1" t="str">
        <f t="shared" ref="E5409:P5409" si="10269">"0"</f>
        <v>0</v>
      </c>
      <c r="F5409" s="1" t="str">
        <f t="shared" si="10269"/>
        <v>0</v>
      </c>
      <c r="G5409" s="1" t="str">
        <f t="shared" si="10269"/>
        <v>0</v>
      </c>
      <c r="H5409" s="1" t="str">
        <f t="shared" si="10269"/>
        <v>0</v>
      </c>
      <c r="I5409" s="1" t="str">
        <f t="shared" si="10269"/>
        <v>0</v>
      </c>
      <c r="J5409" s="1" t="str">
        <f t="shared" si="10269"/>
        <v>0</v>
      </c>
      <c r="K5409" s="1" t="str">
        <f t="shared" si="10269"/>
        <v>0</v>
      </c>
      <c r="L5409" s="1" t="str">
        <f t="shared" si="10269"/>
        <v>0</v>
      </c>
      <c r="M5409" s="1" t="str">
        <f t="shared" si="10269"/>
        <v>0</v>
      </c>
      <c r="N5409" s="1" t="str">
        <f t="shared" si="10269"/>
        <v>0</v>
      </c>
      <c r="O5409" s="1" t="str">
        <f t="shared" si="10269"/>
        <v>0</v>
      </c>
      <c r="P5409" s="1" t="str">
        <f t="shared" si="10269"/>
        <v>0</v>
      </c>
      <c r="Q5409" s="1" t="str">
        <f t="shared" si="10230"/>
        <v>0.0070</v>
      </c>
      <c r="R5409" s="1" t="s">
        <v>25</v>
      </c>
      <c r="T5409" s="1" t="str">
        <f t="shared" si="10231"/>
        <v>0</v>
      </c>
      <c r="U5409" s="1" t="str">
        <f t="shared" si="10237"/>
        <v>0.0070</v>
      </c>
    </row>
    <row r="5410" s="1" customFormat="1" spans="1:21">
      <c r="A5410" s="1" t="str">
        <f>"4601992045706"</f>
        <v>4601992045706</v>
      </c>
      <c r="B5410" s="1" t="s">
        <v>5433</v>
      </c>
      <c r="C5410" s="1" t="s">
        <v>24</v>
      </c>
      <c r="D5410" s="1" t="str">
        <f t="shared" si="10228"/>
        <v>2021</v>
      </c>
      <c r="E5410" s="1" t="str">
        <f t="shared" ref="E5410:I5410" si="10270">"0"</f>
        <v>0</v>
      </c>
      <c r="F5410" s="1" t="str">
        <f t="shared" si="10270"/>
        <v>0</v>
      </c>
      <c r="G5410" s="1" t="str">
        <f t="shared" si="10270"/>
        <v>0</v>
      </c>
      <c r="H5410" s="1" t="str">
        <f t="shared" si="10270"/>
        <v>0</v>
      </c>
      <c r="I5410" s="1" t="str">
        <f t="shared" si="10270"/>
        <v>0</v>
      </c>
      <c r="J5410" s="1" t="str">
        <f>"2"</f>
        <v>2</v>
      </c>
      <c r="K5410" s="1" t="str">
        <f t="shared" ref="K5410:P5410" si="10271">"0"</f>
        <v>0</v>
      </c>
      <c r="L5410" s="1" t="str">
        <f t="shared" si="10271"/>
        <v>0</v>
      </c>
      <c r="M5410" s="1" t="str">
        <f t="shared" si="10271"/>
        <v>0</v>
      </c>
      <c r="N5410" s="1" t="str">
        <f t="shared" si="10271"/>
        <v>0</v>
      </c>
      <c r="O5410" s="1" t="str">
        <f t="shared" si="10271"/>
        <v>0</v>
      </c>
      <c r="P5410" s="1" t="str">
        <f t="shared" si="10271"/>
        <v>0</v>
      </c>
      <c r="Q5410" s="1" t="str">
        <f t="shared" si="10230"/>
        <v>0.0070</v>
      </c>
      <c r="R5410" s="1" t="s">
        <v>25</v>
      </c>
      <c r="T5410" s="1" t="str">
        <f t="shared" si="10231"/>
        <v>0</v>
      </c>
      <c r="U5410" s="1" t="str">
        <f t="shared" si="10237"/>
        <v>0.0070</v>
      </c>
    </row>
    <row r="5411" s="1" customFormat="1" spans="1:21">
      <c r="A5411" s="1" t="str">
        <f>"4601992187405"</f>
        <v>4601992187405</v>
      </c>
      <c r="B5411" s="1" t="s">
        <v>5434</v>
      </c>
      <c r="C5411" s="1" t="s">
        <v>24</v>
      </c>
      <c r="D5411" s="1" t="str">
        <f t="shared" si="10228"/>
        <v>2021</v>
      </c>
      <c r="E5411" s="1" t="str">
        <f>"47.92"</f>
        <v>47.92</v>
      </c>
      <c r="F5411" s="1" t="str">
        <f t="shared" ref="F5411:I5411" si="10272">"0"</f>
        <v>0</v>
      </c>
      <c r="G5411" s="1" t="str">
        <f t="shared" si="10272"/>
        <v>0</v>
      </c>
      <c r="H5411" s="1" t="str">
        <f t="shared" si="10272"/>
        <v>0</v>
      </c>
      <c r="I5411" s="1" t="str">
        <f t="shared" si="10272"/>
        <v>0</v>
      </c>
      <c r="J5411" s="1" t="str">
        <f>"4"</f>
        <v>4</v>
      </c>
      <c r="K5411" s="1" t="str">
        <f t="shared" ref="K5411:P5411" si="10273">"0"</f>
        <v>0</v>
      </c>
      <c r="L5411" s="1" t="str">
        <f t="shared" si="10273"/>
        <v>0</v>
      </c>
      <c r="M5411" s="1" t="str">
        <f t="shared" si="10273"/>
        <v>0</v>
      </c>
      <c r="N5411" s="1" t="str">
        <f t="shared" si="10273"/>
        <v>0</v>
      </c>
      <c r="O5411" s="1" t="str">
        <f t="shared" si="10273"/>
        <v>0</v>
      </c>
      <c r="P5411" s="1" t="str">
        <f t="shared" si="10273"/>
        <v>0</v>
      </c>
      <c r="Q5411" s="1" t="str">
        <f t="shared" si="10230"/>
        <v>0.0070</v>
      </c>
      <c r="R5411" s="1" t="s">
        <v>29</v>
      </c>
      <c r="S5411" s="1">
        <v>-0.0014</v>
      </c>
      <c r="T5411" s="1" t="str">
        <f t="shared" si="10231"/>
        <v>0</v>
      </c>
      <c r="U5411" s="1" t="str">
        <f t="shared" ref="U5411:U5413" si="10274">"0.0056"</f>
        <v>0.0056</v>
      </c>
    </row>
    <row r="5412" s="1" customFormat="1" spans="1:21">
      <c r="A5412" s="1" t="str">
        <f>"4601992054434"</f>
        <v>4601992054434</v>
      </c>
      <c r="B5412" s="1" t="s">
        <v>5435</v>
      </c>
      <c r="C5412" s="1" t="s">
        <v>24</v>
      </c>
      <c r="D5412" s="1" t="str">
        <f t="shared" si="10228"/>
        <v>2021</v>
      </c>
      <c r="E5412" s="1" t="str">
        <f>"36.27"</f>
        <v>36.27</v>
      </c>
      <c r="F5412" s="1" t="str">
        <f t="shared" ref="F5412:I5412" si="10275">"0"</f>
        <v>0</v>
      </c>
      <c r="G5412" s="1" t="str">
        <f t="shared" si="10275"/>
        <v>0</v>
      </c>
      <c r="H5412" s="1" t="str">
        <f t="shared" si="10275"/>
        <v>0</v>
      </c>
      <c r="I5412" s="1" t="str">
        <f t="shared" si="10275"/>
        <v>0</v>
      </c>
      <c r="J5412" s="1" t="str">
        <f>"2"</f>
        <v>2</v>
      </c>
      <c r="K5412" s="1" t="str">
        <f t="shared" ref="K5412:P5412" si="10276">"0"</f>
        <v>0</v>
      </c>
      <c r="L5412" s="1" t="str">
        <f t="shared" si="10276"/>
        <v>0</v>
      </c>
      <c r="M5412" s="1" t="str">
        <f t="shared" si="10276"/>
        <v>0</v>
      </c>
      <c r="N5412" s="1" t="str">
        <f t="shared" si="10276"/>
        <v>0</v>
      </c>
      <c r="O5412" s="1" t="str">
        <f t="shared" si="10276"/>
        <v>0</v>
      </c>
      <c r="P5412" s="1" t="str">
        <f t="shared" si="10276"/>
        <v>0</v>
      </c>
      <c r="Q5412" s="1" t="str">
        <f t="shared" si="10230"/>
        <v>0.0070</v>
      </c>
      <c r="R5412" s="1" t="s">
        <v>29</v>
      </c>
      <c r="S5412" s="1">
        <v>-0.0014</v>
      </c>
      <c r="T5412" s="1" t="str">
        <f t="shared" si="10231"/>
        <v>0</v>
      </c>
      <c r="U5412" s="1" t="str">
        <f t="shared" si="10274"/>
        <v>0.0056</v>
      </c>
    </row>
    <row r="5413" s="1" customFormat="1" spans="1:21">
      <c r="A5413" s="1" t="str">
        <f>"4601992060871"</f>
        <v>4601992060871</v>
      </c>
      <c r="B5413" s="1" t="s">
        <v>5436</v>
      </c>
      <c r="C5413" s="1" t="s">
        <v>24</v>
      </c>
      <c r="D5413" s="1" t="str">
        <f t="shared" si="10228"/>
        <v>2021</v>
      </c>
      <c r="E5413" s="1" t="str">
        <f>"662.76"</f>
        <v>662.76</v>
      </c>
      <c r="F5413" s="1" t="str">
        <f t="shared" ref="F5413:I5413" si="10277">"0"</f>
        <v>0</v>
      </c>
      <c r="G5413" s="1" t="str">
        <f t="shared" si="10277"/>
        <v>0</v>
      </c>
      <c r="H5413" s="1" t="str">
        <f t="shared" si="10277"/>
        <v>0</v>
      </c>
      <c r="I5413" s="1" t="str">
        <f t="shared" si="10277"/>
        <v>0</v>
      </c>
      <c r="J5413" s="1" t="str">
        <f>"23"</f>
        <v>23</v>
      </c>
      <c r="K5413" s="1" t="str">
        <f t="shared" ref="K5413:P5413" si="10278">"0"</f>
        <v>0</v>
      </c>
      <c r="L5413" s="1" t="str">
        <f t="shared" si="10278"/>
        <v>0</v>
      </c>
      <c r="M5413" s="1" t="str">
        <f t="shared" si="10278"/>
        <v>0</v>
      </c>
      <c r="N5413" s="1" t="str">
        <f t="shared" si="10278"/>
        <v>0</v>
      </c>
      <c r="O5413" s="1" t="str">
        <f t="shared" si="10278"/>
        <v>0</v>
      </c>
      <c r="P5413" s="1" t="str">
        <f t="shared" si="10278"/>
        <v>0</v>
      </c>
      <c r="Q5413" s="1" t="str">
        <f t="shared" si="10230"/>
        <v>0.0070</v>
      </c>
      <c r="R5413" s="1" t="s">
        <v>29</v>
      </c>
      <c r="S5413" s="1">
        <v>-0.0014</v>
      </c>
      <c r="T5413" s="1" t="str">
        <f t="shared" si="10231"/>
        <v>0</v>
      </c>
      <c r="U5413" s="1" t="str">
        <f t="shared" si="10274"/>
        <v>0.0056</v>
      </c>
    </row>
    <row r="5414" s="1" customFormat="1" spans="1:21">
      <c r="A5414" s="1" t="str">
        <f>"4601992187413"</f>
        <v>4601992187413</v>
      </c>
      <c r="B5414" s="1" t="s">
        <v>5437</v>
      </c>
      <c r="C5414" s="1" t="s">
        <v>24</v>
      </c>
      <c r="D5414" s="1" t="str">
        <f t="shared" si="10228"/>
        <v>2021</v>
      </c>
      <c r="E5414" s="1" t="str">
        <f t="shared" ref="E5414:I5414" si="10279">"0"</f>
        <v>0</v>
      </c>
      <c r="F5414" s="1" t="str">
        <f t="shared" si="10279"/>
        <v>0</v>
      </c>
      <c r="G5414" s="1" t="str">
        <f t="shared" si="10279"/>
        <v>0</v>
      </c>
      <c r="H5414" s="1" t="str">
        <f t="shared" si="10279"/>
        <v>0</v>
      </c>
      <c r="I5414" s="1" t="str">
        <f t="shared" si="10279"/>
        <v>0</v>
      </c>
      <c r="J5414" s="1" t="str">
        <f>"1"</f>
        <v>1</v>
      </c>
      <c r="K5414" s="1" t="str">
        <f t="shared" ref="K5414:P5414" si="10280">"0"</f>
        <v>0</v>
      </c>
      <c r="L5414" s="1" t="str">
        <f t="shared" si="10280"/>
        <v>0</v>
      </c>
      <c r="M5414" s="1" t="str">
        <f t="shared" si="10280"/>
        <v>0</v>
      </c>
      <c r="N5414" s="1" t="str">
        <f t="shared" si="10280"/>
        <v>0</v>
      </c>
      <c r="O5414" s="1" t="str">
        <f t="shared" si="10280"/>
        <v>0</v>
      </c>
      <c r="P5414" s="1" t="str">
        <f t="shared" si="10280"/>
        <v>0</v>
      </c>
      <c r="Q5414" s="1" t="str">
        <f t="shared" si="10230"/>
        <v>0.0070</v>
      </c>
      <c r="R5414" s="1" t="s">
        <v>25</v>
      </c>
      <c r="T5414" s="1" t="str">
        <f t="shared" si="10231"/>
        <v>0</v>
      </c>
      <c r="U5414" s="1" t="str">
        <f t="shared" ref="U5414:U5422" si="10281">"0.0070"</f>
        <v>0.0070</v>
      </c>
    </row>
    <row r="5415" s="1" customFormat="1" spans="1:21">
      <c r="A5415" s="1" t="str">
        <f>"4601992187422"</f>
        <v>4601992187422</v>
      </c>
      <c r="B5415" s="1" t="s">
        <v>5438</v>
      </c>
      <c r="C5415" s="1" t="s">
        <v>24</v>
      </c>
      <c r="D5415" s="1" t="str">
        <f t="shared" si="10228"/>
        <v>2021</v>
      </c>
      <c r="E5415" s="1" t="str">
        <f>"23.96"</f>
        <v>23.96</v>
      </c>
      <c r="F5415" s="1" t="str">
        <f t="shared" ref="F5415:I5415" si="10282">"0"</f>
        <v>0</v>
      </c>
      <c r="G5415" s="1" t="str">
        <f t="shared" si="10282"/>
        <v>0</v>
      </c>
      <c r="H5415" s="1" t="str">
        <f t="shared" si="10282"/>
        <v>0</v>
      </c>
      <c r="I5415" s="1" t="str">
        <f t="shared" si="10282"/>
        <v>0</v>
      </c>
      <c r="J5415" s="1" t="str">
        <f>"6"</f>
        <v>6</v>
      </c>
      <c r="K5415" s="1" t="str">
        <f t="shared" ref="K5415:P5415" si="10283">"0"</f>
        <v>0</v>
      </c>
      <c r="L5415" s="1" t="str">
        <f t="shared" si="10283"/>
        <v>0</v>
      </c>
      <c r="M5415" s="1" t="str">
        <f t="shared" si="10283"/>
        <v>0</v>
      </c>
      <c r="N5415" s="1" t="str">
        <f t="shared" si="10283"/>
        <v>0</v>
      </c>
      <c r="O5415" s="1" t="str">
        <f t="shared" si="10283"/>
        <v>0</v>
      </c>
      <c r="P5415" s="1" t="str">
        <f t="shared" si="10283"/>
        <v>0</v>
      </c>
      <c r="Q5415" s="1" t="str">
        <f t="shared" si="10230"/>
        <v>0.0070</v>
      </c>
      <c r="R5415" s="1" t="s">
        <v>29</v>
      </c>
      <c r="S5415" s="1">
        <v>-0.0014</v>
      </c>
      <c r="T5415" s="1" t="str">
        <f t="shared" si="10231"/>
        <v>0</v>
      </c>
      <c r="U5415" s="1" t="str">
        <f>"0.0056"</f>
        <v>0.0056</v>
      </c>
    </row>
    <row r="5416" s="1" customFormat="1" spans="1:21">
      <c r="A5416" s="1" t="str">
        <f>"4601992187425"</f>
        <v>4601992187425</v>
      </c>
      <c r="B5416" s="1" t="s">
        <v>5439</v>
      </c>
      <c r="C5416" s="1" t="s">
        <v>24</v>
      </c>
      <c r="D5416" s="1" t="str">
        <f t="shared" si="10228"/>
        <v>2021</v>
      </c>
      <c r="E5416" s="1" t="str">
        <f t="shared" ref="E5416:I5416" si="10284">"0"</f>
        <v>0</v>
      </c>
      <c r="F5416" s="1" t="str">
        <f t="shared" si="10284"/>
        <v>0</v>
      </c>
      <c r="G5416" s="1" t="str">
        <f t="shared" si="10284"/>
        <v>0</v>
      </c>
      <c r="H5416" s="1" t="str">
        <f t="shared" si="10284"/>
        <v>0</v>
      </c>
      <c r="I5416" s="1" t="str">
        <f t="shared" si="10284"/>
        <v>0</v>
      </c>
      <c r="J5416" s="1" t="str">
        <f>"1"</f>
        <v>1</v>
      </c>
      <c r="K5416" s="1" t="str">
        <f t="shared" ref="K5416:P5416" si="10285">"0"</f>
        <v>0</v>
      </c>
      <c r="L5416" s="1" t="str">
        <f t="shared" si="10285"/>
        <v>0</v>
      </c>
      <c r="M5416" s="1" t="str">
        <f t="shared" si="10285"/>
        <v>0</v>
      </c>
      <c r="N5416" s="1" t="str">
        <f t="shared" si="10285"/>
        <v>0</v>
      </c>
      <c r="O5416" s="1" t="str">
        <f t="shared" si="10285"/>
        <v>0</v>
      </c>
      <c r="P5416" s="1" t="str">
        <f t="shared" si="10285"/>
        <v>0</v>
      </c>
      <c r="Q5416" s="1" t="str">
        <f t="shared" si="10230"/>
        <v>0.0070</v>
      </c>
      <c r="R5416" s="1" t="s">
        <v>25</v>
      </c>
      <c r="T5416" s="1" t="str">
        <f t="shared" si="10231"/>
        <v>0</v>
      </c>
      <c r="U5416" s="1" t="str">
        <f t="shared" si="10281"/>
        <v>0.0070</v>
      </c>
    </row>
    <row r="5417" s="1" customFormat="1" spans="1:21">
      <c r="A5417" s="1" t="str">
        <f>"4601992187456"</f>
        <v>4601992187456</v>
      </c>
      <c r="B5417" s="1" t="s">
        <v>5440</v>
      </c>
      <c r="C5417" s="1" t="s">
        <v>24</v>
      </c>
      <c r="D5417" s="1" t="str">
        <f t="shared" si="10228"/>
        <v>2021</v>
      </c>
      <c r="E5417" s="1" t="str">
        <f t="shared" ref="E5417:I5417" si="10286">"0"</f>
        <v>0</v>
      </c>
      <c r="F5417" s="1" t="str">
        <f t="shared" si="10286"/>
        <v>0</v>
      </c>
      <c r="G5417" s="1" t="str">
        <f t="shared" si="10286"/>
        <v>0</v>
      </c>
      <c r="H5417" s="1" t="str">
        <f t="shared" si="10286"/>
        <v>0</v>
      </c>
      <c r="I5417" s="1" t="str">
        <f t="shared" si="10286"/>
        <v>0</v>
      </c>
      <c r="J5417" s="1" t="str">
        <f t="shared" ref="J5417:J5421" si="10287">"2"</f>
        <v>2</v>
      </c>
      <c r="K5417" s="1" t="str">
        <f t="shared" ref="K5417:P5417" si="10288">"0"</f>
        <v>0</v>
      </c>
      <c r="L5417" s="1" t="str">
        <f t="shared" si="10288"/>
        <v>0</v>
      </c>
      <c r="M5417" s="1" t="str">
        <f t="shared" si="10288"/>
        <v>0</v>
      </c>
      <c r="N5417" s="1" t="str">
        <f t="shared" si="10288"/>
        <v>0</v>
      </c>
      <c r="O5417" s="1" t="str">
        <f t="shared" si="10288"/>
        <v>0</v>
      </c>
      <c r="P5417" s="1" t="str">
        <f t="shared" si="10288"/>
        <v>0</v>
      </c>
      <c r="Q5417" s="1" t="str">
        <f t="shared" si="10230"/>
        <v>0.0070</v>
      </c>
      <c r="R5417" s="1" t="s">
        <v>25</v>
      </c>
      <c r="T5417" s="1" t="str">
        <f t="shared" si="10231"/>
        <v>0</v>
      </c>
      <c r="U5417" s="1" t="str">
        <f t="shared" si="10281"/>
        <v>0.0070</v>
      </c>
    </row>
    <row r="5418" s="1" customFormat="1" spans="1:21">
      <c r="A5418" s="1" t="str">
        <f>"4601992187485"</f>
        <v>4601992187485</v>
      </c>
      <c r="B5418" s="1" t="s">
        <v>5441</v>
      </c>
      <c r="C5418" s="1" t="s">
        <v>24</v>
      </c>
      <c r="D5418" s="1" t="str">
        <f t="shared" si="10228"/>
        <v>2021</v>
      </c>
      <c r="E5418" s="1" t="str">
        <f t="shared" ref="E5418:I5418" si="10289">"0"</f>
        <v>0</v>
      </c>
      <c r="F5418" s="1" t="str">
        <f t="shared" si="10289"/>
        <v>0</v>
      </c>
      <c r="G5418" s="1" t="str">
        <f t="shared" si="10289"/>
        <v>0</v>
      </c>
      <c r="H5418" s="1" t="str">
        <f t="shared" si="10289"/>
        <v>0</v>
      </c>
      <c r="I5418" s="1" t="str">
        <f t="shared" si="10289"/>
        <v>0</v>
      </c>
      <c r="J5418" s="1" t="str">
        <f>"4"</f>
        <v>4</v>
      </c>
      <c r="K5418" s="1" t="str">
        <f t="shared" ref="K5418:P5418" si="10290">"0"</f>
        <v>0</v>
      </c>
      <c r="L5418" s="1" t="str">
        <f t="shared" si="10290"/>
        <v>0</v>
      </c>
      <c r="M5418" s="1" t="str">
        <f t="shared" si="10290"/>
        <v>0</v>
      </c>
      <c r="N5418" s="1" t="str">
        <f t="shared" si="10290"/>
        <v>0</v>
      </c>
      <c r="O5418" s="1" t="str">
        <f t="shared" si="10290"/>
        <v>0</v>
      </c>
      <c r="P5418" s="1" t="str">
        <f t="shared" si="10290"/>
        <v>0</v>
      </c>
      <c r="Q5418" s="1" t="str">
        <f t="shared" si="10230"/>
        <v>0.0070</v>
      </c>
      <c r="R5418" s="1" t="s">
        <v>25</v>
      </c>
      <c r="T5418" s="1" t="str">
        <f t="shared" si="10231"/>
        <v>0</v>
      </c>
      <c r="U5418" s="1" t="str">
        <f t="shared" si="10281"/>
        <v>0.0070</v>
      </c>
    </row>
    <row r="5419" s="1" customFormat="1" spans="1:21">
      <c r="A5419" s="1" t="str">
        <f>"4601992187499"</f>
        <v>4601992187499</v>
      </c>
      <c r="B5419" s="1" t="s">
        <v>5442</v>
      </c>
      <c r="C5419" s="1" t="s">
        <v>24</v>
      </c>
      <c r="D5419" s="1" t="str">
        <f t="shared" si="10228"/>
        <v>2021</v>
      </c>
      <c r="E5419" s="1" t="str">
        <f t="shared" ref="E5419:I5419" si="10291">"0"</f>
        <v>0</v>
      </c>
      <c r="F5419" s="1" t="str">
        <f t="shared" si="10291"/>
        <v>0</v>
      </c>
      <c r="G5419" s="1" t="str">
        <f t="shared" si="10291"/>
        <v>0</v>
      </c>
      <c r="H5419" s="1" t="str">
        <f t="shared" si="10291"/>
        <v>0</v>
      </c>
      <c r="I5419" s="1" t="str">
        <f t="shared" si="10291"/>
        <v>0</v>
      </c>
      <c r="J5419" s="1" t="str">
        <f t="shared" si="10287"/>
        <v>2</v>
      </c>
      <c r="K5419" s="1" t="str">
        <f t="shared" ref="K5419:P5419" si="10292">"0"</f>
        <v>0</v>
      </c>
      <c r="L5419" s="1" t="str">
        <f t="shared" si="10292"/>
        <v>0</v>
      </c>
      <c r="M5419" s="1" t="str">
        <f t="shared" si="10292"/>
        <v>0</v>
      </c>
      <c r="N5419" s="1" t="str">
        <f t="shared" si="10292"/>
        <v>0</v>
      </c>
      <c r="O5419" s="1" t="str">
        <f t="shared" si="10292"/>
        <v>0</v>
      </c>
      <c r="P5419" s="1" t="str">
        <f t="shared" si="10292"/>
        <v>0</v>
      </c>
      <c r="Q5419" s="1" t="str">
        <f t="shared" si="10230"/>
        <v>0.0070</v>
      </c>
      <c r="R5419" s="1" t="s">
        <v>25</v>
      </c>
      <c r="T5419" s="1" t="str">
        <f t="shared" si="10231"/>
        <v>0</v>
      </c>
      <c r="U5419" s="1" t="str">
        <f t="shared" si="10281"/>
        <v>0.0070</v>
      </c>
    </row>
    <row r="5420" s="1" customFormat="1" spans="1:21">
      <c r="A5420" s="1" t="str">
        <f>"4601992187510"</f>
        <v>4601992187510</v>
      </c>
      <c r="B5420" s="1" t="s">
        <v>5443</v>
      </c>
      <c r="C5420" s="1" t="s">
        <v>24</v>
      </c>
      <c r="D5420" s="1" t="str">
        <f t="shared" si="10228"/>
        <v>2021</v>
      </c>
      <c r="E5420" s="1" t="str">
        <f t="shared" ref="E5420:I5420" si="10293">"0"</f>
        <v>0</v>
      </c>
      <c r="F5420" s="1" t="str">
        <f t="shared" si="10293"/>
        <v>0</v>
      </c>
      <c r="G5420" s="1" t="str">
        <f t="shared" si="10293"/>
        <v>0</v>
      </c>
      <c r="H5420" s="1" t="str">
        <f t="shared" si="10293"/>
        <v>0</v>
      </c>
      <c r="I5420" s="1" t="str">
        <f t="shared" si="10293"/>
        <v>0</v>
      </c>
      <c r="J5420" s="1" t="str">
        <f>"10"</f>
        <v>10</v>
      </c>
      <c r="K5420" s="1" t="str">
        <f t="shared" ref="K5420:P5420" si="10294">"0"</f>
        <v>0</v>
      </c>
      <c r="L5420" s="1" t="str">
        <f t="shared" si="10294"/>
        <v>0</v>
      </c>
      <c r="M5420" s="1" t="str">
        <f t="shared" si="10294"/>
        <v>0</v>
      </c>
      <c r="N5420" s="1" t="str">
        <f t="shared" si="10294"/>
        <v>0</v>
      </c>
      <c r="O5420" s="1" t="str">
        <f t="shared" si="10294"/>
        <v>0</v>
      </c>
      <c r="P5420" s="1" t="str">
        <f t="shared" si="10294"/>
        <v>0</v>
      </c>
      <c r="Q5420" s="1" t="str">
        <f t="shared" si="10230"/>
        <v>0.0070</v>
      </c>
      <c r="R5420" s="1" t="s">
        <v>25</v>
      </c>
      <c r="T5420" s="1" t="str">
        <f t="shared" si="10231"/>
        <v>0</v>
      </c>
      <c r="U5420" s="1" t="str">
        <f t="shared" si="10281"/>
        <v>0.0070</v>
      </c>
    </row>
    <row r="5421" s="1" customFormat="1" spans="1:21">
      <c r="A5421" s="1" t="str">
        <f>"4601992187513"</f>
        <v>4601992187513</v>
      </c>
      <c r="B5421" s="1" t="s">
        <v>5444</v>
      </c>
      <c r="C5421" s="1" t="s">
        <v>24</v>
      </c>
      <c r="D5421" s="1" t="str">
        <f t="shared" si="10228"/>
        <v>2021</v>
      </c>
      <c r="E5421" s="1" t="str">
        <f t="shared" ref="E5421:I5421" si="10295">"0"</f>
        <v>0</v>
      </c>
      <c r="F5421" s="1" t="str">
        <f t="shared" si="10295"/>
        <v>0</v>
      </c>
      <c r="G5421" s="1" t="str">
        <f t="shared" si="10295"/>
        <v>0</v>
      </c>
      <c r="H5421" s="1" t="str">
        <f t="shared" si="10295"/>
        <v>0</v>
      </c>
      <c r="I5421" s="1" t="str">
        <f t="shared" si="10295"/>
        <v>0</v>
      </c>
      <c r="J5421" s="1" t="str">
        <f t="shared" si="10287"/>
        <v>2</v>
      </c>
      <c r="K5421" s="1" t="str">
        <f t="shared" ref="K5421:P5421" si="10296">"0"</f>
        <v>0</v>
      </c>
      <c r="L5421" s="1" t="str">
        <f t="shared" si="10296"/>
        <v>0</v>
      </c>
      <c r="M5421" s="1" t="str">
        <f t="shared" si="10296"/>
        <v>0</v>
      </c>
      <c r="N5421" s="1" t="str">
        <f t="shared" si="10296"/>
        <v>0</v>
      </c>
      <c r="O5421" s="1" t="str">
        <f t="shared" si="10296"/>
        <v>0</v>
      </c>
      <c r="P5421" s="1" t="str">
        <f t="shared" si="10296"/>
        <v>0</v>
      </c>
      <c r="Q5421" s="1" t="str">
        <f t="shared" si="10230"/>
        <v>0.0070</v>
      </c>
      <c r="R5421" s="1" t="s">
        <v>25</v>
      </c>
      <c r="T5421" s="1" t="str">
        <f t="shared" si="10231"/>
        <v>0</v>
      </c>
      <c r="U5421" s="1" t="str">
        <f t="shared" si="10281"/>
        <v>0.0070</v>
      </c>
    </row>
    <row r="5422" s="1" customFormat="1" spans="1:21">
      <c r="A5422" s="1" t="str">
        <f>"4601992187537"</f>
        <v>4601992187537</v>
      </c>
      <c r="B5422" s="1" t="s">
        <v>5445</v>
      </c>
      <c r="C5422" s="1" t="s">
        <v>24</v>
      </c>
      <c r="D5422" s="1" t="str">
        <f t="shared" si="10228"/>
        <v>2021</v>
      </c>
      <c r="E5422" s="1" t="str">
        <f t="shared" ref="E5422:I5422" si="10297">"0"</f>
        <v>0</v>
      </c>
      <c r="F5422" s="1" t="str">
        <f t="shared" si="10297"/>
        <v>0</v>
      </c>
      <c r="G5422" s="1" t="str">
        <f t="shared" si="10297"/>
        <v>0</v>
      </c>
      <c r="H5422" s="1" t="str">
        <f t="shared" si="10297"/>
        <v>0</v>
      </c>
      <c r="I5422" s="1" t="str">
        <f t="shared" si="10297"/>
        <v>0</v>
      </c>
      <c r="J5422" s="1" t="str">
        <f t="shared" ref="J5422:J5427" si="10298">"3"</f>
        <v>3</v>
      </c>
      <c r="K5422" s="1" t="str">
        <f t="shared" ref="K5422:P5422" si="10299">"0"</f>
        <v>0</v>
      </c>
      <c r="L5422" s="1" t="str">
        <f t="shared" si="10299"/>
        <v>0</v>
      </c>
      <c r="M5422" s="1" t="str">
        <f t="shared" si="10299"/>
        <v>0</v>
      </c>
      <c r="N5422" s="1" t="str">
        <f t="shared" si="10299"/>
        <v>0</v>
      </c>
      <c r="O5422" s="1" t="str">
        <f t="shared" si="10299"/>
        <v>0</v>
      </c>
      <c r="P5422" s="1" t="str">
        <f t="shared" si="10299"/>
        <v>0</v>
      </c>
      <c r="Q5422" s="1" t="str">
        <f t="shared" si="10230"/>
        <v>0.0070</v>
      </c>
      <c r="R5422" s="1" t="s">
        <v>25</v>
      </c>
      <c r="T5422" s="1" t="str">
        <f t="shared" si="10231"/>
        <v>0</v>
      </c>
      <c r="U5422" s="1" t="str">
        <f t="shared" si="10281"/>
        <v>0.0070</v>
      </c>
    </row>
    <row r="5423" s="1" customFormat="1" spans="1:21">
      <c r="A5423" s="1" t="str">
        <f>"4601992187567"</f>
        <v>4601992187567</v>
      </c>
      <c r="B5423" s="1" t="s">
        <v>5446</v>
      </c>
      <c r="C5423" s="1" t="s">
        <v>24</v>
      </c>
      <c r="D5423" s="1" t="str">
        <f t="shared" si="10228"/>
        <v>2021</v>
      </c>
      <c r="E5423" s="1" t="str">
        <f>"17.65"</f>
        <v>17.65</v>
      </c>
      <c r="F5423" s="1" t="str">
        <f t="shared" ref="F5423:I5423" si="10300">"0"</f>
        <v>0</v>
      </c>
      <c r="G5423" s="1" t="str">
        <f t="shared" si="10300"/>
        <v>0</v>
      </c>
      <c r="H5423" s="1" t="str">
        <f t="shared" si="10300"/>
        <v>0</v>
      </c>
      <c r="I5423" s="1" t="str">
        <f t="shared" si="10300"/>
        <v>0</v>
      </c>
      <c r="J5423" s="1" t="str">
        <f>"1"</f>
        <v>1</v>
      </c>
      <c r="K5423" s="1" t="str">
        <f t="shared" ref="K5423:P5423" si="10301">"0"</f>
        <v>0</v>
      </c>
      <c r="L5423" s="1" t="str">
        <f t="shared" si="10301"/>
        <v>0</v>
      </c>
      <c r="M5423" s="1" t="str">
        <f t="shared" si="10301"/>
        <v>0</v>
      </c>
      <c r="N5423" s="1" t="str">
        <f t="shared" si="10301"/>
        <v>0</v>
      </c>
      <c r="O5423" s="1" t="str">
        <f t="shared" si="10301"/>
        <v>0</v>
      </c>
      <c r="P5423" s="1" t="str">
        <f t="shared" si="10301"/>
        <v>0</v>
      </c>
      <c r="Q5423" s="1" t="str">
        <f t="shared" si="10230"/>
        <v>0.0070</v>
      </c>
      <c r="R5423" s="1" t="s">
        <v>29</v>
      </c>
      <c r="S5423" s="1">
        <v>-0.0014</v>
      </c>
      <c r="T5423" s="1" t="str">
        <f t="shared" si="10231"/>
        <v>0</v>
      </c>
      <c r="U5423" s="1" t="str">
        <f>"0.0056"</f>
        <v>0.0056</v>
      </c>
    </row>
    <row r="5424" s="1" customFormat="1" spans="1:21">
      <c r="A5424" s="1" t="str">
        <f>"4601992187570"</f>
        <v>4601992187570</v>
      </c>
      <c r="B5424" s="1" t="s">
        <v>5447</v>
      </c>
      <c r="C5424" s="1" t="s">
        <v>24</v>
      </c>
      <c r="D5424" s="1" t="str">
        <f t="shared" si="10228"/>
        <v>2021</v>
      </c>
      <c r="E5424" s="1" t="str">
        <f t="shared" ref="E5424:I5424" si="10302">"0"</f>
        <v>0</v>
      </c>
      <c r="F5424" s="1" t="str">
        <f t="shared" si="10302"/>
        <v>0</v>
      </c>
      <c r="G5424" s="1" t="str">
        <f t="shared" si="10302"/>
        <v>0</v>
      </c>
      <c r="H5424" s="1" t="str">
        <f t="shared" si="10302"/>
        <v>0</v>
      </c>
      <c r="I5424" s="1" t="str">
        <f t="shared" si="10302"/>
        <v>0</v>
      </c>
      <c r="J5424" s="1" t="str">
        <f t="shared" si="10298"/>
        <v>3</v>
      </c>
      <c r="K5424" s="1" t="str">
        <f t="shared" ref="K5424:P5424" si="10303">"0"</f>
        <v>0</v>
      </c>
      <c r="L5424" s="1" t="str">
        <f t="shared" si="10303"/>
        <v>0</v>
      </c>
      <c r="M5424" s="1" t="str">
        <f t="shared" si="10303"/>
        <v>0</v>
      </c>
      <c r="N5424" s="1" t="str">
        <f t="shared" si="10303"/>
        <v>0</v>
      </c>
      <c r="O5424" s="1" t="str">
        <f t="shared" si="10303"/>
        <v>0</v>
      </c>
      <c r="P5424" s="1" t="str">
        <f t="shared" si="10303"/>
        <v>0</v>
      </c>
      <c r="Q5424" s="1" t="str">
        <f t="shared" si="10230"/>
        <v>0.0070</v>
      </c>
      <c r="R5424" s="1" t="s">
        <v>25</v>
      </c>
      <c r="T5424" s="1" t="str">
        <f t="shared" si="10231"/>
        <v>0</v>
      </c>
      <c r="U5424" s="1" t="str">
        <f t="shared" ref="U5424:U5434" si="10304">"0.0070"</f>
        <v>0.0070</v>
      </c>
    </row>
    <row r="5425" s="1" customFormat="1" spans="1:21">
      <c r="A5425" s="1" t="str">
        <f>"4601992187578"</f>
        <v>4601992187578</v>
      </c>
      <c r="B5425" s="1" t="s">
        <v>5448</v>
      </c>
      <c r="C5425" s="1" t="s">
        <v>24</v>
      </c>
      <c r="D5425" s="1" t="str">
        <f t="shared" si="10228"/>
        <v>2021</v>
      </c>
      <c r="E5425" s="1" t="str">
        <f t="shared" ref="E5425:I5425" si="10305">"0"</f>
        <v>0</v>
      </c>
      <c r="F5425" s="1" t="str">
        <f t="shared" si="10305"/>
        <v>0</v>
      </c>
      <c r="G5425" s="1" t="str">
        <f t="shared" si="10305"/>
        <v>0</v>
      </c>
      <c r="H5425" s="1" t="str">
        <f t="shared" si="10305"/>
        <v>0</v>
      </c>
      <c r="I5425" s="1" t="str">
        <f t="shared" si="10305"/>
        <v>0</v>
      </c>
      <c r="J5425" s="1" t="str">
        <f t="shared" si="10298"/>
        <v>3</v>
      </c>
      <c r="K5425" s="1" t="str">
        <f t="shared" ref="K5425:P5425" si="10306">"0"</f>
        <v>0</v>
      </c>
      <c r="L5425" s="1" t="str">
        <f t="shared" si="10306"/>
        <v>0</v>
      </c>
      <c r="M5425" s="1" t="str">
        <f t="shared" si="10306"/>
        <v>0</v>
      </c>
      <c r="N5425" s="1" t="str">
        <f t="shared" si="10306"/>
        <v>0</v>
      </c>
      <c r="O5425" s="1" t="str">
        <f t="shared" si="10306"/>
        <v>0</v>
      </c>
      <c r="P5425" s="1" t="str">
        <f t="shared" si="10306"/>
        <v>0</v>
      </c>
      <c r="Q5425" s="1" t="str">
        <f t="shared" si="10230"/>
        <v>0.0070</v>
      </c>
      <c r="R5425" s="1" t="s">
        <v>25</v>
      </c>
      <c r="T5425" s="1" t="str">
        <f t="shared" si="10231"/>
        <v>0</v>
      </c>
      <c r="U5425" s="1" t="str">
        <f t="shared" si="10304"/>
        <v>0.0070</v>
      </c>
    </row>
    <row r="5426" s="1" customFormat="1" spans="1:21">
      <c r="A5426" s="1" t="str">
        <f>"4601992187603"</f>
        <v>4601992187603</v>
      </c>
      <c r="B5426" s="1" t="s">
        <v>5449</v>
      </c>
      <c r="C5426" s="1" t="s">
        <v>24</v>
      </c>
      <c r="D5426" s="1" t="str">
        <f t="shared" si="10228"/>
        <v>2021</v>
      </c>
      <c r="E5426" s="1" t="str">
        <f t="shared" ref="E5426:I5426" si="10307">"0"</f>
        <v>0</v>
      </c>
      <c r="F5426" s="1" t="str">
        <f t="shared" si="10307"/>
        <v>0</v>
      </c>
      <c r="G5426" s="1" t="str">
        <f t="shared" si="10307"/>
        <v>0</v>
      </c>
      <c r="H5426" s="1" t="str">
        <f t="shared" si="10307"/>
        <v>0</v>
      </c>
      <c r="I5426" s="1" t="str">
        <f t="shared" si="10307"/>
        <v>0</v>
      </c>
      <c r="J5426" s="1" t="str">
        <f t="shared" si="10298"/>
        <v>3</v>
      </c>
      <c r="K5426" s="1" t="str">
        <f t="shared" ref="K5426:P5426" si="10308">"0"</f>
        <v>0</v>
      </c>
      <c r="L5426" s="1" t="str">
        <f t="shared" si="10308"/>
        <v>0</v>
      </c>
      <c r="M5426" s="1" t="str">
        <f t="shared" si="10308"/>
        <v>0</v>
      </c>
      <c r="N5426" s="1" t="str">
        <f t="shared" si="10308"/>
        <v>0</v>
      </c>
      <c r="O5426" s="1" t="str">
        <f t="shared" si="10308"/>
        <v>0</v>
      </c>
      <c r="P5426" s="1" t="str">
        <f t="shared" si="10308"/>
        <v>0</v>
      </c>
      <c r="Q5426" s="1" t="str">
        <f t="shared" si="10230"/>
        <v>0.0070</v>
      </c>
      <c r="R5426" s="1" t="s">
        <v>25</v>
      </c>
      <c r="T5426" s="1" t="str">
        <f t="shared" si="10231"/>
        <v>0</v>
      </c>
      <c r="U5426" s="1" t="str">
        <f t="shared" si="10304"/>
        <v>0.0070</v>
      </c>
    </row>
    <row r="5427" s="1" customFormat="1" spans="1:21">
      <c r="A5427" s="1" t="str">
        <f>"4601992187604"</f>
        <v>4601992187604</v>
      </c>
      <c r="B5427" s="1" t="s">
        <v>5450</v>
      </c>
      <c r="C5427" s="1" t="s">
        <v>24</v>
      </c>
      <c r="D5427" s="1" t="str">
        <f t="shared" si="10228"/>
        <v>2021</v>
      </c>
      <c r="E5427" s="1" t="str">
        <f t="shared" ref="E5427:I5427" si="10309">"0"</f>
        <v>0</v>
      </c>
      <c r="F5427" s="1" t="str">
        <f t="shared" si="10309"/>
        <v>0</v>
      </c>
      <c r="G5427" s="1" t="str">
        <f t="shared" si="10309"/>
        <v>0</v>
      </c>
      <c r="H5427" s="1" t="str">
        <f t="shared" si="10309"/>
        <v>0</v>
      </c>
      <c r="I5427" s="1" t="str">
        <f t="shared" si="10309"/>
        <v>0</v>
      </c>
      <c r="J5427" s="1" t="str">
        <f t="shared" si="10298"/>
        <v>3</v>
      </c>
      <c r="K5427" s="1" t="str">
        <f t="shared" ref="K5427:P5427" si="10310">"0"</f>
        <v>0</v>
      </c>
      <c r="L5427" s="1" t="str">
        <f t="shared" si="10310"/>
        <v>0</v>
      </c>
      <c r="M5427" s="1" t="str">
        <f t="shared" si="10310"/>
        <v>0</v>
      </c>
      <c r="N5427" s="1" t="str">
        <f t="shared" si="10310"/>
        <v>0</v>
      </c>
      <c r="O5427" s="1" t="str">
        <f t="shared" si="10310"/>
        <v>0</v>
      </c>
      <c r="P5427" s="1" t="str">
        <f t="shared" si="10310"/>
        <v>0</v>
      </c>
      <c r="Q5427" s="1" t="str">
        <f t="shared" si="10230"/>
        <v>0.0070</v>
      </c>
      <c r="R5427" s="1" t="s">
        <v>25</v>
      </c>
      <c r="T5427" s="1" t="str">
        <f t="shared" si="10231"/>
        <v>0</v>
      </c>
      <c r="U5427" s="1" t="str">
        <f t="shared" si="10304"/>
        <v>0.0070</v>
      </c>
    </row>
    <row r="5428" s="1" customFormat="1" spans="1:21">
      <c r="A5428" s="1" t="str">
        <f>"4601992187606"</f>
        <v>4601992187606</v>
      </c>
      <c r="B5428" s="1" t="s">
        <v>5451</v>
      </c>
      <c r="C5428" s="1" t="s">
        <v>24</v>
      </c>
      <c r="D5428" s="1" t="str">
        <f t="shared" si="10228"/>
        <v>2021</v>
      </c>
      <c r="E5428" s="1" t="str">
        <f t="shared" ref="E5428:I5428" si="10311">"0"</f>
        <v>0</v>
      </c>
      <c r="F5428" s="1" t="str">
        <f t="shared" si="10311"/>
        <v>0</v>
      </c>
      <c r="G5428" s="1" t="str">
        <f t="shared" si="10311"/>
        <v>0</v>
      </c>
      <c r="H5428" s="1" t="str">
        <f t="shared" si="10311"/>
        <v>0</v>
      </c>
      <c r="I5428" s="1" t="str">
        <f t="shared" si="10311"/>
        <v>0</v>
      </c>
      <c r="J5428" s="1" t="str">
        <f>"6"</f>
        <v>6</v>
      </c>
      <c r="K5428" s="1" t="str">
        <f t="shared" ref="K5428:P5428" si="10312">"0"</f>
        <v>0</v>
      </c>
      <c r="L5428" s="1" t="str">
        <f t="shared" si="10312"/>
        <v>0</v>
      </c>
      <c r="M5428" s="1" t="str">
        <f t="shared" si="10312"/>
        <v>0</v>
      </c>
      <c r="N5428" s="1" t="str">
        <f t="shared" si="10312"/>
        <v>0</v>
      </c>
      <c r="O5428" s="1" t="str">
        <f t="shared" si="10312"/>
        <v>0</v>
      </c>
      <c r="P5428" s="1" t="str">
        <f t="shared" si="10312"/>
        <v>0</v>
      </c>
      <c r="Q5428" s="1" t="str">
        <f t="shared" si="10230"/>
        <v>0.0070</v>
      </c>
      <c r="R5428" s="1" t="s">
        <v>25</v>
      </c>
      <c r="T5428" s="1" t="str">
        <f t="shared" si="10231"/>
        <v>0</v>
      </c>
      <c r="U5428" s="1" t="str">
        <f t="shared" si="10304"/>
        <v>0.0070</v>
      </c>
    </row>
    <row r="5429" s="1" customFormat="1" spans="1:21">
      <c r="A5429" s="1" t="str">
        <f>"4601992187613"</f>
        <v>4601992187613</v>
      </c>
      <c r="B5429" s="1" t="s">
        <v>5452</v>
      </c>
      <c r="C5429" s="1" t="s">
        <v>24</v>
      </c>
      <c r="D5429" s="1" t="str">
        <f t="shared" si="10228"/>
        <v>2021</v>
      </c>
      <c r="E5429" s="1" t="str">
        <f t="shared" ref="E5429:I5429" si="10313">"0"</f>
        <v>0</v>
      </c>
      <c r="F5429" s="1" t="str">
        <f t="shared" si="10313"/>
        <v>0</v>
      </c>
      <c r="G5429" s="1" t="str">
        <f t="shared" si="10313"/>
        <v>0</v>
      </c>
      <c r="H5429" s="1" t="str">
        <f t="shared" si="10313"/>
        <v>0</v>
      </c>
      <c r="I5429" s="1" t="str">
        <f t="shared" si="10313"/>
        <v>0</v>
      </c>
      <c r="J5429" s="1" t="str">
        <f>"1"</f>
        <v>1</v>
      </c>
      <c r="K5429" s="1" t="str">
        <f t="shared" ref="K5429:P5429" si="10314">"0"</f>
        <v>0</v>
      </c>
      <c r="L5429" s="1" t="str">
        <f t="shared" si="10314"/>
        <v>0</v>
      </c>
      <c r="M5429" s="1" t="str">
        <f t="shared" si="10314"/>
        <v>0</v>
      </c>
      <c r="N5429" s="1" t="str">
        <f t="shared" si="10314"/>
        <v>0</v>
      </c>
      <c r="O5429" s="1" t="str">
        <f t="shared" si="10314"/>
        <v>0</v>
      </c>
      <c r="P5429" s="1" t="str">
        <f t="shared" si="10314"/>
        <v>0</v>
      </c>
      <c r="Q5429" s="1" t="str">
        <f t="shared" si="10230"/>
        <v>0.0070</v>
      </c>
      <c r="R5429" s="1" t="s">
        <v>25</v>
      </c>
      <c r="T5429" s="1" t="str">
        <f t="shared" si="10231"/>
        <v>0</v>
      </c>
      <c r="U5429" s="1" t="str">
        <f t="shared" si="10304"/>
        <v>0.0070</v>
      </c>
    </row>
    <row r="5430" s="1" customFormat="1" spans="1:21">
      <c r="A5430" s="1" t="str">
        <f>"4601992187620"</f>
        <v>4601992187620</v>
      </c>
      <c r="B5430" s="1" t="s">
        <v>5453</v>
      </c>
      <c r="C5430" s="1" t="s">
        <v>24</v>
      </c>
      <c r="D5430" s="1" t="str">
        <f t="shared" si="10228"/>
        <v>2021</v>
      </c>
      <c r="E5430" s="1" t="str">
        <f t="shared" ref="E5430:I5430" si="10315">"0"</f>
        <v>0</v>
      </c>
      <c r="F5430" s="1" t="str">
        <f t="shared" si="10315"/>
        <v>0</v>
      </c>
      <c r="G5430" s="1" t="str">
        <f t="shared" si="10315"/>
        <v>0</v>
      </c>
      <c r="H5430" s="1" t="str">
        <f t="shared" si="10315"/>
        <v>0</v>
      </c>
      <c r="I5430" s="1" t="str">
        <f t="shared" si="10315"/>
        <v>0</v>
      </c>
      <c r="J5430" s="1" t="str">
        <f>"1"</f>
        <v>1</v>
      </c>
      <c r="K5430" s="1" t="str">
        <f t="shared" ref="K5430:P5430" si="10316">"0"</f>
        <v>0</v>
      </c>
      <c r="L5430" s="1" t="str">
        <f t="shared" si="10316"/>
        <v>0</v>
      </c>
      <c r="M5430" s="1" t="str">
        <f t="shared" si="10316"/>
        <v>0</v>
      </c>
      <c r="N5430" s="1" t="str">
        <f t="shared" si="10316"/>
        <v>0</v>
      </c>
      <c r="O5430" s="1" t="str">
        <f t="shared" si="10316"/>
        <v>0</v>
      </c>
      <c r="P5430" s="1" t="str">
        <f t="shared" si="10316"/>
        <v>0</v>
      </c>
      <c r="Q5430" s="1" t="str">
        <f t="shared" si="10230"/>
        <v>0.0070</v>
      </c>
      <c r="R5430" s="1" t="s">
        <v>25</v>
      </c>
      <c r="T5430" s="1" t="str">
        <f t="shared" si="10231"/>
        <v>0</v>
      </c>
      <c r="U5430" s="1" t="str">
        <f t="shared" si="10304"/>
        <v>0.0070</v>
      </c>
    </row>
    <row r="5431" s="1" customFormat="1" spans="1:21">
      <c r="A5431" s="1" t="str">
        <f>"4601992187667"</f>
        <v>4601992187667</v>
      </c>
      <c r="B5431" s="1" t="s">
        <v>5454</v>
      </c>
      <c r="C5431" s="1" t="s">
        <v>24</v>
      </c>
      <c r="D5431" s="1" t="str">
        <f t="shared" si="10228"/>
        <v>2021</v>
      </c>
      <c r="E5431" s="1" t="str">
        <f t="shared" ref="E5431:I5431" si="10317">"0"</f>
        <v>0</v>
      </c>
      <c r="F5431" s="1" t="str">
        <f t="shared" si="10317"/>
        <v>0</v>
      </c>
      <c r="G5431" s="1" t="str">
        <f t="shared" si="10317"/>
        <v>0</v>
      </c>
      <c r="H5431" s="1" t="str">
        <f t="shared" si="10317"/>
        <v>0</v>
      </c>
      <c r="I5431" s="1" t="str">
        <f t="shared" si="10317"/>
        <v>0</v>
      </c>
      <c r="J5431" s="1" t="str">
        <f>"2"</f>
        <v>2</v>
      </c>
      <c r="K5431" s="1" t="str">
        <f t="shared" ref="K5431:P5431" si="10318">"0"</f>
        <v>0</v>
      </c>
      <c r="L5431" s="1" t="str">
        <f t="shared" si="10318"/>
        <v>0</v>
      </c>
      <c r="M5431" s="1" t="str">
        <f t="shared" si="10318"/>
        <v>0</v>
      </c>
      <c r="N5431" s="1" t="str">
        <f t="shared" si="10318"/>
        <v>0</v>
      </c>
      <c r="O5431" s="1" t="str">
        <f t="shared" si="10318"/>
        <v>0</v>
      </c>
      <c r="P5431" s="1" t="str">
        <f t="shared" si="10318"/>
        <v>0</v>
      </c>
      <c r="Q5431" s="1" t="str">
        <f t="shared" si="10230"/>
        <v>0.0070</v>
      </c>
      <c r="R5431" s="1" t="s">
        <v>25</v>
      </c>
      <c r="T5431" s="1" t="str">
        <f t="shared" si="10231"/>
        <v>0</v>
      </c>
      <c r="U5431" s="1" t="str">
        <f t="shared" si="10304"/>
        <v>0.0070</v>
      </c>
    </row>
    <row r="5432" s="1" customFormat="1" spans="1:21">
      <c r="A5432" s="1" t="str">
        <f>"4601992187685"</f>
        <v>4601992187685</v>
      </c>
      <c r="B5432" s="1" t="s">
        <v>5455</v>
      </c>
      <c r="C5432" s="1" t="s">
        <v>24</v>
      </c>
      <c r="D5432" s="1" t="str">
        <f t="shared" si="10228"/>
        <v>2021</v>
      </c>
      <c r="E5432" s="1" t="str">
        <f>"25.44"</f>
        <v>25.44</v>
      </c>
      <c r="F5432" s="1" t="str">
        <f t="shared" ref="F5432:I5432" si="10319">"0"</f>
        <v>0</v>
      </c>
      <c r="G5432" s="1" t="str">
        <f t="shared" si="10319"/>
        <v>0</v>
      </c>
      <c r="H5432" s="1" t="str">
        <f t="shared" si="10319"/>
        <v>0</v>
      </c>
      <c r="I5432" s="1" t="str">
        <f t="shared" si="10319"/>
        <v>0</v>
      </c>
      <c r="J5432" s="1" t="str">
        <f>"3"</f>
        <v>3</v>
      </c>
      <c r="K5432" s="1" t="str">
        <f t="shared" ref="K5432:P5432" si="10320">"0"</f>
        <v>0</v>
      </c>
      <c r="L5432" s="1" t="str">
        <f t="shared" si="10320"/>
        <v>0</v>
      </c>
      <c r="M5432" s="1" t="str">
        <f t="shared" si="10320"/>
        <v>0</v>
      </c>
      <c r="N5432" s="1" t="str">
        <f t="shared" si="10320"/>
        <v>0</v>
      </c>
      <c r="O5432" s="1" t="str">
        <f t="shared" si="10320"/>
        <v>0</v>
      </c>
      <c r="P5432" s="1" t="str">
        <f t="shared" si="10320"/>
        <v>0</v>
      </c>
      <c r="Q5432" s="1" t="str">
        <f t="shared" si="10230"/>
        <v>0.0070</v>
      </c>
      <c r="R5432" s="1" t="s">
        <v>25</v>
      </c>
      <c r="T5432" s="1" t="str">
        <f t="shared" si="10231"/>
        <v>0</v>
      </c>
      <c r="U5432" s="1" t="str">
        <f t="shared" si="10304"/>
        <v>0.0070</v>
      </c>
    </row>
    <row r="5433" s="1" customFormat="1" spans="1:21">
      <c r="A5433" s="1" t="str">
        <f>"4601992187699"</f>
        <v>4601992187699</v>
      </c>
      <c r="B5433" s="1" t="s">
        <v>5456</v>
      </c>
      <c r="C5433" s="1" t="s">
        <v>24</v>
      </c>
      <c r="D5433" s="1" t="str">
        <f t="shared" si="10228"/>
        <v>2021</v>
      </c>
      <c r="E5433" s="1" t="str">
        <f t="shared" ref="E5433:P5433" si="10321">"0"</f>
        <v>0</v>
      </c>
      <c r="F5433" s="1" t="str">
        <f t="shared" si="10321"/>
        <v>0</v>
      </c>
      <c r="G5433" s="1" t="str">
        <f t="shared" si="10321"/>
        <v>0</v>
      </c>
      <c r="H5433" s="1" t="str">
        <f t="shared" si="10321"/>
        <v>0</v>
      </c>
      <c r="I5433" s="1" t="str">
        <f t="shared" si="10321"/>
        <v>0</v>
      </c>
      <c r="J5433" s="1" t="str">
        <f t="shared" si="10321"/>
        <v>0</v>
      </c>
      <c r="K5433" s="1" t="str">
        <f t="shared" si="10321"/>
        <v>0</v>
      </c>
      <c r="L5433" s="1" t="str">
        <f t="shared" si="10321"/>
        <v>0</v>
      </c>
      <c r="M5433" s="1" t="str">
        <f t="shared" si="10321"/>
        <v>0</v>
      </c>
      <c r="N5433" s="1" t="str">
        <f t="shared" si="10321"/>
        <v>0</v>
      </c>
      <c r="O5433" s="1" t="str">
        <f t="shared" si="10321"/>
        <v>0</v>
      </c>
      <c r="P5433" s="1" t="str">
        <f t="shared" si="10321"/>
        <v>0</v>
      </c>
      <c r="Q5433" s="1" t="str">
        <f t="shared" si="10230"/>
        <v>0.0070</v>
      </c>
      <c r="R5433" s="1" t="s">
        <v>25</v>
      </c>
      <c r="T5433" s="1" t="str">
        <f t="shared" si="10231"/>
        <v>0</v>
      </c>
      <c r="U5433" s="1" t="str">
        <f t="shared" si="10304"/>
        <v>0.0070</v>
      </c>
    </row>
    <row r="5434" s="1" customFormat="1" spans="1:21">
      <c r="A5434" s="1" t="str">
        <f>"4601992187732"</f>
        <v>4601992187732</v>
      </c>
      <c r="B5434" s="1" t="s">
        <v>5457</v>
      </c>
      <c r="C5434" s="1" t="s">
        <v>24</v>
      </c>
      <c r="D5434" s="1" t="str">
        <f t="shared" si="10228"/>
        <v>2021</v>
      </c>
      <c r="E5434" s="1" t="str">
        <f t="shared" ref="E5434:G5434" si="10322">"0"</f>
        <v>0</v>
      </c>
      <c r="F5434" s="1" t="str">
        <f t="shared" si="10322"/>
        <v>0</v>
      </c>
      <c r="G5434" s="1" t="str">
        <f t="shared" si="10322"/>
        <v>0</v>
      </c>
      <c r="H5434" s="1" t="str">
        <f>"0.05"</f>
        <v>0.05</v>
      </c>
      <c r="I5434" s="1" t="str">
        <f t="shared" ref="I5434:P5434" si="10323">"0"</f>
        <v>0</v>
      </c>
      <c r="J5434" s="1" t="str">
        <f t="shared" si="10323"/>
        <v>0</v>
      </c>
      <c r="K5434" s="1" t="str">
        <f t="shared" si="10323"/>
        <v>0</v>
      </c>
      <c r="L5434" s="1" t="str">
        <f t="shared" si="10323"/>
        <v>0</v>
      </c>
      <c r="M5434" s="1" t="str">
        <f t="shared" si="10323"/>
        <v>0</v>
      </c>
      <c r="N5434" s="1" t="str">
        <f t="shared" si="10323"/>
        <v>0</v>
      </c>
      <c r="O5434" s="1" t="str">
        <f t="shared" si="10323"/>
        <v>0</v>
      </c>
      <c r="P5434" s="1" t="str">
        <f t="shared" si="10323"/>
        <v>0</v>
      </c>
      <c r="Q5434" s="1" t="str">
        <f t="shared" si="10230"/>
        <v>0.0070</v>
      </c>
      <c r="R5434" s="1" t="s">
        <v>25</v>
      </c>
      <c r="T5434" s="1" t="str">
        <f t="shared" si="10231"/>
        <v>0</v>
      </c>
      <c r="U5434" s="1" t="str">
        <f t="shared" si="10304"/>
        <v>0.0070</v>
      </c>
    </row>
    <row r="5435" s="1" customFormat="1" spans="1:21">
      <c r="A5435" s="1" t="str">
        <f>"4601992187695"</f>
        <v>4601992187695</v>
      </c>
      <c r="B5435" s="1" t="s">
        <v>5458</v>
      </c>
      <c r="C5435" s="1" t="s">
        <v>24</v>
      </c>
      <c r="D5435" s="1" t="str">
        <f t="shared" si="10228"/>
        <v>2021</v>
      </c>
      <c r="E5435" s="1" t="str">
        <f>"12.68"</f>
        <v>12.68</v>
      </c>
      <c r="F5435" s="1" t="str">
        <f t="shared" ref="F5435:I5435" si="10324">"0"</f>
        <v>0</v>
      </c>
      <c r="G5435" s="1" t="str">
        <f t="shared" si="10324"/>
        <v>0</v>
      </c>
      <c r="H5435" s="1" t="str">
        <f t="shared" si="10324"/>
        <v>0</v>
      </c>
      <c r="I5435" s="1" t="str">
        <f t="shared" si="10324"/>
        <v>0</v>
      </c>
      <c r="J5435" s="1" t="str">
        <f>"1"</f>
        <v>1</v>
      </c>
      <c r="K5435" s="1" t="str">
        <f t="shared" ref="K5435:P5435" si="10325">"0"</f>
        <v>0</v>
      </c>
      <c r="L5435" s="1" t="str">
        <f t="shared" si="10325"/>
        <v>0</v>
      </c>
      <c r="M5435" s="1" t="str">
        <f t="shared" si="10325"/>
        <v>0</v>
      </c>
      <c r="N5435" s="1" t="str">
        <f t="shared" si="10325"/>
        <v>0</v>
      </c>
      <c r="O5435" s="1" t="str">
        <f t="shared" si="10325"/>
        <v>0</v>
      </c>
      <c r="P5435" s="1" t="str">
        <f t="shared" si="10325"/>
        <v>0</v>
      </c>
      <c r="Q5435" s="1" t="str">
        <f t="shared" si="10230"/>
        <v>0.0070</v>
      </c>
      <c r="R5435" s="1" t="s">
        <v>29</v>
      </c>
      <c r="S5435" s="1">
        <v>-0.0014</v>
      </c>
      <c r="T5435" s="1" t="str">
        <f t="shared" si="10231"/>
        <v>0</v>
      </c>
      <c r="U5435" s="1" t="str">
        <f>"0.0056"</f>
        <v>0.0056</v>
      </c>
    </row>
    <row r="5436" s="1" customFormat="1" spans="1:21">
      <c r="A5436" s="1" t="str">
        <f>"4601992187750"</f>
        <v>4601992187750</v>
      </c>
      <c r="B5436" s="1" t="s">
        <v>5459</v>
      </c>
      <c r="C5436" s="1" t="s">
        <v>24</v>
      </c>
      <c r="D5436" s="1" t="str">
        <f t="shared" si="10228"/>
        <v>2021</v>
      </c>
      <c r="E5436" s="1" t="str">
        <f t="shared" ref="E5436:P5436" si="10326">"0"</f>
        <v>0</v>
      </c>
      <c r="F5436" s="1" t="str">
        <f t="shared" si="10326"/>
        <v>0</v>
      </c>
      <c r="G5436" s="1" t="str">
        <f t="shared" si="10326"/>
        <v>0</v>
      </c>
      <c r="H5436" s="1" t="str">
        <f t="shared" si="10326"/>
        <v>0</v>
      </c>
      <c r="I5436" s="1" t="str">
        <f t="shared" si="10326"/>
        <v>0</v>
      </c>
      <c r="J5436" s="1" t="str">
        <f t="shared" si="10326"/>
        <v>0</v>
      </c>
      <c r="K5436" s="1" t="str">
        <f t="shared" si="10326"/>
        <v>0</v>
      </c>
      <c r="L5436" s="1" t="str">
        <f t="shared" si="10326"/>
        <v>0</v>
      </c>
      <c r="M5436" s="1" t="str">
        <f t="shared" si="10326"/>
        <v>0</v>
      </c>
      <c r="N5436" s="1" t="str">
        <f t="shared" si="10326"/>
        <v>0</v>
      </c>
      <c r="O5436" s="1" t="str">
        <f t="shared" si="10326"/>
        <v>0</v>
      </c>
      <c r="P5436" s="1" t="str">
        <f t="shared" si="10326"/>
        <v>0</v>
      </c>
      <c r="Q5436" s="1" t="str">
        <f t="shared" si="10230"/>
        <v>0.0070</v>
      </c>
      <c r="R5436" s="1" t="s">
        <v>25</v>
      </c>
      <c r="T5436" s="1" t="str">
        <f t="shared" si="10231"/>
        <v>0</v>
      </c>
      <c r="U5436" s="1" t="str">
        <f t="shared" ref="U5436:U5445" si="10327">"0.0070"</f>
        <v>0.0070</v>
      </c>
    </row>
    <row r="5437" s="1" customFormat="1" spans="1:21">
      <c r="A5437" s="1" t="str">
        <f>"4601992187751"</f>
        <v>4601992187751</v>
      </c>
      <c r="B5437" s="1" t="s">
        <v>5460</v>
      </c>
      <c r="C5437" s="1" t="s">
        <v>24</v>
      </c>
      <c r="D5437" s="1" t="str">
        <f t="shared" si="10228"/>
        <v>2021</v>
      </c>
      <c r="E5437" s="1" t="str">
        <f t="shared" ref="E5437:I5437" si="10328">"0"</f>
        <v>0</v>
      </c>
      <c r="F5437" s="1" t="str">
        <f t="shared" si="10328"/>
        <v>0</v>
      </c>
      <c r="G5437" s="1" t="str">
        <f t="shared" si="10328"/>
        <v>0</v>
      </c>
      <c r="H5437" s="1" t="str">
        <f t="shared" si="10328"/>
        <v>0</v>
      </c>
      <c r="I5437" s="1" t="str">
        <f t="shared" si="10328"/>
        <v>0</v>
      </c>
      <c r="J5437" s="1" t="str">
        <f>"3"</f>
        <v>3</v>
      </c>
      <c r="K5437" s="1" t="str">
        <f t="shared" ref="K5437:P5437" si="10329">"0"</f>
        <v>0</v>
      </c>
      <c r="L5437" s="1" t="str">
        <f t="shared" si="10329"/>
        <v>0</v>
      </c>
      <c r="M5437" s="1" t="str">
        <f t="shared" si="10329"/>
        <v>0</v>
      </c>
      <c r="N5437" s="1" t="str">
        <f t="shared" si="10329"/>
        <v>0</v>
      </c>
      <c r="O5437" s="1" t="str">
        <f t="shared" si="10329"/>
        <v>0</v>
      </c>
      <c r="P5437" s="1" t="str">
        <f t="shared" si="10329"/>
        <v>0</v>
      </c>
      <c r="Q5437" s="1" t="str">
        <f t="shared" si="10230"/>
        <v>0.0070</v>
      </c>
      <c r="R5437" s="1" t="s">
        <v>25</v>
      </c>
      <c r="T5437" s="1" t="str">
        <f t="shared" si="10231"/>
        <v>0</v>
      </c>
      <c r="U5437" s="1" t="str">
        <f t="shared" si="10327"/>
        <v>0.0070</v>
      </c>
    </row>
    <row r="5438" s="1" customFormat="1" spans="1:21">
      <c r="A5438" s="1" t="str">
        <f>"4601992187771"</f>
        <v>4601992187771</v>
      </c>
      <c r="B5438" s="1" t="s">
        <v>5461</v>
      </c>
      <c r="C5438" s="1" t="s">
        <v>24</v>
      </c>
      <c r="D5438" s="1" t="str">
        <f t="shared" si="10228"/>
        <v>2021</v>
      </c>
      <c r="E5438" s="1" t="str">
        <f t="shared" ref="E5438:P5438" si="10330">"0"</f>
        <v>0</v>
      </c>
      <c r="F5438" s="1" t="str">
        <f t="shared" si="10330"/>
        <v>0</v>
      </c>
      <c r="G5438" s="1" t="str">
        <f t="shared" si="10330"/>
        <v>0</v>
      </c>
      <c r="H5438" s="1" t="str">
        <f t="shared" si="10330"/>
        <v>0</v>
      </c>
      <c r="I5438" s="1" t="str">
        <f t="shared" si="10330"/>
        <v>0</v>
      </c>
      <c r="J5438" s="1" t="str">
        <f t="shared" si="10330"/>
        <v>0</v>
      </c>
      <c r="K5438" s="1" t="str">
        <f t="shared" si="10330"/>
        <v>0</v>
      </c>
      <c r="L5438" s="1" t="str">
        <f t="shared" si="10330"/>
        <v>0</v>
      </c>
      <c r="M5438" s="1" t="str">
        <f t="shared" si="10330"/>
        <v>0</v>
      </c>
      <c r="N5438" s="1" t="str">
        <f t="shared" si="10330"/>
        <v>0</v>
      </c>
      <c r="O5438" s="1" t="str">
        <f t="shared" si="10330"/>
        <v>0</v>
      </c>
      <c r="P5438" s="1" t="str">
        <f t="shared" si="10330"/>
        <v>0</v>
      </c>
      <c r="Q5438" s="1" t="str">
        <f t="shared" si="10230"/>
        <v>0.0070</v>
      </c>
      <c r="R5438" s="1" t="s">
        <v>25</v>
      </c>
      <c r="T5438" s="1" t="str">
        <f t="shared" si="10231"/>
        <v>0</v>
      </c>
      <c r="U5438" s="1" t="str">
        <f t="shared" si="10327"/>
        <v>0.0070</v>
      </c>
    </row>
    <row r="5439" s="1" customFormat="1" spans="1:21">
      <c r="A5439" s="1" t="str">
        <f>"4601992187774"</f>
        <v>4601992187774</v>
      </c>
      <c r="B5439" s="1" t="s">
        <v>5462</v>
      </c>
      <c r="C5439" s="1" t="s">
        <v>24</v>
      </c>
      <c r="D5439" s="1" t="str">
        <f t="shared" si="10228"/>
        <v>2021</v>
      </c>
      <c r="E5439" s="1" t="str">
        <f t="shared" ref="E5439:P5439" si="10331">"0"</f>
        <v>0</v>
      </c>
      <c r="F5439" s="1" t="str">
        <f t="shared" si="10331"/>
        <v>0</v>
      </c>
      <c r="G5439" s="1" t="str">
        <f t="shared" si="10331"/>
        <v>0</v>
      </c>
      <c r="H5439" s="1" t="str">
        <f t="shared" si="10331"/>
        <v>0</v>
      </c>
      <c r="I5439" s="1" t="str">
        <f t="shared" si="10331"/>
        <v>0</v>
      </c>
      <c r="J5439" s="1" t="str">
        <f t="shared" si="10331"/>
        <v>0</v>
      </c>
      <c r="K5439" s="1" t="str">
        <f t="shared" si="10331"/>
        <v>0</v>
      </c>
      <c r="L5439" s="1" t="str">
        <f t="shared" si="10331"/>
        <v>0</v>
      </c>
      <c r="M5439" s="1" t="str">
        <f t="shared" si="10331"/>
        <v>0</v>
      </c>
      <c r="N5439" s="1" t="str">
        <f t="shared" si="10331"/>
        <v>0</v>
      </c>
      <c r="O5439" s="1" t="str">
        <f t="shared" si="10331"/>
        <v>0</v>
      </c>
      <c r="P5439" s="1" t="str">
        <f t="shared" si="10331"/>
        <v>0</v>
      </c>
      <c r="Q5439" s="1" t="str">
        <f t="shared" si="10230"/>
        <v>0.0070</v>
      </c>
      <c r="R5439" s="1" t="s">
        <v>25</v>
      </c>
      <c r="T5439" s="1" t="str">
        <f t="shared" si="10231"/>
        <v>0</v>
      </c>
      <c r="U5439" s="1" t="str">
        <f t="shared" si="10327"/>
        <v>0.0070</v>
      </c>
    </row>
    <row r="5440" s="1" customFormat="1" spans="1:21">
      <c r="A5440" s="1" t="str">
        <f>"4601992187769"</f>
        <v>4601992187769</v>
      </c>
      <c r="B5440" s="1" t="s">
        <v>5463</v>
      </c>
      <c r="C5440" s="1" t="s">
        <v>24</v>
      </c>
      <c r="D5440" s="1" t="str">
        <f t="shared" si="10228"/>
        <v>2021</v>
      </c>
      <c r="E5440" s="1" t="str">
        <f t="shared" ref="E5440:I5440" si="10332">"0"</f>
        <v>0</v>
      </c>
      <c r="F5440" s="1" t="str">
        <f t="shared" si="10332"/>
        <v>0</v>
      </c>
      <c r="G5440" s="1" t="str">
        <f t="shared" si="10332"/>
        <v>0</v>
      </c>
      <c r="H5440" s="1" t="str">
        <f t="shared" si="10332"/>
        <v>0</v>
      </c>
      <c r="I5440" s="1" t="str">
        <f t="shared" si="10332"/>
        <v>0</v>
      </c>
      <c r="J5440" s="1" t="str">
        <f>"3"</f>
        <v>3</v>
      </c>
      <c r="K5440" s="1" t="str">
        <f t="shared" ref="K5440:P5440" si="10333">"0"</f>
        <v>0</v>
      </c>
      <c r="L5440" s="1" t="str">
        <f t="shared" si="10333"/>
        <v>0</v>
      </c>
      <c r="M5440" s="1" t="str">
        <f t="shared" si="10333"/>
        <v>0</v>
      </c>
      <c r="N5440" s="1" t="str">
        <f t="shared" si="10333"/>
        <v>0</v>
      </c>
      <c r="O5440" s="1" t="str">
        <f t="shared" si="10333"/>
        <v>0</v>
      </c>
      <c r="P5440" s="1" t="str">
        <f t="shared" si="10333"/>
        <v>0</v>
      </c>
      <c r="Q5440" s="1" t="str">
        <f t="shared" si="10230"/>
        <v>0.0070</v>
      </c>
      <c r="R5440" s="1" t="s">
        <v>25</v>
      </c>
      <c r="T5440" s="1" t="str">
        <f t="shared" si="10231"/>
        <v>0</v>
      </c>
      <c r="U5440" s="1" t="str">
        <f t="shared" si="10327"/>
        <v>0.0070</v>
      </c>
    </row>
    <row r="5441" s="1" customFormat="1" spans="1:21">
      <c r="A5441" s="1" t="str">
        <f>"4601992187788"</f>
        <v>4601992187788</v>
      </c>
      <c r="B5441" s="1" t="s">
        <v>5464</v>
      </c>
      <c r="C5441" s="1" t="s">
        <v>24</v>
      </c>
      <c r="D5441" s="1" t="str">
        <f t="shared" si="10228"/>
        <v>2021</v>
      </c>
      <c r="E5441" s="1" t="str">
        <f t="shared" ref="E5441:I5441" si="10334">"0"</f>
        <v>0</v>
      </c>
      <c r="F5441" s="1" t="str">
        <f t="shared" si="10334"/>
        <v>0</v>
      </c>
      <c r="G5441" s="1" t="str">
        <f t="shared" si="10334"/>
        <v>0</v>
      </c>
      <c r="H5441" s="1" t="str">
        <f t="shared" si="10334"/>
        <v>0</v>
      </c>
      <c r="I5441" s="1" t="str">
        <f t="shared" si="10334"/>
        <v>0</v>
      </c>
      <c r="J5441" s="1" t="str">
        <f t="shared" ref="J5441:J5446" si="10335">"4"</f>
        <v>4</v>
      </c>
      <c r="K5441" s="1" t="str">
        <f t="shared" ref="K5441:P5441" si="10336">"0"</f>
        <v>0</v>
      </c>
      <c r="L5441" s="1" t="str">
        <f t="shared" si="10336"/>
        <v>0</v>
      </c>
      <c r="M5441" s="1" t="str">
        <f t="shared" si="10336"/>
        <v>0</v>
      </c>
      <c r="N5441" s="1" t="str">
        <f t="shared" si="10336"/>
        <v>0</v>
      </c>
      <c r="O5441" s="1" t="str">
        <f t="shared" si="10336"/>
        <v>0</v>
      </c>
      <c r="P5441" s="1" t="str">
        <f t="shared" si="10336"/>
        <v>0</v>
      </c>
      <c r="Q5441" s="1" t="str">
        <f t="shared" si="10230"/>
        <v>0.0070</v>
      </c>
      <c r="R5441" s="1" t="s">
        <v>25</v>
      </c>
      <c r="T5441" s="1" t="str">
        <f t="shared" si="10231"/>
        <v>0</v>
      </c>
      <c r="U5441" s="1" t="str">
        <f t="shared" si="10327"/>
        <v>0.0070</v>
      </c>
    </row>
    <row r="5442" s="1" customFormat="1" spans="1:21">
      <c r="A5442" s="1" t="str">
        <f>"4601992187806"</f>
        <v>4601992187806</v>
      </c>
      <c r="B5442" s="1" t="s">
        <v>5465</v>
      </c>
      <c r="C5442" s="1" t="s">
        <v>24</v>
      </c>
      <c r="D5442" s="1" t="str">
        <f t="shared" si="10228"/>
        <v>2021</v>
      </c>
      <c r="E5442" s="1" t="str">
        <f t="shared" ref="E5442:I5442" si="10337">"0"</f>
        <v>0</v>
      </c>
      <c r="F5442" s="1" t="str">
        <f t="shared" si="10337"/>
        <v>0</v>
      </c>
      <c r="G5442" s="1" t="str">
        <f t="shared" si="10337"/>
        <v>0</v>
      </c>
      <c r="H5442" s="1" t="str">
        <f t="shared" si="10337"/>
        <v>0</v>
      </c>
      <c r="I5442" s="1" t="str">
        <f t="shared" si="10337"/>
        <v>0</v>
      </c>
      <c r="J5442" s="1" t="str">
        <f>"1"</f>
        <v>1</v>
      </c>
      <c r="K5442" s="1" t="str">
        <f t="shared" ref="K5442:P5442" si="10338">"0"</f>
        <v>0</v>
      </c>
      <c r="L5442" s="1" t="str">
        <f t="shared" si="10338"/>
        <v>0</v>
      </c>
      <c r="M5442" s="1" t="str">
        <f t="shared" si="10338"/>
        <v>0</v>
      </c>
      <c r="N5442" s="1" t="str">
        <f t="shared" si="10338"/>
        <v>0</v>
      </c>
      <c r="O5442" s="1" t="str">
        <f t="shared" si="10338"/>
        <v>0</v>
      </c>
      <c r="P5442" s="1" t="str">
        <f t="shared" si="10338"/>
        <v>0</v>
      </c>
      <c r="Q5442" s="1" t="str">
        <f t="shared" si="10230"/>
        <v>0.0070</v>
      </c>
      <c r="R5442" s="1" t="s">
        <v>25</v>
      </c>
      <c r="T5442" s="1" t="str">
        <f t="shared" si="10231"/>
        <v>0</v>
      </c>
      <c r="U5442" s="1" t="str">
        <f t="shared" si="10327"/>
        <v>0.0070</v>
      </c>
    </row>
    <row r="5443" s="1" customFormat="1" spans="1:21">
      <c r="A5443" s="1" t="str">
        <f>"4601992187870"</f>
        <v>4601992187870</v>
      </c>
      <c r="B5443" s="1" t="s">
        <v>5466</v>
      </c>
      <c r="C5443" s="1" t="s">
        <v>24</v>
      </c>
      <c r="D5443" s="1" t="str">
        <f t="shared" ref="D5443:D5506" si="10339">"2021"</f>
        <v>2021</v>
      </c>
      <c r="E5443" s="1" t="str">
        <f t="shared" ref="E5443:I5443" si="10340">"0"</f>
        <v>0</v>
      </c>
      <c r="F5443" s="1" t="str">
        <f t="shared" si="10340"/>
        <v>0</v>
      </c>
      <c r="G5443" s="1" t="str">
        <f t="shared" si="10340"/>
        <v>0</v>
      </c>
      <c r="H5443" s="1" t="str">
        <f t="shared" si="10340"/>
        <v>0</v>
      </c>
      <c r="I5443" s="1" t="str">
        <f t="shared" si="10340"/>
        <v>0</v>
      </c>
      <c r="J5443" s="1" t="str">
        <f>"2"</f>
        <v>2</v>
      </c>
      <c r="K5443" s="1" t="str">
        <f t="shared" ref="K5443:P5443" si="10341">"0"</f>
        <v>0</v>
      </c>
      <c r="L5443" s="1" t="str">
        <f t="shared" si="10341"/>
        <v>0</v>
      </c>
      <c r="M5443" s="1" t="str">
        <f t="shared" si="10341"/>
        <v>0</v>
      </c>
      <c r="N5443" s="1" t="str">
        <f t="shared" si="10341"/>
        <v>0</v>
      </c>
      <c r="O5443" s="1" t="str">
        <f t="shared" si="10341"/>
        <v>0</v>
      </c>
      <c r="P5443" s="1" t="str">
        <f t="shared" si="10341"/>
        <v>0</v>
      </c>
      <c r="Q5443" s="1" t="str">
        <f t="shared" ref="Q5443:Q5506" si="10342">"0.0070"</f>
        <v>0.0070</v>
      </c>
      <c r="R5443" s="1" t="s">
        <v>25</v>
      </c>
      <c r="T5443" s="1" t="str">
        <f t="shared" ref="T5443:T5506" si="10343">"0"</f>
        <v>0</v>
      </c>
      <c r="U5443" s="1" t="str">
        <f t="shared" si="10327"/>
        <v>0.0070</v>
      </c>
    </row>
    <row r="5444" s="1" customFormat="1" spans="1:21">
      <c r="A5444" s="1" t="str">
        <f>"4601992187844"</f>
        <v>4601992187844</v>
      </c>
      <c r="B5444" s="1" t="s">
        <v>5467</v>
      </c>
      <c r="C5444" s="1" t="s">
        <v>24</v>
      </c>
      <c r="D5444" s="1" t="str">
        <f t="shared" si="10339"/>
        <v>2021</v>
      </c>
      <c r="E5444" s="1" t="str">
        <f t="shared" ref="E5444:I5444" si="10344">"0"</f>
        <v>0</v>
      </c>
      <c r="F5444" s="1" t="str">
        <f t="shared" si="10344"/>
        <v>0</v>
      </c>
      <c r="G5444" s="1" t="str">
        <f t="shared" si="10344"/>
        <v>0</v>
      </c>
      <c r="H5444" s="1" t="str">
        <f t="shared" si="10344"/>
        <v>0</v>
      </c>
      <c r="I5444" s="1" t="str">
        <f t="shared" si="10344"/>
        <v>0</v>
      </c>
      <c r="J5444" s="1" t="str">
        <f>"3"</f>
        <v>3</v>
      </c>
      <c r="K5444" s="1" t="str">
        <f t="shared" ref="K5444:P5444" si="10345">"0"</f>
        <v>0</v>
      </c>
      <c r="L5444" s="1" t="str">
        <f t="shared" si="10345"/>
        <v>0</v>
      </c>
      <c r="M5444" s="1" t="str">
        <f t="shared" si="10345"/>
        <v>0</v>
      </c>
      <c r="N5444" s="1" t="str">
        <f t="shared" si="10345"/>
        <v>0</v>
      </c>
      <c r="O5444" s="1" t="str">
        <f t="shared" si="10345"/>
        <v>0</v>
      </c>
      <c r="P5444" s="1" t="str">
        <f t="shared" si="10345"/>
        <v>0</v>
      </c>
      <c r="Q5444" s="1" t="str">
        <f t="shared" si="10342"/>
        <v>0.0070</v>
      </c>
      <c r="R5444" s="1" t="s">
        <v>25</v>
      </c>
      <c r="T5444" s="1" t="str">
        <f t="shared" si="10343"/>
        <v>0</v>
      </c>
      <c r="U5444" s="1" t="str">
        <f t="shared" si="10327"/>
        <v>0.0070</v>
      </c>
    </row>
    <row r="5445" s="1" customFormat="1" spans="1:21">
      <c r="A5445" s="1" t="str">
        <f>"4601992187918"</f>
        <v>4601992187918</v>
      </c>
      <c r="B5445" s="1" t="s">
        <v>5468</v>
      </c>
      <c r="C5445" s="1" t="s">
        <v>24</v>
      </c>
      <c r="D5445" s="1" t="str">
        <f t="shared" si="10339"/>
        <v>2021</v>
      </c>
      <c r="E5445" s="1" t="str">
        <f t="shared" ref="E5445:I5445" si="10346">"0"</f>
        <v>0</v>
      </c>
      <c r="F5445" s="1" t="str">
        <f t="shared" si="10346"/>
        <v>0</v>
      </c>
      <c r="G5445" s="1" t="str">
        <f t="shared" si="10346"/>
        <v>0</v>
      </c>
      <c r="H5445" s="1" t="str">
        <f t="shared" si="10346"/>
        <v>0</v>
      </c>
      <c r="I5445" s="1" t="str">
        <f t="shared" si="10346"/>
        <v>0</v>
      </c>
      <c r="J5445" s="1" t="str">
        <f t="shared" si="10335"/>
        <v>4</v>
      </c>
      <c r="K5445" s="1" t="str">
        <f t="shared" ref="K5445:P5445" si="10347">"0"</f>
        <v>0</v>
      </c>
      <c r="L5445" s="1" t="str">
        <f t="shared" si="10347"/>
        <v>0</v>
      </c>
      <c r="M5445" s="1" t="str">
        <f t="shared" si="10347"/>
        <v>0</v>
      </c>
      <c r="N5445" s="1" t="str">
        <f t="shared" si="10347"/>
        <v>0</v>
      </c>
      <c r="O5445" s="1" t="str">
        <f t="shared" si="10347"/>
        <v>0</v>
      </c>
      <c r="P5445" s="1" t="str">
        <f t="shared" si="10347"/>
        <v>0</v>
      </c>
      <c r="Q5445" s="1" t="str">
        <f t="shared" si="10342"/>
        <v>0.0070</v>
      </c>
      <c r="R5445" s="1" t="s">
        <v>25</v>
      </c>
      <c r="T5445" s="1" t="str">
        <f t="shared" si="10343"/>
        <v>0</v>
      </c>
      <c r="U5445" s="1" t="str">
        <f t="shared" si="10327"/>
        <v>0.0070</v>
      </c>
    </row>
    <row r="5446" s="1" customFormat="1" spans="1:21">
      <c r="A5446" s="1" t="str">
        <f>"4601992187879"</f>
        <v>4601992187879</v>
      </c>
      <c r="B5446" s="1" t="s">
        <v>5469</v>
      </c>
      <c r="C5446" s="1" t="s">
        <v>24</v>
      </c>
      <c r="D5446" s="1" t="str">
        <f t="shared" si="10339"/>
        <v>2021</v>
      </c>
      <c r="E5446" s="1" t="str">
        <f>"12.36"</f>
        <v>12.36</v>
      </c>
      <c r="F5446" s="1" t="str">
        <f t="shared" ref="F5446:I5446" si="10348">"0"</f>
        <v>0</v>
      </c>
      <c r="G5446" s="1" t="str">
        <f t="shared" si="10348"/>
        <v>0</v>
      </c>
      <c r="H5446" s="1" t="str">
        <f t="shared" si="10348"/>
        <v>0</v>
      </c>
      <c r="I5446" s="1" t="str">
        <f t="shared" si="10348"/>
        <v>0</v>
      </c>
      <c r="J5446" s="1" t="str">
        <f t="shared" si="10335"/>
        <v>4</v>
      </c>
      <c r="K5446" s="1" t="str">
        <f t="shared" ref="K5446:P5446" si="10349">"0"</f>
        <v>0</v>
      </c>
      <c r="L5446" s="1" t="str">
        <f t="shared" si="10349"/>
        <v>0</v>
      </c>
      <c r="M5446" s="1" t="str">
        <f t="shared" si="10349"/>
        <v>0</v>
      </c>
      <c r="N5446" s="1" t="str">
        <f t="shared" si="10349"/>
        <v>0</v>
      </c>
      <c r="O5446" s="1" t="str">
        <f t="shared" si="10349"/>
        <v>0</v>
      </c>
      <c r="P5446" s="1" t="str">
        <f t="shared" si="10349"/>
        <v>0</v>
      </c>
      <c r="Q5446" s="1" t="str">
        <f t="shared" si="10342"/>
        <v>0.0070</v>
      </c>
      <c r="R5446" s="1" t="s">
        <v>29</v>
      </c>
      <c r="S5446" s="1">
        <v>-0.0014</v>
      </c>
      <c r="T5446" s="1" t="str">
        <f t="shared" si="10343"/>
        <v>0</v>
      </c>
      <c r="U5446" s="1" t="str">
        <f>"0.0056"</f>
        <v>0.0056</v>
      </c>
    </row>
    <row r="5447" s="1" customFormat="1" spans="1:21">
      <c r="A5447" s="1" t="str">
        <f>"4601992187927"</f>
        <v>4601992187927</v>
      </c>
      <c r="B5447" s="1" t="s">
        <v>5470</v>
      </c>
      <c r="C5447" s="1" t="s">
        <v>24</v>
      </c>
      <c r="D5447" s="1" t="str">
        <f t="shared" si="10339"/>
        <v>2021</v>
      </c>
      <c r="E5447" s="1" t="str">
        <f>"0.03"</f>
        <v>0.03</v>
      </c>
      <c r="F5447" s="1" t="str">
        <f t="shared" ref="F5447:I5447" si="10350">"0"</f>
        <v>0</v>
      </c>
      <c r="G5447" s="1" t="str">
        <f t="shared" si="10350"/>
        <v>0</v>
      </c>
      <c r="H5447" s="1" t="str">
        <f t="shared" si="10350"/>
        <v>0</v>
      </c>
      <c r="I5447" s="1" t="str">
        <f t="shared" si="10350"/>
        <v>0</v>
      </c>
      <c r="J5447" s="1" t="str">
        <f>"3"</f>
        <v>3</v>
      </c>
      <c r="K5447" s="1" t="str">
        <f t="shared" ref="K5447:P5447" si="10351">"0"</f>
        <v>0</v>
      </c>
      <c r="L5447" s="1" t="str">
        <f t="shared" si="10351"/>
        <v>0</v>
      </c>
      <c r="M5447" s="1" t="str">
        <f t="shared" si="10351"/>
        <v>0</v>
      </c>
      <c r="N5447" s="1" t="str">
        <f t="shared" si="10351"/>
        <v>0</v>
      </c>
      <c r="O5447" s="1" t="str">
        <f t="shared" si="10351"/>
        <v>0</v>
      </c>
      <c r="P5447" s="1" t="str">
        <f t="shared" si="10351"/>
        <v>0</v>
      </c>
      <c r="Q5447" s="1" t="str">
        <f t="shared" si="10342"/>
        <v>0.0070</v>
      </c>
      <c r="R5447" s="1" t="s">
        <v>25</v>
      </c>
      <c r="T5447" s="1" t="str">
        <f t="shared" si="10343"/>
        <v>0</v>
      </c>
      <c r="U5447" s="1" t="str">
        <f t="shared" ref="U5447:U5451" si="10352">"0.0070"</f>
        <v>0.0070</v>
      </c>
    </row>
    <row r="5448" s="1" customFormat="1" spans="1:21">
      <c r="A5448" s="1" t="str">
        <f>"4601992187928"</f>
        <v>4601992187928</v>
      </c>
      <c r="B5448" s="1" t="s">
        <v>5471</v>
      </c>
      <c r="C5448" s="1" t="s">
        <v>24</v>
      </c>
      <c r="D5448" s="1" t="str">
        <f t="shared" si="10339"/>
        <v>2021</v>
      </c>
      <c r="E5448" s="1" t="str">
        <f t="shared" ref="E5448:I5448" si="10353">"0"</f>
        <v>0</v>
      </c>
      <c r="F5448" s="1" t="str">
        <f t="shared" si="10353"/>
        <v>0</v>
      </c>
      <c r="G5448" s="1" t="str">
        <f t="shared" si="10353"/>
        <v>0</v>
      </c>
      <c r="H5448" s="1" t="str">
        <f t="shared" si="10353"/>
        <v>0</v>
      </c>
      <c r="I5448" s="1" t="str">
        <f t="shared" si="10353"/>
        <v>0</v>
      </c>
      <c r="J5448" s="1" t="str">
        <f>"1"</f>
        <v>1</v>
      </c>
      <c r="K5448" s="1" t="str">
        <f t="shared" ref="K5448:P5448" si="10354">"0"</f>
        <v>0</v>
      </c>
      <c r="L5448" s="1" t="str">
        <f t="shared" si="10354"/>
        <v>0</v>
      </c>
      <c r="M5448" s="1" t="str">
        <f t="shared" si="10354"/>
        <v>0</v>
      </c>
      <c r="N5448" s="1" t="str">
        <f t="shared" si="10354"/>
        <v>0</v>
      </c>
      <c r="O5448" s="1" t="str">
        <f t="shared" si="10354"/>
        <v>0</v>
      </c>
      <c r="P5448" s="1" t="str">
        <f t="shared" si="10354"/>
        <v>0</v>
      </c>
      <c r="Q5448" s="1" t="str">
        <f t="shared" si="10342"/>
        <v>0.0070</v>
      </c>
      <c r="R5448" s="1" t="s">
        <v>25</v>
      </c>
      <c r="T5448" s="1" t="str">
        <f t="shared" si="10343"/>
        <v>0</v>
      </c>
      <c r="U5448" s="1" t="str">
        <f t="shared" si="10352"/>
        <v>0.0070</v>
      </c>
    </row>
    <row r="5449" s="1" customFormat="1" spans="1:21">
      <c r="A5449" s="1" t="str">
        <f>"4601992187948"</f>
        <v>4601992187948</v>
      </c>
      <c r="B5449" s="1" t="s">
        <v>5472</v>
      </c>
      <c r="C5449" s="1" t="s">
        <v>24</v>
      </c>
      <c r="D5449" s="1" t="str">
        <f t="shared" si="10339"/>
        <v>2021</v>
      </c>
      <c r="E5449" s="1" t="str">
        <f t="shared" ref="E5449:I5449" si="10355">"0"</f>
        <v>0</v>
      </c>
      <c r="F5449" s="1" t="str">
        <f t="shared" si="10355"/>
        <v>0</v>
      </c>
      <c r="G5449" s="1" t="str">
        <f t="shared" si="10355"/>
        <v>0</v>
      </c>
      <c r="H5449" s="1" t="str">
        <f t="shared" si="10355"/>
        <v>0</v>
      </c>
      <c r="I5449" s="1" t="str">
        <f t="shared" si="10355"/>
        <v>0</v>
      </c>
      <c r="J5449" s="1" t="str">
        <f>"1"</f>
        <v>1</v>
      </c>
      <c r="K5449" s="1" t="str">
        <f t="shared" ref="K5449:P5449" si="10356">"0"</f>
        <v>0</v>
      </c>
      <c r="L5449" s="1" t="str">
        <f t="shared" si="10356"/>
        <v>0</v>
      </c>
      <c r="M5449" s="1" t="str">
        <f t="shared" si="10356"/>
        <v>0</v>
      </c>
      <c r="N5449" s="1" t="str">
        <f t="shared" si="10356"/>
        <v>0</v>
      </c>
      <c r="O5449" s="1" t="str">
        <f t="shared" si="10356"/>
        <v>0</v>
      </c>
      <c r="P5449" s="1" t="str">
        <f t="shared" si="10356"/>
        <v>0</v>
      </c>
      <c r="Q5449" s="1" t="str">
        <f t="shared" si="10342"/>
        <v>0.0070</v>
      </c>
      <c r="R5449" s="1" t="s">
        <v>25</v>
      </c>
      <c r="T5449" s="1" t="str">
        <f t="shared" si="10343"/>
        <v>0</v>
      </c>
      <c r="U5449" s="1" t="str">
        <f t="shared" si="10352"/>
        <v>0.0070</v>
      </c>
    </row>
    <row r="5450" s="1" customFormat="1" spans="1:21">
      <c r="A5450" s="1" t="str">
        <f>"4601992187947"</f>
        <v>4601992187947</v>
      </c>
      <c r="B5450" s="1" t="s">
        <v>5473</v>
      </c>
      <c r="C5450" s="1" t="s">
        <v>24</v>
      </c>
      <c r="D5450" s="1" t="str">
        <f t="shared" si="10339"/>
        <v>2021</v>
      </c>
      <c r="E5450" s="1" t="str">
        <f t="shared" ref="E5450:I5450" si="10357">"0"</f>
        <v>0</v>
      </c>
      <c r="F5450" s="1" t="str">
        <f t="shared" si="10357"/>
        <v>0</v>
      </c>
      <c r="G5450" s="1" t="str">
        <f t="shared" si="10357"/>
        <v>0</v>
      </c>
      <c r="H5450" s="1" t="str">
        <f t="shared" si="10357"/>
        <v>0</v>
      </c>
      <c r="I5450" s="1" t="str">
        <f t="shared" si="10357"/>
        <v>0</v>
      </c>
      <c r="J5450" s="1" t="str">
        <f>"2"</f>
        <v>2</v>
      </c>
      <c r="K5450" s="1" t="str">
        <f t="shared" ref="K5450:P5450" si="10358">"0"</f>
        <v>0</v>
      </c>
      <c r="L5450" s="1" t="str">
        <f t="shared" si="10358"/>
        <v>0</v>
      </c>
      <c r="M5450" s="1" t="str">
        <f t="shared" si="10358"/>
        <v>0</v>
      </c>
      <c r="N5450" s="1" t="str">
        <f t="shared" si="10358"/>
        <v>0</v>
      </c>
      <c r="O5450" s="1" t="str">
        <f t="shared" si="10358"/>
        <v>0</v>
      </c>
      <c r="P5450" s="1" t="str">
        <f t="shared" si="10358"/>
        <v>0</v>
      </c>
      <c r="Q5450" s="1" t="str">
        <f t="shared" si="10342"/>
        <v>0.0070</v>
      </c>
      <c r="R5450" s="1" t="s">
        <v>25</v>
      </c>
      <c r="T5450" s="1" t="str">
        <f t="shared" si="10343"/>
        <v>0</v>
      </c>
      <c r="U5450" s="1" t="str">
        <f t="shared" si="10352"/>
        <v>0.0070</v>
      </c>
    </row>
    <row r="5451" s="1" customFormat="1" spans="1:21">
      <c r="A5451" s="1" t="str">
        <f>"4601992187977"</f>
        <v>4601992187977</v>
      </c>
      <c r="B5451" s="1" t="s">
        <v>5474</v>
      </c>
      <c r="C5451" s="1" t="s">
        <v>24</v>
      </c>
      <c r="D5451" s="1" t="str">
        <f t="shared" si="10339"/>
        <v>2021</v>
      </c>
      <c r="E5451" s="1" t="str">
        <f t="shared" ref="E5451:I5451" si="10359">"0"</f>
        <v>0</v>
      </c>
      <c r="F5451" s="1" t="str">
        <f t="shared" si="10359"/>
        <v>0</v>
      </c>
      <c r="G5451" s="1" t="str">
        <f t="shared" si="10359"/>
        <v>0</v>
      </c>
      <c r="H5451" s="1" t="str">
        <f t="shared" si="10359"/>
        <v>0</v>
      </c>
      <c r="I5451" s="1" t="str">
        <f t="shared" si="10359"/>
        <v>0</v>
      </c>
      <c r="J5451" s="1" t="str">
        <f>"3"</f>
        <v>3</v>
      </c>
      <c r="K5451" s="1" t="str">
        <f t="shared" ref="K5451:P5451" si="10360">"0"</f>
        <v>0</v>
      </c>
      <c r="L5451" s="1" t="str">
        <f t="shared" si="10360"/>
        <v>0</v>
      </c>
      <c r="M5451" s="1" t="str">
        <f t="shared" si="10360"/>
        <v>0</v>
      </c>
      <c r="N5451" s="1" t="str">
        <f t="shared" si="10360"/>
        <v>0</v>
      </c>
      <c r="O5451" s="1" t="str">
        <f t="shared" si="10360"/>
        <v>0</v>
      </c>
      <c r="P5451" s="1" t="str">
        <f t="shared" si="10360"/>
        <v>0</v>
      </c>
      <c r="Q5451" s="1" t="str">
        <f t="shared" si="10342"/>
        <v>0.0070</v>
      </c>
      <c r="R5451" s="1" t="s">
        <v>25</v>
      </c>
      <c r="T5451" s="1" t="str">
        <f t="shared" si="10343"/>
        <v>0</v>
      </c>
      <c r="U5451" s="1" t="str">
        <f t="shared" si="10352"/>
        <v>0.0070</v>
      </c>
    </row>
    <row r="5452" s="1" customFormat="1" spans="1:21">
      <c r="A5452" s="1" t="str">
        <f>"4601992187982"</f>
        <v>4601992187982</v>
      </c>
      <c r="B5452" s="1" t="s">
        <v>5475</v>
      </c>
      <c r="C5452" s="1" t="s">
        <v>24</v>
      </c>
      <c r="D5452" s="1" t="str">
        <f t="shared" si="10339"/>
        <v>2021</v>
      </c>
      <c r="E5452" s="1" t="str">
        <f>"24.55"</f>
        <v>24.55</v>
      </c>
      <c r="F5452" s="1" t="str">
        <f t="shared" ref="F5452:I5452" si="10361">"0"</f>
        <v>0</v>
      </c>
      <c r="G5452" s="1" t="str">
        <f t="shared" si="10361"/>
        <v>0</v>
      </c>
      <c r="H5452" s="1" t="str">
        <f t="shared" si="10361"/>
        <v>0</v>
      </c>
      <c r="I5452" s="1" t="str">
        <f t="shared" si="10361"/>
        <v>0</v>
      </c>
      <c r="J5452" s="1" t="str">
        <f>"2"</f>
        <v>2</v>
      </c>
      <c r="K5452" s="1" t="str">
        <f t="shared" ref="K5452:P5452" si="10362">"0"</f>
        <v>0</v>
      </c>
      <c r="L5452" s="1" t="str">
        <f t="shared" si="10362"/>
        <v>0</v>
      </c>
      <c r="M5452" s="1" t="str">
        <f t="shared" si="10362"/>
        <v>0</v>
      </c>
      <c r="N5452" s="1" t="str">
        <f t="shared" si="10362"/>
        <v>0</v>
      </c>
      <c r="O5452" s="1" t="str">
        <f t="shared" si="10362"/>
        <v>0</v>
      </c>
      <c r="P5452" s="1" t="str">
        <f t="shared" si="10362"/>
        <v>0</v>
      </c>
      <c r="Q5452" s="1" t="str">
        <f t="shared" si="10342"/>
        <v>0.0070</v>
      </c>
      <c r="R5452" s="1" t="s">
        <v>29</v>
      </c>
      <c r="S5452" s="1">
        <v>-0.0014</v>
      </c>
      <c r="T5452" s="1" t="str">
        <f t="shared" si="10343"/>
        <v>0</v>
      </c>
      <c r="U5452" s="1" t="str">
        <f>"0.0056"</f>
        <v>0.0056</v>
      </c>
    </row>
    <row r="5453" s="1" customFormat="1" spans="1:21">
      <c r="A5453" s="1" t="str">
        <f>"4601992187987"</f>
        <v>4601992187987</v>
      </c>
      <c r="B5453" s="1" t="s">
        <v>5476</v>
      </c>
      <c r="C5453" s="1" t="s">
        <v>24</v>
      </c>
      <c r="D5453" s="1" t="str">
        <f t="shared" si="10339"/>
        <v>2021</v>
      </c>
      <c r="E5453" s="1" t="str">
        <f t="shared" ref="E5453:P5453" si="10363">"0"</f>
        <v>0</v>
      </c>
      <c r="F5453" s="1" t="str">
        <f t="shared" si="10363"/>
        <v>0</v>
      </c>
      <c r="G5453" s="1" t="str">
        <f t="shared" si="10363"/>
        <v>0</v>
      </c>
      <c r="H5453" s="1" t="str">
        <f t="shared" si="10363"/>
        <v>0</v>
      </c>
      <c r="I5453" s="1" t="str">
        <f t="shared" si="10363"/>
        <v>0</v>
      </c>
      <c r="J5453" s="1" t="str">
        <f t="shared" si="10363"/>
        <v>0</v>
      </c>
      <c r="K5453" s="1" t="str">
        <f t="shared" si="10363"/>
        <v>0</v>
      </c>
      <c r="L5453" s="1" t="str">
        <f t="shared" si="10363"/>
        <v>0</v>
      </c>
      <c r="M5453" s="1" t="str">
        <f t="shared" si="10363"/>
        <v>0</v>
      </c>
      <c r="N5453" s="1" t="str">
        <f t="shared" si="10363"/>
        <v>0</v>
      </c>
      <c r="O5453" s="1" t="str">
        <f t="shared" si="10363"/>
        <v>0</v>
      </c>
      <c r="P5453" s="1" t="str">
        <f t="shared" si="10363"/>
        <v>0</v>
      </c>
      <c r="Q5453" s="1" t="str">
        <f t="shared" si="10342"/>
        <v>0.0070</v>
      </c>
      <c r="R5453" s="1" t="s">
        <v>25</v>
      </c>
      <c r="T5453" s="1" t="str">
        <f t="shared" si="10343"/>
        <v>0</v>
      </c>
      <c r="U5453" s="1" t="str">
        <f t="shared" ref="U5453:U5468" si="10364">"0.0070"</f>
        <v>0.0070</v>
      </c>
    </row>
    <row r="5454" s="1" customFormat="1" spans="1:21">
      <c r="A5454" s="1" t="str">
        <f>"4601992188009"</f>
        <v>4601992188009</v>
      </c>
      <c r="B5454" s="1" t="s">
        <v>5477</v>
      </c>
      <c r="C5454" s="1" t="s">
        <v>24</v>
      </c>
      <c r="D5454" s="1" t="str">
        <f t="shared" si="10339"/>
        <v>2021</v>
      </c>
      <c r="E5454" s="1" t="str">
        <f t="shared" ref="E5454:P5454" si="10365">"0"</f>
        <v>0</v>
      </c>
      <c r="F5454" s="1" t="str">
        <f t="shared" si="10365"/>
        <v>0</v>
      </c>
      <c r="G5454" s="1" t="str">
        <f t="shared" si="10365"/>
        <v>0</v>
      </c>
      <c r="H5454" s="1" t="str">
        <f t="shared" si="10365"/>
        <v>0</v>
      </c>
      <c r="I5454" s="1" t="str">
        <f t="shared" si="10365"/>
        <v>0</v>
      </c>
      <c r="J5454" s="1" t="str">
        <f t="shared" si="10365"/>
        <v>0</v>
      </c>
      <c r="K5454" s="1" t="str">
        <f t="shared" si="10365"/>
        <v>0</v>
      </c>
      <c r="L5454" s="1" t="str">
        <f t="shared" si="10365"/>
        <v>0</v>
      </c>
      <c r="M5454" s="1" t="str">
        <f t="shared" si="10365"/>
        <v>0</v>
      </c>
      <c r="N5454" s="1" t="str">
        <f t="shared" si="10365"/>
        <v>0</v>
      </c>
      <c r="O5454" s="1" t="str">
        <f t="shared" si="10365"/>
        <v>0</v>
      </c>
      <c r="P5454" s="1" t="str">
        <f t="shared" si="10365"/>
        <v>0</v>
      </c>
      <c r="Q5454" s="1" t="str">
        <f t="shared" si="10342"/>
        <v>0.0070</v>
      </c>
      <c r="R5454" s="1" t="s">
        <v>25</v>
      </c>
      <c r="T5454" s="1" t="str">
        <f t="shared" si="10343"/>
        <v>0</v>
      </c>
      <c r="U5454" s="1" t="str">
        <f t="shared" si="10364"/>
        <v>0.0070</v>
      </c>
    </row>
    <row r="5455" s="1" customFormat="1" spans="1:21">
      <c r="A5455" s="1" t="str">
        <f>"4601992188055"</f>
        <v>4601992188055</v>
      </c>
      <c r="B5455" s="1" t="s">
        <v>5478</v>
      </c>
      <c r="C5455" s="1" t="s">
        <v>24</v>
      </c>
      <c r="D5455" s="1" t="str">
        <f t="shared" si="10339"/>
        <v>2021</v>
      </c>
      <c r="E5455" s="1" t="str">
        <f t="shared" ref="E5455:I5455" si="10366">"0"</f>
        <v>0</v>
      </c>
      <c r="F5455" s="1" t="str">
        <f t="shared" si="10366"/>
        <v>0</v>
      </c>
      <c r="G5455" s="1" t="str">
        <f t="shared" si="10366"/>
        <v>0</v>
      </c>
      <c r="H5455" s="1" t="str">
        <f t="shared" si="10366"/>
        <v>0</v>
      </c>
      <c r="I5455" s="1" t="str">
        <f t="shared" si="10366"/>
        <v>0</v>
      </c>
      <c r="J5455" s="1" t="str">
        <f t="shared" ref="J5455:J5459" si="10367">"1"</f>
        <v>1</v>
      </c>
      <c r="K5455" s="1" t="str">
        <f t="shared" ref="K5455:P5455" si="10368">"0"</f>
        <v>0</v>
      </c>
      <c r="L5455" s="1" t="str">
        <f t="shared" si="10368"/>
        <v>0</v>
      </c>
      <c r="M5455" s="1" t="str">
        <f t="shared" si="10368"/>
        <v>0</v>
      </c>
      <c r="N5455" s="1" t="str">
        <f t="shared" si="10368"/>
        <v>0</v>
      </c>
      <c r="O5455" s="1" t="str">
        <f t="shared" si="10368"/>
        <v>0</v>
      </c>
      <c r="P5455" s="1" t="str">
        <f t="shared" si="10368"/>
        <v>0</v>
      </c>
      <c r="Q5455" s="1" t="str">
        <f t="shared" si="10342"/>
        <v>0.0070</v>
      </c>
      <c r="R5455" s="1" t="s">
        <v>25</v>
      </c>
      <c r="T5455" s="1" t="str">
        <f t="shared" si="10343"/>
        <v>0</v>
      </c>
      <c r="U5455" s="1" t="str">
        <f t="shared" si="10364"/>
        <v>0.0070</v>
      </c>
    </row>
    <row r="5456" s="1" customFormat="1" spans="1:21">
      <c r="A5456" s="1" t="str">
        <f>"4601992187994"</f>
        <v>4601992187994</v>
      </c>
      <c r="B5456" s="1" t="s">
        <v>5479</v>
      </c>
      <c r="C5456" s="1" t="s">
        <v>24</v>
      </c>
      <c r="D5456" s="1" t="str">
        <f t="shared" si="10339"/>
        <v>2021</v>
      </c>
      <c r="E5456" s="1" t="str">
        <f t="shared" ref="E5456:I5456" si="10369">"0"</f>
        <v>0</v>
      </c>
      <c r="F5456" s="1" t="str">
        <f t="shared" si="10369"/>
        <v>0</v>
      </c>
      <c r="G5456" s="1" t="str">
        <f t="shared" si="10369"/>
        <v>0</v>
      </c>
      <c r="H5456" s="1" t="str">
        <f t="shared" si="10369"/>
        <v>0</v>
      </c>
      <c r="I5456" s="1" t="str">
        <f t="shared" si="10369"/>
        <v>0</v>
      </c>
      <c r="J5456" s="1" t="str">
        <f t="shared" si="10367"/>
        <v>1</v>
      </c>
      <c r="K5456" s="1" t="str">
        <f t="shared" ref="K5456:P5456" si="10370">"0"</f>
        <v>0</v>
      </c>
      <c r="L5456" s="1" t="str">
        <f t="shared" si="10370"/>
        <v>0</v>
      </c>
      <c r="M5456" s="1" t="str">
        <f t="shared" si="10370"/>
        <v>0</v>
      </c>
      <c r="N5456" s="1" t="str">
        <f t="shared" si="10370"/>
        <v>0</v>
      </c>
      <c r="O5456" s="1" t="str">
        <f t="shared" si="10370"/>
        <v>0</v>
      </c>
      <c r="P5456" s="1" t="str">
        <f t="shared" si="10370"/>
        <v>0</v>
      </c>
      <c r="Q5456" s="1" t="str">
        <f t="shared" si="10342"/>
        <v>0.0070</v>
      </c>
      <c r="R5456" s="1" t="s">
        <v>25</v>
      </c>
      <c r="T5456" s="1" t="str">
        <f t="shared" si="10343"/>
        <v>0</v>
      </c>
      <c r="U5456" s="1" t="str">
        <f t="shared" si="10364"/>
        <v>0.0070</v>
      </c>
    </row>
    <row r="5457" s="1" customFormat="1" spans="1:21">
      <c r="A5457" s="1" t="str">
        <f>"4601992188098"</f>
        <v>4601992188098</v>
      </c>
      <c r="B5457" s="1" t="s">
        <v>5480</v>
      </c>
      <c r="C5457" s="1" t="s">
        <v>24</v>
      </c>
      <c r="D5457" s="1" t="str">
        <f t="shared" si="10339"/>
        <v>2021</v>
      </c>
      <c r="E5457" s="1" t="str">
        <f t="shared" ref="E5457:I5457" si="10371">"0"</f>
        <v>0</v>
      </c>
      <c r="F5457" s="1" t="str">
        <f t="shared" si="10371"/>
        <v>0</v>
      </c>
      <c r="G5457" s="1" t="str">
        <f t="shared" si="10371"/>
        <v>0</v>
      </c>
      <c r="H5457" s="1" t="str">
        <f t="shared" si="10371"/>
        <v>0</v>
      </c>
      <c r="I5457" s="1" t="str">
        <f t="shared" si="10371"/>
        <v>0</v>
      </c>
      <c r="J5457" s="1" t="str">
        <f>"11"</f>
        <v>11</v>
      </c>
      <c r="K5457" s="1" t="str">
        <f t="shared" ref="K5457:P5457" si="10372">"0"</f>
        <v>0</v>
      </c>
      <c r="L5457" s="1" t="str">
        <f t="shared" si="10372"/>
        <v>0</v>
      </c>
      <c r="M5457" s="1" t="str">
        <f t="shared" si="10372"/>
        <v>0</v>
      </c>
      <c r="N5457" s="1" t="str">
        <f t="shared" si="10372"/>
        <v>0</v>
      </c>
      <c r="O5457" s="1" t="str">
        <f t="shared" si="10372"/>
        <v>0</v>
      </c>
      <c r="P5457" s="1" t="str">
        <f t="shared" si="10372"/>
        <v>0</v>
      </c>
      <c r="Q5457" s="1" t="str">
        <f t="shared" si="10342"/>
        <v>0.0070</v>
      </c>
      <c r="R5457" s="1" t="s">
        <v>25</v>
      </c>
      <c r="T5457" s="1" t="str">
        <f t="shared" si="10343"/>
        <v>0</v>
      </c>
      <c r="U5457" s="1" t="str">
        <f t="shared" si="10364"/>
        <v>0.0070</v>
      </c>
    </row>
    <row r="5458" s="1" customFormat="1" spans="1:21">
      <c r="A5458" s="1" t="str">
        <f>"4601992188061"</f>
        <v>4601992188061</v>
      </c>
      <c r="B5458" s="1" t="s">
        <v>5481</v>
      </c>
      <c r="C5458" s="1" t="s">
        <v>24</v>
      </c>
      <c r="D5458" s="1" t="str">
        <f t="shared" si="10339"/>
        <v>2021</v>
      </c>
      <c r="E5458" s="1" t="str">
        <f t="shared" ref="E5458:I5458" si="10373">"0"</f>
        <v>0</v>
      </c>
      <c r="F5458" s="1" t="str">
        <f t="shared" si="10373"/>
        <v>0</v>
      </c>
      <c r="G5458" s="1" t="str">
        <f t="shared" si="10373"/>
        <v>0</v>
      </c>
      <c r="H5458" s="1" t="str">
        <f t="shared" si="10373"/>
        <v>0</v>
      </c>
      <c r="I5458" s="1" t="str">
        <f t="shared" si="10373"/>
        <v>0</v>
      </c>
      <c r="J5458" s="1" t="str">
        <f>"17"</f>
        <v>17</v>
      </c>
      <c r="K5458" s="1" t="str">
        <f t="shared" ref="K5458:P5458" si="10374">"0"</f>
        <v>0</v>
      </c>
      <c r="L5458" s="1" t="str">
        <f t="shared" si="10374"/>
        <v>0</v>
      </c>
      <c r="M5458" s="1" t="str">
        <f t="shared" si="10374"/>
        <v>0</v>
      </c>
      <c r="N5458" s="1" t="str">
        <f t="shared" si="10374"/>
        <v>0</v>
      </c>
      <c r="O5458" s="1" t="str">
        <f t="shared" si="10374"/>
        <v>0</v>
      </c>
      <c r="P5458" s="1" t="str">
        <f t="shared" si="10374"/>
        <v>0</v>
      </c>
      <c r="Q5458" s="1" t="str">
        <f t="shared" si="10342"/>
        <v>0.0070</v>
      </c>
      <c r="R5458" s="1" t="s">
        <v>25</v>
      </c>
      <c r="T5458" s="1" t="str">
        <f t="shared" si="10343"/>
        <v>0</v>
      </c>
      <c r="U5458" s="1" t="str">
        <f t="shared" si="10364"/>
        <v>0.0070</v>
      </c>
    </row>
    <row r="5459" s="1" customFormat="1" spans="1:21">
      <c r="A5459" s="1" t="str">
        <f>"4601992188138"</f>
        <v>4601992188138</v>
      </c>
      <c r="B5459" s="1" t="s">
        <v>5482</v>
      </c>
      <c r="C5459" s="1" t="s">
        <v>24</v>
      </c>
      <c r="D5459" s="1" t="str">
        <f t="shared" si="10339"/>
        <v>2021</v>
      </c>
      <c r="E5459" s="1" t="str">
        <f t="shared" ref="E5459:I5459" si="10375">"0"</f>
        <v>0</v>
      </c>
      <c r="F5459" s="1" t="str">
        <f t="shared" si="10375"/>
        <v>0</v>
      </c>
      <c r="G5459" s="1" t="str">
        <f t="shared" si="10375"/>
        <v>0</v>
      </c>
      <c r="H5459" s="1" t="str">
        <f t="shared" si="10375"/>
        <v>0</v>
      </c>
      <c r="I5459" s="1" t="str">
        <f t="shared" si="10375"/>
        <v>0</v>
      </c>
      <c r="J5459" s="1" t="str">
        <f t="shared" si="10367"/>
        <v>1</v>
      </c>
      <c r="K5459" s="1" t="str">
        <f t="shared" ref="K5459:P5459" si="10376">"0"</f>
        <v>0</v>
      </c>
      <c r="L5459" s="1" t="str">
        <f t="shared" si="10376"/>
        <v>0</v>
      </c>
      <c r="M5459" s="1" t="str">
        <f t="shared" si="10376"/>
        <v>0</v>
      </c>
      <c r="N5459" s="1" t="str">
        <f t="shared" si="10376"/>
        <v>0</v>
      </c>
      <c r="O5459" s="1" t="str">
        <f t="shared" si="10376"/>
        <v>0</v>
      </c>
      <c r="P5459" s="1" t="str">
        <f t="shared" si="10376"/>
        <v>0</v>
      </c>
      <c r="Q5459" s="1" t="str">
        <f t="shared" si="10342"/>
        <v>0.0070</v>
      </c>
      <c r="R5459" s="1" t="s">
        <v>25</v>
      </c>
      <c r="T5459" s="1" t="str">
        <f t="shared" si="10343"/>
        <v>0</v>
      </c>
      <c r="U5459" s="1" t="str">
        <f t="shared" si="10364"/>
        <v>0.0070</v>
      </c>
    </row>
    <row r="5460" s="1" customFormat="1" spans="1:21">
      <c r="A5460" s="1" t="str">
        <f>"4601992188169"</f>
        <v>4601992188169</v>
      </c>
      <c r="B5460" s="1" t="s">
        <v>5483</v>
      </c>
      <c r="C5460" s="1" t="s">
        <v>24</v>
      </c>
      <c r="D5460" s="1" t="str">
        <f t="shared" si="10339"/>
        <v>2021</v>
      </c>
      <c r="E5460" s="1" t="str">
        <f t="shared" ref="E5460:P5460" si="10377">"0"</f>
        <v>0</v>
      </c>
      <c r="F5460" s="1" t="str">
        <f t="shared" si="10377"/>
        <v>0</v>
      </c>
      <c r="G5460" s="1" t="str">
        <f t="shared" si="10377"/>
        <v>0</v>
      </c>
      <c r="H5460" s="1" t="str">
        <f t="shared" si="10377"/>
        <v>0</v>
      </c>
      <c r="I5460" s="1" t="str">
        <f t="shared" si="10377"/>
        <v>0</v>
      </c>
      <c r="J5460" s="1" t="str">
        <f t="shared" si="10377"/>
        <v>0</v>
      </c>
      <c r="K5460" s="1" t="str">
        <f t="shared" si="10377"/>
        <v>0</v>
      </c>
      <c r="L5460" s="1" t="str">
        <f t="shared" si="10377"/>
        <v>0</v>
      </c>
      <c r="M5460" s="1" t="str">
        <f t="shared" si="10377"/>
        <v>0</v>
      </c>
      <c r="N5460" s="1" t="str">
        <f t="shared" si="10377"/>
        <v>0</v>
      </c>
      <c r="O5460" s="1" t="str">
        <f t="shared" si="10377"/>
        <v>0</v>
      </c>
      <c r="P5460" s="1" t="str">
        <f t="shared" si="10377"/>
        <v>0</v>
      </c>
      <c r="Q5460" s="1" t="str">
        <f t="shared" si="10342"/>
        <v>0.0070</v>
      </c>
      <c r="R5460" s="1" t="s">
        <v>25</v>
      </c>
      <c r="T5460" s="1" t="str">
        <f t="shared" si="10343"/>
        <v>0</v>
      </c>
      <c r="U5460" s="1" t="str">
        <f t="shared" si="10364"/>
        <v>0.0070</v>
      </c>
    </row>
    <row r="5461" s="1" customFormat="1" spans="1:21">
      <c r="A5461" s="1" t="str">
        <f>"4601992188139"</f>
        <v>4601992188139</v>
      </c>
      <c r="B5461" s="1" t="s">
        <v>5484</v>
      </c>
      <c r="C5461" s="1" t="s">
        <v>24</v>
      </c>
      <c r="D5461" s="1" t="str">
        <f t="shared" si="10339"/>
        <v>2021</v>
      </c>
      <c r="E5461" s="1" t="str">
        <f t="shared" ref="E5461:I5461" si="10378">"0"</f>
        <v>0</v>
      </c>
      <c r="F5461" s="1" t="str">
        <f t="shared" si="10378"/>
        <v>0</v>
      </c>
      <c r="G5461" s="1" t="str">
        <f t="shared" si="10378"/>
        <v>0</v>
      </c>
      <c r="H5461" s="1" t="str">
        <f t="shared" si="10378"/>
        <v>0</v>
      </c>
      <c r="I5461" s="1" t="str">
        <f t="shared" si="10378"/>
        <v>0</v>
      </c>
      <c r="J5461" s="1" t="str">
        <f t="shared" ref="J5461:J5466" si="10379">"1"</f>
        <v>1</v>
      </c>
      <c r="K5461" s="1" t="str">
        <f t="shared" ref="K5461:P5461" si="10380">"0"</f>
        <v>0</v>
      </c>
      <c r="L5461" s="1" t="str">
        <f t="shared" si="10380"/>
        <v>0</v>
      </c>
      <c r="M5461" s="1" t="str">
        <f t="shared" si="10380"/>
        <v>0</v>
      </c>
      <c r="N5461" s="1" t="str">
        <f t="shared" si="10380"/>
        <v>0</v>
      </c>
      <c r="O5461" s="1" t="str">
        <f t="shared" si="10380"/>
        <v>0</v>
      </c>
      <c r="P5461" s="1" t="str">
        <f t="shared" si="10380"/>
        <v>0</v>
      </c>
      <c r="Q5461" s="1" t="str">
        <f t="shared" si="10342"/>
        <v>0.0070</v>
      </c>
      <c r="R5461" s="1" t="s">
        <v>25</v>
      </c>
      <c r="T5461" s="1" t="str">
        <f t="shared" si="10343"/>
        <v>0</v>
      </c>
      <c r="U5461" s="1" t="str">
        <f t="shared" si="10364"/>
        <v>0.0070</v>
      </c>
    </row>
    <row r="5462" s="1" customFormat="1" spans="1:21">
      <c r="A5462" s="1" t="str">
        <f>"4601992188189"</f>
        <v>4601992188189</v>
      </c>
      <c r="B5462" s="1" t="s">
        <v>5485</v>
      </c>
      <c r="C5462" s="1" t="s">
        <v>24</v>
      </c>
      <c r="D5462" s="1" t="str">
        <f t="shared" si="10339"/>
        <v>2021</v>
      </c>
      <c r="E5462" s="1" t="str">
        <f t="shared" ref="E5462:I5462" si="10381">"0"</f>
        <v>0</v>
      </c>
      <c r="F5462" s="1" t="str">
        <f t="shared" si="10381"/>
        <v>0</v>
      </c>
      <c r="G5462" s="1" t="str">
        <f t="shared" si="10381"/>
        <v>0</v>
      </c>
      <c r="H5462" s="1" t="str">
        <f t="shared" si="10381"/>
        <v>0</v>
      </c>
      <c r="I5462" s="1" t="str">
        <f t="shared" si="10381"/>
        <v>0</v>
      </c>
      <c r="J5462" s="1" t="str">
        <f>"3"</f>
        <v>3</v>
      </c>
      <c r="K5462" s="1" t="str">
        <f t="shared" ref="K5462:P5462" si="10382">"0"</f>
        <v>0</v>
      </c>
      <c r="L5462" s="1" t="str">
        <f t="shared" si="10382"/>
        <v>0</v>
      </c>
      <c r="M5462" s="1" t="str">
        <f t="shared" si="10382"/>
        <v>0</v>
      </c>
      <c r="N5462" s="1" t="str">
        <f t="shared" si="10382"/>
        <v>0</v>
      </c>
      <c r="O5462" s="1" t="str">
        <f t="shared" si="10382"/>
        <v>0</v>
      </c>
      <c r="P5462" s="1" t="str">
        <f t="shared" si="10382"/>
        <v>0</v>
      </c>
      <c r="Q5462" s="1" t="str">
        <f t="shared" si="10342"/>
        <v>0.0070</v>
      </c>
      <c r="R5462" s="1" t="s">
        <v>25</v>
      </c>
      <c r="T5462" s="1" t="str">
        <f t="shared" si="10343"/>
        <v>0</v>
      </c>
      <c r="U5462" s="1" t="str">
        <f t="shared" si="10364"/>
        <v>0.0070</v>
      </c>
    </row>
    <row r="5463" s="1" customFormat="1" spans="1:21">
      <c r="A5463" s="1" t="str">
        <f>"4601992188230"</f>
        <v>4601992188230</v>
      </c>
      <c r="B5463" s="1" t="s">
        <v>5486</v>
      </c>
      <c r="C5463" s="1" t="s">
        <v>24</v>
      </c>
      <c r="D5463" s="1" t="str">
        <f t="shared" si="10339"/>
        <v>2021</v>
      </c>
      <c r="E5463" s="1" t="str">
        <f t="shared" ref="E5463:I5463" si="10383">"0"</f>
        <v>0</v>
      </c>
      <c r="F5463" s="1" t="str">
        <f t="shared" si="10383"/>
        <v>0</v>
      </c>
      <c r="G5463" s="1" t="str">
        <f t="shared" si="10383"/>
        <v>0</v>
      </c>
      <c r="H5463" s="1" t="str">
        <f t="shared" si="10383"/>
        <v>0</v>
      </c>
      <c r="I5463" s="1" t="str">
        <f t="shared" si="10383"/>
        <v>0</v>
      </c>
      <c r="J5463" s="1" t="str">
        <f t="shared" si="10379"/>
        <v>1</v>
      </c>
      <c r="K5463" s="1" t="str">
        <f t="shared" ref="K5463:P5463" si="10384">"0"</f>
        <v>0</v>
      </c>
      <c r="L5463" s="1" t="str">
        <f t="shared" si="10384"/>
        <v>0</v>
      </c>
      <c r="M5463" s="1" t="str">
        <f t="shared" si="10384"/>
        <v>0</v>
      </c>
      <c r="N5463" s="1" t="str">
        <f t="shared" si="10384"/>
        <v>0</v>
      </c>
      <c r="O5463" s="1" t="str">
        <f t="shared" si="10384"/>
        <v>0</v>
      </c>
      <c r="P5463" s="1" t="str">
        <f t="shared" si="10384"/>
        <v>0</v>
      </c>
      <c r="Q5463" s="1" t="str">
        <f t="shared" si="10342"/>
        <v>0.0070</v>
      </c>
      <c r="R5463" s="1" t="s">
        <v>25</v>
      </c>
      <c r="T5463" s="1" t="str">
        <f t="shared" si="10343"/>
        <v>0</v>
      </c>
      <c r="U5463" s="1" t="str">
        <f t="shared" si="10364"/>
        <v>0.0070</v>
      </c>
    </row>
    <row r="5464" s="1" customFormat="1" spans="1:21">
      <c r="A5464" s="1" t="str">
        <f>"4601992188321"</f>
        <v>4601992188321</v>
      </c>
      <c r="B5464" s="1" t="s">
        <v>5487</v>
      </c>
      <c r="C5464" s="1" t="s">
        <v>24</v>
      </c>
      <c r="D5464" s="1" t="str">
        <f t="shared" si="10339"/>
        <v>2021</v>
      </c>
      <c r="E5464" s="1" t="str">
        <f t="shared" ref="E5464:I5464" si="10385">"0"</f>
        <v>0</v>
      </c>
      <c r="F5464" s="1" t="str">
        <f t="shared" si="10385"/>
        <v>0</v>
      </c>
      <c r="G5464" s="1" t="str">
        <f t="shared" si="10385"/>
        <v>0</v>
      </c>
      <c r="H5464" s="1" t="str">
        <f t="shared" si="10385"/>
        <v>0</v>
      </c>
      <c r="I5464" s="1" t="str">
        <f t="shared" si="10385"/>
        <v>0</v>
      </c>
      <c r="J5464" s="1" t="str">
        <f>"4"</f>
        <v>4</v>
      </c>
      <c r="K5464" s="1" t="str">
        <f t="shared" ref="K5464:P5464" si="10386">"0"</f>
        <v>0</v>
      </c>
      <c r="L5464" s="1" t="str">
        <f t="shared" si="10386"/>
        <v>0</v>
      </c>
      <c r="M5464" s="1" t="str">
        <f t="shared" si="10386"/>
        <v>0</v>
      </c>
      <c r="N5464" s="1" t="str">
        <f t="shared" si="10386"/>
        <v>0</v>
      </c>
      <c r="O5464" s="1" t="str">
        <f t="shared" si="10386"/>
        <v>0</v>
      </c>
      <c r="P5464" s="1" t="str">
        <f t="shared" si="10386"/>
        <v>0</v>
      </c>
      <c r="Q5464" s="1" t="str">
        <f t="shared" si="10342"/>
        <v>0.0070</v>
      </c>
      <c r="R5464" s="1" t="s">
        <v>25</v>
      </c>
      <c r="T5464" s="1" t="str">
        <f t="shared" si="10343"/>
        <v>0</v>
      </c>
      <c r="U5464" s="1" t="str">
        <f t="shared" si="10364"/>
        <v>0.0070</v>
      </c>
    </row>
    <row r="5465" s="1" customFormat="1" spans="1:21">
      <c r="A5465" s="1" t="str">
        <f>"4601992188217"</f>
        <v>4601992188217</v>
      </c>
      <c r="B5465" s="1" t="s">
        <v>5488</v>
      </c>
      <c r="C5465" s="1" t="s">
        <v>24</v>
      </c>
      <c r="D5465" s="1" t="str">
        <f t="shared" si="10339"/>
        <v>2021</v>
      </c>
      <c r="E5465" s="1" t="str">
        <f t="shared" ref="E5465:I5465" si="10387">"0"</f>
        <v>0</v>
      </c>
      <c r="F5465" s="1" t="str">
        <f t="shared" si="10387"/>
        <v>0</v>
      </c>
      <c r="G5465" s="1" t="str">
        <f t="shared" si="10387"/>
        <v>0</v>
      </c>
      <c r="H5465" s="1" t="str">
        <f t="shared" si="10387"/>
        <v>0</v>
      </c>
      <c r="I5465" s="1" t="str">
        <f t="shared" si="10387"/>
        <v>0</v>
      </c>
      <c r="J5465" s="1" t="str">
        <f>"2"</f>
        <v>2</v>
      </c>
      <c r="K5465" s="1" t="str">
        <f t="shared" ref="K5465:P5465" si="10388">"0"</f>
        <v>0</v>
      </c>
      <c r="L5465" s="1" t="str">
        <f t="shared" si="10388"/>
        <v>0</v>
      </c>
      <c r="M5465" s="1" t="str">
        <f t="shared" si="10388"/>
        <v>0</v>
      </c>
      <c r="N5465" s="1" t="str">
        <f t="shared" si="10388"/>
        <v>0</v>
      </c>
      <c r="O5465" s="1" t="str">
        <f t="shared" si="10388"/>
        <v>0</v>
      </c>
      <c r="P5465" s="1" t="str">
        <f t="shared" si="10388"/>
        <v>0</v>
      </c>
      <c r="Q5465" s="1" t="str">
        <f t="shared" si="10342"/>
        <v>0.0070</v>
      </c>
      <c r="R5465" s="1" t="s">
        <v>25</v>
      </c>
      <c r="T5465" s="1" t="str">
        <f t="shared" si="10343"/>
        <v>0</v>
      </c>
      <c r="U5465" s="1" t="str">
        <f t="shared" si="10364"/>
        <v>0.0070</v>
      </c>
    </row>
    <row r="5466" s="1" customFormat="1" spans="1:21">
      <c r="A5466" s="1" t="str">
        <f>"4601992188385"</f>
        <v>4601992188385</v>
      </c>
      <c r="B5466" s="1" t="s">
        <v>5489</v>
      </c>
      <c r="C5466" s="1" t="s">
        <v>24</v>
      </c>
      <c r="D5466" s="1" t="str">
        <f t="shared" si="10339"/>
        <v>2021</v>
      </c>
      <c r="E5466" s="1" t="str">
        <f t="shared" ref="E5466:I5466" si="10389">"0"</f>
        <v>0</v>
      </c>
      <c r="F5466" s="1" t="str">
        <f t="shared" si="10389"/>
        <v>0</v>
      </c>
      <c r="G5466" s="1" t="str">
        <f t="shared" si="10389"/>
        <v>0</v>
      </c>
      <c r="H5466" s="1" t="str">
        <f t="shared" si="10389"/>
        <v>0</v>
      </c>
      <c r="I5466" s="1" t="str">
        <f t="shared" si="10389"/>
        <v>0</v>
      </c>
      <c r="J5466" s="1" t="str">
        <f t="shared" si="10379"/>
        <v>1</v>
      </c>
      <c r="K5466" s="1" t="str">
        <f t="shared" ref="K5466:P5466" si="10390">"0"</f>
        <v>0</v>
      </c>
      <c r="L5466" s="1" t="str">
        <f t="shared" si="10390"/>
        <v>0</v>
      </c>
      <c r="M5466" s="1" t="str">
        <f t="shared" si="10390"/>
        <v>0</v>
      </c>
      <c r="N5466" s="1" t="str">
        <f t="shared" si="10390"/>
        <v>0</v>
      </c>
      <c r="O5466" s="1" t="str">
        <f t="shared" si="10390"/>
        <v>0</v>
      </c>
      <c r="P5466" s="1" t="str">
        <f t="shared" si="10390"/>
        <v>0</v>
      </c>
      <c r="Q5466" s="1" t="str">
        <f t="shared" si="10342"/>
        <v>0.0070</v>
      </c>
      <c r="R5466" s="1" t="s">
        <v>25</v>
      </c>
      <c r="T5466" s="1" t="str">
        <f t="shared" si="10343"/>
        <v>0</v>
      </c>
      <c r="U5466" s="1" t="str">
        <f t="shared" si="10364"/>
        <v>0.0070</v>
      </c>
    </row>
    <row r="5467" s="1" customFormat="1" spans="1:21">
      <c r="A5467" s="1" t="str">
        <f>"4601992188386"</f>
        <v>4601992188386</v>
      </c>
      <c r="B5467" s="1" t="s">
        <v>5490</v>
      </c>
      <c r="C5467" s="1" t="s">
        <v>24</v>
      </c>
      <c r="D5467" s="1" t="str">
        <f t="shared" si="10339"/>
        <v>2021</v>
      </c>
      <c r="E5467" s="1" t="str">
        <f t="shared" ref="E5467:I5467" si="10391">"0"</f>
        <v>0</v>
      </c>
      <c r="F5467" s="1" t="str">
        <f t="shared" si="10391"/>
        <v>0</v>
      </c>
      <c r="G5467" s="1" t="str">
        <f t="shared" si="10391"/>
        <v>0</v>
      </c>
      <c r="H5467" s="1" t="str">
        <f t="shared" si="10391"/>
        <v>0</v>
      </c>
      <c r="I5467" s="1" t="str">
        <f t="shared" si="10391"/>
        <v>0</v>
      </c>
      <c r="J5467" s="1" t="str">
        <f>"6"</f>
        <v>6</v>
      </c>
      <c r="K5467" s="1" t="str">
        <f t="shared" ref="K5467:P5467" si="10392">"0"</f>
        <v>0</v>
      </c>
      <c r="L5467" s="1" t="str">
        <f t="shared" si="10392"/>
        <v>0</v>
      </c>
      <c r="M5467" s="1" t="str">
        <f t="shared" si="10392"/>
        <v>0</v>
      </c>
      <c r="N5467" s="1" t="str">
        <f t="shared" si="10392"/>
        <v>0</v>
      </c>
      <c r="O5467" s="1" t="str">
        <f t="shared" si="10392"/>
        <v>0</v>
      </c>
      <c r="P5467" s="1" t="str">
        <f t="shared" si="10392"/>
        <v>0</v>
      </c>
      <c r="Q5467" s="1" t="str">
        <f t="shared" si="10342"/>
        <v>0.0070</v>
      </c>
      <c r="R5467" s="1" t="s">
        <v>25</v>
      </c>
      <c r="T5467" s="1" t="str">
        <f t="shared" si="10343"/>
        <v>0</v>
      </c>
      <c r="U5467" s="1" t="str">
        <f t="shared" si="10364"/>
        <v>0.0070</v>
      </c>
    </row>
    <row r="5468" s="1" customFormat="1" spans="1:21">
      <c r="A5468" s="1" t="str">
        <f>"4601992188424"</f>
        <v>4601992188424</v>
      </c>
      <c r="B5468" s="1" t="s">
        <v>5491</v>
      </c>
      <c r="C5468" s="1" t="s">
        <v>24</v>
      </c>
      <c r="D5468" s="1" t="str">
        <f t="shared" si="10339"/>
        <v>2021</v>
      </c>
      <c r="E5468" s="1" t="str">
        <f t="shared" ref="E5468:I5468" si="10393">"0"</f>
        <v>0</v>
      </c>
      <c r="F5468" s="1" t="str">
        <f t="shared" si="10393"/>
        <v>0</v>
      </c>
      <c r="G5468" s="1" t="str">
        <f t="shared" si="10393"/>
        <v>0</v>
      </c>
      <c r="H5468" s="1" t="str">
        <f t="shared" si="10393"/>
        <v>0</v>
      </c>
      <c r="I5468" s="1" t="str">
        <f t="shared" si="10393"/>
        <v>0</v>
      </c>
      <c r="J5468" s="1" t="str">
        <f>"12"</f>
        <v>12</v>
      </c>
      <c r="K5468" s="1" t="str">
        <f t="shared" ref="K5468:P5468" si="10394">"0"</f>
        <v>0</v>
      </c>
      <c r="L5468" s="1" t="str">
        <f t="shared" si="10394"/>
        <v>0</v>
      </c>
      <c r="M5468" s="1" t="str">
        <f t="shared" si="10394"/>
        <v>0</v>
      </c>
      <c r="N5468" s="1" t="str">
        <f t="shared" si="10394"/>
        <v>0</v>
      </c>
      <c r="O5468" s="1" t="str">
        <f t="shared" si="10394"/>
        <v>0</v>
      </c>
      <c r="P5468" s="1" t="str">
        <f t="shared" si="10394"/>
        <v>0</v>
      </c>
      <c r="Q5468" s="1" t="str">
        <f t="shared" si="10342"/>
        <v>0.0070</v>
      </c>
      <c r="R5468" s="1" t="s">
        <v>25</v>
      </c>
      <c r="T5468" s="1" t="str">
        <f t="shared" si="10343"/>
        <v>0</v>
      </c>
      <c r="U5468" s="1" t="str">
        <f t="shared" si="10364"/>
        <v>0.0070</v>
      </c>
    </row>
    <row r="5469" s="1" customFormat="1" spans="1:21">
      <c r="A5469" s="1" t="str">
        <f>"4601992188414"</f>
        <v>4601992188414</v>
      </c>
      <c r="B5469" s="1" t="s">
        <v>5492</v>
      </c>
      <c r="C5469" s="1" t="s">
        <v>24</v>
      </c>
      <c r="D5469" s="1" t="str">
        <f t="shared" si="10339"/>
        <v>2021</v>
      </c>
      <c r="E5469" s="1" t="str">
        <f>"24.59"</f>
        <v>24.59</v>
      </c>
      <c r="F5469" s="1" t="str">
        <f t="shared" ref="F5469:I5469" si="10395">"0"</f>
        <v>0</v>
      </c>
      <c r="G5469" s="1" t="str">
        <f t="shared" si="10395"/>
        <v>0</v>
      </c>
      <c r="H5469" s="1" t="str">
        <f t="shared" si="10395"/>
        <v>0</v>
      </c>
      <c r="I5469" s="1" t="str">
        <f t="shared" si="10395"/>
        <v>0</v>
      </c>
      <c r="J5469" s="1" t="str">
        <f>"4"</f>
        <v>4</v>
      </c>
      <c r="K5469" s="1" t="str">
        <f t="shared" ref="K5469:P5469" si="10396">"0"</f>
        <v>0</v>
      </c>
      <c r="L5469" s="1" t="str">
        <f t="shared" si="10396"/>
        <v>0</v>
      </c>
      <c r="M5469" s="1" t="str">
        <f t="shared" si="10396"/>
        <v>0</v>
      </c>
      <c r="N5469" s="1" t="str">
        <f t="shared" si="10396"/>
        <v>0</v>
      </c>
      <c r="O5469" s="1" t="str">
        <f t="shared" si="10396"/>
        <v>0</v>
      </c>
      <c r="P5469" s="1" t="str">
        <f t="shared" si="10396"/>
        <v>0</v>
      </c>
      <c r="Q5469" s="1" t="str">
        <f t="shared" si="10342"/>
        <v>0.0070</v>
      </c>
      <c r="R5469" s="1" t="s">
        <v>29</v>
      </c>
      <c r="S5469" s="1">
        <v>-0.0014</v>
      </c>
      <c r="T5469" s="1" t="str">
        <f t="shared" si="10343"/>
        <v>0</v>
      </c>
      <c r="U5469" s="1" t="str">
        <f>"0.0056"</f>
        <v>0.0056</v>
      </c>
    </row>
    <row r="5470" s="1" customFormat="1" spans="1:21">
      <c r="A5470" s="1" t="str">
        <f>"4601992188447"</f>
        <v>4601992188447</v>
      </c>
      <c r="B5470" s="1" t="s">
        <v>5493</v>
      </c>
      <c r="C5470" s="1" t="s">
        <v>24</v>
      </c>
      <c r="D5470" s="1" t="str">
        <f t="shared" si="10339"/>
        <v>2021</v>
      </c>
      <c r="E5470" s="1" t="str">
        <f t="shared" ref="E5470:I5470" si="10397">"0"</f>
        <v>0</v>
      </c>
      <c r="F5470" s="1" t="str">
        <f t="shared" si="10397"/>
        <v>0</v>
      </c>
      <c r="G5470" s="1" t="str">
        <f t="shared" si="10397"/>
        <v>0</v>
      </c>
      <c r="H5470" s="1" t="str">
        <f t="shared" si="10397"/>
        <v>0</v>
      </c>
      <c r="I5470" s="1" t="str">
        <f t="shared" si="10397"/>
        <v>0</v>
      </c>
      <c r="J5470" s="1" t="str">
        <f>"5"</f>
        <v>5</v>
      </c>
      <c r="K5470" s="1" t="str">
        <f t="shared" ref="K5470:P5470" si="10398">"0"</f>
        <v>0</v>
      </c>
      <c r="L5470" s="1" t="str">
        <f t="shared" si="10398"/>
        <v>0</v>
      </c>
      <c r="M5470" s="1" t="str">
        <f t="shared" si="10398"/>
        <v>0</v>
      </c>
      <c r="N5470" s="1" t="str">
        <f t="shared" si="10398"/>
        <v>0</v>
      </c>
      <c r="O5470" s="1" t="str">
        <f t="shared" si="10398"/>
        <v>0</v>
      </c>
      <c r="P5470" s="1" t="str">
        <f t="shared" si="10398"/>
        <v>0</v>
      </c>
      <c r="Q5470" s="1" t="str">
        <f t="shared" si="10342"/>
        <v>0.0070</v>
      </c>
      <c r="R5470" s="1" t="s">
        <v>25</v>
      </c>
      <c r="T5470" s="1" t="str">
        <f t="shared" si="10343"/>
        <v>0</v>
      </c>
      <c r="U5470" s="1" t="str">
        <f t="shared" ref="U5470:U5472" si="10399">"0.0070"</f>
        <v>0.0070</v>
      </c>
    </row>
    <row r="5471" s="1" customFormat="1" spans="1:21">
      <c r="A5471" s="1" t="str">
        <f>"4601992188456"</f>
        <v>4601992188456</v>
      </c>
      <c r="B5471" s="1" t="s">
        <v>5494</v>
      </c>
      <c r="C5471" s="1" t="s">
        <v>24</v>
      </c>
      <c r="D5471" s="1" t="str">
        <f t="shared" si="10339"/>
        <v>2021</v>
      </c>
      <c r="E5471" s="1" t="str">
        <f t="shared" ref="E5471:I5471" si="10400">"0"</f>
        <v>0</v>
      </c>
      <c r="F5471" s="1" t="str">
        <f t="shared" si="10400"/>
        <v>0</v>
      </c>
      <c r="G5471" s="1" t="str">
        <f t="shared" si="10400"/>
        <v>0</v>
      </c>
      <c r="H5471" s="1" t="str">
        <f t="shared" si="10400"/>
        <v>0</v>
      </c>
      <c r="I5471" s="1" t="str">
        <f t="shared" si="10400"/>
        <v>0</v>
      </c>
      <c r="J5471" s="1" t="str">
        <f>"5"</f>
        <v>5</v>
      </c>
      <c r="K5471" s="1" t="str">
        <f t="shared" ref="K5471:P5471" si="10401">"0"</f>
        <v>0</v>
      </c>
      <c r="L5471" s="1" t="str">
        <f t="shared" si="10401"/>
        <v>0</v>
      </c>
      <c r="M5471" s="1" t="str">
        <f t="shared" si="10401"/>
        <v>0</v>
      </c>
      <c r="N5471" s="1" t="str">
        <f t="shared" si="10401"/>
        <v>0</v>
      </c>
      <c r="O5471" s="1" t="str">
        <f t="shared" si="10401"/>
        <v>0</v>
      </c>
      <c r="P5471" s="1" t="str">
        <f t="shared" si="10401"/>
        <v>0</v>
      </c>
      <c r="Q5471" s="1" t="str">
        <f t="shared" si="10342"/>
        <v>0.0070</v>
      </c>
      <c r="R5471" s="1" t="s">
        <v>25</v>
      </c>
      <c r="T5471" s="1" t="str">
        <f t="shared" si="10343"/>
        <v>0</v>
      </c>
      <c r="U5471" s="1" t="str">
        <f t="shared" si="10399"/>
        <v>0.0070</v>
      </c>
    </row>
    <row r="5472" s="1" customFormat="1" spans="1:21">
      <c r="A5472" s="1" t="str">
        <f>"4601992188478"</f>
        <v>4601992188478</v>
      </c>
      <c r="B5472" s="1" t="s">
        <v>5495</v>
      </c>
      <c r="C5472" s="1" t="s">
        <v>24</v>
      </c>
      <c r="D5472" s="1" t="str">
        <f t="shared" si="10339"/>
        <v>2021</v>
      </c>
      <c r="E5472" s="1" t="str">
        <f t="shared" ref="E5472:I5472" si="10402">"0"</f>
        <v>0</v>
      </c>
      <c r="F5472" s="1" t="str">
        <f t="shared" si="10402"/>
        <v>0</v>
      </c>
      <c r="G5472" s="1" t="str">
        <f t="shared" si="10402"/>
        <v>0</v>
      </c>
      <c r="H5472" s="1" t="str">
        <f t="shared" si="10402"/>
        <v>0</v>
      </c>
      <c r="I5472" s="1" t="str">
        <f t="shared" si="10402"/>
        <v>0</v>
      </c>
      <c r="J5472" s="1" t="str">
        <f>"3"</f>
        <v>3</v>
      </c>
      <c r="K5472" s="1" t="str">
        <f t="shared" ref="K5472:P5472" si="10403">"0"</f>
        <v>0</v>
      </c>
      <c r="L5472" s="1" t="str">
        <f t="shared" si="10403"/>
        <v>0</v>
      </c>
      <c r="M5472" s="1" t="str">
        <f t="shared" si="10403"/>
        <v>0</v>
      </c>
      <c r="N5472" s="1" t="str">
        <f t="shared" si="10403"/>
        <v>0</v>
      </c>
      <c r="O5472" s="1" t="str">
        <f t="shared" si="10403"/>
        <v>0</v>
      </c>
      <c r="P5472" s="1" t="str">
        <f t="shared" si="10403"/>
        <v>0</v>
      </c>
      <c r="Q5472" s="1" t="str">
        <f t="shared" si="10342"/>
        <v>0.0070</v>
      </c>
      <c r="R5472" s="1" t="s">
        <v>25</v>
      </c>
      <c r="T5472" s="1" t="str">
        <f t="shared" si="10343"/>
        <v>0</v>
      </c>
      <c r="U5472" s="1" t="str">
        <f t="shared" si="10399"/>
        <v>0.0070</v>
      </c>
    </row>
    <row r="5473" s="1" customFormat="1" spans="1:21">
      <c r="A5473" s="1" t="str">
        <f>"4601992188463"</f>
        <v>4601992188463</v>
      </c>
      <c r="B5473" s="1" t="s">
        <v>5496</v>
      </c>
      <c r="C5473" s="1" t="s">
        <v>24</v>
      </c>
      <c r="D5473" s="1" t="str">
        <f t="shared" si="10339"/>
        <v>2021</v>
      </c>
      <c r="E5473" s="1" t="str">
        <f>"89.06"</f>
        <v>89.06</v>
      </c>
      <c r="F5473" s="1" t="str">
        <f t="shared" ref="F5473:I5473" si="10404">"0"</f>
        <v>0</v>
      </c>
      <c r="G5473" s="1" t="str">
        <f t="shared" si="10404"/>
        <v>0</v>
      </c>
      <c r="H5473" s="1" t="str">
        <f t="shared" si="10404"/>
        <v>0</v>
      </c>
      <c r="I5473" s="1" t="str">
        <f t="shared" si="10404"/>
        <v>0</v>
      </c>
      <c r="J5473" s="1" t="str">
        <f>"6"</f>
        <v>6</v>
      </c>
      <c r="K5473" s="1" t="str">
        <f t="shared" ref="K5473:P5473" si="10405">"0"</f>
        <v>0</v>
      </c>
      <c r="L5473" s="1" t="str">
        <f t="shared" si="10405"/>
        <v>0</v>
      </c>
      <c r="M5473" s="1" t="str">
        <f t="shared" si="10405"/>
        <v>0</v>
      </c>
      <c r="N5473" s="1" t="str">
        <f t="shared" si="10405"/>
        <v>0</v>
      </c>
      <c r="O5473" s="1" t="str">
        <f t="shared" si="10405"/>
        <v>0</v>
      </c>
      <c r="P5473" s="1" t="str">
        <f t="shared" si="10405"/>
        <v>0</v>
      </c>
      <c r="Q5473" s="1" t="str">
        <f t="shared" si="10342"/>
        <v>0.0070</v>
      </c>
      <c r="R5473" s="1" t="s">
        <v>29</v>
      </c>
      <c r="S5473" s="1">
        <v>-0.0014</v>
      </c>
      <c r="T5473" s="1" t="str">
        <f t="shared" si="10343"/>
        <v>0</v>
      </c>
      <c r="U5473" s="1" t="str">
        <f>"0.0056"</f>
        <v>0.0056</v>
      </c>
    </row>
    <row r="5474" s="1" customFormat="1" spans="1:21">
      <c r="A5474" s="1" t="str">
        <f>"4601992010265"</f>
        <v>4601992010265</v>
      </c>
      <c r="B5474" s="1" t="s">
        <v>5497</v>
      </c>
      <c r="C5474" s="1" t="s">
        <v>24</v>
      </c>
      <c r="D5474" s="1" t="str">
        <f t="shared" si="10339"/>
        <v>2021</v>
      </c>
      <c r="E5474" s="1" t="str">
        <f>"12.09"</f>
        <v>12.09</v>
      </c>
      <c r="F5474" s="1" t="str">
        <f t="shared" ref="F5474:I5474" si="10406">"0"</f>
        <v>0</v>
      </c>
      <c r="G5474" s="1" t="str">
        <f t="shared" si="10406"/>
        <v>0</v>
      </c>
      <c r="H5474" s="1" t="str">
        <f t="shared" si="10406"/>
        <v>0</v>
      </c>
      <c r="I5474" s="1" t="str">
        <f t="shared" si="10406"/>
        <v>0</v>
      </c>
      <c r="J5474" s="1" t="str">
        <f t="shared" ref="J5474:J5477" si="10407">"1"</f>
        <v>1</v>
      </c>
      <c r="K5474" s="1" t="str">
        <f t="shared" ref="K5474:P5474" si="10408">"0"</f>
        <v>0</v>
      </c>
      <c r="L5474" s="1" t="str">
        <f t="shared" si="10408"/>
        <v>0</v>
      </c>
      <c r="M5474" s="1" t="str">
        <f t="shared" si="10408"/>
        <v>0</v>
      </c>
      <c r="N5474" s="1" t="str">
        <f t="shared" si="10408"/>
        <v>0</v>
      </c>
      <c r="O5474" s="1" t="str">
        <f t="shared" si="10408"/>
        <v>0</v>
      </c>
      <c r="P5474" s="1" t="str">
        <f t="shared" si="10408"/>
        <v>0</v>
      </c>
      <c r="Q5474" s="1" t="str">
        <f t="shared" si="10342"/>
        <v>0.0070</v>
      </c>
      <c r="R5474" s="1" t="s">
        <v>25</v>
      </c>
      <c r="T5474" s="1" t="str">
        <f t="shared" si="10343"/>
        <v>0</v>
      </c>
      <c r="U5474" s="1" t="str">
        <f t="shared" ref="U5474:U5480" si="10409">"0.0070"</f>
        <v>0.0070</v>
      </c>
    </row>
    <row r="5475" s="1" customFormat="1" spans="1:21">
      <c r="A5475" s="1" t="str">
        <f>"4601992188549"</f>
        <v>4601992188549</v>
      </c>
      <c r="B5475" s="1" t="s">
        <v>5498</v>
      </c>
      <c r="C5475" s="1" t="s">
        <v>24</v>
      </c>
      <c r="D5475" s="1" t="str">
        <f t="shared" si="10339"/>
        <v>2021</v>
      </c>
      <c r="E5475" s="1" t="str">
        <f t="shared" ref="E5475:P5475" si="10410">"0"</f>
        <v>0</v>
      </c>
      <c r="F5475" s="1" t="str">
        <f t="shared" si="10410"/>
        <v>0</v>
      </c>
      <c r="G5475" s="1" t="str">
        <f t="shared" si="10410"/>
        <v>0</v>
      </c>
      <c r="H5475" s="1" t="str">
        <f t="shared" si="10410"/>
        <v>0</v>
      </c>
      <c r="I5475" s="1" t="str">
        <f t="shared" si="10410"/>
        <v>0</v>
      </c>
      <c r="J5475" s="1" t="str">
        <f t="shared" si="10410"/>
        <v>0</v>
      </c>
      <c r="K5475" s="1" t="str">
        <f t="shared" si="10410"/>
        <v>0</v>
      </c>
      <c r="L5475" s="1" t="str">
        <f t="shared" si="10410"/>
        <v>0</v>
      </c>
      <c r="M5475" s="1" t="str">
        <f t="shared" si="10410"/>
        <v>0</v>
      </c>
      <c r="N5475" s="1" t="str">
        <f t="shared" si="10410"/>
        <v>0</v>
      </c>
      <c r="O5475" s="1" t="str">
        <f t="shared" si="10410"/>
        <v>0</v>
      </c>
      <c r="P5475" s="1" t="str">
        <f t="shared" si="10410"/>
        <v>0</v>
      </c>
      <c r="Q5475" s="1" t="str">
        <f t="shared" si="10342"/>
        <v>0.0070</v>
      </c>
      <c r="R5475" s="1" t="s">
        <v>25</v>
      </c>
      <c r="T5475" s="1" t="str">
        <f t="shared" si="10343"/>
        <v>0</v>
      </c>
      <c r="U5475" s="1" t="str">
        <f t="shared" si="10409"/>
        <v>0.0070</v>
      </c>
    </row>
    <row r="5476" s="1" customFormat="1" spans="1:21">
      <c r="A5476" s="1" t="str">
        <f>"4601992188507"</f>
        <v>4601992188507</v>
      </c>
      <c r="B5476" s="1" t="s">
        <v>5499</v>
      </c>
      <c r="C5476" s="1" t="s">
        <v>24</v>
      </c>
      <c r="D5476" s="1" t="str">
        <f t="shared" si="10339"/>
        <v>2021</v>
      </c>
      <c r="E5476" s="1" t="str">
        <f t="shared" ref="E5476:I5476" si="10411">"0"</f>
        <v>0</v>
      </c>
      <c r="F5476" s="1" t="str">
        <f t="shared" si="10411"/>
        <v>0</v>
      </c>
      <c r="G5476" s="1" t="str">
        <f t="shared" si="10411"/>
        <v>0</v>
      </c>
      <c r="H5476" s="1" t="str">
        <f t="shared" si="10411"/>
        <v>0</v>
      </c>
      <c r="I5476" s="1" t="str">
        <f t="shared" si="10411"/>
        <v>0</v>
      </c>
      <c r="J5476" s="1" t="str">
        <f t="shared" si="10407"/>
        <v>1</v>
      </c>
      <c r="K5476" s="1" t="str">
        <f t="shared" ref="K5476:P5476" si="10412">"0"</f>
        <v>0</v>
      </c>
      <c r="L5476" s="1" t="str">
        <f t="shared" si="10412"/>
        <v>0</v>
      </c>
      <c r="M5476" s="1" t="str">
        <f t="shared" si="10412"/>
        <v>0</v>
      </c>
      <c r="N5476" s="1" t="str">
        <f t="shared" si="10412"/>
        <v>0</v>
      </c>
      <c r="O5476" s="1" t="str">
        <f t="shared" si="10412"/>
        <v>0</v>
      </c>
      <c r="P5476" s="1" t="str">
        <f t="shared" si="10412"/>
        <v>0</v>
      </c>
      <c r="Q5476" s="1" t="str">
        <f t="shared" si="10342"/>
        <v>0.0070</v>
      </c>
      <c r="R5476" s="1" t="s">
        <v>25</v>
      </c>
      <c r="T5476" s="1" t="str">
        <f t="shared" si="10343"/>
        <v>0</v>
      </c>
      <c r="U5476" s="1" t="str">
        <f t="shared" si="10409"/>
        <v>0.0070</v>
      </c>
    </row>
    <row r="5477" s="1" customFormat="1" spans="1:21">
      <c r="A5477" s="1" t="str">
        <f>"4601992188527"</f>
        <v>4601992188527</v>
      </c>
      <c r="B5477" s="1" t="s">
        <v>5500</v>
      </c>
      <c r="C5477" s="1" t="s">
        <v>24</v>
      </c>
      <c r="D5477" s="1" t="str">
        <f t="shared" si="10339"/>
        <v>2021</v>
      </c>
      <c r="E5477" s="1" t="str">
        <f t="shared" ref="E5477:I5477" si="10413">"0"</f>
        <v>0</v>
      </c>
      <c r="F5477" s="1" t="str">
        <f t="shared" si="10413"/>
        <v>0</v>
      </c>
      <c r="G5477" s="1" t="str">
        <f t="shared" si="10413"/>
        <v>0</v>
      </c>
      <c r="H5477" s="1" t="str">
        <f t="shared" si="10413"/>
        <v>0</v>
      </c>
      <c r="I5477" s="1" t="str">
        <f t="shared" si="10413"/>
        <v>0</v>
      </c>
      <c r="J5477" s="1" t="str">
        <f t="shared" si="10407"/>
        <v>1</v>
      </c>
      <c r="K5477" s="1" t="str">
        <f t="shared" ref="K5477:P5477" si="10414">"0"</f>
        <v>0</v>
      </c>
      <c r="L5477" s="1" t="str">
        <f t="shared" si="10414"/>
        <v>0</v>
      </c>
      <c r="M5477" s="1" t="str">
        <f t="shared" si="10414"/>
        <v>0</v>
      </c>
      <c r="N5477" s="1" t="str">
        <f t="shared" si="10414"/>
        <v>0</v>
      </c>
      <c r="O5477" s="1" t="str">
        <f t="shared" si="10414"/>
        <v>0</v>
      </c>
      <c r="P5477" s="1" t="str">
        <f t="shared" si="10414"/>
        <v>0</v>
      </c>
      <c r="Q5477" s="1" t="str">
        <f t="shared" si="10342"/>
        <v>0.0070</v>
      </c>
      <c r="R5477" s="1" t="s">
        <v>25</v>
      </c>
      <c r="T5477" s="1" t="str">
        <f t="shared" si="10343"/>
        <v>0</v>
      </c>
      <c r="U5477" s="1" t="str">
        <f t="shared" si="10409"/>
        <v>0.0070</v>
      </c>
    </row>
    <row r="5478" s="1" customFormat="1" spans="1:21">
      <c r="A5478" s="1" t="str">
        <f>"4601992188547"</f>
        <v>4601992188547</v>
      </c>
      <c r="B5478" s="1" t="s">
        <v>5501</v>
      </c>
      <c r="C5478" s="1" t="s">
        <v>24</v>
      </c>
      <c r="D5478" s="1" t="str">
        <f t="shared" si="10339"/>
        <v>2021</v>
      </c>
      <c r="E5478" s="1" t="str">
        <f t="shared" ref="E5478:P5478" si="10415">"0"</f>
        <v>0</v>
      </c>
      <c r="F5478" s="1" t="str">
        <f t="shared" si="10415"/>
        <v>0</v>
      </c>
      <c r="G5478" s="1" t="str">
        <f t="shared" si="10415"/>
        <v>0</v>
      </c>
      <c r="H5478" s="1" t="str">
        <f t="shared" si="10415"/>
        <v>0</v>
      </c>
      <c r="I5478" s="1" t="str">
        <f t="shared" si="10415"/>
        <v>0</v>
      </c>
      <c r="J5478" s="1" t="str">
        <f t="shared" si="10415"/>
        <v>0</v>
      </c>
      <c r="K5478" s="1" t="str">
        <f t="shared" si="10415"/>
        <v>0</v>
      </c>
      <c r="L5478" s="1" t="str">
        <f t="shared" si="10415"/>
        <v>0</v>
      </c>
      <c r="M5478" s="1" t="str">
        <f t="shared" si="10415"/>
        <v>0</v>
      </c>
      <c r="N5478" s="1" t="str">
        <f t="shared" si="10415"/>
        <v>0</v>
      </c>
      <c r="O5478" s="1" t="str">
        <f t="shared" si="10415"/>
        <v>0</v>
      </c>
      <c r="P5478" s="1" t="str">
        <f t="shared" si="10415"/>
        <v>0</v>
      </c>
      <c r="Q5478" s="1" t="str">
        <f t="shared" si="10342"/>
        <v>0.0070</v>
      </c>
      <c r="R5478" s="1" t="s">
        <v>25</v>
      </c>
      <c r="T5478" s="1" t="str">
        <f t="shared" si="10343"/>
        <v>0</v>
      </c>
      <c r="U5478" s="1" t="str">
        <f t="shared" si="10409"/>
        <v>0.0070</v>
      </c>
    </row>
    <row r="5479" s="1" customFormat="1" spans="1:21">
      <c r="A5479" s="1" t="str">
        <f>"4601992188558"</f>
        <v>4601992188558</v>
      </c>
      <c r="B5479" s="1" t="s">
        <v>5502</v>
      </c>
      <c r="C5479" s="1" t="s">
        <v>24</v>
      </c>
      <c r="D5479" s="1" t="str">
        <f t="shared" si="10339"/>
        <v>2021</v>
      </c>
      <c r="E5479" s="1" t="str">
        <f t="shared" ref="E5479:I5479" si="10416">"0"</f>
        <v>0</v>
      </c>
      <c r="F5479" s="1" t="str">
        <f t="shared" si="10416"/>
        <v>0</v>
      </c>
      <c r="G5479" s="1" t="str">
        <f t="shared" si="10416"/>
        <v>0</v>
      </c>
      <c r="H5479" s="1" t="str">
        <f t="shared" si="10416"/>
        <v>0</v>
      </c>
      <c r="I5479" s="1" t="str">
        <f t="shared" si="10416"/>
        <v>0</v>
      </c>
      <c r="J5479" s="1" t="str">
        <f>"3"</f>
        <v>3</v>
      </c>
      <c r="K5479" s="1" t="str">
        <f t="shared" ref="K5479:P5479" si="10417">"0"</f>
        <v>0</v>
      </c>
      <c r="L5479" s="1" t="str">
        <f t="shared" si="10417"/>
        <v>0</v>
      </c>
      <c r="M5479" s="1" t="str">
        <f t="shared" si="10417"/>
        <v>0</v>
      </c>
      <c r="N5479" s="1" t="str">
        <f t="shared" si="10417"/>
        <v>0</v>
      </c>
      <c r="O5479" s="1" t="str">
        <f t="shared" si="10417"/>
        <v>0</v>
      </c>
      <c r="P5479" s="1" t="str">
        <f t="shared" si="10417"/>
        <v>0</v>
      </c>
      <c r="Q5479" s="1" t="str">
        <f t="shared" si="10342"/>
        <v>0.0070</v>
      </c>
      <c r="R5479" s="1" t="s">
        <v>25</v>
      </c>
      <c r="T5479" s="1" t="str">
        <f t="shared" si="10343"/>
        <v>0</v>
      </c>
      <c r="U5479" s="1" t="str">
        <f t="shared" si="10409"/>
        <v>0.0070</v>
      </c>
    </row>
    <row r="5480" s="1" customFormat="1" spans="1:21">
      <c r="A5480" s="1" t="str">
        <f>"4601992188590"</f>
        <v>4601992188590</v>
      </c>
      <c r="B5480" s="1" t="s">
        <v>5503</v>
      </c>
      <c r="C5480" s="1" t="s">
        <v>24</v>
      </c>
      <c r="D5480" s="1" t="str">
        <f t="shared" si="10339"/>
        <v>2021</v>
      </c>
      <c r="E5480" s="1" t="str">
        <f t="shared" ref="E5480:I5480" si="10418">"0"</f>
        <v>0</v>
      </c>
      <c r="F5480" s="1" t="str">
        <f t="shared" si="10418"/>
        <v>0</v>
      </c>
      <c r="G5480" s="1" t="str">
        <f t="shared" si="10418"/>
        <v>0</v>
      </c>
      <c r="H5480" s="1" t="str">
        <f t="shared" si="10418"/>
        <v>0</v>
      </c>
      <c r="I5480" s="1" t="str">
        <f t="shared" si="10418"/>
        <v>0</v>
      </c>
      <c r="J5480" s="1" t="str">
        <f>"1"</f>
        <v>1</v>
      </c>
      <c r="K5480" s="1" t="str">
        <f t="shared" ref="K5480:P5480" si="10419">"0"</f>
        <v>0</v>
      </c>
      <c r="L5480" s="1" t="str">
        <f t="shared" si="10419"/>
        <v>0</v>
      </c>
      <c r="M5480" s="1" t="str">
        <f t="shared" si="10419"/>
        <v>0</v>
      </c>
      <c r="N5480" s="1" t="str">
        <f t="shared" si="10419"/>
        <v>0</v>
      </c>
      <c r="O5480" s="1" t="str">
        <f t="shared" si="10419"/>
        <v>0</v>
      </c>
      <c r="P5480" s="1" t="str">
        <f t="shared" si="10419"/>
        <v>0</v>
      </c>
      <c r="Q5480" s="1" t="str">
        <f t="shared" si="10342"/>
        <v>0.0070</v>
      </c>
      <c r="R5480" s="1" t="s">
        <v>25</v>
      </c>
      <c r="T5480" s="1" t="str">
        <f t="shared" si="10343"/>
        <v>0</v>
      </c>
      <c r="U5480" s="1" t="str">
        <f t="shared" si="10409"/>
        <v>0.0070</v>
      </c>
    </row>
    <row r="5481" s="1" customFormat="1" spans="1:21">
      <c r="A5481" s="1" t="str">
        <f>"4601992069219"</f>
        <v>4601992069219</v>
      </c>
      <c r="B5481" s="1" t="s">
        <v>5504</v>
      </c>
      <c r="C5481" s="1" t="s">
        <v>24</v>
      </c>
      <c r="D5481" s="1" t="str">
        <f t="shared" si="10339"/>
        <v>2021</v>
      </c>
      <c r="E5481" s="1" t="str">
        <f>"11.98"</f>
        <v>11.98</v>
      </c>
      <c r="F5481" s="1" t="str">
        <f t="shared" ref="F5481:I5481" si="10420">"0"</f>
        <v>0</v>
      </c>
      <c r="G5481" s="1" t="str">
        <f t="shared" si="10420"/>
        <v>0</v>
      </c>
      <c r="H5481" s="1" t="str">
        <f t="shared" si="10420"/>
        <v>0</v>
      </c>
      <c r="I5481" s="1" t="str">
        <f t="shared" si="10420"/>
        <v>0</v>
      </c>
      <c r="J5481" s="1" t="str">
        <f>"1"</f>
        <v>1</v>
      </c>
      <c r="K5481" s="1" t="str">
        <f t="shared" ref="K5481:P5481" si="10421">"0"</f>
        <v>0</v>
      </c>
      <c r="L5481" s="1" t="str">
        <f t="shared" si="10421"/>
        <v>0</v>
      </c>
      <c r="M5481" s="1" t="str">
        <f t="shared" si="10421"/>
        <v>0</v>
      </c>
      <c r="N5481" s="1" t="str">
        <f t="shared" si="10421"/>
        <v>0</v>
      </c>
      <c r="O5481" s="1" t="str">
        <f t="shared" si="10421"/>
        <v>0</v>
      </c>
      <c r="P5481" s="1" t="str">
        <f t="shared" si="10421"/>
        <v>0</v>
      </c>
      <c r="Q5481" s="1" t="str">
        <f t="shared" si="10342"/>
        <v>0.0070</v>
      </c>
      <c r="R5481" s="1" t="s">
        <v>29</v>
      </c>
      <c r="S5481" s="1">
        <v>-0.0014</v>
      </c>
      <c r="T5481" s="1" t="str">
        <f t="shared" si="10343"/>
        <v>0</v>
      </c>
      <c r="U5481" s="1" t="str">
        <f>"0.0056"</f>
        <v>0.0056</v>
      </c>
    </row>
    <row r="5482" s="1" customFormat="1" spans="1:21">
      <c r="A5482" s="1" t="str">
        <f>"4601992188600"</f>
        <v>4601992188600</v>
      </c>
      <c r="B5482" s="1" t="s">
        <v>5505</v>
      </c>
      <c r="C5482" s="1" t="s">
        <v>24</v>
      </c>
      <c r="D5482" s="1" t="str">
        <f t="shared" si="10339"/>
        <v>2021</v>
      </c>
      <c r="E5482" s="1" t="str">
        <f t="shared" ref="E5482:I5482" si="10422">"0"</f>
        <v>0</v>
      </c>
      <c r="F5482" s="1" t="str">
        <f t="shared" si="10422"/>
        <v>0</v>
      </c>
      <c r="G5482" s="1" t="str">
        <f t="shared" si="10422"/>
        <v>0</v>
      </c>
      <c r="H5482" s="1" t="str">
        <f t="shared" si="10422"/>
        <v>0</v>
      </c>
      <c r="I5482" s="1" t="str">
        <f t="shared" si="10422"/>
        <v>0</v>
      </c>
      <c r="J5482" s="1" t="str">
        <f>"2"</f>
        <v>2</v>
      </c>
      <c r="K5482" s="1" t="str">
        <f t="shared" ref="K5482:P5482" si="10423">"0"</f>
        <v>0</v>
      </c>
      <c r="L5482" s="1" t="str">
        <f t="shared" si="10423"/>
        <v>0</v>
      </c>
      <c r="M5482" s="1" t="str">
        <f t="shared" si="10423"/>
        <v>0</v>
      </c>
      <c r="N5482" s="1" t="str">
        <f t="shared" si="10423"/>
        <v>0</v>
      </c>
      <c r="O5482" s="1" t="str">
        <f t="shared" si="10423"/>
        <v>0</v>
      </c>
      <c r="P5482" s="1" t="str">
        <f t="shared" si="10423"/>
        <v>0</v>
      </c>
      <c r="Q5482" s="1" t="str">
        <f t="shared" si="10342"/>
        <v>0.0070</v>
      </c>
      <c r="R5482" s="1" t="s">
        <v>25</v>
      </c>
      <c r="T5482" s="1" t="str">
        <f t="shared" si="10343"/>
        <v>0</v>
      </c>
      <c r="U5482" s="1" t="str">
        <f t="shared" ref="U5482:U5490" si="10424">"0.0070"</f>
        <v>0.0070</v>
      </c>
    </row>
    <row r="5483" s="1" customFormat="1" spans="1:21">
      <c r="A5483" s="1" t="str">
        <f>"4601992188720"</f>
        <v>4601992188720</v>
      </c>
      <c r="B5483" s="1" t="s">
        <v>5506</v>
      </c>
      <c r="C5483" s="1" t="s">
        <v>24</v>
      </c>
      <c r="D5483" s="1" t="str">
        <f t="shared" si="10339"/>
        <v>2021</v>
      </c>
      <c r="E5483" s="1" t="str">
        <f t="shared" ref="E5483:P5483" si="10425">"0"</f>
        <v>0</v>
      </c>
      <c r="F5483" s="1" t="str">
        <f t="shared" si="10425"/>
        <v>0</v>
      </c>
      <c r="G5483" s="1" t="str">
        <f t="shared" si="10425"/>
        <v>0</v>
      </c>
      <c r="H5483" s="1" t="str">
        <f t="shared" si="10425"/>
        <v>0</v>
      </c>
      <c r="I5483" s="1" t="str">
        <f t="shared" si="10425"/>
        <v>0</v>
      </c>
      <c r="J5483" s="1" t="str">
        <f t="shared" si="10425"/>
        <v>0</v>
      </c>
      <c r="K5483" s="1" t="str">
        <f t="shared" si="10425"/>
        <v>0</v>
      </c>
      <c r="L5483" s="1" t="str">
        <f t="shared" si="10425"/>
        <v>0</v>
      </c>
      <c r="M5483" s="1" t="str">
        <f t="shared" si="10425"/>
        <v>0</v>
      </c>
      <c r="N5483" s="1" t="str">
        <f t="shared" si="10425"/>
        <v>0</v>
      </c>
      <c r="O5483" s="1" t="str">
        <f t="shared" si="10425"/>
        <v>0</v>
      </c>
      <c r="P5483" s="1" t="str">
        <f t="shared" si="10425"/>
        <v>0</v>
      </c>
      <c r="Q5483" s="1" t="str">
        <f t="shared" si="10342"/>
        <v>0.0070</v>
      </c>
      <c r="R5483" s="1" t="s">
        <v>25</v>
      </c>
      <c r="T5483" s="1" t="str">
        <f t="shared" si="10343"/>
        <v>0</v>
      </c>
      <c r="U5483" s="1" t="str">
        <f t="shared" si="10424"/>
        <v>0.0070</v>
      </c>
    </row>
    <row r="5484" s="1" customFormat="1" spans="1:21">
      <c r="A5484" s="1" t="str">
        <f>"4601992188655"</f>
        <v>4601992188655</v>
      </c>
      <c r="B5484" s="1" t="s">
        <v>5507</v>
      </c>
      <c r="C5484" s="1" t="s">
        <v>24</v>
      </c>
      <c r="D5484" s="1" t="str">
        <f t="shared" si="10339"/>
        <v>2021</v>
      </c>
      <c r="E5484" s="1" t="str">
        <f t="shared" ref="E5484:I5484" si="10426">"0"</f>
        <v>0</v>
      </c>
      <c r="F5484" s="1" t="str">
        <f t="shared" si="10426"/>
        <v>0</v>
      </c>
      <c r="G5484" s="1" t="str">
        <f t="shared" si="10426"/>
        <v>0</v>
      </c>
      <c r="H5484" s="1" t="str">
        <f t="shared" si="10426"/>
        <v>0</v>
      </c>
      <c r="I5484" s="1" t="str">
        <f t="shared" si="10426"/>
        <v>0</v>
      </c>
      <c r="J5484" s="1" t="str">
        <f>"3"</f>
        <v>3</v>
      </c>
      <c r="K5484" s="1" t="str">
        <f t="shared" ref="K5484:P5484" si="10427">"0"</f>
        <v>0</v>
      </c>
      <c r="L5484" s="1" t="str">
        <f t="shared" si="10427"/>
        <v>0</v>
      </c>
      <c r="M5484" s="1" t="str">
        <f t="shared" si="10427"/>
        <v>0</v>
      </c>
      <c r="N5484" s="1" t="str">
        <f t="shared" si="10427"/>
        <v>0</v>
      </c>
      <c r="O5484" s="1" t="str">
        <f t="shared" si="10427"/>
        <v>0</v>
      </c>
      <c r="P5484" s="1" t="str">
        <f t="shared" si="10427"/>
        <v>0</v>
      </c>
      <c r="Q5484" s="1" t="str">
        <f t="shared" si="10342"/>
        <v>0.0070</v>
      </c>
      <c r="R5484" s="1" t="s">
        <v>25</v>
      </c>
      <c r="T5484" s="1" t="str">
        <f t="shared" si="10343"/>
        <v>0</v>
      </c>
      <c r="U5484" s="1" t="str">
        <f t="shared" si="10424"/>
        <v>0.0070</v>
      </c>
    </row>
    <row r="5485" s="1" customFormat="1" spans="1:21">
      <c r="A5485" s="1" t="str">
        <f>"4601992188630"</f>
        <v>4601992188630</v>
      </c>
      <c r="B5485" s="1" t="s">
        <v>5508</v>
      </c>
      <c r="C5485" s="1" t="s">
        <v>24</v>
      </c>
      <c r="D5485" s="1" t="str">
        <f t="shared" si="10339"/>
        <v>2021</v>
      </c>
      <c r="E5485" s="1" t="str">
        <f>"8.33"</f>
        <v>8.33</v>
      </c>
      <c r="F5485" s="1" t="str">
        <f t="shared" ref="F5485:I5485" si="10428">"0"</f>
        <v>0</v>
      </c>
      <c r="G5485" s="1" t="str">
        <f t="shared" si="10428"/>
        <v>0</v>
      </c>
      <c r="H5485" s="1" t="str">
        <f t="shared" si="10428"/>
        <v>0</v>
      </c>
      <c r="I5485" s="1" t="str">
        <f t="shared" si="10428"/>
        <v>0</v>
      </c>
      <c r="J5485" s="1" t="str">
        <f>"4"</f>
        <v>4</v>
      </c>
      <c r="K5485" s="1" t="str">
        <f t="shared" ref="K5485:P5485" si="10429">"0"</f>
        <v>0</v>
      </c>
      <c r="L5485" s="1" t="str">
        <f t="shared" si="10429"/>
        <v>0</v>
      </c>
      <c r="M5485" s="1" t="str">
        <f t="shared" si="10429"/>
        <v>0</v>
      </c>
      <c r="N5485" s="1" t="str">
        <f t="shared" si="10429"/>
        <v>0</v>
      </c>
      <c r="O5485" s="1" t="str">
        <f t="shared" si="10429"/>
        <v>0</v>
      </c>
      <c r="P5485" s="1" t="str">
        <f t="shared" si="10429"/>
        <v>0</v>
      </c>
      <c r="Q5485" s="1" t="str">
        <f t="shared" si="10342"/>
        <v>0.0070</v>
      </c>
      <c r="R5485" s="1" t="s">
        <v>25</v>
      </c>
      <c r="T5485" s="1" t="str">
        <f t="shared" si="10343"/>
        <v>0</v>
      </c>
      <c r="U5485" s="1" t="str">
        <f t="shared" si="10424"/>
        <v>0.0070</v>
      </c>
    </row>
    <row r="5486" s="1" customFormat="1" spans="1:21">
      <c r="A5486" s="1" t="str">
        <f>"4601992188701"</f>
        <v>4601992188701</v>
      </c>
      <c r="B5486" s="1" t="s">
        <v>5509</v>
      </c>
      <c r="C5486" s="1" t="s">
        <v>24</v>
      </c>
      <c r="D5486" s="1" t="str">
        <f t="shared" si="10339"/>
        <v>2021</v>
      </c>
      <c r="E5486" s="1" t="str">
        <f t="shared" ref="E5486:I5486" si="10430">"0"</f>
        <v>0</v>
      </c>
      <c r="F5486" s="1" t="str">
        <f t="shared" si="10430"/>
        <v>0</v>
      </c>
      <c r="G5486" s="1" t="str">
        <f t="shared" si="10430"/>
        <v>0</v>
      </c>
      <c r="H5486" s="1" t="str">
        <f t="shared" si="10430"/>
        <v>0</v>
      </c>
      <c r="I5486" s="1" t="str">
        <f t="shared" si="10430"/>
        <v>0</v>
      </c>
      <c r="J5486" s="1" t="str">
        <f>"1"</f>
        <v>1</v>
      </c>
      <c r="K5486" s="1" t="str">
        <f t="shared" ref="K5486:P5486" si="10431">"0"</f>
        <v>0</v>
      </c>
      <c r="L5486" s="1" t="str">
        <f t="shared" si="10431"/>
        <v>0</v>
      </c>
      <c r="M5486" s="1" t="str">
        <f t="shared" si="10431"/>
        <v>0</v>
      </c>
      <c r="N5486" s="1" t="str">
        <f t="shared" si="10431"/>
        <v>0</v>
      </c>
      <c r="O5486" s="1" t="str">
        <f t="shared" si="10431"/>
        <v>0</v>
      </c>
      <c r="P5486" s="1" t="str">
        <f t="shared" si="10431"/>
        <v>0</v>
      </c>
      <c r="Q5486" s="1" t="str">
        <f t="shared" si="10342"/>
        <v>0.0070</v>
      </c>
      <c r="R5486" s="1" t="s">
        <v>25</v>
      </c>
      <c r="T5486" s="1" t="str">
        <f t="shared" si="10343"/>
        <v>0</v>
      </c>
      <c r="U5486" s="1" t="str">
        <f t="shared" si="10424"/>
        <v>0.0070</v>
      </c>
    </row>
    <row r="5487" s="1" customFormat="1" spans="1:21">
      <c r="A5487" s="1" t="str">
        <f>"4601992188726"</f>
        <v>4601992188726</v>
      </c>
      <c r="B5487" s="1" t="s">
        <v>5510</v>
      </c>
      <c r="C5487" s="1" t="s">
        <v>24</v>
      </c>
      <c r="D5487" s="1" t="str">
        <f t="shared" si="10339"/>
        <v>2021</v>
      </c>
      <c r="E5487" s="1" t="str">
        <f t="shared" ref="E5487:I5487" si="10432">"0"</f>
        <v>0</v>
      </c>
      <c r="F5487" s="1" t="str">
        <f t="shared" si="10432"/>
        <v>0</v>
      </c>
      <c r="G5487" s="1" t="str">
        <f t="shared" si="10432"/>
        <v>0</v>
      </c>
      <c r="H5487" s="1" t="str">
        <f t="shared" si="10432"/>
        <v>0</v>
      </c>
      <c r="I5487" s="1" t="str">
        <f t="shared" si="10432"/>
        <v>0</v>
      </c>
      <c r="J5487" s="1" t="str">
        <f>"4"</f>
        <v>4</v>
      </c>
      <c r="K5487" s="1" t="str">
        <f t="shared" ref="K5487:P5487" si="10433">"0"</f>
        <v>0</v>
      </c>
      <c r="L5487" s="1" t="str">
        <f t="shared" si="10433"/>
        <v>0</v>
      </c>
      <c r="M5487" s="1" t="str">
        <f t="shared" si="10433"/>
        <v>0</v>
      </c>
      <c r="N5487" s="1" t="str">
        <f t="shared" si="10433"/>
        <v>0</v>
      </c>
      <c r="O5487" s="1" t="str">
        <f t="shared" si="10433"/>
        <v>0</v>
      </c>
      <c r="P5487" s="1" t="str">
        <f t="shared" si="10433"/>
        <v>0</v>
      </c>
      <c r="Q5487" s="1" t="str">
        <f t="shared" si="10342"/>
        <v>0.0070</v>
      </c>
      <c r="R5487" s="1" t="s">
        <v>25</v>
      </c>
      <c r="T5487" s="1" t="str">
        <f t="shared" si="10343"/>
        <v>0</v>
      </c>
      <c r="U5487" s="1" t="str">
        <f t="shared" si="10424"/>
        <v>0.0070</v>
      </c>
    </row>
    <row r="5488" s="1" customFormat="1" spans="1:21">
      <c r="A5488" s="1" t="str">
        <f>"4601992188734"</f>
        <v>4601992188734</v>
      </c>
      <c r="B5488" s="1" t="s">
        <v>5511</v>
      </c>
      <c r="C5488" s="1" t="s">
        <v>24</v>
      </c>
      <c r="D5488" s="1" t="str">
        <f t="shared" si="10339"/>
        <v>2021</v>
      </c>
      <c r="E5488" s="1" t="str">
        <f t="shared" ref="E5488:I5488" si="10434">"0"</f>
        <v>0</v>
      </c>
      <c r="F5488" s="1" t="str">
        <f t="shared" si="10434"/>
        <v>0</v>
      </c>
      <c r="G5488" s="1" t="str">
        <f t="shared" si="10434"/>
        <v>0</v>
      </c>
      <c r="H5488" s="1" t="str">
        <f t="shared" si="10434"/>
        <v>0</v>
      </c>
      <c r="I5488" s="1" t="str">
        <f t="shared" si="10434"/>
        <v>0</v>
      </c>
      <c r="J5488" s="1" t="str">
        <f>"2"</f>
        <v>2</v>
      </c>
      <c r="K5488" s="1" t="str">
        <f t="shared" ref="K5488:P5488" si="10435">"0"</f>
        <v>0</v>
      </c>
      <c r="L5488" s="1" t="str">
        <f t="shared" si="10435"/>
        <v>0</v>
      </c>
      <c r="M5488" s="1" t="str">
        <f t="shared" si="10435"/>
        <v>0</v>
      </c>
      <c r="N5488" s="1" t="str">
        <f t="shared" si="10435"/>
        <v>0</v>
      </c>
      <c r="O5488" s="1" t="str">
        <f t="shared" si="10435"/>
        <v>0</v>
      </c>
      <c r="P5488" s="1" t="str">
        <f t="shared" si="10435"/>
        <v>0</v>
      </c>
      <c r="Q5488" s="1" t="str">
        <f t="shared" si="10342"/>
        <v>0.0070</v>
      </c>
      <c r="R5488" s="1" t="s">
        <v>25</v>
      </c>
      <c r="T5488" s="1" t="str">
        <f t="shared" si="10343"/>
        <v>0</v>
      </c>
      <c r="U5488" s="1" t="str">
        <f t="shared" si="10424"/>
        <v>0.0070</v>
      </c>
    </row>
    <row r="5489" s="1" customFormat="1" spans="1:21">
      <c r="A5489" s="1" t="str">
        <f>"4601992188741"</f>
        <v>4601992188741</v>
      </c>
      <c r="B5489" s="1" t="s">
        <v>5512</v>
      </c>
      <c r="C5489" s="1" t="s">
        <v>24</v>
      </c>
      <c r="D5489" s="1" t="str">
        <f t="shared" si="10339"/>
        <v>2021</v>
      </c>
      <c r="E5489" s="1" t="str">
        <f t="shared" ref="E5489:I5489" si="10436">"0"</f>
        <v>0</v>
      </c>
      <c r="F5489" s="1" t="str">
        <f t="shared" si="10436"/>
        <v>0</v>
      </c>
      <c r="G5489" s="1" t="str">
        <f t="shared" si="10436"/>
        <v>0</v>
      </c>
      <c r="H5489" s="1" t="str">
        <f t="shared" si="10436"/>
        <v>0</v>
      </c>
      <c r="I5489" s="1" t="str">
        <f t="shared" si="10436"/>
        <v>0</v>
      </c>
      <c r="J5489" s="1" t="str">
        <f>"3"</f>
        <v>3</v>
      </c>
      <c r="K5489" s="1" t="str">
        <f t="shared" ref="K5489:P5489" si="10437">"0"</f>
        <v>0</v>
      </c>
      <c r="L5489" s="1" t="str">
        <f t="shared" si="10437"/>
        <v>0</v>
      </c>
      <c r="M5489" s="1" t="str">
        <f t="shared" si="10437"/>
        <v>0</v>
      </c>
      <c r="N5489" s="1" t="str">
        <f t="shared" si="10437"/>
        <v>0</v>
      </c>
      <c r="O5489" s="1" t="str">
        <f t="shared" si="10437"/>
        <v>0</v>
      </c>
      <c r="P5489" s="1" t="str">
        <f t="shared" si="10437"/>
        <v>0</v>
      </c>
      <c r="Q5489" s="1" t="str">
        <f t="shared" si="10342"/>
        <v>0.0070</v>
      </c>
      <c r="R5489" s="1" t="s">
        <v>25</v>
      </c>
      <c r="T5489" s="1" t="str">
        <f t="shared" si="10343"/>
        <v>0</v>
      </c>
      <c r="U5489" s="1" t="str">
        <f t="shared" si="10424"/>
        <v>0.0070</v>
      </c>
    </row>
    <row r="5490" s="1" customFormat="1" spans="1:21">
      <c r="A5490" s="1" t="str">
        <f>"4601992158812"</f>
        <v>4601992158812</v>
      </c>
      <c r="B5490" s="1" t="s">
        <v>5513</v>
      </c>
      <c r="C5490" s="1" t="s">
        <v>24</v>
      </c>
      <c r="D5490" s="1" t="str">
        <f t="shared" si="10339"/>
        <v>2021</v>
      </c>
      <c r="E5490" s="1" t="str">
        <f t="shared" ref="E5490:I5490" si="10438">"0"</f>
        <v>0</v>
      </c>
      <c r="F5490" s="1" t="str">
        <f t="shared" si="10438"/>
        <v>0</v>
      </c>
      <c r="G5490" s="1" t="str">
        <f t="shared" si="10438"/>
        <v>0</v>
      </c>
      <c r="H5490" s="1" t="str">
        <f t="shared" si="10438"/>
        <v>0</v>
      </c>
      <c r="I5490" s="1" t="str">
        <f t="shared" si="10438"/>
        <v>0</v>
      </c>
      <c r="J5490" s="1" t="str">
        <f>"3"</f>
        <v>3</v>
      </c>
      <c r="K5490" s="1" t="str">
        <f t="shared" ref="K5490:P5490" si="10439">"0"</f>
        <v>0</v>
      </c>
      <c r="L5490" s="1" t="str">
        <f t="shared" si="10439"/>
        <v>0</v>
      </c>
      <c r="M5490" s="1" t="str">
        <f t="shared" si="10439"/>
        <v>0</v>
      </c>
      <c r="N5490" s="1" t="str">
        <f t="shared" si="10439"/>
        <v>0</v>
      </c>
      <c r="O5490" s="1" t="str">
        <f t="shared" si="10439"/>
        <v>0</v>
      </c>
      <c r="P5490" s="1" t="str">
        <f t="shared" si="10439"/>
        <v>0</v>
      </c>
      <c r="Q5490" s="1" t="str">
        <f t="shared" si="10342"/>
        <v>0.0070</v>
      </c>
      <c r="R5490" s="1" t="s">
        <v>25</v>
      </c>
      <c r="T5490" s="1" t="str">
        <f t="shared" si="10343"/>
        <v>0</v>
      </c>
      <c r="U5490" s="1" t="str">
        <f t="shared" si="10424"/>
        <v>0.0070</v>
      </c>
    </row>
    <row r="5491" s="1" customFormat="1" spans="1:21">
      <c r="A5491" s="1" t="str">
        <f>"4601992132190"</f>
        <v>4601992132190</v>
      </c>
      <c r="B5491" s="1" t="s">
        <v>5514</v>
      </c>
      <c r="C5491" s="1" t="s">
        <v>24</v>
      </c>
      <c r="D5491" s="1" t="str">
        <f t="shared" si="10339"/>
        <v>2021</v>
      </c>
      <c r="E5491" s="1" t="str">
        <f>"7.00"</f>
        <v>7.00</v>
      </c>
      <c r="F5491" s="1" t="str">
        <f t="shared" ref="F5491:I5491" si="10440">"0"</f>
        <v>0</v>
      </c>
      <c r="G5491" s="1" t="str">
        <f t="shared" si="10440"/>
        <v>0</v>
      </c>
      <c r="H5491" s="1" t="str">
        <f t="shared" si="10440"/>
        <v>0</v>
      </c>
      <c r="I5491" s="1" t="str">
        <f t="shared" si="10440"/>
        <v>0</v>
      </c>
      <c r="J5491" s="1" t="str">
        <f>"2"</f>
        <v>2</v>
      </c>
      <c r="K5491" s="1" t="str">
        <f t="shared" ref="K5491:P5491" si="10441">"0"</f>
        <v>0</v>
      </c>
      <c r="L5491" s="1" t="str">
        <f t="shared" si="10441"/>
        <v>0</v>
      </c>
      <c r="M5491" s="1" t="str">
        <f t="shared" si="10441"/>
        <v>0</v>
      </c>
      <c r="N5491" s="1" t="str">
        <f t="shared" si="10441"/>
        <v>0</v>
      </c>
      <c r="O5491" s="1" t="str">
        <f t="shared" si="10441"/>
        <v>0</v>
      </c>
      <c r="P5491" s="1" t="str">
        <f t="shared" si="10441"/>
        <v>0</v>
      </c>
      <c r="Q5491" s="1" t="str">
        <f t="shared" si="10342"/>
        <v>0.0070</v>
      </c>
      <c r="R5491" s="1" t="s">
        <v>29</v>
      </c>
      <c r="S5491" s="1">
        <v>-0.0014</v>
      </c>
      <c r="T5491" s="1" t="str">
        <f t="shared" si="10343"/>
        <v>0</v>
      </c>
      <c r="U5491" s="1" t="str">
        <f t="shared" ref="U5491:U5494" si="10442">"0.0056"</f>
        <v>0.0056</v>
      </c>
    </row>
    <row r="5492" s="1" customFormat="1" spans="1:21">
      <c r="A5492" s="1" t="str">
        <f>"4601992015531"</f>
        <v>4601992015531</v>
      </c>
      <c r="B5492" s="1" t="s">
        <v>5515</v>
      </c>
      <c r="C5492" s="1" t="s">
        <v>24</v>
      </c>
      <c r="D5492" s="1" t="str">
        <f t="shared" si="10339"/>
        <v>2021</v>
      </c>
      <c r="E5492" s="1" t="str">
        <f t="shared" ref="E5492:I5492" si="10443">"0"</f>
        <v>0</v>
      </c>
      <c r="F5492" s="1" t="str">
        <f t="shared" si="10443"/>
        <v>0</v>
      </c>
      <c r="G5492" s="1" t="str">
        <f t="shared" si="10443"/>
        <v>0</v>
      </c>
      <c r="H5492" s="1" t="str">
        <f t="shared" si="10443"/>
        <v>0</v>
      </c>
      <c r="I5492" s="1" t="str">
        <f t="shared" si="10443"/>
        <v>0</v>
      </c>
      <c r="J5492" s="1" t="str">
        <f>"5"</f>
        <v>5</v>
      </c>
      <c r="K5492" s="1" t="str">
        <f t="shared" ref="K5492:P5492" si="10444">"0"</f>
        <v>0</v>
      </c>
      <c r="L5492" s="1" t="str">
        <f t="shared" si="10444"/>
        <v>0</v>
      </c>
      <c r="M5492" s="1" t="str">
        <f t="shared" si="10444"/>
        <v>0</v>
      </c>
      <c r="N5492" s="1" t="str">
        <f t="shared" si="10444"/>
        <v>0</v>
      </c>
      <c r="O5492" s="1" t="str">
        <f t="shared" si="10444"/>
        <v>0</v>
      </c>
      <c r="P5492" s="1" t="str">
        <f t="shared" si="10444"/>
        <v>0</v>
      </c>
      <c r="Q5492" s="1" t="str">
        <f t="shared" si="10342"/>
        <v>0.0070</v>
      </c>
      <c r="R5492" s="1" t="s">
        <v>25</v>
      </c>
      <c r="T5492" s="1" t="str">
        <f t="shared" si="10343"/>
        <v>0</v>
      </c>
      <c r="U5492" s="1" t="str">
        <f t="shared" ref="U5492:U5519" si="10445">"0.0070"</f>
        <v>0.0070</v>
      </c>
    </row>
    <row r="5493" s="1" customFormat="1" spans="1:21">
      <c r="A5493" s="1" t="str">
        <f>"4601992057231"</f>
        <v>4601992057231</v>
      </c>
      <c r="B5493" s="1" t="s">
        <v>5516</v>
      </c>
      <c r="C5493" s="1" t="s">
        <v>24</v>
      </c>
      <c r="D5493" s="1" t="str">
        <f t="shared" si="10339"/>
        <v>2021</v>
      </c>
      <c r="E5493" s="1" t="str">
        <f>"36.16"</f>
        <v>36.16</v>
      </c>
      <c r="F5493" s="1" t="str">
        <f t="shared" ref="F5493:I5493" si="10446">"0"</f>
        <v>0</v>
      </c>
      <c r="G5493" s="1" t="str">
        <f t="shared" si="10446"/>
        <v>0</v>
      </c>
      <c r="H5493" s="1" t="str">
        <f t="shared" si="10446"/>
        <v>0</v>
      </c>
      <c r="I5493" s="1" t="str">
        <f t="shared" si="10446"/>
        <v>0</v>
      </c>
      <c r="J5493" s="1" t="str">
        <f>"7"</f>
        <v>7</v>
      </c>
      <c r="K5493" s="1" t="str">
        <f t="shared" ref="K5493:P5493" si="10447">"0"</f>
        <v>0</v>
      </c>
      <c r="L5493" s="1" t="str">
        <f t="shared" si="10447"/>
        <v>0</v>
      </c>
      <c r="M5493" s="1" t="str">
        <f t="shared" si="10447"/>
        <v>0</v>
      </c>
      <c r="N5493" s="1" t="str">
        <f t="shared" si="10447"/>
        <v>0</v>
      </c>
      <c r="O5493" s="1" t="str">
        <f t="shared" si="10447"/>
        <v>0</v>
      </c>
      <c r="P5493" s="1" t="str">
        <f t="shared" si="10447"/>
        <v>0</v>
      </c>
      <c r="Q5493" s="1" t="str">
        <f t="shared" si="10342"/>
        <v>0.0070</v>
      </c>
      <c r="R5493" s="1" t="s">
        <v>29</v>
      </c>
      <c r="S5493" s="1">
        <v>-0.0014</v>
      </c>
      <c r="T5493" s="1" t="str">
        <f t="shared" si="10343"/>
        <v>0</v>
      </c>
      <c r="U5493" s="1" t="str">
        <f t="shared" si="10442"/>
        <v>0.0056</v>
      </c>
    </row>
    <row r="5494" s="1" customFormat="1" spans="1:21">
      <c r="A5494" s="1" t="str">
        <f>"4601992025196"</f>
        <v>4601992025196</v>
      </c>
      <c r="B5494" s="1" t="s">
        <v>5517</v>
      </c>
      <c r="C5494" s="1" t="s">
        <v>24</v>
      </c>
      <c r="D5494" s="1" t="str">
        <f t="shared" si="10339"/>
        <v>2021</v>
      </c>
      <c r="E5494" s="1" t="str">
        <f>"12.09"</f>
        <v>12.09</v>
      </c>
      <c r="F5494" s="1" t="str">
        <f t="shared" ref="F5494:I5494" si="10448">"0"</f>
        <v>0</v>
      </c>
      <c r="G5494" s="1" t="str">
        <f t="shared" si="10448"/>
        <v>0</v>
      </c>
      <c r="H5494" s="1" t="str">
        <f t="shared" si="10448"/>
        <v>0</v>
      </c>
      <c r="I5494" s="1" t="str">
        <f t="shared" si="10448"/>
        <v>0</v>
      </c>
      <c r="J5494" s="1" t="str">
        <f>"2"</f>
        <v>2</v>
      </c>
      <c r="K5494" s="1" t="str">
        <f t="shared" ref="K5494:P5494" si="10449">"0"</f>
        <v>0</v>
      </c>
      <c r="L5494" s="1" t="str">
        <f t="shared" si="10449"/>
        <v>0</v>
      </c>
      <c r="M5494" s="1" t="str">
        <f t="shared" si="10449"/>
        <v>0</v>
      </c>
      <c r="N5494" s="1" t="str">
        <f t="shared" si="10449"/>
        <v>0</v>
      </c>
      <c r="O5494" s="1" t="str">
        <f t="shared" si="10449"/>
        <v>0</v>
      </c>
      <c r="P5494" s="1" t="str">
        <f t="shared" si="10449"/>
        <v>0</v>
      </c>
      <c r="Q5494" s="1" t="str">
        <f t="shared" si="10342"/>
        <v>0.0070</v>
      </c>
      <c r="R5494" s="1" t="s">
        <v>29</v>
      </c>
      <c r="S5494" s="1">
        <v>-0.0014</v>
      </c>
      <c r="T5494" s="1" t="str">
        <f t="shared" si="10343"/>
        <v>0</v>
      </c>
      <c r="U5494" s="1" t="str">
        <f t="shared" si="10442"/>
        <v>0.0056</v>
      </c>
    </row>
    <row r="5495" s="1" customFormat="1" spans="1:21">
      <c r="A5495" s="1" t="str">
        <f>"4601992189376"</f>
        <v>4601992189376</v>
      </c>
      <c r="B5495" s="1" t="s">
        <v>5518</v>
      </c>
      <c r="C5495" s="1" t="s">
        <v>24</v>
      </c>
      <c r="D5495" s="1" t="str">
        <f t="shared" si="10339"/>
        <v>2021</v>
      </c>
      <c r="E5495" s="1" t="str">
        <f t="shared" ref="E5495:I5495" si="10450">"0"</f>
        <v>0</v>
      </c>
      <c r="F5495" s="1" t="str">
        <f t="shared" si="10450"/>
        <v>0</v>
      </c>
      <c r="G5495" s="1" t="str">
        <f t="shared" si="10450"/>
        <v>0</v>
      </c>
      <c r="H5495" s="1" t="str">
        <f t="shared" si="10450"/>
        <v>0</v>
      </c>
      <c r="I5495" s="1" t="str">
        <f t="shared" si="10450"/>
        <v>0</v>
      </c>
      <c r="J5495" s="1" t="str">
        <f>"10"</f>
        <v>10</v>
      </c>
      <c r="K5495" s="1" t="str">
        <f t="shared" ref="K5495:P5495" si="10451">"0"</f>
        <v>0</v>
      </c>
      <c r="L5495" s="1" t="str">
        <f t="shared" si="10451"/>
        <v>0</v>
      </c>
      <c r="M5495" s="1" t="str">
        <f t="shared" si="10451"/>
        <v>0</v>
      </c>
      <c r="N5495" s="1" t="str">
        <f t="shared" si="10451"/>
        <v>0</v>
      </c>
      <c r="O5495" s="1" t="str">
        <f t="shared" si="10451"/>
        <v>0</v>
      </c>
      <c r="P5495" s="1" t="str">
        <f t="shared" si="10451"/>
        <v>0</v>
      </c>
      <c r="Q5495" s="1" t="str">
        <f t="shared" si="10342"/>
        <v>0.0070</v>
      </c>
      <c r="R5495" s="1" t="s">
        <v>25</v>
      </c>
      <c r="T5495" s="1" t="str">
        <f t="shared" si="10343"/>
        <v>0</v>
      </c>
      <c r="U5495" s="1" t="str">
        <f t="shared" si="10445"/>
        <v>0.0070</v>
      </c>
    </row>
    <row r="5496" s="1" customFormat="1" spans="1:21">
      <c r="A5496" s="1" t="str">
        <f>"4601992189389"</f>
        <v>4601992189389</v>
      </c>
      <c r="B5496" s="1" t="s">
        <v>5519</v>
      </c>
      <c r="C5496" s="1" t="s">
        <v>24</v>
      </c>
      <c r="D5496" s="1" t="str">
        <f t="shared" si="10339"/>
        <v>2021</v>
      </c>
      <c r="E5496" s="1" t="str">
        <f t="shared" ref="E5496:I5496" si="10452">"0"</f>
        <v>0</v>
      </c>
      <c r="F5496" s="1" t="str">
        <f t="shared" si="10452"/>
        <v>0</v>
      </c>
      <c r="G5496" s="1" t="str">
        <f t="shared" si="10452"/>
        <v>0</v>
      </c>
      <c r="H5496" s="1" t="str">
        <f t="shared" si="10452"/>
        <v>0</v>
      </c>
      <c r="I5496" s="1" t="str">
        <f t="shared" si="10452"/>
        <v>0</v>
      </c>
      <c r="J5496" s="1" t="str">
        <f>"1"</f>
        <v>1</v>
      </c>
      <c r="K5496" s="1" t="str">
        <f t="shared" ref="K5496:P5496" si="10453">"0"</f>
        <v>0</v>
      </c>
      <c r="L5496" s="1" t="str">
        <f t="shared" si="10453"/>
        <v>0</v>
      </c>
      <c r="M5496" s="1" t="str">
        <f t="shared" si="10453"/>
        <v>0</v>
      </c>
      <c r="N5496" s="1" t="str">
        <f t="shared" si="10453"/>
        <v>0</v>
      </c>
      <c r="O5496" s="1" t="str">
        <f t="shared" si="10453"/>
        <v>0</v>
      </c>
      <c r="P5496" s="1" t="str">
        <f t="shared" si="10453"/>
        <v>0</v>
      </c>
      <c r="Q5496" s="1" t="str">
        <f t="shared" si="10342"/>
        <v>0.0070</v>
      </c>
      <c r="R5496" s="1" t="s">
        <v>25</v>
      </c>
      <c r="T5496" s="1" t="str">
        <f t="shared" si="10343"/>
        <v>0</v>
      </c>
      <c r="U5496" s="1" t="str">
        <f t="shared" si="10445"/>
        <v>0.0070</v>
      </c>
    </row>
    <row r="5497" s="1" customFormat="1" spans="1:21">
      <c r="A5497" s="1" t="str">
        <f>"4601992189447"</f>
        <v>4601992189447</v>
      </c>
      <c r="B5497" s="1" t="s">
        <v>5520</v>
      </c>
      <c r="C5497" s="1" t="s">
        <v>24</v>
      </c>
      <c r="D5497" s="1" t="str">
        <f t="shared" si="10339"/>
        <v>2021</v>
      </c>
      <c r="E5497" s="1" t="str">
        <f t="shared" ref="E5497:I5497" si="10454">"0"</f>
        <v>0</v>
      </c>
      <c r="F5497" s="1" t="str">
        <f t="shared" si="10454"/>
        <v>0</v>
      </c>
      <c r="G5497" s="1" t="str">
        <f t="shared" si="10454"/>
        <v>0</v>
      </c>
      <c r="H5497" s="1" t="str">
        <f t="shared" si="10454"/>
        <v>0</v>
      </c>
      <c r="I5497" s="1" t="str">
        <f t="shared" si="10454"/>
        <v>0</v>
      </c>
      <c r="J5497" s="1" t="str">
        <f t="shared" ref="J5497:J5501" si="10455">"3"</f>
        <v>3</v>
      </c>
      <c r="K5497" s="1" t="str">
        <f t="shared" ref="K5497:P5497" si="10456">"0"</f>
        <v>0</v>
      </c>
      <c r="L5497" s="1" t="str">
        <f t="shared" si="10456"/>
        <v>0</v>
      </c>
      <c r="M5497" s="1" t="str">
        <f t="shared" si="10456"/>
        <v>0</v>
      </c>
      <c r="N5497" s="1" t="str">
        <f t="shared" si="10456"/>
        <v>0</v>
      </c>
      <c r="O5497" s="1" t="str">
        <f t="shared" si="10456"/>
        <v>0</v>
      </c>
      <c r="P5497" s="1" t="str">
        <f t="shared" si="10456"/>
        <v>0</v>
      </c>
      <c r="Q5497" s="1" t="str">
        <f t="shared" si="10342"/>
        <v>0.0070</v>
      </c>
      <c r="R5497" s="1" t="s">
        <v>25</v>
      </c>
      <c r="T5497" s="1" t="str">
        <f t="shared" si="10343"/>
        <v>0</v>
      </c>
      <c r="U5497" s="1" t="str">
        <f t="shared" si="10445"/>
        <v>0.0070</v>
      </c>
    </row>
    <row r="5498" s="1" customFormat="1" spans="1:21">
      <c r="A5498" s="1" t="str">
        <f>"4601992189476"</f>
        <v>4601992189476</v>
      </c>
      <c r="B5498" s="1" t="s">
        <v>5521</v>
      </c>
      <c r="C5498" s="1" t="s">
        <v>24</v>
      </c>
      <c r="D5498" s="1" t="str">
        <f t="shared" si="10339"/>
        <v>2021</v>
      </c>
      <c r="E5498" s="1" t="str">
        <f t="shared" ref="E5498:I5498" si="10457">"0"</f>
        <v>0</v>
      </c>
      <c r="F5498" s="1" t="str">
        <f t="shared" si="10457"/>
        <v>0</v>
      </c>
      <c r="G5498" s="1" t="str">
        <f t="shared" si="10457"/>
        <v>0</v>
      </c>
      <c r="H5498" s="1" t="str">
        <f t="shared" si="10457"/>
        <v>0</v>
      </c>
      <c r="I5498" s="1" t="str">
        <f t="shared" si="10457"/>
        <v>0</v>
      </c>
      <c r="J5498" s="1" t="str">
        <f>"18"</f>
        <v>18</v>
      </c>
      <c r="K5498" s="1" t="str">
        <f t="shared" ref="K5498:P5498" si="10458">"0"</f>
        <v>0</v>
      </c>
      <c r="L5498" s="1" t="str">
        <f t="shared" si="10458"/>
        <v>0</v>
      </c>
      <c r="M5498" s="1" t="str">
        <f t="shared" si="10458"/>
        <v>0</v>
      </c>
      <c r="N5498" s="1" t="str">
        <f t="shared" si="10458"/>
        <v>0</v>
      </c>
      <c r="O5498" s="1" t="str">
        <f t="shared" si="10458"/>
        <v>0</v>
      </c>
      <c r="P5498" s="1" t="str">
        <f t="shared" si="10458"/>
        <v>0</v>
      </c>
      <c r="Q5498" s="1" t="str">
        <f t="shared" si="10342"/>
        <v>0.0070</v>
      </c>
      <c r="R5498" s="1" t="s">
        <v>25</v>
      </c>
      <c r="T5498" s="1" t="str">
        <f t="shared" si="10343"/>
        <v>0</v>
      </c>
      <c r="U5498" s="1" t="str">
        <f t="shared" si="10445"/>
        <v>0.0070</v>
      </c>
    </row>
    <row r="5499" s="1" customFormat="1" spans="1:21">
      <c r="A5499" s="1" t="str">
        <f>"4601992189478"</f>
        <v>4601992189478</v>
      </c>
      <c r="B5499" s="1" t="s">
        <v>5522</v>
      </c>
      <c r="C5499" s="1" t="s">
        <v>24</v>
      </c>
      <c r="D5499" s="1" t="str">
        <f t="shared" si="10339"/>
        <v>2021</v>
      </c>
      <c r="E5499" s="1" t="str">
        <f t="shared" ref="E5499:I5499" si="10459">"0"</f>
        <v>0</v>
      </c>
      <c r="F5499" s="1" t="str">
        <f t="shared" si="10459"/>
        <v>0</v>
      </c>
      <c r="G5499" s="1" t="str">
        <f t="shared" si="10459"/>
        <v>0</v>
      </c>
      <c r="H5499" s="1" t="str">
        <f t="shared" si="10459"/>
        <v>0</v>
      </c>
      <c r="I5499" s="1" t="str">
        <f t="shared" si="10459"/>
        <v>0</v>
      </c>
      <c r="J5499" s="1" t="str">
        <f>"5"</f>
        <v>5</v>
      </c>
      <c r="K5499" s="1" t="str">
        <f t="shared" ref="K5499:P5499" si="10460">"0"</f>
        <v>0</v>
      </c>
      <c r="L5499" s="1" t="str">
        <f t="shared" si="10460"/>
        <v>0</v>
      </c>
      <c r="M5499" s="1" t="str">
        <f t="shared" si="10460"/>
        <v>0</v>
      </c>
      <c r="N5499" s="1" t="str">
        <f t="shared" si="10460"/>
        <v>0</v>
      </c>
      <c r="O5499" s="1" t="str">
        <f t="shared" si="10460"/>
        <v>0</v>
      </c>
      <c r="P5499" s="1" t="str">
        <f t="shared" si="10460"/>
        <v>0</v>
      </c>
      <c r="Q5499" s="1" t="str">
        <f t="shared" si="10342"/>
        <v>0.0070</v>
      </c>
      <c r="R5499" s="1" t="s">
        <v>25</v>
      </c>
      <c r="T5499" s="1" t="str">
        <f t="shared" si="10343"/>
        <v>0</v>
      </c>
      <c r="U5499" s="1" t="str">
        <f t="shared" si="10445"/>
        <v>0.0070</v>
      </c>
    </row>
    <row r="5500" s="1" customFormat="1" spans="1:21">
      <c r="A5500" s="1" t="str">
        <f>"4601992189488"</f>
        <v>4601992189488</v>
      </c>
      <c r="B5500" s="1" t="s">
        <v>5523</v>
      </c>
      <c r="C5500" s="1" t="s">
        <v>24</v>
      </c>
      <c r="D5500" s="1" t="str">
        <f t="shared" si="10339"/>
        <v>2021</v>
      </c>
      <c r="E5500" s="1" t="str">
        <f t="shared" ref="E5500:I5500" si="10461">"0"</f>
        <v>0</v>
      </c>
      <c r="F5500" s="1" t="str">
        <f t="shared" si="10461"/>
        <v>0</v>
      </c>
      <c r="G5500" s="1" t="str">
        <f t="shared" si="10461"/>
        <v>0</v>
      </c>
      <c r="H5500" s="1" t="str">
        <f t="shared" si="10461"/>
        <v>0</v>
      </c>
      <c r="I5500" s="1" t="str">
        <f t="shared" si="10461"/>
        <v>0</v>
      </c>
      <c r="J5500" s="1" t="str">
        <f t="shared" si="10455"/>
        <v>3</v>
      </c>
      <c r="K5500" s="1" t="str">
        <f t="shared" ref="K5500:P5500" si="10462">"0"</f>
        <v>0</v>
      </c>
      <c r="L5500" s="1" t="str">
        <f t="shared" si="10462"/>
        <v>0</v>
      </c>
      <c r="M5500" s="1" t="str">
        <f t="shared" si="10462"/>
        <v>0</v>
      </c>
      <c r="N5500" s="1" t="str">
        <f t="shared" si="10462"/>
        <v>0</v>
      </c>
      <c r="O5500" s="1" t="str">
        <f t="shared" si="10462"/>
        <v>0</v>
      </c>
      <c r="P5500" s="1" t="str">
        <f t="shared" si="10462"/>
        <v>0</v>
      </c>
      <c r="Q5500" s="1" t="str">
        <f t="shared" si="10342"/>
        <v>0.0070</v>
      </c>
      <c r="R5500" s="1" t="s">
        <v>25</v>
      </c>
      <c r="T5500" s="1" t="str">
        <f t="shared" si="10343"/>
        <v>0</v>
      </c>
      <c r="U5500" s="1" t="str">
        <f t="shared" si="10445"/>
        <v>0.0070</v>
      </c>
    </row>
    <row r="5501" s="1" customFormat="1" spans="1:21">
      <c r="A5501" s="1" t="str">
        <f>"4601992189507"</f>
        <v>4601992189507</v>
      </c>
      <c r="B5501" s="1" t="s">
        <v>5524</v>
      </c>
      <c r="C5501" s="1" t="s">
        <v>24</v>
      </c>
      <c r="D5501" s="1" t="str">
        <f t="shared" si="10339"/>
        <v>2021</v>
      </c>
      <c r="E5501" s="1" t="str">
        <f t="shared" ref="E5501:I5501" si="10463">"0"</f>
        <v>0</v>
      </c>
      <c r="F5501" s="1" t="str">
        <f t="shared" si="10463"/>
        <v>0</v>
      </c>
      <c r="G5501" s="1" t="str">
        <f t="shared" si="10463"/>
        <v>0</v>
      </c>
      <c r="H5501" s="1" t="str">
        <f t="shared" si="10463"/>
        <v>0</v>
      </c>
      <c r="I5501" s="1" t="str">
        <f t="shared" si="10463"/>
        <v>0</v>
      </c>
      <c r="J5501" s="1" t="str">
        <f t="shared" si="10455"/>
        <v>3</v>
      </c>
      <c r="K5501" s="1" t="str">
        <f t="shared" ref="K5501:P5501" si="10464">"0"</f>
        <v>0</v>
      </c>
      <c r="L5501" s="1" t="str">
        <f t="shared" si="10464"/>
        <v>0</v>
      </c>
      <c r="M5501" s="1" t="str">
        <f t="shared" si="10464"/>
        <v>0</v>
      </c>
      <c r="N5501" s="1" t="str">
        <f t="shared" si="10464"/>
        <v>0</v>
      </c>
      <c r="O5501" s="1" t="str">
        <f t="shared" si="10464"/>
        <v>0</v>
      </c>
      <c r="P5501" s="1" t="str">
        <f t="shared" si="10464"/>
        <v>0</v>
      </c>
      <c r="Q5501" s="1" t="str">
        <f t="shared" si="10342"/>
        <v>0.0070</v>
      </c>
      <c r="R5501" s="1" t="s">
        <v>25</v>
      </c>
      <c r="T5501" s="1" t="str">
        <f t="shared" si="10343"/>
        <v>0</v>
      </c>
      <c r="U5501" s="1" t="str">
        <f t="shared" si="10445"/>
        <v>0.0070</v>
      </c>
    </row>
    <row r="5502" s="1" customFormat="1" spans="1:21">
      <c r="A5502" s="1" t="str">
        <f>"4601992189513"</f>
        <v>4601992189513</v>
      </c>
      <c r="B5502" s="1" t="s">
        <v>5525</v>
      </c>
      <c r="C5502" s="1" t="s">
        <v>24</v>
      </c>
      <c r="D5502" s="1" t="str">
        <f t="shared" si="10339"/>
        <v>2021</v>
      </c>
      <c r="E5502" s="1" t="str">
        <f t="shared" ref="E5502:I5502" si="10465">"0"</f>
        <v>0</v>
      </c>
      <c r="F5502" s="1" t="str">
        <f t="shared" si="10465"/>
        <v>0</v>
      </c>
      <c r="G5502" s="1" t="str">
        <f t="shared" si="10465"/>
        <v>0</v>
      </c>
      <c r="H5502" s="1" t="str">
        <f t="shared" si="10465"/>
        <v>0</v>
      </c>
      <c r="I5502" s="1" t="str">
        <f t="shared" si="10465"/>
        <v>0</v>
      </c>
      <c r="J5502" s="1" t="str">
        <f>"5"</f>
        <v>5</v>
      </c>
      <c r="K5502" s="1" t="str">
        <f t="shared" ref="K5502:P5502" si="10466">"0"</f>
        <v>0</v>
      </c>
      <c r="L5502" s="1" t="str">
        <f t="shared" si="10466"/>
        <v>0</v>
      </c>
      <c r="M5502" s="1" t="str">
        <f t="shared" si="10466"/>
        <v>0</v>
      </c>
      <c r="N5502" s="1" t="str">
        <f t="shared" si="10466"/>
        <v>0</v>
      </c>
      <c r="O5502" s="1" t="str">
        <f t="shared" si="10466"/>
        <v>0</v>
      </c>
      <c r="P5502" s="1" t="str">
        <f t="shared" si="10466"/>
        <v>0</v>
      </c>
      <c r="Q5502" s="1" t="str">
        <f t="shared" si="10342"/>
        <v>0.0070</v>
      </c>
      <c r="R5502" s="1" t="s">
        <v>25</v>
      </c>
      <c r="T5502" s="1" t="str">
        <f t="shared" si="10343"/>
        <v>0</v>
      </c>
      <c r="U5502" s="1" t="str">
        <f t="shared" si="10445"/>
        <v>0.0070</v>
      </c>
    </row>
    <row r="5503" s="1" customFormat="1" spans="1:21">
      <c r="A5503" s="1" t="str">
        <f>"4601992189517"</f>
        <v>4601992189517</v>
      </c>
      <c r="B5503" s="1" t="s">
        <v>5526</v>
      </c>
      <c r="C5503" s="1" t="s">
        <v>24</v>
      </c>
      <c r="D5503" s="1" t="str">
        <f t="shared" si="10339"/>
        <v>2021</v>
      </c>
      <c r="E5503" s="1" t="str">
        <f t="shared" ref="E5503:I5503" si="10467">"0"</f>
        <v>0</v>
      </c>
      <c r="F5503" s="1" t="str">
        <f t="shared" si="10467"/>
        <v>0</v>
      </c>
      <c r="G5503" s="1" t="str">
        <f t="shared" si="10467"/>
        <v>0</v>
      </c>
      <c r="H5503" s="1" t="str">
        <f t="shared" si="10467"/>
        <v>0</v>
      </c>
      <c r="I5503" s="1" t="str">
        <f t="shared" si="10467"/>
        <v>0</v>
      </c>
      <c r="J5503" s="1" t="str">
        <f t="shared" ref="J5503:J5508" si="10468">"3"</f>
        <v>3</v>
      </c>
      <c r="K5503" s="1" t="str">
        <f t="shared" ref="K5503:P5503" si="10469">"0"</f>
        <v>0</v>
      </c>
      <c r="L5503" s="1" t="str">
        <f t="shared" si="10469"/>
        <v>0</v>
      </c>
      <c r="M5503" s="1" t="str">
        <f t="shared" si="10469"/>
        <v>0</v>
      </c>
      <c r="N5503" s="1" t="str">
        <f t="shared" si="10469"/>
        <v>0</v>
      </c>
      <c r="O5503" s="1" t="str">
        <f t="shared" si="10469"/>
        <v>0</v>
      </c>
      <c r="P5503" s="1" t="str">
        <f t="shared" si="10469"/>
        <v>0</v>
      </c>
      <c r="Q5503" s="1" t="str">
        <f t="shared" si="10342"/>
        <v>0.0070</v>
      </c>
      <c r="R5503" s="1" t="s">
        <v>25</v>
      </c>
      <c r="T5503" s="1" t="str">
        <f t="shared" si="10343"/>
        <v>0</v>
      </c>
      <c r="U5503" s="1" t="str">
        <f t="shared" si="10445"/>
        <v>0.0070</v>
      </c>
    </row>
    <row r="5504" s="1" customFormat="1" spans="1:21">
      <c r="A5504" s="1" t="str">
        <f>"4601992189533"</f>
        <v>4601992189533</v>
      </c>
      <c r="B5504" s="1" t="s">
        <v>5527</v>
      </c>
      <c r="C5504" s="1" t="s">
        <v>24</v>
      </c>
      <c r="D5504" s="1" t="str">
        <f t="shared" si="10339"/>
        <v>2021</v>
      </c>
      <c r="E5504" s="1" t="str">
        <f t="shared" ref="E5504:I5504" si="10470">"0"</f>
        <v>0</v>
      </c>
      <c r="F5504" s="1" t="str">
        <f t="shared" si="10470"/>
        <v>0</v>
      </c>
      <c r="G5504" s="1" t="str">
        <f t="shared" si="10470"/>
        <v>0</v>
      </c>
      <c r="H5504" s="1" t="str">
        <f t="shared" si="10470"/>
        <v>0</v>
      </c>
      <c r="I5504" s="1" t="str">
        <f t="shared" si="10470"/>
        <v>0</v>
      </c>
      <c r="J5504" s="1" t="str">
        <f t="shared" si="10468"/>
        <v>3</v>
      </c>
      <c r="K5504" s="1" t="str">
        <f t="shared" ref="K5504:P5504" si="10471">"0"</f>
        <v>0</v>
      </c>
      <c r="L5504" s="1" t="str">
        <f t="shared" si="10471"/>
        <v>0</v>
      </c>
      <c r="M5504" s="1" t="str">
        <f t="shared" si="10471"/>
        <v>0</v>
      </c>
      <c r="N5504" s="1" t="str">
        <f t="shared" si="10471"/>
        <v>0</v>
      </c>
      <c r="O5504" s="1" t="str">
        <f t="shared" si="10471"/>
        <v>0</v>
      </c>
      <c r="P5504" s="1" t="str">
        <f t="shared" si="10471"/>
        <v>0</v>
      </c>
      <c r="Q5504" s="1" t="str">
        <f t="shared" si="10342"/>
        <v>0.0070</v>
      </c>
      <c r="R5504" s="1" t="s">
        <v>25</v>
      </c>
      <c r="T5504" s="1" t="str">
        <f t="shared" si="10343"/>
        <v>0</v>
      </c>
      <c r="U5504" s="1" t="str">
        <f t="shared" si="10445"/>
        <v>0.0070</v>
      </c>
    </row>
    <row r="5505" s="1" customFormat="1" spans="1:21">
      <c r="A5505" s="1" t="str">
        <f>"4601992189534"</f>
        <v>4601992189534</v>
      </c>
      <c r="B5505" s="1" t="s">
        <v>5528</v>
      </c>
      <c r="C5505" s="1" t="s">
        <v>24</v>
      </c>
      <c r="D5505" s="1" t="str">
        <f t="shared" si="10339"/>
        <v>2021</v>
      </c>
      <c r="E5505" s="1" t="str">
        <f t="shared" ref="E5505:I5505" si="10472">"0"</f>
        <v>0</v>
      </c>
      <c r="F5505" s="1" t="str">
        <f t="shared" si="10472"/>
        <v>0</v>
      </c>
      <c r="G5505" s="1" t="str">
        <f t="shared" si="10472"/>
        <v>0</v>
      </c>
      <c r="H5505" s="1" t="str">
        <f t="shared" si="10472"/>
        <v>0</v>
      </c>
      <c r="I5505" s="1" t="str">
        <f t="shared" si="10472"/>
        <v>0</v>
      </c>
      <c r="J5505" s="1" t="str">
        <f>"2"</f>
        <v>2</v>
      </c>
      <c r="K5505" s="1" t="str">
        <f t="shared" ref="K5505:P5505" si="10473">"0"</f>
        <v>0</v>
      </c>
      <c r="L5505" s="1" t="str">
        <f t="shared" si="10473"/>
        <v>0</v>
      </c>
      <c r="M5505" s="1" t="str">
        <f t="shared" si="10473"/>
        <v>0</v>
      </c>
      <c r="N5505" s="1" t="str">
        <f t="shared" si="10473"/>
        <v>0</v>
      </c>
      <c r="O5505" s="1" t="str">
        <f t="shared" si="10473"/>
        <v>0</v>
      </c>
      <c r="P5505" s="1" t="str">
        <f t="shared" si="10473"/>
        <v>0</v>
      </c>
      <c r="Q5505" s="1" t="str">
        <f t="shared" si="10342"/>
        <v>0.0070</v>
      </c>
      <c r="R5505" s="1" t="s">
        <v>25</v>
      </c>
      <c r="T5505" s="1" t="str">
        <f t="shared" si="10343"/>
        <v>0</v>
      </c>
      <c r="U5505" s="1" t="str">
        <f t="shared" si="10445"/>
        <v>0.0070</v>
      </c>
    </row>
    <row r="5506" s="1" customFormat="1" spans="1:21">
      <c r="A5506" s="1" t="str">
        <f>"4601992189575"</f>
        <v>4601992189575</v>
      </c>
      <c r="B5506" s="1" t="s">
        <v>5529</v>
      </c>
      <c r="C5506" s="1" t="s">
        <v>24</v>
      </c>
      <c r="D5506" s="1" t="str">
        <f t="shared" si="10339"/>
        <v>2021</v>
      </c>
      <c r="E5506" s="1" t="str">
        <f t="shared" ref="E5506:I5506" si="10474">"0"</f>
        <v>0</v>
      </c>
      <c r="F5506" s="1" t="str">
        <f t="shared" si="10474"/>
        <v>0</v>
      </c>
      <c r="G5506" s="1" t="str">
        <f t="shared" si="10474"/>
        <v>0</v>
      </c>
      <c r="H5506" s="1" t="str">
        <f t="shared" si="10474"/>
        <v>0</v>
      </c>
      <c r="I5506" s="1" t="str">
        <f t="shared" si="10474"/>
        <v>0</v>
      </c>
      <c r="J5506" s="1" t="str">
        <f>"7"</f>
        <v>7</v>
      </c>
      <c r="K5506" s="1" t="str">
        <f t="shared" ref="K5506:P5506" si="10475">"0"</f>
        <v>0</v>
      </c>
      <c r="L5506" s="1" t="str">
        <f t="shared" si="10475"/>
        <v>0</v>
      </c>
      <c r="M5506" s="1" t="str">
        <f t="shared" si="10475"/>
        <v>0</v>
      </c>
      <c r="N5506" s="1" t="str">
        <f t="shared" si="10475"/>
        <v>0</v>
      </c>
      <c r="O5506" s="1" t="str">
        <f t="shared" si="10475"/>
        <v>0</v>
      </c>
      <c r="P5506" s="1" t="str">
        <f t="shared" si="10475"/>
        <v>0</v>
      </c>
      <c r="Q5506" s="1" t="str">
        <f t="shared" si="10342"/>
        <v>0.0070</v>
      </c>
      <c r="R5506" s="1" t="s">
        <v>25</v>
      </c>
      <c r="T5506" s="1" t="str">
        <f t="shared" si="10343"/>
        <v>0</v>
      </c>
      <c r="U5506" s="1" t="str">
        <f t="shared" si="10445"/>
        <v>0.0070</v>
      </c>
    </row>
    <row r="5507" s="1" customFormat="1" spans="1:21">
      <c r="A5507" s="1" t="str">
        <f>"4601992189653"</f>
        <v>4601992189653</v>
      </c>
      <c r="B5507" s="1" t="s">
        <v>5530</v>
      </c>
      <c r="C5507" s="1" t="s">
        <v>24</v>
      </c>
      <c r="D5507" s="1" t="str">
        <f t="shared" ref="D5507:D5570" si="10476">"2021"</f>
        <v>2021</v>
      </c>
      <c r="E5507" s="1" t="str">
        <f t="shared" ref="E5507:I5507" si="10477">"0"</f>
        <v>0</v>
      </c>
      <c r="F5507" s="1" t="str">
        <f t="shared" si="10477"/>
        <v>0</v>
      </c>
      <c r="G5507" s="1" t="str">
        <f t="shared" si="10477"/>
        <v>0</v>
      </c>
      <c r="H5507" s="1" t="str">
        <f t="shared" si="10477"/>
        <v>0</v>
      </c>
      <c r="I5507" s="1" t="str">
        <f t="shared" si="10477"/>
        <v>0</v>
      </c>
      <c r="J5507" s="1" t="str">
        <f>"1"</f>
        <v>1</v>
      </c>
      <c r="K5507" s="1" t="str">
        <f t="shared" ref="K5507:P5507" si="10478">"0"</f>
        <v>0</v>
      </c>
      <c r="L5507" s="1" t="str">
        <f t="shared" si="10478"/>
        <v>0</v>
      </c>
      <c r="M5507" s="1" t="str">
        <f t="shared" si="10478"/>
        <v>0</v>
      </c>
      <c r="N5507" s="1" t="str">
        <f t="shared" si="10478"/>
        <v>0</v>
      </c>
      <c r="O5507" s="1" t="str">
        <f t="shared" si="10478"/>
        <v>0</v>
      </c>
      <c r="P5507" s="1" t="str">
        <f t="shared" si="10478"/>
        <v>0</v>
      </c>
      <c r="Q5507" s="1" t="str">
        <f t="shared" ref="Q5507:Q5570" si="10479">"0.0070"</f>
        <v>0.0070</v>
      </c>
      <c r="R5507" s="1" t="s">
        <v>25</v>
      </c>
      <c r="T5507" s="1" t="str">
        <f t="shared" ref="T5507:T5570" si="10480">"0"</f>
        <v>0</v>
      </c>
      <c r="U5507" s="1" t="str">
        <f t="shared" si="10445"/>
        <v>0.0070</v>
      </c>
    </row>
    <row r="5508" s="1" customFormat="1" spans="1:21">
      <c r="A5508" s="1" t="str">
        <f>"4601992189619"</f>
        <v>4601992189619</v>
      </c>
      <c r="B5508" s="1" t="s">
        <v>5531</v>
      </c>
      <c r="C5508" s="1" t="s">
        <v>24</v>
      </c>
      <c r="D5508" s="1" t="str">
        <f t="shared" si="10476"/>
        <v>2021</v>
      </c>
      <c r="E5508" s="1" t="str">
        <f t="shared" ref="E5508:I5508" si="10481">"0"</f>
        <v>0</v>
      </c>
      <c r="F5508" s="1" t="str">
        <f t="shared" si="10481"/>
        <v>0</v>
      </c>
      <c r="G5508" s="1" t="str">
        <f t="shared" si="10481"/>
        <v>0</v>
      </c>
      <c r="H5508" s="1" t="str">
        <f t="shared" si="10481"/>
        <v>0</v>
      </c>
      <c r="I5508" s="1" t="str">
        <f t="shared" si="10481"/>
        <v>0</v>
      </c>
      <c r="J5508" s="1" t="str">
        <f t="shared" si="10468"/>
        <v>3</v>
      </c>
      <c r="K5508" s="1" t="str">
        <f t="shared" ref="K5508:P5508" si="10482">"0"</f>
        <v>0</v>
      </c>
      <c r="L5508" s="1" t="str">
        <f t="shared" si="10482"/>
        <v>0</v>
      </c>
      <c r="M5508" s="1" t="str">
        <f t="shared" si="10482"/>
        <v>0</v>
      </c>
      <c r="N5508" s="1" t="str">
        <f t="shared" si="10482"/>
        <v>0</v>
      </c>
      <c r="O5508" s="1" t="str">
        <f t="shared" si="10482"/>
        <v>0</v>
      </c>
      <c r="P5508" s="1" t="str">
        <f t="shared" si="10482"/>
        <v>0</v>
      </c>
      <c r="Q5508" s="1" t="str">
        <f t="shared" si="10479"/>
        <v>0.0070</v>
      </c>
      <c r="R5508" s="1" t="s">
        <v>25</v>
      </c>
      <c r="T5508" s="1" t="str">
        <f t="shared" si="10480"/>
        <v>0</v>
      </c>
      <c r="U5508" s="1" t="str">
        <f t="shared" si="10445"/>
        <v>0.0070</v>
      </c>
    </row>
    <row r="5509" s="1" customFormat="1" spans="1:21">
      <c r="A5509" s="1" t="str">
        <f>"4601992189689"</f>
        <v>4601992189689</v>
      </c>
      <c r="B5509" s="1" t="s">
        <v>5532</v>
      </c>
      <c r="C5509" s="1" t="s">
        <v>24</v>
      </c>
      <c r="D5509" s="1" t="str">
        <f t="shared" si="10476"/>
        <v>2021</v>
      </c>
      <c r="E5509" s="1" t="str">
        <f t="shared" ref="E5509:P5509" si="10483">"0"</f>
        <v>0</v>
      </c>
      <c r="F5509" s="1" t="str">
        <f t="shared" si="10483"/>
        <v>0</v>
      </c>
      <c r="G5509" s="1" t="str">
        <f t="shared" si="10483"/>
        <v>0</v>
      </c>
      <c r="H5509" s="1" t="str">
        <f t="shared" si="10483"/>
        <v>0</v>
      </c>
      <c r="I5509" s="1" t="str">
        <f t="shared" si="10483"/>
        <v>0</v>
      </c>
      <c r="J5509" s="1" t="str">
        <f t="shared" si="10483"/>
        <v>0</v>
      </c>
      <c r="K5509" s="1" t="str">
        <f t="shared" si="10483"/>
        <v>0</v>
      </c>
      <c r="L5509" s="1" t="str">
        <f t="shared" si="10483"/>
        <v>0</v>
      </c>
      <c r="M5509" s="1" t="str">
        <f t="shared" si="10483"/>
        <v>0</v>
      </c>
      <c r="N5509" s="1" t="str">
        <f t="shared" si="10483"/>
        <v>0</v>
      </c>
      <c r="O5509" s="1" t="str">
        <f t="shared" si="10483"/>
        <v>0</v>
      </c>
      <c r="P5509" s="1" t="str">
        <f t="shared" si="10483"/>
        <v>0</v>
      </c>
      <c r="Q5509" s="1" t="str">
        <f t="shared" si="10479"/>
        <v>0.0070</v>
      </c>
      <c r="R5509" s="1" t="s">
        <v>25</v>
      </c>
      <c r="T5509" s="1" t="str">
        <f t="shared" si="10480"/>
        <v>0</v>
      </c>
      <c r="U5509" s="1" t="str">
        <f t="shared" si="10445"/>
        <v>0.0070</v>
      </c>
    </row>
    <row r="5510" s="1" customFormat="1" spans="1:21">
      <c r="A5510" s="1" t="str">
        <f>"4601992189656"</f>
        <v>4601992189656</v>
      </c>
      <c r="B5510" s="1" t="s">
        <v>5533</v>
      </c>
      <c r="C5510" s="1" t="s">
        <v>24</v>
      </c>
      <c r="D5510" s="1" t="str">
        <f t="shared" si="10476"/>
        <v>2021</v>
      </c>
      <c r="E5510" s="1" t="str">
        <f>"0.16"</f>
        <v>0.16</v>
      </c>
      <c r="F5510" s="1" t="str">
        <f t="shared" ref="F5510:I5510" si="10484">"0"</f>
        <v>0</v>
      </c>
      <c r="G5510" s="1" t="str">
        <f t="shared" si="10484"/>
        <v>0</v>
      </c>
      <c r="H5510" s="1" t="str">
        <f t="shared" si="10484"/>
        <v>0</v>
      </c>
      <c r="I5510" s="1" t="str">
        <f t="shared" si="10484"/>
        <v>0</v>
      </c>
      <c r="J5510" s="1" t="str">
        <f t="shared" ref="J5510:J5516" si="10485">"1"</f>
        <v>1</v>
      </c>
      <c r="K5510" s="1" t="str">
        <f t="shared" ref="K5510:P5510" si="10486">"0"</f>
        <v>0</v>
      </c>
      <c r="L5510" s="1" t="str">
        <f t="shared" si="10486"/>
        <v>0</v>
      </c>
      <c r="M5510" s="1" t="str">
        <f t="shared" si="10486"/>
        <v>0</v>
      </c>
      <c r="N5510" s="1" t="str">
        <f t="shared" si="10486"/>
        <v>0</v>
      </c>
      <c r="O5510" s="1" t="str">
        <f t="shared" si="10486"/>
        <v>0</v>
      </c>
      <c r="P5510" s="1" t="str">
        <f t="shared" si="10486"/>
        <v>0</v>
      </c>
      <c r="Q5510" s="1" t="str">
        <f t="shared" si="10479"/>
        <v>0.0070</v>
      </c>
      <c r="R5510" s="1" t="s">
        <v>25</v>
      </c>
      <c r="T5510" s="1" t="str">
        <f t="shared" si="10480"/>
        <v>0</v>
      </c>
      <c r="U5510" s="1" t="str">
        <f t="shared" si="10445"/>
        <v>0.0070</v>
      </c>
    </row>
    <row r="5511" s="1" customFormat="1" spans="1:21">
      <c r="A5511" s="1" t="str">
        <f>"4601992189678"</f>
        <v>4601992189678</v>
      </c>
      <c r="B5511" s="1" t="s">
        <v>5534</v>
      </c>
      <c r="C5511" s="1" t="s">
        <v>24</v>
      </c>
      <c r="D5511" s="1" t="str">
        <f t="shared" si="10476"/>
        <v>2021</v>
      </c>
      <c r="E5511" s="1" t="str">
        <f t="shared" ref="E5511:I5511" si="10487">"0"</f>
        <v>0</v>
      </c>
      <c r="F5511" s="1" t="str">
        <f t="shared" si="10487"/>
        <v>0</v>
      </c>
      <c r="G5511" s="1" t="str">
        <f t="shared" si="10487"/>
        <v>0</v>
      </c>
      <c r="H5511" s="1" t="str">
        <f t="shared" si="10487"/>
        <v>0</v>
      </c>
      <c r="I5511" s="1" t="str">
        <f t="shared" si="10487"/>
        <v>0</v>
      </c>
      <c r="J5511" s="1" t="str">
        <f>"6"</f>
        <v>6</v>
      </c>
      <c r="K5511" s="1" t="str">
        <f t="shared" ref="K5511:P5511" si="10488">"0"</f>
        <v>0</v>
      </c>
      <c r="L5511" s="1" t="str">
        <f t="shared" si="10488"/>
        <v>0</v>
      </c>
      <c r="M5511" s="1" t="str">
        <f t="shared" si="10488"/>
        <v>0</v>
      </c>
      <c r="N5511" s="1" t="str">
        <f t="shared" si="10488"/>
        <v>0</v>
      </c>
      <c r="O5511" s="1" t="str">
        <f t="shared" si="10488"/>
        <v>0</v>
      </c>
      <c r="P5511" s="1" t="str">
        <f t="shared" si="10488"/>
        <v>0</v>
      </c>
      <c r="Q5511" s="1" t="str">
        <f t="shared" si="10479"/>
        <v>0.0070</v>
      </c>
      <c r="R5511" s="1" t="s">
        <v>25</v>
      </c>
      <c r="T5511" s="1" t="str">
        <f t="shared" si="10480"/>
        <v>0</v>
      </c>
      <c r="U5511" s="1" t="str">
        <f t="shared" si="10445"/>
        <v>0.0070</v>
      </c>
    </row>
    <row r="5512" s="1" customFormat="1" spans="1:21">
      <c r="A5512" s="1" t="str">
        <f>"4601992189682"</f>
        <v>4601992189682</v>
      </c>
      <c r="B5512" s="1" t="s">
        <v>5535</v>
      </c>
      <c r="C5512" s="1" t="s">
        <v>24</v>
      </c>
      <c r="D5512" s="1" t="str">
        <f t="shared" si="10476"/>
        <v>2021</v>
      </c>
      <c r="E5512" s="1" t="str">
        <f t="shared" ref="E5512:I5512" si="10489">"0"</f>
        <v>0</v>
      </c>
      <c r="F5512" s="1" t="str">
        <f t="shared" si="10489"/>
        <v>0</v>
      </c>
      <c r="G5512" s="1" t="str">
        <f t="shared" si="10489"/>
        <v>0</v>
      </c>
      <c r="H5512" s="1" t="str">
        <f t="shared" si="10489"/>
        <v>0</v>
      </c>
      <c r="I5512" s="1" t="str">
        <f t="shared" si="10489"/>
        <v>0</v>
      </c>
      <c r="J5512" s="1" t="str">
        <f>"2"</f>
        <v>2</v>
      </c>
      <c r="K5512" s="1" t="str">
        <f t="shared" ref="K5512:P5512" si="10490">"0"</f>
        <v>0</v>
      </c>
      <c r="L5512" s="1" t="str">
        <f t="shared" si="10490"/>
        <v>0</v>
      </c>
      <c r="M5512" s="1" t="str">
        <f t="shared" si="10490"/>
        <v>0</v>
      </c>
      <c r="N5512" s="1" t="str">
        <f t="shared" si="10490"/>
        <v>0</v>
      </c>
      <c r="O5512" s="1" t="str">
        <f t="shared" si="10490"/>
        <v>0</v>
      </c>
      <c r="P5512" s="1" t="str">
        <f t="shared" si="10490"/>
        <v>0</v>
      </c>
      <c r="Q5512" s="1" t="str">
        <f t="shared" si="10479"/>
        <v>0.0070</v>
      </c>
      <c r="R5512" s="1" t="s">
        <v>25</v>
      </c>
      <c r="T5512" s="1" t="str">
        <f t="shared" si="10480"/>
        <v>0</v>
      </c>
      <c r="U5512" s="1" t="str">
        <f t="shared" si="10445"/>
        <v>0.0070</v>
      </c>
    </row>
    <row r="5513" s="1" customFormat="1" spans="1:21">
      <c r="A5513" s="1" t="str">
        <f>"4601992189691"</f>
        <v>4601992189691</v>
      </c>
      <c r="B5513" s="1" t="s">
        <v>5536</v>
      </c>
      <c r="C5513" s="1" t="s">
        <v>24</v>
      </c>
      <c r="D5513" s="1" t="str">
        <f t="shared" si="10476"/>
        <v>2021</v>
      </c>
      <c r="E5513" s="1" t="str">
        <f t="shared" ref="E5513:I5513" si="10491">"0"</f>
        <v>0</v>
      </c>
      <c r="F5513" s="1" t="str">
        <f t="shared" si="10491"/>
        <v>0</v>
      </c>
      <c r="G5513" s="1" t="str">
        <f t="shared" si="10491"/>
        <v>0</v>
      </c>
      <c r="H5513" s="1" t="str">
        <f t="shared" si="10491"/>
        <v>0</v>
      </c>
      <c r="I5513" s="1" t="str">
        <f t="shared" si="10491"/>
        <v>0</v>
      </c>
      <c r="J5513" s="1" t="str">
        <f t="shared" si="10485"/>
        <v>1</v>
      </c>
      <c r="K5513" s="1" t="str">
        <f t="shared" ref="K5513:P5513" si="10492">"0"</f>
        <v>0</v>
      </c>
      <c r="L5513" s="1" t="str">
        <f t="shared" si="10492"/>
        <v>0</v>
      </c>
      <c r="M5513" s="1" t="str">
        <f t="shared" si="10492"/>
        <v>0</v>
      </c>
      <c r="N5513" s="1" t="str">
        <f t="shared" si="10492"/>
        <v>0</v>
      </c>
      <c r="O5513" s="1" t="str">
        <f t="shared" si="10492"/>
        <v>0</v>
      </c>
      <c r="P5513" s="1" t="str">
        <f t="shared" si="10492"/>
        <v>0</v>
      </c>
      <c r="Q5513" s="1" t="str">
        <f t="shared" si="10479"/>
        <v>0.0070</v>
      </c>
      <c r="R5513" s="1" t="s">
        <v>25</v>
      </c>
      <c r="T5513" s="1" t="str">
        <f t="shared" si="10480"/>
        <v>0</v>
      </c>
      <c r="U5513" s="1" t="str">
        <f t="shared" si="10445"/>
        <v>0.0070</v>
      </c>
    </row>
    <row r="5514" s="1" customFormat="1" spans="1:21">
      <c r="A5514" s="1" t="str">
        <f>"4601992189714"</f>
        <v>4601992189714</v>
      </c>
      <c r="B5514" s="1" t="s">
        <v>5537</v>
      </c>
      <c r="C5514" s="1" t="s">
        <v>24</v>
      </c>
      <c r="D5514" s="1" t="str">
        <f t="shared" si="10476"/>
        <v>2021</v>
      </c>
      <c r="E5514" s="1" t="str">
        <f t="shared" ref="E5514:I5514" si="10493">"0"</f>
        <v>0</v>
      </c>
      <c r="F5514" s="1" t="str">
        <f t="shared" si="10493"/>
        <v>0</v>
      </c>
      <c r="G5514" s="1" t="str">
        <f t="shared" si="10493"/>
        <v>0</v>
      </c>
      <c r="H5514" s="1" t="str">
        <f t="shared" si="10493"/>
        <v>0</v>
      </c>
      <c r="I5514" s="1" t="str">
        <f t="shared" si="10493"/>
        <v>0</v>
      </c>
      <c r="J5514" s="1" t="str">
        <f>"3"</f>
        <v>3</v>
      </c>
      <c r="K5514" s="1" t="str">
        <f t="shared" ref="K5514:P5514" si="10494">"0"</f>
        <v>0</v>
      </c>
      <c r="L5514" s="1" t="str">
        <f t="shared" si="10494"/>
        <v>0</v>
      </c>
      <c r="M5514" s="1" t="str">
        <f t="shared" si="10494"/>
        <v>0</v>
      </c>
      <c r="N5514" s="1" t="str">
        <f t="shared" si="10494"/>
        <v>0</v>
      </c>
      <c r="O5514" s="1" t="str">
        <f t="shared" si="10494"/>
        <v>0</v>
      </c>
      <c r="P5514" s="1" t="str">
        <f t="shared" si="10494"/>
        <v>0</v>
      </c>
      <c r="Q5514" s="1" t="str">
        <f t="shared" si="10479"/>
        <v>0.0070</v>
      </c>
      <c r="R5514" s="1" t="s">
        <v>25</v>
      </c>
      <c r="T5514" s="1" t="str">
        <f t="shared" si="10480"/>
        <v>0</v>
      </c>
      <c r="U5514" s="1" t="str">
        <f t="shared" si="10445"/>
        <v>0.0070</v>
      </c>
    </row>
    <row r="5515" s="1" customFormat="1" spans="1:21">
      <c r="A5515" s="1" t="str">
        <f>"4601992189727"</f>
        <v>4601992189727</v>
      </c>
      <c r="B5515" s="1" t="s">
        <v>5538</v>
      </c>
      <c r="C5515" s="1" t="s">
        <v>24</v>
      </c>
      <c r="D5515" s="1" t="str">
        <f t="shared" si="10476"/>
        <v>2021</v>
      </c>
      <c r="E5515" s="1" t="str">
        <f t="shared" ref="E5515:I5515" si="10495">"0"</f>
        <v>0</v>
      </c>
      <c r="F5515" s="1" t="str">
        <f t="shared" si="10495"/>
        <v>0</v>
      </c>
      <c r="G5515" s="1" t="str">
        <f t="shared" si="10495"/>
        <v>0</v>
      </c>
      <c r="H5515" s="1" t="str">
        <f t="shared" si="10495"/>
        <v>0</v>
      </c>
      <c r="I5515" s="1" t="str">
        <f t="shared" si="10495"/>
        <v>0</v>
      </c>
      <c r="J5515" s="1" t="str">
        <f t="shared" si="10485"/>
        <v>1</v>
      </c>
      <c r="K5515" s="1" t="str">
        <f t="shared" ref="K5515:P5515" si="10496">"0"</f>
        <v>0</v>
      </c>
      <c r="L5515" s="1" t="str">
        <f t="shared" si="10496"/>
        <v>0</v>
      </c>
      <c r="M5515" s="1" t="str">
        <f t="shared" si="10496"/>
        <v>0</v>
      </c>
      <c r="N5515" s="1" t="str">
        <f t="shared" si="10496"/>
        <v>0</v>
      </c>
      <c r="O5515" s="1" t="str">
        <f t="shared" si="10496"/>
        <v>0</v>
      </c>
      <c r="P5515" s="1" t="str">
        <f t="shared" si="10496"/>
        <v>0</v>
      </c>
      <c r="Q5515" s="1" t="str">
        <f t="shared" si="10479"/>
        <v>0.0070</v>
      </c>
      <c r="R5515" s="1" t="s">
        <v>25</v>
      </c>
      <c r="T5515" s="1" t="str">
        <f t="shared" si="10480"/>
        <v>0</v>
      </c>
      <c r="U5515" s="1" t="str">
        <f t="shared" si="10445"/>
        <v>0.0070</v>
      </c>
    </row>
    <row r="5516" s="1" customFormat="1" spans="1:21">
      <c r="A5516" s="1" t="str">
        <f>"4601992189726"</f>
        <v>4601992189726</v>
      </c>
      <c r="B5516" s="1" t="s">
        <v>5539</v>
      </c>
      <c r="C5516" s="1" t="s">
        <v>24</v>
      </c>
      <c r="D5516" s="1" t="str">
        <f t="shared" si="10476"/>
        <v>2021</v>
      </c>
      <c r="E5516" s="1" t="str">
        <f t="shared" ref="E5516:I5516" si="10497">"0"</f>
        <v>0</v>
      </c>
      <c r="F5516" s="1" t="str">
        <f t="shared" si="10497"/>
        <v>0</v>
      </c>
      <c r="G5516" s="1" t="str">
        <f t="shared" si="10497"/>
        <v>0</v>
      </c>
      <c r="H5516" s="1" t="str">
        <f t="shared" si="10497"/>
        <v>0</v>
      </c>
      <c r="I5516" s="1" t="str">
        <f t="shared" si="10497"/>
        <v>0</v>
      </c>
      <c r="J5516" s="1" t="str">
        <f t="shared" si="10485"/>
        <v>1</v>
      </c>
      <c r="K5516" s="1" t="str">
        <f t="shared" ref="K5516:P5516" si="10498">"0"</f>
        <v>0</v>
      </c>
      <c r="L5516" s="1" t="str">
        <f t="shared" si="10498"/>
        <v>0</v>
      </c>
      <c r="M5516" s="1" t="str">
        <f t="shared" si="10498"/>
        <v>0</v>
      </c>
      <c r="N5516" s="1" t="str">
        <f t="shared" si="10498"/>
        <v>0</v>
      </c>
      <c r="O5516" s="1" t="str">
        <f t="shared" si="10498"/>
        <v>0</v>
      </c>
      <c r="P5516" s="1" t="str">
        <f t="shared" si="10498"/>
        <v>0</v>
      </c>
      <c r="Q5516" s="1" t="str">
        <f t="shared" si="10479"/>
        <v>0.0070</v>
      </c>
      <c r="R5516" s="1" t="s">
        <v>25</v>
      </c>
      <c r="T5516" s="1" t="str">
        <f t="shared" si="10480"/>
        <v>0</v>
      </c>
      <c r="U5516" s="1" t="str">
        <f t="shared" si="10445"/>
        <v>0.0070</v>
      </c>
    </row>
    <row r="5517" s="1" customFormat="1" spans="1:21">
      <c r="A5517" s="1" t="str">
        <f>"4601992189738"</f>
        <v>4601992189738</v>
      </c>
      <c r="B5517" s="1" t="s">
        <v>5540</v>
      </c>
      <c r="C5517" s="1" t="s">
        <v>24</v>
      </c>
      <c r="D5517" s="1" t="str">
        <f t="shared" si="10476"/>
        <v>2021</v>
      </c>
      <c r="E5517" s="1" t="str">
        <f t="shared" ref="E5517:P5517" si="10499">"0"</f>
        <v>0</v>
      </c>
      <c r="F5517" s="1" t="str">
        <f t="shared" si="10499"/>
        <v>0</v>
      </c>
      <c r="G5517" s="1" t="str">
        <f t="shared" si="10499"/>
        <v>0</v>
      </c>
      <c r="H5517" s="1" t="str">
        <f t="shared" si="10499"/>
        <v>0</v>
      </c>
      <c r="I5517" s="1" t="str">
        <f t="shared" si="10499"/>
        <v>0</v>
      </c>
      <c r="J5517" s="1" t="str">
        <f t="shared" si="10499"/>
        <v>0</v>
      </c>
      <c r="K5517" s="1" t="str">
        <f t="shared" si="10499"/>
        <v>0</v>
      </c>
      <c r="L5517" s="1" t="str">
        <f t="shared" si="10499"/>
        <v>0</v>
      </c>
      <c r="M5517" s="1" t="str">
        <f t="shared" si="10499"/>
        <v>0</v>
      </c>
      <c r="N5517" s="1" t="str">
        <f t="shared" si="10499"/>
        <v>0</v>
      </c>
      <c r="O5517" s="1" t="str">
        <f t="shared" si="10499"/>
        <v>0</v>
      </c>
      <c r="P5517" s="1" t="str">
        <f t="shared" si="10499"/>
        <v>0</v>
      </c>
      <c r="Q5517" s="1" t="str">
        <f t="shared" si="10479"/>
        <v>0.0070</v>
      </c>
      <c r="R5517" s="1" t="s">
        <v>25</v>
      </c>
      <c r="T5517" s="1" t="str">
        <f t="shared" si="10480"/>
        <v>0</v>
      </c>
      <c r="U5517" s="1" t="str">
        <f t="shared" si="10445"/>
        <v>0.0070</v>
      </c>
    </row>
    <row r="5518" s="1" customFormat="1" spans="1:21">
      <c r="A5518" s="1" t="str">
        <f>"4601992189771"</f>
        <v>4601992189771</v>
      </c>
      <c r="B5518" s="1" t="s">
        <v>5541</v>
      </c>
      <c r="C5518" s="1" t="s">
        <v>24</v>
      </c>
      <c r="D5518" s="1" t="str">
        <f t="shared" si="10476"/>
        <v>2021</v>
      </c>
      <c r="E5518" s="1" t="str">
        <f>"0.03"</f>
        <v>0.03</v>
      </c>
      <c r="F5518" s="1" t="str">
        <f t="shared" ref="F5518:I5518" si="10500">"0"</f>
        <v>0</v>
      </c>
      <c r="G5518" s="1" t="str">
        <f t="shared" si="10500"/>
        <v>0</v>
      </c>
      <c r="H5518" s="1" t="str">
        <f t="shared" si="10500"/>
        <v>0</v>
      </c>
      <c r="I5518" s="1" t="str">
        <f t="shared" si="10500"/>
        <v>0</v>
      </c>
      <c r="J5518" s="1" t="str">
        <f>"3"</f>
        <v>3</v>
      </c>
      <c r="K5518" s="1" t="str">
        <f t="shared" ref="K5518:P5518" si="10501">"0"</f>
        <v>0</v>
      </c>
      <c r="L5518" s="1" t="str">
        <f t="shared" si="10501"/>
        <v>0</v>
      </c>
      <c r="M5518" s="1" t="str">
        <f t="shared" si="10501"/>
        <v>0</v>
      </c>
      <c r="N5518" s="1" t="str">
        <f t="shared" si="10501"/>
        <v>0</v>
      </c>
      <c r="O5518" s="1" t="str">
        <f t="shared" si="10501"/>
        <v>0</v>
      </c>
      <c r="P5518" s="1" t="str">
        <f t="shared" si="10501"/>
        <v>0</v>
      </c>
      <c r="Q5518" s="1" t="str">
        <f t="shared" si="10479"/>
        <v>0.0070</v>
      </c>
      <c r="R5518" s="1" t="s">
        <v>25</v>
      </c>
      <c r="T5518" s="1" t="str">
        <f t="shared" si="10480"/>
        <v>0</v>
      </c>
      <c r="U5518" s="1" t="str">
        <f t="shared" si="10445"/>
        <v>0.0070</v>
      </c>
    </row>
    <row r="5519" s="1" customFormat="1" spans="1:21">
      <c r="A5519" s="1" t="str">
        <f>"4601992189707"</f>
        <v>4601992189707</v>
      </c>
      <c r="B5519" s="1" t="s">
        <v>5542</v>
      </c>
      <c r="C5519" s="1" t="s">
        <v>24</v>
      </c>
      <c r="D5519" s="1" t="str">
        <f t="shared" si="10476"/>
        <v>2021</v>
      </c>
      <c r="E5519" s="1" t="str">
        <f t="shared" ref="E5519:I5519" si="10502">"0"</f>
        <v>0</v>
      </c>
      <c r="F5519" s="1" t="str">
        <f t="shared" si="10502"/>
        <v>0</v>
      </c>
      <c r="G5519" s="1" t="str">
        <f t="shared" si="10502"/>
        <v>0</v>
      </c>
      <c r="H5519" s="1" t="str">
        <f t="shared" si="10502"/>
        <v>0</v>
      </c>
      <c r="I5519" s="1" t="str">
        <f t="shared" si="10502"/>
        <v>0</v>
      </c>
      <c r="J5519" s="1" t="str">
        <f t="shared" ref="J5519:J5522" si="10503">"2"</f>
        <v>2</v>
      </c>
      <c r="K5519" s="1" t="str">
        <f t="shared" ref="K5519:P5519" si="10504">"0"</f>
        <v>0</v>
      </c>
      <c r="L5519" s="1" t="str">
        <f t="shared" si="10504"/>
        <v>0</v>
      </c>
      <c r="M5519" s="1" t="str">
        <f t="shared" si="10504"/>
        <v>0</v>
      </c>
      <c r="N5519" s="1" t="str">
        <f t="shared" si="10504"/>
        <v>0</v>
      </c>
      <c r="O5519" s="1" t="str">
        <f t="shared" si="10504"/>
        <v>0</v>
      </c>
      <c r="P5519" s="1" t="str">
        <f t="shared" si="10504"/>
        <v>0</v>
      </c>
      <c r="Q5519" s="1" t="str">
        <f t="shared" si="10479"/>
        <v>0.0070</v>
      </c>
      <c r="R5519" s="1" t="s">
        <v>25</v>
      </c>
      <c r="T5519" s="1" t="str">
        <f t="shared" si="10480"/>
        <v>0</v>
      </c>
      <c r="U5519" s="1" t="str">
        <f t="shared" si="10445"/>
        <v>0.0070</v>
      </c>
    </row>
    <row r="5520" s="1" customFormat="1" spans="1:21">
      <c r="A5520" s="1" t="str">
        <f>"4601992189718"</f>
        <v>4601992189718</v>
      </c>
      <c r="B5520" s="1" t="s">
        <v>5543</v>
      </c>
      <c r="C5520" s="1" t="s">
        <v>24</v>
      </c>
      <c r="D5520" s="1" t="str">
        <f t="shared" si="10476"/>
        <v>2021</v>
      </c>
      <c r="E5520" s="1" t="str">
        <f>"17.50"</f>
        <v>17.50</v>
      </c>
      <c r="F5520" s="1" t="str">
        <f t="shared" ref="F5520:I5520" si="10505">"0"</f>
        <v>0</v>
      </c>
      <c r="G5520" s="1" t="str">
        <f t="shared" si="10505"/>
        <v>0</v>
      </c>
      <c r="H5520" s="1" t="str">
        <f t="shared" si="10505"/>
        <v>0</v>
      </c>
      <c r="I5520" s="1" t="str">
        <f t="shared" si="10505"/>
        <v>0</v>
      </c>
      <c r="J5520" s="1" t="str">
        <f t="shared" si="10503"/>
        <v>2</v>
      </c>
      <c r="K5520" s="1" t="str">
        <f t="shared" ref="K5520:P5520" si="10506">"0"</f>
        <v>0</v>
      </c>
      <c r="L5520" s="1" t="str">
        <f t="shared" si="10506"/>
        <v>0</v>
      </c>
      <c r="M5520" s="1" t="str">
        <f t="shared" si="10506"/>
        <v>0</v>
      </c>
      <c r="N5520" s="1" t="str">
        <f t="shared" si="10506"/>
        <v>0</v>
      </c>
      <c r="O5520" s="1" t="str">
        <f t="shared" si="10506"/>
        <v>0</v>
      </c>
      <c r="P5520" s="1" t="str">
        <f t="shared" si="10506"/>
        <v>0</v>
      </c>
      <c r="Q5520" s="1" t="str">
        <f t="shared" si="10479"/>
        <v>0.0070</v>
      </c>
      <c r="R5520" s="1" t="s">
        <v>29</v>
      </c>
      <c r="S5520" s="1">
        <v>-0.0014</v>
      </c>
      <c r="T5520" s="1" t="str">
        <f t="shared" si="10480"/>
        <v>0</v>
      </c>
      <c r="U5520" s="1" t="str">
        <f>"0.0056"</f>
        <v>0.0056</v>
      </c>
    </row>
    <row r="5521" s="1" customFormat="1" spans="1:21">
      <c r="A5521" s="1" t="str">
        <f>"4601992189787"</f>
        <v>4601992189787</v>
      </c>
      <c r="B5521" s="1" t="s">
        <v>5544</v>
      </c>
      <c r="C5521" s="1" t="s">
        <v>24</v>
      </c>
      <c r="D5521" s="1" t="str">
        <f t="shared" si="10476"/>
        <v>2021</v>
      </c>
      <c r="E5521" s="1" t="str">
        <f t="shared" ref="E5521:I5521" si="10507">"0"</f>
        <v>0</v>
      </c>
      <c r="F5521" s="1" t="str">
        <f t="shared" si="10507"/>
        <v>0</v>
      </c>
      <c r="G5521" s="1" t="str">
        <f t="shared" si="10507"/>
        <v>0</v>
      </c>
      <c r="H5521" s="1" t="str">
        <f t="shared" si="10507"/>
        <v>0</v>
      </c>
      <c r="I5521" s="1" t="str">
        <f t="shared" si="10507"/>
        <v>0</v>
      </c>
      <c r="J5521" s="1" t="str">
        <f>"6"</f>
        <v>6</v>
      </c>
      <c r="K5521" s="1" t="str">
        <f t="shared" ref="K5521:P5521" si="10508">"0"</f>
        <v>0</v>
      </c>
      <c r="L5521" s="1" t="str">
        <f t="shared" si="10508"/>
        <v>0</v>
      </c>
      <c r="M5521" s="1" t="str">
        <f t="shared" si="10508"/>
        <v>0</v>
      </c>
      <c r="N5521" s="1" t="str">
        <f t="shared" si="10508"/>
        <v>0</v>
      </c>
      <c r="O5521" s="1" t="str">
        <f t="shared" si="10508"/>
        <v>0</v>
      </c>
      <c r="P5521" s="1" t="str">
        <f t="shared" si="10508"/>
        <v>0</v>
      </c>
      <c r="Q5521" s="1" t="str">
        <f t="shared" si="10479"/>
        <v>0.0070</v>
      </c>
      <c r="R5521" s="1" t="s">
        <v>25</v>
      </c>
      <c r="T5521" s="1" t="str">
        <f t="shared" si="10480"/>
        <v>0</v>
      </c>
      <c r="U5521" s="1" t="str">
        <f t="shared" ref="U5521:U5562" si="10509">"0.0070"</f>
        <v>0.0070</v>
      </c>
    </row>
    <row r="5522" s="1" customFormat="1" spans="1:21">
      <c r="A5522" s="1" t="str">
        <f>"4601992189801"</f>
        <v>4601992189801</v>
      </c>
      <c r="B5522" s="1" t="s">
        <v>5545</v>
      </c>
      <c r="C5522" s="1" t="s">
        <v>24</v>
      </c>
      <c r="D5522" s="1" t="str">
        <f t="shared" si="10476"/>
        <v>2021</v>
      </c>
      <c r="E5522" s="1" t="str">
        <f>"0.06"</f>
        <v>0.06</v>
      </c>
      <c r="F5522" s="1" t="str">
        <f t="shared" ref="F5522:I5522" si="10510">"0"</f>
        <v>0</v>
      </c>
      <c r="G5522" s="1" t="str">
        <f t="shared" si="10510"/>
        <v>0</v>
      </c>
      <c r="H5522" s="1" t="str">
        <f t="shared" si="10510"/>
        <v>0</v>
      </c>
      <c r="I5522" s="1" t="str">
        <f t="shared" si="10510"/>
        <v>0</v>
      </c>
      <c r="J5522" s="1" t="str">
        <f t="shared" si="10503"/>
        <v>2</v>
      </c>
      <c r="K5522" s="1" t="str">
        <f t="shared" ref="K5522:P5522" si="10511">"0"</f>
        <v>0</v>
      </c>
      <c r="L5522" s="1" t="str">
        <f t="shared" si="10511"/>
        <v>0</v>
      </c>
      <c r="M5522" s="1" t="str">
        <f t="shared" si="10511"/>
        <v>0</v>
      </c>
      <c r="N5522" s="1" t="str">
        <f t="shared" si="10511"/>
        <v>0</v>
      </c>
      <c r="O5522" s="1" t="str">
        <f t="shared" si="10511"/>
        <v>0</v>
      </c>
      <c r="P5522" s="1" t="str">
        <f t="shared" si="10511"/>
        <v>0</v>
      </c>
      <c r="Q5522" s="1" t="str">
        <f t="shared" si="10479"/>
        <v>0.0070</v>
      </c>
      <c r="R5522" s="1" t="s">
        <v>25</v>
      </c>
      <c r="T5522" s="1" t="str">
        <f t="shared" si="10480"/>
        <v>0</v>
      </c>
      <c r="U5522" s="1" t="str">
        <f t="shared" si="10509"/>
        <v>0.0070</v>
      </c>
    </row>
    <row r="5523" s="1" customFormat="1" spans="1:21">
      <c r="A5523" s="1" t="str">
        <f>"4601992189803"</f>
        <v>4601992189803</v>
      </c>
      <c r="B5523" s="1" t="s">
        <v>5546</v>
      </c>
      <c r="C5523" s="1" t="s">
        <v>24</v>
      </c>
      <c r="D5523" s="1" t="str">
        <f t="shared" si="10476"/>
        <v>2021</v>
      </c>
      <c r="E5523" s="1" t="str">
        <f t="shared" ref="E5523:I5523" si="10512">"0"</f>
        <v>0</v>
      </c>
      <c r="F5523" s="1" t="str">
        <f t="shared" si="10512"/>
        <v>0</v>
      </c>
      <c r="G5523" s="1" t="str">
        <f t="shared" si="10512"/>
        <v>0</v>
      </c>
      <c r="H5523" s="1" t="str">
        <f t="shared" si="10512"/>
        <v>0</v>
      </c>
      <c r="I5523" s="1" t="str">
        <f t="shared" si="10512"/>
        <v>0</v>
      </c>
      <c r="J5523" s="1" t="str">
        <f>"3"</f>
        <v>3</v>
      </c>
      <c r="K5523" s="1" t="str">
        <f t="shared" ref="K5523:P5523" si="10513">"0"</f>
        <v>0</v>
      </c>
      <c r="L5523" s="1" t="str">
        <f t="shared" si="10513"/>
        <v>0</v>
      </c>
      <c r="M5523" s="1" t="str">
        <f t="shared" si="10513"/>
        <v>0</v>
      </c>
      <c r="N5523" s="1" t="str">
        <f t="shared" si="10513"/>
        <v>0</v>
      </c>
      <c r="O5523" s="1" t="str">
        <f t="shared" si="10513"/>
        <v>0</v>
      </c>
      <c r="P5523" s="1" t="str">
        <f t="shared" si="10513"/>
        <v>0</v>
      </c>
      <c r="Q5523" s="1" t="str">
        <f t="shared" si="10479"/>
        <v>0.0070</v>
      </c>
      <c r="R5523" s="1" t="s">
        <v>25</v>
      </c>
      <c r="T5523" s="1" t="str">
        <f t="shared" si="10480"/>
        <v>0</v>
      </c>
      <c r="U5523" s="1" t="str">
        <f t="shared" si="10509"/>
        <v>0.0070</v>
      </c>
    </row>
    <row r="5524" s="1" customFormat="1" spans="1:21">
      <c r="A5524" s="1" t="str">
        <f>"4601992189798"</f>
        <v>4601992189798</v>
      </c>
      <c r="B5524" s="1" t="s">
        <v>5547</v>
      </c>
      <c r="C5524" s="1" t="s">
        <v>24</v>
      </c>
      <c r="D5524" s="1" t="str">
        <f t="shared" si="10476"/>
        <v>2021</v>
      </c>
      <c r="E5524" s="1" t="str">
        <f t="shared" ref="E5524:I5524" si="10514">"0"</f>
        <v>0</v>
      </c>
      <c r="F5524" s="1" t="str">
        <f t="shared" si="10514"/>
        <v>0</v>
      </c>
      <c r="G5524" s="1" t="str">
        <f t="shared" si="10514"/>
        <v>0</v>
      </c>
      <c r="H5524" s="1" t="str">
        <f t="shared" si="10514"/>
        <v>0</v>
      </c>
      <c r="I5524" s="1" t="str">
        <f t="shared" si="10514"/>
        <v>0</v>
      </c>
      <c r="J5524" s="1" t="str">
        <f>"18"</f>
        <v>18</v>
      </c>
      <c r="K5524" s="1" t="str">
        <f t="shared" ref="K5524:P5524" si="10515">"0"</f>
        <v>0</v>
      </c>
      <c r="L5524" s="1" t="str">
        <f t="shared" si="10515"/>
        <v>0</v>
      </c>
      <c r="M5524" s="1" t="str">
        <f t="shared" si="10515"/>
        <v>0</v>
      </c>
      <c r="N5524" s="1" t="str">
        <f t="shared" si="10515"/>
        <v>0</v>
      </c>
      <c r="O5524" s="1" t="str">
        <f t="shared" si="10515"/>
        <v>0</v>
      </c>
      <c r="P5524" s="1" t="str">
        <f t="shared" si="10515"/>
        <v>0</v>
      </c>
      <c r="Q5524" s="1" t="str">
        <f t="shared" si="10479"/>
        <v>0.0070</v>
      </c>
      <c r="R5524" s="1" t="s">
        <v>25</v>
      </c>
      <c r="T5524" s="1" t="str">
        <f t="shared" si="10480"/>
        <v>0</v>
      </c>
      <c r="U5524" s="1" t="str">
        <f t="shared" si="10509"/>
        <v>0.0070</v>
      </c>
    </row>
    <row r="5525" s="1" customFormat="1" spans="1:21">
      <c r="A5525" s="1" t="str">
        <f>"4601992189817"</f>
        <v>4601992189817</v>
      </c>
      <c r="B5525" s="1" t="s">
        <v>5548</v>
      </c>
      <c r="C5525" s="1" t="s">
        <v>24</v>
      </c>
      <c r="D5525" s="1" t="str">
        <f t="shared" si="10476"/>
        <v>2021</v>
      </c>
      <c r="E5525" s="1" t="str">
        <f t="shared" ref="E5525:I5525" si="10516">"0"</f>
        <v>0</v>
      </c>
      <c r="F5525" s="1" t="str">
        <f t="shared" si="10516"/>
        <v>0</v>
      </c>
      <c r="G5525" s="1" t="str">
        <f t="shared" si="10516"/>
        <v>0</v>
      </c>
      <c r="H5525" s="1" t="str">
        <f t="shared" si="10516"/>
        <v>0</v>
      </c>
      <c r="I5525" s="1" t="str">
        <f t="shared" si="10516"/>
        <v>0</v>
      </c>
      <c r="J5525" s="1" t="str">
        <f>"1"</f>
        <v>1</v>
      </c>
      <c r="K5525" s="1" t="str">
        <f t="shared" ref="K5525:P5525" si="10517">"0"</f>
        <v>0</v>
      </c>
      <c r="L5525" s="1" t="str">
        <f t="shared" si="10517"/>
        <v>0</v>
      </c>
      <c r="M5525" s="1" t="str">
        <f t="shared" si="10517"/>
        <v>0</v>
      </c>
      <c r="N5525" s="1" t="str">
        <f t="shared" si="10517"/>
        <v>0</v>
      </c>
      <c r="O5525" s="1" t="str">
        <f t="shared" si="10517"/>
        <v>0</v>
      </c>
      <c r="P5525" s="1" t="str">
        <f t="shared" si="10517"/>
        <v>0</v>
      </c>
      <c r="Q5525" s="1" t="str">
        <f t="shared" si="10479"/>
        <v>0.0070</v>
      </c>
      <c r="R5525" s="1" t="s">
        <v>25</v>
      </c>
      <c r="T5525" s="1" t="str">
        <f t="shared" si="10480"/>
        <v>0</v>
      </c>
      <c r="U5525" s="1" t="str">
        <f t="shared" si="10509"/>
        <v>0.0070</v>
      </c>
    </row>
    <row r="5526" s="1" customFormat="1" spans="1:21">
      <c r="A5526" s="1" t="str">
        <f>"4601992189844"</f>
        <v>4601992189844</v>
      </c>
      <c r="B5526" s="1" t="s">
        <v>5549</v>
      </c>
      <c r="C5526" s="1" t="s">
        <v>24</v>
      </c>
      <c r="D5526" s="1" t="str">
        <f t="shared" si="10476"/>
        <v>2021</v>
      </c>
      <c r="E5526" s="1" t="str">
        <f t="shared" ref="E5526:I5526" si="10518">"0"</f>
        <v>0</v>
      </c>
      <c r="F5526" s="1" t="str">
        <f t="shared" si="10518"/>
        <v>0</v>
      </c>
      <c r="G5526" s="1" t="str">
        <f t="shared" si="10518"/>
        <v>0</v>
      </c>
      <c r="H5526" s="1" t="str">
        <f t="shared" si="10518"/>
        <v>0</v>
      </c>
      <c r="I5526" s="1" t="str">
        <f t="shared" si="10518"/>
        <v>0</v>
      </c>
      <c r="J5526" s="1" t="str">
        <f>"1"</f>
        <v>1</v>
      </c>
      <c r="K5526" s="1" t="str">
        <f t="shared" ref="K5526:P5526" si="10519">"0"</f>
        <v>0</v>
      </c>
      <c r="L5526" s="1" t="str">
        <f t="shared" si="10519"/>
        <v>0</v>
      </c>
      <c r="M5526" s="1" t="str">
        <f t="shared" si="10519"/>
        <v>0</v>
      </c>
      <c r="N5526" s="1" t="str">
        <f t="shared" si="10519"/>
        <v>0</v>
      </c>
      <c r="O5526" s="1" t="str">
        <f t="shared" si="10519"/>
        <v>0</v>
      </c>
      <c r="P5526" s="1" t="str">
        <f t="shared" si="10519"/>
        <v>0</v>
      </c>
      <c r="Q5526" s="1" t="str">
        <f t="shared" si="10479"/>
        <v>0.0070</v>
      </c>
      <c r="R5526" s="1" t="s">
        <v>25</v>
      </c>
      <c r="T5526" s="1" t="str">
        <f t="shared" si="10480"/>
        <v>0</v>
      </c>
      <c r="U5526" s="1" t="str">
        <f t="shared" si="10509"/>
        <v>0.0070</v>
      </c>
    </row>
    <row r="5527" s="1" customFormat="1" spans="1:21">
      <c r="A5527" s="1" t="str">
        <f>"4601992189857"</f>
        <v>4601992189857</v>
      </c>
      <c r="B5527" s="1" t="s">
        <v>5550</v>
      </c>
      <c r="C5527" s="1" t="s">
        <v>24</v>
      </c>
      <c r="D5527" s="1" t="str">
        <f t="shared" si="10476"/>
        <v>2021</v>
      </c>
      <c r="E5527" s="1" t="str">
        <f t="shared" ref="E5527:I5527" si="10520">"0"</f>
        <v>0</v>
      </c>
      <c r="F5527" s="1" t="str">
        <f t="shared" si="10520"/>
        <v>0</v>
      </c>
      <c r="G5527" s="1" t="str">
        <f t="shared" si="10520"/>
        <v>0</v>
      </c>
      <c r="H5527" s="1" t="str">
        <f t="shared" si="10520"/>
        <v>0</v>
      </c>
      <c r="I5527" s="1" t="str">
        <f t="shared" si="10520"/>
        <v>0</v>
      </c>
      <c r="J5527" s="1" t="str">
        <f>"3"</f>
        <v>3</v>
      </c>
      <c r="K5527" s="1" t="str">
        <f t="shared" ref="K5527:P5527" si="10521">"0"</f>
        <v>0</v>
      </c>
      <c r="L5527" s="1" t="str">
        <f t="shared" si="10521"/>
        <v>0</v>
      </c>
      <c r="M5527" s="1" t="str">
        <f t="shared" si="10521"/>
        <v>0</v>
      </c>
      <c r="N5527" s="1" t="str">
        <f t="shared" si="10521"/>
        <v>0</v>
      </c>
      <c r="O5527" s="1" t="str">
        <f t="shared" si="10521"/>
        <v>0</v>
      </c>
      <c r="P5527" s="1" t="str">
        <f t="shared" si="10521"/>
        <v>0</v>
      </c>
      <c r="Q5527" s="1" t="str">
        <f t="shared" si="10479"/>
        <v>0.0070</v>
      </c>
      <c r="R5527" s="1" t="s">
        <v>25</v>
      </c>
      <c r="T5527" s="1" t="str">
        <f t="shared" si="10480"/>
        <v>0</v>
      </c>
      <c r="U5527" s="1" t="str">
        <f t="shared" si="10509"/>
        <v>0.0070</v>
      </c>
    </row>
    <row r="5528" s="1" customFormat="1" spans="1:21">
      <c r="A5528" s="1" t="str">
        <f>"4601992189827"</f>
        <v>4601992189827</v>
      </c>
      <c r="B5528" s="1" t="s">
        <v>5551</v>
      </c>
      <c r="C5528" s="1" t="s">
        <v>24</v>
      </c>
      <c r="D5528" s="1" t="str">
        <f t="shared" si="10476"/>
        <v>2021</v>
      </c>
      <c r="E5528" s="1" t="str">
        <f t="shared" ref="E5528:I5528" si="10522">"0"</f>
        <v>0</v>
      </c>
      <c r="F5528" s="1" t="str">
        <f t="shared" si="10522"/>
        <v>0</v>
      </c>
      <c r="G5528" s="1" t="str">
        <f t="shared" si="10522"/>
        <v>0</v>
      </c>
      <c r="H5528" s="1" t="str">
        <f t="shared" si="10522"/>
        <v>0</v>
      </c>
      <c r="I5528" s="1" t="str">
        <f t="shared" si="10522"/>
        <v>0</v>
      </c>
      <c r="J5528" s="1" t="str">
        <f>"2"</f>
        <v>2</v>
      </c>
      <c r="K5528" s="1" t="str">
        <f t="shared" ref="K5528:P5528" si="10523">"0"</f>
        <v>0</v>
      </c>
      <c r="L5528" s="1" t="str">
        <f t="shared" si="10523"/>
        <v>0</v>
      </c>
      <c r="M5528" s="1" t="str">
        <f t="shared" si="10523"/>
        <v>0</v>
      </c>
      <c r="N5528" s="1" t="str">
        <f t="shared" si="10523"/>
        <v>0</v>
      </c>
      <c r="O5528" s="1" t="str">
        <f t="shared" si="10523"/>
        <v>0</v>
      </c>
      <c r="P5528" s="1" t="str">
        <f t="shared" si="10523"/>
        <v>0</v>
      </c>
      <c r="Q5528" s="1" t="str">
        <f t="shared" si="10479"/>
        <v>0.0070</v>
      </c>
      <c r="R5528" s="1" t="s">
        <v>25</v>
      </c>
      <c r="T5528" s="1" t="str">
        <f t="shared" si="10480"/>
        <v>0</v>
      </c>
      <c r="U5528" s="1" t="str">
        <f t="shared" si="10509"/>
        <v>0.0070</v>
      </c>
    </row>
    <row r="5529" s="1" customFormat="1" spans="1:21">
      <c r="A5529" s="1" t="str">
        <f>"4601992189835"</f>
        <v>4601992189835</v>
      </c>
      <c r="B5529" s="1" t="s">
        <v>5552</v>
      </c>
      <c r="C5529" s="1" t="s">
        <v>24</v>
      </c>
      <c r="D5529" s="1" t="str">
        <f t="shared" si="10476"/>
        <v>2021</v>
      </c>
      <c r="E5529" s="1" t="str">
        <f t="shared" ref="E5529:I5529" si="10524">"0"</f>
        <v>0</v>
      </c>
      <c r="F5529" s="1" t="str">
        <f t="shared" si="10524"/>
        <v>0</v>
      </c>
      <c r="G5529" s="1" t="str">
        <f t="shared" si="10524"/>
        <v>0</v>
      </c>
      <c r="H5529" s="1" t="str">
        <f t="shared" si="10524"/>
        <v>0</v>
      </c>
      <c r="I5529" s="1" t="str">
        <f t="shared" si="10524"/>
        <v>0</v>
      </c>
      <c r="J5529" s="1" t="str">
        <f>"15"</f>
        <v>15</v>
      </c>
      <c r="K5529" s="1" t="str">
        <f t="shared" ref="K5529:P5529" si="10525">"0"</f>
        <v>0</v>
      </c>
      <c r="L5529" s="1" t="str">
        <f t="shared" si="10525"/>
        <v>0</v>
      </c>
      <c r="M5529" s="1" t="str">
        <f t="shared" si="10525"/>
        <v>0</v>
      </c>
      <c r="N5529" s="1" t="str">
        <f t="shared" si="10525"/>
        <v>0</v>
      </c>
      <c r="O5529" s="1" t="str">
        <f t="shared" si="10525"/>
        <v>0</v>
      </c>
      <c r="P5529" s="1" t="str">
        <f t="shared" si="10525"/>
        <v>0</v>
      </c>
      <c r="Q5529" s="1" t="str">
        <f t="shared" si="10479"/>
        <v>0.0070</v>
      </c>
      <c r="R5529" s="1" t="s">
        <v>25</v>
      </c>
      <c r="T5529" s="1" t="str">
        <f t="shared" si="10480"/>
        <v>0</v>
      </c>
      <c r="U5529" s="1" t="str">
        <f t="shared" si="10509"/>
        <v>0.0070</v>
      </c>
    </row>
    <row r="5530" s="1" customFormat="1" spans="1:21">
      <c r="A5530" s="1" t="str">
        <f>"4601992189877"</f>
        <v>4601992189877</v>
      </c>
      <c r="B5530" s="1" t="s">
        <v>5553</v>
      </c>
      <c r="C5530" s="1" t="s">
        <v>24</v>
      </c>
      <c r="D5530" s="1" t="str">
        <f t="shared" si="10476"/>
        <v>2021</v>
      </c>
      <c r="E5530" s="1" t="str">
        <f t="shared" ref="E5530:P5530" si="10526">"0"</f>
        <v>0</v>
      </c>
      <c r="F5530" s="1" t="str">
        <f t="shared" si="10526"/>
        <v>0</v>
      </c>
      <c r="G5530" s="1" t="str">
        <f t="shared" si="10526"/>
        <v>0</v>
      </c>
      <c r="H5530" s="1" t="str">
        <f t="shared" si="10526"/>
        <v>0</v>
      </c>
      <c r="I5530" s="1" t="str">
        <f t="shared" si="10526"/>
        <v>0</v>
      </c>
      <c r="J5530" s="1" t="str">
        <f t="shared" si="10526"/>
        <v>0</v>
      </c>
      <c r="K5530" s="1" t="str">
        <f t="shared" si="10526"/>
        <v>0</v>
      </c>
      <c r="L5530" s="1" t="str">
        <f t="shared" si="10526"/>
        <v>0</v>
      </c>
      <c r="M5530" s="1" t="str">
        <f t="shared" si="10526"/>
        <v>0</v>
      </c>
      <c r="N5530" s="1" t="str">
        <f t="shared" si="10526"/>
        <v>0</v>
      </c>
      <c r="O5530" s="1" t="str">
        <f t="shared" si="10526"/>
        <v>0</v>
      </c>
      <c r="P5530" s="1" t="str">
        <f t="shared" si="10526"/>
        <v>0</v>
      </c>
      <c r="Q5530" s="1" t="str">
        <f t="shared" si="10479"/>
        <v>0.0070</v>
      </c>
      <c r="R5530" s="1" t="s">
        <v>25</v>
      </c>
      <c r="T5530" s="1" t="str">
        <f t="shared" si="10480"/>
        <v>0</v>
      </c>
      <c r="U5530" s="1" t="str">
        <f t="shared" si="10509"/>
        <v>0.0070</v>
      </c>
    </row>
    <row r="5531" s="1" customFormat="1" spans="1:21">
      <c r="A5531" s="1" t="str">
        <f>"4601992189860"</f>
        <v>4601992189860</v>
      </c>
      <c r="B5531" s="1" t="s">
        <v>5554</v>
      </c>
      <c r="C5531" s="1" t="s">
        <v>24</v>
      </c>
      <c r="D5531" s="1" t="str">
        <f t="shared" si="10476"/>
        <v>2021</v>
      </c>
      <c r="E5531" s="1" t="str">
        <f t="shared" ref="E5531:I5531" si="10527">"0"</f>
        <v>0</v>
      </c>
      <c r="F5531" s="1" t="str">
        <f t="shared" si="10527"/>
        <v>0</v>
      </c>
      <c r="G5531" s="1" t="str">
        <f t="shared" si="10527"/>
        <v>0</v>
      </c>
      <c r="H5531" s="1" t="str">
        <f t="shared" si="10527"/>
        <v>0</v>
      </c>
      <c r="I5531" s="1" t="str">
        <f t="shared" si="10527"/>
        <v>0</v>
      </c>
      <c r="J5531" s="1" t="str">
        <f>"2"</f>
        <v>2</v>
      </c>
      <c r="K5531" s="1" t="str">
        <f t="shared" ref="K5531:P5531" si="10528">"0"</f>
        <v>0</v>
      </c>
      <c r="L5531" s="1" t="str">
        <f t="shared" si="10528"/>
        <v>0</v>
      </c>
      <c r="M5531" s="1" t="str">
        <f t="shared" si="10528"/>
        <v>0</v>
      </c>
      <c r="N5531" s="1" t="str">
        <f t="shared" si="10528"/>
        <v>0</v>
      </c>
      <c r="O5531" s="1" t="str">
        <f t="shared" si="10528"/>
        <v>0</v>
      </c>
      <c r="P5531" s="1" t="str">
        <f t="shared" si="10528"/>
        <v>0</v>
      </c>
      <c r="Q5531" s="1" t="str">
        <f t="shared" si="10479"/>
        <v>0.0070</v>
      </c>
      <c r="R5531" s="1" t="s">
        <v>25</v>
      </c>
      <c r="T5531" s="1" t="str">
        <f t="shared" si="10480"/>
        <v>0</v>
      </c>
      <c r="U5531" s="1" t="str">
        <f t="shared" si="10509"/>
        <v>0.0070</v>
      </c>
    </row>
    <row r="5532" s="1" customFormat="1" spans="1:21">
      <c r="A5532" s="1" t="str">
        <f>"4601992189887"</f>
        <v>4601992189887</v>
      </c>
      <c r="B5532" s="1" t="s">
        <v>5555</v>
      </c>
      <c r="C5532" s="1" t="s">
        <v>24</v>
      </c>
      <c r="D5532" s="1" t="str">
        <f t="shared" si="10476"/>
        <v>2021</v>
      </c>
      <c r="E5532" s="1" t="str">
        <f t="shared" ref="E5532:I5532" si="10529">"0"</f>
        <v>0</v>
      </c>
      <c r="F5532" s="1" t="str">
        <f t="shared" si="10529"/>
        <v>0</v>
      </c>
      <c r="G5532" s="1" t="str">
        <f t="shared" si="10529"/>
        <v>0</v>
      </c>
      <c r="H5532" s="1" t="str">
        <f t="shared" si="10529"/>
        <v>0</v>
      </c>
      <c r="I5532" s="1" t="str">
        <f t="shared" si="10529"/>
        <v>0</v>
      </c>
      <c r="J5532" s="1" t="str">
        <f>"1"</f>
        <v>1</v>
      </c>
      <c r="K5532" s="1" t="str">
        <f t="shared" ref="K5532:P5532" si="10530">"0"</f>
        <v>0</v>
      </c>
      <c r="L5532" s="1" t="str">
        <f t="shared" si="10530"/>
        <v>0</v>
      </c>
      <c r="M5532" s="1" t="str">
        <f t="shared" si="10530"/>
        <v>0</v>
      </c>
      <c r="N5532" s="1" t="str">
        <f t="shared" si="10530"/>
        <v>0</v>
      </c>
      <c r="O5532" s="1" t="str">
        <f t="shared" si="10530"/>
        <v>0</v>
      </c>
      <c r="P5532" s="1" t="str">
        <f t="shared" si="10530"/>
        <v>0</v>
      </c>
      <c r="Q5532" s="1" t="str">
        <f t="shared" si="10479"/>
        <v>0.0070</v>
      </c>
      <c r="R5532" s="1" t="s">
        <v>25</v>
      </c>
      <c r="T5532" s="1" t="str">
        <f t="shared" si="10480"/>
        <v>0</v>
      </c>
      <c r="U5532" s="1" t="str">
        <f t="shared" si="10509"/>
        <v>0.0070</v>
      </c>
    </row>
    <row r="5533" s="1" customFormat="1" spans="1:21">
      <c r="A5533" s="1" t="str">
        <f>"4601992189896"</f>
        <v>4601992189896</v>
      </c>
      <c r="B5533" s="1" t="s">
        <v>5556</v>
      </c>
      <c r="C5533" s="1" t="s">
        <v>24</v>
      </c>
      <c r="D5533" s="1" t="str">
        <f t="shared" si="10476"/>
        <v>2021</v>
      </c>
      <c r="E5533" s="1" t="str">
        <f t="shared" ref="E5533:I5533" si="10531">"0"</f>
        <v>0</v>
      </c>
      <c r="F5533" s="1" t="str">
        <f t="shared" si="10531"/>
        <v>0</v>
      </c>
      <c r="G5533" s="1" t="str">
        <f t="shared" si="10531"/>
        <v>0</v>
      </c>
      <c r="H5533" s="1" t="str">
        <f t="shared" si="10531"/>
        <v>0</v>
      </c>
      <c r="I5533" s="1" t="str">
        <f t="shared" si="10531"/>
        <v>0</v>
      </c>
      <c r="J5533" s="1" t="str">
        <f>"3"</f>
        <v>3</v>
      </c>
      <c r="K5533" s="1" t="str">
        <f t="shared" ref="K5533:P5533" si="10532">"0"</f>
        <v>0</v>
      </c>
      <c r="L5533" s="1" t="str">
        <f t="shared" si="10532"/>
        <v>0</v>
      </c>
      <c r="M5533" s="1" t="str">
        <f t="shared" si="10532"/>
        <v>0</v>
      </c>
      <c r="N5533" s="1" t="str">
        <f t="shared" si="10532"/>
        <v>0</v>
      </c>
      <c r="O5533" s="1" t="str">
        <f t="shared" si="10532"/>
        <v>0</v>
      </c>
      <c r="P5533" s="1" t="str">
        <f t="shared" si="10532"/>
        <v>0</v>
      </c>
      <c r="Q5533" s="1" t="str">
        <f t="shared" si="10479"/>
        <v>0.0070</v>
      </c>
      <c r="R5533" s="1" t="s">
        <v>25</v>
      </c>
      <c r="T5533" s="1" t="str">
        <f t="shared" si="10480"/>
        <v>0</v>
      </c>
      <c r="U5533" s="1" t="str">
        <f t="shared" si="10509"/>
        <v>0.0070</v>
      </c>
    </row>
    <row r="5534" s="1" customFormat="1" spans="1:21">
      <c r="A5534" s="1" t="str">
        <f>"4601992189911"</f>
        <v>4601992189911</v>
      </c>
      <c r="B5534" s="1" t="s">
        <v>5557</v>
      </c>
      <c r="C5534" s="1" t="s">
        <v>24</v>
      </c>
      <c r="D5534" s="1" t="str">
        <f t="shared" si="10476"/>
        <v>2021</v>
      </c>
      <c r="E5534" s="1" t="str">
        <f t="shared" ref="E5534:I5534" si="10533">"0"</f>
        <v>0</v>
      </c>
      <c r="F5534" s="1" t="str">
        <f t="shared" si="10533"/>
        <v>0</v>
      </c>
      <c r="G5534" s="1" t="str">
        <f t="shared" si="10533"/>
        <v>0</v>
      </c>
      <c r="H5534" s="1" t="str">
        <f t="shared" si="10533"/>
        <v>0</v>
      </c>
      <c r="I5534" s="1" t="str">
        <f t="shared" si="10533"/>
        <v>0</v>
      </c>
      <c r="J5534" s="1" t="str">
        <f>"1"</f>
        <v>1</v>
      </c>
      <c r="K5534" s="1" t="str">
        <f t="shared" ref="K5534:P5534" si="10534">"0"</f>
        <v>0</v>
      </c>
      <c r="L5534" s="1" t="str">
        <f t="shared" si="10534"/>
        <v>0</v>
      </c>
      <c r="M5534" s="1" t="str">
        <f t="shared" si="10534"/>
        <v>0</v>
      </c>
      <c r="N5534" s="1" t="str">
        <f t="shared" si="10534"/>
        <v>0</v>
      </c>
      <c r="O5534" s="1" t="str">
        <f t="shared" si="10534"/>
        <v>0</v>
      </c>
      <c r="P5534" s="1" t="str">
        <f t="shared" si="10534"/>
        <v>0</v>
      </c>
      <c r="Q5534" s="1" t="str">
        <f t="shared" si="10479"/>
        <v>0.0070</v>
      </c>
      <c r="R5534" s="1" t="s">
        <v>25</v>
      </c>
      <c r="T5534" s="1" t="str">
        <f t="shared" si="10480"/>
        <v>0</v>
      </c>
      <c r="U5534" s="1" t="str">
        <f t="shared" si="10509"/>
        <v>0.0070</v>
      </c>
    </row>
    <row r="5535" s="1" customFormat="1" spans="1:21">
      <c r="A5535" s="1" t="str">
        <f>"4601992189937"</f>
        <v>4601992189937</v>
      </c>
      <c r="B5535" s="1" t="s">
        <v>5558</v>
      </c>
      <c r="C5535" s="1" t="s">
        <v>24</v>
      </c>
      <c r="D5535" s="1" t="str">
        <f t="shared" si="10476"/>
        <v>2021</v>
      </c>
      <c r="E5535" s="1" t="str">
        <f t="shared" ref="E5535:I5535" si="10535">"0"</f>
        <v>0</v>
      </c>
      <c r="F5535" s="1" t="str">
        <f t="shared" si="10535"/>
        <v>0</v>
      </c>
      <c r="G5535" s="1" t="str">
        <f t="shared" si="10535"/>
        <v>0</v>
      </c>
      <c r="H5535" s="1" t="str">
        <f t="shared" si="10535"/>
        <v>0</v>
      </c>
      <c r="I5535" s="1" t="str">
        <f t="shared" si="10535"/>
        <v>0</v>
      </c>
      <c r="J5535" s="1" t="str">
        <f>"2"</f>
        <v>2</v>
      </c>
      <c r="K5535" s="1" t="str">
        <f t="shared" ref="K5535:P5535" si="10536">"0"</f>
        <v>0</v>
      </c>
      <c r="L5535" s="1" t="str">
        <f t="shared" si="10536"/>
        <v>0</v>
      </c>
      <c r="M5535" s="1" t="str">
        <f t="shared" si="10536"/>
        <v>0</v>
      </c>
      <c r="N5535" s="1" t="str">
        <f t="shared" si="10536"/>
        <v>0</v>
      </c>
      <c r="O5535" s="1" t="str">
        <f t="shared" si="10536"/>
        <v>0</v>
      </c>
      <c r="P5535" s="1" t="str">
        <f t="shared" si="10536"/>
        <v>0</v>
      </c>
      <c r="Q5535" s="1" t="str">
        <f t="shared" si="10479"/>
        <v>0.0070</v>
      </c>
      <c r="R5535" s="1" t="s">
        <v>25</v>
      </c>
      <c r="T5535" s="1" t="str">
        <f t="shared" si="10480"/>
        <v>0</v>
      </c>
      <c r="U5535" s="1" t="str">
        <f t="shared" si="10509"/>
        <v>0.0070</v>
      </c>
    </row>
    <row r="5536" s="1" customFormat="1" spans="1:21">
      <c r="A5536" s="1" t="str">
        <f>"4601992189943"</f>
        <v>4601992189943</v>
      </c>
      <c r="B5536" s="1" t="s">
        <v>5559</v>
      </c>
      <c r="C5536" s="1" t="s">
        <v>24</v>
      </c>
      <c r="D5536" s="1" t="str">
        <f t="shared" si="10476"/>
        <v>2021</v>
      </c>
      <c r="E5536" s="1" t="str">
        <f t="shared" ref="E5536:P5536" si="10537">"0"</f>
        <v>0</v>
      </c>
      <c r="F5536" s="1" t="str">
        <f t="shared" si="10537"/>
        <v>0</v>
      </c>
      <c r="G5536" s="1" t="str">
        <f t="shared" si="10537"/>
        <v>0</v>
      </c>
      <c r="H5536" s="1" t="str">
        <f t="shared" si="10537"/>
        <v>0</v>
      </c>
      <c r="I5536" s="1" t="str">
        <f t="shared" si="10537"/>
        <v>0</v>
      </c>
      <c r="J5536" s="1" t="str">
        <f t="shared" si="10537"/>
        <v>0</v>
      </c>
      <c r="K5536" s="1" t="str">
        <f t="shared" si="10537"/>
        <v>0</v>
      </c>
      <c r="L5536" s="1" t="str">
        <f t="shared" si="10537"/>
        <v>0</v>
      </c>
      <c r="M5536" s="1" t="str">
        <f t="shared" si="10537"/>
        <v>0</v>
      </c>
      <c r="N5536" s="1" t="str">
        <f t="shared" si="10537"/>
        <v>0</v>
      </c>
      <c r="O5536" s="1" t="str">
        <f t="shared" si="10537"/>
        <v>0</v>
      </c>
      <c r="P5536" s="1" t="str">
        <f t="shared" si="10537"/>
        <v>0</v>
      </c>
      <c r="Q5536" s="1" t="str">
        <f t="shared" si="10479"/>
        <v>0.0070</v>
      </c>
      <c r="R5536" s="1" t="s">
        <v>25</v>
      </c>
      <c r="T5536" s="1" t="str">
        <f t="shared" si="10480"/>
        <v>0</v>
      </c>
      <c r="U5536" s="1" t="str">
        <f t="shared" si="10509"/>
        <v>0.0070</v>
      </c>
    </row>
    <row r="5537" s="1" customFormat="1" spans="1:21">
      <c r="A5537" s="1" t="str">
        <f>"4601992189941"</f>
        <v>4601992189941</v>
      </c>
      <c r="B5537" s="1" t="s">
        <v>5560</v>
      </c>
      <c r="C5537" s="1" t="s">
        <v>24</v>
      </c>
      <c r="D5537" s="1" t="str">
        <f t="shared" si="10476"/>
        <v>2021</v>
      </c>
      <c r="E5537" s="1" t="str">
        <f t="shared" ref="E5537:I5537" si="10538">"0"</f>
        <v>0</v>
      </c>
      <c r="F5537" s="1" t="str">
        <f t="shared" si="10538"/>
        <v>0</v>
      </c>
      <c r="G5537" s="1" t="str">
        <f t="shared" si="10538"/>
        <v>0</v>
      </c>
      <c r="H5537" s="1" t="str">
        <f t="shared" si="10538"/>
        <v>0</v>
      </c>
      <c r="I5537" s="1" t="str">
        <f t="shared" si="10538"/>
        <v>0</v>
      </c>
      <c r="J5537" s="1" t="str">
        <f>"4"</f>
        <v>4</v>
      </c>
      <c r="K5537" s="1" t="str">
        <f t="shared" ref="K5537:P5537" si="10539">"0"</f>
        <v>0</v>
      </c>
      <c r="L5537" s="1" t="str">
        <f t="shared" si="10539"/>
        <v>0</v>
      </c>
      <c r="M5537" s="1" t="str">
        <f t="shared" si="10539"/>
        <v>0</v>
      </c>
      <c r="N5537" s="1" t="str">
        <f t="shared" si="10539"/>
        <v>0</v>
      </c>
      <c r="O5537" s="1" t="str">
        <f t="shared" si="10539"/>
        <v>0</v>
      </c>
      <c r="P5537" s="1" t="str">
        <f t="shared" si="10539"/>
        <v>0</v>
      </c>
      <c r="Q5537" s="1" t="str">
        <f t="shared" si="10479"/>
        <v>0.0070</v>
      </c>
      <c r="R5537" s="1" t="s">
        <v>25</v>
      </c>
      <c r="T5537" s="1" t="str">
        <f t="shared" si="10480"/>
        <v>0</v>
      </c>
      <c r="U5537" s="1" t="str">
        <f t="shared" si="10509"/>
        <v>0.0070</v>
      </c>
    </row>
    <row r="5538" s="1" customFormat="1" spans="1:21">
      <c r="A5538" s="1" t="str">
        <f>"4601992189944"</f>
        <v>4601992189944</v>
      </c>
      <c r="B5538" s="1" t="s">
        <v>5561</v>
      </c>
      <c r="C5538" s="1" t="s">
        <v>24</v>
      </c>
      <c r="D5538" s="1" t="str">
        <f t="shared" si="10476"/>
        <v>2021</v>
      </c>
      <c r="E5538" s="1" t="str">
        <f t="shared" ref="E5538:I5538" si="10540">"0"</f>
        <v>0</v>
      </c>
      <c r="F5538" s="1" t="str">
        <f t="shared" si="10540"/>
        <v>0</v>
      </c>
      <c r="G5538" s="1" t="str">
        <f t="shared" si="10540"/>
        <v>0</v>
      </c>
      <c r="H5538" s="1" t="str">
        <f t="shared" si="10540"/>
        <v>0</v>
      </c>
      <c r="I5538" s="1" t="str">
        <f t="shared" si="10540"/>
        <v>0</v>
      </c>
      <c r="J5538" s="1" t="str">
        <f>"2"</f>
        <v>2</v>
      </c>
      <c r="K5538" s="1" t="str">
        <f t="shared" ref="K5538:P5538" si="10541">"0"</f>
        <v>0</v>
      </c>
      <c r="L5538" s="1" t="str">
        <f t="shared" si="10541"/>
        <v>0</v>
      </c>
      <c r="M5538" s="1" t="str">
        <f t="shared" si="10541"/>
        <v>0</v>
      </c>
      <c r="N5538" s="1" t="str">
        <f t="shared" si="10541"/>
        <v>0</v>
      </c>
      <c r="O5538" s="1" t="str">
        <f t="shared" si="10541"/>
        <v>0</v>
      </c>
      <c r="P5538" s="1" t="str">
        <f t="shared" si="10541"/>
        <v>0</v>
      </c>
      <c r="Q5538" s="1" t="str">
        <f t="shared" si="10479"/>
        <v>0.0070</v>
      </c>
      <c r="R5538" s="1" t="s">
        <v>25</v>
      </c>
      <c r="T5538" s="1" t="str">
        <f t="shared" si="10480"/>
        <v>0</v>
      </c>
      <c r="U5538" s="1" t="str">
        <f t="shared" si="10509"/>
        <v>0.0070</v>
      </c>
    </row>
    <row r="5539" s="1" customFormat="1" spans="1:21">
      <c r="A5539" s="1" t="str">
        <f>"4601992189953"</f>
        <v>4601992189953</v>
      </c>
      <c r="B5539" s="1" t="s">
        <v>5562</v>
      </c>
      <c r="C5539" s="1" t="s">
        <v>24</v>
      </c>
      <c r="D5539" s="1" t="str">
        <f t="shared" si="10476"/>
        <v>2021</v>
      </c>
      <c r="E5539" s="1" t="str">
        <f t="shared" ref="E5539:I5539" si="10542">"0"</f>
        <v>0</v>
      </c>
      <c r="F5539" s="1" t="str">
        <f t="shared" si="10542"/>
        <v>0</v>
      </c>
      <c r="G5539" s="1" t="str">
        <f t="shared" si="10542"/>
        <v>0</v>
      </c>
      <c r="H5539" s="1" t="str">
        <f t="shared" si="10542"/>
        <v>0</v>
      </c>
      <c r="I5539" s="1" t="str">
        <f t="shared" si="10542"/>
        <v>0</v>
      </c>
      <c r="J5539" s="1" t="str">
        <f>"3"</f>
        <v>3</v>
      </c>
      <c r="K5539" s="1" t="str">
        <f t="shared" ref="K5539:P5539" si="10543">"0"</f>
        <v>0</v>
      </c>
      <c r="L5539" s="1" t="str">
        <f t="shared" si="10543"/>
        <v>0</v>
      </c>
      <c r="M5539" s="1" t="str">
        <f t="shared" si="10543"/>
        <v>0</v>
      </c>
      <c r="N5539" s="1" t="str">
        <f t="shared" si="10543"/>
        <v>0</v>
      </c>
      <c r="O5539" s="1" t="str">
        <f t="shared" si="10543"/>
        <v>0</v>
      </c>
      <c r="P5539" s="1" t="str">
        <f t="shared" si="10543"/>
        <v>0</v>
      </c>
      <c r="Q5539" s="1" t="str">
        <f t="shared" si="10479"/>
        <v>0.0070</v>
      </c>
      <c r="R5539" s="1" t="s">
        <v>25</v>
      </c>
      <c r="T5539" s="1" t="str">
        <f t="shared" si="10480"/>
        <v>0</v>
      </c>
      <c r="U5539" s="1" t="str">
        <f t="shared" si="10509"/>
        <v>0.0070</v>
      </c>
    </row>
    <row r="5540" s="1" customFormat="1" spans="1:21">
      <c r="A5540" s="1" t="str">
        <f>"4601992190015"</f>
        <v>4601992190015</v>
      </c>
      <c r="B5540" s="1" t="s">
        <v>5563</v>
      </c>
      <c r="C5540" s="1" t="s">
        <v>24</v>
      </c>
      <c r="D5540" s="1" t="str">
        <f t="shared" si="10476"/>
        <v>2021</v>
      </c>
      <c r="E5540" s="1" t="str">
        <f t="shared" ref="E5540:I5540" si="10544">"0"</f>
        <v>0</v>
      </c>
      <c r="F5540" s="1" t="str">
        <f t="shared" si="10544"/>
        <v>0</v>
      </c>
      <c r="G5540" s="1" t="str">
        <f t="shared" si="10544"/>
        <v>0</v>
      </c>
      <c r="H5540" s="1" t="str">
        <f t="shared" si="10544"/>
        <v>0</v>
      </c>
      <c r="I5540" s="1" t="str">
        <f t="shared" si="10544"/>
        <v>0</v>
      </c>
      <c r="J5540" s="1" t="str">
        <f>"3"</f>
        <v>3</v>
      </c>
      <c r="K5540" s="1" t="str">
        <f t="shared" ref="K5540:P5540" si="10545">"0"</f>
        <v>0</v>
      </c>
      <c r="L5540" s="1" t="str">
        <f t="shared" si="10545"/>
        <v>0</v>
      </c>
      <c r="M5540" s="1" t="str">
        <f t="shared" si="10545"/>
        <v>0</v>
      </c>
      <c r="N5540" s="1" t="str">
        <f t="shared" si="10545"/>
        <v>0</v>
      </c>
      <c r="O5540" s="1" t="str">
        <f t="shared" si="10545"/>
        <v>0</v>
      </c>
      <c r="P5540" s="1" t="str">
        <f t="shared" si="10545"/>
        <v>0</v>
      </c>
      <c r="Q5540" s="1" t="str">
        <f t="shared" si="10479"/>
        <v>0.0070</v>
      </c>
      <c r="R5540" s="1" t="s">
        <v>25</v>
      </c>
      <c r="T5540" s="1" t="str">
        <f t="shared" si="10480"/>
        <v>0</v>
      </c>
      <c r="U5540" s="1" t="str">
        <f t="shared" si="10509"/>
        <v>0.0070</v>
      </c>
    </row>
    <row r="5541" s="1" customFormat="1" spans="1:21">
      <c r="A5541" s="1" t="str">
        <f>"4601992189998"</f>
        <v>4601992189998</v>
      </c>
      <c r="B5541" s="1" t="s">
        <v>5564</v>
      </c>
      <c r="C5541" s="1" t="s">
        <v>24</v>
      </c>
      <c r="D5541" s="1" t="str">
        <f t="shared" si="10476"/>
        <v>2021</v>
      </c>
      <c r="E5541" s="1" t="str">
        <f t="shared" ref="E5541:I5541" si="10546">"0"</f>
        <v>0</v>
      </c>
      <c r="F5541" s="1" t="str">
        <f t="shared" si="10546"/>
        <v>0</v>
      </c>
      <c r="G5541" s="1" t="str">
        <f t="shared" si="10546"/>
        <v>0</v>
      </c>
      <c r="H5541" s="1" t="str">
        <f t="shared" si="10546"/>
        <v>0</v>
      </c>
      <c r="I5541" s="1" t="str">
        <f t="shared" si="10546"/>
        <v>0</v>
      </c>
      <c r="J5541" s="1" t="str">
        <f>"4"</f>
        <v>4</v>
      </c>
      <c r="K5541" s="1" t="str">
        <f t="shared" ref="K5541:P5541" si="10547">"0"</f>
        <v>0</v>
      </c>
      <c r="L5541" s="1" t="str">
        <f t="shared" si="10547"/>
        <v>0</v>
      </c>
      <c r="M5541" s="1" t="str">
        <f t="shared" si="10547"/>
        <v>0</v>
      </c>
      <c r="N5541" s="1" t="str">
        <f t="shared" si="10547"/>
        <v>0</v>
      </c>
      <c r="O5541" s="1" t="str">
        <f t="shared" si="10547"/>
        <v>0</v>
      </c>
      <c r="P5541" s="1" t="str">
        <f t="shared" si="10547"/>
        <v>0</v>
      </c>
      <c r="Q5541" s="1" t="str">
        <f t="shared" si="10479"/>
        <v>0.0070</v>
      </c>
      <c r="R5541" s="1" t="s">
        <v>25</v>
      </c>
      <c r="T5541" s="1" t="str">
        <f t="shared" si="10480"/>
        <v>0</v>
      </c>
      <c r="U5541" s="1" t="str">
        <f t="shared" si="10509"/>
        <v>0.0070</v>
      </c>
    </row>
    <row r="5542" s="1" customFormat="1" spans="1:21">
      <c r="A5542" s="1" t="str">
        <f>"4601992190017"</f>
        <v>4601992190017</v>
      </c>
      <c r="B5542" s="1" t="s">
        <v>5565</v>
      </c>
      <c r="C5542" s="1" t="s">
        <v>24</v>
      </c>
      <c r="D5542" s="1" t="str">
        <f t="shared" si="10476"/>
        <v>2021</v>
      </c>
      <c r="E5542" s="1" t="str">
        <f t="shared" ref="E5542:I5542" si="10548">"0"</f>
        <v>0</v>
      </c>
      <c r="F5542" s="1" t="str">
        <f t="shared" si="10548"/>
        <v>0</v>
      </c>
      <c r="G5542" s="1" t="str">
        <f t="shared" si="10548"/>
        <v>0</v>
      </c>
      <c r="H5542" s="1" t="str">
        <f t="shared" si="10548"/>
        <v>0</v>
      </c>
      <c r="I5542" s="1" t="str">
        <f t="shared" si="10548"/>
        <v>0</v>
      </c>
      <c r="J5542" s="1" t="str">
        <f>"2"</f>
        <v>2</v>
      </c>
      <c r="K5542" s="1" t="str">
        <f t="shared" ref="K5542:P5542" si="10549">"0"</f>
        <v>0</v>
      </c>
      <c r="L5542" s="1" t="str">
        <f t="shared" si="10549"/>
        <v>0</v>
      </c>
      <c r="M5542" s="1" t="str">
        <f t="shared" si="10549"/>
        <v>0</v>
      </c>
      <c r="N5542" s="1" t="str">
        <f t="shared" si="10549"/>
        <v>0</v>
      </c>
      <c r="O5542" s="1" t="str">
        <f t="shared" si="10549"/>
        <v>0</v>
      </c>
      <c r="P5542" s="1" t="str">
        <f t="shared" si="10549"/>
        <v>0</v>
      </c>
      <c r="Q5542" s="1" t="str">
        <f t="shared" si="10479"/>
        <v>0.0070</v>
      </c>
      <c r="R5542" s="1" t="s">
        <v>25</v>
      </c>
      <c r="T5542" s="1" t="str">
        <f t="shared" si="10480"/>
        <v>0</v>
      </c>
      <c r="U5542" s="1" t="str">
        <f t="shared" si="10509"/>
        <v>0.0070</v>
      </c>
    </row>
    <row r="5543" s="1" customFormat="1" spans="1:21">
      <c r="A5543" s="1" t="str">
        <f>"4601992190030"</f>
        <v>4601992190030</v>
      </c>
      <c r="B5543" s="1" t="s">
        <v>5566</v>
      </c>
      <c r="C5543" s="1" t="s">
        <v>24</v>
      </c>
      <c r="D5543" s="1" t="str">
        <f t="shared" si="10476"/>
        <v>2021</v>
      </c>
      <c r="E5543" s="1" t="str">
        <f t="shared" ref="E5543:I5543" si="10550">"0"</f>
        <v>0</v>
      </c>
      <c r="F5543" s="1" t="str">
        <f t="shared" si="10550"/>
        <v>0</v>
      </c>
      <c r="G5543" s="1" t="str">
        <f t="shared" si="10550"/>
        <v>0</v>
      </c>
      <c r="H5543" s="1" t="str">
        <f t="shared" si="10550"/>
        <v>0</v>
      </c>
      <c r="I5543" s="1" t="str">
        <f t="shared" si="10550"/>
        <v>0</v>
      </c>
      <c r="J5543" s="1" t="str">
        <f>"13"</f>
        <v>13</v>
      </c>
      <c r="K5543" s="1" t="str">
        <f t="shared" ref="K5543:P5543" si="10551">"0"</f>
        <v>0</v>
      </c>
      <c r="L5543" s="1" t="str">
        <f t="shared" si="10551"/>
        <v>0</v>
      </c>
      <c r="M5543" s="1" t="str">
        <f t="shared" si="10551"/>
        <v>0</v>
      </c>
      <c r="N5543" s="1" t="str">
        <f t="shared" si="10551"/>
        <v>0</v>
      </c>
      <c r="O5543" s="1" t="str">
        <f t="shared" si="10551"/>
        <v>0</v>
      </c>
      <c r="P5543" s="1" t="str">
        <f t="shared" si="10551"/>
        <v>0</v>
      </c>
      <c r="Q5543" s="1" t="str">
        <f t="shared" si="10479"/>
        <v>0.0070</v>
      </c>
      <c r="R5543" s="1" t="s">
        <v>25</v>
      </c>
      <c r="T5543" s="1" t="str">
        <f t="shared" si="10480"/>
        <v>0</v>
      </c>
      <c r="U5543" s="1" t="str">
        <f t="shared" si="10509"/>
        <v>0.0070</v>
      </c>
    </row>
    <row r="5544" s="1" customFormat="1" spans="1:21">
      <c r="A5544" s="1" t="str">
        <f>"4601992190046"</f>
        <v>4601992190046</v>
      </c>
      <c r="B5544" s="1" t="s">
        <v>5567</v>
      </c>
      <c r="C5544" s="1" t="s">
        <v>24</v>
      </c>
      <c r="D5544" s="1" t="str">
        <f t="shared" si="10476"/>
        <v>2021</v>
      </c>
      <c r="E5544" s="1" t="str">
        <f t="shared" ref="E5544:I5544" si="10552">"0"</f>
        <v>0</v>
      </c>
      <c r="F5544" s="1" t="str">
        <f t="shared" si="10552"/>
        <v>0</v>
      </c>
      <c r="G5544" s="1" t="str">
        <f t="shared" si="10552"/>
        <v>0</v>
      </c>
      <c r="H5544" s="1" t="str">
        <f t="shared" si="10552"/>
        <v>0</v>
      </c>
      <c r="I5544" s="1" t="str">
        <f t="shared" si="10552"/>
        <v>0</v>
      </c>
      <c r="J5544" s="1" t="str">
        <f>"4"</f>
        <v>4</v>
      </c>
      <c r="K5544" s="1" t="str">
        <f t="shared" ref="K5544:P5544" si="10553">"0"</f>
        <v>0</v>
      </c>
      <c r="L5544" s="1" t="str">
        <f t="shared" si="10553"/>
        <v>0</v>
      </c>
      <c r="M5544" s="1" t="str">
        <f t="shared" si="10553"/>
        <v>0</v>
      </c>
      <c r="N5544" s="1" t="str">
        <f t="shared" si="10553"/>
        <v>0</v>
      </c>
      <c r="O5544" s="1" t="str">
        <f t="shared" si="10553"/>
        <v>0</v>
      </c>
      <c r="P5544" s="1" t="str">
        <f t="shared" si="10553"/>
        <v>0</v>
      </c>
      <c r="Q5544" s="1" t="str">
        <f t="shared" si="10479"/>
        <v>0.0070</v>
      </c>
      <c r="R5544" s="1" t="s">
        <v>25</v>
      </c>
      <c r="T5544" s="1" t="str">
        <f t="shared" si="10480"/>
        <v>0</v>
      </c>
      <c r="U5544" s="1" t="str">
        <f t="shared" si="10509"/>
        <v>0.0070</v>
      </c>
    </row>
    <row r="5545" s="1" customFormat="1" spans="1:21">
      <c r="A5545" s="1" t="str">
        <f>"4601992190044"</f>
        <v>4601992190044</v>
      </c>
      <c r="B5545" s="1" t="s">
        <v>5568</v>
      </c>
      <c r="C5545" s="1" t="s">
        <v>24</v>
      </c>
      <c r="D5545" s="1" t="str">
        <f t="shared" si="10476"/>
        <v>2021</v>
      </c>
      <c r="E5545" s="1" t="str">
        <f t="shared" ref="E5545:I5545" si="10554">"0"</f>
        <v>0</v>
      </c>
      <c r="F5545" s="1" t="str">
        <f t="shared" si="10554"/>
        <v>0</v>
      </c>
      <c r="G5545" s="1" t="str">
        <f t="shared" si="10554"/>
        <v>0</v>
      </c>
      <c r="H5545" s="1" t="str">
        <f t="shared" si="10554"/>
        <v>0</v>
      </c>
      <c r="I5545" s="1" t="str">
        <f t="shared" si="10554"/>
        <v>0</v>
      </c>
      <c r="J5545" s="1" t="str">
        <f>"12"</f>
        <v>12</v>
      </c>
      <c r="K5545" s="1" t="str">
        <f t="shared" ref="K5545:P5545" si="10555">"0"</f>
        <v>0</v>
      </c>
      <c r="L5545" s="1" t="str">
        <f t="shared" si="10555"/>
        <v>0</v>
      </c>
      <c r="M5545" s="1" t="str">
        <f t="shared" si="10555"/>
        <v>0</v>
      </c>
      <c r="N5545" s="1" t="str">
        <f t="shared" si="10555"/>
        <v>0</v>
      </c>
      <c r="O5545" s="1" t="str">
        <f t="shared" si="10555"/>
        <v>0</v>
      </c>
      <c r="P5545" s="1" t="str">
        <f t="shared" si="10555"/>
        <v>0</v>
      </c>
      <c r="Q5545" s="1" t="str">
        <f t="shared" si="10479"/>
        <v>0.0070</v>
      </c>
      <c r="R5545" s="1" t="s">
        <v>25</v>
      </c>
      <c r="T5545" s="1" t="str">
        <f t="shared" si="10480"/>
        <v>0</v>
      </c>
      <c r="U5545" s="1" t="str">
        <f t="shared" si="10509"/>
        <v>0.0070</v>
      </c>
    </row>
    <row r="5546" s="1" customFormat="1" spans="1:21">
      <c r="A5546" s="1" t="str">
        <f>"4601992190058"</f>
        <v>4601992190058</v>
      </c>
      <c r="B5546" s="1" t="s">
        <v>5569</v>
      </c>
      <c r="C5546" s="1" t="s">
        <v>24</v>
      </c>
      <c r="D5546" s="1" t="str">
        <f t="shared" si="10476"/>
        <v>2021</v>
      </c>
      <c r="E5546" s="1" t="str">
        <f t="shared" ref="E5546:I5546" si="10556">"0"</f>
        <v>0</v>
      </c>
      <c r="F5546" s="1" t="str">
        <f t="shared" si="10556"/>
        <v>0</v>
      </c>
      <c r="G5546" s="1" t="str">
        <f t="shared" si="10556"/>
        <v>0</v>
      </c>
      <c r="H5546" s="1" t="str">
        <f t="shared" si="10556"/>
        <v>0</v>
      </c>
      <c r="I5546" s="1" t="str">
        <f t="shared" si="10556"/>
        <v>0</v>
      </c>
      <c r="J5546" s="1" t="str">
        <f>"1"</f>
        <v>1</v>
      </c>
      <c r="K5546" s="1" t="str">
        <f t="shared" ref="K5546:P5546" si="10557">"0"</f>
        <v>0</v>
      </c>
      <c r="L5546" s="1" t="str">
        <f t="shared" si="10557"/>
        <v>0</v>
      </c>
      <c r="M5546" s="1" t="str">
        <f t="shared" si="10557"/>
        <v>0</v>
      </c>
      <c r="N5546" s="1" t="str">
        <f t="shared" si="10557"/>
        <v>0</v>
      </c>
      <c r="O5546" s="1" t="str">
        <f t="shared" si="10557"/>
        <v>0</v>
      </c>
      <c r="P5546" s="1" t="str">
        <f t="shared" si="10557"/>
        <v>0</v>
      </c>
      <c r="Q5546" s="1" t="str">
        <f t="shared" si="10479"/>
        <v>0.0070</v>
      </c>
      <c r="R5546" s="1" t="s">
        <v>25</v>
      </c>
      <c r="T5546" s="1" t="str">
        <f t="shared" si="10480"/>
        <v>0</v>
      </c>
      <c r="U5546" s="1" t="str">
        <f t="shared" si="10509"/>
        <v>0.0070</v>
      </c>
    </row>
    <row r="5547" s="1" customFormat="1" spans="1:21">
      <c r="A5547" s="1" t="str">
        <f>"4601992190115"</f>
        <v>4601992190115</v>
      </c>
      <c r="B5547" s="1" t="s">
        <v>5570</v>
      </c>
      <c r="C5547" s="1" t="s">
        <v>24</v>
      </c>
      <c r="D5547" s="1" t="str">
        <f t="shared" si="10476"/>
        <v>2021</v>
      </c>
      <c r="E5547" s="1" t="str">
        <f t="shared" ref="E5547:I5547" si="10558">"0"</f>
        <v>0</v>
      </c>
      <c r="F5547" s="1" t="str">
        <f t="shared" si="10558"/>
        <v>0</v>
      </c>
      <c r="G5547" s="1" t="str">
        <f t="shared" si="10558"/>
        <v>0</v>
      </c>
      <c r="H5547" s="1" t="str">
        <f t="shared" si="10558"/>
        <v>0</v>
      </c>
      <c r="I5547" s="1" t="str">
        <f t="shared" si="10558"/>
        <v>0</v>
      </c>
      <c r="J5547" s="1" t="str">
        <f>"5"</f>
        <v>5</v>
      </c>
      <c r="K5547" s="1" t="str">
        <f t="shared" ref="K5547:P5547" si="10559">"0"</f>
        <v>0</v>
      </c>
      <c r="L5547" s="1" t="str">
        <f t="shared" si="10559"/>
        <v>0</v>
      </c>
      <c r="M5547" s="1" t="str">
        <f t="shared" si="10559"/>
        <v>0</v>
      </c>
      <c r="N5547" s="1" t="str">
        <f t="shared" si="10559"/>
        <v>0</v>
      </c>
      <c r="O5547" s="1" t="str">
        <f t="shared" si="10559"/>
        <v>0</v>
      </c>
      <c r="P5547" s="1" t="str">
        <f t="shared" si="10559"/>
        <v>0</v>
      </c>
      <c r="Q5547" s="1" t="str">
        <f t="shared" si="10479"/>
        <v>0.0070</v>
      </c>
      <c r="R5547" s="1" t="s">
        <v>25</v>
      </c>
      <c r="T5547" s="1" t="str">
        <f t="shared" si="10480"/>
        <v>0</v>
      </c>
      <c r="U5547" s="1" t="str">
        <f t="shared" si="10509"/>
        <v>0.0070</v>
      </c>
    </row>
    <row r="5548" s="1" customFormat="1" spans="1:21">
      <c r="A5548" s="1" t="str">
        <f>"4601992190142"</f>
        <v>4601992190142</v>
      </c>
      <c r="B5548" s="1" t="s">
        <v>5571</v>
      </c>
      <c r="C5548" s="1" t="s">
        <v>24</v>
      </c>
      <c r="D5548" s="1" t="str">
        <f t="shared" si="10476"/>
        <v>2021</v>
      </c>
      <c r="E5548" s="1" t="str">
        <f t="shared" ref="E5548:I5548" si="10560">"0"</f>
        <v>0</v>
      </c>
      <c r="F5548" s="1" t="str">
        <f t="shared" si="10560"/>
        <v>0</v>
      </c>
      <c r="G5548" s="1" t="str">
        <f t="shared" si="10560"/>
        <v>0</v>
      </c>
      <c r="H5548" s="1" t="str">
        <f t="shared" si="10560"/>
        <v>0</v>
      </c>
      <c r="I5548" s="1" t="str">
        <f t="shared" si="10560"/>
        <v>0</v>
      </c>
      <c r="J5548" s="1" t="str">
        <f>"4"</f>
        <v>4</v>
      </c>
      <c r="K5548" s="1" t="str">
        <f t="shared" ref="K5548:P5548" si="10561">"0"</f>
        <v>0</v>
      </c>
      <c r="L5548" s="1" t="str">
        <f t="shared" si="10561"/>
        <v>0</v>
      </c>
      <c r="M5548" s="1" t="str">
        <f t="shared" si="10561"/>
        <v>0</v>
      </c>
      <c r="N5548" s="1" t="str">
        <f t="shared" si="10561"/>
        <v>0</v>
      </c>
      <c r="O5548" s="1" t="str">
        <f t="shared" si="10561"/>
        <v>0</v>
      </c>
      <c r="P5548" s="1" t="str">
        <f t="shared" si="10561"/>
        <v>0</v>
      </c>
      <c r="Q5548" s="1" t="str">
        <f t="shared" si="10479"/>
        <v>0.0070</v>
      </c>
      <c r="R5548" s="1" t="s">
        <v>25</v>
      </c>
      <c r="T5548" s="1" t="str">
        <f t="shared" si="10480"/>
        <v>0</v>
      </c>
      <c r="U5548" s="1" t="str">
        <f t="shared" si="10509"/>
        <v>0.0070</v>
      </c>
    </row>
    <row r="5549" s="1" customFormat="1" spans="1:21">
      <c r="A5549" s="1" t="str">
        <f>"4601992190063"</f>
        <v>4601992190063</v>
      </c>
      <c r="B5549" s="1" t="s">
        <v>5572</v>
      </c>
      <c r="C5549" s="1" t="s">
        <v>24</v>
      </c>
      <c r="D5549" s="1" t="str">
        <f t="shared" si="10476"/>
        <v>2021</v>
      </c>
      <c r="E5549" s="1" t="str">
        <f t="shared" ref="E5549:I5549" si="10562">"0"</f>
        <v>0</v>
      </c>
      <c r="F5549" s="1" t="str">
        <f t="shared" si="10562"/>
        <v>0</v>
      </c>
      <c r="G5549" s="1" t="str">
        <f t="shared" si="10562"/>
        <v>0</v>
      </c>
      <c r="H5549" s="1" t="str">
        <f t="shared" si="10562"/>
        <v>0</v>
      </c>
      <c r="I5549" s="1" t="str">
        <f t="shared" si="10562"/>
        <v>0</v>
      </c>
      <c r="J5549" s="1" t="str">
        <f>"12"</f>
        <v>12</v>
      </c>
      <c r="K5549" s="1" t="str">
        <f t="shared" ref="K5549:P5549" si="10563">"0"</f>
        <v>0</v>
      </c>
      <c r="L5549" s="1" t="str">
        <f t="shared" si="10563"/>
        <v>0</v>
      </c>
      <c r="M5549" s="1" t="str">
        <f t="shared" si="10563"/>
        <v>0</v>
      </c>
      <c r="N5549" s="1" t="str">
        <f t="shared" si="10563"/>
        <v>0</v>
      </c>
      <c r="O5549" s="1" t="str">
        <f t="shared" si="10563"/>
        <v>0</v>
      </c>
      <c r="P5549" s="1" t="str">
        <f t="shared" si="10563"/>
        <v>0</v>
      </c>
      <c r="Q5549" s="1" t="str">
        <f t="shared" si="10479"/>
        <v>0.0070</v>
      </c>
      <c r="R5549" s="1" t="s">
        <v>25</v>
      </c>
      <c r="T5549" s="1" t="str">
        <f t="shared" si="10480"/>
        <v>0</v>
      </c>
      <c r="U5549" s="1" t="str">
        <f t="shared" si="10509"/>
        <v>0.0070</v>
      </c>
    </row>
    <row r="5550" s="1" customFormat="1" spans="1:21">
      <c r="A5550" s="1" t="str">
        <f>"4601992190158"</f>
        <v>4601992190158</v>
      </c>
      <c r="B5550" s="1" t="s">
        <v>5573</v>
      </c>
      <c r="C5550" s="1" t="s">
        <v>24</v>
      </c>
      <c r="D5550" s="1" t="str">
        <f t="shared" si="10476"/>
        <v>2021</v>
      </c>
      <c r="E5550" s="1" t="str">
        <f t="shared" ref="E5550:I5550" si="10564">"0"</f>
        <v>0</v>
      </c>
      <c r="F5550" s="1" t="str">
        <f t="shared" si="10564"/>
        <v>0</v>
      </c>
      <c r="G5550" s="1" t="str">
        <f t="shared" si="10564"/>
        <v>0</v>
      </c>
      <c r="H5550" s="1" t="str">
        <f t="shared" si="10564"/>
        <v>0</v>
      </c>
      <c r="I5550" s="1" t="str">
        <f t="shared" si="10564"/>
        <v>0</v>
      </c>
      <c r="J5550" s="1" t="str">
        <f t="shared" ref="J5550:J5555" si="10565">"2"</f>
        <v>2</v>
      </c>
      <c r="K5550" s="1" t="str">
        <f t="shared" ref="K5550:P5550" si="10566">"0"</f>
        <v>0</v>
      </c>
      <c r="L5550" s="1" t="str">
        <f t="shared" si="10566"/>
        <v>0</v>
      </c>
      <c r="M5550" s="1" t="str">
        <f t="shared" si="10566"/>
        <v>0</v>
      </c>
      <c r="N5550" s="1" t="str">
        <f t="shared" si="10566"/>
        <v>0</v>
      </c>
      <c r="O5550" s="1" t="str">
        <f t="shared" si="10566"/>
        <v>0</v>
      </c>
      <c r="P5550" s="1" t="str">
        <f t="shared" si="10566"/>
        <v>0</v>
      </c>
      <c r="Q5550" s="1" t="str">
        <f t="shared" si="10479"/>
        <v>0.0070</v>
      </c>
      <c r="R5550" s="1" t="s">
        <v>25</v>
      </c>
      <c r="T5550" s="1" t="str">
        <f t="shared" si="10480"/>
        <v>0</v>
      </c>
      <c r="U5550" s="1" t="str">
        <f t="shared" si="10509"/>
        <v>0.0070</v>
      </c>
    </row>
    <row r="5551" s="1" customFormat="1" spans="1:21">
      <c r="A5551" s="1" t="str">
        <f>"4601992190222"</f>
        <v>4601992190222</v>
      </c>
      <c r="B5551" s="1" t="s">
        <v>5574</v>
      </c>
      <c r="C5551" s="1" t="s">
        <v>24</v>
      </c>
      <c r="D5551" s="1" t="str">
        <f t="shared" si="10476"/>
        <v>2021</v>
      </c>
      <c r="E5551" s="1" t="str">
        <f t="shared" ref="E5551:P5551" si="10567">"0"</f>
        <v>0</v>
      </c>
      <c r="F5551" s="1" t="str">
        <f t="shared" si="10567"/>
        <v>0</v>
      </c>
      <c r="G5551" s="1" t="str">
        <f t="shared" si="10567"/>
        <v>0</v>
      </c>
      <c r="H5551" s="1" t="str">
        <f t="shared" si="10567"/>
        <v>0</v>
      </c>
      <c r="I5551" s="1" t="str">
        <f t="shared" si="10567"/>
        <v>0</v>
      </c>
      <c r="J5551" s="1" t="str">
        <f t="shared" si="10567"/>
        <v>0</v>
      </c>
      <c r="K5551" s="1" t="str">
        <f t="shared" si="10567"/>
        <v>0</v>
      </c>
      <c r="L5551" s="1" t="str">
        <f t="shared" si="10567"/>
        <v>0</v>
      </c>
      <c r="M5551" s="1" t="str">
        <f t="shared" si="10567"/>
        <v>0</v>
      </c>
      <c r="N5551" s="1" t="str">
        <f t="shared" si="10567"/>
        <v>0</v>
      </c>
      <c r="O5551" s="1" t="str">
        <f t="shared" si="10567"/>
        <v>0</v>
      </c>
      <c r="P5551" s="1" t="str">
        <f t="shared" si="10567"/>
        <v>0</v>
      </c>
      <c r="Q5551" s="1" t="str">
        <f t="shared" si="10479"/>
        <v>0.0070</v>
      </c>
      <c r="R5551" s="1" t="s">
        <v>25</v>
      </c>
      <c r="T5551" s="1" t="str">
        <f t="shared" si="10480"/>
        <v>0</v>
      </c>
      <c r="U5551" s="1" t="str">
        <f t="shared" si="10509"/>
        <v>0.0070</v>
      </c>
    </row>
    <row r="5552" s="1" customFormat="1" spans="1:21">
      <c r="A5552" s="1" t="str">
        <f>"4601992190165"</f>
        <v>4601992190165</v>
      </c>
      <c r="B5552" s="1" t="s">
        <v>5575</v>
      </c>
      <c r="C5552" s="1" t="s">
        <v>24</v>
      </c>
      <c r="D5552" s="1" t="str">
        <f t="shared" si="10476"/>
        <v>2021</v>
      </c>
      <c r="E5552" s="1" t="str">
        <f t="shared" ref="E5552:I5552" si="10568">"0"</f>
        <v>0</v>
      </c>
      <c r="F5552" s="1" t="str">
        <f t="shared" si="10568"/>
        <v>0</v>
      </c>
      <c r="G5552" s="1" t="str">
        <f t="shared" si="10568"/>
        <v>0</v>
      </c>
      <c r="H5552" s="1" t="str">
        <f t="shared" si="10568"/>
        <v>0</v>
      </c>
      <c r="I5552" s="1" t="str">
        <f t="shared" si="10568"/>
        <v>0</v>
      </c>
      <c r="J5552" s="1" t="str">
        <f t="shared" si="10565"/>
        <v>2</v>
      </c>
      <c r="K5552" s="1" t="str">
        <f t="shared" ref="K5552:P5552" si="10569">"0"</f>
        <v>0</v>
      </c>
      <c r="L5552" s="1" t="str">
        <f t="shared" si="10569"/>
        <v>0</v>
      </c>
      <c r="M5552" s="1" t="str">
        <f t="shared" si="10569"/>
        <v>0</v>
      </c>
      <c r="N5552" s="1" t="str">
        <f t="shared" si="10569"/>
        <v>0</v>
      </c>
      <c r="O5552" s="1" t="str">
        <f t="shared" si="10569"/>
        <v>0</v>
      </c>
      <c r="P5552" s="1" t="str">
        <f t="shared" si="10569"/>
        <v>0</v>
      </c>
      <c r="Q5552" s="1" t="str">
        <f t="shared" si="10479"/>
        <v>0.0070</v>
      </c>
      <c r="R5552" s="1" t="s">
        <v>25</v>
      </c>
      <c r="T5552" s="1" t="str">
        <f t="shared" si="10480"/>
        <v>0</v>
      </c>
      <c r="U5552" s="1" t="str">
        <f t="shared" si="10509"/>
        <v>0.0070</v>
      </c>
    </row>
    <row r="5553" s="1" customFormat="1" spans="1:21">
      <c r="A5553" s="1" t="str">
        <f>"4601992190188"</f>
        <v>4601992190188</v>
      </c>
      <c r="B5553" s="1" t="s">
        <v>5576</v>
      </c>
      <c r="C5553" s="1" t="s">
        <v>24</v>
      </c>
      <c r="D5553" s="1" t="str">
        <f t="shared" si="10476"/>
        <v>2021</v>
      </c>
      <c r="E5553" s="1" t="str">
        <f t="shared" ref="E5553:I5553" si="10570">"0"</f>
        <v>0</v>
      </c>
      <c r="F5553" s="1" t="str">
        <f t="shared" si="10570"/>
        <v>0</v>
      </c>
      <c r="G5553" s="1" t="str">
        <f t="shared" si="10570"/>
        <v>0</v>
      </c>
      <c r="H5553" s="1" t="str">
        <f t="shared" si="10570"/>
        <v>0</v>
      </c>
      <c r="I5553" s="1" t="str">
        <f t="shared" si="10570"/>
        <v>0</v>
      </c>
      <c r="J5553" s="1" t="str">
        <f t="shared" si="10565"/>
        <v>2</v>
      </c>
      <c r="K5553" s="1" t="str">
        <f t="shared" ref="K5553:P5553" si="10571">"0"</f>
        <v>0</v>
      </c>
      <c r="L5553" s="1" t="str">
        <f t="shared" si="10571"/>
        <v>0</v>
      </c>
      <c r="M5553" s="1" t="str">
        <f t="shared" si="10571"/>
        <v>0</v>
      </c>
      <c r="N5553" s="1" t="str">
        <f t="shared" si="10571"/>
        <v>0</v>
      </c>
      <c r="O5553" s="1" t="str">
        <f t="shared" si="10571"/>
        <v>0</v>
      </c>
      <c r="P5553" s="1" t="str">
        <f t="shared" si="10571"/>
        <v>0</v>
      </c>
      <c r="Q5553" s="1" t="str">
        <f t="shared" si="10479"/>
        <v>0.0070</v>
      </c>
      <c r="R5553" s="1" t="s">
        <v>25</v>
      </c>
      <c r="T5553" s="1" t="str">
        <f t="shared" si="10480"/>
        <v>0</v>
      </c>
      <c r="U5553" s="1" t="str">
        <f t="shared" si="10509"/>
        <v>0.0070</v>
      </c>
    </row>
    <row r="5554" s="1" customFormat="1" spans="1:21">
      <c r="A5554" s="1" t="str">
        <f>"4601992190214"</f>
        <v>4601992190214</v>
      </c>
      <c r="B5554" s="1" t="s">
        <v>5577</v>
      </c>
      <c r="C5554" s="1" t="s">
        <v>24</v>
      </c>
      <c r="D5554" s="1" t="str">
        <f t="shared" si="10476"/>
        <v>2021</v>
      </c>
      <c r="E5554" s="1" t="str">
        <f t="shared" ref="E5554:I5554" si="10572">"0"</f>
        <v>0</v>
      </c>
      <c r="F5554" s="1" t="str">
        <f t="shared" si="10572"/>
        <v>0</v>
      </c>
      <c r="G5554" s="1" t="str">
        <f t="shared" si="10572"/>
        <v>0</v>
      </c>
      <c r="H5554" s="1" t="str">
        <f t="shared" si="10572"/>
        <v>0</v>
      </c>
      <c r="I5554" s="1" t="str">
        <f t="shared" si="10572"/>
        <v>0</v>
      </c>
      <c r="J5554" s="1" t="str">
        <f t="shared" si="10565"/>
        <v>2</v>
      </c>
      <c r="K5554" s="1" t="str">
        <f t="shared" ref="K5554:P5554" si="10573">"0"</f>
        <v>0</v>
      </c>
      <c r="L5554" s="1" t="str">
        <f t="shared" si="10573"/>
        <v>0</v>
      </c>
      <c r="M5554" s="1" t="str">
        <f t="shared" si="10573"/>
        <v>0</v>
      </c>
      <c r="N5554" s="1" t="str">
        <f t="shared" si="10573"/>
        <v>0</v>
      </c>
      <c r="O5554" s="1" t="str">
        <f t="shared" si="10573"/>
        <v>0</v>
      </c>
      <c r="P5554" s="1" t="str">
        <f t="shared" si="10573"/>
        <v>0</v>
      </c>
      <c r="Q5554" s="1" t="str">
        <f t="shared" si="10479"/>
        <v>0.0070</v>
      </c>
      <c r="R5554" s="1" t="s">
        <v>25</v>
      </c>
      <c r="T5554" s="1" t="str">
        <f t="shared" si="10480"/>
        <v>0</v>
      </c>
      <c r="U5554" s="1" t="str">
        <f t="shared" si="10509"/>
        <v>0.0070</v>
      </c>
    </row>
    <row r="5555" s="1" customFormat="1" spans="1:21">
      <c r="A5555" s="1" t="str">
        <f>"4601992190254"</f>
        <v>4601992190254</v>
      </c>
      <c r="B5555" s="1" t="s">
        <v>5578</v>
      </c>
      <c r="C5555" s="1" t="s">
        <v>24</v>
      </c>
      <c r="D5555" s="1" t="str">
        <f t="shared" si="10476"/>
        <v>2021</v>
      </c>
      <c r="E5555" s="1" t="str">
        <f t="shared" ref="E5555:I5555" si="10574">"0"</f>
        <v>0</v>
      </c>
      <c r="F5555" s="1" t="str">
        <f t="shared" si="10574"/>
        <v>0</v>
      </c>
      <c r="G5555" s="1" t="str">
        <f t="shared" si="10574"/>
        <v>0</v>
      </c>
      <c r="H5555" s="1" t="str">
        <f t="shared" si="10574"/>
        <v>0</v>
      </c>
      <c r="I5555" s="1" t="str">
        <f t="shared" si="10574"/>
        <v>0</v>
      </c>
      <c r="J5555" s="1" t="str">
        <f t="shared" si="10565"/>
        <v>2</v>
      </c>
      <c r="K5555" s="1" t="str">
        <f t="shared" ref="K5555:P5555" si="10575">"0"</f>
        <v>0</v>
      </c>
      <c r="L5555" s="1" t="str">
        <f t="shared" si="10575"/>
        <v>0</v>
      </c>
      <c r="M5555" s="1" t="str">
        <f t="shared" si="10575"/>
        <v>0</v>
      </c>
      <c r="N5555" s="1" t="str">
        <f t="shared" si="10575"/>
        <v>0</v>
      </c>
      <c r="O5555" s="1" t="str">
        <f t="shared" si="10575"/>
        <v>0</v>
      </c>
      <c r="P5555" s="1" t="str">
        <f t="shared" si="10575"/>
        <v>0</v>
      </c>
      <c r="Q5555" s="1" t="str">
        <f t="shared" si="10479"/>
        <v>0.0070</v>
      </c>
      <c r="R5555" s="1" t="s">
        <v>25</v>
      </c>
      <c r="T5555" s="1" t="str">
        <f t="shared" si="10480"/>
        <v>0</v>
      </c>
      <c r="U5555" s="1" t="str">
        <f t="shared" si="10509"/>
        <v>0.0070</v>
      </c>
    </row>
    <row r="5556" s="1" customFormat="1" spans="1:21">
      <c r="A5556" s="1" t="str">
        <f>"4601992190249"</f>
        <v>4601992190249</v>
      </c>
      <c r="B5556" s="1" t="s">
        <v>5579</v>
      </c>
      <c r="C5556" s="1" t="s">
        <v>24</v>
      </c>
      <c r="D5556" s="1" t="str">
        <f t="shared" si="10476"/>
        <v>2021</v>
      </c>
      <c r="E5556" s="1" t="str">
        <f t="shared" ref="E5556:I5556" si="10576">"0"</f>
        <v>0</v>
      </c>
      <c r="F5556" s="1" t="str">
        <f t="shared" si="10576"/>
        <v>0</v>
      </c>
      <c r="G5556" s="1" t="str">
        <f t="shared" si="10576"/>
        <v>0</v>
      </c>
      <c r="H5556" s="1" t="str">
        <f t="shared" si="10576"/>
        <v>0</v>
      </c>
      <c r="I5556" s="1" t="str">
        <f t="shared" si="10576"/>
        <v>0</v>
      </c>
      <c r="J5556" s="1" t="str">
        <f>"1"</f>
        <v>1</v>
      </c>
      <c r="K5556" s="1" t="str">
        <f t="shared" ref="K5556:P5556" si="10577">"0"</f>
        <v>0</v>
      </c>
      <c r="L5556" s="1" t="str">
        <f t="shared" si="10577"/>
        <v>0</v>
      </c>
      <c r="M5556" s="1" t="str">
        <f t="shared" si="10577"/>
        <v>0</v>
      </c>
      <c r="N5556" s="1" t="str">
        <f t="shared" si="10577"/>
        <v>0</v>
      </c>
      <c r="O5556" s="1" t="str">
        <f t="shared" si="10577"/>
        <v>0</v>
      </c>
      <c r="P5556" s="1" t="str">
        <f t="shared" si="10577"/>
        <v>0</v>
      </c>
      <c r="Q5556" s="1" t="str">
        <f t="shared" si="10479"/>
        <v>0.0070</v>
      </c>
      <c r="R5556" s="1" t="s">
        <v>25</v>
      </c>
      <c r="T5556" s="1" t="str">
        <f t="shared" si="10480"/>
        <v>0</v>
      </c>
      <c r="U5556" s="1" t="str">
        <f t="shared" si="10509"/>
        <v>0.0070</v>
      </c>
    </row>
    <row r="5557" s="1" customFormat="1" spans="1:21">
      <c r="A5557" s="1" t="str">
        <f>"4601992190261"</f>
        <v>4601992190261</v>
      </c>
      <c r="B5557" s="1" t="s">
        <v>5580</v>
      </c>
      <c r="C5557" s="1" t="s">
        <v>24</v>
      </c>
      <c r="D5557" s="1" t="str">
        <f t="shared" si="10476"/>
        <v>2021</v>
      </c>
      <c r="E5557" s="1" t="str">
        <f t="shared" ref="E5557:I5557" si="10578">"0"</f>
        <v>0</v>
      </c>
      <c r="F5557" s="1" t="str">
        <f t="shared" si="10578"/>
        <v>0</v>
      </c>
      <c r="G5557" s="1" t="str">
        <f t="shared" si="10578"/>
        <v>0</v>
      </c>
      <c r="H5557" s="1" t="str">
        <f t="shared" si="10578"/>
        <v>0</v>
      </c>
      <c r="I5557" s="1" t="str">
        <f t="shared" si="10578"/>
        <v>0</v>
      </c>
      <c r="J5557" s="1" t="str">
        <f>"2"</f>
        <v>2</v>
      </c>
      <c r="K5557" s="1" t="str">
        <f t="shared" ref="K5557:P5557" si="10579">"0"</f>
        <v>0</v>
      </c>
      <c r="L5557" s="1" t="str">
        <f t="shared" si="10579"/>
        <v>0</v>
      </c>
      <c r="M5557" s="1" t="str">
        <f t="shared" si="10579"/>
        <v>0</v>
      </c>
      <c r="N5557" s="1" t="str">
        <f t="shared" si="10579"/>
        <v>0</v>
      </c>
      <c r="O5557" s="1" t="str">
        <f t="shared" si="10579"/>
        <v>0</v>
      </c>
      <c r="P5557" s="1" t="str">
        <f t="shared" si="10579"/>
        <v>0</v>
      </c>
      <c r="Q5557" s="1" t="str">
        <f t="shared" si="10479"/>
        <v>0.0070</v>
      </c>
      <c r="R5557" s="1" t="s">
        <v>25</v>
      </c>
      <c r="T5557" s="1" t="str">
        <f t="shared" si="10480"/>
        <v>0</v>
      </c>
      <c r="U5557" s="1" t="str">
        <f t="shared" si="10509"/>
        <v>0.0070</v>
      </c>
    </row>
    <row r="5558" s="1" customFormat="1" spans="1:21">
      <c r="A5558" s="1" t="str">
        <f>"4601992190258"</f>
        <v>4601992190258</v>
      </c>
      <c r="B5558" s="1" t="s">
        <v>5581</v>
      </c>
      <c r="C5558" s="1" t="s">
        <v>24</v>
      </c>
      <c r="D5558" s="1" t="str">
        <f t="shared" si="10476"/>
        <v>2021</v>
      </c>
      <c r="E5558" s="1" t="str">
        <f t="shared" ref="E5558:I5558" si="10580">"0"</f>
        <v>0</v>
      </c>
      <c r="F5558" s="1" t="str">
        <f t="shared" si="10580"/>
        <v>0</v>
      </c>
      <c r="G5558" s="1" t="str">
        <f t="shared" si="10580"/>
        <v>0</v>
      </c>
      <c r="H5558" s="1" t="str">
        <f t="shared" si="10580"/>
        <v>0</v>
      </c>
      <c r="I5558" s="1" t="str">
        <f t="shared" si="10580"/>
        <v>0</v>
      </c>
      <c r="J5558" s="1" t="str">
        <f>"1"</f>
        <v>1</v>
      </c>
      <c r="K5558" s="1" t="str">
        <f t="shared" ref="K5558:P5558" si="10581">"0"</f>
        <v>0</v>
      </c>
      <c r="L5558" s="1" t="str">
        <f t="shared" si="10581"/>
        <v>0</v>
      </c>
      <c r="M5558" s="1" t="str">
        <f t="shared" si="10581"/>
        <v>0</v>
      </c>
      <c r="N5558" s="1" t="str">
        <f t="shared" si="10581"/>
        <v>0</v>
      </c>
      <c r="O5558" s="1" t="str">
        <f t="shared" si="10581"/>
        <v>0</v>
      </c>
      <c r="P5558" s="1" t="str">
        <f t="shared" si="10581"/>
        <v>0</v>
      </c>
      <c r="Q5558" s="1" t="str">
        <f t="shared" si="10479"/>
        <v>0.0070</v>
      </c>
      <c r="R5558" s="1" t="s">
        <v>25</v>
      </c>
      <c r="T5558" s="1" t="str">
        <f t="shared" si="10480"/>
        <v>0</v>
      </c>
      <c r="U5558" s="1" t="str">
        <f t="shared" si="10509"/>
        <v>0.0070</v>
      </c>
    </row>
    <row r="5559" s="1" customFormat="1" spans="1:21">
      <c r="A5559" s="1" t="str">
        <f>"4601992190313"</f>
        <v>4601992190313</v>
      </c>
      <c r="B5559" s="1" t="s">
        <v>5582</v>
      </c>
      <c r="C5559" s="1" t="s">
        <v>24</v>
      </c>
      <c r="D5559" s="1" t="str">
        <f t="shared" si="10476"/>
        <v>2021</v>
      </c>
      <c r="E5559" s="1" t="str">
        <f t="shared" ref="E5559:P5559" si="10582">"0"</f>
        <v>0</v>
      </c>
      <c r="F5559" s="1" t="str">
        <f t="shared" si="10582"/>
        <v>0</v>
      </c>
      <c r="G5559" s="1" t="str">
        <f t="shared" si="10582"/>
        <v>0</v>
      </c>
      <c r="H5559" s="1" t="str">
        <f t="shared" si="10582"/>
        <v>0</v>
      </c>
      <c r="I5559" s="1" t="str">
        <f t="shared" si="10582"/>
        <v>0</v>
      </c>
      <c r="J5559" s="1" t="str">
        <f t="shared" si="10582"/>
        <v>0</v>
      </c>
      <c r="K5559" s="1" t="str">
        <f t="shared" si="10582"/>
        <v>0</v>
      </c>
      <c r="L5559" s="1" t="str">
        <f t="shared" si="10582"/>
        <v>0</v>
      </c>
      <c r="M5559" s="1" t="str">
        <f t="shared" si="10582"/>
        <v>0</v>
      </c>
      <c r="N5559" s="1" t="str">
        <f t="shared" si="10582"/>
        <v>0</v>
      </c>
      <c r="O5559" s="1" t="str">
        <f t="shared" si="10582"/>
        <v>0</v>
      </c>
      <c r="P5559" s="1" t="str">
        <f t="shared" si="10582"/>
        <v>0</v>
      </c>
      <c r="Q5559" s="1" t="str">
        <f t="shared" si="10479"/>
        <v>0.0070</v>
      </c>
      <c r="R5559" s="1" t="s">
        <v>25</v>
      </c>
      <c r="T5559" s="1" t="str">
        <f t="shared" si="10480"/>
        <v>0</v>
      </c>
      <c r="U5559" s="1" t="str">
        <f t="shared" si="10509"/>
        <v>0.0070</v>
      </c>
    </row>
    <row r="5560" s="1" customFormat="1" spans="1:21">
      <c r="A5560" s="1" t="str">
        <f>"4601992190299"</f>
        <v>4601992190299</v>
      </c>
      <c r="B5560" s="1" t="s">
        <v>5583</v>
      </c>
      <c r="C5560" s="1" t="s">
        <v>24</v>
      </c>
      <c r="D5560" s="1" t="str">
        <f t="shared" si="10476"/>
        <v>2021</v>
      </c>
      <c r="E5560" s="1" t="str">
        <f t="shared" ref="E5560:I5560" si="10583">"0"</f>
        <v>0</v>
      </c>
      <c r="F5560" s="1" t="str">
        <f t="shared" si="10583"/>
        <v>0</v>
      </c>
      <c r="G5560" s="1" t="str">
        <f t="shared" si="10583"/>
        <v>0</v>
      </c>
      <c r="H5560" s="1" t="str">
        <f t="shared" si="10583"/>
        <v>0</v>
      </c>
      <c r="I5560" s="1" t="str">
        <f t="shared" si="10583"/>
        <v>0</v>
      </c>
      <c r="J5560" s="1" t="str">
        <f>"3"</f>
        <v>3</v>
      </c>
      <c r="K5560" s="1" t="str">
        <f t="shared" ref="K5560:P5560" si="10584">"0"</f>
        <v>0</v>
      </c>
      <c r="L5560" s="1" t="str">
        <f t="shared" si="10584"/>
        <v>0</v>
      </c>
      <c r="M5560" s="1" t="str">
        <f t="shared" si="10584"/>
        <v>0</v>
      </c>
      <c r="N5560" s="1" t="str">
        <f t="shared" si="10584"/>
        <v>0</v>
      </c>
      <c r="O5560" s="1" t="str">
        <f t="shared" si="10584"/>
        <v>0</v>
      </c>
      <c r="P5560" s="1" t="str">
        <f t="shared" si="10584"/>
        <v>0</v>
      </c>
      <c r="Q5560" s="1" t="str">
        <f t="shared" si="10479"/>
        <v>0.0070</v>
      </c>
      <c r="R5560" s="1" t="s">
        <v>25</v>
      </c>
      <c r="T5560" s="1" t="str">
        <f t="shared" si="10480"/>
        <v>0</v>
      </c>
      <c r="U5560" s="1" t="str">
        <f t="shared" si="10509"/>
        <v>0.0070</v>
      </c>
    </row>
    <row r="5561" s="1" customFormat="1" spans="1:21">
      <c r="A5561" s="1" t="str">
        <f>"4601992190347"</f>
        <v>4601992190347</v>
      </c>
      <c r="B5561" s="1" t="s">
        <v>5584</v>
      </c>
      <c r="C5561" s="1" t="s">
        <v>24</v>
      </c>
      <c r="D5561" s="1" t="str">
        <f t="shared" si="10476"/>
        <v>2021</v>
      </c>
      <c r="E5561" s="1" t="str">
        <f t="shared" ref="E5561:P5561" si="10585">"0"</f>
        <v>0</v>
      </c>
      <c r="F5561" s="1" t="str">
        <f t="shared" si="10585"/>
        <v>0</v>
      </c>
      <c r="G5561" s="1" t="str">
        <f t="shared" si="10585"/>
        <v>0</v>
      </c>
      <c r="H5561" s="1" t="str">
        <f t="shared" si="10585"/>
        <v>0</v>
      </c>
      <c r="I5561" s="1" t="str">
        <f t="shared" si="10585"/>
        <v>0</v>
      </c>
      <c r="J5561" s="1" t="str">
        <f t="shared" si="10585"/>
        <v>0</v>
      </c>
      <c r="K5561" s="1" t="str">
        <f t="shared" si="10585"/>
        <v>0</v>
      </c>
      <c r="L5561" s="1" t="str">
        <f t="shared" si="10585"/>
        <v>0</v>
      </c>
      <c r="M5561" s="1" t="str">
        <f t="shared" si="10585"/>
        <v>0</v>
      </c>
      <c r="N5561" s="1" t="str">
        <f t="shared" si="10585"/>
        <v>0</v>
      </c>
      <c r="O5561" s="1" t="str">
        <f t="shared" si="10585"/>
        <v>0</v>
      </c>
      <c r="P5561" s="1" t="str">
        <f t="shared" si="10585"/>
        <v>0</v>
      </c>
      <c r="Q5561" s="1" t="str">
        <f t="shared" si="10479"/>
        <v>0.0070</v>
      </c>
      <c r="R5561" s="1" t="s">
        <v>25</v>
      </c>
      <c r="T5561" s="1" t="str">
        <f t="shared" si="10480"/>
        <v>0</v>
      </c>
      <c r="U5561" s="1" t="str">
        <f t="shared" si="10509"/>
        <v>0.0070</v>
      </c>
    </row>
    <row r="5562" s="1" customFormat="1" spans="1:21">
      <c r="A5562" s="1" t="str">
        <f>"4601992190342"</f>
        <v>4601992190342</v>
      </c>
      <c r="B5562" s="1" t="s">
        <v>5585</v>
      </c>
      <c r="C5562" s="1" t="s">
        <v>24</v>
      </c>
      <c r="D5562" s="1" t="str">
        <f t="shared" si="10476"/>
        <v>2021</v>
      </c>
      <c r="E5562" s="1" t="str">
        <f t="shared" ref="E5562:I5562" si="10586">"0"</f>
        <v>0</v>
      </c>
      <c r="F5562" s="1" t="str">
        <f t="shared" si="10586"/>
        <v>0</v>
      </c>
      <c r="G5562" s="1" t="str">
        <f t="shared" si="10586"/>
        <v>0</v>
      </c>
      <c r="H5562" s="1" t="str">
        <f t="shared" si="10586"/>
        <v>0</v>
      </c>
      <c r="I5562" s="1" t="str">
        <f t="shared" si="10586"/>
        <v>0</v>
      </c>
      <c r="J5562" s="1" t="str">
        <f t="shared" ref="J5562:J5566" si="10587">"2"</f>
        <v>2</v>
      </c>
      <c r="K5562" s="1" t="str">
        <f t="shared" ref="K5562:P5562" si="10588">"0"</f>
        <v>0</v>
      </c>
      <c r="L5562" s="1" t="str">
        <f t="shared" si="10588"/>
        <v>0</v>
      </c>
      <c r="M5562" s="1" t="str">
        <f t="shared" si="10588"/>
        <v>0</v>
      </c>
      <c r="N5562" s="1" t="str">
        <f t="shared" si="10588"/>
        <v>0</v>
      </c>
      <c r="O5562" s="1" t="str">
        <f t="shared" si="10588"/>
        <v>0</v>
      </c>
      <c r="P5562" s="1" t="str">
        <f t="shared" si="10588"/>
        <v>0</v>
      </c>
      <c r="Q5562" s="1" t="str">
        <f t="shared" si="10479"/>
        <v>0.0070</v>
      </c>
      <c r="R5562" s="1" t="s">
        <v>25</v>
      </c>
      <c r="T5562" s="1" t="str">
        <f t="shared" si="10480"/>
        <v>0</v>
      </c>
      <c r="U5562" s="1" t="str">
        <f t="shared" si="10509"/>
        <v>0.0070</v>
      </c>
    </row>
    <row r="5563" s="1" customFormat="1" spans="1:21">
      <c r="A5563" s="1" t="str">
        <f>"4601992190346"</f>
        <v>4601992190346</v>
      </c>
      <c r="B5563" s="1" t="s">
        <v>5586</v>
      </c>
      <c r="C5563" s="1" t="s">
        <v>24</v>
      </c>
      <c r="D5563" s="1" t="str">
        <f t="shared" si="10476"/>
        <v>2021</v>
      </c>
      <c r="E5563" s="1" t="str">
        <f>"12.19"</f>
        <v>12.19</v>
      </c>
      <c r="F5563" s="1" t="str">
        <f t="shared" ref="F5563:I5563" si="10589">"0"</f>
        <v>0</v>
      </c>
      <c r="G5563" s="1" t="str">
        <f t="shared" si="10589"/>
        <v>0</v>
      </c>
      <c r="H5563" s="1" t="str">
        <f t="shared" si="10589"/>
        <v>0</v>
      </c>
      <c r="I5563" s="1" t="str">
        <f t="shared" si="10589"/>
        <v>0</v>
      </c>
      <c r="J5563" s="1" t="str">
        <f>"4"</f>
        <v>4</v>
      </c>
      <c r="K5563" s="1" t="str">
        <f t="shared" ref="K5563:P5563" si="10590">"0"</f>
        <v>0</v>
      </c>
      <c r="L5563" s="1" t="str">
        <f t="shared" si="10590"/>
        <v>0</v>
      </c>
      <c r="M5563" s="1" t="str">
        <f t="shared" si="10590"/>
        <v>0</v>
      </c>
      <c r="N5563" s="1" t="str">
        <f t="shared" si="10590"/>
        <v>0</v>
      </c>
      <c r="O5563" s="1" t="str">
        <f t="shared" si="10590"/>
        <v>0</v>
      </c>
      <c r="P5563" s="1" t="str">
        <f t="shared" si="10590"/>
        <v>0</v>
      </c>
      <c r="Q5563" s="1" t="str">
        <f t="shared" si="10479"/>
        <v>0.0070</v>
      </c>
      <c r="R5563" s="1" t="s">
        <v>29</v>
      </c>
      <c r="S5563" s="1">
        <v>-0.0014</v>
      </c>
      <c r="T5563" s="1" t="str">
        <f t="shared" si="10480"/>
        <v>0</v>
      </c>
      <c r="U5563" s="1" t="str">
        <f>"0.0056"</f>
        <v>0.0056</v>
      </c>
    </row>
    <row r="5564" s="1" customFormat="1" spans="1:21">
      <c r="A5564" s="1" t="str">
        <f>"4601992190361"</f>
        <v>4601992190361</v>
      </c>
      <c r="B5564" s="1" t="s">
        <v>5587</v>
      </c>
      <c r="C5564" s="1" t="s">
        <v>24</v>
      </c>
      <c r="D5564" s="1" t="str">
        <f t="shared" si="10476"/>
        <v>2021</v>
      </c>
      <c r="E5564" s="1" t="str">
        <f>"0.06"</f>
        <v>0.06</v>
      </c>
      <c r="F5564" s="1" t="str">
        <f t="shared" ref="F5564:I5564" si="10591">"0"</f>
        <v>0</v>
      </c>
      <c r="G5564" s="1" t="str">
        <f t="shared" si="10591"/>
        <v>0</v>
      </c>
      <c r="H5564" s="1" t="str">
        <f t="shared" si="10591"/>
        <v>0</v>
      </c>
      <c r="I5564" s="1" t="str">
        <f t="shared" si="10591"/>
        <v>0</v>
      </c>
      <c r="J5564" s="1" t="str">
        <f t="shared" si="10587"/>
        <v>2</v>
      </c>
      <c r="K5564" s="1" t="str">
        <f t="shared" ref="K5564:P5564" si="10592">"0"</f>
        <v>0</v>
      </c>
      <c r="L5564" s="1" t="str">
        <f t="shared" si="10592"/>
        <v>0</v>
      </c>
      <c r="M5564" s="1" t="str">
        <f t="shared" si="10592"/>
        <v>0</v>
      </c>
      <c r="N5564" s="1" t="str">
        <f t="shared" si="10592"/>
        <v>0</v>
      </c>
      <c r="O5564" s="1" t="str">
        <f t="shared" si="10592"/>
        <v>0</v>
      </c>
      <c r="P5564" s="1" t="str">
        <f t="shared" si="10592"/>
        <v>0</v>
      </c>
      <c r="Q5564" s="1" t="str">
        <f t="shared" si="10479"/>
        <v>0.0070</v>
      </c>
      <c r="R5564" s="1" t="s">
        <v>25</v>
      </c>
      <c r="T5564" s="1" t="str">
        <f t="shared" si="10480"/>
        <v>0</v>
      </c>
      <c r="U5564" s="1" t="str">
        <f t="shared" ref="U5564:U5566" si="10593">"0.0070"</f>
        <v>0.0070</v>
      </c>
    </row>
    <row r="5565" s="1" customFormat="1" spans="1:21">
      <c r="A5565" s="1" t="str">
        <f>"4601992190367"</f>
        <v>4601992190367</v>
      </c>
      <c r="B5565" s="1" t="s">
        <v>5588</v>
      </c>
      <c r="C5565" s="1" t="s">
        <v>24</v>
      </c>
      <c r="D5565" s="1" t="str">
        <f t="shared" si="10476"/>
        <v>2021</v>
      </c>
      <c r="E5565" s="1" t="str">
        <f t="shared" ref="E5565:I5565" si="10594">"0"</f>
        <v>0</v>
      </c>
      <c r="F5565" s="1" t="str">
        <f t="shared" si="10594"/>
        <v>0</v>
      </c>
      <c r="G5565" s="1" t="str">
        <f t="shared" si="10594"/>
        <v>0</v>
      </c>
      <c r="H5565" s="1" t="str">
        <f t="shared" si="10594"/>
        <v>0</v>
      </c>
      <c r="I5565" s="1" t="str">
        <f t="shared" si="10594"/>
        <v>0</v>
      </c>
      <c r="J5565" s="1" t="str">
        <f>"1"</f>
        <v>1</v>
      </c>
      <c r="K5565" s="1" t="str">
        <f t="shared" ref="K5565:P5565" si="10595">"0"</f>
        <v>0</v>
      </c>
      <c r="L5565" s="1" t="str">
        <f t="shared" si="10595"/>
        <v>0</v>
      </c>
      <c r="M5565" s="1" t="str">
        <f t="shared" si="10595"/>
        <v>0</v>
      </c>
      <c r="N5565" s="1" t="str">
        <f t="shared" si="10595"/>
        <v>0</v>
      </c>
      <c r="O5565" s="1" t="str">
        <f t="shared" si="10595"/>
        <v>0</v>
      </c>
      <c r="P5565" s="1" t="str">
        <f t="shared" si="10595"/>
        <v>0</v>
      </c>
      <c r="Q5565" s="1" t="str">
        <f t="shared" si="10479"/>
        <v>0.0070</v>
      </c>
      <c r="R5565" s="1" t="s">
        <v>25</v>
      </c>
      <c r="T5565" s="1" t="str">
        <f t="shared" si="10480"/>
        <v>0</v>
      </c>
      <c r="U5565" s="1" t="str">
        <f t="shared" si="10593"/>
        <v>0.0070</v>
      </c>
    </row>
    <row r="5566" s="1" customFormat="1" spans="1:21">
      <c r="A5566" s="1" t="str">
        <f>"4601992190370"</f>
        <v>4601992190370</v>
      </c>
      <c r="B5566" s="1" t="s">
        <v>5589</v>
      </c>
      <c r="C5566" s="1" t="s">
        <v>24</v>
      </c>
      <c r="D5566" s="1" t="str">
        <f t="shared" si="10476"/>
        <v>2021</v>
      </c>
      <c r="E5566" s="1" t="str">
        <f>"0.08"</f>
        <v>0.08</v>
      </c>
      <c r="F5566" s="1" t="str">
        <f t="shared" ref="F5566:I5566" si="10596">"0"</f>
        <v>0</v>
      </c>
      <c r="G5566" s="1" t="str">
        <f t="shared" si="10596"/>
        <v>0</v>
      </c>
      <c r="H5566" s="1" t="str">
        <f t="shared" si="10596"/>
        <v>0</v>
      </c>
      <c r="I5566" s="1" t="str">
        <f t="shared" si="10596"/>
        <v>0</v>
      </c>
      <c r="J5566" s="1" t="str">
        <f t="shared" si="10587"/>
        <v>2</v>
      </c>
      <c r="K5566" s="1" t="str">
        <f t="shared" ref="K5566:P5566" si="10597">"0"</f>
        <v>0</v>
      </c>
      <c r="L5566" s="1" t="str">
        <f t="shared" si="10597"/>
        <v>0</v>
      </c>
      <c r="M5566" s="1" t="str">
        <f t="shared" si="10597"/>
        <v>0</v>
      </c>
      <c r="N5566" s="1" t="str">
        <f t="shared" si="10597"/>
        <v>0</v>
      </c>
      <c r="O5566" s="1" t="str">
        <f t="shared" si="10597"/>
        <v>0</v>
      </c>
      <c r="P5566" s="1" t="str">
        <f t="shared" si="10597"/>
        <v>0</v>
      </c>
      <c r="Q5566" s="1" t="str">
        <f t="shared" si="10479"/>
        <v>0.0070</v>
      </c>
      <c r="R5566" s="1" t="s">
        <v>25</v>
      </c>
      <c r="T5566" s="1" t="str">
        <f t="shared" si="10480"/>
        <v>0</v>
      </c>
      <c r="U5566" s="1" t="str">
        <f t="shared" si="10593"/>
        <v>0.0070</v>
      </c>
    </row>
    <row r="5567" s="1" customFormat="1" spans="1:21">
      <c r="A5567" s="1" t="str">
        <f>"4601992039630"</f>
        <v>4601992039630</v>
      </c>
      <c r="B5567" s="1" t="s">
        <v>5590</v>
      </c>
      <c r="C5567" s="1" t="s">
        <v>24</v>
      </c>
      <c r="D5567" s="1" t="str">
        <f t="shared" si="10476"/>
        <v>2021</v>
      </c>
      <c r="E5567" s="1" t="str">
        <f>"144.31"</f>
        <v>144.31</v>
      </c>
      <c r="F5567" s="1" t="str">
        <f t="shared" ref="F5567:I5567" si="10598">"0"</f>
        <v>0</v>
      </c>
      <c r="G5567" s="1" t="str">
        <f t="shared" si="10598"/>
        <v>0</v>
      </c>
      <c r="H5567" s="1" t="str">
        <f t="shared" si="10598"/>
        <v>0</v>
      </c>
      <c r="I5567" s="1" t="str">
        <f t="shared" si="10598"/>
        <v>0</v>
      </c>
      <c r="J5567" s="1" t="str">
        <f>"12"</f>
        <v>12</v>
      </c>
      <c r="K5567" s="1" t="str">
        <f t="shared" ref="K5567:P5567" si="10599">"0"</f>
        <v>0</v>
      </c>
      <c r="L5567" s="1" t="str">
        <f t="shared" si="10599"/>
        <v>0</v>
      </c>
      <c r="M5567" s="1" t="str">
        <f t="shared" si="10599"/>
        <v>0</v>
      </c>
      <c r="N5567" s="1" t="str">
        <f t="shared" si="10599"/>
        <v>0</v>
      </c>
      <c r="O5567" s="1" t="str">
        <f t="shared" si="10599"/>
        <v>0</v>
      </c>
      <c r="P5567" s="1" t="str">
        <f t="shared" si="10599"/>
        <v>0</v>
      </c>
      <c r="Q5567" s="1" t="str">
        <f t="shared" si="10479"/>
        <v>0.0070</v>
      </c>
      <c r="R5567" s="1" t="s">
        <v>29</v>
      </c>
      <c r="S5567" s="1">
        <v>-0.0014</v>
      </c>
      <c r="T5567" s="1" t="str">
        <f t="shared" si="10480"/>
        <v>0</v>
      </c>
      <c r="U5567" s="1" t="str">
        <f>"0.0056"</f>
        <v>0.0056</v>
      </c>
    </row>
    <row r="5568" s="1" customFormat="1" spans="1:21">
      <c r="A5568" s="1" t="str">
        <f>"4601992190388"</f>
        <v>4601992190388</v>
      </c>
      <c r="B5568" s="1" t="s">
        <v>5591</v>
      </c>
      <c r="C5568" s="1" t="s">
        <v>24</v>
      </c>
      <c r="D5568" s="1" t="str">
        <f t="shared" si="10476"/>
        <v>2021</v>
      </c>
      <c r="E5568" s="1" t="str">
        <f t="shared" ref="E5568:I5568" si="10600">"0"</f>
        <v>0</v>
      </c>
      <c r="F5568" s="1" t="str">
        <f t="shared" si="10600"/>
        <v>0</v>
      </c>
      <c r="G5568" s="1" t="str">
        <f t="shared" si="10600"/>
        <v>0</v>
      </c>
      <c r="H5568" s="1" t="str">
        <f t="shared" si="10600"/>
        <v>0</v>
      </c>
      <c r="I5568" s="1" t="str">
        <f t="shared" si="10600"/>
        <v>0</v>
      </c>
      <c r="J5568" s="1" t="str">
        <f>"6"</f>
        <v>6</v>
      </c>
      <c r="K5568" s="1" t="str">
        <f t="shared" ref="K5568:P5568" si="10601">"0"</f>
        <v>0</v>
      </c>
      <c r="L5568" s="1" t="str">
        <f t="shared" si="10601"/>
        <v>0</v>
      </c>
      <c r="M5568" s="1" t="str">
        <f t="shared" si="10601"/>
        <v>0</v>
      </c>
      <c r="N5568" s="1" t="str">
        <f t="shared" si="10601"/>
        <v>0</v>
      </c>
      <c r="O5568" s="1" t="str">
        <f t="shared" si="10601"/>
        <v>0</v>
      </c>
      <c r="P5568" s="1" t="str">
        <f t="shared" si="10601"/>
        <v>0</v>
      </c>
      <c r="Q5568" s="1" t="str">
        <f t="shared" si="10479"/>
        <v>0.0070</v>
      </c>
      <c r="R5568" s="1" t="s">
        <v>25</v>
      </c>
      <c r="T5568" s="1" t="str">
        <f t="shared" si="10480"/>
        <v>0</v>
      </c>
      <c r="U5568" s="1" t="str">
        <f t="shared" ref="U5568:U5587" si="10602">"0.0070"</f>
        <v>0.0070</v>
      </c>
    </row>
    <row r="5569" s="1" customFormat="1" spans="1:21">
      <c r="A5569" s="1" t="str">
        <f>"4601992190410"</f>
        <v>4601992190410</v>
      </c>
      <c r="B5569" s="1" t="s">
        <v>5592</v>
      </c>
      <c r="C5569" s="1" t="s">
        <v>24</v>
      </c>
      <c r="D5569" s="1" t="str">
        <f t="shared" si="10476"/>
        <v>2021</v>
      </c>
      <c r="E5569" s="1" t="str">
        <f t="shared" ref="E5569:I5569" si="10603">"0"</f>
        <v>0</v>
      </c>
      <c r="F5569" s="1" t="str">
        <f t="shared" si="10603"/>
        <v>0</v>
      </c>
      <c r="G5569" s="1" t="str">
        <f t="shared" si="10603"/>
        <v>0</v>
      </c>
      <c r="H5569" s="1" t="str">
        <f t="shared" si="10603"/>
        <v>0</v>
      </c>
      <c r="I5569" s="1" t="str">
        <f t="shared" si="10603"/>
        <v>0</v>
      </c>
      <c r="J5569" s="1" t="str">
        <f>"2"</f>
        <v>2</v>
      </c>
      <c r="K5569" s="1" t="str">
        <f t="shared" ref="K5569:P5569" si="10604">"0"</f>
        <v>0</v>
      </c>
      <c r="L5569" s="1" t="str">
        <f t="shared" si="10604"/>
        <v>0</v>
      </c>
      <c r="M5569" s="1" t="str">
        <f t="shared" si="10604"/>
        <v>0</v>
      </c>
      <c r="N5569" s="1" t="str">
        <f t="shared" si="10604"/>
        <v>0</v>
      </c>
      <c r="O5569" s="1" t="str">
        <f t="shared" si="10604"/>
        <v>0</v>
      </c>
      <c r="P5569" s="1" t="str">
        <f t="shared" si="10604"/>
        <v>0</v>
      </c>
      <c r="Q5569" s="1" t="str">
        <f t="shared" si="10479"/>
        <v>0.0070</v>
      </c>
      <c r="R5569" s="1" t="s">
        <v>25</v>
      </c>
      <c r="T5569" s="1" t="str">
        <f t="shared" si="10480"/>
        <v>0</v>
      </c>
      <c r="U5569" s="1" t="str">
        <f t="shared" si="10602"/>
        <v>0.0070</v>
      </c>
    </row>
    <row r="5570" s="1" customFormat="1" spans="1:21">
      <c r="A5570" s="1" t="str">
        <f>"4601992190393"</f>
        <v>4601992190393</v>
      </c>
      <c r="B5570" s="1" t="s">
        <v>5593</v>
      </c>
      <c r="C5570" s="1" t="s">
        <v>24</v>
      </c>
      <c r="D5570" s="1" t="str">
        <f t="shared" si="10476"/>
        <v>2021</v>
      </c>
      <c r="E5570" s="1" t="str">
        <f>"11.98"</f>
        <v>11.98</v>
      </c>
      <c r="F5570" s="1" t="str">
        <f t="shared" ref="F5570:I5570" si="10605">"0"</f>
        <v>0</v>
      </c>
      <c r="G5570" s="1" t="str">
        <f t="shared" si="10605"/>
        <v>0</v>
      </c>
      <c r="H5570" s="1" t="str">
        <f t="shared" si="10605"/>
        <v>0</v>
      </c>
      <c r="I5570" s="1" t="str">
        <f t="shared" si="10605"/>
        <v>0</v>
      </c>
      <c r="J5570" s="1" t="str">
        <f>"1"</f>
        <v>1</v>
      </c>
      <c r="K5570" s="1" t="str">
        <f t="shared" ref="K5570:P5570" si="10606">"0"</f>
        <v>0</v>
      </c>
      <c r="L5570" s="1" t="str">
        <f t="shared" si="10606"/>
        <v>0</v>
      </c>
      <c r="M5570" s="1" t="str">
        <f t="shared" si="10606"/>
        <v>0</v>
      </c>
      <c r="N5570" s="1" t="str">
        <f t="shared" si="10606"/>
        <v>0</v>
      </c>
      <c r="O5570" s="1" t="str">
        <f t="shared" si="10606"/>
        <v>0</v>
      </c>
      <c r="P5570" s="1" t="str">
        <f t="shared" si="10606"/>
        <v>0</v>
      </c>
      <c r="Q5570" s="1" t="str">
        <f t="shared" si="10479"/>
        <v>0.0070</v>
      </c>
      <c r="R5570" s="1" t="s">
        <v>29</v>
      </c>
      <c r="S5570" s="1">
        <v>-0.0014</v>
      </c>
      <c r="T5570" s="1" t="str">
        <f t="shared" si="10480"/>
        <v>0</v>
      </c>
      <c r="U5570" s="1" t="str">
        <f>"0.0056"</f>
        <v>0.0056</v>
      </c>
    </row>
    <row r="5571" s="1" customFormat="1" spans="1:21">
      <c r="A5571" s="1" t="str">
        <f>"4601992190417"</f>
        <v>4601992190417</v>
      </c>
      <c r="B5571" s="1" t="s">
        <v>5594</v>
      </c>
      <c r="C5571" s="1" t="s">
        <v>24</v>
      </c>
      <c r="D5571" s="1" t="str">
        <f t="shared" ref="D5571:D5634" si="10607">"2021"</f>
        <v>2021</v>
      </c>
      <c r="E5571" s="1" t="str">
        <f t="shared" ref="E5571:I5571" si="10608">"0"</f>
        <v>0</v>
      </c>
      <c r="F5571" s="1" t="str">
        <f t="shared" si="10608"/>
        <v>0</v>
      </c>
      <c r="G5571" s="1" t="str">
        <f t="shared" si="10608"/>
        <v>0</v>
      </c>
      <c r="H5571" s="1" t="str">
        <f t="shared" si="10608"/>
        <v>0</v>
      </c>
      <c r="I5571" s="1" t="str">
        <f t="shared" si="10608"/>
        <v>0</v>
      </c>
      <c r="J5571" s="1" t="str">
        <f>"13"</f>
        <v>13</v>
      </c>
      <c r="K5571" s="1" t="str">
        <f t="shared" ref="K5571:P5571" si="10609">"0"</f>
        <v>0</v>
      </c>
      <c r="L5571" s="1" t="str">
        <f t="shared" si="10609"/>
        <v>0</v>
      </c>
      <c r="M5571" s="1" t="str">
        <f t="shared" si="10609"/>
        <v>0</v>
      </c>
      <c r="N5571" s="1" t="str">
        <f t="shared" si="10609"/>
        <v>0</v>
      </c>
      <c r="O5571" s="1" t="str">
        <f t="shared" si="10609"/>
        <v>0</v>
      </c>
      <c r="P5571" s="1" t="str">
        <f t="shared" si="10609"/>
        <v>0</v>
      </c>
      <c r="Q5571" s="1" t="str">
        <f t="shared" ref="Q5571:Q5634" si="10610">"0.0070"</f>
        <v>0.0070</v>
      </c>
      <c r="R5571" s="1" t="s">
        <v>25</v>
      </c>
      <c r="T5571" s="1" t="str">
        <f t="shared" ref="T5571:T5634" si="10611">"0"</f>
        <v>0</v>
      </c>
      <c r="U5571" s="1" t="str">
        <f t="shared" si="10602"/>
        <v>0.0070</v>
      </c>
    </row>
    <row r="5572" s="1" customFormat="1" spans="1:21">
      <c r="A5572" s="1" t="str">
        <f>"4601992190436"</f>
        <v>4601992190436</v>
      </c>
      <c r="B5572" s="1" t="s">
        <v>5595</v>
      </c>
      <c r="C5572" s="1" t="s">
        <v>24</v>
      </c>
      <c r="D5572" s="1" t="str">
        <f t="shared" si="10607"/>
        <v>2021</v>
      </c>
      <c r="E5572" s="1" t="str">
        <f t="shared" ref="E5572:I5572" si="10612">"0"</f>
        <v>0</v>
      </c>
      <c r="F5572" s="1" t="str">
        <f t="shared" si="10612"/>
        <v>0</v>
      </c>
      <c r="G5572" s="1" t="str">
        <f t="shared" si="10612"/>
        <v>0</v>
      </c>
      <c r="H5572" s="1" t="str">
        <f t="shared" si="10612"/>
        <v>0</v>
      </c>
      <c r="I5572" s="1" t="str">
        <f t="shared" si="10612"/>
        <v>0</v>
      </c>
      <c r="J5572" s="1" t="str">
        <f>"2"</f>
        <v>2</v>
      </c>
      <c r="K5572" s="1" t="str">
        <f t="shared" ref="K5572:P5572" si="10613">"0"</f>
        <v>0</v>
      </c>
      <c r="L5572" s="1" t="str">
        <f t="shared" si="10613"/>
        <v>0</v>
      </c>
      <c r="M5572" s="1" t="str">
        <f t="shared" si="10613"/>
        <v>0</v>
      </c>
      <c r="N5572" s="1" t="str">
        <f t="shared" si="10613"/>
        <v>0</v>
      </c>
      <c r="O5572" s="1" t="str">
        <f t="shared" si="10613"/>
        <v>0</v>
      </c>
      <c r="P5572" s="1" t="str">
        <f t="shared" si="10613"/>
        <v>0</v>
      </c>
      <c r="Q5572" s="1" t="str">
        <f t="shared" si="10610"/>
        <v>0.0070</v>
      </c>
      <c r="R5572" s="1" t="s">
        <v>25</v>
      </c>
      <c r="T5572" s="1" t="str">
        <f t="shared" si="10611"/>
        <v>0</v>
      </c>
      <c r="U5572" s="1" t="str">
        <f t="shared" si="10602"/>
        <v>0.0070</v>
      </c>
    </row>
    <row r="5573" s="1" customFormat="1" spans="1:21">
      <c r="A5573" s="1" t="str">
        <f>"4601992190453"</f>
        <v>4601992190453</v>
      </c>
      <c r="B5573" s="1" t="s">
        <v>5596</v>
      </c>
      <c r="C5573" s="1" t="s">
        <v>24</v>
      </c>
      <c r="D5573" s="1" t="str">
        <f t="shared" si="10607"/>
        <v>2021</v>
      </c>
      <c r="E5573" s="1" t="str">
        <f t="shared" ref="E5573:I5573" si="10614">"0"</f>
        <v>0</v>
      </c>
      <c r="F5573" s="1" t="str">
        <f t="shared" si="10614"/>
        <v>0</v>
      </c>
      <c r="G5573" s="1" t="str">
        <f t="shared" si="10614"/>
        <v>0</v>
      </c>
      <c r="H5573" s="1" t="str">
        <f t="shared" si="10614"/>
        <v>0</v>
      </c>
      <c r="I5573" s="1" t="str">
        <f t="shared" si="10614"/>
        <v>0</v>
      </c>
      <c r="J5573" s="1" t="str">
        <f>"5"</f>
        <v>5</v>
      </c>
      <c r="K5573" s="1" t="str">
        <f t="shared" ref="K5573:P5573" si="10615">"0"</f>
        <v>0</v>
      </c>
      <c r="L5573" s="1" t="str">
        <f t="shared" si="10615"/>
        <v>0</v>
      </c>
      <c r="M5573" s="1" t="str">
        <f t="shared" si="10615"/>
        <v>0</v>
      </c>
      <c r="N5573" s="1" t="str">
        <f t="shared" si="10615"/>
        <v>0</v>
      </c>
      <c r="O5573" s="1" t="str">
        <f t="shared" si="10615"/>
        <v>0</v>
      </c>
      <c r="P5573" s="1" t="str">
        <f t="shared" si="10615"/>
        <v>0</v>
      </c>
      <c r="Q5573" s="1" t="str">
        <f t="shared" si="10610"/>
        <v>0.0070</v>
      </c>
      <c r="R5573" s="1" t="s">
        <v>25</v>
      </c>
      <c r="T5573" s="1" t="str">
        <f t="shared" si="10611"/>
        <v>0</v>
      </c>
      <c r="U5573" s="1" t="str">
        <f t="shared" si="10602"/>
        <v>0.0070</v>
      </c>
    </row>
    <row r="5574" s="1" customFormat="1" spans="1:21">
      <c r="A5574" s="1" t="str">
        <f>"4601992190459"</f>
        <v>4601992190459</v>
      </c>
      <c r="B5574" s="1" t="s">
        <v>5597</v>
      </c>
      <c r="C5574" s="1" t="s">
        <v>24</v>
      </c>
      <c r="D5574" s="1" t="str">
        <f t="shared" si="10607"/>
        <v>2021</v>
      </c>
      <c r="E5574" s="1" t="str">
        <f t="shared" ref="E5574:I5574" si="10616">"0"</f>
        <v>0</v>
      </c>
      <c r="F5574" s="1" t="str">
        <f t="shared" si="10616"/>
        <v>0</v>
      </c>
      <c r="G5574" s="1" t="str">
        <f t="shared" si="10616"/>
        <v>0</v>
      </c>
      <c r="H5574" s="1" t="str">
        <f t="shared" si="10616"/>
        <v>0</v>
      </c>
      <c r="I5574" s="1" t="str">
        <f t="shared" si="10616"/>
        <v>0</v>
      </c>
      <c r="J5574" s="1" t="str">
        <f>"3"</f>
        <v>3</v>
      </c>
      <c r="K5574" s="1" t="str">
        <f t="shared" ref="K5574:P5574" si="10617">"0"</f>
        <v>0</v>
      </c>
      <c r="L5574" s="1" t="str">
        <f t="shared" si="10617"/>
        <v>0</v>
      </c>
      <c r="M5574" s="1" t="str">
        <f t="shared" si="10617"/>
        <v>0</v>
      </c>
      <c r="N5574" s="1" t="str">
        <f t="shared" si="10617"/>
        <v>0</v>
      </c>
      <c r="O5574" s="1" t="str">
        <f t="shared" si="10617"/>
        <v>0</v>
      </c>
      <c r="P5574" s="1" t="str">
        <f t="shared" si="10617"/>
        <v>0</v>
      </c>
      <c r="Q5574" s="1" t="str">
        <f t="shared" si="10610"/>
        <v>0.0070</v>
      </c>
      <c r="R5574" s="1" t="s">
        <v>25</v>
      </c>
      <c r="T5574" s="1" t="str">
        <f t="shared" si="10611"/>
        <v>0</v>
      </c>
      <c r="U5574" s="1" t="str">
        <f t="shared" si="10602"/>
        <v>0.0070</v>
      </c>
    </row>
    <row r="5575" s="1" customFormat="1" spans="1:21">
      <c r="A5575" s="1" t="str">
        <f>"4601992190465"</f>
        <v>4601992190465</v>
      </c>
      <c r="B5575" s="1" t="s">
        <v>5598</v>
      </c>
      <c r="C5575" s="1" t="s">
        <v>24</v>
      </c>
      <c r="D5575" s="1" t="str">
        <f t="shared" si="10607"/>
        <v>2021</v>
      </c>
      <c r="E5575" s="1" t="str">
        <f t="shared" ref="E5575:I5575" si="10618">"0"</f>
        <v>0</v>
      </c>
      <c r="F5575" s="1" t="str">
        <f t="shared" si="10618"/>
        <v>0</v>
      </c>
      <c r="G5575" s="1" t="str">
        <f t="shared" si="10618"/>
        <v>0</v>
      </c>
      <c r="H5575" s="1" t="str">
        <f t="shared" si="10618"/>
        <v>0</v>
      </c>
      <c r="I5575" s="1" t="str">
        <f t="shared" si="10618"/>
        <v>0</v>
      </c>
      <c r="J5575" s="1" t="str">
        <f>"3"</f>
        <v>3</v>
      </c>
      <c r="K5575" s="1" t="str">
        <f t="shared" ref="K5575:P5575" si="10619">"0"</f>
        <v>0</v>
      </c>
      <c r="L5575" s="1" t="str">
        <f t="shared" si="10619"/>
        <v>0</v>
      </c>
      <c r="M5575" s="1" t="str">
        <f t="shared" si="10619"/>
        <v>0</v>
      </c>
      <c r="N5575" s="1" t="str">
        <f t="shared" si="10619"/>
        <v>0</v>
      </c>
      <c r="O5575" s="1" t="str">
        <f t="shared" si="10619"/>
        <v>0</v>
      </c>
      <c r="P5575" s="1" t="str">
        <f t="shared" si="10619"/>
        <v>0</v>
      </c>
      <c r="Q5575" s="1" t="str">
        <f t="shared" si="10610"/>
        <v>0.0070</v>
      </c>
      <c r="R5575" s="1" t="s">
        <v>25</v>
      </c>
      <c r="T5575" s="1" t="str">
        <f t="shared" si="10611"/>
        <v>0</v>
      </c>
      <c r="U5575" s="1" t="str">
        <f t="shared" si="10602"/>
        <v>0.0070</v>
      </c>
    </row>
    <row r="5576" s="1" customFormat="1" spans="1:21">
      <c r="A5576" s="1" t="str">
        <f>"4601992190494"</f>
        <v>4601992190494</v>
      </c>
      <c r="B5576" s="1" t="s">
        <v>5599</v>
      </c>
      <c r="C5576" s="1" t="s">
        <v>24</v>
      </c>
      <c r="D5576" s="1" t="str">
        <f t="shared" si="10607"/>
        <v>2021</v>
      </c>
      <c r="E5576" s="1" t="str">
        <f t="shared" ref="E5576:I5576" si="10620">"0"</f>
        <v>0</v>
      </c>
      <c r="F5576" s="1" t="str">
        <f t="shared" si="10620"/>
        <v>0</v>
      </c>
      <c r="G5576" s="1" t="str">
        <f t="shared" si="10620"/>
        <v>0</v>
      </c>
      <c r="H5576" s="1" t="str">
        <f t="shared" si="10620"/>
        <v>0</v>
      </c>
      <c r="I5576" s="1" t="str">
        <f t="shared" si="10620"/>
        <v>0</v>
      </c>
      <c r="J5576" s="1" t="str">
        <f>"1"</f>
        <v>1</v>
      </c>
      <c r="K5576" s="1" t="str">
        <f t="shared" ref="K5576:P5576" si="10621">"0"</f>
        <v>0</v>
      </c>
      <c r="L5576" s="1" t="str">
        <f t="shared" si="10621"/>
        <v>0</v>
      </c>
      <c r="M5576" s="1" t="str">
        <f t="shared" si="10621"/>
        <v>0</v>
      </c>
      <c r="N5576" s="1" t="str">
        <f t="shared" si="10621"/>
        <v>0</v>
      </c>
      <c r="O5576" s="1" t="str">
        <f t="shared" si="10621"/>
        <v>0</v>
      </c>
      <c r="P5576" s="1" t="str">
        <f t="shared" si="10621"/>
        <v>0</v>
      </c>
      <c r="Q5576" s="1" t="str">
        <f t="shared" si="10610"/>
        <v>0.0070</v>
      </c>
      <c r="R5576" s="1" t="s">
        <v>25</v>
      </c>
      <c r="T5576" s="1" t="str">
        <f t="shared" si="10611"/>
        <v>0</v>
      </c>
      <c r="U5576" s="1" t="str">
        <f t="shared" si="10602"/>
        <v>0.0070</v>
      </c>
    </row>
    <row r="5577" s="1" customFormat="1" spans="1:21">
      <c r="A5577" s="1" t="str">
        <f>"4601992190486"</f>
        <v>4601992190486</v>
      </c>
      <c r="B5577" s="1" t="s">
        <v>5600</v>
      </c>
      <c r="C5577" s="1" t="s">
        <v>24</v>
      </c>
      <c r="D5577" s="1" t="str">
        <f t="shared" si="10607"/>
        <v>2021</v>
      </c>
      <c r="E5577" s="1" t="str">
        <f t="shared" ref="E5577:I5577" si="10622">"0"</f>
        <v>0</v>
      </c>
      <c r="F5577" s="1" t="str">
        <f t="shared" si="10622"/>
        <v>0</v>
      </c>
      <c r="G5577" s="1" t="str">
        <f t="shared" si="10622"/>
        <v>0</v>
      </c>
      <c r="H5577" s="1" t="str">
        <f t="shared" si="10622"/>
        <v>0</v>
      </c>
      <c r="I5577" s="1" t="str">
        <f t="shared" si="10622"/>
        <v>0</v>
      </c>
      <c r="J5577" s="1" t="str">
        <f>"2"</f>
        <v>2</v>
      </c>
      <c r="K5577" s="1" t="str">
        <f t="shared" ref="K5577:P5577" si="10623">"0"</f>
        <v>0</v>
      </c>
      <c r="L5577" s="1" t="str">
        <f t="shared" si="10623"/>
        <v>0</v>
      </c>
      <c r="M5577" s="1" t="str">
        <f t="shared" si="10623"/>
        <v>0</v>
      </c>
      <c r="N5577" s="1" t="str">
        <f t="shared" si="10623"/>
        <v>0</v>
      </c>
      <c r="O5577" s="1" t="str">
        <f t="shared" si="10623"/>
        <v>0</v>
      </c>
      <c r="P5577" s="1" t="str">
        <f t="shared" si="10623"/>
        <v>0</v>
      </c>
      <c r="Q5577" s="1" t="str">
        <f t="shared" si="10610"/>
        <v>0.0070</v>
      </c>
      <c r="R5577" s="1" t="s">
        <v>25</v>
      </c>
      <c r="T5577" s="1" t="str">
        <f t="shared" si="10611"/>
        <v>0</v>
      </c>
      <c r="U5577" s="1" t="str">
        <f t="shared" si="10602"/>
        <v>0.0070</v>
      </c>
    </row>
    <row r="5578" s="1" customFormat="1" spans="1:21">
      <c r="A5578" s="1" t="str">
        <f>"4601992190527"</f>
        <v>4601992190527</v>
      </c>
      <c r="B5578" s="1" t="s">
        <v>5601</v>
      </c>
      <c r="C5578" s="1" t="s">
        <v>24</v>
      </c>
      <c r="D5578" s="1" t="str">
        <f t="shared" si="10607"/>
        <v>2021</v>
      </c>
      <c r="E5578" s="1" t="str">
        <f t="shared" ref="E5578:I5578" si="10624">"0"</f>
        <v>0</v>
      </c>
      <c r="F5578" s="1" t="str">
        <f t="shared" si="10624"/>
        <v>0</v>
      </c>
      <c r="G5578" s="1" t="str">
        <f t="shared" si="10624"/>
        <v>0</v>
      </c>
      <c r="H5578" s="1" t="str">
        <f t="shared" si="10624"/>
        <v>0</v>
      </c>
      <c r="I5578" s="1" t="str">
        <f t="shared" si="10624"/>
        <v>0</v>
      </c>
      <c r="J5578" s="1" t="str">
        <f>"2"</f>
        <v>2</v>
      </c>
      <c r="K5578" s="1" t="str">
        <f t="shared" ref="K5578:P5578" si="10625">"0"</f>
        <v>0</v>
      </c>
      <c r="L5578" s="1" t="str">
        <f t="shared" si="10625"/>
        <v>0</v>
      </c>
      <c r="M5578" s="1" t="str">
        <f t="shared" si="10625"/>
        <v>0</v>
      </c>
      <c r="N5578" s="1" t="str">
        <f t="shared" si="10625"/>
        <v>0</v>
      </c>
      <c r="O5578" s="1" t="str">
        <f t="shared" si="10625"/>
        <v>0</v>
      </c>
      <c r="P5578" s="1" t="str">
        <f t="shared" si="10625"/>
        <v>0</v>
      </c>
      <c r="Q5578" s="1" t="str">
        <f t="shared" si="10610"/>
        <v>0.0070</v>
      </c>
      <c r="R5578" s="1" t="s">
        <v>25</v>
      </c>
      <c r="T5578" s="1" t="str">
        <f t="shared" si="10611"/>
        <v>0</v>
      </c>
      <c r="U5578" s="1" t="str">
        <f t="shared" si="10602"/>
        <v>0.0070</v>
      </c>
    </row>
    <row r="5579" s="1" customFormat="1" spans="1:21">
      <c r="A5579" s="1" t="str">
        <f>"4601992190528"</f>
        <v>4601992190528</v>
      </c>
      <c r="B5579" s="1" t="s">
        <v>5602</v>
      </c>
      <c r="C5579" s="1" t="s">
        <v>24</v>
      </c>
      <c r="D5579" s="1" t="str">
        <f t="shared" si="10607"/>
        <v>2021</v>
      </c>
      <c r="E5579" s="1" t="str">
        <f t="shared" ref="E5579:I5579" si="10626">"0"</f>
        <v>0</v>
      </c>
      <c r="F5579" s="1" t="str">
        <f t="shared" si="10626"/>
        <v>0</v>
      </c>
      <c r="G5579" s="1" t="str">
        <f t="shared" si="10626"/>
        <v>0</v>
      </c>
      <c r="H5579" s="1" t="str">
        <f t="shared" si="10626"/>
        <v>0</v>
      </c>
      <c r="I5579" s="1" t="str">
        <f t="shared" si="10626"/>
        <v>0</v>
      </c>
      <c r="J5579" s="1" t="str">
        <f>"1"</f>
        <v>1</v>
      </c>
      <c r="K5579" s="1" t="str">
        <f t="shared" ref="K5579:P5579" si="10627">"0"</f>
        <v>0</v>
      </c>
      <c r="L5579" s="1" t="str">
        <f t="shared" si="10627"/>
        <v>0</v>
      </c>
      <c r="M5579" s="1" t="str">
        <f t="shared" si="10627"/>
        <v>0</v>
      </c>
      <c r="N5579" s="1" t="str">
        <f t="shared" si="10627"/>
        <v>0</v>
      </c>
      <c r="O5579" s="1" t="str">
        <f t="shared" si="10627"/>
        <v>0</v>
      </c>
      <c r="P5579" s="1" t="str">
        <f t="shared" si="10627"/>
        <v>0</v>
      </c>
      <c r="Q5579" s="1" t="str">
        <f t="shared" si="10610"/>
        <v>0.0070</v>
      </c>
      <c r="R5579" s="1" t="s">
        <v>25</v>
      </c>
      <c r="T5579" s="1" t="str">
        <f t="shared" si="10611"/>
        <v>0</v>
      </c>
      <c r="U5579" s="1" t="str">
        <f t="shared" si="10602"/>
        <v>0.0070</v>
      </c>
    </row>
    <row r="5580" s="1" customFormat="1" spans="1:21">
      <c r="A5580" s="1" t="str">
        <f>"4601992190549"</f>
        <v>4601992190549</v>
      </c>
      <c r="B5580" s="1" t="s">
        <v>5603</v>
      </c>
      <c r="C5580" s="1" t="s">
        <v>24</v>
      </c>
      <c r="D5580" s="1" t="str">
        <f t="shared" si="10607"/>
        <v>2021</v>
      </c>
      <c r="E5580" s="1" t="str">
        <f t="shared" ref="E5580:P5580" si="10628">"0"</f>
        <v>0</v>
      </c>
      <c r="F5580" s="1" t="str">
        <f t="shared" si="10628"/>
        <v>0</v>
      </c>
      <c r="G5580" s="1" t="str">
        <f t="shared" si="10628"/>
        <v>0</v>
      </c>
      <c r="H5580" s="1" t="str">
        <f t="shared" si="10628"/>
        <v>0</v>
      </c>
      <c r="I5580" s="1" t="str">
        <f t="shared" si="10628"/>
        <v>0</v>
      </c>
      <c r="J5580" s="1" t="str">
        <f t="shared" si="10628"/>
        <v>0</v>
      </c>
      <c r="K5580" s="1" t="str">
        <f t="shared" si="10628"/>
        <v>0</v>
      </c>
      <c r="L5580" s="1" t="str">
        <f t="shared" si="10628"/>
        <v>0</v>
      </c>
      <c r="M5580" s="1" t="str">
        <f t="shared" si="10628"/>
        <v>0</v>
      </c>
      <c r="N5580" s="1" t="str">
        <f t="shared" si="10628"/>
        <v>0</v>
      </c>
      <c r="O5580" s="1" t="str">
        <f t="shared" si="10628"/>
        <v>0</v>
      </c>
      <c r="P5580" s="1" t="str">
        <f t="shared" si="10628"/>
        <v>0</v>
      </c>
      <c r="Q5580" s="1" t="str">
        <f t="shared" si="10610"/>
        <v>0.0070</v>
      </c>
      <c r="R5580" s="1" t="s">
        <v>25</v>
      </c>
      <c r="T5580" s="1" t="str">
        <f t="shared" si="10611"/>
        <v>0</v>
      </c>
      <c r="U5580" s="1" t="str">
        <f t="shared" si="10602"/>
        <v>0.0070</v>
      </c>
    </row>
    <row r="5581" s="1" customFormat="1" spans="1:21">
      <c r="A5581" s="1" t="str">
        <f>"4601992190536"</f>
        <v>4601992190536</v>
      </c>
      <c r="B5581" s="1" t="s">
        <v>5604</v>
      </c>
      <c r="C5581" s="1" t="s">
        <v>24</v>
      </c>
      <c r="D5581" s="1" t="str">
        <f t="shared" si="10607"/>
        <v>2021</v>
      </c>
      <c r="E5581" s="1" t="str">
        <f t="shared" ref="E5581:I5581" si="10629">"0"</f>
        <v>0</v>
      </c>
      <c r="F5581" s="1" t="str">
        <f t="shared" si="10629"/>
        <v>0</v>
      </c>
      <c r="G5581" s="1" t="str">
        <f t="shared" si="10629"/>
        <v>0</v>
      </c>
      <c r="H5581" s="1" t="str">
        <f t="shared" si="10629"/>
        <v>0</v>
      </c>
      <c r="I5581" s="1" t="str">
        <f t="shared" si="10629"/>
        <v>0</v>
      </c>
      <c r="J5581" s="1" t="str">
        <f>"3"</f>
        <v>3</v>
      </c>
      <c r="K5581" s="1" t="str">
        <f t="shared" ref="K5581:P5581" si="10630">"0"</f>
        <v>0</v>
      </c>
      <c r="L5581" s="1" t="str">
        <f t="shared" si="10630"/>
        <v>0</v>
      </c>
      <c r="M5581" s="1" t="str">
        <f t="shared" si="10630"/>
        <v>0</v>
      </c>
      <c r="N5581" s="1" t="str">
        <f t="shared" si="10630"/>
        <v>0</v>
      </c>
      <c r="O5581" s="1" t="str">
        <f t="shared" si="10630"/>
        <v>0</v>
      </c>
      <c r="P5581" s="1" t="str">
        <f t="shared" si="10630"/>
        <v>0</v>
      </c>
      <c r="Q5581" s="1" t="str">
        <f t="shared" si="10610"/>
        <v>0.0070</v>
      </c>
      <c r="R5581" s="1" t="s">
        <v>25</v>
      </c>
      <c r="T5581" s="1" t="str">
        <f t="shared" si="10611"/>
        <v>0</v>
      </c>
      <c r="U5581" s="1" t="str">
        <f t="shared" si="10602"/>
        <v>0.0070</v>
      </c>
    </row>
    <row r="5582" s="1" customFormat="1" spans="1:21">
      <c r="A5582" s="1" t="str">
        <f>"4601992190547"</f>
        <v>4601992190547</v>
      </c>
      <c r="B5582" s="1" t="s">
        <v>5605</v>
      </c>
      <c r="C5582" s="1" t="s">
        <v>24</v>
      </c>
      <c r="D5582" s="1" t="str">
        <f t="shared" si="10607"/>
        <v>2021</v>
      </c>
      <c r="E5582" s="1" t="str">
        <f t="shared" ref="E5582:I5582" si="10631">"0"</f>
        <v>0</v>
      </c>
      <c r="F5582" s="1" t="str">
        <f t="shared" si="10631"/>
        <v>0</v>
      </c>
      <c r="G5582" s="1" t="str">
        <f t="shared" si="10631"/>
        <v>0</v>
      </c>
      <c r="H5582" s="1" t="str">
        <f t="shared" si="10631"/>
        <v>0</v>
      </c>
      <c r="I5582" s="1" t="str">
        <f t="shared" si="10631"/>
        <v>0</v>
      </c>
      <c r="J5582" s="1" t="str">
        <f>"3"</f>
        <v>3</v>
      </c>
      <c r="K5582" s="1" t="str">
        <f t="shared" ref="K5582:P5582" si="10632">"0"</f>
        <v>0</v>
      </c>
      <c r="L5582" s="1" t="str">
        <f t="shared" si="10632"/>
        <v>0</v>
      </c>
      <c r="M5582" s="1" t="str">
        <f t="shared" si="10632"/>
        <v>0</v>
      </c>
      <c r="N5582" s="1" t="str">
        <f t="shared" si="10632"/>
        <v>0</v>
      </c>
      <c r="O5582" s="1" t="str">
        <f t="shared" si="10632"/>
        <v>0</v>
      </c>
      <c r="P5582" s="1" t="str">
        <f t="shared" si="10632"/>
        <v>0</v>
      </c>
      <c r="Q5582" s="1" t="str">
        <f t="shared" si="10610"/>
        <v>0.0070</v>
      </c>
      <c r="R5582" s="1" t="s">
        <v>25</v>
      </c>
      <c r="T5582" s="1" t="str">
        <f t="shared" si="10611"/>
        <v>0</v>
      </c>
      <c r="U5582" s="1" t="str">
        <f t="shared" si="10602"/>
        <v>0.0070</v>
      </c>
    </row>
    <row r="5583" s="1" customFormat="1" spans="1:21">
      <c r="A5583" s="1" t="str">
        <f>"4601992190596"</f>
        <v>4601992190596</v>
      </c>
      <c r="B5583" s="1" t="s">
        <v>5606</v>
      </c>
      <c r="C5583" s="1" t="s">
        <v>24</v>
      </c>
      <c r="D5583" s="1" t="str">
        <f t="shared" si="10607"/>
        <v>2021</v>
      </c>
      <c r="E5583" s="1" t="str">
        <f t="shared" ref="E5583:P5583" si="10633">"0"</f>
        <v>0</v>
      </c>
      <c r="F5583" s="1" t="str">
        <f t="shared" si="10633"/>
        <v>0</v>
      </c>
      <c r="G5583" s="1" t="str">
        <f t="shared" si="10633"/>
        <v>0</v>
      </c>
      <c r="H5583" s="1" t="str">
        <f t="shared" si="10633"/>
        <v>0</v>
      </c>
      <c r="I5583" s="1" t="str">
        <f t="shared" si="10633"/>
        <v>0</v>
      </c>
      <c r="J5583" s="1" t="str">
        <f t="shared" si="10633"/>
        <v>0</v>
      </c>
      <c r="K5583" s="1" t="str">
        <f t="shared" si="10633"/>
        <v>0</v>
      </c>
      <c r="L5583" s="1" t="str">
        <f t="shared" si="10633"/>
        <v>0</v>
      </c>
      <c r="M5583" s="1" t="str">
        <f t="shared" si="10633"/>
        <v>0</v>
      </c>
      <c r="N5583" s="1" t="str">
        <f t="shared" si="10633"/>
        <v>0</v>
      </c>
      <c r="O5583" s="1" t="str">
        <f t="shared" si="10633"/>
        <v>0</v>
      </c>
      <c r="P5583" s="1" t="str">
        <f t="shared" si="10633"/>
        <v>0</v>
      </c>
      <c r="Q5583" s="1" t="str">
        <f t="shared" si="10610"/>
        <v>0.0070</v>
      </c>
      <c r="R5583" s="1" t="s">
        <v>25</v>
      </c>
      <c r="T5583" s="1" t="str">
        <f t="shared" si="10611"/>
        <v>0</v>
      </c>
      <c r="U5583" s="1" t="str">
        <f t="shared" si="10602"/>
        <v>0.0070</v>
      </c>
    </row>
    <row r="5584" s="1" customFormat="1" spans="1:21">
      <c r="A5584" s="1" t="str">
        <f>"4601992190604"</f>
        <v>4601992190604</v>
      </c>
      <c r="B5584" s="1" t="s">
        <v>5607</v>
      </c>
      <c r="C5584" s="1" t="s">
        <v>24</v>
      </c>
      <c r="D5584" s="1" t="str">
        <f t="shared" si="10607"/>
        <v>2021</v>
      </c>
      <c r="E5584" s="1" t="str">
        <f t="shared" ref="E5584:I5584" si="10634">"0"</f>
        <v>0</v>
      </c>
      <c r="F5584" s="1" t="str">
        <f t="shared" si="10634"/>
        <v>0</v>
      </c>
      <c r="G5584" s="1" t="str">
        <f t="shared" si="10634"/>
        <v>0</v>
      </c>
      <c r="H5584" s="1" t="str">
        <f t="shared" si="10634"/>
        <v>0</v>
      </c>
      <c r="I5584" s="1" t="str">
        <f t="shared" si="10634"/>
        <v>0</v>
      </c>
      <c r="J5584" s="1" t="str">
        <f>"1"</f>
        <v>1</v>
      </c>
      <c r="K5584" s="1" t="str">
        <f t="shared" ref="K5584:P5584" si="10635">"0"</f>
        <v>0</v>
      </c>
      <c r="L5584" s="1" t="str">
        <f t="shared" si="10635"/>
        <v>0</v>
      </c>
      <c r="M5584" s="1" t="str">
        <f t="shared" si="10635"/>
        <v>0</v>
      </c>
      <c r="N5584" s="1" t="str">
        <f t="shared" si="10635"/>
        <v>0</v>
      </c>
      <c r="O5584" s="1" t="str">
        <f t="shared" si="10635"/>
        <v>0</v>
      </c>
      <c r="P5584" s="1" t="str">
        <f t="shared" si="10635"/>
        <v>0</v>
      </c>
      <c r="Q5584" s="1" t="str">
        <f t="shared" si="10610"/>
        <v>0.0070</v>
      </c>
      <c r="R5584" s="1" t="s">
        <v>25</v>
      </c>
      <c r="T5584" s="1" t="str">
        <f t="shared" si="10611"/>
        <v>0</v>
      </c>
      <c r="U5584" s="1" t="str">
        <f t="shared" si="10602"/>
        <v>0.0070</v>
      </c>
    </row>
    <row r="5585" s="1" customFormat="1" spans="1:21">
      <c r="A5585" s="1" t="str">
        <f>"4601992190626"</f>
        <v>4601992190626</v>
      </c>
      <c r="B5585" s="1" t="s">
        <v>5608</v>
      </c>
      <c r="C5585" s="1" t="s">
        <v>24</v>
      </c>
      <c r="D5585" s="1" t="str">
        <f t="shared" si="10607"/>
        <v>2021</v>
      </c>
      <c r="E5585" s="1" t="str">
        <f>"0.06"</f>
        <v>0.06</v>
      </c>
      <c r="F5585" s="1" t="str">
        <f t="shared" ref="F5585:I5585" si="10636">"0"</f>
        <v>0</v>
      </c>
      <c r="G5585" s="1" t="str">
        <f t="shared" si="10636"/>
        <v>0</v>
      </c>
      <c r="H5585" s="1" t="str">
        <f t="shared" si="10636"/>
        <v>0</v>
      </c>
      <c r="I5585" s="1" t="str">
        <f t="shared" si="10636"/>
        <v>0</v>
      </c>
      <c r="J5585" s="1" t="str">
        <f>"2"</f>
        <v>2</v>
      </c>
      <c r="K5585" s="1" t="str">
        <f t="shared" ref="K5585:P5585" si="10637">"0"</f>
        <v>0</v>
      </c>
      <c r="L5585" s="1" t="str">
        <f t="shared" si="10637"/>
        <v>0</v>
      </c>
      <c r="M5585" s="1" t="str">
        <f t="shared" si="10637"/>
        <v>0</v>
      </c>
      <c r="N5585" s="1" t="str">
        <f t="shared" si="10637"/>
        <v>0</v>
      </c>
      <c r="O5585" s="1" t="str">
        <f t="shared" si="10637"/>
        <v>0</v>
      </c>
      <c r="P5585" s="1" t="str">
        <f t="shared" si="10637"/>
        <v>0</v>
      </c>
      <c r="Q5585" s="1" t="str">
        <f t="shared" si="10610"/>
        <v>0.0070</v>
      </c>
      <c r="R5585" s="1" t="s">
        <v>25</v>
      </c>
      <c r="T5585" s="1" t="str">
        <f t="shared" si="10611"/>
        <v>0</v>
      </c>
      <c r="U5585" s="1" t="str">
        <f t="shared" si="10602"/>
        <v>0.0070</v>
      </c>
    </row>
    <row r="5586" s="1" customFormat="1" spans="1:21">
      <c r="A5586" s="1" t="str">
        <f>"4601992190613"</f>
        <v>4601992190613</v>
      </c>
      <c r="B5586" s="1" t="s">
        <v>5609</v>
      </c>
      <c r="C5586" s="1" t="s">
        <v>24</v>
      </c>
      <c r="D5586" s="1" t="str">
        <f t="shared" si="10607"/>
        <v>2021</v>
      </c>
      <c r="E5586" s="1" t="str">
        <f t="shared" ref="E5586:I5586" si="10638">"0"</f>
        <v>0</v>
      </c>
      <c r="F5586" s="1" t="str">
        <f t="shared" si="10638"/>
        <v>0</v>
      </c>
      <c r="G5586" s="1" t="str">
        <f t="shared" si="10638"/>
        <v>0</v>
      </c>
      <c r="H5586" s="1" t="str">
        <f t="shared" si="10638"/>
        <v>0</v>
      </c>
      <c r="I5586" s="1" t="str">
        <f t="shared" si="10638"/>
        <v>0</v>
      </c>
      <c r="J5586" s="1" t="str">
        <f>"7"</f>
        <v>7</v>
      </c>
      <c r="K5586" s="1" t="str">
        <f t="shared" ref="K5586:P5586" si="10639">"0"</f>
        <v>0</v>
      </c>
      <c r="L5586" s="1" t="str">
        <f t="shared" si="10639"/>
        <v>0</v>
      </c>
      <c r="M5586" s="1" t="str">
        <f t="shared" si="10639"/>
        <v>0</v>
      </c>
      <c r="N5586" s="1" t="str">
        <f t="shared" si="10639"/>
        <v>0</v>
      </c>
      <c r="O5586" s="1" t="str">
        <f t="shared" si="10639"/>
        <v>0</v>
      </c>
      <c r="P5586" s="1" t="str">
        <f t="shared" si="10639"/>
        <v>0</v>
      </c>
      <c r="Q5586" s="1" t="str">
        <f t="shared" si="10610"/>
        <v>0.0070</v>
      </c>
      <c r="R5586" s="1" t="s">
        <v>25</v>
      </c>
      <c r="T5586" s="1" t="str">
        <f t="shared" si="10611"/>
        <v>0</v>
      </c>
      <c r="U5586" s="1" t="str">
        <f t="shared" si="10602"/>
        <v>0.0070</v>
      </c>
    </row>
    <row r="5587" s="1" customFormat="1" spans="1:21">
      <c r="A5587" s="1" t="str">
        <f>"4601992190629"</f>
        <v>4601992190629</v>
      </c>
      <c r="B5587" s="1" t="s">
        <v>5610</v>
      </c>
      <c r="C5587" s="1" t="s">
        <v>24</v>
      </c>
      <c r="D5587" s="1" t="str">
        <f t="shared" si="10607"/>
        <v>2021</v>
      </c>
      <c r="E5587" s="1" t="str">
        <f t="shared" ref="E5587:I5587" si="10640">"0"</f>
        <v>0</v>
      </c>
      <c r="F5587" s="1" t="str">
        <f t="shared" si="10640"/>
        <v>0</v>
      </c>
      <c r="G5587" s="1" t="str">
        <f t="shared" si="10640"/>
        <v>0</v>
      </c>
      <c r="H5587" s="1" t="str">
        <f t="shared" si="10640"/>
        <v>0</v>
      </c>
      <c r="I5587" s="1" t="str">
        <f t="shared" si="10640"/>
        <v>0</v>
      </c>
      <c r="J5587" s="1" t="str">
        <f>"9"</f>
        <v>9</v>
      </c>
      <c r="K5587" s="1" t="str">
        <f t="shared" ref="K5587:P5587" si="10641">"0"</f>
        <v>0</v>
      </c>
      <c r="L5587" s="1" t="str">
        <f t="shared" si="10641"/>
        <v>0</v>
      </c>
      <c r="M5587" s="1" t="str">
        <f t="shared" si="10641"/>
        <v>0</v>
      </c>
      <c r="N5587" s="1" t="str">
        <f t="shared" si="10641"/>
        <v>0</v>
      </c>
      <c r="O5587" s="1" t="str">
        <f t="shared" si="10641"/>
        <v>0</v>
      </c>
      <c r="P5587" s="1" t="str">
        <f t="shared" si="10641"/>
        <v>0</v>
      </c>
      <c r="Q5587" s="1" t="str">
        <f t="shared" si="10610"/>
        <v>0.0070</v>
      </c>
      <c r="R5587" s="1" t="s">
        <v>25</v>
      </c>
      <c r="T5587" s="1" t="str">
        <f t="shared" si="10611"/>
        <v>0</v>
      </c>
      <c r="U5587" s="1" t="str">
        <f t="shared" si="10602"/>
        <v>0.0070</v>
      </c>
    </row>
    <row r="5588" s="1" customFormat="1" spans="1:21">
      <c r="A5588" s="1" t="str">
        <f>"4601992190634"</f>
        <v>4601992190634</v>
      </c>
      <c r="B5588" s="1" t="s">
        <v>5611</v>
      </c>
      <c r="C5588" s="1" t="s">
        <v>24</v>
      </c>
      <c r="D5588" s="1" t="str">
        <f t="shared" si="10607"/>
        <v>2021</v>
      </c>
      <c r="E5588" s="1" t="str">
        <f>"27.08"</f>
        <v>27.08</v>
      </c>
      <c r="F5588" s="1" t="str">
        <f t="shared" ref="F5588:I5588" si="10642">"0"</f>
        <v>0</v>
      </c>
      <c r="G5588" s="1" t="str">
        <f t="shared" si="10642"/>
        <v>0</v>
      </c>
      <c r="H5588" s="1" t="str">
        <f t="shared" si="10642"/>
        <v>0</v>
      </c>
      <c r="I5588" s="1" t="str">
        <f t="shared" si="10642"/>
        <v>0</v>
      </c>
      <c r="J5588" s="1" t="str">
        <f>"2"</f>
        <v>2</v>
      </c>
      <c r="K5588" s="1" t="str">
        <f t="shared" ref="K5588:P5588" si="10643">"0"</f>
        <v>0</v>
      </c>
      <c r="L5588" s="1" t="str">
        <f t="shared" si="10643"/>
        <v>0</v>
      </c>
      <c r="M5588" s="1" t="str">
        <f t="shared" si="10643"/>
        <v>0</v>
      </c>
      <c r="N5588" s="1" t="str">
        <f t="shared" si="10643"/>
        <v>0</v>
      </c>
      <c r="O5588" s="1" t="str">
        <f t="shared" si="10643"/>
        <v>0</v>
      </c>
      <c r="P5588" s="1" t="str">
        <f t="shared" si="10643"/>
        <v>0</v>
      </c>
      <c r="Q5588" s="1" t="str">
        <f t="shared" si="10610"/>
        <v>0.0070</v>
      </c>
      <c r="R5588" s="1" t="s">
        <v>29</v>
      </c>
      <c r="S5588" s="1">
        <v>-0.0014</v>
      </c>
      <c r="T5588" s="1" t="str">
        <f t="shared" si="10611"/>
        <v>0</v>
      </c>
      <c r="U5588" s="1" t="str">
        <f>"0.0056"</f>
        <v>0.0056</v>
      </c>
    </row>
    <row r="5589" s="1" customFormat="1" spans="1:21">
      <c r="A5589" s="1" t="str">
        <f>"4601992190668"</f>
        <v>4601992190668</v>
      </c>
      <c r="B5589" s="1" t="s">
        <v>5612</v>
      </c>
      <c r="C5589" s="1" t="s">
        <v>24</v>
      </c>
      <c r="D5589" s="1" t="str">
        <f t="shared" si="10607"/>
        <v>2021</v>
      </c>
      <c r="E5589" s="1" t="str">
        <f t="shared" ref="E5589:P5589" si="10644">"0"</f>
        <v>0</v>
      </c>
      <c r="F5589" s="1" t="str">
        <f t="shared" si="10644"/>
        <v>0</v>
      </c>
      <c r="G5589" s="1" t="str">
        <f t="shared" si="10644"/>
        <v>0</v>
      </c>
      <c r="H5589" s="1" t="str">
        <f t="shared" si="10644"/>
        <v>0</v>
      </c>
      <c r="I5589" s="1" t="str">
        <f t="shared" si="10644"/>
        <v>0</v>
      </c>
      <c r="J5589" s="1" t="str">
        <f t="shared" si="10644"/>
        <v>0</v>
      </c>
      <c r="K5589" s="1" t="str">
        <f t="shared" si="10644"/>
        <v>0</v>
      </c>
      <c r="L5589" s="1" t="str">
        <f t="shared" si="10644"/>
        <v>0</v>
      </c>
      <c r="M5589" s="1" t="str">
        <f t="shared" si="10644"/>
        <v>0</v>
      </c>
      <c r="N5589" s="1" t="str">
        <f t="shared" si="10644"/>
        <v>0</v>
      </c>
      <c r="O5589" s="1" t="str">
        <f t="shared" si="10644"/>
        <v>0</v>
      </c>
      <c r="P5589" s="1" t="str">
        <f t="shared" si="10644"/>
        <v>0</v>
      </c>
      <c r="Q5589" s="1" t="str">
        <f t="shared" si="10610"/>
        <v>0.0070</v>
      </c>
      <c r="R5589" s="1" t="s">
        <v>25</v>
      </c>
      <c r="T5589" s="1" t="str">
        <f t="shared" si="10611"/>
        <v>0</v>
      </c>
      <c r="U5589" s="1" t="str">
        <f t="shared" ref="U5589:U5611" si="10645">"0.0070"</f>
        <v>0.0070</v>
      </c>
    </row>
    <row r="5590" s="1" customFormat="1" spans="1:21">
      <c r="A5590" s="1" t="str">
        <f>"4601992190643"</f>
        <v>4601992190643</v>
      </c>
      <c r="B5590" s="1" t="s">
        <v>5613</v>
      </c>
      <c r="C5590" s="1" t="s">
        <v>24</v>
      </c>
      <c r="D5590" s="1" t="str">
        <f t="shared" si="10607"/>
        <v>2021</v>
      </c>
      <c r="E5590" s="1" t="str">
        <f t="shared" ref="E5590:I5590" si="10646">"0"</f>
        <v>0</v>
      </c>
      <c r="F5590" s="1" t="str">
        <f t="shared" si="10646"/>
        <v>0</v>
      </c>
      <c r="G5590" s="1" t="str">
        <f t="shared" si="10646"/>
        <v>0</v>
      </c>
      <c r="H5590" s="1" t="str">
        <f t="shared" si="10646"/>
        <v>0</v>
      </c>
      <c r="I5590" s="1" t="str">
        <f t="shared" si="10646"/>
        <v>0</v>
      </c>
      <c r="J5590" s="1" t="str">
        <f>"37"</f>
        <v>37</v>
      </c>
      <c r="K5590" s="1" t="str">
        <f t="shared" ref="K5590:P5590" si="10647">"0"</f>
        <v>0</v>
      </c>
      <c r="L5590" s="1" t="str">
        <f t="shared" si="10647"/>
        <v>0</v>
      </c>
      <c r="M5590" s="1" t="str">
        <f t="shared" si="10647"/>
        <v>0</v>
      </c>
      <c r="N5590" s="1" t="str">
        <f t="shared" si="10647"/>
        <v>0</v>
      </c>
      <c r="O5590" s="1" t="str">
        <f t="shared" si="10647"/>
        <v>0</v>
      </c>
      <c r="P5590" s="1" t="str">
        <f t="shared" si="10647"/>
        <v>0</v>
      </c>
      <c r="Q5590" s="1" t="str">
        <f t="shared" si="10610"/>
        <v>0.0070</v>
      </c>
      <c r="R5590" s="1" t="s">
        <v>25</v>
      </c>
      <c r="T5590" s="1" t="str">
        <f t="shared" si="10611"/>
        <v>0</v>
      </c>
      <c r="U5590" s="1" t="str">
        <f t="shared" si="10645"/>
        <v>0.0070</v>
      </c>
    </row>
    <row r="5591" s="1" customFormat="1" spans="1:21">
      <c r="A5591" s="1" t="str">
        <f>"4601992190688"</f>
        <v>4601992190688</v>
      </c>
      <c r="B5591" s="1" t="s">
        <v>5614</v>
      </c>
      <c r="C5591" s="1" t="s">
        <v>24</v>
      </c>
      <c r="D5591" s="1" t="str">
        <f t="shared" si="10607"/>
        <v>2021</v>
      </c>
      <c r="E5591" s="1" t="str">
        <f t="shared" ref="E5591:P5591" si="10648">"0"</f>
        <v>0</v>
      </c>
      <c r="F5591" s="1" t="str">
        <f t="shared" si="10648"/>
        <v>0</v>
      </c>
      <c r="G5591" s="1" t="str">
        <f t="shared" si="10648"/>
        <v>0</v>
      </c>
      <c r="H5591" s="1" t="str">
        <f t="shared" si="10648"/>
        <v>0</v>
      </c>
      <c r="I5591" s="1" t="str">
        <f t="shared" si="10648"/>
        <v>0</v>
      </c>
      <c r="J5591" s="1" t="str">
        <f t="shared" si="10648"/>
        <v>0</v>
      </c>
      <c r="K5591" s="1" t="str">
        <f t="shared" si="10648"/>
        <v>0</v>
      </c>
      <c r="L5591" s="1" t="str">
        <f t="shared" si="10648"/>
        <v>0</v>
      </c>
      <c r="M5591" s="1" t="str">
        <f t="shared" si="10648"/>
        <v>0</v>
      </c>
      <c r="N5591" s="1" t="str">
        <f t="shared" si="10648"/>
        <v>0</v>
      </c>
      <c r="O5591" s="1" t="str">
        <f t="shared" si="10648"/>
        <v>0</v>
      </c>
      <c r="P5591" s="1" t="str">
        <f t="shared" si="10648"/>
        <v>0</v>
      </c>
      <c r="Q5591" s="1" t="str">
        <f t="shared" si="10610"/>
        <v>0.0070</v>
      </c>
      <c r="R5591" s="1" t="s">
        <v>25</v>
      </c>
      <c r="T5591" s="1" t="str">
        <f t="shared" si="10611"/>
        <v>0</v>
      </c>
      <c r="U5591" s="1" t="str">
        <f t="shared" si="10645"/>
        <v>0.0070</v>
      </c>
    </row>
    <row r="5592" s="1" customFormat="1" spans="1:21">
      <c r="A5592" s="1" t="str">
        <f>"4601992190677"</f>
        <v>4601992190677</v>
      </c>
      <c r="B5592" s="1" t="s">
        <v>5615</v>
      </c>
      <c r="C5592" s="1" t="s">
        <v>24</v>
      </c>
      <c r="D5592" s="1" t="str">
        <f t="shared" si="10607"/>
        <v>2021</v>
      </c>
      <c r="E5592" s="1" t="str">
        <f t="shared" ref="E5592:I5592" si="10649">"0"</f>
        <v>0</v>
      </c>
      <c r="F5592" s="1" t="str">
        <f t="shared" si="10649"/>
        <v>0</v>
      </c>
      <c r="G5592" s="1" t="str">
        <f t="shared" si="10649"/>
        <v>0</v>
      </c>
      <c r="H5592" s="1" t="str">
        <f t="shared" si="10649"/>
        <v>0</v>
      </c>
      <c r="I5592" s="1" t="str">
        <f t="shared" si="10649"/>
        <v>0</v>
      </c>
      <c r="J5592" s="1" t="str">
        <f t="shared" ref="J5592:J5596" si="10650">"1"</f>
        <v>1</v>
      </c>
      <c r="K5592" s="1" t="str">
        <f t="shared" ref="K5592:P5592" si="10651">"0"</f>
        <v>0</v>
      </c>
      <c r="L5592" s="1" t="str">
        <f t="shared" si="10651"/>
        <v>0</v>
      </c>
      <c r="M5592" s="1" t="str">
        <f t="shared" si="10651"/>
        <v>0</v>
      </c>
      <c r="N5592" s="1" t="str">
        <f t="shared" si="10651"/>
        <v>0</v>
      </c>
      <c r="O5592" s="1" t="str">
        <f t="shared" si="10651"/>
        <v>0</v>
      </c>
      <c r="P5592" s="1" t="str">
        <f t="shared" si="10651"/>
        <v>0</v>
      </c>
      <c r="Q5592" s="1" t="str">
        <f t="shared" si="10610"/>
        <v>0.0070</v>
      </c>
      <c r="R5592" s="1" t="s">
        <v>25</v>
      </c>
      <c r="T5592" s="1" t="str">
        <f t="shared" si="10611"/>
        <v>0</v>
      </c>
      <c r="U5592" s="1" t="str">
        <f t="shared" si="10645"/>
        <v>0.0070</v>
      </c>
    </row>
    <row r="5593" s="1" customFormat="1" spans="1:21">
      <c r="A5593" s="1" t="str">
        <f>"4601992190684"</f>
        <v>4601992190684</v>
      </c>
      <c r="B5593" s="1" t="s">
        <v>5616</v>
      </c>
      <c r="C5593" s="1" t="s">
        <v>24</v>
      </c>
      <c r="D5593" s="1" t="str">
        <f t="shared" si="10607"/>
        <v>2021</v>
      </c>
      <c r="E5593" s="1" t="str">
        <f t="shared" ref="E5593:I5593" si="10652">"0"</f>
        <v>0</v>
      </c>
      <c r="F5593" s="1" t="str">
        <f t="shared" si="10652"/>
        <v>0</v>
      </c>
      <c r="G5593" s="1" t="str">
        <f t="shared" si="10652"/>
        <v>0</v>
      </c>
      <c r="H5593" s="1" t="str">
        <f t="shared" si="10652"/>
        <v>0</v>
      </c>
      <c r="I5593" s="1" t="str">
        <f t="shared" si="10652"/>
        <v>0</v>
      </c>
      <c r="J5593" s="1" t="str">
        <f>"5"</f>
        <v>5</v>
      </c>
      <c r="K5593" s="1" t="str">
        <f t="shared" ref="K5593:P5593" si="10653">"0"</f>
        <v>0</v>
      </c>
      <c r="L5593" s="1" t="str">
        <f t="shared" si="10653"/>
        <v>0</v>
      </c>
      <c r="M5593" s="1" t="str">
        <f t="shared" si="10653"/>
        <v>0</v>
      </c>
      <c r="N5593" s="1" t="str">
        <f t="shared" si="10653"/>
        <v>0</v>
      </c>
      <c r="O5593" s="1" t="str">
        <f t="shared" si="10653"/>
        <v>0</v>
      </c>
      <c r="P5593" s="1" t="str">
        <f t="shared" si="10653"/>
        <v>0</v>
      </c>
      <c r="Q5593" s="1" t="str">
        <f t="shared" si="10610"/>
        <v>0.0070</v>
      </c>
      <c r="R5593" s="1" t="s">
        <v>25</v>
      </c>
      <c r="T5593" s="1" t="str">
        <f t="shared" si="10611"/>
        <v>0</v>
      </c>
      <c r="U5593" s="1" t="str">
        <f t="shared" si="10645"/>
        <v>0.0070</v>
      </c>
    </row>
    <row r="5594" s="1" customFormat="1" spans="1:21">
      <c r="A5594" s="1" t="str">
        <f>"4601992190705"</f>
        <v>4601992190705</v>
      </c>
      <c r="B5594" s="1" t="s">
        <v>5617</v>
      </c>
      <c r="C5594" s="1" t="s">
        <v>24</v>
      </c>
      <c r="D5594" s="1" t="str">
        <f t="shared" si="10607"/>
        <v>2021</v>
      </c>
      <c r="E5594" s="1" t="str">
        <f t="shared" ref="E5594:I5594" si="10654">"0"</f>
        <v>0</v>
      </c>
      <c r="F5594" s="1" t="str">
        <f t="shared" si="10654"/>
        <v>0</v>
      </c>
      <c r="G5594" s="1" t="str">
        <f t="shared" si="10654"/>
        <v>0</v>
      </c>
      <c r="H5594" s="1" t="str">
        <f t="shared" si="10654"/>
        <v>0</v>
      </c>
      <c r="I5594" s="1" t="str">
        <f t="shared" si="10654"/>
        <v>0</v>
      </c>
      <c r="J5594" s="1" t="str">
        <f t="shared" si="10650"/>
        <v>1</v>
      </c>
      <c r="K5594" s="1" t="str">
        <f t="shared" ref="K5594:P5594" si="10655">"0"</f>
        <v>0</v>
      </c>
      <c r="L5594" s="1" t="str">
        <f t="shared" si="10655"/>
        <v>0</v>
      </c>
      <c r="M5594" s="1" t="str">
        <f t="shared" si="10655"/>
        <v>0</v>
      </c>
      <c r="N5594" s="1" t="str">
        <f t="shared" si="10655"/>
        <v>0</v>
      </c>
      <c r="O5594" s="1" t="str">
        <f t="shared" si="10655"/>
        <v>0</v>
      </c>
      <c r="P5594" s="1" t="str">
        <f t="shared" si="10655"/>
        <v>0</v>
      </c>
      <c r="Q5594" s="1" t="str">
        <f t="shared" si="10610"/>
        <v>0.0070</v>
      </c>
      <c r="R5594" s="1" t="s">
        <v>25</v>
      </c>
      <c r="T5594" s="1" t="str">
        <f t="shared" si="10611"/>
        <v>0</v>
      </c>
      <c r="U5594" s="1" t="str">
        <f t="shared" si="10645"/>
        <v>0.0070</v>
      </c>
    </row>
    <row r="5595" s="1" customFormat="1" spans="1:21">
      <c r="A5595" s="1" t="str">
        <f>"4601992190713"</f>
        <v>4601992190713</v>
      </c>
      <c r="B5595" s="1" t="s">
        <v>5618</v>
      </c>
      <c r="C5595" s="1" t="s">
        <v>24</v>
      </c>
      <c r="D5595" s="1" t="str">
        <f t="shared" si="10607"/>
        <v>2021</v>
      </c>
      <c r="E5595" s="1" t="str">
        <f t="shared" ref="E5595:I5595" si="10656">"0"</f>
        <v>0</v>
      </c>
      <c r="F5595" s="1" t="str">
        <f t="shared" si="10656"/>
        <v>0</v>
      </c>
      <c r="G5595" s="1" t="str">
        <f t="shared" si="10656"/>
        <v>0</v>
      </c>
      <c r="H5595" s="1" t="str">
        <f t="shared" si="10656"/>
        <v>0</v>
      </c>
      <c r="I5595" s="1" t="str">
        <f t="shared" si="10656"/>
        <v>0</v>
      </c>
      <c r="J5595" s="1" t="str">
        <f>"2"</f>
        <v>2</v>
      </c>
      <c r="K5595" s="1" t="str">
        <f t="shared" ref="K5595:P5595" si="10657">"0"</f>
        <v>0</v>
      </c>
      <c r="L5595" s="1" t="str">
        <f t="shared" si="10657"/>
        <v>0</v>
      </c>
      <c r="M5595" s="1" t="str">
        <f t="shared" si="10657"/>
        <v>0</v>
      </c>
      <c r="N5595" s="1" t="str">
        <f t="shared" si="10657"/>
        <v>0</v>
      </c>
      <c r="O5595" s="1" t="str">
        <f t="shared" si="10657"/>
        <v>0</v>
      </c>
      <c r="P5595" s="1" t="str">
        <f t="shared" si="10657"/>
        <v>0</v>
      </c>
      <c r="Q5595" s="1" t="str">
        <f t="shared" si="10610"/>
        <v>0.0070</v>
      </c>
      <c r="R5595" s="1" t="s">
        <v>25</v>
      </c>
      <c r="T5595" s="1" t="str">
        <f t="shared" si="10611"/>
        <v>0</v>
      </c>
      <c r="U5595" s="1" t="str">
        <f t="shared" si="10645"/>
        <v>0.0070</v>
      </c>
    </row>
    <row r="5596" s="1" customFormat="1" spans="1:21">
      <c r="A5596" s="1" t="str">
        <f>"4601992190714"</f>
        <v>4601992190714</v>
      </c>
      <c r="B5596" s="1" t="s">
        <v>5619</v>
      </c>
      <c r="C5596" s="1" t="s">
        <v>24</v>
      </c>
      <c r="D5596" s="1" t="str">
        <f t="shared" si="10607"/>
        <v>2021</v>
      </c>
      <c r="E5596" s="1" t="str">
        <f>"0.09"</f>
        <v>0.09</v>
      </c>
      <c r="F5596" s="1" t="str">
        <f t="shared" ref="F5596:I5596" si="10658">"0"</f>
        <v>0</v>
      </c>
      <c r="G5596" s="1" t="str">
        <f t="shared" si="10658"/>
        <v>0</v>
      </c>
      <c r="H5596" s="1" t="str">
        <f t="shared" si="10658"/>
        <v>0</v>
      </c>
      <c r="I5596" s="1" t="str">
        <f t="shared" si="10658"/>
        <v>0</v>
      </c>
      <c r="J5596" s="1" t="str">
        <f t="shared" si="10650"/>
        <v>1</v>
      </c>
      <c r="K5596" s="1" t="str">
        <f t="shared" ref="K5596:P5596" si="10659">"0"</f>
        <v>0</v>
      </c>
      <c r="L5596" s="1" t="str">
        <f t="shared" si="10659"/>
        <v>0</v>
      </c>
      <c r="M5596" s="1" t="str">
        <f t="shared" si="10659"/>
        <v>0</v>
      </c>
      <c r="N5596" s="1" t="str">
        <f t="shared" si="10659"/>
        <v>0</v>
      </c>
      <c r="O5596" s="1" t="str">
        <f t="shared" si="10659"/>
        <v>0</v>
      </c>
      <c r="P5596" s="1" t="str">
        <f t="shared" si="10659"/>
        <v>0</v>
      </c>
      <c r="Q5596" s="1" t="str">
        <f t="shared" si="10610"/>
        <v>0.0070</v>
      </c>
      <c r="R5596" s="1" t="s">
        <v>25</v>
      </c>
      <c r="T5596" s="1" t="str">
        <f t="shared" si="10611"/>
        <v>0</v>
      </c>
      <c r="U5596" s="1" t="str">
        <f t="shared" si="10645"/>
        <v>0.0070</v>
      </c>
    </row>
    <row r="5597" s="1" customFormat="1" spans="1:21">
      <c r="A5597" s="1" t="str">
        <f>"4601992190722"</f>
        <v>4601992190722</v>
      </c>
      <c r="B5597" s="1" t="s">
        <v>5620</v>
      </c>
      <c r="C5597" s="1" t="s">
        <v>24</v>
      </c>
      <c r="D5597" s="1" t="str">
        <f t="shared" si="10607"/>
        <v>2021</v>
      </c>
      <c r="E5597" s="1" t="str">
        <f t="shared" ref="E5597:I5597" si="10660">"0"</f>
        <v>0</v>
      </c>
      <c r="F5597" s="1" t="str">
        <f t="shared" si="10660"/>
        <v>0</v>
      </c>
      <c r="G5597" s="1" t="str">
        <f t="shared" si="10660"/>
        <v>0</v>
      </c>
      <c r="H5597" s="1" t="str">
        <f t="shared" si="10660"/>
        <v>0</v>
      </c>
      <c r="I5597" s="1" t="str">
        <f t="shared" si="10660"/>
        <v>0</v>
      </c>
      <c r="J5597" s="1" t="str">
        <f t="shared" ref="J5597:J5601" si="10661">"3"</f>
        <v>3</v>
      </c>
      <c r="K5597" s="1" t="str">
        <f t="shared" ref="K5597:P5597" si="10662">"0"</f>
        <v>0</v>
      </c>
      <c r="L5597" s="1" t="str">
        <f t="shared" si="10662"/>
        <v>0</v>
      </c>
      <c r="M5597" s="1" t="str">
        <f t="shared" si="10662"/>
        <v>0</v>
      </c>
      <c r="N5597" s="1" t="str">
        <f t="shared" si="10662"/>
        <v>0</v>
      </c>
      <c r="O5597" s="1" t="str">
        <f t="shared" si="10662"/>
        <v>0</v>
      </c>
      <c r="P5597" s="1" t="str">
        <f t="shared" si="10662"/>
        <v>0</v>
      </c>
      <c r="Q5597" s="1" t="str">
        <f t="shared" si="10610"/>
        <v>0.0070</v>
      </c>
      <c r="R5597" s="1" t="s">
        <v>25</v>
      </c>
      <c r="T5597" s="1" t="str">
        <f t="shared" si="10611"/>
        <v>0</v>
      </c>
      <c r="U5597" s="1" t="str">
        <f t="shared" si="10645"/>
        <v>0.0070</v>
      </c>
    </row>
    <row r="5598" s="1" customFormat="1" spans="1:21">
      <c r="A5598" s="1" t="str">
        <f>"4601992190748"</f>
        <v>4601992190748</v>
      </c>
      <c r="B5598" s="1" t="s">
        <v>5621</v>
      </c>
      <c r="C5598" s="1" t="s">
        <v>24</v>
      </c>
      <c r="D5598" s="1" t="str">
        <f t="shared" si="10607"/>
        <v>2021</v>
      </c>
      <c r="E5598" s="1" t="str">
        <f t="shared" ref="E5598:I5598" si="10663">"0"</f>
        <v>0</v>
      </c>
      <c r="F5598" s="1" t="str">
        <f t="shared" si="10663"/>
        <v>0</v>
      </c>
      <c r="G5598" s="1" t="str">
        <f t="shared" si="10663"/>
        <v>0</v>
      </c>
      <c r="H5598" s="1" t="str">
        <f t="shared" si="10663"/>
        <v>0</v>
      </c>
      <c r="I5598" s="1" t="str">
        <f t="shared" si="10663"/>
        <v>0</v>
      </c>
      <c r="J5598" s="1" t="str">
        <f t="shared" ref="J5598:J5602" si="10664">"1"</f>
        <v>1</v>
      </c>
      <c r="K5598" s="1" t="str">
        <f t="shared" ref="K5598:P5598" si="10665">"0"</f>
        <v>0</v>
      </c>
      <c r="L5598" s="1" t="str">
        <f t="shared" si="10665"/>
        <v>0</v>
      </c>
      <c r="M5598" s="1" t="str">
        <f t="shared" si="10665"/>
        <v>0</v>
      </c>
      <c r="N5598" s="1" t="str">
        <f t="shared" si="10665"/>
        <v>0</v>
      </c>
      <c r="O5598" s="1" t="str">
        <f t="shared" si="10665"/>
        <v>0</v>
      </c>
      <c r="P5598" s="1" t="str">
        <f t="shared" si="10665"/>
        <v>0</v>
      </c>
      <c r="Q5598" s="1" t="str">
        <f t="shared" si="10610"/>
        <v>0.0070</v>
      </c>
      <c r="R5598" s="1" t="s">
        <v>25</v>
      </c>
      <c r="T5598" s="1" t="str">
        <f t="shared" si="10611"/>
        <v>0</v>
      </c>
      <c r="U5598" s="1" t="str">
        <f t="shared" si="10645"/>
        <v>0.0070</v>
      </c>
    </row>
    <row r="5599" s="1" customFormat="1" spans="1:21">
      <c r="A5599" s="1" t="str">
        <f>"4601992190762"</f>
        <v>4601992190762</v>
      </c>
      <c r="B5599" s="1" t="s">
        <v>5622</v>
      </c>
      <c r="C5599" s="1" t="s">
        <v>24</v>
      </c>
      <c r="D5599" s="1" t="str">
        <f t="shared" si="10607"/>
        <v>2021</v>
      </c>
      <c r="E5599" s="1" t="str">
        <f t="shared" ref="E5599:I5599" si="10666">"0"</f>
        <v>0</v>
      </c>
      <c r="F5599" s="1" t="str">
        <f t="shared" si="10666"/>
        <v>0</v>
      </c>
      <c r="G5599" s="1" t="str">
        <f t="shared" si="10666"/>
        <v>0</v>
      </c>
      <c r="H5599" s="1" t="str">
        <f t="shared" si="10666"/>
        <v>0</v>
      </c>
      <c r="I5599" s="1" t="str">
        <f t="shared" si="10666"/>
        <v>0</v>
      </c>
      <c r="J5599" s="1" t="str">
        <f t="shared" si="10661"/>
        <v>3</v>
      </c>
      <c r="K5599" s="1" t="str">
        <f t="shared" ref="K5599:P5599" si="10667">"0"</f>
        <v>0</v>
      </c>
      <c r="L5599" s="1" t="str">
        <f t="shared" si="10667"/>
        <v>0</v>
      </c>
      <c r="M5599" s="1" t="str">
        <f t="shared" si="10667"/>
        <v>0</v>
      </c>
      <c r="N5599" s="1" t="str">
        <f t="shared" si="10667"/>
        <v>0</v>
      </c>
      <c r="O5599" s="1" t="str">
        <f t="shared" si="10667"/>
        <v>0</v>
      </c>
      <c r="P5599" s="1" t="str">
        <f t="shared" si="10667"/>
        <v>0</v>
      </c>
      <c r="Q5599" s="1" t="str">
        <f t="shared" si="10610"/>
        <v>0.0070</v>
      </c>
      <c r="R5599" s="1" t="s">
        <v>25</v>
      </c>
      <c r="T5599" s="1" t="str">
        <f t="shared" si="10611"/>
        <v>0</v>
      </c>
      <c r="U5599" s="1" t="str">
        <f t="shared" si="10645"/>
        <v>0.0070</v>
      </c>
    </row>
    <row r="5600" s="1" customFormat="1" spans="1:21">
      <c r="A5600" s="1" t="str">
        <f>"4601992190772"</f>
        <v>4601992190772</v>
      </c>
      <c r="B5600" s="1" t="s">
        <v>5623</v>
      </c>
      <c r="C5600" s="1" t="s">
        <v>24</v>
      </c>
      <c r="D5600" s="1" t="str">
        <f t="shared" si="10607"/>
        <v>2021</v>
      </c>
      <c r="E5600" s="1" t="str">
        <f t="shared" ref="E5600:I5600" si="10668">"0"</f>
        <v>0</v>
      </c>
      <c r="F5600" s="1" t="str">
        <f t="shared" si="10668"/>
        <v>0</v>
      </c>
      <c r="G5600" s="1" t="str">
        <f t="shared" si="10668"/>
        <v>0</v>
      </c>
      <c r="H5600" s="1" t="str">
        <f t="shared" si="10668"/>
        <v>0</v>
      </c>
      <c r="I5600" s="1" t="str">
        <f t="shared" si="10668"/>
        <v>0</v>
      </c>
      <c r="J5600" s="1" t="str">
        <f t="shared" si="10664"/>
        <v>1</v>
      </c>
      <c r="K5600" s="1" t="str">
        <f t="shared" ref="K5600:P5600" si="10669">"0"</f>
        <v>0</v>
      </c>
      <c r="L5600" s="1" t="str">
        <f t="shared" si="10669"/>
        <v>0</v>
      </c>
      <c r="M5600" s="1" t="str">
        <f t="shared" si="10669"/>
        <v>0</v>
      </c>
      <c r="N5600" s="1" t="str">
        <f t="shared" si="10669"/>
        <v>0</v>
      </c>
      <c r="O5600" s="1" t="str">
        <f t="shared" si="10669"/>
        <v>0</v>
      </c>
      <c r="P5600" s="1" t="str">
        <f t="shared" si="10669"/>
        <v>0</v>
      </c>
      <c r="Q5600" s="1" t="str">
        <f t="shared" si="10610"/>
        <v>0.0070</v>
      </c>
      <c r="R5600" s="1" t="s">
        <v>25</v>
      </c>
      <c r="T5600" s="1" t="str">
        <f t="shared" si="10611"/>
        <v>0</v>
      </c>
      <c r="U5600" s="1" t="str">
        <f t="shared" si="10645"/>
        <v>0.0070</v>
      </c>
    </row>
    <row r="5601" s="1" customFormat="1" spans="1:21">
      <c r="A5601" s="1" t="str">
        <f>"4601992190776"</f>
        <v>4601992190776</v>
      </c>
      <c r="B5601" s="1" t="s">
        <v>5624</v>
      </c>
      <c r="C5601" s="1" t="s">
        <v>24</v>
      </c>
      <c r="D5601" s="1" t="str">
        <f t="shared" si="10607"/>
        <v>2021</v>
      </c>
      <c r="E5601" s="1" t="str">
        <f t="shared" ref="E5601:I5601" si="10670">"0"</f>
        <v>0</v>
      </c>
      <c r="F5601" s="1" t="str">
        <f t="shared" si="10670"/>
        <v>0</v>
      </c>
      <c r="G5601" s="1" t="str">
        <f t="shared" si="10670"/>
        <v>0</v>
      </c>
      <c r="H5601" s="1" t="str">
        <f t="shared" si="10670"/>
        <v>0</v>
      </c>
      <c r="I5601" s="1" t="str">
        <f t="shared" si="10670"/>
        <v>0</v>
      </c>
      <c r="J5601" s="1" t="str">
        <f t="shared" si="10661"/>
        <v>3</v>
      </c>
      <c r="K5601" s="1" t="str">
        <f t="shared" ref="K5601:P5601" si="10671">"0"</f>
        <v>0</v>
      </c>
      <c r="L5601" s="1" t="str">
        <f t="shared" si="10671"/>
        <v>0</v>
      </c>
      <c r="M5601" s="1" t="str">
        <f t="shared" si="10671"/>
        <v>0</v>
      </c>
      <c r="N5601" s="1" t="str">
        <f t="shared" si="10671"/>
        <v>0</v>
      </c>
      <c r="O5601" s="1" t="str">
        <f t="shared" si="10671"/>
        <v>0</v>
      </c>
      <c r="P5601" s="1" t="str">
        <f t="shared" si="10671"/>
        <v>0</v>
      </c>
      <c r="Q5601" s="1" t="str">
        <f t="shared" si="10610"/>
        <v>0.0070</v>
      </c>
      <c r="R5601" s="1" t="s">
        <v>25</v>
      </c>
      <c r="T5601" s="1" t="str">
        <f t="shared" si="10611"/>
        <v>0</v>
      </c>
      <c r="U5601" s="1" t="str">
        <f t="shared" si="10645"/>
        <v>0.0070</v>
      </c>
    </row>
    <row r="5602" s="1" customFormat="1" spans="1:21">
      <c r="A5602" s="1" t="str">
        <f>"4601992190794"</f>
        <v>4601992190794</v>
      </c>
      <c r="B5602" s="1" t="s">
        <v>5625</v>
      </c>
      <c r="C5602" s="1" t="s">
        <v>24</v>
      </c>
      <c r="D5602" s="1" t="str">
        <f t="shared" si="10607"/>
        <v>2021</v>
      </c>
      <c r="E5602" s="1" t="str">
        <f t="shared" ref="E5602:I5602" si="10672">"0"</f>
        <v>0</v>
      </c>
      <c r="F5602" s="1" t="str">
        <f t="shared" si="10672"/>
        <v>0</v>
      </c>
      <c r="G5602" s="1" t="str">
        <f t="shared" si="10672"/>
        <v>0</v>
      </c>
      <c r="H5602" s="1" t="str">
        <f t="shared" si="10672"/>
        <v>0</v>
      </c>
      <c r="I5602" s="1" t="str">
        <f t="shared" si="10672"/>
        <v>0</v>
      </c>
      <c r="J5602" s="1" t="str">
        <f t="shared" si="10664"/>
        <v>1</v>
      </c>
      <c r="K5602" s="1" t="str">
        <f t="shared" ref="K5602:P5602" si="10673">"0"</f>
        <v>0</v>
      </c>
      <c r="L5602" s="1" t="str">
        <f t="shared" si="10673"/>
        <v>0</v>
      </c>
      <c r="M5602" s="1" t="str">
        <f t="shared" si="10673"/>
        <v>0</v>
      </c>
      <c r="N5602" s="1" t="str">
        <f t="shared" si="10673"/>
        <v>0</v>
      </c>
      <c r="O5602" s="1" t="str">
        <f t="shared" si="10673"/>
        <v>0</v>
      </c>
      <c r="P5602" s="1" t="str">
        <f t="shared" si="10673"/>
        <v>0</v>
      </c>
      <c r="Q5602" s="1" t="str">
        <f t="shared" si="10610"/>
        <v>0.0070</v>
      </c>
      <c r="R5602" s="1" t="s">
        <v>25</v>
      </c>
      <c r="T5602" s="1" t="str">
        <f t="shared" si="10611"/>
        <v>0</v>
      </c>
      <c r="U5602" s="1" t="str">
        <f t="shared" si="10645"/>
        <v>0.0070</v>
      </c>
    </row>
    <row r="5603" s="1" customFormat="1" spans="1:21">
      <c r="A5603" s="1" t="str">
        <f>"4601992190815"</f>
        <v>4601992190815</v>
      </c>
      <c r="B5603" s="1" t="s">
        <v>5626</v>
      </c>
      <c r="C5603" s="1" t="s">
        <v>24</v>
      </c>
      <c r="D5603" s="1" t="str">
        <f t="shared" si="10607"/>
        <v>2021</v>
      </c>
      <c r="E5603" s="1" t="str">
        <f t="shared" ref="E5603:I5603" si="10674">"0"</f>
        <v>0</v>
      </c>
      <c r="F5603" s="1" t="str">
        <f t="shared" si="10674"/>
        <v>0</v>
      </c>
      <c r="G5603" s="1" t="str">
        <f t="shared" si="10674"/>
        <v>0</v>
      </c>
      <c r="H5603" s="1" t="str">
        <f t="shared" si="10674"/>
        <v>0</v>
      </c>
      <c r="I5603" s="1" t="str">
        <f t="shared" si="10674"/>
        <v>0</v>
      </c>
      <c r="J5603" s="1" t="str">
        <f>"2"</f>
        <v>2</v>
      </c>
      <c r="K5603" s="1" t="str">
        <f t="shared" ref="K5603:P5603" si="10675">"0"</f>
        <v>0</v>
      </c>
      <c r="L5603" s="1" t="str">
        <f t="shared" si="10675"/>
        <v>0</v>
      </c>
      <c r="M5603" s="1" t="str">
        <f t="shared" si="10675"/>
        <v>0</v>
      </c>
      <c r="N5603" s="1" t="str">
        <f t="shared" si="10675"/>
        <v>0</v>
      </c>
      <c r="O5603" s="1" t="str">
        <f t="shared" si="10675"/>
        <v>0</v>
      </c>
      <c r="P5603" s="1" t="str">
        <f t="shared" si="10675"/>
        <v>0</v>
      </c>
      <c r="Q5603" s="1" t="str">
        <f t="shared" si="10610"/>
        <v>0.0070</v>
      </c>
      <c r="R5603" s="1" t="s">
        <v>25</v>
      </c>
      <c r="T5603" s="1" t="str">
        <f t="shared" si="10611"/>
        <v>0</v>
      </c>
      <c r="U5603" s="1" t="str">
        <f t="shared" si="10645"/>
        <v>0.0070</v>
      </c>
    </row>
    <row r="5604" s="1" customFormat="1" spans="1:21">
      <c r="A5604" s="1" t="str">
        <f>"4601992190818"</f>
        <v>4601992190818</v>
      </c>
      <c r="B5604" s="1" t="s">
        <v>5627</v>
      </c>
      <c r="C5604" s="1" t="s">
        <v>24</v>
      </c>
      <c r="D5604" s="1" t="str">
        <f t="shared" si="10607"/>
        <v>2021</v>
      </c>
      <c r="E5604" s="1" t="str">
        <f>"0.06"</f>
        <v>0.06</v>
      </c>
      <c r="F5604" s="1" t="str">
        <f t="shared" ref="F5604:I5604" si="10676">"0"</f>
        <v>0</v>
      </c>
      <c r="G5604" s="1" t="str">
        <f t="shared" si="10676"/>
        <v>0</v>
      </c>
      <c r="H5604" s="1" t="str">
        <f t="shared" si="10676"/>
        <v>0</v>
      </c>
      <c r="I5604" s="1" t="str">
        <f t="shared" si="10676"/>
        <v>0</v>
      </c>
      <c r="J5604" s="1" t="str">
        <f>"1"</f>
        <v>1</v>
      </c>
      <c r="K5604" s="1" t="str">
        <f t="shared" ref="K5604:P5604" si="10677">"0"</f>
        <v>0</v>
      </c>
      <c r="L5604" s="1" t="str">
        <f t="shared" si="10677"/>
        <v>0</v>
      </c>
      <c r="M5604" s="1" t="str">
        <f t="shared" si="10677"/>
        <v>0</v>
      </c>
      <c r="N5604" s="1" t="str">
        <f t="shared" si="10677"/>
        <v>0</v>
      </c>
      <c r="O5604" s="1" t="str">
        <f t="shared" si="10677"/>
        <v>0</v>
      </c>
      <c r="P5604" s="1" t="str">
        <f t="shared" si="10677"/>
        <v>0</v>
      </c>
      <c r="Q5604" s="1" t="str">
        <f t="shared" si="10610"/>
        <v>0.0070</v>
      </c>
      <c r="R5604" s="1" t="s">
        <v>25</v>
      </c>
      <c r="T5604" s="1" t="str">
        <f t="shared" si="10611"/>
        <v>0</v>
      </c>
      <c r="U5604" s="1" t="str">
        <f t="shared" si="10645"/>
        <v>0.0070</v>
      </c>
    </row>
    <row r="5605" s="1" customFormat="1" spans="1:21">
      <c r="A5605" s="1" t="str">
        <f>"4601992190848"</f>
        <v>4601992190848</v>
      </c>
      <c r="B5605" s="1" t="s">
        <v>5628</v>
      </c>
      <c r="C5605" s="1" t="s">
        <v>24</v>
      </c>
      <c r="D5605" s="1" t="str">
        <f t="shared" si="10607"/>
        <v>2021</v>
      </c>
      <c r="E5605" s="1" t="str">
        <f t="shared" ref="E5605:I5605" si="10678">"0"</f>
        <v>0</v>
      </c>
      <c r="F5605" s="1" t="str">
        <f t="shared" si="10678"/>
        <v>0</v>
      </c>
      <c r="G5605" s="1" t="str">
        <f t="shared" si="10678"/>
        <v>0</v>
      </c>
      <c r="H5605" s="1" t="str">
        <f t="shared" si="10678"/>
        <v>0</v>
      </c>
      <c r="I5605" s="1" t="str">
        <f t="shared" si="10678"/>
        <v>0</v>
      </c>
      <c r="J5605" s="1" t="str">
        <f>"1"</f>
        <v>1</v>
      </c>
      <c r="K5605" s="1" t="str">
        <f t="shared" ref="K5605:P5605" si="10679">"0"</f>
        <v>0</v>
      </c>
      <c r="L5605" s="1" t="str">
        <f t="shared" si="10679"/>
        <v>0</v>
      </c>
      <c r="M5605" s="1" t="str">
        <f t="shared" si="10679"/>
        <v>0</v>
      </c>
      <c r="N5605" s="1" t="str">
        <f t="shared" si="10679"/>
        <v>0</v>
      </c>
      <c r="O5605" s="1" t="str">
        <f t="shared" si="10679"/>
        <v>0</v>
      </c>
      <c r="P5605" s="1" t="str">
        <f t="shared" si="10679"/>
        <v>0</v>
      </c>
      <c r="Q5605" s="1" t="str">
        <f t="shared" si="10610"/>
        <v>0.0070</v>
      </c>
      <c r="R5605" s="1" t="s">
        <v>25</v>
      </c>
      <c r="T5605" s="1" t="str">
        <f t="shared" si="10611"/>
        <v>0</v>
      </c>
      <c r="U5605" s="1" t="str">
        <f t="shared" si="10645"/>
        <v>0.0070</v>
      </c>
    </row>
    <row r="5606" s="1" customFormat="1" spans="1:21">
      <c r="A5606" s="1" t="str">
        <f>"4601992190849"</f>
        <v>4601992190849</v>
      </c>
      <c r="B5606" s="1" t="s">
        <v>5629</v>
      </c>
      <c r="C5606" s="1" t="s">
        <v>24</v>
      </c>
      <c r="D5606" s="1" t="str">
        <f t="shared" si="10607"/>
        <v>2021</v>
      </c>
      <c r="E5606" s="1" t="str">
        <f t="shared" ref="E5606:I5606" si="10680">"0"</f>
        <v>0</v>
      </c>
      <c r="F5606" s="1" t="str">
        <f t="shared" si="10680"/>
        <v>0</v>
      </c>
      <c r="G5606" s="1" t="str">
        <f t="shared" si="10680"/>
        <v>0</v>
      </c>
      <c r="H5606" s="1" t="str">
        <f t="shared" si="10680"/>
        <v>0</v>
      </c>
      <c r="I5606" s="1" t="str">
        <f t="shared" si="10680"/>
        <v>0</v>
      </c>
      <c r="J5606" s="1" t="str">
        <f>"2"</f>
        <v>2</v>
      </c>
      <c r="K5606" s="1" t="str">
        <f t="shared" ref="K5606:P5606" si="10681">"0"</f>
        <v>0</v>
      </c>
      <c r="L5606" s="1" t="str">
        <f t="shared" si="10681"/>
        <v>0</v>
      </c>
      <c r="M5606" s="1" t="str">
        <f t="shared" si="10681"/>
        <v>0</v>
      </c>
      <c r="N5606" s="1" t="str">
        <f t="shared" si="10681"/>
        <v>0</v>
      </c>
      <c r="O5606" s="1" t="str">
        <f t="shared" si="10681"/>
        <v>0</v>
      </c>
      <c r="P5606" s="1" t="str">
        <f t="shared" si="10681"/>
        <v>0</v>
      </c>
      <c r="Q5606" s="1" t="str">
        <f t="shared" si="10610"/>
        <v>0.0070</v>
      </c>
      <c r="R5606" s="1" t="s">
        <v>25</v>
      </c>
      <c r="T5606" s="1" t="str">
        <f t="shared" si="10611"/>
        <v>0</v>
      </c>
      <c r="U5606" s="1" t="str">
        <f t="shared" si="10645"/>
        <v>0.0070</v>
      </c>
    </row>
    <row r="5607" s="1" customFormat="1" spans="1:21">
      <c r="A5607" s="1" t="str">
        <f>"4601992190876"</f>
        <v>4601992190876</v>
      </c>
      <c r="B5607" s="1" t="s">
        <v>5630</v>
      </c>
      <c r="C5607" s="1" t="s">
        <v>24</v>
      </c>
      <c r="D5607" s="1" t="str">
        <f t="shared" si="10607"/>
        <v>2021</v>
      </c>
      <c r="E5607" s="1" t="str">
        <f t="shared" ref="E5607:P5607" si="10682">"0"</f>
        <v>0</v>
      </c>
      <c r="F5607" s="1" t="str">
        <f t="shared" si="10682"/>
        <v>0</v>
      </c>
      <c r="G5607" s="1" t="str">
        <f t="shared" si="10682"/>
        <v>0</v>
      </c>
      <c r="H5607" s="1" t="str">
        <f t="shared" si="10682"/>
        <v>0</v>
      </c>
      <c r="I5607" s="1" t="str">
        <f t="shared" si="10682"/>
        <v>0</v>
      </c>
      <c r="J5607" s="1" t="str">
        <f t="shared" si="10682"/>
        <v>0</v>
      </c>
      <c r="K5607" s="1" t="str">
        <f t="shared" si="10682"/>
        <v>0</v>
      </c>
      <c r="L5607" s="1" t="str">
        <f t="shared" si="10682"/>
        <v>0</v>
      </c>
      <c r="M5607" s="1" t="str">
        <f t="shared" si="10682"/>
        <v>0</v>
      </c>
      <c r="N5607" s="1" t="str">
        <f t="shared" si="10682"/>
        <v>0</v>
      </c>
      <c r="O5607" s="1" t="str">
        <f t="shared" si="10682"/>
        <v>0</v>
      </c>
      <c r="P5607" s="1" t="str">
        <f t="shared" si="10682"/>
        <v>0</v>
      </c>
      <c r="Q5607" s="1" t="str">
        <f t="shared" si="10610"/>
        <v>0.0070</v>
      </c>
      <c r="R5607" s="1" t="s">
        <v>25</v>
      </c>
      <c r="T5607" s="1" t="str">
        <f t="shared" si="10611"/>
        <v>0</v>
      </c>
      <c r="U5607" s="1" t="str">
        <f t="shared" si="10645"/>
        <v>0.0070</v>
      </c>
    </row>
    <row r="5608" s="1" customFormat="1" spans="1:21">
      <c r="A5608" s="1" t="str">
        <f>"4601992190874"</f>
        <v>4601992190874</v>
      </c>
      <c r="B5608" s="1" t="s">
        <v>5631</v>
      </c>
      <c r="C5608" s="1" t="s">
        <v>24</v>
      </c>
      <c r="D5608" s="1" t="str">
        <f t="shared" si="10607"/>
        <v>2021</v>
      </c>
      <c r="E5608" s="1" t="str">
        <f>"0.03"</f>
        <v>0.03</v>
      </c>
      <c r="F5608" s="1" t="str">
        <f t="shared" ref="F5608:I5608" si="10683">"0"</f>
        <v>0</v>
      </c>
      <c r="G5608" s="1" t="str">
        <f t="shared" si="10683"/>
        <v>0</v>
      </c>
      <c r="H5608" s="1" t="str">
        <f t="shared" si="10683"/>
        <v>0</v>
      </c>
      <c r="I5608" s="1" t="str">
        <f t="shared" si="10683"/>
        <v>0</v>
      </c>
      <c r="J5608" s="1" t="str">
        <f>"4"</f>
        <v>4</v>
      </c>
      <c r="K5608" s="1" t="str">
        <f t="shared" ref="K5608:P5608" si="10684">"0"</f>
        <v>0</v>
      </c>
      <c r="L5608" s="1" t="str">
        <f t="shared" si="10684"/>
        <v>0</v>
      </c>
      <c r="M5608" s="1" t="str">
        <f t="shared" si="10684"/>
        <v>0</v>
      </c>
      <c r="N5608" s="1" t="str">
        <f t="shared" si="10684"/>
        <v>0</v>
      </c>
      <c r="O5608" s="1" t="str">
        <f t="shared" si="10684"/>
        <v>0</v>
      </c>
      <c r="P5608" s="1" t="str">
        <f t="shared" si="10684"/>
        <v>0</v>
      </c>
      <c r="Q5608" s="1" t="str">
        <f t="shared" si="10610"/>
        <v>0.0070</v>
      </c>
      <c r="R5608" s="1" t="s">
        <v>25</v>
      </c>
      <c r="T5608" s="1" t="str">
        <f t="shared" si="10611"/>
        <v>0</v>
      </c>
      <c r="U5608" s="1" t="str">
        <f t="shared" si="10645"/>
        <v>0.0070</v>
      </c>
    </row>
    <row r="5609" s="1" customFormat="1" spans="1:21">
      <c r="A5609" s="1" t="str">
        <f>"4601992190886"</f>
        <v>4601992190886</v>
      </c>
      <c r="B5609" s="1" t="s">
        <v>5632</v>
      </c>
      <c r="C5609" s="1" t="s">
        <v>24</v>
      </c>
      <c r="D5609" s="1" t="str">
        <f t="shared" si="10607"/>
        <v>2021</v>
      </c>
      <c r="E5609" s="1" t="str">
        <f t="shared" ref="E5609:P5609" si="10685">"0"</f>
        <v>0</v>
      </c>
      <c r="F5609" s="1" t="str">
        <f t="shared" si="10685"/>
        <v>0</v>
      </c>
      <c r="G5609" s="1" t="str">
        <f t="shared" si="10685"/>
        <v>0</v>
      </c>
      <c r="H5609" s="1" t="str">
        <f t="shared" si="10685"/>
        <v>0</v>
      </c>
      <c r="I5609" s="1" t="str">
        <f t="shared" si="10685"/>
        <v>0</v>
      </c>
      <c r="J5609" s="1" t="str">
        <f t="shared" si="10685"/>
        <v>0</v>
      </c>
      <c r="K5609" s="1" t="str">
        <f t="shared" si="10685"/>
        <v>0</v>
      </c>
      <c r="L5609" s="1" t="str">
        <f t="shared" si="10685"/>
        <v>0</v>
      </c>
      <c r="M5609" s="1" t="str">
        <f t="shared" si="10685"/>
        <v>0</v>
      </c>
      <c r="N5609" s="1" t="str">
        <f t="shared" si="10685"/>
        <v>0</v>
      </c>
      <c r="O5609" s="1" t="str">
        <f t="shared" si="10685"/>
        <v>0</v>
      </c>
      <c r="P5609" s="1" t="str">
        <f t="shared" si="10685"/>
        <v>0</v>
      </c>
      <c r="Q5609" s="1" t="str">
        <f t="shared" si="10610"/>
        <v>0.0070</v>
      </c>
      <c r="R5609" s="1" t="s">
        <v>25</v>
      </c>
      <c r="T5609" s="1" t="str">
        <f t="shared" si="10611"/>
        <v>0</v>
      </c>
      <c r="U5609" s="1" t="str">
        <f t="shared" si="10645"/>
        <v>0.0070</v>
      </c>
    </row>
    <row r="5610" s="1" customFormat="1" spans="1:21">
      <c r="A5610" s="1" t="str">
        <f>"4601992190900"</f>
        <v>4601992190900</v>
      </c>
      <c r="B5610" s="1" t="s">
        <v>5633</v>
      </c>
      <c r="C5610" s="1" t="s">
        <v>24</v>
      </c>
      <c r="D5610" s="1" t="str">
        <f t="shared" si="10607"/>
        <v>2021</v>
      </c>
      <c r="E5610" s="1" t="str">
        <f t="shared" ref="E5610:I5610" si="10686">"0"</f>
        <v>0</v>
      </c>
      <c r="F5610" s="1" t="str">
        <f t="shared" si="10686"/>
        <v>0</v>
      </c>
      <c r="G5610" s="1" t="str">
        <f t="shared" si="10686"/>
        <v>0</v>
      </c>
      <c r="H5610" s="1" t="str">
        <f t="shared" si="10686"/>
        <v>0</v>
      </c>
      <c r="I5610" s="1" t="str">
        <f t="shared" si="10686"/>
        <v>0</v>
      </c>
      <c r="J5610" s="1" t="str">
        <f t="shared" ref="J5610:J5613" si="10687">"1"</f>
        <v>1</v>
      </c>
      <c r="K5610" s="1" t="str">
        <f t="shared" ref="K5610:P5610" si="10688">"0"</f>
        <v>0</v>
      </c>
      <c r="L5610" s="1" t="str">
        <f t="shared" si="10688"/>
        <v>0</v>
      </c>
      <c r="M5610" s="1" t="str">
        <f t="shared" si="10688"/>
        <v>0</v>
      </c>
      <c r="N5610" s="1" t="str">
        <f t="shared" si="10688"/>
        <v>0</v>
      </c>
      <c r="O5610" s="1" t="str">
        <f t="shared" si="10688"/>
        <v>0</v>
      </c>
      <c r="P5610" s="1" t="str">
        <f t="shared" si="10688"/>
        <v>0</v>
      </c>
      <c r="Q5610" s="1" t="str">
        <f t="shared" si="10610"/>
        <v>0.0070</v>
      </c>
      <c r="R5610" s="1" t="s">
        <v>25</v>
      </c>
      <c r="T5610" s="1" t="str">
        <f t="shared" si="10611"/>
        <v>0</v>
      </c>
      <c r="U5610" s="1" t="str">
        <f t="shared" si="10645"/>
        <v>0.0070</v>
      </c>
    </row>
    <row r="5611" s="1" customFormat="1" spans="1:21">
      <c r="A5611" s="1" t="str">
        <f>"4601992190904"</f>
        <v>4601992190904</v>
      </c>
      <c r="B5611" s="1" t="s">
        <v>5634</v>
      </c>
      <c r="C5611" s="1" t="s">
        <v>24</v>
      </c>
      <c r="D5611" s="1" t="str">
        <f t="shared" si="10607"/>
        <v>2021</v>
      </c>
      <c r="E5611" s="1" t="str">
        <f t="shared" ref="E5611:I5611" si="10689">"0"</f>
        <v>0</v>
      </c>
      <c r="F5611" s="1" t="str">
        <f t="shared" si="10689"/>
        <v>0</v>
      </c>
      <c r="G5611" s="1" t="str">
        <f t="shared" si="10689"/>
        <v>0</v>
      </c>
      <c r="H5611" s="1" t="str">
        <f t="shared" si="10689"/>
        <v>0</v>
      </c>
      <c r="I5611" s="1" t="str">
        <f t="shared" si="10689"/>
        <v>0</v>
      </c>
      <c r="J5611" s="1" t="str">
        <f>"2"</f>
        <v>2</v>
      </c>
      <c r="K5611" s="1" t="str">
        <f t="shared" ref="K5611:P5611" si="10690">"0"</f>
        <v>0</v>
      </c>
      <c r="L5611" s="1" t="str">
        <f t="shared" si="10690"/>
        <v>0</v>
      </c>
      <c r="M5611" s="1" t="str">
        <f t="shared" si="10690"/>
        <v>0</v>
      </c>
      <c r="N5611" s="1" t="str">
        <f t="shared" si="10690"/>
        <v>0</v>
      </c>
      <c r="O5611" s="1" t="str">
        <f t="shared" si="10690"/>
        <v>0</v>
      </c>
      <c r="P5611" s="1" t="str">
        <f t="shared" si="10690"/>
        <v>0</v>
      </c>
      <c r="Q5611" s="1" t="str">
        <f t="shared" si="10610"/>
        <v>0.0070</v>
      </c>
      <c r="R5611" s="1" t="s">
        <v>25</v>
      </c>
      <c r="T5611" s="1" t="str">
        <f t="shared" si="10611"/>
        <v>0</v>
      </c>
      <c r="U5611" s="1" t="str">
        <f t="shared" si="10645"/>
        <v>0.0070</v>
      </c>
    </row>
    <row r="5612" s="1" customFormat="1" spans="1:21">
      <c r="A5612" s="1" t="str">
        <f>"4601992190909"</f>
        <v>4601992190909</v>
      </c>
      <c r="B5612" s="1" t="s">
        <v>5635</v>
      </c>
      <c r="C5612" s="1" t="s">
        <v>24</v>
      </c>
      <c r="D5612" s="1" t="str">
        <f t="shared" si="10607"/>
        <v>2021</v>
      </c>
      <c r="E5612" s="1" t="str">
        <f>"14.00"</f>
        <v>14.00</v>
      </c>
      <c r="F5612" s="1" t="str">
        <f t="shared" ref="F5612:I5612" si="10691">"0"</f>
        <v>0</v>
      </c>
      <c r="G5612" s="1" t="str">
        <f t="shared" si="10691"/>
        <v>0</v>
      </c>
      <c r="H5612" s="1" t="str">
        <f t="shared" si="10691"/>
        <v>0</v>
      </c>
      <c r="I5612" s="1" t="str">
        <f t="shared" si="10691"/>
        <v>0</v>
      </c>
      <c r="J5612" s="1" t="str">
        <f t="shared" si="10687"/>
        <v>1</v>
      </c>
      <c r="K5612" s="1" t="str">
        <f t="shared" ref="K5612:P5612" si="10692">"0"</f>
        <v>0</v>
      </c>
      <c r="L5612" s="1" t="str">
        <f t="shared" si="10692"/>
        <v>0</v>
      </c>
      <c r="M5612" s="1" t="str">
        <f t="shared" si="10692"/>
        <v>0</v>
      </c>
      <c r="N5612" s="1" t="str">
        <f t="shared" si="10692"/>
        <v>0</v>
      </c>
      <c r="O5612" s="1" t="str">
        <f t="shared" si="10692"/>
        <v>0</v>
      </c>
      <c r="P5612" s="1" t="str">
        <f t="shared" si="10692"/>
        <v>0</v>
      </c>
      <c r="Q5612" s="1" t="str">
        <f t="shared" si="10610"/>
        <v>0.0070</v>
      </c>
      <c r="R5612" s="1" t="s">
        <v>29</v>
      </c>
      <c r="S5612" s="1">
        <v>-0.0014</v>
      </c>
      <c r="T5612" s="1" t="str">
        <f t="shared" si="10611"/>
        <v>0</v>
      </c>
      <c r="U5612" s="1" t="str">
        <f>"0.0056"</f>
        <v>0.0056</v>
      </c>
    </row>
    <row r="5613" s="1" customFormat="1" spans="1:21">
      <c r="A5613" s="1" t="str">
        <f>"4601992190928"</f>
        <v>4601992190928</v>
      </c>
      <c r="B5613" s="1" t="s">
        <v>5636</v>
      </c>
      <c r="C5613" s="1" t="s">
        <v>24</v>
      </c>
      <c r="D5613" s="1" t="str">
        <f t="shared" si="10607"/>
        <v>2021</v>
      </c>
      <c r="E5613" s="1" t="str">
        <f t="shared" ref="E5613:I5613" si="10693">"0"</f>
        <v>0</v>
      </c>
      <c r="F5613" s="1" t="str">
        <f t="shared" si="10693"/>
        <v>0</v>
      </c>
      <c r="G5613" s="1" t="str">
        <f t="shared" si="10693"/>
        <v>0</v>
      </c>
      <c r="H5613" s="1" t="str">
        <f t="shared" si="10693"/>
        <v>0</v>
      </c>
      <c r="I5613" s="1" t="str">
        <f t="shared" si="10693"/>
        <v>0</v>
      </c>
      <c r="J5613" s="1" t="str">
        <f t="shared" si="10687"/>
        <v>1</v>
      </c>
      <c r="K5613" s="1" t="str">
        <f t="shared" ref="K5613:P5613" si="10694">"0"</f>
        <v>0</v>
      </c>
      <c r="L5613" s="1" t="str">
        <f t="shared" si="10694"/>
        <v>0</v>
      </c>
      <c r="M5613" s="1" t="str">
        <f t="shared" si="10694"/>
        <v>0</v>
      </c>
      <c r="N5613" s="1" t="str">
        <f t="shared" si="10694"/>
        <v>0</v>
      </c>
      <c r="O5613" s="1" t="str">
        <f t="shared" si="10694"/>
        <v>0</v>
      </c>
      <c r="P5613" s="1" t="str">
        <f t="shared" si="10694"/>
        <v>0</v>
      </c>
      <c r="Q5613" s="1" t="str">
        <f t="shared" si="10610"/>
        <v>0.0070</v>
      </c>
      <c r="R5613" s="1" t="s">
        <v>25</v>
      </c>
      <c r="T5613" s="1" t="str">
        <f t="shared" si="10611"/>
        <v>0</v>
      </c>
      <c r="U5613" s="1" t="str">
        <f t="shared" ref="U5613:U5617" si="10695">"0.0070"</f>
        <v>0.0070</v>
      </c>
    </row>
    <row r="5614" s="1" customFormat="1" spans="1:21">
      <c r="A5614" s="1" t="str">
        <f>"4601992190943"</f>
        <v>4601992190943</v>
      </c>
      <c r="B5614" s="1" t="s">
        <v>5637</v>
      </c>
      <c r="C5614" s="1" t="s">
        <v>24</v>
      </c>
      <c r="D5614" s="1" t="str">
        <f t="shared" si="10607"/>
        <v>2021</v>
      </c>
      <c r="E5614" s="1" t="str">
        <f t="shared" ref="E5614:I5614" si="10696">"0"</f>
        <v>0</v>
      </c>
      <c r="F5614" s="1" t="str">
        <f t="shared" si="10696"/>
        <v>0</v>
      </c>
      <c r="G5614" s="1" t="str">
        <f t="shared" si="10696"/>
        <v>0</v>
      </c>
      <c r="H5614" s="1" t="str">
        <f t="shared" si="10696"/>
        <v>0</v>
      </c>
      <c r="I5614" s="1" t="str">
        <f t="shared" si="10696"/>
        <v>0</v>
      </c>
      <c r="J5614" s="1" t="str">
        <f t="shared" ref="J5614:J5619" si="10697">"3"</f>
        <v>3</v>
      </c>
      <c r="K5614" s="1" t="str">
        <f t="shared" ref="K5614:P5614" si="10698">"0"</f>
        <v>0</v>
      </c>
      <c r="L5614" s="1" t="str">
        <f t="shared" si="10698"/>
        <v>0</v>
      </c>
      <c r="M5614" s="1" t="str">
        <f t="shared" si="10698"/>
        <v>0</v>
      </c>
      <c r="N5614" s="1" t="str">
        <f t="shared" si="10698"/>
        <v>0</v>
      </c>
      <c r="O5614" s="1" t="str">
        <f t="shared" si="10698"/>
        <v>0</v>
      </c>
      <c r="P5614" s="1" t="str">
        <f t="shared" si="10698"/>
        <v>0</v>
      </c>
      <c r="Q5614" s="1" t="str">
        <f t="shared" si="10610"/>
        <v>0.0070</v>
      </c>
      <c r="R5614" s="1" t="s">
        <v>25</v>
      </c>
      <c r="T5614" s="1" t="str">
        <f t="shared" si="10611"/>
        <v>0</v>
      </c>
      <c r="U5614" s="1" t="str">
        <f t="shared" si="10695"/>
        <v>0.0070</v>
      </c>
    </row>
    <row r="5615" s="1" customFormat="1" spans="1:21">
      <c r="A5615" s="1" t="str">
        <f>"4601992190949"</f>
        <v>4601992190949</v>
      </c>
      <c r="B5615" s="1" t="s">
        <v>5638</v>
      </c>
      <c r="C5615" s="1" t="s">
        <v>24</v>
      </c>
      <c r="D5615" s="1" t="str">
        <f t="shared" si="10607"/>
        <v>2021</v>
      </c>
      <c r="E5615" s="1" t="str">
        <f t="shared" ref="E5615:I5615" si="10699">"0"</f>
        <v>0</v>
      </c>
      <c r="F5615" s="1" t="str">
        <f t="shared" si="10699"/>
        <v>0</v>
      </c>
      <c r="G5615" s="1" t="str">
        <f t="shared" si="10699"/>
        <v>0</v>
      </c>
      <c r="H5615" s="1" t="str">
        <f t="shared" si="10699"/>
        <v>0</v>
      </c>
      <c r="I5615" s="1" t="str">
        <f t="shared" si="10699"/>
        <v>0</v>
      </c>
      <c r="J5615" s="1" t="str">
        <f>"1"</f>
        <v>1</v>
      </c>
      <c r="K5615" s="1" t="str">
        <f t="shared" ref="K5615:P5615" si="10700">"0"</f>
        <v>0</v>
      </c>
      <c r="L5615" s="1" t="str">
        <f t="shared" si="10700"/>
        <v>0</v>
      </c>
      <c r="M5615" s="1" t="str">
        <f t="shared" si="10700"/>
        <v>0</v>
      </c>
      <c r="N5615" s="1" t="str">
        <f t="shared" si="10700"/>
        <v>0</v>
      </c>
      <c r="O5615" s="1" t="str">
        <f t="shared" si="10700"/>
        <v>0</v>
      </c>
      <c r="P5615" s="1" t="str">
        <f t="shared" si="10700"/>
        <v>0</v>
      </c>
      <c r="Q5615" s="1" t="str">
        <f t="shared" si="10610"/>
        <v>0.0070</v>
      </c>
      <c r="R5615" s="1" t="s">
        <v>25</v>
      </c>
      <c r="T5615" s="1" t="str">
        <f t="shared" si="10611"/>
        <v>0</v>
      </c>
      <c r="U5615" s="1" t="str">
        <f t="shared" si="10695"/>
        <v>0.0070</v>
      </c>
    </row>
    <row r="5616" s="1" customFormat="1" spans="1:21">
      <c r="A5616" s="1" t="str">
        <f>"4601992191005"</f>
        <v>4601992191005</v>
      </c>
      <c r="B5616" s="1" t="s">
        <v>5639</v>
      </c>
      <c r="C5616" s="1" t="s">
        <v>24</v>
      </c>
      <c r="D5616" s="1" t="str">
        <f t="shared" si="10607"/>
        <v>2021</v>
      </c>
      <c r="E5616" s="1" t="str">
        <f t="shared" ref="E5616:I5616" si="10701">"0"</f>
        <v>0</v>
      </c>
      <c r="F5616" s="1" t="str">
        <f t="shared" si="10701"/>
        <v>0</v>
      </c>
      <c r="G5616" s="1" t="str">
        <f t="shared" si="10701"/>
        <v>0</v>
      </c>
      <c r="H5616" s="1" t="str">
        <f t="shared" si="10701"/>
        <v>0</v>
      </c>
      <c r="I5616" s="1" t="str">
        <f t="shared" si="10701"/>
        <v>0</v>
      </c>
      <c r="J5616" s="1" t="str">
        <f>"1"</f>
        <v>1</v>
      </c>
      <c r="K5616" s="1" t="str">
        <f t="shared" ref="K5616:P5616" si="10702">"0"</f>
        <v>0</v>
      </c>
      <c r="L5616" s="1" t="str">
        <f t="shared" si="10702"/>
        <v>0</v>
      </c>
      <c r="M5616" s="1" t="str">
        <f t="shared" si="10702"/>
        <v>0</v>
      </c>
      <c r="N5616" s="1" t="str">
        <f t="shared" si="10702"/>
        <v>0</v>
      </c>
      <c r="O5616" s="1" t="str">
        <f t="shared" si="10702"/>
        <v>0</v>
      </c>
      <c r="P5616" s="1" t="str">
        <f t="shared" si="10702"/>
        <v>0</v>
      </c>
      <c r="Q5616" s="1" t="str">
        <f t="shared" si="10610"/>
        <v>0.0070</v>
      </c>
      <c r="R5616" s="1" t="s">
        <v>25</v>
      </c>
      <c r="T5616" s="1" t="str">
        <f t="shared" si="10611"/>
        <v>0</v>
      </c>
      <c r="U5616" s="1" t="str">
        <f t="shared" si="10695"/>
        <v>0.0070</v>
      </c>
    </row>
    <row r="5617" s="1" customFormat="1" spans="1:21">
      <c r="A5617" s="1" t="str">
        <f>"4601992191532"</f>
        <v>4601992191532</v>
      </c>
      <c r="B5617" s="1" t="s">
        <v>5640</v>
      </c>
      <c r="C5617" s="1" t="s">
        <v>24</v>
      </c>
      <c r="D5617" s="1" t="str">
        <f t="shared" si="10607"/>
        <v>2021</v>
      </c>
      <c r="E5617" s="1" t="str">
        <f t="shared" ref="E5617:P5617" si="10703">"0"</f>
        <v>0</v>
      </c>
      <c r="F5617" s="1" t="str">
        <f t="shared" si="10703"/>
        <v>0</v>
      </c>
      <c r="G5617" s="1" t="str">
        <f t="shared" si="10703"/>
        <v>0</v>
      </c>
      <c r="H5617" s="1" t="str">
        <f t="shared" si="10703"/>
        <v>0</v>
      </c>
      <c r="I5617" s="1" t="str">
        <f t="shared" si="10703"/>
        <v>0</v>
      </c>
      <c r="J5617" s="1" t="str">
        <f t="shared" si="10703"/>
        <v>0</v>
      </c>
      <c r="K5617" s="1" t="str">
        <f t="shared" si="10703"/>
        <v>0</v>
      </c>
      <c r="L5617" s="1" t="str">
        <f t="shared" si="10703"/>
        <v>0</v>
      </c>
      <c r="M5617" s="1" t="str">
        <f t="shared" si="10703"/>
        <v>0</v>
      </c>
      <c r="N5617" s="1" t="str">
        <f t="shared" si="10703"/>
        <v>0</v>
      </c>
      <c r="O5617" s="1" t="str">
        <f t="shared" si="10703"/>
        <v>0</v>
      </c>
      <c r="P5617" s="1" t="str">
        <f t="shared" si="10703"/>
        <v>0</v>
      </c>
      <c r="Q5617" s="1" t="str">
        <f t="shared" si="10610"/>
        <v>0.0070</v>
      </c>
      <c r="R5617" s="1" t="s">
        <v>25</v>
      </c>
      <c r="T5617" s="1" t="str">
        <f t="shared" si="10611"/>
        <v>0</v>
      </c>
      <c r="U5617" s="1" t="str">
        <f t="shared" si="10695"/>
        <v>0.0070</v>
      </c>
    </row>
    <row r="5618" s="1" customFormat="1" spans="1:21">
      <c r="A5618" s="1" t="str">
        <f>"4601992055225"</f>
        <v>4601992055225</v>
      </c>
      <c r="B5618" s="1" t="s">
        <v>5641</v>
      </c>
      <c r="C5618" s="1" t="s">
        <v>24</v>
      </c>
      <c r="D5618" s="1" t="str">
        <f t="shared" si="10607"/>
        <v>2021</v>
      </c>
      <c r="E5618" s="1" t="str">
        <f>"36.27"</f>
        <v>36.27</v>
      </c>
      <c r="F5618" s="1" t="str">
        <f t="shared" ref="F5618:I5618" si="10704">"0"</f>
        <v>0</v>
      </c>
      <c r="G5618" s="1" t="str">
        <f t="shared" si="10704"/>
        <v>0</v>
      </c>
      <c r="H5618" s="1" t="str">
        <f t="shared" si="10704"/>
        <v>0</v>
      </c>
      <c r="I5618" s="1" t="str">
        <f t="shared" si="10704"/>
        <v>0</v>
      </c>
      <c r="J5618" s="1" t="str">
        <f t="shared" si="10697"/>
        <v>3</v>
      </c>
      <c r="K5618" s="1" t="str">
        <f t="shared" ref="K5618:P5618" si="10705">"0"</f>
        <v>0</v>
      </c>
      <c r="L5618" s="1" t="str">
        <f t="shared" si="10705"/>
        <v>0</v>
      </c>
      <c r="M5618" s="1" t="str">
        <f t="shared" si="10705"/>
        <v>0</v>
      </c>
      <c r="N5618" s="1" t="str">
        <f t="shared" si="10705"/>
        <v>0</v>
      </c>
      <c r="O5618" s="1" t="str">
        <f t="shared" si="10705"/>
        <v>0</v>
      </c>
      <c r="P5618" s="1" t="str">
        <f t="shared" si="10705"/>
        <v>0</v>
      </c>
      <c r="Q5618" s="1" t="str">
        <f t="shared" si="10610"/>
        <v>0.0070</v>
      </c>
      <c r="R5618" s="1" t="s">
        <v>29</v>
      </c>
      <c r="S5618" s="1">
        <v>-0.0014</v>
      </c>
      <c r="T5618" s="1" t="str">
        <f t="shared" si="10611"/>
        <v>0</v>
      </c>
      <c r="U5618" s="1" t="str">
        <f>"0.0056"</f>
        <v>0.0056</v>
      </c>
    </row>
    <row r="5619" s="1" customFormat="1" spans="1:21">
      <c r="A5619" s="1" t="str">
        <f>"4601992021918"</f>
        <v>4601992021918</v>
      </c>
      <c r="B5619" s="1" t="s">
        <v>5642</v>
      </c>
      <c r="C5619" s="1" t="s">
        <v>24</v>
      </c>
      <c r="D5619" s="1" t="str">
        <f t="shared" si="10607"/>
        <v>2021</v>
      </c>
      <c r="E5619" s="1" t="str">
        <f>"36.27"</f>
        <v>36.27</v>
      </c>
      <c r="F5619" s="1" t="str">
        <f t="shared" ref="F5619:I5619" si="10706">"0"</f>
        <v>0</v>
      </c>
      <c r="G5619" s="1" t="str">
        <f t="shared" si="10706"/>
        <v>0</v>
      </c>
      <c r="H5619" s="1" t="str">
        <f t="shared" si="10706"/>
        <v>0</v>
      </c>
      <c r="I5619" s="1" t="str">
        <f t="shared" si="10706"/>
        <v>0</v>
      </c>
      <c r="J5619" s="1" t="str">
        <f t="shared" si="10697"/>
        <v>3</v>
      </c>
      <c r="K5619" s="1" t="str">
        <f t="shared" ref="K5619:P5619" si="10707">"0"</f>
        <v>0</v>
      </c>
      <c r="L5619" s="1" t="str">
        <f t="shared" si="10707"/>
        <v>0</v>
      </c>
      <c r="M5619" s="1" t="str">
        <f t="shared" si="10707"/>
        <v>0</v>
      </c>
      <c r="N5619" s="1" t="str">
        <f t="shared" si="10707"/>
        <v>0</v>
      </c>
      <c r="O5619" s="1" t="str">
        <f t="shared" si="10707"/>
        <v>0</v>
      </c>
      <c r="P5619" s="1" t="str">
        <f t="shared" si="10707"/>
        <v>0</v>
      </c>
      <c r="Q5619" s="1" t="str">
        <f t="shared" si="10610"/>
        <v>0.0070</v>
      </c>
      <c r="R5619" s="1" t="s">
        <v>29</v>
      </c>
      <c r="S5619" s="1">
        <v>-0.0014</v>
      </c>
      <c r="T5619" s="1" t="str">
        <f t="shared" si="10611"/>
        <v>0</v>
      </c>
      <c r="U5619" s="1" t="str">
        <f>"0.0056"</f>
        <v>0.0056</v>
      </c>
    </row>
    <row r="5620" s="1" customFormat="1" spans="1:21">
      <c r="A5620" s="1" t="str">
        <f>"4601992191557"</f>
        <v>4601992191557</v>
      </c>
      <c r="B5620" s="1" t="s">
        <v>5643</v>
      </c>
      <c r="C5620" s="1" t="s">
        <v>24</v>
      </c>
      <c r="D5620" s="1" t="str">
        <f t="shared" si="10607"/>
        <v>2021</v>
      </c>
      <c r="E5620" s="1" t="str">
        <f t="shared" ref="E5620:P5620" si="10708">"0"</f>
        <v>0</v>
      </c>
      <c r="F5620" s="1" t="str">
        <f t="shared" si="10708"/>
        <v>0</v>
      </c>
      <c r="G5620" s="1" t="str">
        <f t="shared" si="10708"/>
        <v>0</v>
      </c>
      <c r="H5620" s="1" t="str">
        <f t="shared" si="10708"/>
        <v>0</v>
      </c>
      <c r="I5620" s="1" t="str">
        <f t="shared" si="10708"/>
        <v>0</v>
      </c>
      <c r="J5620" s="1" t="str">
        <f t="shared" si="10708"/>
        <v>0</v>
      </c>
      <c r="K5620" s="1" t="str">
        <f t="shared" si="10708"/>
        <v>0</v>
      </c>
      <c r="L5620" s="1" t="str">
        <f t="shared" si="10708"/>
        <v>0</v>
      </c>
      <c r="M5620" s="1" t="str">
        <f t="shared" si="10708"/>
        <v>0</v>
      </c>
      <c r="N5620" s="1" t="str">
        <f t="shared" si="10708"/>
        <v>0</v>
      </c>
      <c r="O5620" s="1" t="str">
        <f t="shared" si="10708"/>
        <v>0</v>
      </c>
      <c r="P5620" s="1" t="str">
        <f t="shared" si="10708"/>
        <v>0</v>
      </c>
      <c r="Q5620" s="1" t="str">
        <f t="shared" si="10610"/>
        <v>0.0070</v>
      </c>
      <c r="R5620" s="1" t="s">
        <v>25</v>
      </c>
      <c r="T5620" s="1" t="str">
        <f t="shared" si="10611"/>
        <v>0</v>
      </c>
      <c r="U5620" s="1" t="str">
        <f t="shared" ref="U5620:U5629" si="10709">"0.0070"</f>
        <v>0.0070</v>
      </c>
    </row>
    <row r="5621" s="1" customFormat="1" spans="1:21">
      <c r="A5621" s="1" t="str">
        <f>"4601992191567"</f>
        <v>4601992191567</v>
      </c>
      <c r="B5621" s="1" t="s">
        <v>5644</v>
      </c>
      <c r="C5621" s="1" t="s">
        <v>24</v>
      </c>
      <c r="D5621" s="1" t="str">
        <f t="shared" si="10607"/>
        <v>2021</v>
      </c>
      <c r="E5621" s="1" t="str">
        <f t="shared" ref="E5621:P5621" si="10710">"0"</f>
        <v>0</v>
      </c>
      <c r="F5621" s="1" t="str">
        <f t="shared" si="10710"/>
        <v>0</v>
      </c>
      <c r="G5621" s="1" t="str">
        <f t="shared" si="10710"/>
        <v>0</v>
      </c>
      <c r="H5621" s="1" t="str">
        <f t="shared" si="10710"/>
        <v>0</v>
      </c>
      <c r="I5621" s="1" t="str">
        <f t="shared" si="10710"/>
        <v>0</v>
      </c>
      <c r="J5621" s="1" t="str">
        <f t="shared" si="10710"/>
        <v>0</v>
      </c>
      <c r="K5621" s="1" t="str">
        <f t="shared" si="10710"/>
        <v>0</v>
      </c>
      <c r="L5621" s="1" t="str">
        <f t="shared" si="10710"/>
        <v>0</v>
      </c>
      <c r="M5621" s="1" t="str">
        <f t="shared" si="10710"/>
        <v>0</v>
      </c>
      <c r="N5621" s="1" t="str">
        <f t="shared" si="10710"/>
        <v>0</v>
      </c>
      <c r="O5621" s="1" t="str">
        <f t="shared" si="10710"/>
        <v>0</v>
      </c>
      <c r="P5621" s="1" t="str">
        <f t="shared" si="10710"/>
        <v>0</v>
      </c>
      <c r="Q5621" s="1" t="str">
        <f t="shared" si="10610"/>
        <v>0.0070</v>
      </c>
      <c r="R5621" s="1" t="s">
        <v>25</v>
      </c>
      <c r="T5621" s="1" t="str">
        <f t="shared" si="10611"/>
        <v>0</v>
      </c>
      <c r="U5621" s="1" t="str">
        <f t="shared" si="10709"/>
        <v>0.0070</v>
      </c>
    </row>
    <row r="5622" s="1" customFormat="1" spans="1:21">
      <c r="A5622" s="1" t="str">
        <f>"4601992191941"</f>
        <v>4601992191941</v>
      </c>
      <c r="B5622" s="1" t="s">
        <v>5645</v>
      </c>
      <c r="C5622" s="1" t="s">
        <v>24</v>
      </c>
      <c r="D5622" s="1" t="str">
        <f t="shared" si="10607"/>
        <v>2021</v>
      </c>
      <c r="E5622" s="1" t="str">
        <f t="shared" ref="E5622:P5622" si="10711">"0"</f>
        <v>0</v>
      </c>
      <c r="F5622" s="1" t="str">
        <f t="shared" si="10711"/>
        <v>0</v>
      </c>
      <c r="G5622" s="1" t="str">
        <f t="shared" si="10711"/>
        <v>0</v>
      </c>
      <c r="H5622" s="1" t="str">
        <f t="shared" si="10711"/>
        <v>0</v>
      </c>
      <c r="I5622" s="1" t="str">
        <f t="shared" si="10711"/>
        <v>0</v>
      </c>
      <c r="J5622" s="1" t="str">
        <f t="shared" si="10711"/>
        <v>0</v>
      </c>
      <c r="K5622" s="1" t="str">
        <f t="shared" si="10711"/>
        <v>0</v>
      </c>
      <c r="L5622" s="1" t="str">
        <f t="shared" si="10711"/>
        <v>0</v>
      </c>
      <c r="M5622" s="1" t="str">
        <f t="shared" si="10711"/>
        <v>0</v>
      </c>
      <c r="N5622" s="1" t="str">
        <f t="shared" si="10711"/>
        <v>0</v>
      </c>
      <c r="O5622" s="1" t="str">
        <f t="shared" si="10711"/>
        <v>0</v>
      </c>
      <c r="P5622" s="1" t="str">
        <f t="shared" si="10711"/>
        <v>0</v>
      </c>
      <c r="Q5622" s="1" t="str">
        <f t="shared" si="10610"/>
        <v>0.0070</v>
      </c>
      <c r="R5622" s="1" t="s">
        <v>25</v>
      </c>
      <c r="T5622" s="1" t="str">
        <f t="shared" si="10611"/>
        <v>0</v>
      </c>
      <c r="U5622" s="1" t="str">
        <f t="shared" si="10709"/>
        <v>0.0070</v>
      </c>
    </row>
    <row r="5623" s="1" customFormat="1" spans="1:21">
      <c r="A5623" s="1" t="str">
        <f>"4601992192086"</f>
        <v>4601992192086</v>
      </c>
      <c r="B5623" s="1" t="s">
        <v>5646</v>
      </c>
      <c r="C5623" s="1" t="s">
        <v>24</v>
      </c>
      <c r="D5623" s="1" t="str">
        <f t="shared" si="10607"/>
        <v>2021</v>
      </c>
      <c r="E5623" s="1" t="str">
        <f t="shared" ref="E5623:P5623" si="10712">"0"</f>
        <v>0</v>
      </c>
      <c r="F5623" s="1" t="str">
        <f t="shared" si="10712"/>
        <v>0</v>
      </c>
      <c r="G5623" s="1" t="str">
        <f t="shared" si="10712"/>
        <v>0</v>
      </c>
      <c r="H5623" s="1" t="str">
        <f t="shared" si="10712"/>
        <v>0</v>
      </c>
      <c r="I5623" s="1" t="str">
        <f t="shared" si="10712"/>
        <v>0</v>
      </c>
      <c r="J5623" s="1" t="str">
        <f t="shared" si="10712"/>
        <v>0</v>
      </c>
      <c r="K5623" s="1" t="str">
        <f t="shared" si="10712"/>
        <v>0</v>
      </c>
      <c r="L5623" s="1" t="str">
        <f t="shared" si="10712"/>
        <v>0</v>
      </c>
      <c r="M5623" s="1" t="str">
        <f t="shared" si="10712"/>
        <v>0</v>
      </c>
      <c r="N5623" s="1" t="str">
        <f t="shared" si="10712"/>
        <v>0</v>
      </c>
      <c r="O5623" s="1" t="str">
        <f t="shared" si="10712"/>
        <v>0</v>
      </c>
      <c r="P5623" s="1" t="str">
        <f t="shared" si="10712"/>
        <v>0</v>
      </c>
      <c r="Q5623" s="1" t="str">
        <f t="shared" si="10610"/>
        <v>0.0070</v>
      </c>
      <c r="R5623" s="1" t="s">
        <v>25</v>
      </c>
      <c r="T5623" s="1" t="str">
        <f t="shared" si="10611"/>
        <v>0</v>
      </c>
      <c r="U5623" s="1" t="str">
        <f t="shared" si="10709"/>
        <v>0.0070</v>
      </c>
    </row>
    <row r="5624" s="1" customFormat="1" spans="1:21">
      <c r="A5624" s="1" t="str">
        <f>"4601992192319"</f>
        <v>4601992192319</v>
      </c>
      <c r="B5624" s="1" t="s">
        <v>5647</v>
      </c>
      <c r="C5624" s="1" t="s">
        <v>24</v>
      </c>
      <c r="D5624" s="1" t="str">
        <f t="shared" si="10607"/>
        <v>2021</v>
      </c>
      <c r="E5624" s="1" t="str">
        <f t="shared" ref="E5624:P5624" si="10713">"0"</f>
        <v>0</v>
      </c>
      <c r="F5624" s="1" t="str">
        <f t="shared" si="10713"/>
        <v>0</v>
      </c>
      <c r="G5624" s="1" t="str">
        <f t="shared" si="10713"/>
        <v>0</v>
      </c>
      <c r="H5624" s="1" t="str">
        <f t="shared" si="10713"/>
        <v>0</v>
      </c>
      <c r="I5624" s="1" t="str">
        <f t="shared" si="10713"/>
        <v>0</v>
      </c>
      <c r="J5624" s="1" t="str">
        <f t="shared" si="10713"/>
        <v>0</v>
      </c>
      <c r="K5624" s="1" t="str">
        <f t="shared" si="10713"/>
        <v>0</v>
      </c>
      <c r="L5624" s="1" t="str">
        <f t="shared" si="10713"/>
        <v>0</v>
      </c>
      <c r="M5624" s="1" t="str">
        <f t="shared" si="10713"/>
        <v>0</v>
      </c>
      <c r="N5624" s="1" t="str">
        <f t="shared" si="10713"/>
        <v>0</v>
      </c>
      <c r="O5624" s="1" t="str">
        <f t="shared" si="10713"/>
        <v>0</v>
      </c>
      <c r="P5624" s="1" t="str">
        <f t="shared" si="10713"/>
        <v>0</v>
      </c>
      <c r="Q5624" s="1" t="str">
        <f t="shared" si="10610"/>
        <v>0.0070</v>
      </c>
      <c r="R5624" s="1" t="s">
        <v>25</v>
      </c>
      <c r="T5624" s="1" t="str">
        <f t="shared" si="10611"/>
        <v>0</v>
      </c>
      <c r="U5624" s="1" t="str">
        <f t="shared" si="10709"/>
        <v>0.0070</v>
      </c>
    </row>
    <row r="5625" s="1" customFormat="1" spans="1:21">
      <c r="A5625" s="1" t="str">
        <f>"4601992192333"</f>
        <v>4601992192333</v>
      </c>
      <c r="B5625" s="1" t="s">
        <v>5648</v>
      </c>
      <c r="C5625" s="1" t="s">
        <v>24</v>
      </c>
      <c r="D5625" s="1" t="str">
        <f t="shared" si="10607"/>
        <v>2021</v>
      </c>
      <c r="E5625" s="1" t="str">
        <f t="shared" ref="E5625:P5625" si="10714">"0"</f>
        <v>0</v>
      </c>
      <c r="F5625" s="1" t="str">
        <f t="shared" si="10714"/>
        <v>0</v>
      </c>
      <c r="G5625" s="1" t="str">
        <f t="shared" si="10714"/>
        <v>0</v>
      </c>
      <c r="H5625" s="1" t="str">
        <f t="shared" si="10714"/>
        <v>0</v>
      </c>
      <c r="I5625" s="1" t="str">
        <f t="shared" si="10714"/>
        <v>0</v>
      </c>
      <c r="J5625" s="1" t="str">
        <f t="shared" si="10714"/>
        <v>0</v>
      </c>
      <c r="K5625" s="1" t="str">
        <f t="shared" si="10714"/>
        <v>0</v>
      </c>
      <c r="L5625" s="1" t="str">
        <f t="shared" si="10714"/>
        <v>0</v>
      </c>
      <c r="M5625" s="1" t="str">
        <f t="shared" si="10714"/>
        <v>0</v>
      </c>
      <c r="N5625" s="1" t="str">
        <f t="shared" si="10714"/>
        <v>0</v>
      </c>
      <c r="O5625" s="1" t="str">
        <f t="shared" si="10714"/>
        <v>0</v>
      </c>
      <c r="P5625" s="1" t="str">
        <f t="shared" si="10714"/>
        <v>0</v>
      </c>
      <c r="Q5625" s="1" t="str">
        <f t="shared" si="10610"/>
        <v>0.0070</v>
      </c>
      <c r="R5625" s="1" t="s">
        <v>25</v>
      </c>
      <c r="T5625" s="1" t="str">
        <f t="shared" si="10611"/>
        <v>0</v>
      </c>
      <c r="U5625" s="1" t="str">
        <f t="shared" si="10709"/>
        <v>0.0070</v>
      </c>
    </row>
    <row r="5626" s="1" customFormat="1" spans="1:21">
      <c r="A5626" s="1" t="str">
        <f>"4601992192500"</f>
        <v>4601992192500</v>
      </c>
      <c r="B5626" s="1" t="s">
        <v>5649</v>
      </c>
      <c r="C5626" s="1" t="s">
        <v>24</v>
      </c>
      <c r="D5626" s="1" t="str">
        <f t="shared" si="10607"/>
        <v>2021</v>
      </c>
      <c r="E5626" s="1" t="str">
        <f t="shared" ref="E5626:P5626" si="10715">"0"</f>
        <v>0</v>
      </c>
      <c r="F5626" s="1" t="str">
        <f t="shared" si="10715"/>
        <v>0</v>
      </c>
      <c r="G5626" s="1" t="str">
        <f t="shared" si="10715"/>
        <v>0</v>
      </c>
      <c r="H5626" s="1" t="str">
        <f t="shared" si="10715"/>
        <v>0</v>
      </c>
      <c r="I5626" s="1" t="str">
        <f t="shared" si="10715"/>
        <v>0</v>
      </c>
      <c r="J5626" s="1" t="str">
        <f t="shared" si="10715"/>
        <v>0</v>
      </c>
      <c r="K5626" s="1" t="str">
        <f t="shared" si="10715"/>
        <v>0</v>
      </c>
      <c r="L5626" s="1" t="str">
        <f t="shared" si="10715"/>
        <v>0</v>
      </c>
      <c r="M5626" s="1" t="str">
        <f t="shared" si="10715"/>
        <v>0</v>
      </c>
      <c r="N5626" s="1" t="str">
        <f t="shared" si="10715"/>
        <v>0</v>
      </c>
      <c r="O5626" s="1" t="str">
        <f t="shared" si="10715"/>
        <v>0</v>
      </c>
      <c r="P5626" s="1" t="str">
        <f t="shared" si="10715"/>
        <v>0</v>
      </c>
      <c r="Q5626" s="1" t="str">
        <f t="shared" si="10610"/>
        <v>0.0070</v>
      </c>
      <c r="R5626" s="1" t="s">
        <v>25</v>
      </c>
      <c r="T5626" s="1" t="str">
        <f t="shared" si="10611"/>
        <v>0</v>
      </c>
      <c r="U5626" s="1" t="str">
        <f t="shared" si="10709"/>
        <v>0.0070</v>
      </c>
    </row>
    <row r="5627" s="1" customFormat="1" spans="1:21">
      <c r="A5627" s="1" t="str">
        <f>"4601992192869"</f>
        <v>4601992192869</v>
      </c>
      <c r="B5627" s="1" t="s">
        <v>5650</v>
      </c>
      <c r="C5627" s="1" t="s">
        <v>24</v>
      </c>
      <c r="D5627" s="1" t="str">
        <f t="shared" si="10607"/>
        <v>2021</v>
      </c>
      <c r="E5627" s="1" t="str">
        <f t="shared" ref="E5627:P5627" si="10716">"0"</f>
        <v>0</v>
      </c>
      <c r="F5627" s="1" t="str">
        <f t="shared" si="10716"/>
        <v>0</v>
      </c>
      <c r="G5627" s="1" t="str">
        <f t="shared" si="10716"/>
        <v>0</v>
      </c>
      <c r="H5627" s="1" t="str">
        <f t="shared" si="10716"/>
        <v>0</v>
      </c>
      <c r="I5627" s="1" t="str">
        <f t="shared" si="10716"/>
        <v>0</v>
      </c>
      <c r="J5627" s="1" t="str">
        <f t="shared" si="10716"/>
        <v>0</v>
      </c>
      <c r="K5627" s="1" t="str">
        <f t="shared" si="10716"/>
        <v>0</v>
      </c>
      <c r="L5627" s="1" t="str">
        <f t="shared" si="10716"/>
        <v>0</v>
      </c>
      <c r="M5627" s="1" t="str">
        <f t="shared" si="10716"/>
        <v>0</v>
      </c>
      <c r="N5627" s="1" t="str">
        <f t="shared" si="10716"/>
        <v>0</v>
      </c>
      <c r="O5627" s="1" t="str">
        <f t="shared" si="10716"/>
        <v>0</v>
      </c>
      <c r="P5627" s="1" t="str">
        <f t="shared" si="10716"/>
        <v>0</v>
      </c>
      <c r="Q5627" s="1" t="str">
        <f t="shared" si="10610"/>
        <v>0.0070</v>
      </c>
      <c r="R5627" s="1" t="s">
        <v>25</v>
      </c>
      <c r="T5627" s="1" t="str">
        <f t="shared" si="10611"/>
        <v>0</v>
      </c>
      <c r="U5627" s="1" t="str">
        <f t="shared" si="10709"/>
        <v>0.0070</v>
      </c>
    </row>
    <row r="5628" s="1" customFormat="1" spans="1:21">
      <c r="A5628" s="1" t="str">
        <f>"4601992192870"</f>
        <v>4601992192870</v>
      </c>
      <c r="B5628" s="1" t="s">
        <v>5651</v>
      </c>
      <c r="C5628" s="1" t="s">
        <v>24</v>
      </c>
      <c r="D5628" s="1" t="str">
        <f t="shared" si="10607"/>
        <v>2021</v>
      </c>
      <c r="E5628" s="1" t="str">
        <f t="shared" ref="E5628:P5628" si="10717">"0"</f>
        <v>0</v>
      </c>
      <c r="F5628" s="1" t="str">
        <f t="shared" si="10717"/>
        <v>0</v>
      </c>
      <c r="G5628" s="1" t="str">
        <f t="shared" si="10717"/>
        <v>0</v>
      </c>
      <c r="H5628" s="1" t="str">
        <f t="shared" si="10717"/>
        <v>0</v>
      </c>
      <c r="I5628" s="1" t="str">
        <f t="shared" si="10717"/>
        <v>0</v>
      </c>
      <c r="J5628" s="1" t="str">
        <f t="shared" si="10717"/>
        <v>0</v>
      </c>
      <c r="K5628" s="1" t="str">
        <f t="shared" si="10717"/>
        <v>0</v>
      </c>
      <c r="L5628" s="1" t="str">
        <f t="shared" si="10717"/>
        <v>0</v>
      </c>
      <c r="M5628" s="1" t="str">
        <f t="shared" si="10717"/>
        <v>0</v>
      </c>
      <c r="N5628" s="1" t="str">
        <f t="shared" si="10717"/>
        <v>0</v>
      </c>
      <c r="O5628" s="1" t="str">
        <f t="shared" si="10717"/>
        <v>0</v>
      </c>
      <c r="P5628" s="1" t="str">
        <f t="shared" si="10717"/>
        <v>0</v>
      </c>
      <c r="Q5628" s="1" t="str">
        <f t="shared" si="10610"/>
        <v>0.0070</v>
      </c>
      <c r="R5628" s="1" t="s">
        <v>25</v>
      </c>
      <c r="T5628" s="1" t="str">
        <f t="shared" si="10611"/>
        <v>0</v>
      </c>
      <c r="U5628" s="1" t="str">
        <f t="shared" si="10709"/>
        <v>0.0070</v>
      </c>
    </row>
    <row r="5629" s="1" customFormat="1" spans="1:21">
      <c r="A5629" s="1" t="str">
        <f>"4601992193337"</f>
        <v>4601992193337</v>
      </c>
      <c r="B5629" s="1" t="s">
        <v>5652</v>
      </c>
      <c r="C5629" s="1" t="s">
        <v>24</v>
      </c>
      <c r="D5629" s="1" t="str">
        <f t="shared" si="10607"/>
        <v>2021</v>
      </c>
      <c r="E5629" s="1" t="str">
        <f t="shared" ref="E5629:P5629" si="10718">"0"</f>
        <v>0</v>
      </c>
      <c r="F5629" s="1" t="str">
        <f t="shared" si="10718"/>
        <v>0</v>
      </c>
      <c r="G5629" s="1" t="str">
        <f t="shared" si="10718"/>
        <v>0</v>
      </c>
      <c r="H5629" s="1" t="str">
        <f t="shared" si="10718"/>
        <v>0</v>
      </c>
      <c r="I5629" s="1" t="str">
        <f t="shared" si="10718"/>
        <v>0</v>
      </c>
      <c r="J5629" s="1" t="str">
        <f t="shared" si="10718"/>
        <v>0</v>
      </c>
      <c r="K5629" s="1" t="str">
        <f t="shared" si="10718"/>
        <v>0</v>
      </c>
      <c r="L5629" s="1" t="str">
        <f t="shared" si="10718"/>
        <v>0</v>
      </c>
      <c r="M5629" s="1" t="str">
        <f t="shared" si="10718"/>
        <v>0</v>
      </c>
      <c r="N5629" s="1" t="str">
        <f t="shared" si="10718"/>
        <v>0</v>
      </c>
      <c r="O5629" s="1" t="str">
        <f t="shared" si="10718"/>
        <v>0</v>
      </c>
      <c r="P5629" s="1" t="str">
        <f t="shared" si="10718"/>
        <v>0</v>
      </c>
      <c r="Q5629" s="1" t="str">
        <f t="shared" si="10610"/>
        <v>0.0070</v>
      </c>
      <c r="R5629" s="1" t="s">
        <v>25</v>
      </c>
      <c r="T5629" s="1" t="str">
        <f t="shared" si="10611"/>
        <v>0</v>
      </c>
      <c r="U5629" s="1" t="str">
        <f t="shared" si="10709"/>
        <v>0.0070</v>
      </c>
    </row>
    <row r="5630" s="1" customFormat="1" spans="1:21">
      <c r="A5630" s="1" t="str">
        <f>"4601991415077"</f>
        <v>4601991415077</v>
      </c>
      <c r="B5630" s="1" t="s">
        <v>5653</v>
      </c>
      <c r="C5630" s="1" t="s">
        <v>24</v>
      </c>
      <c r="D5630" s="1" t="str">
        <f t="shared" si="10607"/>
        <v>2021</v>
      </c>
      <c r="E5630" s="1" t="str">
        <f>"2379.49"</f>
        <v>2379.49</v>
      </c>
      <c r="F5630" s="1" t="str">
        <f>"368.86"</f>
        <v>368.86</v>
      </c>
      <c r="G5630" s="1" t="str">
        <f t="shared" ref="G5630:L5630" si="10719">"0"</f>
        <v>0</v>
      </c>
      <c r="H5630" s="1" t="str">
        <f t="shared" si="10719"/>
        <v>0</v>
      </c>
      <c r="I5630" s="1" t="str">
        <f>"0.1550"</f>
        <v>0.1550</v>
      </c>
      <c r="J5630" s="1" t="str">
        <f>"194"</f>
        <v>194</v>
      </c>
      <c r="K5630" s="1" t="str">
        <f>"1"</f>
        <v>1</v>
      </c>
      <c r="L5630" s="1" t="str">
        <f t="shared" si="10719"/>
        <v>0</v>
      </c>
      <c r="M5630" s="1" t="str">
        <f>"0.0052"</f>
        <v>0.0052</v>
      </c>
      <c r="N5630" s="1" t="str">
        <f t="shared" ref="N5630:P5630" si="10720">"0"</f>
        <v>0</v>
      </c>
      <c r="O5630" s="1" t="str">
        <f t="shared" si="10720"/>
        <v>0</v>
      </c>
      <c r="P5630" s="1" t="str">
        <f t="shared" si="10720"/>
        <v>0</v>
      </c>
      <c r="Q5630" s="1" t="str">
        <f t="shared" si="10610"/>
        <v>0.0070</v>
      </c>
      <c r="R5630" s="1" t="s">
        <v>29</v>
      </c>
      <c r="S5630" s="1">
        <v>-0.0014</v>
      </c>
      <c r="T5630" s="1" t="str">
        <f t="shared" si="10611"/>
        <v>0</v>
      </c>
      <c r="U5630" s="1" t="str">
        <f>"0.0056"</f>
        <v>0.0056</v>
      </c>
    </row>
    <row r="5631" s="1" customFormat="1" spans="1:21">
      <c r="A5631" s="1" t="str">
        <f>"4601992193360"</f>
        <v>4601992193360</v>
      </c>
      <c r="B5631" s="1" t="s">
        <v>5654</v>
      </c>
      <c r="C5631" s="1" t="s">
        <v>24</v>
      </c>
      <c r="D5631" s="1" t="str">
        <f t="shared" si="10607"/>
        <v>2021</v>
      </c>
      <c r="E5631" s="1" t="str">
        <f t="shared" ref="E5631:P5631" si="10721">"0"</f>
        <v>0</v>
      </c>
      <c r="F5631" s="1" t="str">
        <f t="shared" si="10721"/>
        <v>0</v>
      </c>
      <c r="G5631" s="1" t="str">
        <f t="shared" si="10721"/>
        <v>0</v>
      </c>
      <c r="H5631" s="1" t="str">
        <f t="shared" si="10721"/>
        <v>0</v>
      </c>
      <c r="I5631" s="1" t="str">
        <f t="shared" si="10721"/>
        <v>0</v>
      </c>
      <c r="J5631" s="1" t="str">
        <f t="shared" si="10721"/>
        <v>0</v>
      </c>
      <c r="K5631" s="1" t="str">
        <f t="shared" si="10721"/>
        <v>0</v>
      </c>
      <c r="L5631" s="1" t="str">
        <f t="shared" si="10721"/>
        <v>0</v>
      </c>
      <c r="M5631" s="1" t="str">
        <f t="shared" si="10721"/>
        <v>0</v>
      </c>
      <c r="N5631" s="1" t="str">
        <f t="shared" si="10721"/>
        <v>0</v>
      </c>
      <c r="O5631" s="1" t="str">
        <f t="shared" si="10721"/>
        <v>0</v>
      </c>
      <c r="P5631" s="1" t="str">
        <f t="shared" si="10721"/>
        <v>0</v>
      </c>
      <c r="Q5631" s="1" t="str">
        <f t="shared" si="10610"/>
        <v>0.0070</v>
      </c>
      <c r="R5631" s="1" t="s">
        <v>25</v>
      </c>
      <c r="T5631" s="1" t="str">
        <f t="shared" si="10611"/>
        <v>0</v>
      </c>
      <c r="U5631" s="1" t="str">
        <f t="shared" ref="U5631:U5642" si="10722">"0.0070"</f>
        <v>0.0070</v>
      </c>
    </row>
    <row r="5632" s="1" customFormat="1" spans="1:21">
      <c r="A5632" s="1" t="str">
        <f>"4601992193473"</f>
        <v>4601992193473</v>
      </c>
      <c r="B5632" s="1" t="s">
        <v>5655</v>
      </c>
      <c r="C5632" s="1" t="s">
        <v>24</v>
      </c>
      <c r="D5632" s="1" t="str">
        <f t="shared" si="10607"/>
        <v>2021</v>
      </c>
      <c r="E5632" s="1" t="str">
        <f t="shared" ref="E5632:P5632" si="10723">"0"</f>
        <v>0</v>
      </c>
      <c r="F5632" s="1" t="str">
        <f t="shared" si="10723"/>
        <v>0</v>
      </c>
      <c r="G5632" s="1" t="str">
        <f t="shared" si="10723"/>
        <v>0</v>
      </c>
      <c r="H5632" s="1" t="str">
        <f t="shared" si="10723"/>
        <v>0</v>
      </c>
      <c r="I5632" s="1" t="str">
        <f t="shared" si="10723"/>
        <v>0</v>
      </c>
      <c r="J5632" s="1" t="str">
        <f t="shared" si="10723"/>
        <v>0</v>
      </c>
      <c r="K5632" s="1" t="str">
        <f t="shared" si="10723"/>
        <v>0</v>
      </c>
      <c r="L5632" s="1" t="str">
        <f t="shared" si="10723"/>
        <v>0</v>
      </c>
      <c r="M5632" s="1" t="str">
        <f t="shared" si="10723"/>
        <v>0</v>
      </c>
      <c r="N5632" s="1" t="str">
        <f t="shared" si="10723"/>
        <v>0</v>
      </c>
      <c r="O5632" s="1" t="str">
        <f t="shared" si="10723"/>
        <v>0</v>
      </c>
      <c r="P5632" s="1" t="str">
        <f t="shared" si="10723"/>
        <v>0</v>
      </c>
      <c r="Q5632" s="1" t="str">
        <f t="shared" si="10610"/>
        <v>0.0070</v>
      </c>
      <c r="R5632" s="1" t="s">
        <v>25</v>
      </c>
      <c r="T5632" s="1" t="str">
        <f t="shared" si="10611"/>
        <v>0</v>
      </c>
      <c r="U5632" s="1" t="str">
        <f t="shared" si="10722"/>
        <v>0.0070</v>
      </c>
    </row>
    <row r="5633" s="1" customFormat="1" spans="1:21">
      <c r="A5633" s="1" t="str">
        <f>"4601992193733"</f>
        <v>4601992193733</v>
      </c>
      <c r="B5633" s="1" t="s">
        <v>5656</v>
      </c>
      <c r="C5633" s="1" t="s">
        <v>24</v>
      </c>
      <c r="D5633" s="1" t="str">
        <f t="shared" si="10607"/>
        <v>2021</v>
      </c>
      <c r="E5633" s="1" t="str">
        <f t="shared" ref="E5633:P5633" si="10724">"0"</f>
        <v>0</v>
      </c>
      <c r="F5633" s="1" t="str">
        <f t="shared" si="10724"/>
        <v>0</v>
      </c>
      <c r="G5633" s="1" t="str">
        <f t="shared" si="10724"/>
        <v>0</v>
      </c>
      <c r="H5633" s="1" t="str">
        <f t="shared" si="10724"/>
        <v>0</v>
      </c>
      <c r="I5633" s="1" t="str">
        <f t="shared" si="10724"/>
        <v>0</v>
      </c>
      <c r="J5633" s="1" t="str">
        <f t="shared" si="10724"/>
        <v>0</v>
      </c>
      <c r="K5633" s="1" t="str">
        <f t="shared" si="10724"/>
        <v>0</v>
      </c>
      <c r="L5633" s="1" t="str">
        <f t="shared" si="10724"/>
        <v>0</v>
      </c>
      <c r="M5633" s="1" t="str">
        <f t="shared" si="10724"/>
        <v>0</v>
      </c>
      <c r="N5633" s="1" t="str">
        <f t="shared" si="10724"/>
        <v>0</v>
      </c>
      <c r="O5633" s="1" t="str">
        <f t="shared" si="10724"/>
        <v>0</v>
      </c>
      <c r="P5633" s="1" t="str">
        <f t="shared" si="10724"/>
        <v>0</v>
      </c>
      <c r="Q5633" s="1" t="str">
        <f t="shared" si="10610"/>
        <v>0.0070</v>
      </c>
      <c r="R5633" s="1" t="s">
        <v>25</v>
      </c>
      <c r="T5633" s="1" t="str">
        <f t="shared" si="10611"/>
        <v>0</v>
      </c>
      <c r="U5633" s="1" t="str">
        <f t="shared" si="10722"/>
        <v>0.0070</v>
      </c>
    </row>
    <row r="5634" s="1" customFormat="1" spans="1:21">
      <c r="A5634" s="1" t="str">
        <f>"4601992193373"</f>
        <v>4601992193373</v>
      </c>
      <c r="B5634" s="1" t="s">
        <v>5657</v>
      </c>
      <c r="C5634" s="1" t="s">
        <v>24</v>
      </c>
      <c r="D5634" s="1" t="str">
        <f t="shared" si="10607"/>
        <v>2021</v>
      </c>
      <c r="E5634" s="1" t="str">
        <f t="shared" ref="E5634:I5634" si="10725">"0"</f>
        <v>0</v>
      </c>
      <c r="F5634" s="1" t="str">
        <f t="shared" si="10725"/>
        <v>0</v>
      </c>
      <c r="G5634" s="1" t="str">
        <f t="shared" si="10725"/>
        <v>0</v>
      </c>
      <c r="H5634" s="1" t="str">
        <f t="shared" si="10725"/>
        <v>0</v>
      </c>
      <c r="I5634" s="1" t="str">
        <f t="shared" si="10725"/>
        <v>0</v>
      </c>
      <c r="J5634" s="1" t="str">
        <f>"2"</f>
        <v>2</v>
      </c>
      <c r="K5634" s="1" t="str">
        <f t="shared" ref="K5634:P5634" si="10726">"0"</f>
        <v>0</v>
      </c>
      <c r="L5634" s="1" t="str">
        <f t="shared" si="10726"/>
        <v>0</v>
      </c>
      <c r="M5634" s="1" t="str">
        <f t="shared" si="10726"/>
        <v>0</v>
      </c>
      <c r="N5634" s="1" t="str">
        <f t="shared" si="10726"/>
        <v>0</v>
      </c>
      <c r="O5634" s="1" t="str">
        <f t="shared" si="10726"/>
        <v>0</v>
      </c>
      <c r="P5634" s="1" t="str">
        <f t="shared" si="10726"/>
        <v>0</v>
      </c>
      <c r="Q5634" s="1" t="str">
        <f t="shared" si="10610"/>
        <v>0.0070</v>
      </c>
      <c r="R5634" s="1" t="s">
        <v>25</v>
      </c>
      <c r="T5634" s="1" t="str">
        <f t="shared" si="10611"/>
        <v>0</v>
      </c>
      <c r="U5634" s="1" t="str">
        <f t="shared" si="10722"/>
        <v>0.0070</v>
      </c>
    </row>
    <row r="5635" s="1" customFormat="1" spans="1:21">
      <c r="A5635" s="1" t="str">
        <f>"4601992193804"</f>
        <v>4601992193804</v>
      </c>
      <c r="B5635" s="1" t="s">
        <v>5658</v>
      </c>
      <c r="C5635" s="1" t="s">
        <v>24</v>
      </c>
      <c r="D5635" s="1" t="str">
        <f t="shared" ref="D5635:D5698" si="10727">"2021"</f>
        <v>2021</v>
      </c>
      <c r="E5635" s="1" t="str">
        <f t="shared" ref="E5635:P5635" si="10728">"0"</f>
        <v>0</v>
      </c>
      <c r="F5635" s="1" t="str">
        <f t="shared" si="10728"/>
        <v>0</v>
      </c>
      <c r="G5635" s="1" t="str">
        <f t="shared" si="10728"/>
        <v>0</v>
      </c>
      <c r="H5635" s="1" t="str">
        <f t="shared" si="10728"/>
        <v>0</v>
      </c>
      <c r="I5635" s="1" t="str">
        <f t="shared" si="10728"/>
        <v>0</v>
      </c>
      <c r="J5635" s="1" t="str">
        <f t="shared" si="10728"/>
        <v>0</v>
      </c>
      <c r="K5635" s="1" t="str">
        <f t="shared" si="10728"/>
        <v>0</v>
      </c>
      <c r="L5635" s="1" t="str">
        <f t="shared" si="10728"/>
        <v>0</v>
      </c>
      <c r="M5635" s="1" t="str">
        <f t="shared" si="10728"/>
        <v>0</v>
      </c>
      <c r="N5635" s="1" t="str">
        <f t="shared" si="10728"/>
        <v>0</v>
      </c>
      <c r="O5635" s="1" t="str">
        <f t="shared" si="10728"/>
        <v>0</v>
      </c>
      <c r="P5635" s="1" t="str">
        <f t="shared" si="10728"/>
        <v>0</v>
      </c>
      <c r="Q5635" s="1" t="str">
        <f t="shared" ref="Q5635:Q5698" si="10729">"0.0070"</f>
        <v>0.0070</v>
      </c>
      <c r="R5635" s="1" t="s">
        <v>25</v>
      </c>
      <c r="T5635" s="1" t="str">
        <f t="shared" ref="T5635:T5698" si="10730">"0"</f>
        <v>0</v>
      </c>
      <c r="U5635" s="1" t="str">
        <f t="shared" si="10722"/>
        <v>0.0070</v>
      </c>
    </row>
    <row r="5636" s="1" customFormat="1" spans="1:21">
      <c r="A5636" s="1" t="str">
        <f>"4601992193709"</f>
        <v>4601992193709</v>
      </c>
      <c r="B5636" s="1" t="s">
        <v>5659</v>
      </c>
      <c r="C5636" s="1" t="s">
        <v>24</v>
      </c>
      <c r="D5636" s="1" t="str">
        <f t="shared" si="10727"/>
        <v>2021</v>
      </c>
      <c r="E5636" s="1" t="str">
        <f t="shared" ref="E5636:I5636" si="10731">"0"</f>
        <v>0</v>
      </c>
      <c r="F5636" s="1" t="str">
        <f t="shared" si="10731"/>
        <v>0</v>
      </c>
      <c r="G5636" s="1" t="str">
        <f t="shared" si="10731"/>
        <v>0</v>
      </c>
      <c r="H5636" s="1" t="str">
        <f t="shared" si="10731"/>
        <v>0</v>
      </c>
      <c r="I5636" s="1" t="str">
        <f t="shared" si="10731"/>
        <v>0</v>
      </c>
      <c r="J5636" s="1" t="str">
        <f>"3"</f>
        <v>3</v>
      </c>
      <c r="K5636" s="1" t="str">
        <f t="shared" ref="K5636:P5636" si="10732">"0"</f>
        <v>0</v>
      </c>
      <c r="L5636" s="1" t="str">
        <f t="shared" si="10732"/>
        <v>0</v>
      </c>
      <c r="M5636" s="1" t="str">
        <f t="shared" si="10732"/>
        <v>0</v>
      </c>
      <c r="N5636" s="1" t="str">
        <f t="shared" si="10732"/>
        <v>0</v>
      </c>
      <c r="O5636" s="1" t="str">
        <f t="shared" si="10732"/>
        <v>0</v>
      </c>
      <c r="P5636" s="1" t="str">
        <f t="shared" si="10732"/>
        <v>0</v>
      </c>
      <c r="Q5636" s="1" t="str">
        <f t="shared" si="10729"/>
        <v>0.0070</v>
      </c>
      <c r="R5636" s="1" t="s">
        <v>25</v>
      </c>
      <c r="T5636" s="1" t="str">
        <f t="shared" si="10730"/>
        <v>0</v>
      </c>
      <c r="U5636" s="1" t="str">
        <f t="shared" si="10722"/>
        <v>0.0070</v>
      </c>
    </row>
    <row r="5637" s="1" customFormat="1" spans="1:21">
      <c r="A5637" s="1" t="str">
        <f>"4601992193900"</f>
        <v>4601992193900</v>
      </c>
      <c r="B5637" s="1" t="s">
        <v>5660</v>
      </c>
      <c r="C5637" s="1" t="s">
        <v>24</v>
      </c>
      <c r="D5637" s="1" t="str">
        <f t="shared" si="10727"/>
        <v>2021</v>
      </c>
      <c r="E5637" s="1" t="str">
        <f t="shared" ref="E5637:P5637" si="10733">"0"</f>
        <v>0</v>
      </c>
      <c r="F5637" s="1" t="str">
        <f t="shared" si="10733"/>
        <v>0</v>
      </c>
      <c r="G5637" s="1" t="str">
        <f t="shared" si="10733"/>
        <v>0</v>
      </c>
      <c r="H5637" s="1" t="str">
        <f t="shared" si="10733"/>
        <v>0</v>
      </c>
      <c r="I5637" s="1" t="str">
        <f t="shared" si="10733"/>
        <v>0</v>
      </c>
      <c r="J5637" s="1" t="str">
        <f t="shared" si="10733"/>
        <v>0</v>
      </c>
      <c r="K5637" s="1" t="str">
        <f t="shared" si="10733"/>
        <v>0</v>
      </c>
      <c r="L5637" s="1" t="str">
        <f t="shared" si="10733"/>
        <v>0</v>
      </c>
      <c r="M5637" s="1" t="str">
        <f t="shared" si="10733"/>
        <v>0</v>
      </c>
      <c r="N5637" s="1" t="str">
        <f t="shared" si="10733"/>
        <v>0</v>
      </c>
      <c r="O5637" s="1" t="str">
        <f t="shared" si="10733"/>
        <v>0</v>
      </c>
      <c r="P5637" s="1" t="str">
        <f t="shared" si="10733"/>
        <v>0</v>
      </c>
      <c r="Q5637" s="1" t="str">
        <f t="shared" si="10729"/>
        <v>0.0070</v>
      </c>
      <c r="R5637" s="1" t="s">
        <v>25</v>
      </c>
      <c r="T5637" s="1" t="str">
        <f t="shared" si="10730"/>
        <v>0</v>
      </c>
      <c r="U5637" s="1" t="str">
        <f t="shared" si="10722"/>
        <v>0.0070</v>
      </c>
    </row>
    <row r="5638" s="1" customFormat="1" spans="1:21">
      <c r="A5638" s="1" t="str">
        <f>"4601992194025"</f>
        <v>4601992194025</v>
      </c>
      <c r="B5638" s="1" t="s">
        <v>5661</v>
      </c>
      <c r="C5638" s="1" t="s">
        <v>24</v>
      </c>
      <c r="D5638" s="1" t="str">
        <f t="shared" si="10727"/>
        <v>2021</v>
      </c>
      <c r="E5638" s="1" t="str">
        <f t="shared" ref="E5638:P5638" si="10734">"0"</f>
        <v>0</v>
      </c>
      <c r="F5638" s="1" t="str">
        <f t="shared" si="10734"/>
        <v>0</v>
      </c>
      <c r="G5638" s="1" t="str">
        <f t="shared" si="10734"/>
        <v>0</v>
      </c>
      <c r="H5638" s="1" t="str">
        <f t="shared" si="10734"/>
        <v>0</v>
      </c>
      <c r="I5638" s="1" t="str">
        <f t="shared" si="10734"/>
        <v>0</v>
      </c>
      <c r="J5638" s="1" t="str">
        <f t="shared" si="10734"/>
        <v>0</v>
      </c>
      <c r="K5638" s="1" t="str">
        <f t="shared" si="10734"/>
        <v>0</v>
      </c>
      <c r="L5638" s="1" t="str">
        <f t="shared" si="10734"/>
        <v>0</v>
      </c>
      <c r="M5638" s="1" t="str">
        <f t="shared" si="10734"/>
        <v>0</v>
      </c>
      <c r="N5638" s="1" t="str">
        <f t="shared" si="10734"/>
        <v>0</v>
      </c>
      <c r="O5638" s="1" t="str">
        <f t="shared" si="10734"/>
        <v>0</v>
      </c>
      <c r="P5638" s="1" t="str">
        <f t="shared" si="10734"/>
        <v>0</v>
      </c>
      <c r="Q5638" s="1" t="str">
        <f t="shared" si="10729"/>
        <v>0.0070</v>
      </c>
      <c r="R5638" s="1" t="s">
        <v>25</v>
      </c>
      <c r="T5638" s="1" t="str">
        <f t="shared" si="10730"/>
        <v>0</v>
      </c>
      <c r="U5638" s="1" t="str">
        <f t="shared" si="10722"/>
        <v>0.0070</v>
      </c>
    </row>
    <row r="5639" s="1" customFormat="1" spans="1:21">
      <c r="A5639" s="1" t="str">
        <f>"4601992194480"</f>
        <v>4601992194480</v>
      </c>
      <c r="B5639" s="1" t="s">
        <v>5662</v>
      </c>
      <c r="C5639" s="1" t="s">
        <v>24</v>
      </c>
      <c r="D5639" s="1" t="str">
        <f t="shared" si="10727"/>
        <v>2021</v>
      </c>
      <c r="E5639" s="1" t="str">
        <f t="shared" ref="E5639:P5639" si="10735">"0"</f>
        <v>0</v>
      </c>
      <c r="F5639" s="1" t="str">
        <f t="shared" si="10735"/>
        <v>0</v>
      </c>
      <c r="G5639" s="1" t="str">
        <f t="shared" si="10735"/>
        <v>0</v>
      </c>
      <c r="H5639" s="1" t="str">
        <f t="shared" si="10735"/>
        <v>0</v>
      </c>
      <c r="I5639" s="1" t="str">
        <f t="shared" si="10735"/>
        <v>0</v>
      </c>
      <c r="J5639" s="1" t="str">
        <f t="shared" si="10735"/>
        <v>0</v>
      </c>
      <c r="K5639" s="1" t="str">
        <f t="shared" si="10735"/>
        <v>0</v>
      </c>
      <c r="L5639" s="1" t="str">
        <f t="shared" si="10735"/>
        <v>0</v>
      </c>
      <c r="M5639" s="1" t="str">
        <f t="shared" si="10735"/>
        <v>0</v>
      </c>
      <c r="N5639" s="1" t="str">
        <f t="shared" si="10735"/>
        <v>0</v>
      </c>
      <c r="O5639" s="1" t="str">
        <f t="shared" si="10735"/>
        <v>0</v>
      </c>
      <c r="P5639" s="1" t="str">
        <f t="shared" si="10735"/>
        <v>0</v>
      </c>
      <c r="Q5639" s="1" t="str">
        <f t="shared" si="10729"/>
        <v>0.0070</v>
      </c>
      <c r="R5639" s="1" t="s">
        <v>25</v>
      </c>
      <c r="T5639" s="1" t="str">
        <f t="shared" si="10730"/>
        <v>0</v>
      </c>
      <c r="U5639" s="1" t="str">
        <f t="shared" si="10722"/>
        <v>0.0070</v>
      </c>
    </row>
    <row r="5640" s="1" customFormat="1" spans="1:21">
      <c r="A5640" s="1" t="str">
        <f>"4601992194514"</f>
        <v>4601992194514</v>
      </c>
      <c r="B5640" s="1" t="s">
        <v>5663</v>
      </c>
      <c r="C5640" s="1" t="s">
        <v>24</v>
      </c>
      <c r="D5640" s="1" t="str">
        <f t="shared" si="10727"/>
        <v>2021</v>
      </c>
      <c r="E5640" s="1" t="str">
        <f t="shared" ref="E5640:I5640" si="10736">"0"</f>
        <v>0</v>
      </c>
      <c r="F5640" s="1" t="str">
        <f t="shared" si="10736"/>
        <v>0</v>
      </c>
      <c r="G5640" s="1" t="str">
        <f t="shared" si="10736"/>
        <v>0</v>
      </c>
      <c r="H5640" s="1" t="str">
        <f t="shared" si="10736"/>
        <v>0</v>
      </c>
      <c r="I5640" s="1" t="str">
        <f t="shared" si="10736"/>
        <v>0</v>
      </c>
      <c r="J5640" s="1" t="str">
        <f>"1"</f>
        <v>1</v>
      </c>
      <c r="K5640" s="1" t="str">
        <f t="shared" ref="K5640:P5640" si="10737">"0"</f>
        <v>0</v>
      </c>
      <c r="L5640" s="1" t="str">
        <f t="shared" si="10737"/>
        <v>0</v>
      </c>
      <c r="M5640" s="1" t="str">
        <f t="shared" si="10737"/>
        <v>0</v>
      </c>
      <c r="N5640" s="1" t="str">
        <f t="shared" si="10737"/>
        <v>0</v>
      </c>
      <c r="O5640" s="1" t="str">
        <f t="shared" si="10737"/>
        <v>0</v>
      </c>
      <c r="P5640" s="1" t="str">
        <f t="shared" si="10737"/>
        <v>0</v>
      </c>
      <c r="Q5640" s="1" t="str">
        <f t="shared" si="10729"/>
        <v>0.0070</v>
      </c>
      <c r="R5640" s="1" t="s">
        <v>25</v>
      </c>
      <c r="T5640" s="1" t="str">
        <f t="shared" si="10730"/>
        <v>0</v>
      </c>
      <c r="U5640" s="1" t="str">
        <f t="shared" si="10722"/>
        <v>0.0070</v>
      </c>
    </row>
    <row r="5641" s="1" customFormat="1" spans="1:21">
      <c r="A5641" s="1" t="str">
        <f>"4601992194596"</f>
        <v>4601992194596</v>
      </c>
      <c r="B5641" s="1" t="s">
        <v>5664</v>
      </c>
      <c r="C5641" s="1" t="s">
        <v>24</v>
      </c>
      <c r="D5641" s="1" t="str">
        <f t="shared" si="10727"/>
        <v>2021</v>
      </c>
      <c r="E5641" s="1" t="str">
        <f t="shared" ref="E5641:I5641" si="10738">"0"</f>
        <v>0</v>
      </c>
      <c r="F5641" s="1" t="str">
        <f t="shared" si="10738"/>
        <v>0</v>
      </c>
      <c r="G5641" s="1" t="str">
        <f t="shared" si="10738"/>
        <v>0</v>
      </c>
      <c r="H5641" s="1" t="str">
        <f t="shared" si="10738"/>
        <v>0</v>
      </c>
      <c r="I5641" s="1" t="str">
        <f t="shared" si="10738"/>
        <v>0</v>
      </c>
      <c r="J5641" s="1" t="str">
        <f>"6"</f>
        <v>6</v>
      </c>
      <c r="K5641" s="1" t="str">
        <f t="shared" ref="K5641:P5641" si="10739">"0"</f>
        <v>0</v>
      </c>
      <c r="L5641" s="1" t="str">
        <f t="shared" si="10739"/>
        <v>0</v>
      </c>
      <c r="M5641" s="1" t="str">
        <f t="shared" si="10739"/>
        <v>0</v>
      </c>
      <c r="N5641" s="1" t="str">
        <f t="shared" si="10739"/>
        <v>0</v>
      </c>
      <c r="O5641" s="1" t="str">
        <f t="shared" si="10739"/>
        <v>0</v>
      </c>
      <c r="P5641" s="1" t="str">
        <f t="shared" si="10739"/>
        <v>0</v>
      </c>
      <c r="Q5641" s="1" t="str">
        <f t="shared" si="10729"/>
        <v>0.0070</v>
      </c>
      <c r="R5641" s="1" t="s">
        <v>25</v>
      </c>
      <c r="T5641" s="1" t="str">
        <f t="shared" si="10730"/>
        <v>0</v>
      </c>
      <c r="U5641" s="1" t="str">
        <f t="shared" si="10722"/>
        <v>0.0070</v>
      </c>
    </row>
    <row r="5642" s="1" customFormat="1" spans="1:21">
      <c r="A5642" s="1" t="str">
        <f>"4601992194613"</f>
        <v>4601992194613</v>
      </c>
      <c r="B5642" s="1" t="s">
        <v>5665</v>
      </c>
      <c r="C5642" s="1" t="s">
        <v>24</v>
      </c>
      <c r="D5642" s="1" t="str">
        <f t="shared" si="10727"/>
        <v>2021</v>
      </c>
      <c r="E5642" s="1" t="str">
        <f t="shared" ref="E5642:I5642" si="10740">"0"</f>
        <v>0</v>
      </c>
      <c r="F5642" s="1" t="str">
        <f t="shared" si="10740"/>
        <v>0</v>
      </c>
      <c r="G5642" s="1" t="str">
        <f t="shared" si="10740"/>
        <v>0</v>
      </c>
      <c r="H5642" s="1" t="str">
        <f t="shared" si="10740"/>
        <v>0</v>
      </c>
      <c r="I5642" s="1" t="str">
        <f t="shared" si="10740"/>
        <v>0</v>
      </c>
      <c r="J5642" s="1" t="str">
        <f>"2"</f>
        <v>2</v>
      </c>
      <c r="K5642" s="1" t="str">
        <f t="shared" ref="K5642:P5642" si="10741">"0"</f>
        <v>0</v>
      </c>
      <c r="L5642" s="1" t="str">
        <f t="shared" si="10741"/>
        <v>0</v>
      </c>
      <c r="M5642" s="1" t="str">
        <f t="shared" si="10741"/>
        <v>0</v>
      </c>
      <c r="N5642" s="1" t="str">
        <f t="shared" si="10741"/>
        <v>0</v>
      </c>
      <c r="O5642" s="1" t="str">
        <f t="shared" si="10741"/>
        <v>0</v>
      </c>
      <c r="P5642" s="1" t="str">
        <f t="shared" si="10741"/>
        <v>0</v>
      </c>
      <c r="Q5642" s="1" t="str">
        <f t="shared" si="10729"/>
        <v>0.0070</v>
      </c>
      <c r="R5642" s="1" t="s">
        <v>25</v>
      </c>
      <c r="T5642" s="1" t="str">
        <f t="shared" si="10730"/>
        <v>0</v>
      </c>
      <c r="U5642" s="1" t="str">
        <f t="shared" si="10722"/>
        <v>0.0070</v>
      </c>
    </row>
    <row r="5643" s="1" customFormat="1" spans="1:21">
      <c r="A5643" s="1" t="str">
        <f>"4601992010391"</f>
        <v>4601992010391</v>
      </c>
      <c r="B5643" s="1" t="s">
        <v>5666</v>
      </c>
      <c r="C5643" s="1" t="s">
        <v>24</v>
      </c>
      <c r="D5643" s="1" t="str">
        <f t="shared" si="10727"/>
        <v>2021</v>
      </c>
      <c r="E5643" s="1" t="str">
        <f>"253.89"</f>
        <v>253.89</v>
      </c>
      <c r="F5643" s="1" t="str">
        <f t="shared" ref="F5643:I5643" si="10742">"0"</f>
        <v>0</v>
      </c>
      <c r="G5643" s="1" t="str">
        <f t="shared" si="10742"/>
        <v>0</v>
      </c>
      <c r="H5643" s="1" t="str">
        <f t="shared" si="10742"/>
        <v>0</v>
      </c>
      <c r="I5643" s="1" t="str">
        <f t="shared" si="10742"/>
        <v>0</v>
      </c>
      <c r="J5643" s="1" t="str">
        <f>"19"</f>
        <v>19</v>
      </c>
      <c r="K5643" s="1" t="str">
        <f t="shared" ref="K5643:P5643" si="10743">"0"</f>
        <v>0</v>
      </c>
      <c r="L5643" s="1" t="str">
        <f t="shared" si="10743"/>
        <v>0</v>
      </c>
      <c r="M5643" s="1" t="str">
        <f t="shared" si="10743"/>
        <v>0</v>
      </c>
      <c r="N5643" s="1" t="str">
        <f t="shared" si="10743"/>
        <v>0</v>
      </c>
      <c r="O5643" s="1" t="str">
        <f t="shared" si="10743"/>
        <v>0</v>
      </c>
      <c r="P5643" s="1" t="str">
        <f t="shared" si="10743"/>
        <v>0</v>
      </c>
      <c r="Q5643" s="1" t="str">
        <f t="shared" si="10729"/>
        <v>0.0070</v>
      </c>
      <c r="R5643" s="1" t="s">
        <v>29</v>
      </c>
      <c r="S5643" s="1">
        <v>-0.0014</v>
      </c>
      <c r="T5643" s="1" t="str">
        <f t="shared" si="10730"/>
        <v>0</v>
      </c>
      <c r="U5643" s="1" t="str">
        <f>"0.0056"</f>
        <v>0.0056</v>
      </c>
    </row>
    <row r="5644" s="1" customFormat="1" spans="1:21">
      <c r="A5644" s="1" t="str">
        <f>"4601992194845"</f>
        <v>4601992194845</v>
      </c>
      <c r="B5644" s="1" t="s">
        <v>5667</v>
      </c>
      <c r="C5644" s="1" t="s">
        <v>24</v>
      </c>
      <c r="D5644" s="1" t="str">
        <f t="shared" si="10727"/>
        <v>2021</v>
      </c>
      <c r="E5644" s="1" t="str">
        <f t="shared" ref="E5644:P5644" si="10744">"0"</f>
        <v>0</v>
      </c>
      <c r="F5644" s="1" t="str">
        <f t="shared" si="10744"/>
        <v>0</v>
      </c>
      <c r="G5644" s="1" t="str">
        <f t="shared" si="10744"/>
        <v>0</v>
      </c>
      <c r="H5644" s="1" t="str">
        <f t="shared" si="10744"/>
        <v>0</v>
      </c>
      <c r="I5644" s="1" t="str">
        <f t="shared" si="10744"/>
        <v>0</v>
      </c>
      <c r="J5644" s="1" t="str">
        <f t="shared" si="10744"/>
        <v>0</v>
      </c>
      <c r="K5644" s="1" t="str">
        <f t="shared" si="10744"/>
        <v>0</v>
      </c>
      <c r="L5644" s="1" t="str">
        <f t="shared" si="10744"/>
        <v>0</v>
      </c>
      <c r="M5644" s="1" t="str">
        <f t="shared" si="10744"/>
        <v>0</v>
      </c>
      <c r="N5644" s="1" t="str">
        <f t="shared" si="10744"/>
        <v>0</v>
      </c>
      <c r="O5644" s="1" t="str">
        <f t="shared" si="10744"/>
        <v>0</v>
      </c>
      <c r="P5644" s="1" t="str">
        <f t="shared" si="10744"/>
        <v>0</v>
      </c>
      <c r="Q5644" s="1" t="str">
        <f t="shared" si="10729"/>
        <v>0.0070</v>
      </c>
      <c r="R5644" s="1" t="s">
        <v>25</v>
      </c>
      <c r="T5644" s="1" t="str">
        <f t="shared" si="10730"/>
        <v>0</v>
      </c>
      <c r="U5644" s="1" t="str">
        <f t="shared" ref="U5644:U5707" si="10745">"0.0070"</f>
        <v>0.0070</v>
      </c>
    </row>
    <row r="5645" s="1" customFormat="1" spans="1:21">
      <c r="A5645" s="1" t="str">
        <f>"4601992194854"</f>
        <v>4601992194854</v>
      </c>
      <c r="B5645" s="1" t="s">
        <v>5668</v>
      </c>
      <c r="C5645" s="1" t="s">
        <v>24</v>
      </c>
      <c r="D5645" s="1" t="str">
        <f t="shared" si="10727"/>
        <v>2021</v>
      </c>
      <c r="E5645" s="1" t="str">
        <f t="shared" ref="E5645:P5645" si="10746">"0"</f>
        <v>0</v>
      </c>
      <c r="F5645" s="1" t="str">
        <f t="shared" si="10746"/>
        <v>0</v>
      </c>
      <c r="G5645" s="1" t="str">
        <f t="shared" si="10746"/>
        <v>0</v>
      </c>
      <c r="H5645" s="1" t="str">
        <f t="shared" si="10746"/>
        <v>0</v>
      </c>
      <c r="I5645" s="1" t="str">
        <f t="shared" si="10746"/>
        <v>0</v>
      </c>
      <c r="J5645" s="1" t="str">
        <f t="shared" si="10746"/>
        <v>0</v>
      </c>
      <c r="K5645" s="1" t="str">
        <f t="shared" si="10746"/>
        <v>0</v>
      </c>
      <c r="L5645" s="1" t="str">
        <f t="shared" si="10746"/>
        <v>0</v>
      </c>
      <c r="M5645" s="1" t="str">
        <f t="shared" si="10746"/>
        <v>0</v>
      </c>
      <c r="N5645" s="1" t="str">
        <f t="shared" si="10746"/>
        <v>0</v>
      </c>
      <c r="O5645" s="1" t="str">
        <f t="shared" si="10746"/>
        <v>0</v>
      </c>
      <c r="P5645" s="1" t="str">
        <f t="shared" si="10746"/>
        <v>0</v>
      </c>
      <c r="Q5645" s="1" t="str">
        <f t="shared" si="10729"/>
        <v>0.0070</v>
      </c>
      <c r="R5645" s="1" t="s">
        <v>25</v>
      </c>
      <c r="T5645" s="1" t="str">
        <f t="shared" si="10730"/>
        <v>0</v>
      </c>
      <c r="U5645" s="1" t="str">
        <f t="shared" si="10745"/>
        <v>0.0070</v>
      </c>
    </row>
    <row r="5646" s="1" customFormat="1" spans="1:21">
      <c r="A5646" s="1" t="str">
        <f>"4601992194888"</f>
        <v>4601992194888</v>
      </c>
      <c r="B5646" s="1" t="s">
        <v>5669</v>
      </c>
      <c r="C5646" s="1" t="s">
        <v>24</v>
      </c>
      <c r="D5646" s="1" t="str">
        <f t="shared" si="10727"/>
        <v>2021</v>
      </c>
      <c r="E5646" s="1" t="str">
        <f t="shared" ref="E5646:P5646" si="10747">"0"</f>
        <v>0</v>
      </c>
      <c r="F5646" s="1" t="str">
        <f t="shared" si="10747"/>
        <v>0</v>
      </c>
      <c r="G5646" s="1" t="str">
        <f t="shared" si="10747"/>
        <v>0</v>
      </c>
      <c r="H5646" s="1" t="str">
        <f t="shared" si="10747"/>
        <v>0</v>
      </c>
      <c r="I5646" s="1" t="str">
        <f t="shared" si="10747"/>
        <v>0</v>
      </c>
      <c r="J5646" s="1" t="str">
        <f t="shared" si="10747"/>
        <v>0</v>
      </c>
      <c r="K5646" s="1" t="str">
        <f t="shared" si="10747"/>
        <v>0</v>
      </c>
      <c r="L5646" s="1" t="str">
        <f t="shared" si="10747"/>
        <v>0</v>
      </c>
      <c r="M5646" s="1" t="str">
        <f t="shared" si="10747"/>
        <v>0</v>
      </c>
      <c r="N5646" s="1" t="str">
        <f t="shared" si="10747"/>
        <v>0</v>
      </c>
      <c r="O5646" s="1" t="str">
        <f t="shared" si="10747"/>
        <v>0</v>
      </c>
      <c r="P5646" s="1" t="str">
        <f t="shared" si="10747"/>
        <v>0</v>
      </c>
      <c r="Q5646" s="1" t="str">
        <f t="shared" si="10729"/>
        <v>0.0070</v>
      </c>
      <c r="R5646" s="1" t="s">
        <v>25</v>
      </c>
      <c r="T5646" s="1" t="str">
        <f t="shared" si="10730"/>
        <v>0</v>
      </c>
      <c r="U5646" s="1" t="str">
        <f t="shared" si="10745"/>
        <v>0.0070</v>
      </c>
    </row>
    <row r="5647" s="1" customFormat="1" spans="1:21">
      <c r="A5647" s="1" t="str">
        <f>"4601992194666"</f>
        <v>4601992194666</v>
      </c>
      <c r="B5647" s="1" t="s">
        <v>5670</v>
      </c>
      <c r="C5647" s="1" t="s">
        <v>24</v>
      </c>
      <c r="D5647" s="1" t="str">
        <f t="shared" si="10727"/>
        <v>2021</v>
      </c>
      <c r="E5647" s="1" t="str">
        <f t="shared" ref="E5647:I5647" si="10748">"0"</f>
        <v>0</v>
      </c>
      <c r="F5647" s="1" t="str">
        <f t="shared" si="10748"/>
        <v>0</v>
      </c>
      <c r="G5647" s="1" t="str">
        <f t="shared" si="10748"/>
        <v>0</v>
      </c>
      <c r="H5647" s="1" t="str">
        <f t="shared" si="10748"/>
        <v>0</v>
      </c>
      <c r="I5647" s="1" t="str">
        <f t="shared" si="10748"/>
        <v>0</v>
      </c>
      <c r="J5647" s="1" t="str">
        <f>"1"</f>
        <v>1</v>
      </c>
      <c r="K5647" s="1" t="str">
        <f t="shared" ref="K5647:P5647" si="10749">"0"</f>
        <v>0</v>
      </c>
      <c r="L5647" s="1" t="str">
        <f t="shared" si="10749"/>
        <v>0</v>
      </c>
      <c r="M5647" s="1" t="str">
        <f t="shared" si="10749"/>
        <v>0</v>
      </c>
      <c r="N5647" s="1" t="str">
        <f t="shared" si="10749"/>
        <v>0</v>
      </c>
      <c r="O5647" s="1" t="str">
        <f t="shared" si="10749"/>
        <v>0</v>
      </c>
      <c r="P5647" s="1" t="str">
        <f t="shared" si="10749"/>
        <v>0</v>
      </c>
      <c r="Q5647" s="1" t="str">
        <f t="shared" si="10729"/>
        <v>0.0070</v>
      </c>
      <c r="R5647" s="1" t="s">
        <v>25</v>
      </c>
      <c r="T5647" s="1" t="str">
        <f t="shared" si="10730"/>
        <v>0</v>
      </c>
      <c r="U5647" s="1" t="str">
        <f t="shared" si="10745"/>
        <v>0.0070</v>
      </c>
    </row>
    <row r="5648" s="1" customFormat="1" spans="1:21">
      <c r="A5648" s="1" t="str">
        <f>"4601992194957"</f>
        <v>4601992194957</v>
      </c>
      <c r="B5648" s="1" t="s">
        <v>5671</v>
      </c>
      <c r="C5648" s="1" t="s">
        <v>24</v>
      </c>
      <c r="D5648" s="1" t="str">
        <f t="shared" si="10727"/>
        <v>2021</v>
      </c>
      <c r="E5648" s="1" t="str">
        <f t="shared" ref="E5648:P5648" si="10750">"0"</f>
        <v>0</v>
      </c>
      <c r="F5648" s="1" t="str">
        <f t="shared" si="10750"/>
        <v>0</v>
      </c>
      <c r="G5648" s="1" t="str">
        <f t="shared" si="10750"/>
        <v>0</v>
      </c>
      <c r="H5648" s="1" t="str">
        <f t="shared" si="10750"/>
        <v>0</v>
      </c>
      <c r="I5648" s="1" t="str">
        <f t="shared" si="10750"/>
        <v>0</v>
      </c>
      <c r="J5648" s="1" t="str">
        <f t="shared" si="10750"/>
        <v>0</v>
      </c>
      <c r="K5648" s="1" t="str">
        <f t="shared" si="10750"/>
        <v>0</v>
      </c>
      <c r="L5648" s="1" t="str">
        <f t="shared" si="10750"/>
        <v>0</v>
      </c>
      <c r="M5648" s="1" t="str">
        <f t="shared" si="10750"/>
        <v>0</v>
      </c>
      <c r="N5648" s="1" t="str">
        <f t="shared" si="10750"/>
        <v>0</v>
      </c>
      <c r="O5648" s="1" t="str">
        <f t="shared" si="10750"/>
        <v>0</v>
      </c>
      <c r="P5648" s="1" t="str">
        <f t="shared" si="10750"/>
        <v>0</v>
      </c>
      <c r="Q5648" s="1" t="str">
        <f t="shared" si="10729"/>
        <v>0.0070</v>
      </c>
      <c r="R5648" s="1" t="s">
        <v>25</v>
      </c>
      <c r="T5648" s="1" t="str">
        <f t="shared" si="10730"/>
        <v>0</v>
      </c>
      <c r="U5648" s="1" t="str">
        <f t="shared" si="10745"/>
        <v>0.0070</v>
      </c>
    </row>
    <row r="5649" s="1" customFormat="1" spans="1:21">
      <c r="A5649" s="1" t="str">
        <f>"4601992195053"</f>
        <v>4601992195053</v>
      </c>
      <c r="B5649" s="1" t="s">
        <v>5672</v>
      </c>
      <c r="C5649" s="1" t="s">
        <v>24</v>
      </c>
      <c r="D5649" s="1" t="str">
        <f t="shared" si="10727"/>
        <v>2021</v>
      </c>
      <c r="E5649" s="1" t="str">
        <f t="shared" ref="E5649:P5649" si="10751">"0"</f>
        <v>0</v>
      </c>
      <c r="F5649" s="1" t="str">
        <f t="shared" si="10751"/>
        <v>0</v>
      </c>
      <c r="G5649" s="1" t="str">
        <f t="shared" si="10751"/>
        <v>0</v>
      </c>
      <c r="H5649" s="1" t="str">
        <f t="shared" si="10751"/>
        <v>0</v>
      </c>
      <c r="I5649" s="1" t="str">
        <f t="shared" si="10751"/>
        <v>0</v>
      </c>
      <c r="J5649" s="1" t="str">
        <f t="shared" si="10751"/>
        <v>0</v>
      </c>
      <c r="K5649" s="1" t="str">
        <f t="shared" si="10751"/>
        <v>0</v>
      </c>
      <c r="L5649" s="1" t="str">
        <f t="shared" si="10751"/>
        <v>0</v>
      </c>
      <c r="M5649" s="1" t="str">
        <f t="shared" si="10751"/>
        <v>0</v>
      </c>
      <c r="N5649" s="1" t="str">
        <f t="shared" si="10751"/>
        <v>0</v>
      </c>
      <c r="O5649" s="1" t="str">
        <f t="shared" si="10751"/>
        <v>0</v>
      </c>
      <c r="P5649" s="1" t="str">
        <f t="shared" si="10751"/>
        <v>0</v>
      </c>
      <c r="Q5649" s="1" t="str">
        <f t="shared" si="10729"/>
        <v>0.0070</v>
      </c>
      <c r="R5649" s="1" t="s">
        <v>25</v>
      </c>
      <c r="T5649" s="1" t="str">
        <f t="shared" si="10730"/>
        <v>0</v>
      </c>
      <c r="U5649" s="1" t="str">
        <f t="shared" si="10745"/>
        <v>0.0070</v>
      </c>
    </row>
    <row r="5650" s="1" customFormat="1" spans="1:21">
      <c r="A5650" s="1" t="str">
        <f>"4601992195117"</f>
        <v>4601992195117</v>
      </c>
      <c r="B5650" s="1" t="s">
        <v>5673</v>
      </c>
      <c r="C5650" s="1" t="s">
        <v>24</v>
      </c>
      <c r="D5650" s="1" t="str">
        <f t="shared" si="10727"/>
        <v>2021</v>
      </c>
      <c r="E5650" s="1" t="str">
        <f t="shared" ref="E5650:P5650" si="10752">"0"</f>
        <v>0</v>
      </c>
      <c r="F5650" s="1" t="str">
        <f t="shared" si="10752"/>
        <v>0</v>
      </c>
      <c r="G5650" s="1" t="str">
        <f t="shared" si="10752"/>
        <v>0</v>
      </c>
      <c r="H5650" s="1" t="str">
        <f t="shared" si="10752"/>
        <v>0</v>
      </c>
      <c r="I5650" s="1" t="str">
        <f t="shared" si="10752"/>
        <v>0</v>
      </c>
      <c r="J5650" s="1" t="str">
        <f t="shared" si="10752"/>
        <v>0</v>
      </c>
      <c r="K5650" s="1" t="str">
        <f t="shared" si="10752"/>
        <v>0</v>
      </c>
      <c r="L5650" s="1" t="str">
        <f t="shared" si="10752"/>
        <v>0</v>
      </c>
      <c r="M5650" s="1" t="str">
        <f t="shared" si="10752"/>
        <v>0</v>
      </c>
      <c r="N5650" s="1" t="str">
        <f t="shared" si="10752"/>
        <v>0</v>
      </c>
      <c r="O5650" s="1" t="str">
        <f t="shared" si="10752"/>
        <v>0</v>
      </c>
      <c r="P5650" s="1" t="str">
        <f t="shared" si="10752"/>
        <v>0</v>
      </c>
      <c r="Q5650" s="1" t="str">
        <f t="shared" si="10729"/>
        <v>0.0070</v>
      </c>
      <c r="R5650" s="1" t="s">
        <v>25</v>
      </c>
      <c r="T5650" s="1" t="str">
        <f t="shared" si="10730"/>
        <v>0</v>
      </c>
      <c r="U5650" s="1" t="str">
        <f t="shared" si="10745"/>
        <v>0.0070</v>
      </c>
    </row>
    <row r="5651" s="1" customFormat="1" spans="1:21">
      <c r="A5651" s="1" t="str">
        <f>"4601992195118"</f>
        <v>4601992195118</v>
      </c>
      <c r="B5651" s="1" t="s">
        <v>5674</v>
      </c>
      <c r="C5651" s="1" t="s">
        <v>24</v>
      </c>
      <c r="D5651" s="1" t="str">
        <f t="shared" si="10727"/>
        <v>2021</v>
      </c>
      <c r="E5651" s="1" t="str">
        <f t="shared" ref="E5651:P5651" si="10753">"0"</f>
        <v>0</v>
      </c>
      <c r="F5651" s="1" t="str">
        <f t="shared" si="10753"/>
        <v>0</v>
      </c>
      <c r="G5651" s="1" t="str">
        <f t="shared" si="10753"/>
        <v>0</v>
      </c>
      <c r="H5651" s="1" t="str">
        <f t="shared" si="10753"/>
        <v>0</v>
      </c>
      <c r="I5651" s="1" t="str">
        <f t="shared" si="10753"/>
        <v>0</v>
      </c>
      <c r="J5651" s="1" t="str">
        <f t="shared" si="10753"/>
        <v>0</v>
      </c>
      <c r="K5651" s="1" t="str">
        <f t="shared" si="10753"/>
        <v>0</v>
      </c>
      <c r="L5651" s="1" t="str">
        <f t="shared" si="10753"/>
        <v>0</v>
      </c>
      <c r="M5651" s="1" t="str">
        <f t="shared" si="10753"/>
        <v>0</v>
      </c>
      <c r="N5651" s="1" t="str">
        <f t="shared" si="10753"/>
        <v>0</v>
      </c>
      <c r="O5651" s="1" t="str">
        <f t="shared" si="10753"/>
        <v>0</v>
      </c>
      <c r="P5651" s="1" t="str">
        <f t="shared" si="10753"/>
        <v>0</v>
      </c>
      <c r="Q5651" s="1" t="str">
        <f t="shared" si="10729"/>
        <v>0.0070</v>
      </c>
      <c r="R5651" s="1" t="s">
        <v>25</v>
      </c>
      <c r="T5651" s="1" t="str">
        <f t="shared" si="10730"/>
        <v>0</v>
      </c>
      <c r="U5651" s="1" t="str">
        <f t="shared" si="10745"/>
        <v>0.0070</v>
      </c>
    </row>
    <row r="5652" s="1" customFormat="1" spans="1:21">
      <c r="A5652" s="1" t="str">
        <f>"4601992195373"</f>
        <v>4601992195373</v>
      </c>
      <c r="B5652" s="1" t="s">
        <v>5675</v>
      </c>
      <c r="C5652" s="1" t="s">
        <v>24</v>
      </c>
      <c r="D5652" s="1" t="str">
        <f t="shared" si="10727"/>
        <v>2021</v>
      </c>
      <c r="E5652" s="1" t="str">
        <f t="shared" ref="E5652:P5652" si="10754">"0"</f>
        <v>0</v>
      </c>
      <c r="F5652" s="1" t="str">
        <f t="shared" si="10754"/>
        <v>0</v>
      </c>
      <c r="G5652" s="1" t="str">
        <f t="shared" si="10754"/>
        <v>0</v>
      </c>
      <c r="H5652" s="1" t="str">
        <f t="shared" si="10754"/>
        <v>0</v>
      </c>
      <c r="I5652" s="1" t="str">
        <f t="shared" si="10754"/>
        <v>0</v>
      </c>
      <c r="J5652" s="1" t="str">
        <f t="shared" si="10754"/>
        <v>0</v>
      </c>
      <c r="K5652" s="1" t="str">
        <f t="shared" si="10754"/>
        <v>0</v>
      </c>
      <c r="L5652" s="1" t="str">
        <f t="shared" si="10754"/>
        <v>0</v>
      </c>
      <c r="M5652" s="1" t="str">
        <f t="shared" si="10754"/>
        <v>0</v>
      </c>
      <c r="N5652" s="1" t="str">
        <f t="shared" si="10754"/>
        <v>0</v>
      </c>
      <c r="O5652" s="1" t="str">
        <f t="shared" si="10754"/>
        <v>0</v>
      </c>
      <c r="P5652" s="1" t="str">
        <f t="shared" si="10754"/>
        <v>0</v>
      </c>
      <c r="Q5652" s="1" t="str">
        <f t="shared" si="10729"/>
        <v>0.0070</v>
      </c>
      <c r="R5652" s="1" t="s">
        <v>25</v>
      </c>
      <c r="T5652" s="1" t="str">
        <f t="shared" si="10730"/>
        <v>0</v>
      </c>
      <c r="U5652" s="1" t="str">
        <f t="shared" si="10745"/>
        <v>0.0070</v>
      </c>
    </row>
    <row r="5653" s="1" customFormat="1" spans="1:21">
      <c r="A5653" s="1" t="str">
        <f>"4601992195761"</f>
        <v>4601992195761</v>
      </c>
      <c r="B5653" s="1" t="s">
        <v>5676</v>
      </c>
      <c r="C5653" s="1" t="s">
        <v>24</v>
      </c>
      <c r="D5653" s="1" t="str">
        <f t="shared" si="10727"/>
        <v>2021</v>
      </c>
      <c r="E5653" s="1" t="str">
        <f t="shared" ref="E5653:P5653" si="10755">"0"</f>
        <v>0</v>
      </c>
      <c r="F5653" s="1" t="str">
        <f t="shared" si="10755"/>
        <v>0</v>
      </c>
      <c r="G5653" s="1" t="str">
        <f t="shared" si="10755"/>
        <v>0</v>
      </c>
      <c r="H5653" s="1" t="str">
        <f t="shared" si="10755"/>
        <v>0</v>
      </c>
      <c r="I5653" s="1" t="str">
        <f t="shared" si="10755"/>
        <v>0</v>
      </c>
      <c r="J5653" s="1" t="str">
        <f t="shared" si="10755"/>
        <v>0</v>
      </c>
      <c r="K5653" s="1" t="str">
        <f t="shared" si="10755"/>
        <v>0</v>
      </c>
      <c r="L5653" s="1" t="str">
        <f t="shared" si="10755"/>
        <v>0</v>
      </c>
      <c r="M5653" s="1" t="str">
        <f t="shared" si="10755"/>
        <v>0</v>
      </c>
      <c r="N5653" s="1" t="str">
        <f t="shared" si="10755"/>
        <v>0</v>
      </c>
      <c r="O5653" s="1" t="str">
        <f t="shared" si="10755"/>
        <v>0</v>
      </c>
      <c r="P5653" s="1" t="str">
        <f t="shared" si="10755"/>
        <v>0</v>
      </c>
      <c r="Q5653" s="1" t="str">
        <f t="shared" si="10729"/>
        <v>0.0070</v>
      </c>
      <c r="R5653" s="1" t="s">
        <v>25</v>
      </c>
      <c r="T5653" s="1" t="str">
        <f t="shared" si="10730"/>
        <v>0</v>
      </c>
      <c r="U5653" s="1" t="str">
        <f t="shared" si="10745"/>
        <v>0.0070</v>
      </c>
    </row>
    <row r="5654" s="1" customFormat="1" spans="1:21">
      <c r="A5654" s="1" t="str">
        <f>"4601992195989"</f>
        <v>4601992195989</v>
      </c>
      <c r="B5654" s="1" t="s">
        <v>5677</v>
      </c>
      <c r="C5654" s="1" t="s">
        <v>24</v>
      </c>
      <c r="D5654" s="1" t="str">
        <f t="shared" si="10727"/>
        <v>2021</v>
      </c>
      <c r="E5654" s="1" t="str">
        <f t="shared" ref="E5654:P5654" si="10756">"0"</f>
        <v>0</v>
      </c>
      <c r="F5654" s="1" t="str">
        <f t="shared" si="10756"/>
        <v>0</v>
      </c>
      <c r="G5654" s="1" t="str">
        <f t="shared" si="10756"/>
        <v>0</v>
      </c>
      <c r="H5654" s="1" t="str">
        <f t="shared" si="10756"/>
        <v>0</v>
      </c>
      <c r="I5654" s="1" t="str">
        <f t="shared" si="10756"/>
        <v>0</v>
      </c>
      <c r="J5654" s="1" t="str">
        <f t="shared" si="10756"/>
        <v>0</v>
      </c>
      <c r="K5654" s="1" t="str">
        <f t="shared" si="10756"/>
        <v>0</v>
      </c>
      <c r="L5654" s="1" t="str">
        <f t="shared" si="10756"/>
        <v>0</v>
      </c>
      <c r="M5654" s="1" t="str">
        <f t="shared" si="10756"/>
        <v>0</v>
      </c>
      <c r="N5654" s="1" t="str">
        <f t="shared" si="10756"/>
        <v>0</v>
      </c>
      <c r="O5654" s="1" t="str">
        <f t="shared" si="10756"/>
        <v>0</v>
      </c>
      <c r="P5654" s="1" t="str">
        <f t="shared" si="10756"/>
        <v>0</v>
      </c>
      <c r="Q5654" s="1" t="str">
        <f t="shared" si="10729"/>
        <v>0.0070</v>
      </c>
      <c r="R5654" s="1" t="s">
        <v>25</v>
      </c>
      <c r="T5654" s="1" t="str">
        <f t="shared" si="10730"/>
        <v>0</v>
      </c>
      <c r="U5654" s="1" t="str">
        <f t="shared" si="10745"/>
        <v>0.0070</v>
      </c>
    </row>
    <row r="5655" s="1" customFormat="1" spans="1:21">
      <c r="A5655" s="1" t="str">
        <f>"4601992196007"</f>
        <v>4601992196007</v>
      </c>
      <c r="B5655" s="1" t="s">
        <v>5678</v>
      </c>
      <c r="C5655" s="1" t="s">
        <v>24</v>
      </c>
      <c r="D5655" s="1" t="str">
        <f t="shared" si="10727"/>
        <v>2021</v>
      </c>
      <c r="E5655" s="1" t="str">
        <f t="shared" ref="E5655:P5655" si="10757">"0"</f>
        <v>0</v>
      </c>
      <c r="F5655" s="1" t="str">
        <f t="shared" si="10757"/>
        <v>0</v>
      </c>
      <c r="G5655" s="1" t="str">
        <f t="shared" si="10757"/>
        <v>0</v>
      </c>
      <c r="H5655" s="1" t="str">
        <f t="shared" si="10757"/>
        <v>0</v>
      </c>
      <c r="I5655" s="1" t="str">
        <f t="shared" si="10757"/>
        <v>0</v>
      </c>
      <c r="J5655" s="1" t="str">
        <f t="shared" si="10757"/>
        <v>0</v>
      </c>
      <c r="K5655" s="1" t="str">
        <f t="shared" si="10757"/>
        <v>0</v>
      </c>
      <c r="L5655" s="1" t="str">
        <f t="shared" si="10757"/>
        <v>0</v>
      </c>
      <c r="M5655" s="1" t="str">
        <f t="shared" si="10757"/>
        <v>0</v>
      </c>
      <c r="N5655" s="1" t="str">
        <f t="shared" si="10757"/>
        <v>0</v>
      </c>
      <c r="O5655" s="1" t="str">
        <f t="shared" si="10757"/>
        <v>0</v>
      </c>
      <c r="P5655" s="1" t="str">
        <f t="shared" si="10757"/>
        <v>0</v>
      </c>
      <c r="Q5655" s="1" t="str">
        <f t="shared" si="10729"/>
        <v>0.0070</v>
      </c>
      <c r="R5655" s="1" t="s">
        <v>25</v>
      </c>
      <c r="T5655" s="1" t="str">
        <f t="shared" si="10730"/>
        <v>0</v>
      </c>
      <c r="U5655" s="1" t="str">
        <f t="shared" si="10745"/>
        <v>0.0070</v>
      </c>
    </row>
    <row r="5656" s="1" customFormat="1" spans="1:21">
      <c r="A5656" s="1" t="str">
        <f>"4601992196037"</f>
        <v>4601992196037</v>
      </c>
      <c r="B5656" s="1" t="s">
        <v>5679</v>
      </c>
      <c r="C5656" s="1" t="s">
        <v>24</v>
      </c>
      <c r="D5656" s="1" t="str">
        <f t="shared" si="10727"/>
        <v>2021</v>
      </c>
      <c r="E5656" s="1" t="str">
        <f t="shared" ref="E5656:P5656" si="10758">"0"</f>
        <v>0</v>
      </c>
      <c r="F5656" s="1" t="str">
        <f t="shared" si="10758"/>
        <v>0</v>
      </c>
      <c r="G5656" s="1" t="str">
        <f t="shared" si="10758"/>
        <v>0</v>
      </c>
      <c r="H5656" s="1" t="str">
        <f t="shared" si="10758"/>
        <v>0</v>
      </c>
      <c r="I5656" s="1" t="str">
        <f t="shared" si="10758"/>
        <v>0</v>
      </c>
      <c r="J5656" s="1" t="str">
        <f t="shared" si="10758"/>
        <v>0</v>
      </c>
      <c r="K5656" s="1" t="str">
        <f t="shared" si="10758"/>
        <v>0</v>
      </c>
      <c r="L5656" s="1" t="str">
        <f t="shared" si="10758"/>
        <v>0</v>
      </c>
      <c r="M5656" s="1" t="str">
        <f t="shared" si="10758"/>
        <v>0</v>
      </c>
      <c r="N5656" s="1" t="str">
        <f t="shared" si="10758"/>
        <v>0</v>
      </c>
      <c r="O5656" s="1" t="str">
        <f t="shared" si="10758"/>
        <v>0</v>
      </c>
      <c r="P5656" s="1" t="str">
        <f t="shared" si="10758"/>
        <v>0</v>
      </c>
      <c r="Q5656" s="1" t="str">
        <f t="shared" si="10729"/>
        <v>0.0070</v>
      </c>
      <c r="R5656" s="1" t="s">
        <v>25</v>
      </c>
      <c r="T5656" s="1" t="str">
        <f t="shared" si="10730"/>
        <v>0</v>
      </c>
      <c r="U5656" s="1" t="str">
        <f t="shared" si="10745"/>
        <v>0.0070</v>
      </c>
    </row>
    <row r="5657" s="1" customFormat="1" spans="1:21">
      <c r="A5657" s="1" t="str">
        <f>"4601992195622"</f>
        <v>4601992195622</v>
      </c>
      <c r="B5657" s="1" t="s">
        <v>5680</v>
      </c>
      <c r="C5657" s="1" t="s">
        <v>24</v>
      </c>
      <c r="D5657" s="1" t="str">
        <f t="shared" si="10727"/>
        <v>2021</v>
      </c>
      <c r="E5657" s="1" t="str">
        <f t="shared" ref="E5657:I5657" si="10759">"0"</f>
        <v>0</v>
      </c>
      <c r="F5657" s="1" t="str">
        <f t="shared" si="10759"/>
        <v>0</v>
      </c>
      <c r="G5657" s="1" t="str">
        <f t="shared" si="10759"/>
        <v>0</v>
      </c>
      <c r="H5657" s="1" t="str">
        <f t="shared" si="10759"/>
        <v>0</v>
      </c>
      <c r="I5657" s="1" t="str">
        <f t="shared" si="10759"/>
        <v>0</v>
      </c>
      <c r="J5657" s="1" t="str">
        <f>"5"</f>
        <v>5</v>
      </c>
      <c r="K5657" s="1" t="str">
        <f t="shared" ref="K5657:P5657" si="10760">"0"</f>
        <v>0</v>
      </c>
      <c r="L5657" s="1" t="str">
        <f t="shared" si="10760"/>
        <v>0</v>
      </c>
      <c r="M5657" s="1" t="str">
        <f t="shared" si="10760"/>
        <v>0</v>
      </c>
      <c r="N5657" s="1" t="str">
        <f t="shared" si="10760"/>
        <v>0</v>
      </c>
      <c r="O5657" s="1" t="str">
        <f t="shared" si="10760"/>
        <v>0</v>
      </c>
      <c r="P5657" s="1" t="str">
        <f t="shared" si="10760"/>
        <v>0</v>
      </c>
      <c r="Q5657" s="1" t="str">
        <f t="shared" si="10729"/>
        <v>0.0070</v>
      </c>
      <c r="R5657" s="1" t="s">
        <v>25</v>
      </c>
      <c r="T5657" s="1" t="str">
        <f t="shared" si="10730"/>
        <v>0</v>
      </c>
      <c r="U5657" s="1" t="str">
        <f t="shared" si="10745"/>
        <v>0.0070</v>
      </c>
    </row>
    <row r="5658" s="1" customFormat="1" spans="1:21">
      <c r="A5658" s="1" t="str">
        <f>"4601992196103"</f>
        <v>4601992196103</v>
      </c>
      <c r="B5658" s="1" t="s">
        <v>5681</v>
      </c>
      <c r="C5658" s="1" t="s">
        <v>24</v>
      </c>
      <c r="D5658" s="1" t="str">
        <f t="shared" si="10727"/>
        <v>2021</v>
      </c>
      <c r="E5658" s="1" t="str">
        <f t="shared" ref="E5658:P5658" si="10761">"0"</f>
        <v>0</v>
      </c>
      <c r="F5658" s="1" t="str">
        <f t="shared" si="10761"/>
        <v>0</v>
      </c>
      <c r="G5658" s="1" t="str">
        <f t="shared" si="10761"/>
        <v>0</v>
      </c>
      <c r="H5658" s="1" t="str">
        <f t="shared" si="10761"/>
        <v>0</v>
      </c>
      <c r="I5658" s="1" t="str">
        <f t="shared" si="10761"/>
        <v>0</v>
      </c>
      <c r="J5658" s="1" t="str">
        <f t="shared" si="10761"/>
        <v>0</v>
      </c>
      <c r="K5658" s="1" t="str">
        <f t="shared" si="10761"/>
        <v>0</v>
      </c>
      <c r="L5658" s="1" t="str">
        <f t="shared" si="10761"/>
        <v>0</v>
      </c>
      <c r="M5658" s="1" t="str">
        <f t="shared" si="10761"/>
        <v>0</v>
      </c>
      <c r="N5658" s="1" t="str">
        <f t="shared" si="10761"/>
        <v>0</v>
      </c>
      <c r="O5658" s="1" t="str">
        <f t="shared" si="10761"/>
        <v>0</v>
      </c>
      <c r="P5658" s="1" t="str">
        <f t="shared" si="10761"/>
        <v>0</v>
      </c>
      <c r="Q5658" s="1" t="str">
        <f t="shared" si="10729"/>
        <v>0.0070</v>
      </c>
      <c r="R5658" s="1" t="s">
        <v>25</v>
      </c>
      <c r="T5658" s="1" t="str">
        <f t="shared" si="10730"/>
        <v>0</v>
      </c>
      <c r="U5658" s="1" t="str">
        <f t="shared" si="10745"/>
        <v>0.0070</v>
      </c>
    </row>
    <row r="5659" s="1" customFormat="1" spans="1:21">
      <c r="A5659" s="1" t="str">
        <f>"4601992196125"</f>
        <v>4601992196125</v>
      </c>
      <c r="B5659" s="1" t="s">
        <v>5682</v>
      </c>
      <c r="C5659" s="1" t="s">
        <v>24</v>
      </c>
      <c r="D5659" s="1" t="str">
        <f t="shared" si="10727"/>
        <v>2021</v>
      </c>
      <c r="E5659" s="1" t="str">
        <f t="shared" ref="E5659:P5659" si="10762">"0"</f>
        <v>0</v>
      </c>
      <c r="F5659" s="1" t="str">
        <f t="shared" si="10762"/>
        <v>0</v>
      </c>
      <c r="G5659" s="1" t="str">
        <f t="shared" si="10762"/>
        <v>0</v>
      </c>
      <c r="H5659" s="1" t="str">
        <f t="shared" si="10762"/>
        <v>0</v>
      </c>
      <c r="I5659" s="1" t="str">
        <f t="shared" si="10762"/>
        <v>0</v>
      </c>
      <c r="J5659" s="1" t="str">
        <f t="shared" si="10762"/>
        <v>0</v>
      </c>
      <c r="K5659" s="1" t="str">
        <f t="shared" si="10762"/>
        <v>0</v>
      </c>
      <c r="L5659" s="1" t="str">
        <f t="shared" si="10762"/>
        <v>0</v>
      </c>
      <c r="M5659" s="1" t="str">
        <f t="shared" si="10762"/>
        <v>0</v>
      </c>
      <c r="N5659" s="1" t="str">
        <f t="shared" si="10762"/>
        <v>0</v>
      </c>
      <c r="O5659" s="1" t="str">
        <f t="shared" si="10762"/>
        <v>0</v>
      </c>
      <c r="P5659" s="1" t="str">
        <f t="shared" si="10762"/>
        <v>0</v>
      </c>
      <c r="Q5659" s="1" t="str">
        <f t="shared" si="10729"/>
        <v>0.0070</v>
      </c>
      <c r="R5659" s="1" t="s">
        <v>25</v>
      </c>
      <c r="T5659" s="1" t="str">
        <f t="shared" si="10730"/>
        <v>0</v>
      </c>
      <c r="U5659" s="1" t="str">
        <f t="shared" si="10745"/>
        <v>0.0070</v>
      </c>
    </row>
    <row r="5660" s="1" customFormat="1" spans="1:21">
      <c r="A5660" s="1" t="str">
        <f>"4601992196150"</f>
        <v>4601992196150</v>
      </c>
      <c r="B5660" s="1" t="s">
        <v>5683</v>
      </c>
      <c r="C5660" s="1" t="s">
        <v>24</v>
      </c>
      <c r="D5660" s="1" t="str">
        <f t="shared" si="10727"/>
        <v>2021</v>
      </c>
      <c r="E5660" s="1" t="str">
        <f t="shared" ref="E5660:P5660" si="10763">"0"</f>
        <v>0</v>
      </c>
      <c r="F5660" s="1" t="str">
        <f t="shared" si="10763"/>
        <v>0</v>
      </c>
      <c r="G5660" s="1" t="str">
        <f t="shared" si="10763"/>
        <v>0</v>
      </c>
      <c r="H5660" s="1" t="str">
        <f t="shared" si="10763"/>
        <v>0</v>
      </c>
      <c r="I5660" s="1" t="str">
        <f t="shared" si="10763"/>
        <v>0</v>
      </c>
      <c r="J5660" s="1" t="str">
        <f t="shared" si="10763"/>
        <v>0</v>
      </c>
      <c r="K5660" s="1" t="str">
        <f t="shared" si="10763"/>
        <v>0</v>
      </c>
      <c r="L5660" s="1" t="str">
        <f t="shared" si="10763"/>
        <v>0</v>
      </c>
      <c r="M5660" s="1" t="str">
        <f t="shared" si="10763"/>
        <v>0</v>
      </c>
      <c r="N5660" s="1" t="str">
        <f t="shared" si="10763"/>
        <v>0</v>
      </c>
      <c r="O5660" s="1" t="str">
        <f t="shared" si="10763"/>
        <v>0</v>
      </c>
      <c r="P5660" s="1" t="str">
        <f t="shared" si="10763"/>
        <v>0</v>
      </c>
      <c r="Q5660" s="1" t="str">
        <f t="shared" si="10729"/>
        <v>0.0070</v>
      </c>
      <c r="R5660" s="1" t="s">
        <v>25</v>
      </c>
      <c r="T5660" s="1" t="str">
        <f t="shared" si="10730"/>
        <v>0</v>
      </c>
      <c r="U5660" s="1" t="str">
        <f t="shared" si="10745"/>
        <v>0.0070</v>
      </c>
    </row>
    <row r="5661" s="1" customFormat="1" spans="1:21">
      <c r="A5661" s="1" t="str">
        <f>"4601992196173"</f>
        <v>4601992196173</v>
      </c>
      <c r="B5661" s="1" t="s">
        <v>5684</v>
      </c>
      <c r="C5661" s="1" t="s">
        <v>24</v>
      </c>
      <c r="D5661" s="1" t="str">
        <f t="shared" si="10727"/>
        <v>2021</v>
      </c>
      <c r="E5661" s="1" t="str">
        <f t="shared" ref="E5661:P5661" si="10764">"0"</f>
        <v>0</v>
      </c>
      <c r="F5661" s="1" t="str">
        <f t="shared" si="10764"/>
        <v>0</v>
      </c>
      <c r="G5661" s="1" t="str">
        <f t="shared" si="10764"/>
        <v>0</v>
      </c>
      <c r="H5661" s="1" t="str">
        <f t="shared" si="10764"/>
        <v>0</v>
      </c>
      <c r="I5661" s="1" t="str">
        <f t="shared" si="10764"/>
        <v>0</v>
      </c>
      <c r="J5661" s="1" t="str">
        <f t="shared" si="10764"/>
        <v>0</v>
      </c>
      <c r="K5661" s="1" t="str">
        <f t="shared" si="10764"/>
        <v>0</v>
      </c>
      <c r="L5661" s="1" t="str">
        <f t="shared" si="10764"/>
        <v>0</v>
      </c>
      <c r="M5661" s="1" t="str">
        <f t="shared" si="10764"/>
        <v>0</v>
      </c>
      <c r="N5661" s="1" t="str">
        <f t="shared" si="10764"/>
        <v>0</v>
      </c>
      <c r="O5661" s="1" t="str">
        <f t="shared" si="10764"/>
        <v>0</v>
      </c>
      <c r="P5661" s="1" t="str">
        <f t="shared" si="10764"/>
        <v>0</v>
      </c>
      <c r="Q5661" s="1" t="str">
        <f t="shared" si="10729"/>
        <v>0.0070</v>
      </c>
      <c r="R5661" s="1" t="s">
        <v>25</v>
      </c>
      <c r="T5661" s="1" t="str">
        <f t="shared" si="10730"/>
        <v>0</v>
      </c>
      <c r="U5661" s="1" t="str">
        <f t="shared" si="10745"/>
        <v>0.0070</v>
      </c>
    </row>
    <row r="5662" s="1" customFormat="1" spans="1:21">
      <c r="A5662" s="1" t="str">
        <f>"4601992196523"</f>
        <v>4601992196523</v>
      </c>
      <c r="B5662" s="1" t="s">
        <v>5685</v>
      </c>
      <c r="C5662" s="1" t="s">
        <v>24</v>
      </c>
      <c r="D5662" s="1" t="str">
        <f t="shared" si="10727"/>
        <v>2021</v>
      </c>
      <c r="E5662" s="1" t="str">
        <f t="shared" ref="E5662:P5662" si="10765">"0"</f>
        <v>0</v>
      </c>
      <c r="F5662" s="1" t="str">
        <f t="shared" si="10765"/>
        <v>0</v>
      </c>
      <c r="G5662" s="1" t="str">
        <f t="shared" si="10765"/>
        <v>0</v>
      </c>
      <c r="H5662" s="1" t="str">
        <f t="shared" si="10765"/>
        <v>0</v>
      </c>
      <c r="I5662" s="1" t="str">
        <f t="shared" si="10765"/>
        <v>0</v>
      </c>
      <c r="J5662" s="1" t="str">
        <f t="shared" si="10765"/>
        <v>0</v>
      </c>
      <c r="K5662" s="1" t="str">
        <f t="shared" si="10765"/>
        <v>0</v>
      </c>
      <c r="L5662" s="1" t="str">
        <f t="shared" si="10765"/>
        <v>0</v>
      </c>
      <c r="M5662" s="1" t="str">
        <f t="shared" si="10765"/>
        <v>0</v>
      </c>
      <c r="N5662" s="1" t="str">
        <f t="shared" si="10765"/>
        <v>0</v>
      </c>
      <c r="O5662" s="1" t="str">
        <f t="shared" si="10765"/>
        <v>0</v>
      </c>
      <c r="P5662" s="1" t="str">
        <f t="shared" si="10765"/>
        <v>0</v>
      </c>
      <c r="Q5662" s="1" t="str">
        <f t="shared" si="10729"/>
        <v>0.0070</v>
      </c>
      <c r="R5662" s="1" t="s">
        <v>25</v>
      </c>
      <c r="T5662" s="1" t="str">
        <f t="shared" si="10730"/>
        <v>0</v>
      </c>
      <c r="U5662" s="1" t="str">
        <f t="shared" si="10745"/>
        <v>0.0070</v>
      </c>
    </row>
    <row r="5663" s="1" customFormat="1" spans="1:21">
      <c r="A5663" s="1" t="str">
        <f>"4601992196545"</f>
        <v>4601992196545</v>
      </c>
      <c r="B5663" s="1" t="s">
        <v>5686</v>
      </c>
      <c r="C5663" s="1" t="s">
        <v>24</v>
      </c>
      <c r="D5663" s="1" t="str">
        <f t="shared" si="10727"/>
        <v>2021</v>
      </c>
      <c r="E5663" s="1" t="str">
        <f t="shared" ref="E5663:P5663" si="10766">"0"</f>
        <v>0</v>
      </c>
      <c r="F5663" s="1" t="str">
        <f t="shared" si="10766"/>
        <v>0</v>
      </c>
      <c r="G5663" s="1" t="str">
        <f t="shared" si="10766"/>
        <v>0</v>
      </c>
      <c r="H5663" s="1" t="str">
        <f t="shared" si="10766"/>
        <v>0</v>
      </c>
      <c r="I5663" s="1" t="str">
        <f t="shared" si="10766"/>
        <v>0</v>
      </c>
      <c r="J5663" s="1" t="str">
        <f t="shared" si="10766"/>
        <v>0</v>
      </c>
      <c r="K5663" s="1" t="str">
        <f t="shared" si="10766"/>
        <v>0</v>
      </c>
      <c r="L5663" s="1" t="str">
        <f t="shared" si="10766"/>
        <v>0</v>
      </c>
      <c r="M5663" s="1" t="str">
        <f t="shared" si="10766"/>
        <v>0</v>
      </c>
      <c r="N5663" s="1" t="str">
        <f t="shared" si="10766"/>
        <v>0</v>
      </c>
      <c r="O5663" s="1" t="str">
        <f t="shared" si="10766"/>
        <v>0</v>
      </c>
      <c r="P5663" s="1" t="str">
        <f t="shared" si="10766"/>
        <v>0</v>
      </c>
      <c r="Q5663" s="1" t="str">
        <f t="shared" si="10729"/>
        <v>0.0070</v>
      </c>
      <c r="R5663" s="1" t="s">
        <v>25</v>
      </c>
      <c r="T5663" s="1" t="str">
        <f t="shared" si="10730"/>
        <v>0</v>
      </c>
      <c r="U5663" s="1" t="str">
        <f t="shared" si="10745"/>
        <v>0.0070</v>
      </c>
    </row>
    <row r="5664" s="1" customFormat="1" spans="1:21">
      <c r="A5664" s="1" t="str">
        <f>"4601992196279"</f>
        <v>4601992196279</v>
      </c>
      <c r="B5664" s="1" t="s">
        <v>5687</v>
      </c>
      <c r="C5664" s="1" t="s">
        <v>24</v>
      </c>
      <c r="D5664" s="1" t="str">
        <f t="shared" si="10727"/>
        <v>2021</v>
      </c>
      <c r="E5664" s="1" t="str">
        <f t="shared" ref="E5664:I5664" si="10767">"0"</f>
        <v>0</v>
      </c>
      <c r="F5664" s="1" t="str">
        <f t="shared" si="10767"/>
        <v>0</v>
      </c>
      <c r="G5664" s="1" t="str">
        <f t="shared" si="10767"/>
        <v>0</v>
      </c>
      <c r="H5664" s="1" t="str">
        <f t="shared" si="10767"/>
        <v>0</v>
      </c>
      <c r="I5664" s="1" t="str">
        <f t="shared" si="10767"/>
        <v>0</v>
      </c>
      <c r="J5664" s="1" t="str">
        <f>"1"</f>
        <v>1</v>
      </c>
      <c r="K5664" s="1" t="str">
        <f t="shared" ref="K5664:P5664" si="10768">"0"</f>
        <v>0</v>
      </c>
      <c r="L5664" s="1" t="str">
        <f t="shared" si="10768"/>
        <v>0</v>
      </c>
      <c r="M5664" s="1" t="str">
        <f t="shared" si="10768"/>
        <v>0</v>
      </c>
      <c r="N5664" s="1" t="str">
        <f t="shared" si="10768"/>
        <v>0</v>
      </c>
      <c r="O5664" s="1" t="str">
        <f t="shared" si="10768"/>
        <v>0</v>
      </c>
      <c r="P5664" s="1" t="str">
        <f t="shared" si="10768"/>
        <v>0</v>
      </c>
      <c r="Q5664" s="1" t="str">
        <f t="shared" si="10729"/>
        <v>0.0070</v>
      </c>
      <c r="R5664" s="1" t="s">
        <v>25</v>
      </c>
      <c r="T5664" s="1" t="str">
        <f t="shared" si="10730"/>
        <v>0</v>
      </c>
      <c r="U5664" s="1" t="str">
        <f t="shared" si="10745"/>
        <v>0.0070</v>
      </c>
    </row>
    <row r="5665" s="1" customFormat="1" spans="1:21">
      <c r="A5665" s="1" t="str">
        <f>"4601992196266"</f>
        <v>4601992196266</v>
      </c>
      <c r="B5665" s="1" t="s">
        <v>5688</v>
      </c>
      <c r="C5665" s="1" t="s">
        <v>24</v>
      </c>
      <c r="D5665" s="1" t="str">
        <f t="shared" si="10727"/>
        <v>2021</v>
      </c>
      <c r="E5665" s="1" t="str">
        <f t="shared" ref="E5665:I5665" si="10769">"0"</f>
        <v>0</v>
      </c>
      <c r="F5665" s="1" t="str">
        <f t="shared" si="10769"/>
        <v>0</v>
      </c>
      <c r="G5665" s="1" t="str">
        <f t="shared" si="10769"/>
        <v>0</v>
      </c>
      <c r="H5665" s="1" t="str">
        <f t="shared" si="10769"/>
        <v>0</v>
      </c>
      <c r="I5665" s="1" t="str">
        <f t="shared" si="10769"/>
        <v>0</v>
      </c>
      <c r="J5665" s="1" t="str">
        <f>"2"</f>
        <v>2</v>
      </c>
      <c r="K5665" s="1" t="str">
        <f t="shared" ref="K5665:P5665" si="10770">"0"</f>
        <v>0</v>
      </c>
      <c r="L5665" s="1" t="str">
        <f t="shared" si="10770"/>
        <v>0</v>
      </c>
      <c r="M5665" s="1" t="str">
        <f t="shared" si="10770"/>
        <v>0</v>
      </c>
      <c r="N5665" s="1" t="str">
        <f t="shared" si="10770"/>
        <v>0</v>
      </c>
      <c r="O5665" s="1" t="str">
        <f t="shared" si="10770"/>
        <v>0</v>
      </c>
      <c r="P5665" s="1" t="str">
        <f t="shared" si="10770"/>
        <v>0</v>
      </c>
      <c r="Q5665" s="1" t="str">
        <f t="shared" si="10729"/>
        <v>0.0070</v>
      </c>
      <c r="R5665" s="1" t="s">
        <v>25</v>
      </c>
      <c r="T5665" s="1" t="str">
        <f t="shared" si="10730"/>
        <v>0</v>
      </c>
      <c r="U5665" s="1" t="str">
        <f t="shared" si="10745"/>
        <v>0.0070</v>
      </c>
    </row>
    <row r="5666" s="1" customFormat="1" spans="1:21">
      <c r="A5666" s="1" t="str">
        <f>"4601992196592"</f>
        <v>4601992196592</v>
      </c>
      <c r="B5666" s="1" t="s">
        <v>5689</v>
      </c>
      <c r="C5666" s="1" t="s">
        <v>24</v>
      </c>
      <c r="D5666" s="1" t="str">
        <f t="shared" si="10727"/>
        <v>2021</v>
      </c>
      <c r="E5666" s="1" t="str">
        <f t="shared" ref="E5666:P5666" si="10771">"0"</f>
        <v>0</v>
      </c>
      <c r="F5666" s="1" t="str">
        <f t="shared" si="10771"/>
        <v>0</v>
      </c>
      <c r="G5666" s="1" t="str">
        <f t="shared" si="10771"/>
        <v>0</v>
      </c>
      <c r="H5666" s="1" t="str">
        <f t="shared" si="10771"/>
        <v>0</v>
      </c>
      <c r="I5666" s="1" t="str">
        <f t="shared" si="10771"/>
        <v>0</v>
      </c>
      <c r="J5666" s="1" t="str">
        <f t="shared" si="10771"/>
        <v>0</v>
      </c>
      <c r="K5666" s="1" t="str">
        <f t="shared" si="10771"/>
        <v>0</v>
      </c>
      <c r="L5666" s="1" t="str">
        <f t="shared" si="10771"/>
        <v>0</v>
      </c>
      <c r="M5666" s="1" t="str">
        <f t="shared" si="10771"/>
        <v>0</v>
      </c>
      <c r="N5666" s="1" t="str">
        <f t="shared" si="10771"/>
        <v>0</v>
      </c>
      <c r="O5666" s="1" t="str">
        <f t="shared" si="10771"/>
        <v>0</v>
      </c>
      <c r="P5666" s="1" t="str">
        <f t="shared" si="10771"/>
        <v>0</v>
      </c>
      <c r="Q5666" s="1" t="str">
        <f t="shared" si="10729"/>
        <v>0.0070</v>
      </c>
      <c r="R5666" s="1" t="s">
        <v>25</v>
      </c>
      <c r="T5666" s="1" t="str">
        <f t="shared" si="10730"/>
        <v>0</v>
      </c>
      <c r="U5666" s="1" t="str">
        <f t="shared" si="10745"/>
        <v>0.0070</v>
      </c>
    </row>
    <row r="5667" s="1" customFormat="1" spans="1:21">
      <c r="A5667" s="1" t="str">
        <f>"4601992196753"</f>
        <v>4601992196753</v>
      </c>
      <c r="B5667" s="1" t="s">
        <v>5690</v>
      </c>
      <c r="C5667" s="1" t="s">
        <v>24</v>
      </c>
      <c r="D5667" s="1" t="str">
        <f t="shared" si="10727"/>
        <v>2021</v>
      </c>
      <c r="E5667" s="1" t="str">
        <f t="shared" ref="E5667:P5667" si="10772">"0"</f>
        <v>0</v>
      </c>
      <c r="F5667" s="1" t="str">
        <f t="shared" si="10772"/>
        <v>0</v>
      </c>
      <c r="G5667" s="1" t="str">
        <f t="shared" si="10772"/>
        <v>0</v>
      </c>
      <c r="H5667" s="1" t="str">
        <f t="shared" si="10772"/>
        <v>0</v>
      </c>
      <c r="I5667" s="1" t="str">
        <f t="shared" si="10772"/>
        <v>0</v>
      </c>
      <c r="J5667" s="1" t="str">
        <f t="shared" si="10772"/>
        <v>0</v>
      </c>
      <c r="K5667" s="1" t="str">
        <f t="shared" si="10772"/>
        <v>0</v>
      </c>
      <c r="L5667" s="1" t="str">
        <f t="shared" si="10772"/>
        <v>0</v>
      </c>
      <c r="M5667" s="1" t="str">
        <f t="shared" si="10772"/>
        <v>0</v>
      </c>
      <c r="N5667" s="1" t="str">
        <f t="shared" si="10772"/>
        <v>0</v>
      </c>
      <c r="O5667" s="1" t="str">
        <f t="shared" si="10772"/>
        <v>0</v>
      </c>
      <c r="P5667" s="1" t="str">
        <f t="shared" si="10772"/>
        <v>0</v>
      </c>
      <c r="Q5667" s="1" t="str">
        <f t="shared" si="10729"/>
        <v>0.0070</v>
      </c>
      <c r="R5667" s="1" t="s">
        <v>25</v>
      </c>
      <c r="T5667" s="1" t="str">
        <f t="shared" si="10730"/>
        <v>0</v>
      </c>
      <c r="U5667" s="1" t="str">
        <f t="shared" si="10745"/>
        <v>0.0070</v>
      </c>
    </row>
    <row r="5668" s="1" customFormat="1" spans="1:21">
      <c r="A5668" s="1" t="str">
        <f>"4601992196900"</f>
        <v>4601992196900</v>
      </c>
      <c r="B5668" s="1" t="s">
        <v>5691</v>
      </c>
      <c r="C5668" s="1" t="s">
        <v>24</v>
      </c>
      <c r="D5668" s="1" t="str">
        <f t="shared" si="10727"/>
        <v>2021</v>
      </c>
      <c r="E5668" s="1" t="str">
        <f t="shared" ref="E5668:P5668" si="10773">"0"</f>
        <v>0</v>
      </c>
      <c r="F5668" s="1" t="str">
        <f t="shared" si="10773"/>
        <v>0</v>
      </c>
      <c r="G5668" s="1" t="str">
        <f t="shared" si="10773"/>
        <v>0</v>
      </c>
      <c r="H5668" s="1" t="str">
        <f t="shared" si="10773"/>
        <v>0</v>
      </c>
      <c r="I5668" s="1" t="str">
        <f t="shared" si="10773"/>
        <v>0</v>
      </c>
      <c r="J5668" s="1" t="str">
        <f t="shared" si="10773"/>
        <v>0</v>
      </c>
      <c r="K5668" s="1" t="str">
        <f t="shared" si="10773"/>
        <v>0</v>
      </c>
      <c r="L5668" s="1" t="str">
        <f t="shared" si="10773"/>
        <v>0</v>
      </c>
      <c r="M5668" s="1" t="str">
        <f t="shared" si="10773"/>
        <v>0</v>
      </c>
      <c r="N5668" s="1" t="str">
        <f t="shared" si="10773"/>
        <v>0</v>
      </c>
      <c r="O5668" s="1" t="str">
        <f t="shared" si="10773"/>
        <v>0</v>
      </c>
      <c r="P5668" s="1" t="str">
        <f t="shared" si="10773"/>
        <v>0</v>
      </c>
      <c r="Q5668" s="1" t="str">
        <f t="shared" si="10729"/>
        <v>0.0070</v>
      </c>
      <c r="R5668" s="1" t="s">
        <v>25</v>
      </c>
      <c r="T5668" s="1" t="str">
        <f t="shared" si="10730"/>
        <v>0</v>
      </c>
      <c r="U5668" s="1" t="str">
        <f t="shared" si="10745"/>
        <v>0.0070</v>
      </c>
    </row>
    <row r="5669" s="1" customFormat="1" spans="1:21">
      <c r="A5669" s="1" t="str">
        <f>"4601992196812"</f>
        <v>4601992196812</v>
      </c>
      <c r="B5669" s="1" t="s">
        <v>5692</v>
      </c>
      <c r="C5669" s="1" t="s">
        <v>24</v>
      </c>
      <c r="D5669" s="1" t="str">
        <f t="shared" si="10727"/>
        <v>2021</v>
      </c>
      <c r="E5669" s="1" t="str">
        <f t="shared" ref="E5669:P5669" si="10774">"0"</f>
        <v>0</v>
      </c>
      <c r="F5669" s="1" t="str">
        <f t="shared" si="10774"/>
        <v>0</v>
      </c>
      <c r="G5669" s="1" t="str">
        <f t="shared" si="10774"/>
        <v>0</v>
      </c>
      <c r="H5669" s="1" t="str">
        <f t="shared" si="10774"/>
        <v>0</v>
      </c>
      <c r="I5669" s="1" t="str">
        <f t="shared" si="10774"/>
        <v>0</v>
      </c>
      <c r="J5669" s="1" t="str">
        <f t="shared" si="10774"/>
        <v>0</v>
      </c>
      <c r="K5669" s="1" t="str">
        <f t="shared" si="10774"/>
        <v>0</v>
      </c>
      <c r="L5669" s="1" t="str">
        <f t="shared" si="10774"/>
        <v>0</v>
      </c>
      <c r="M5669" s="1" t="str">
        <f t="shared" si="10774"/>
        <v>0</v>
      </c>
      <c r="N5669" s="1" t="str">
        <f t="shared" si="10774"/>
        <v>0</v>
      </c>
      <c r="O5669" s="1" t="str">
        <f t="shared" si="10774"/>
        <v>0</v>
      </c>
      <c r="P5669" s="1" t="str">
        <f t="shared" si="10774"/>
        <v>0</v>
      </c>
      <c r="Q5669" s="1" t="str">
        <f t="shared" si="10729"/>
        <v>0.0070</v>
      </c>
      <c r="R5669" s="1" t="s">
        <v>25</v>
      </c>
      <c r="T5669" s="1" t="str">
        <f t="shared" si="10730"/>
        <v>0</v>
      </c>
      <c r="U5669" s="1" t="str">
        <f t="shared" si="10745"/>
        <v>0.0070</v>
      </c>
    </row>
    <row r="5670" s="1" customFormat="1" spans="1:21">
      <c r="A5670" s="1" t="str">
        <f>"4601992197068"</f>
        <v>4601992197068</v>
      </c>
      <c r="B5670" s="1" t="s">
        <v>5693</v>
      </c>
      <c r="C5670" s="1" t="s">
        <v>24</v>
      </c>
      <c r="D5670" s="1" t="str">
        <f t="shared" si="10727"/>
        <v>2021</v>
      </c>
      <c r="E5670" s="1" t="str">
        <f t="shared" ref="E5670:P5670" si="10775">"0"</f>
        <v>0</v>
      </c>
      <c r="F5670" s="1" t="str">
        <f t="shared" si="10775"/>
        <v>0</v>
      </c>
      <c r="G5670" s="1" t="str">
        <f t="shared" si="10775"/>
        <v>0</v>
      </c>
      <c r="H5670" s="1" t="str">
        <f t="shared" si="10775"/>
        <v>0</v>
      </c>
      <c r="I5670" s="1" t="str">
        <f t="shared" si="10775"/>
        <v>0</v>
      </c>
      <c r="J5670" s="1" t="str">
        <f t="shared" si="10775"/>
        <v>0</v>
      </c>
      <c r="K5670" s="1" t="str">
        <f t="shared" si="10775"/>
        <v>0</v>
      </c>
      <c r="L5670" s="1" t="str">
        <f t="shared" si="10775"/>
        <v>0</v>
      </c>
      <c r="M5670" s="1" t="str">
        <f t="shared" si="10775"/>
        <v>0</v>
      </c>
      <c r="N5670" s="1" t="str">
        <f t="shared" si="10775"/>
        <v>0</v>
      </c>
      <c r="O5670" s="1" t="str">
        <f t="shared" si="10775"/>
        <v>0</v>
      </c>
      <c r="P5670" s="1" t="str">
        <f t="shared" si="10775"/>
        <v>0</v>
      </c>
      <c r="Q5670" s="1" t="str">
        <f t="shared" si="10729"/>
        <v>0.0070</v>
      </c>
      <c r="R5670" s="1" t="s">
        <v>25</v>
      </c>
      <c r="T5670" s="1" t="str">
        <f t="shared" si="10730"/>
        <v>0</v>
      </c>
      <c r="U5670" s="1" t="str">
        <f t="shared" si="10745"/>
        <v>0.0070</v>
      </c>
    </row>
    <row r="5671" s="1" customFormat="1" spans="1:21">
      <c r="A5671" s="1" t="str">
        <f>"4601992197070"</f>
        <v>4601992197070</v>
      </c>
      <c r="B5671" s="1" t="s">
        <v>5694</v>
      </c>
      <c r="C5671" s="1" t="s">
        <v>24</v>
      </c>
      <c r="D5671" s="1" t="str">
        <f t="shared" si="10727"/>
        <v>2021</v>
      </c>
      <c r="E5671" s="1" t="str">
        <f t="shared" ref="E5671:P5671" si="10776">"0"</f>
        <v>0</v>
      </c>
      <c r="F5671" s="1" t="str">
        <f t="shared" si="10776"/>
        <v>0</v>
      </c>
      <c r="G5671" s="1" t="str">
        <f t="shared" si="10776"/>
        <v>0</v>
      </c>
      <c r="H5671" s="1" t="str">
        <f t="shared" si="10776"/>
        <v>0</v>
      </c>
      <c r="I5671" s="1" t="str">
        <f t="shared" si="10776"/>
        <v>0</v>
      </c>
      <c r="J5671" s="1" t="str">
        <f t="shared" si="10776"/>
        <v>0</v>
      </c>
      <c r="K5671" s="1" t="str">
        <f t="shared" si="10776"/>
        <v>0</v>
      </c>
      <c r="L5671" s="1" t="str">
        <f t="shared" si="10776"/>
        <v>0</v>
      </c>
      <c r="M5671" s="1" t="str">
        <f t="shared" si="10776"/>
        <v>0</v>
      </c>
      <c r="N5671" s="1" t="str">
        <f t="shared" si="10776"/>
        <v>0</v>
      </c>
      <c r="O5671" s="1" t="str">
        <f t="shared" si="10776"/>
        <v>0</v>
      </c>
      <c r="P5671" s="1" t="str">
        <f t="shared" si="10776"/>
        <v>0</v>
      </c>
      <c r="Q5671" s="1" t="str">
        <f t="shared" si="10729"/>
        <v>0.0070</v>
      </c>
      <c r="R5671" s="1" t="s">
        <v>25</v>
      </c>
      <c r="T5671" s="1" t="str">
        <f t="shared" si="10730"/>
        <v>0</v>
      </c>
      <c r="U5671" s="1" t="str">
        <f t="shared" si="10745"/>
        <v>0.0070</v>
      </c>
    </row>
    <row r="5672" s="1" customFormat="1" spans="1:21">
      <c r="A5672" s="1" t="str">
        <f>"4601992197348"</f>
        <v>4601992197348</v>
      </c>
      <c r="B5672" s="1" t="s">
        <v>5695</v>
      </c>
      <c r="C5672" s="1" t="s">
        <v>24</v>
      </c>
      <c r="D5672" s="1" t="str">
        <f t="shared" si="10727"/>
        <v>2021</v>
      </c>
      <c r="E5672" s="1" t="str">
        <f t="shared" ref="E5672:P5672" si="10777">"0"</f>
        <v>0</v>
      </c>
      <c r="F5672" s="1" t="str">
        <f t="shared" si="10777"/>
        <v>0</v>
      </c>
      <c r="G5672" s="1" t="str">
        <f t="shared" si="10777"/>
        <v>0</v>
      </c>
      <c r="H5672" s="1" t="str">
        <f t="shared" si="10777"/>
        <v>0</v>
      </c>
      <c r="I5672" s="1" t="str">
        <f t="shared" si="10777"/>
        <v>0</v>
      </c>
      <c r="J5672" s="1" t="str">
        <f t="shared" si="10777"/>
        <v>0</v>
      </c>
      <c r="K5672" s="1" t="str">
        <f t="shared" si="10777"/>
        <v>0</v>
      </c>
      <c r="L5672" s="1" t="str">
        <f t="shared" si="10777"/>
        <v>0</v>
      </c>
      <c r="M5672" s="1" t="str">
        <f t="shared" si="10777"/>
        <v>0</v>
      </c>
      <c r="N5672" s="1" t="str">
        <f t="shared" si="10777"/>
        <v>0</v>
      </c>
      <c r="O5672" s="1" t="str">
        <f t="shared" si="10777"/>
        <v>0</v>
      </c>
      <c r="P5672" s="1" t="str">
        <f t="shared" si="10777"/>
        <v>0</v>
      </c>
      <c r="Q5672" s="1" t="str">
        <f t="shared" si="10729"/>
        <v>0.0070</v>
      </c>
      <c r="R5672" s="1" t="s">
        <v>25</v>
      </c>
      <c r="T5672" s="1" t="str">
        <f t="shared" si="10730"/>
        <v>0</v>
      </c>
      <c r="U5672" s="1" t="str">
        <f t="shared" si="10745"/>
        <v>0.0070</v>
      </c>
    </row>
    <row r="5673" s="1" customFormat="1" spans="1:21">
      <c r="A5673" s="1" t="str">
        <f>"4601992197488"</f>
        <v>4601992197488</v>
      </c>
      <c r="B5673" s="1" t="s">
        <v>5696</v>
      </c>
      <c r="C5673" s="1" t="s">
        <v>24</v>
      </c>
      <c r="D5673" s="1" t="str">
        <f t="shared" si="10727"/>
        <v>2021</v>
      </c>
      <c r="E5673" s="1" t="str">
        <f t="shared" ref="E5673:P5673" si="10778">"0"</f>
        <v>0</v>
      </c>
      <c r="F5673" s="1" t="str">
        <f t="shared" si="10778"/>
        <v>0</v>
      </c>
      <c r="G5673" s="1" t="str">
        <f t="shared" si="10778"/>
        <v>0</v>
      </c>
      <c r="H5673" s="1" t="str">
        <f t="shared" si="10778"/>
        <v>0</v>
      </c>
      <c r="I5673" s="1" t="str">
        <f t="shared" si="10778"/>
        <v>0</v>
      </c>
      <c r="J5673" s="1" t="str">
        <f t="shared" si="10778"/>
        <v>0</v>
      </c>
      <c r="K5673" s="1" t="str">
        <f t="shared" si="10778"/>
        <v>0</v>
      </c>
      <c r="L5673" s="1" t="str">
        <f t="shared" si="10778"/>
        <v>0</v>
      </c>
      <c r="M5673" s="1" t="str">
        <f t="shared" si="10778"/>
        <v>0</v>
      </c>
      <c r="N5673" s="1" t="str">
        <f t="shared" si="10778"/>
        <v>0</v>
      </c>
      <c r="O5673" s="1" t="str">
        <f t="shared" si="10778"/>
        <v>0</v>
      </c>
      <c r="P5673" s="1" t="str">
        <f t="shared" si="10778"/>
        <v>0</v>
      </c>
      <c r="Q5673" s="1" t="str">
        <f t="shared" si="10729"/>
        <v>0.0070</v>
      </c>
      <c r="R5673" s="1" t="s">
        <v>25</v>
      </c>
      <c r="T5673" s="1" t="str">
        <f t="shared" si="10730"/>
        <v>0</v>
      </c>
      <c r="U5673" s="1" t="str">
        <f t="shared" si="10745"/>
        <v>0.0070</v>
      </c>
    </row>
    <row r="5674" s="1" customFormat="1" spans="1:21">
      <c r="A5674" s="1" t="str">
        <f>"4601992197496"</f>
        <v>4601992197496</v>
      </c>
      <c r="B5674" s="1" t="s">
        <v>5697</v>
      </c>
      <c r="C5674" s="1" t="s">
        <v>24</v>
      </c>
      <c r="D5674" s="1" t="str">
        <f t="shared" si="10727"/>
        <v>2021</v>
      </c>
      <c r="E5674" s="1" t="str">
        <f t="shared" ref="E5674:P5674" si="10779">"0"</f>
        <v>0</v>
      </c>
      <c r="F5674" s="1" t="str">
        <f t="shared" si="10779"/>
        <v>0</v>
      </c>
      <c r="G5674" s="1" t="str">
        <f t="shared" si="10779"/>
        <v>0</v>
      </c>
      <c r="H5674" s="1" t="str">
        <f t="shared" si="10779"/>
        <v>0</v>
      </c>
      <c r="I5674" s="1" t="str">
        <f t="shared" si="10779"/>
        <v>0</v>
      </c>
      <c r="J5674" s="1" t="str">
        <f t="shared" si="10779"/>
        <v>0</v>
      </c>
      <c r="K5674" s="1" t="str">
        <f t="shared" si="10779"/>
        <v>0</v>
      </c>
      <c r="L5674" s="1" t="str">
        <f t="shared" si="10779"/>
        <v>0</v>
      </c>
      <c r="M5674" s="1" t="str">
        <f t="shared" si="10779"/>
        <v>0</v>
      </c>
      <c r="N5674" s="1" t="str">
        <f t="shared" si="10779"/>
        <v>0</v>
      </c>
      <c r="O5674" s="1" t="str">
        <f t="shared" si="10779"/>
        <v>0</v>
      </c>
      <c r="P5674" s="1" t="str">
        <f t="shared" si="10779"/>
        <v>0</v>
      </c>
      <c r="Q5674" s="1" t="str">
        <f t="shared" si="10729"/>
        <v>0.0070</v>
      </c>
      <c r="R5674" s="1" t="s">
        <v>25</v>
      </c>
      <c r="T5674" s="1" t="str">
        <f t="shared" si="10730"/>
        <v>0</v>
      </c>
      <c r="U5674" s="1" t="str">
        <f t="shared" si="10745"/>
        <v>0.0070</v>
      </c>
    </row>
    <row r="5675" s="1" customFormat="1" spans="1:21">
      <c r="A5675" s="1" t="str">
        <f>"4601992197642"</f>
        <v>4601992197642</v>
      </c>
      <c r="B5675" s="1" t="s">
        <v>5698</v>
      </c>
      <c r="C5675" s="1" t="s">
        <v>24</v>
      </c>
      <c r="D5675" s="1" t="str">
        <f t="shared" si="10727"/>
        <v>2021</v>
      </c>
      <c r="E5675" s="1" t="str">
        <f t="shared" ref="E5675:P5675" si="10780">"0"</f>
        <v>0</v>
      </c>
      <c r="F5675" s="1" t="str">
        <f t="shared" si="10780"/>
        <v>0</v>
      </c>
      <c r="G5675" s="1" t="str">
        <f t="shared" si="10780"/>
        <v>0</v>
      </c>
      <c r="H5675" s="1" t="str">
        <f t="shared" si="10780"/>
        <v>0</v>
      </c>
      <c r="I5675" s="1" t="str">
        <f t="shared" si="10780"/>
        <v>0</v>
      </c>
      <c r="J5675" s="1" t="str">
        <f t="shared" si="10780"/>
        <v>0</v>
      </c>
      <c r="K5675" s="1" t="str">
        <f t="shared" si="10780"/>
        <v>0</v>
      </c>
      <c r="L5675" s="1" t="str">
        <f t="shared" si="10780"/>
        <v>0</v>
      </c>
      <c r="M5675" s="1" t="str">
        <f t="shared" si="10780"/>
        <v>0</v>
      </c>
      <c r="N5675" s="1" t="str">
        <f t="shared" si="10780"/>
        <v>0</v>
      </c>
      <c r="O5675" s="1" t="str">
        <f t="shared" si="10780"/>
        <v>0</v>
      </c>
      <c r="P5675" s="1" t="str">
        <f t="shared" si="10780"/>
        <v>0</v>
      </c>
      <c r="Q5675" s="1" t="str">
        <f t="shared" si="10729"/>
        <v>0.0070</v>
      </c>
      <c r="R5675" s="1" t="s">
        <v>25</v>
      </c>
      <c r="T5675" s="1" t="str">
        <f t="shared" si="10730"/>
        <v>0</v>
      </c>
      <c r="U5675" s="1" t="str">
        <f t="shared" si="10745"/>
        <v>0.0070</v>
      </c>
    </row>
    <row r="5676" s="1" customFormat="1" spans="1:21">
      <c r="A5676" s="1" t="str">
        <f>"4601992198739"</f>
        <v>4601992198739</v>
      </c>
      <c r="B5676" s="1" t="s">
        <v>5699</v>
      </c>
      <c r="C5676" s="1" t="s">
        <v>24</v>
      </c>
      <c r="D5676" s="1" t="str">
        <f t="shared" si="10727"/>
        <v>2021</v>
      </c>
      <c r="E5676" s="1" t="str">
        <f t="shared" ref="E5676:P5676" si="10781">"0"</f>
        <v>0</v>
      </c>
      <c r="F5676" s="1" t="str">
        <f t="shared" si="10781"/>
        <v>0</v>
      </c>
      <c r="G5676" s="1" t="str">
        <f t="shared" si="10781"/>
        <v>0</v>
      </c>
      <c r="H5676" s="1" t="str">
        <f t="shared" si="10781"/>
        <v>0</v>
      </c>
      <c r="I5676" s="1" t="str">
        <f t="shared" si="10781"/>
        <v>0</v>
      </c>
      <c r="J5676" s="1" t="str">
        <f t="shared" si="10781"/>
        <v>0</v>
      </c>
      <c r="K5676" s="1" t="str">
        <f t="shared" si="10781"/>
        <v>0</v>
      </c>
      <c r="L5676" s="1" t="str">
        <f t="shared" si="10781"/>
        <v>0</v>
      </c>
      <c r="M5676" s="1" t="str">
        <f t="shared" si="10781"/>
        <v>0</v>
      </c>
      <c r="N5676" s="1" t="str">
        <f t="shared" si="10781"/>
        <v>0</v>
      </c>
      <c r="O5676" s="1" t="str">
        <f t="shared" si="10781"/>
        <v>0</v>
      </c>
      <c r="P5676" s="1" t="str">
        <f t="shared" si="10781"/>
        <v>0</v>
      </c>
      <c r="Q5676" s="1" t="str">
        <f t="shared" si="10729"/>
        <v>0.0070</v>
      </c>
      <c r="R5676" s="1" t="s">
        <v>25</v>
      </c>
      <c r="T5676" s="1" t="str">
        <f t="shared" si="10730"/>
        <v>0</v>
      </c>
      <c r="U5676" s="1" t="str">
        <f t="shared" si="10745"/>
        <v>0.0070</v>
      </c>
    </row>
    <row r="5677" s="1" customFormat="1" spans="1:21">
      <c r="A5677" s="1" t="str">
        <f>"4601992197893"</f>
        <v>4601992197893</v>
      </c>
      <c r="B5677" s="1" t="s">
        <v>5700</v>
      </c>
      <c r="C5677" s="1" t="s">
        <v>24</v>
      </c>
      <c r="D5677" s="1" t="str">
        <f t="shared" si="10727"/>
        <v>2021</v>
      </c>
      <c r="E5677" s="1" t="str">
        <f t="shared" ref="E5677:P5677" si="10782">"0"</f>
        <v>0</v>
      </c>
      <c r="F5677" s="1" t="str">
        <f t="shared" si="10782"/>
        <v>0</v>
      </c>
      <c r="G5677" s="1" t="str">
        <f t="shared" si="10782"/>
        <v>0</v>
      </c>
      <c r="H5677" s="1" t="str">
        <f t="shared" si="10782"/>
        <v>0</v>
      </c>
      <c r="I5677" s="1" t="str">
        <f t="shared" si="10782"/>
        <v>0</v>
      </c>
      <c r="J5677" s="1" t="str">
        <f t="shared" si="10782"/>
        <v>0</v>
      </c>
      <c r="K5677" s="1" t="str">
        <f t="shared" si="10782"/>
        <v>0</v>
      </c>
      <c r="L5677" s="1" t="str">
        <f t="shared" si="10782"/>
        <v>0</v>
      </c>
      <c r="M5677" s="1" t="str">
        <f t="shared" si="10782"/>
        <v>0</v>
      </c>
      <c r="N5677" s="1" t="str">
        <f t="shared" si="10782"/>
        <v>0</v>
      </c>
      <c r="O5677" s="1" t="str">
        <f t="shared" si="10782"/>
        <v>0</v>
      </c>
      <c r="P5677" s="1" t="str">
        <f t="shared" si="10782"/>
        <v>0</v>
      </c>
      <c r="Q5677" s="1" t="str">
        <f t="shared" si="10729"/>
        <v>0.0070</v>
      </c>
      <c r="R5677" s="1" t="s">
        <v>25</v>
      </c>
      <c r="T5677" s="1" t="str">
        <f t="shared" si="10730"/>
        <v>0</v>
      </c>
      <c r="U5677" s="1" t="str">
        <f t="shared" si="10745"/>
        <v>0.0070</v>
      </c>
    </row>
    <row r="5678" s="1" customFormat="1" spans="1:21">
      <c r="A5678" s="1" t="str">
        <f>"4601992198889"</f>
        <v>4601992198889</v>
      </c>
      <c r="B5678" s="1" t="s">
        <v>5701</v>
      </c>
      <c r="C5678" s="1" t="s">
        <v>24</v>
      </c>
      <c r="D5678" s="1" t="str">
        <f t="shared" si="10727"/>
        <v>2021</v>
      </c>
      <c r="E5678" s="1" t="str">
        <f t="shared" ref="E5678:P5678" si="10783">"0"</f>
        <v>0</v>
      </c>
      <c r="F5678" s="1" t="str">
        <f t="shared" si="10783"/>
        <v>0</v>
      </c>
      <c r="G5678" s="1" t="str">
        <f t="shared" si="10783"/>
        <v>0</v>
      </c>
      <c r="H5678" s="1" t="str">
        <f t="shared" si="10783"/>
        <v>0</v>
      </c>
      <c r="I5678" s="1" t="str">
        <f t="shared" si="10783"/>
        <v>0</v>
      </c>
      <c r="J5678" s="1" t="str">
        <f t="shared" si="10783"/>
        <v>0</v>
      </c>
      <c r="K5678" s="1" t="str">
        <f t="shared" si="10783"/>
        <v>0</v>
      </c>
      <c r="L5678" s="1" t="str">
        <f t="shared" si="10783"/>
        <v>0</v>
      </c>
      <c r="M5678" s="1" t="str">
        <f t="shared" si="10783"/>
        <v>0</v>
      </c>
      <c r="N5678" s="1" t="str">
        <f t="shared" si="10783"/>
        <v>0</v>
      </c>
      <c r="O5678" s="1" t="str">
        <f t="shared" si="10783"/>
        <v>0</v>
      </c>
      <c r="P5678" s="1" t="str">
        <f t="shared" si="10783"/>
        <v>0</v>
      </c>
      <c r="Q5678" s="1" t="str">
        <f t="shared" si="10729"/>
        <v>0.0070</v>
      </c>
      <c r="R5678" s="1" t="s">
        <v>25</v>
      </c>
      <c r="T5678" s="1" t="str">
        <f t="shared" si="10730"/>
        <v>0</v>
      </c>
      <c r="U5678" s="1" t="str">
        <f t="shared" si="10745"/>
        <v>0.0070</v>
      </c>
    </row>
    <row r="5679" s="1" customFormat="1" spans="1:21">
      <c r="A5679" s="1" t="str">
        <f>"4601992198896"</f>
        <v>4601992198896</v>
      </c>
      <c r="B5679" s="1" t="s">
        <v>5702</v>
      </c>
      <c r="C5679" s="1" t="s">
        <v>24</v>
      </c>
      <c r="D5679" s="1" t="str">
        <f t="shared" si="10727"/>
        <v>2021</v>
      </c>
      <c r="E5679" s="1" t="str">
        <f t="shared" ref="E5679:P5679" si="10784">"0"</f>
        <v>0</v>
      </c>
      <c r="F5679" s="1" t="str">
        <f t="shared" si="10784"/>
        <v>0</v>
      </c>
      <c r="G5679" s="1" t="str">
        <f t="shared" si="10784"/>
        <v>0</v>
      </c>
      <c r="H5679" s="1" t="str">
        <f t="shared" si="10784"/>
        <v>0</v>
      </c>
      <c r="I5679" s="1" t="str">
        <f t="shared" si="10784"/>
        <v>0</v>
      </c>
      <c r="J5679" s="1" t="str">
        <f t="shared" si="10784"/>
        <v>0</v>
      </c>
      <c r="K5679" s="1" t="str">
        <f t="shared" si="10784"/>
        <v>0</v>
      </c>
      <c r="L5679" s="1" t="str">
        <f t="shared" si="10784"/>
        <v>0</v>
      </c>
      <c r="M5679" s="1" t="str">
        <f t="shared" si="10784"/>
        <v>0</v>
      </c>
      <c r="N5679" s="1" t="str">
        <f t="shared" si="10784"/>
        <v>0</v>
      </c>
      <c r="O5679" s="1" t="str">
        <f t="shared" si="10784"/>
        <v>0</v>
      </c>
      <c r="P5679" s="1" t="str">
        <f t="shared" si="10784"/>
        <v>0</v>
      </c>
      <c r="Q5679" s="1" t="str">
        <f t="shared" si="10729"/>
        <v>0.0070</v>
      </c>
      <c r="R5679" s="1" t="s">
        <v>25</v>
      </c>
      <c r="T5679" s="1" t="str">
        <f t="shared" si="10730"/>
        <v>0</v>
      </c>
      <c r="U5679" s="1" t="str">
        <f t="shared" si="10745"/>
        <v>0.0070</v>
      </c>
    </row>
    <row r="5680" s="1" customFormat="1" spans="1:21">
      <c r="A5680" s="1" t="str">
        <f>"4601992198997"</f>
        <v>4601992198997</v>
      </c>
      <c r="B5680" s="1" t="s">
        <v>5703</v>
      </c>
      <c r="C5680" s="1" t="s">
        <v>24</v>
      </c>
      <c r="D5680" s="1" t="str">
        <f t="shared" si="10727"/>
        <v>2021</v>
      </c>
      <c r="E5680" s="1" t="str">
        <f t="shared" ref="E5680:P5680" si="10785">"0"</f>
        <v>0</v>
      </c>
      <c r="F5680" s="1" t="str">
        <f t="shared" si="10785"/>
        <v>0</v>
      </c>
      <c r="G5680" s="1" t="str">
        <f t="shared" si="10785"/>
        <v>0</v>
      </c>
      <c r="H5680" s="1" t="str">
        <f t="shared" si="10785"/>
        <v>0</v>
      </c>
      <c r="I5680" s="1" t="str">
        <f t="shared" si="10785"/>
        <v>0</v>
      </c>
      <c r="J5680" s="1" t="str">
        <f t="shared" si="10785"/>
        <v>0</v>
      </c>
      <c r="K5680" s="1" t="str">
        <f t="shared" si="10785"/>
        <v>0</v>
      </c>
      <c r="L5680" s="1" t="str">
        <f t="shared" si="10785"/>
        <v>0</v>
      </c>
      <c r="M5680" s="1" t="str">
        <f t="shared" si="10785"/>
        <v>0</v>
      </c>
      <c r="N5680" s="1" t="str">
        <f t="shared" si="10785"/>
        <v>0</v>
      </c>
      <c r="O5680" s="1" t="str">
        <f t="shared" si="10785"/>
        <v>0</v>
      </c>
      <c r="P5680" s="1" t="str">
        <f t="shared" si="10785"/>
        <v>0</v>
      </c>
      <c r="Q5680" s="1" t="str">
        <f t="shared" si="10729"/>
        <v>0.0070</v>
      </c>
      <c r="R5680" s="1" t="s">
        <v>25</v>
      </c>
      <c r="T5680" s="1" t="str">
        <f t="shared" si="10730"/>
        <v>0</v>
      </c>
      <c r="U5680" s="1" t="str">
        <f t="shared" si="10745"/>
        <v>0.0070</v>
      </c>
    </row>
    <row r="5681" s="1" customFormat="1" spans="1:21">
      <c r="A5681" s="1" t="str">
        <f>"4601992199214"</f>
        <v>4601992199214</v>
      </c>
      <c r="B5681" s="1" t="s">
        <v>5704</v>
      </c>
      <c r="C5681" s="1" t="s">
        <v>24</v>
      </c>
      <c r="D5681" s="1" t="str">
        <f t="shared" si="10727"/>
        <v>2021</v>
      </c>
      <c r="E5681" s="1" t="str">
        <f t="shared" ref="E5681:P5681" si="10786">"0"</f>
        <v>0</v>
      </c>
      <c r="F5681" s="1" t="str">
        <f t="shared" si="10786"/>
        <v>0</v>
      </c>
      <c r="G5681" s="1" t="str">
        <f t="shared" si="10786"/>
        <v>0</v>
      </c>
      <c r="H5681" s="1" t="str">
        <f t="shared" si="10786"/>
        <v>0</v>
      </c>
      <c r="I5681" s="1" t="str">
        <f t="shared" si="10786"/>
        <v>0</v>
      </c>
      <c r="J5681" s="1" t="str">
        <f t="shared" si="10786"/>
        <v>0</v>
      </c>
      <c r="K5681" s="1" t="str">
        <f t="shared" si="10786"/>
        <v>0</v>
      </c>
      <c r="L5681" s="1" t="str">
        <f t="shared" si="10786"/>
        <v>0</v>
      </c>
      <c r="M5681" s="1" t="str">
        <f t="shared" si="10786"/>
        <v>0</v>
      </c>
      <c r="N5681" s="1" t="str">
        <f t="shared" si="10786"/>
        <v>0</v>
      </c>
      <c r="O5681" s="1" t="str">
        <f t="shared" si="10786"/>
        <v>0</v>
      </c>
      <c r="P5681" s="1" t="str">
        <f t="shared" si="10786"/>
        <v>0</v>
      </c>
      <c r="Q5681" s="1" t="str">
        <f t="shared" si="10729"/>
        <v>0.0070</v>
      </c>
      <c r="R5681" s="1" t="s">
        <v>25</v>
      </c>
      <c r="T5681" s="1" t="str">
        <f t="shared" si="10730"/>
        <v>0</v>
      </c>
      <c r="U5681" s="1" t="str">
        <f t="shared" si="10745"/>
        <v>0.0070</v>
      </c>
    </row>
    <row r="5682" s="1" customFormat="1" spans="1:21">
      <c r="A5682" s="1" t="str">
        <f>"4601992199290"</f>
        <v>4601992199290</v>
      </c>
      <c r="B5682" s="1" t="s">
        <v>5705</v>
      </c>
      <c r="C5682" s="1" t="s">
        <v>24</v>
      </c>
      <c r="D5682" s="1" t="str">
        <f t="shared" si="10727"/>
        <v>2021</v>
      </c>
      <c r="E5682" s="1" t="str">
        <f t="shared" ref="E5682:P5682" si="10787">"0"</f>
        <v>0</v>
      </c>
      <c r="F5682" s="1" t="str">
        <f t="shared" si="10787"/>
        <v>0</v>
      </c>
      <c r="G5682" s="1" t="str">
        <f t="shared" si="10787"/>
        <v>0</v>
      </c>
      <c r="H5682" s="1" t="str">
        <f t="shared" si="10787"/>
        <v>0</v>
      </c>
      <c r="I5682" s="1" t="str">
        <f t="shared" si="10787"/>
        <v>0</v>
      </c>
      <c r="J5682" s="1" t="str">
        <f t="shared" si="10787"/>
        <v>0</v>
      </c>
      <c r="K5682" s="1" t="str">
        <f t="shared" si="10787"/>
        <v>0</v>
      </c>
      <c r="L5682" s="1" t="str">
        <f t="shared" si="10787"/>
        <v>0</v>
      </c>
      <c r="M5682" s="1" t="str">
        <f t="shared" si="10787"/>
        <v>0</v>
      </c>
      <c r="N5682" s="1" t="str">
        <f t="shared" si="10787"/>
        <v>0</v>
      </c>
      <c r="O5682" s="1" t="str">
        <f t="shared" si="10787"/>
        <v>0</v>
      </c>
      <c r="P5682" s="1" t="str">
        <f t="shared" si="10787"/>
        <v>0</v>
      </c>
      <c r="Q5682" s="1" t="str">
        <f t="shared" si="10729"/>
        <v>0.0070</v>
      </c>
      <c r="R5682" s="1" t="s">
        <v>25</v>
      </c>
      <c r="T5682" s="1" t="str">
        <f t="shared" si="10730"/>
        <v>0</v>
      </c>
      <c r="U5682" s="1" t="str">
        <f t="shared" si="10745"/>
        <v>0.0070</v>
      </c>
    </row>
    <row r="5683" s="1" customFormat="1" spans="1:21">
      <c r="A5683" s="1" t="str">
        <f>"4601992199263"</f>
        <v>4601992199263</v>
      </c>
      <c r="B5683" s="1" t="s">
        <v>5706</v>
      </c>
      <c r="C5683" s="1" t="s">
        <v>24</v>
      </c>
      <c r="D5683" s="1" t="str">
        <f t="shared" si="10727"/>
        <v>2021</v>
      </c>
      <c r="E5683" s="1" t="str">
        <f t="shared" ref="E5683:P5683" si="10788">"0"</f>
        <v>0</v>
      </c>
      <c r="F5683" s="1" t="str">
        <f t="shared" si="10788"/>
        <v>0</v>
      </c>
      <c r="G5683" s="1" t="str">
        <f t="shared" si="10788"/>
        <v>0</v>
      </c>
      <c r="H5683" s="1" t="str">
        <f t="shared" si="10788"/>
        <v>0</v>
      </c>
      <c r="I5683" s="1" t="str">
        <f t="shared" si="10788"/>
        <v>0</v>
      </c>
      <c r="J5683" s="1" t="str">
        <f t="shared" si="10788"/>
        <v>0</v>
      </c>
      <c r="K5683" s="1" t="str">
        <f t="shared" si="10788"/>
        <v>0</v>
      </c>
      <c r="L5683" s="1" t="str">
        <f t="shared" si="10788"/>
        <v>0</v>
      </c>
      <c r="M5683" s="1" t="str">
        <f t="shared" si="10788"/>
        <v>0</v>
      </c>
      <c r="N5683" s="1" t="str">
        <f t="shared" si="10788"/>
        <v>0</v>
      </c>
      <c r="O5683" s="1" t="str">
        <f t="shared" si="10788"/>
        <v>0</v>
      </c>
      <c r="P5683" s="1" t="str">
        <f t="shared" si="10788"/>
        <v>0</v>
      </c>
      <c r="Q5683" s="1" t="str">
        <f t="shared" si="10729"/>
        <v>0.0070</v>
      </c>
      <c r="R5683" s="1" t="s">
        <v>25</v>
      </c>
      <c r="T5683" s="1" t="str">
        <f t="shared" si="10730"/>
        <v>0</v>
      </c>
      <c r="U5683" s="1" t="str">
        <f t="shared" si="10745"/>
        <v>0.0070</v>
      </c>
    </row>
    <row r="5684" s="1" customFormat="1" spans="1:21">
      <c r="A5684" s="1" t="str">
        <f>"4601992199383"</f>
        <v>4601992199383</v>
      </c>
      <c r="B5684" s="1" t="s">
        <v>5707</v>
      </c>
      <c r="C5684" s="1" t="s">
        <v>24</v>
      </c>
      <c r="D5684" s="1" t="str">
        <f t="shared" si="10727"/>
        <v>2021</v>
      </c>
      <c r="E5684" s="1" t="str">
        <f t="shared" ref="E5684:P5684" si="10789">"0"</f>
        <v>0</v>
      </c>
      <c r="F5684" s="1" t="str">
        <f t="shared" si="10789"/>
        <v>0</v>
      </c>
      <c r="G5684" s="1" t="str">
        <f t="shared" si="10789"/>
        <v>0</v>
      </c>
      <c r="H5684" s="1" t="str">
        <f t="shared" si="10789"/>
        <v>0</v>
      </c>
      <c r="I5684" s="1" t="str">
        <f t="shared" si="10789"/>
        <v>0</v>
      </c>
      <c r="J5684" s="1" t="str">
        <f t="shared" si="10789"/>
        <v>0</v>
      </c>
      <c r="K5684" s="1" t="str">
        <f t="shared" si="10789"/>
        <v>0</v>
      </c>
      <c r="L5684" s="1" t="str">
        <f t="shared" si="10789"/>
        <v>0</v>
      </c>
      <c r="M5684" s="1" t="str">
        <f t="shared" si="10789"/>
        <v>0</v>
      </c>
      <c r="N5684" s="1" t="str">
        <f t="shared" si="10789"/>
        <v>0</v>
      </c>
      <c r="O5684" s="1" t="str">
        <f t="shared" si="10789"/>
        <v>0</v>
      </c>
      <c r="P5684" s="1" t="str">
        <f t="shared" si="10789"/>
        <v>0</v>
      </c>
      <c r="Q5684" s="1" t="str">
        <f t="shared" si="10729"/>
        <v>0.0070</v>
      </c>
      <c r="R5684" s="1" t="s">
        <v>25</v>
      </c>
      <c r="T5684" s="1" t="str">
        <f t="shared" si="10730"/>
        <v>0</v>
      </c>
      <c r="U5684" s="1" t="str">
        <f t="shared" si="10745"/>
        <v>0.0070</v>
      </c>
    </row>
    <row r="5685" s="1" customFormat="1" spans="1:21">
      <c r="A5685" s="1" t="str">
        <f>"4601992199391"</f>
        <v>4601992199391</v>
      </c>
      <c r="B5685" s="1" t="s">
        <v>5708</v>
      </c>
      <c r="C5685" s="1" t="s">
        <v>24</v>
      </c>
      <c r="D5685" s="1" t="str">
        <f t="shared" si="10727"/>
        <v>2021</v>
      </c>
      <c r="E5685" s="1" t="str">
        <f t="shared" ref="E5685:P5685" si="10790">"0"</f>
        <v>0</v>
      </c>
      <c r="F5685" s="1" t="str">
        <f t="shared" si="10790"/>
        <v>0</v>
      </c>
      <c r="G5685" s="1" t="str">
        <f t="shared" si="10790"/>
        <v>0</v>
      </c>
      <c r="H5685" s="1" t="str">
        <f t="shared" si="10790"/>
        <v>0</v>
      </c>
      <c r="I5685" s="1" t="str">
        <f t="shared" si="10790"/>
        <v>0</v>
      </c>
      <c r="J5685" s="1" t="str">
        <f t="shared" si="10790"/>
        <v>0</v>
      </c>
      <c r="K5685" s="1" t="str">
        <f t="shared" si="10790"/>
        <v>0</v>
      </c>
      <c r="L5685" s="1" t="str">
        <f t="shared" si="10790"/>
        <v>0</v>
      </c>
      <c r="M5685" s="1" t="str">
        <f t="shared" si="10790"/>
        <v>0</v>
      </c>
      <c r="N5685" s="1" t="str">
        <f t="shared" si="10790"/>
        <v>0</v>
      </c>
      <c r="O5685" s="1" t="str">
        <f t="shared" si="10790"/>
        <v>0</v>
      </c>
      <c r="P5685" s="1" t="str">
        <f t="shared" si="10790"/>
        <v>0</v>
      </c>
      <c r="Q5685" s="1" t="str">
        <f t="shared" si="10729"/>
        <v>0.0070</v>
      </c>
      <c r="R5685" s="1" t="s">
        <v>25</v>
      </c>
      <c r="T5685" s="1" t="str">
        <f t="shared" si="10730"/>
        <v>0</v>
      </c>
      <c r="U5685" s="1" t="str">
        <f t="shared" si="10745"/>
        <v>0.0070</v>
      </c>
    </row>
    <row r="5686" s="1" customFormat="1" spans="1:21">
      <c r="A5686" s="1" t="str">
        <f>"4601992199623"</f>
        <v>4601992199623</v>
      </c>
      <c r="B5686" s="1" t="s">
        <v>5709</v>
      </c>
      <c r="C5686" s="1" t="s">
        <v>24</v>
      </c>
      <c r="D5686" s="1" t="str">
        <f t="shared" si="10727"/>
        <v>2021</v>
      </c>
      <c r="E5686" s="1" t="str">
        <f t="shared" ref="E5686:P5686" si="10791">"0"</f>
        <v>0</v>
      </c>
      <c r="F5686" s="1" t="str">
        <f t="shared" si="10791"/>
        <v>0</v>
      </c>
      <c r="G5686" s="1" t="str">
        <f t="shared" si="10791"/>
        <v>0</v>
      </c>
      <c r="H5686" s="1" t="str">
        <f t="shared" si="10791"/>
        <v>0</v>
      </c>
      <c r="I5686" s="1" t="str">
        <f t="shared" si="10791"/>
        <v>0</v>
      </c>
      <c r="J5686" s="1" t="str">
        <f t="shared" si="10791"/>
        <v>0</v>
      </c>
      <c r="K5686" s="1" t="str">
        <f t="shared" si="10791"/>
        <v>0</v>
      </c>
      <c r="L5686" s="1" t="str">
        <f t="shared" si="10791"/>
        <v>0</v>
      </c>
      <c r="M5686" s="1" t="str">
        <f t="shared" si="10791"/>
        <v>0</v>
      </c>
      <c r="N5686" s="1" t="str">
        <f t="shared" si="10791"/>
        <v>0</v>
      </c>
      <c r="O5686" s="1" t="str">
        <f t="shared" si="10791"/>
        <v>0</v>
      </c>
      <c r="P5686" s="1" t="str">
        <f t="shared" si="10791"/>
        <v>0</v>
      </c>
      <c r="Q5686" s="1" t="str">
        <f t="shared" si="10729"/>
        <v>0.0070</v>
      </c>
      <c r="R5686" s="1" t="s">
        <v>25</v>
      </c>
      <c r="T5686" s="1" t="str">
        <f t="shared" si="10730"/>
        <v>0</v>
      </c>
      <c r="U5686" s="1" t="str">
        <f t="shared" si="10745"/>
        <v>0.0070</v>
      </c>
    </row>
    <row r="5687" s="1" customFormat="1" spans="1:21">
      <c r="A5687" s="1" t="str">
        <f>"4601992199577"</f>
        <v>4601992199577</v>
      </c>
      <c r="B5687" s="1" t="s">
        <v>5710</v>
      </c>
      <c r="C5687" s="1" t="s">
        <v>24</v>
      </c>
      <c r="D5687" s="1" t="str">
        <f t="shared" si="10727"/>
        <v>2021</v>
      </c>
      <c r="E5687" s="1" t="str">
        <f t="shared" ref="E5687:P5687" si="10792">"0"</f>
        <v>0</v>
      </c>
      <c r="F5687" s="1" t="str">
        <f t="shared" si="10792"/>
        <v>0</v>
      </c>
      <c r="G5687" s="1" t="str">
        <f t="shared" si="10792"/>
        <v>0</v>
      </c>
      <c r="H5687" s="1" t="str">
        <f t="shared" si="10792"/>
        <v>0</v>
      </c>
      <c r="I5687" s="1" t="str">
        <f t="shared" si="10792"/>
        <v>0</v>
      </c>
      <c r="J5687" s="1" t="str">
        <f t="shared" si="10792"/>
        <v>0</v>
      </c>
      <c r="K5687" s="1" t="str">
        <f t="shared" si="10792"/>
        <v>0</v>
      </c>
      <c r="L5687" s="1" t="str">
        <f t="shared" si="10792"/>
        <v>0</v>
      </c>
      <c r="M5687" s="1" t="str">
        <f t="shared" si="10792"/>
        <v>0</v>
      </c>
      <c r="N5687" s="1" t="str">
        <f t="shared" si="10792"/>
        <v>0</v>
      </c>
      <c r="O5687" s="1" t="str">
        <f t="shared" si="10792"/>
        <v>0</v>
      </c>
      <c r="P5687" s="1" t="str">
        <f t="shared" si="10792"/>
        <v>0</v>
      </c>
      <c r="Q5687" s="1" t="str">
        <f t="shared" si="10729"/>
        <v>0.0070</v>
      </c>
      <c r="R5687" s="1" t="s">
        <v>25</v>
      </c>
      <c r="T5687" s="1" t="str">
        <f t="shared" si="10730"/>
        <v>0</v>
      </c>
      <c r="U5687" s="1" t="str">
        <f t="shared" si="10745"/>
        <v>0.0070</v>
      </c>
    </row>
    <row r="5688" s="1" customFormat="1" spans="1:21">
      <c r="A5688" s="1" t="str">
        <f>"4601992199816"</f>
        <v>4601992199816</v>
      </c>
      <c r="B5688" s="1" t="s">
        <v>5711</v>
      </c>
      <c r="C5688" s="1" t="s">
        <v>24</v>
      </c>
      <c r="D5688" s="1" t="str">
        <f t="shared" si="10727"/>
        <v>2021</v>
      </c>
      <c r="E5688" s="1" t="str">
        <f t="shared" ref="E5688:P5688" si="10793">"0"</f>
        <v>0</v>
      </c>
      <c r="F5688" s="1" t="str">
        <f t="shared" si="10793"/>
        <v>0</v>
      </c>
      <c r="G5688" s="1" t="str">
        <f t="shared" si="10793"/>
        <v>0</v>
      </c>
      <c r="H5688" s="1" t="str">
        <f t="shared" si="10793"/>
        <v>0</v>
      </c>
      <c r="I5688" s="1" t="str">
        <f t="shared" si="10793"/>
        <v>0</v>
      </c>
      <c r="J5688" s="1" t="str">
        <f t="shared" si="10793"/>
        <v>0</v>
      </c>
      <c r="K5688" s="1" t="str">
        <f t="shared" si="10793"/>
        <v>0</v>
      </c>
      <c r="L5688" s="1" t="str">
        <f t="shared" si="10793"/>
        <v>0</v>
      </c>
      <c r="M5688" s="1" t="str">
        <f t="shared" si="10793"/>
        <v>0</v>
      </c>
      <c r="N5688" s="1" t="str">
        <f t="shared" si="10793"/>
        <v>0</v>
      </c>
      <c r="O5688" s="1" t="str">
        <f t="shared" si="10793"/>
        <v>0</v>
      </c>
      <c r="P5688" s="1" t="str">
        <f t="shared" si="10793"/>
        <v>0</v>
      </c>
      <c r="Q5688" s="1" t="str">
        <f t="shared" si="10729"/>
        <v>0.0070</v>
      </c>
      <c r="R5688" s="1" t="s">
        <v>25</v>
      </c>
      <c r="T5688" s="1" t="str">
        <f t="shared" si="10730"/>
        <v>0</v>
      </c>
      <c r="U5688" s="1" t="str">
        <f t="shared" si="10745"/>
        <v>0.0070</v>
      </c>
    </row>
    <row r="5689" s="1" customFormat="1" spans="1:21">
      <c r="A5689" s="1" t="str">
        <f>"4601992200166"</f>
        <v>4601992200166</v>
      </c>
      <c r="B5689" s="1" t="s">
        <v>5712</v>
      </c>
      <c r="C5689" s="1" t="s">
        <v>24</v>
      </c>
      <c r="D5689" s="1" t="str">
        <f t="shared" si="10727"/>
        <v>2021</v>
      </c>
      <c r="E5689" s="1" t="str">
        <f t="shared" ref="E5689:P5689" si="10794">"0"</f>
        <v>0</v>
      </c>
      <c r="F5689" s="1" t="str">
        <f t="shared" si="10794"/>
        <v>0</v>
      </c>
      <c r="G5689" s="1" t="str">
        <f t="shared" si="10794"/>
        <v>0</v>
      </c>
      <c r="H5689" s="1" t="str">
        <f t="shared" si="10794"/>
        <v>0</v>
      </c>
      <c r="I5689" s="1" t="str">
        <f t="shared" si="10794"/>
        <v>0</v>
      </c>
      <c r="J5689" s="1" t="str">
        <f t="shared" si="10794"/>
        <v>0</v>
      </c>
      <c r="K5689" s="1" t="str">
        <f t="shared" si="10794"/>
        <v>0</v>
      </c>
      <c r="L5689" s="1" t="str">
        <f t="shared" si="10794"/>
        <v>0</v>
      </c>
      <c r="M5689" s="1" t="str">
        <f t="shared" si="10794"/>
        <v>0</v>
      </c>
      <c r="N5689" s="1" t="str">
        <f t="shared" si="10794"/>
        <v>0</v>
      </c>
      <c r="O5689" s="1" t="str">
        <f t="shared" si="10794"/>
        <v>0</v>
      </c>
      <c r="P5689" s="1" t="str">
        <f t="shared" si="10794"/>
        <v>0</v>
      </c>
      <c r="Q5689" s="1" t="str">
        <f t="shared" si="10729"/>
        <v>0.0070</v>
      </c>
      <c r="R5689" s="1" t="s">
        <v>25</v>
      </c>
      <c r="T5689" s="1" t="str">
        <f t="shared" si="10730"/>
        <v>0</v>
      </c>
      <c r="U5689" s="1" t="str">
        <f t="shared" si="10745"/>
        <v>0.0070</v>
      </c>
    </row>
    <row r="5690" s="1" customFormat="1" spans="1:21">
      <c r="A5690" s="1" t="str">
        <f>"4601992199628"</f>
        <v>4601992199628</v>
      </c>
      <c r="B5690" s="1" t="s">
        <v>5713</v>
      </c>
      <c r="C5690" s="1" t="s">
        <v>24</v>
      </c>
      <c r="D5690" s="1" t="str">
        <f t="shared" si="10727"/>
        <v>2021</v>
      </c>
      <c r="E5690" s="1" t="str">
        <f t="shared" ref="E5690:I5690" si="10795">"0"</f>
        <v>0</v>
      </c>
      <c r="F5690" s="1" t="str">
        <f t="shared" si="10795"/>
        <v>0</v>
      </c>
      <c r="G5690" s="1" t="str">
        <f t="shared" si="10795"/>
        <v>0</v>
      </c>
      <c r="H5690" s="1" t="str">
        <f t="shared" si="10795"/>
        <v>0</v>
      </c>
      <c r="I5690" s="1" t="str">
        <f t="shared" si="10795"/>
        <v>0</v>
      </c>
      <c r="J5690" s="1" t="str">
        <f>"1"</f>
        <v>1</v>
      </c>
      <c r="K5690" s="1" t="str">
        <f t="shared" ref="K5690:P5690" si="10796">"0"</f>
        <v>0</v>
      </c>
      <c r="L5690" s="1" t="str">
        <f t="shared" si="10796"/>
        <v>0</v>
      </c>
      <c r="M5690" s="1" t="str">
        <f t="shared" si="10796"/>
        <v>0</v>
      </c>
      <c r="N5690" s="1" t="str">
        <f t="shared" si="10796"/>
        <v>0</v>
      </c>
      <c r="O5690" s="1" t="str">
        <f t="shared" si="10796"/>
        <v>0</v>
      </c>
      <c r="P5690" s="1" t="str">
        <f t="shared" si="10796"/>
        <v>0</v>
      </c>
      <c r="Q5690" s="1" t="str">
        <f t="shared" si="10729"/>
        <v>0.0070</v>
      </c>
      <c r="R5690" s="1" t="s">
        <v>25</v>
      </c>
      <c r="T5690" s="1" t="str">
        <f t="shared" si="10730"/>
        <v>0</v>
      </c>
      <c r="U5690" s="1" t="str">
        <f t="shared" si="10745"/>
        <v>0.0070</v>
      </c>
    </row>
    <row r="5691" s="1" customFormat="1" spans="1:21">
      <c r="A5691" s="1" t="str">
        <f>"4601992199847"</f>
        <v>4601992199847</v>
      </c>
      <c r="B5691" s="1" t="s">
        <v>5714</v>
      </c>
      <c r="C5691" s="1" t="s">
        <v>24</v>
      </c>
      <c r="D5691" s="1" t="str">
        <f t="shared" si="10727"/>
        <v>2021</v>
      </c>
      <c r="E5691" s="1" t="str">
        <f t="shared" ref="E5691:P5691" si="10797">"0"</f>
        <v>0</v>
      </c>
      <c r="F5691" s="1" t="str">
        <f t="shared" si="10797"/>
        <v>0</v>
      </c>
      <c r="G5691" s="1" t="str">
        <f t="shared" si="10797"/>
        <v>0</v>
      </c>
      <c r="H5691" s="1" t="str">
        <f t="shared" si="10797"/>
        <v>0</v>
      </c>
      <c r="I5691" s="1" t="str">
        <f t="shared" si="10797"/>
        <v>0</v>
      </c>
      <c r="J5691" s="1" t="str">
        <f t="shared" si="10797"/>
        <v>0</v>
      </c>
      <c r="K5691" s="1" t="str">
        <f t="shared" si="10797"/>
        <v>0</v>
      </c>
      <c r="L5691" s="1" t="str">
        <f t="shared" si="10797"/>
        <v>0</v>
      </c>
      <c r="M5691" s="1" t="str">
        <f t="shared" si="10797"/>
        <v>0</v>
      </c>
      <c r="N5691" s="1" t="str">
        <f t="shared" si="10797"/>
        <v>0</v>
      </c>
      <c r="O5691" s="1" t="str">
        <f t="shared" si="10797"/>
        <v>0</v>
      </c>
      <c r="P5691" s="1" t="str">
        <f t="shared" si="10797"/>
        <v>0</v>
      </c>
      <c r="Q5691" s="1" t="str">
        <f t="shared" si="10729"/>
        <v>0.0070</v>
      </c>
      <c r="R5691" s="1" t="s">
        <v>25</v>
      </c>
      <c r="T5691" s="1" t="str">
        <f t="shared" si="10730"/>
        <v>0</v>
      </c>
      <c r="U5691" s="1" t="str">
        <f t="shared" si="10745"/>
        <v>0.0070</v>
      </c>
    </row>
    <row r="5692" s="1" customFormat="1" spans="1:21">
      <c r="A5692" s="1" t="str">
        <f>"4601992200290"</f>
        <v>4601992200290</v>
      </c>
      <c r="B5692" s="1" t="s">
        <v>5715</v>
      </c>
      <c r="C5692" s="1" t="s">
        <v>24</v>
      </c>
      <c r="D5692" s="1" t="str">
        <f t="shared" si="10727"/>
        <v>2021</v>
      </c>
      <c r="E5692" s="1" t="str">
        <f t="shared" ref="E5692:P5692" si="10798">"0"</f>
        <v>0</v>
      </c>
      <c r="F5692" s="1" t="str">
        <f t="shared" si="10798"/>
        <v>0</v>
      </c>
      <c r="G5692" s="1" t="str">
        <f t="shared" si="10798"/>
        <v>0</v>
      </c>
      <c r="H5692" s="1" t="str">
        <f t="shared" si="10798"/>
        <v>0</v>
      </c>
      <c r="I5692" s="1" t="str">
        <f t="shared" si="10798"/>
        <v>0</v>
      </c>
      <c r="J5692" s="1" t="str">
        <f t="shared" si="10798"/>
        <v>0</v>
      </c>
      <c r="K5692" s="1" t="str">
        <f t="shared" si="10798"/>
        <v>0</v>
      </c>
      <c r="L5692" s="1" t="str">
        <f t="shared" si="10798"/>
        <v>0</v>
      </c>
      <c r="M5692" s="1" t="str">
        <f t="shared" si="10798"/>
        <v>0</v>
      </c>
      <c r="N5692" s="1" t="str">
        <f t="shared" si="10798"/>
        <v>0</v>
      </c>
      <c r="O5692" s="1" t="str">
        <f t="shared" si="10798"/>
        <v>0</v>
      </c>
      <c r="P5692" s="1" t="str">
        <f t="shared" si="10798"/>
        <v>0</v>
      </c>
      <c r="Q5692" s="1" t="str">
        <f t="shared" si="10729"/>
        <v>0.0070</v>
      </c>
      <c r="R5692" s="1" t="s">
        <v>25</v>
      </c>
      <c r="T5692" s="1" t="str">
        <f t="shared" si="10730"/>
        <v>0</v>
      </c>
      <c r="U5692" s="1" t="str">
        <f t="shared" si="10745"/>
        <v>0.0070</v>
      </c>
    </row>
    <row r="5693" s="1" customFormat="1" spans="1:21">
      <c r="A5693" s="1" t="str">
        <f>"4601992200510"</f>
        <v>4601992200510</v>
      </c>
      <c r="B5693" s="1" t="s">
        <v>5716</v>
      </c>
      <c r="C5693" s="1" t="s">
        <v>24</v>
      </c>
      <c r="D5693" s="1" t="str">
        <f t="shared" si="10727"/>
        <v>2021</v>
      </c>
      <c r="E5693" s="1" t="str">
        <f t="shared" ref="E5693:P5693" si="10799">"0"</f>
        <v>0</v>
      </c>
      <c r="F5693" s="1" t="str">
        <f t="shared" si="10799"/>
        <v>0</v>
      </c>
      <c r="G5693" s="1" t="str">
        <f t="shared" si="10799"/>
        <v>0</v>
      </c>
      <c r="H5693" s="1" t="str">
        <f t="shared" si="10799"/>
        <v>0</v>
      </c>
      <c r="I5693" s="1" t="str">
        <f t="shared" si="10799"/>
        <v>0</v>
      </c>
      <c r="J5693" s="1" t="str">
        <f t="shared" si="10799"/>
        <v>0</v>
      </c>
      <c r="K5693" s="1" t="str">
        <f t="shared" si="10799"/>
        <v>0</v>
      </c>
      <c r="L5693" s="1" t="str">
        <f t="shared" si="10799"/>
        <v>0</v>
      </c>
      <c r="M5693" s="1" t="str">
        <f t="shared" si="10799"/>
        <v>0</v>
      </c>
      <c r="N5693" s="1" t="str">
        <f t="shared" si="10799"/>
        <v>0</v>
      </c>
      <c r="O5693" s="1" t="str">
        <f t="shared" si="10799"/>
        <v>0</v>
      </c>
      <c r="P5693" s="1" t="str">
        <f t="shared" si="10799"/>
        <v>0</v>
      </c>
      <c r="Q5693" s="1" t="str">
        <f t="shared" si="10729"/>
        <v>0.0070</v>
      </c>
      <c r="R5693" s="1" t="s">
        <v>25</v>
      </c>
      <c r="T5693" s="1" t="str">
        <f t="shared" si="10730"/>
        <v>0</v>
      </c>
      <c r="U5693" s="1" t="str">
        <f t="shared" si="10745"/>
        <v>0.0070</v>
      </c>
    </row>
    <row r="5694" s="1" customFormat="1" spans="1:21">
      <c r="A5694" s="1" t="str">
        <f>"4601992200690"</f>
        <v>4601992200690</v>
      </c>
      <c r="B5694" s="1" t="s">
        <v>5717</v>
      </c>
      <c r="C5694" s="1" t="s">
        <v>24</v>
      </c>
      <c r="D5694" s="1" t="str">
        <f t="shared" si="10727"/>
        <v>2021</v>
      </c>
      <c r="E5694" s="1" t="str">
        <f t="shared" ref="E5694:P5694" si="10800">"0"</f>
        <v>0</v>
      </c>
      <c r="F5694" s="1" t="str">
        <f t="shared" si="10800"/>
        <v>0</v>
      </c>
      <c r="G5694" s="1" t="str">
        <f t="shared" si="10800"/>
        <v>0</v>
      </c>
      <c r="H5694" s="1" t="str">
        <f t="shared" si="10800"/>
        <v>0</v>
      </c>
      <c r="I5694" s="1" t="str">
        <f t="shared" si="10800"/>
        <v>0</v>
      </c>
      <c r="J5694" s="1" t="str">
        <f t="shared" si="10800"/>
        <v>0</v>
      </c>
      <c r="K5694" s="1" t="str">
        <f t="shared" si="10800"/>
        <v>0</v>
      </c>
      <c r="L5694" s="1" t="str">
        <f t="shared" si="10800"/>
        <v>0</v>
      </c>
      <c r="M5694" s="1" t="str">
        <f t="shared" si="10800"/>
        <v>0</v>
      </c>
      <c r="N5694" s="1" t="str">
        <f t="shared" si="10800"/>
        <v>0</v>
      </c>
      <c r="O5694" s="1" t="str">
        <f t="shared" si="10800"/>
        <v>0</v>
      </c>
      <c r="P5694" s="1" t="str">
        <f t="shared" si="10800"/>
        <v>0</v>
      </c>
      <c r="Q5694" s="1" t="str">
        <f t="shared" si="10729"/>
        <v>0.0070</v>
      </c>
      <c r="R5694" s="1" t="s">
        <v>25</v>
      </c>
      <c r="T5694" s="1" t="str">
        <f t="shared" si="10730"/>
        <v>0</v>
      </c>
      <c r="U5694" s="1" t="str">
        <f t="shared" si="10745"/>
        <v>0.0070</v>
      </c>
    </row>
    <row r="5695" s="1" customFormat="1" spans="1:21">
      <c r="A5695" s="1" t="str">
        <f>"4601992200633"</f>
        <v>4601992200633</v>
      </c>
      <c r="B5695" s="1" t="s">
        <v>5718</v>
      </c>
      <c r="C5695" s="1" t="s">
        <v>24</v>
      </c>
      <c r="D5695" s="1" t="str">
        <f t="shared" si="10727"/>
        <v>2021</v>
      </c>
      <c r="E5695" s="1" t="str">
        <f t="shared" ref="E5695:P5695" si="10801">"0"</f>
        <v>0</v>
      </c>
      <c r="F5695" s="1" t="str">
        <f t="shared" si="10801"/>
        <v>0</v>
      </c>
      <c r="G5695" s="1" t="str">
        <f t="shared" si="10801"/>
        <v>0</v>
      </c>
      <c r="H5695" s="1" t="str">
        <f t="shared" si="10801"/>
        <v>0</v>
      </c>
      <c r="I5695" s="1" t="str">
        <f t="shared" si="10801"/>
        <v>0</v>
      </c>
      <c r="J5695" s="1" t="str">
        <f t="shared" si="10801"/>
        <v>0</v>
      </c>
      <c r="K5695" s="1" t="str">
        <f t="shared" si="10801"/>
        <v>0</v>
      </c>
      <c r="L5695" s="1" t="str">
        <f t="shared" si="10801"/>
        <v>0</v>
      </c>
      <c r="M5695" s="1" t="str">
        <f t="shared" si="10801"/>
        <v>0</v>
      </c>
      <c r="N5695" s="1" t="str">
        <f t="shared" si="10801"/>
        <v>0</v>
      </c>
      <c r="O5695" s="1" t="str">
        <f t="shared" si="10801"/>
        <v>0</v>
      </c>
      <c r="P5695" s="1" t="str">
        <f t="shared" si="10801"/>
        <v>0</v>
      </c>
      <c r="Q5695" s="1" t="str">
        <f t="shared" si="10729"/>
        <v>0.0070</v>
      </c>
      <c r="R5695" s="1" t="s">
        <v>25</v>
      </c>
      <c r="T5695" s="1" t="str">
        <f t="shared" si="10730"/>
        <v>0</v>
      </c>
      <c r="U5695" s="1" t="str">
        <f t="shared" si="10745"/>
        <v>0.0070</v>
      </c>
    </row>
    <row r="5696" s="1" customFormat="1" spans="1:21">
      <c r="A5696" s="1" t="str">
        <f>"4601992200767"</f>
        <v>4601992200767</v>
      </c>
      <c r="B5696" s="1" t="s">
        <v>5719</v>
      </c>
      <c r="C5696" s="1" t="s">
        <v>24</v>
      </c>
      <c r="D5696" s="1" t="str">
        <f t="shared" si="10727"/>
        <v>2021</v>
      </c>
      <c r="E5696" s="1" t="str">
        <f t="shared" ref="E5696:P5696" si="10802">"0"</f>
        <v>0</v>
      </c>
      <c r="F5696" s="1" t="str">
        <f t="shared" si="10802"/>
        <v>0</v>
      </c>
      <c r="G5696" s="1" t="str">
        <f t="shared" si="10802"/>
        <v>0</v>
      </c>
      <c r="H5696" s="1" t="str">
        <f t="shared" si="10802"/>
        <v>0</v>
      </c>
      <c r="I5696" s="1" t="str">
        <f t="shared" si="10802"/>
        <v>0</v>
      </c>
      <c r="J5696" s="1" t="str">
        <f t="shared" si="10802"/>
        <v>0</v>
      </c>
      <c r="K5696" s="1" t="str">
        <f t="shared" si="10802"/>
        <v>0</v>
      </c>
      <c r="L5696" s="1" t="str">
        <f t="shared" si="10802"/>
        <v>0</v>
      </c>
      <c r="M5696" s="1" t="str">
        <f t="shared" si="10802"/>
        <v>0</v>
      </c>
      <c r="N5696" s="1" t="str">
        <f t="shared" si="10802"/>
        <v>0</v>
      </c>
      <c r="O5696" s="1" t="str">
        <f t="shared" si="10802"/>
        <v>0</v>
      </c>
      <c r="P5696" s="1" t="str">
        <f t="shared" si="10802"/>
        <v>0</v>
      </c>
      <c r="Q5696" s="1" t="str">
        <f t="shared" si="10729"/>
        <v>0.0070</v>
      </c>
      <c r="R5696" s="1" t="s">
        <v>25</v>
      </c>
      <c r="T5696" s="1" t="str">
        <f t="shared" si="10730"/>
        <v>0</v>
      </c>
      <c r="U5696" s="1" t="str">
        <f t="shared" si="10745"/>
        <v>0.0070</v>
      </c>
    </row>
    <row r="5697" s="1" customFormat="1" spans="1:21">
      <c r="A5697" s="1" t="str">
        <f>"4601992200561"</f>
        <v>4601992200561</v>
      </c>
      <c r="B5697" s="1" t="s">
        <v>5720</v>
      </c>
      <c r="C5697" s="1" t="s">
        <v>24</v>
      </c>
      <c r="D5697" s="1" t="str">
        <f t="shared" si="10727"/>
        <v>2021</v>
      </c>
      <c r="E5697" s="1" t="str">
        <f t="shared" ref="E5697:I5697" si="10803">"0"</f>
        <v>0</v>
      </c>
      <c r="F5697" s="1" t="str">
        <f t="shared" si="10803"/>
        <v>0</v>
      </c>
      <c r="G5697" s="1" t="str">
        <f t="shared" si="10803"/>
        <v>0</v>
      </c>
      <c r="H5697" s="1" t="str">
        <f t="shared" si="10803"/>
        <v>0</v>
      </c>
      <c r="I5697" s="1" t="str">
        <f t="shared" si="10803"/>
        <v>0</v>
      </c>
      <c r="J5697" s="1" t="str">
        <f>"2"</f>
        <v>2</v>
      </c>
      <c r="K5697" s="1" t="str">
        <f t="shared" ref="K5697:P5697" si="10804">"0"</f>
        <v>0</v>
      </c>
      <c r="L5697" s="1" t="str">
        <f t="shared" si="10804"/>
        <v>0</v>
      </c>
      <c r="M5697" s="1" t="str">
        <f t="shared" si="10804"/>
        <v>0</v>
      </c>
      <c r="N5697" s="1" t="str">
        <f t="shared" si="10804"/>
        <v>0</v>
      </c>
      <c r="O5697" s="1" t="str">
        <f t="shared" si="10804"/>
        <v>0</v>
      </c>
      <c r="P5697" s="1" t="str">
        <f t="shared" si="10804"/>
        <v>0</v>
      </c>
      <c r="Q5697" s="1" t="str">
        <f t="shared" si="10729"/>
        <v>0.0070</v>
      </c>
      <c r="R5697" s="1" t="s">
        <v>25</v>
      </c>
      <c r="T5697" s="1" t="str">
        <f t="shared" si="10730"/>
        <v>0</v>
      </c>
      <c r="U5697" s="1" t="str">
        <f t="shared" si="10745"/>
        <v>0.0070</v>
      </c>
    </row>
    <row r="5698" s="1" customFormat="1" spans="1:21">
      <c r="A5698" s="1" t="str">
        <f>"4601992200820"</f>
        <v>4601992200820</v>
      </c>
      <c r="B5698" s="1" t="s">
        <v>5721</v>
      </c>
      <c r="C5698" s="1" t="s">
        <v>24</v>
      </c>
      <c r="D5698" s="1" t="str">
        <f t="shared" si="10727"/>
        <v>2021</v>
      </c>
      <c r="E5698" s="1" t="str">
        <f t="shared" ref="E5698:P5698" si="10805">"0"</f>
        <v>0</v>
      </c>
      <c r="F5698" s="1" t="str">
        <f t="shared" si="10805"/>
        <v>0</v>
      </c>
      <c r="G5698" s="1" t="str">
        <f t="shared" si="10805"/>
        <v>0</v>
      </c>
      <c r="H5698" s="1" t="str">
        <f t="shared" si="10805"/>
        <v>0</v>
      </c>
      <c r="I5698" s="1" t="str">
        <f t="shared" si="10805"/>
        <v>0</v>
      </c>
      <c r="J5698" s="1" t="str">
        <f t="shared" si="10805"/>
        <v>0</v>
      </c>
      <c r="K5698" s="1" t="str">
        <f t="shared" si="10805"/>
        <v>0</v>
      </c>
      <c r="L5698" s="1" t="str">
        <f t="shared" si="10805"/>
        <v>0</v>
      </c>
      <c r="M5698" s="1" t="str">
        <f t="shared" si="10805"/>
        <v>0</v>
      </c>
      <c r="N5698" s="1" t="str">
        <f t="shared" si="10805"/>
        <v>0</v>
      </c>
      <c r="O5698" s="1" t="str">
        <f t="shared" si="10805"/>
        <v>0</v>
      </c>
      <c r="P5698" s="1" t="str">
        <f t="shared" si="10805"/>
        <v>0</v>
      </c>
      <c r="Q5698" s="1" t="str">
        <f t="shared" si="10729"/>
        <v>0.0070</v>
      </c>
      <c r="R5698" s="1" t="s">
        <v>25</v>
      </c>
      <c r="T5698" s="1" t="str">
        <f t="shared" si="10730"/>
        <v>0</v>
      </c>
      <c r="U5698" s="1" t="str">
        <f t="shared" si="10745"/>
        <v>0.0070</v>
      </c>
    </row>
    <row r="5699" s="1" customFormat="1" spans="1:21">
      <c r="A5699" s="1" t="str">
        <f>"4601992200851"</f>
        <v>4601992200851</v>
      </c>
      <c r="B5699" s="1" t="s">
        <v>5722</v>
      </c>
      <c r="C5699" s="1" t="s">
        <v>24</v>
      </c>
      <c r="D5699" s="1" t="str">
        <f t="shared" ref="D5699:D5762" si="10806">"2021"</f>
        <v>2021</v>
      </c>
      <c r="E5699" s="1" t="str">
        <f t="shared" ref="E5699:P5699" si="10807">"0"</f>
        <v>0</v>
      </c>
      <c r="F5699" s="1" t="str">
        <f t="shared" si="10807"/>
        <v>0</v>
      </c>
      <c r="G5699" s="1" t="str">
        <f t="shared" si="10807"/>
        <v>0</v>
      </c>
      <c r="H5699" s="1" t="str">
        <f t="shared" si="10807"/>
        <v>0</v>
      </c>
      <c r="I5699" s="1" t="str">
        <f t="shared" si="10807"/>
        <v>0</v>
      </c>
      <c r="J5699" s="1" t="str">
        <f t="shared" si="10807"/>
        <v>0</v>
      </c>
      <c r="K5699" s="1" t="str">
        <f t="shared" si="10807"/>
        <v>0</v>
      </c>
      <c r="L5699" s="1" t="str">
        <f t="shared" si="10807"/>
        <v>0</v>
      </c>
      <c r="M5699" s="1" t="str">
        <f t="shared" si="10807"/>
        <v>0</v>
      </c>
      <c r="N5699" s="1" t="str">
        <f t="shared" si="10807"/>
        <v>0</v>
      </c>
      <c r="O5699" s="1" t="str">
        <f t="shared" si="10807"/>
        <v>0</v>
      </c>
      <c r="P5699" s="1" t="str">
        <f t="shared" si="10807"/>
        <v>0</v>
      </c>
      <c r="Q5699" s="1" t="str">
        <f t="shared" ref="Q5699:Q5762" si="10808">"0.0070"</f>
        <v>0.0070</v>
      </c>
      <c r="R5699" s="1" t="s">
        <v>25</v>
      </c>
      <c r="T5699" s="1" t="str">
        <f t="shared" ref="T5699:T5762" si="10809">"0"</f>
        <v>0</v>
      </c>
      <c r="U5699" s="1" t="str">
        <f t="shared" si="10745"/>
        <v>0.0070</v>
      </c>
    </row>
    <row r="5700" s="1" customFormat="1" spans="1:21">
      <c r="A5700" s="1" t="str">
        <f>"4601992201049"</f>
        <v>4601992201049</v>
      </c>
      <c r="B5700" s="1" t="s">
        <v>5723</v>
      </c>
      <c r="C5700" s="1" t="s">
        <v>24</v>
      </c>
      <c r="D5700" s="1" t="str">
        <f t="shared" si="10806"/>
        <v>2021</v>
      </c>
      <c r="E5700" s="1" t="str">
        <f t="shared" ref="E5700:P5700" si="10810">"0"</f>
        <v>0</v>
      </c>
      <c r="F5700" s="1" t="str">
        <f t="shared" si="10810"/>
        <v>0</v>
      </c>
      <c r="G5700" s="1" t="str">
        <f t="shared" si="10810"/>
        <v>0</v>
      </c>
      <c r="H5700" s="1" t="str">
        <f t="shared" si="10810"/>
        <v>0</v>
      </c>
      <c r="I5700" s="1" t="str">
        <f t="shared" si="10810"/>
        <v>0</v>
      </c>
      <c r="J5700" s="1" t="str">
        <f t="shared" si="10810"/>
        <v>0</v>
      </c>
      <c r="K5700" s="1" t="str">
        <f t="shared" si="10810"/>
        <v>0</v>
      </c>
      <c r="L5700" s="1" t="str">
        <f t="shared" si="10810"/>
        <v>0</v>
      </c>
      <c r="M5700" s="1" t="str">
        <f t="shared" si="10810"/>
        <v>0</v>
      </c>
      <c r="N5700" s="1" t="str">
        <f t="shared" si="10810"/>
        <v>0</v>
      </c>
      <c r="O5700" s="1" t="str">
        <f t="shared" si="10810"/>
        <v>0</v>
      </c>
      <c r="P5700" s="1" t="str">
        <f t="shared" si="10810"/>
        <v>0</v>
      </c>
      <c r="Q5700" s="1" t="str">
        <f t="shared" si="10808"/>
        <v>0.0070</v>
      </c>
      <c r="R5700" s="1" t="s">
        <v>25</v>
      </c>
      <c r="T5700" s="1" t="str">
        <f t="shared" si="10809"/>
        <v>0</v>
      </c>
      <c r="U5700" s="1" t="str">
        <f t="shared" si="10745"/>
        <v>0.0070</v>
      </c>
    </row>
    <row r="5701" s="1" customFormat="1" spans="1:21">
      <c r="A5701" s="1" t="str">
        <f>"4601992201053"</f>
        <v>4601992201053</v>
      </c>
      <c r="B5701" s="1" t="s">
        <v>5724</v>
      </c>
      <c r="C5701" s="1" t="s">
        <v>24</v>
      </c>
      <c r="D5701" s="1" t="str">
        <f t="shared" si="10806"/>
        <v>2021</v>
      </c>
      <c r="E5701" s="1" t="str">
        <f t="shared" ref="E5701:P5701" si="10811">"0"</f>
        <v>0</v>
      </c>
      <c r="F5701" s="1" t="str">
        <f t="shared" si="10811"/>
        <v>0</v>
      </c>
      <c r="G5701" s="1" t="str">
        <f t="shared" si="10811"/>
        <v>0</v>
      </c>
      <c r="H5701" s="1" t="str">
        <f t="shared" si="10811"/>
        <v>0</v>
      </c>
      <c r="I5701" s="1" t="str">
        <f t="shared" si="10811"/>
        <v>0</v>
      </c>
      <c r="J5701" s="1" t="str">
        <f t="shared" si="10811"/>
        <v>0</v>
      </c>
      <c r="K5701" s="1" t="str">
        <f t="shared" si="10811"/>
        <v>0</v>
      </c>
      <c r="L5701" s="1" t="str">
        <f t="shared" si="10811"/>
        <v>0</v>
      </c>
      <c r="M5701" s="1" t="str">
        <f t="shared" si="10811"/>
        <v>0</v>
      </c>
      <c r="N5701" s="1" t="str">
        <f t="shared" si="10811"/>
        <v>0</v>
      </c>
      <c r="O5701" s="1" t="str">
        <f t="shared" si="10811"/>
        <v>0</v>
      </c>
      <c r="P5701" s="1" t="str">
        <f t="shared" si="10811"/>
        <v>0</v>
      </c>
      <c r="Q5701" s="1" t="str">
        <f t="shared" si="10808"/>
        <v>0.0070</v>
      </c>
      <c r="R5701" s="1" t="s">
        <v>25</v>
      </c>
      <c r="T5701" s="1" t="str">
        <f t="shared" si="10809"/>
        <v>0</v>
      </c>
      <c r="U5701" s="1" t="str">
        <f t="shared" si="10745"/>
        <v>0.0070</v>
      </c>
    </row>
    <row r="5702" s="1" customFormat="1" spans="1:21">
      <c r="A5702" s="1" t="str">
        <f>"4601992201180"</f>
        <v>4601992201180</v>
      </c>
      <c r="B5702" s="1" t="s">
        <v>5725</v>
      </c>
      <c r="C5702" s="1" t="s">
        <v>24</v>
      </c>
      <c r="D5702" s="1" t="str">
        <f t="shared" si="10806"/>
        <v>2021</v>
      </c>
      <c r="E5702" s="1" t="str">
        <f t="shared" ref="E5702:P5702" si="10812">"0"</f>
        <v>0</v>
      </c>
      <c r="F5702" s="1" t="str">
        <f t="shared" si="10812"/>
        <v>0</v>
      </c>
      <c r="G5702" s="1" t="str">
        <f t="shared" si="10812"/>
        <v>0</v>
      </c>
      <c r="H5702" s="1" t="str">
        <f t="shared" si="10812"/>
        <v>0</v>
      </c>
      <c r="I5702" s="1" t="str">
        <f t="shared" si="10812"/>
        <v>0</v>
      </c>
      <c r="J5702" s="1" t="str">
        <f t="shared" si="10812"/>
        <v>0</v>
      </c>
      <c r="K5702" s="1" t="str">
        <f t="shared" si="10812"/>
        <v>0</v>
      </c>
      <c r="L5702" s="1" t="str">
        <f t="shared" si="10812"/>
        <v>0</v>
      </c>
      <c r="M5702" s="1" t="str">
        <f t="shared" si="10812"/>
        <v>0</v>
      </c>
      <c r="N5702" s="1" t="str">
        <f t="shared" si="10812"/>
        <v>0</v>
      </c>
      <c r="O5702" s="1" t="str">
        <f t="shared" si="10812"/>
        <v>0</v>
      </c>
      <c r="P5702" s="1" t="str">
        <f t="shared" si="10812"/>
        <v>0</v>
      </c>
      <c r="Q5702" s="1" t="str">
        <f t="shared" si="10808"/>
        <v>0.0070</v>
      </c>
      <c r="R5702" s="1" t="s">
        <v>25</v>
      </c>
      <c r="T5702" s="1" t="str">
        <f t="shared" si="10809"/>
        <v>0</v>
      </c>
      <c r="U5702" s="1" t="str">
        <f t="shared" si="10745"/>
        <v>0.0070</v>
      </c>
    </row>
    <row r="5703" s="1" customFormat="1" spans="1:21">
      <c r="A5703" s="1" t="str">
        <f>"4601992201061"</f>
        <v>4601992201061</v>
      </c>
      <c r="B5703" s="1" t="s">
        <v>5726</v>
      </c>
      <c r="C5703" s="1" t="s">
        <v>24</v>
      </c>
      <c r="D5703" s="1" t="str">
        <f t="shared" si="10806"/>
        <v>2021</v>
      </c>
      <c r="E5703" s="1" t="str">
        <f t="shared" ref="E5703:P5703" si="10813">"0"</f>
        <v>0</v>
      </c>
      <c r="F5703" s="1" t="str">
        <f t="shared" si="10813"/>
        <v>0</v>
      </c>
      <c r="G5703" s="1" t="str">
        <f t="shared" si="10813"/>
        <v>0</v>
      </c>
      <c r="H5703" s="1" t="str">
        <f t="shared" si="10813"/>
        <v>0</v>
      </c>
      <c r="I5703" s="1" t="str">
        <f t="shared" si="10813"/>
        <v>0</v>
      </c>
      <c r="J5703" s="1" t="str">
        <f t="shared" si="10813"/>
        <v>0</v>
      </c>
      <c r="K5703" s="1" t="str">
        <f t="shared" si="10813"/>
        <v>0</v>
      </c>
      <c r="L5703" s="1" t="str">
        <f t="shared" si="10813"/>
        <v>0</v>
      </c>
      <c r="M5703" s="1" t="str">
        <f t="shared" si="10813"/>
        <v>0</v>
      </c>
      <c r="N5703" s="1" t="str">
        <f t="shared" si="10813"/>
        <v>0</v>
      </c>
      <c r="O5703" s="1" t="str">
        <f t="shared" si="10813"/>
        <v>0</v>
      </c>
      <c r="P5703" s="1" t="str">
        <f t="shared" si="10813"/>
        <v>0</v>
      </c>
      <c r="Q5703" s="1" t="str">
        <f t="shared" si="10808"/>
        <v>0.0070</v>
      </c>
      <c r="R5703" s="1" t="s">
        <v>25</v>
      </c>
      <c r="T5703" s="1" t="str">
        <f t="shared" si="10809"/>
        <v>0</v>
      </c>
      <c r="U5703" s="1" t="str">
        <f t="shared" si="10745"/>
        <v>0.0070</v>
      </c>
    </row>
    <row r="5704" s="1" customFormat="1" spans="1:21">
      <c r="A5704" s="1" t="str">
        <f>"4601992201294"</f>
        <v>4601992201294</v>
      </c>
      <c r="B5704" s="1" t="s">
        <v>5727</v>
      </c>
      <c r="C5704" s="1" t="s">
        <v>24</v>
      </c>
      <c r="D5704" s="1" t="str">
        <f t="shared" si="10806"/>
        <v>2021</v>
      </c>
      <c r="E5704" s="1" t="str">
        <f t="shared" ref="E5704:P5704" si="10814">"0"</f>
        <v>0</v>
      </c>
      <c r="F5704" s="1" t="str">
        <f t="shared" si="10814"/>
        <v>0</v>
      </c>
      <c r="G5704" s="1" t="str">
        <f t="shared" si="10814"/>
        <v>0</v>
      </c>
      <c r="H5704" s="1" t="str">
        <f t="shared" si="10814"/>
        <v>0</v>
      </c>
      <c r="I5704" s="1" t="str">
        <f t="shared" si="10814"/>
        <v>0</v>
      </c>
      <c r="J5704" s="1" t="str">
        <f t="shared" si="10814"/>
        <v>0</v>
      </c>
      <c r="K5704" s="1" t="str">
        <f t="shared" si="10814"/>
        <v>0</v>
      </c>
      <c r="L5704" s="1" t="str">
        <f t="shared" si="10814"/>
        <v>0</v>
      </c>
      <c r="M5704" s="1" t="str">
        <f t="shared" si="10814"/>
        <v>0</v>
      </c>
      <c r="N5704" s="1" t="str">
        <f t="shared" si="10814"/>
        <v>0</v>
      </c>
      <c r="O5704" s="1" t="str">
        <f t="shared" si="10814"/>
        <v>0</v>
      </c>
      <c r="P5704" s="1" t="str">
        <f t="shared" si="10814"/>
        <v>0</v>
      </c>
      <c r="Q5704" s="1" t="str">
        <f t="shared" si="10808"/>
        <v>0.0070</v>
      </c>
      <c r="R5704" s="1" t="s">
        <v>25</v>
      </c>
      <c r="T5704" s="1" t="str">
        <f t="shared" si="10809"/>
        <v>0</v>
      </c>
      <c r="U5704" s="1" t="str">
        <f t="shared" si="10745"/>
        <v>0.0070</v>
      </c>
    </row>
    <row r="5705" s="1" customFormat="1" spans="1:21">
      <c r="A5705" s="1" t="str">
        <f>"4601992201348"</f>
        <v>4601992201348</v>
      </c>
      <c r="B5705" s="1" t="s">
        <v>5728</v>
      </c>
      <c r="C5705" s="1" t="s">
        <v>24</v>
      </c>
      <c r="D5705" s="1" t="str">
        <f t="shared" si="10806"/>
        <v>2021</v>
      </c>
      <c r="E5705" s="1" t="str">
        <f t="shared" ref="E5705:P5705" si="10815">"0"</f>
        <v>0</v>
      </c>
      <c r="F5705" s="1" t="str">
        <f t="shared" si="10815"/>
        <v>0</v>
      </c>
      <c r="G5705" s="1" t="str">
        <f t="shared" si="10815"/>
        <v>0</v>
      </c>
      <c r="H5705" s="1" t="str">
        <f t="shared" si="10815"/>
        <v>0</v>
      </c>
      <c r="I5705" s="1" t="str">
        <f t="shared" si="10815"/>
        <v>0</v>
      </c>
      <c r="J5705" s="1" t="str">
        <f t="shared" si="10815"/>
        <v>0</v>
      </c>
      <c r="K5705" s="1" t="str">
        <f t="shared" si="10815"/>
        <v>0</v>
      </c>
      <c r="L5705" s="1" t="str">
        <f t="shared" si="10815"/>
        <v>0</v>
      </c>
      <c r="M5705" s="1" t="str">
        <f t="shared" si="10815"/>
        <v>0</v>
      </c>
      <c r="N5705" s="1" t="str">
        <f t="shared" si="10815"/>
        <v>0</v>
      </c>
      <c r="O5705" s="1" t="str">
        <f t="shared" si="10815"/>
        <v>0</v>
      </c>
      <c r="P5705" s="1" t="str">
        <f t="shared" si="10815"/>
        <v>0</v>
      </c>
      <c r="Q5705" s="1" t="str">
        <f t="shared" si="10808"/>
        <v>0.0070</v>
      </c>
      <c r="R5705" s="1" t="s">
        <v>25</v>
      </c>
      <c r="T5705" s="1" t="str">
        <f t="shared" si="10809"/>
        <v>0</v>
      </c>
      <c r="U5705" s="1" t="str">
        <f t="shared" si="10745"/>
        <v>0.0070</v>
      </c>
    </row>
    <row r="5706" s="1" customFormat="1" spans="1:21">
      <c r="A5706" s="1" t="str">
        <f>"4601992201461"</f>
        <v>4601992201461</v>
      </c>
      <c r="B5706" s="1" t="s">
        <v>5729</v>
      </c>
      <c r="C5706" s="1" t="s">
        <v>24</v>
      </c>
      <c r="D5706" s="1" t="str">
        <f t="shared" si="10806"/>
        <v>2021</v>
      </c>
      <c r="E5706" s="1" t="str">
        <f t="shared" ref="E5706:P5706" si="10816">"0"</f>
        <v>0</v>
      </c>
      <c r="F5706" s="1" t="str">
        <f t="shared" si="10816"/>
        <v>0</v>
      </c>
      <c r="G5706" s="1" t="str">
        <f t="shared" si="10816"/>
        <v>0</v>
      </c>
      <c r="H5706" s="1" t="str">
        <f t="shared" si="10816"/>
        <v>0</v>
      </c>
      <c r="I5706" s="1" t="str">
        <f t="shared" si="10816"/>
        <v>0</v>
      </c>
      <c r="J5706" s="1" t="str">
        <f t="shared" si="10816"/>
        <v>0</v>
      </c>
      <c r="K5706" s="1" t="str">
        <f t="shared" si="10816"/>
        <v>0</v>
      </c>
      <c r="L5706" s="1" t="str">
        <f t="shared" si="10816"/>
        <v>0</v>
      </c>
      <c r="M5706" s="1" t="str">
        <f t="shared" si="10816"/>
        <v>0</v>
      </c>
      <c r="N5706" s="1" t="str">
        <f t="shared" si="10816"/>
        <v>0</v>
      </c>
      <c r="O5706" s="1" t="str">
        <f t="shared" si="10816"/>
        <v>0</v>
      </c>
      <c r="P5706" s="1" t="str">
        <f t="shared" si="10816"/>
        <v>0</v>
      </c>
      <c r="Q5706" s="1" t="str">
        <f t="shared" si="10808"/>
        <v>0.0070</v>
      </c>
      <c r="R5706" s="1" t="s">
        <v>25</v>
      </c>
      <c r="T5706" s="1" t="str">
        <f t="shared" si="10809"/>
        <v>0</v>
      </c>
      <c r="U5706" s="1" t="str">
        <f t="shared" si="10745"/>
        <v>0.0070</v>
      </c>
    </row>
    <row r="5707" s="1" customFormat="1" spans="1:21">
      <c r="A5707" s="1" t="str">
        <f>"4601992201515"</f>
        <v>4601992201515</v>
      </c>
      <c r="B5707" s="1" t="s">
        <v>5730</v>
      </c>
      <c r="C5707" s="1" t="s">
        <v>24</v>
      </c>
      <c r="D5707" s="1" t="str">
        <f t="shared" si="10806"/>
        <v>2021</v>
      </c>
      <c r="E5707" s="1" t="str">
        <f t="shared" ref="E5707:P5707" si="10817">"0"</f>
        <v>0</v>
      </c>
      <c r="F5707" s="1" t="str">
        <f t="shared" si="10817"/>
        <v>0</v>
      </c>
      <c r="G5707" s="1" t="str">
        <f t="shared" si="10817"/>
        <v>0</v>
      </c>
      <c r="H5707" s="1" t="str">
        <f t="shared" si="10817"/>
        <v>0</v>
      </c>
      <c r="I5707" s="1" t="str">
        <f t="shared" si="10817"/>
        <v>0</v>
      </c>
      <c r="J5707" s="1" t="str">
        <f t="shared" si="10817"/>
        <v>0</v>
      </c>
      <c r="K5707" s="1" t="str">
        <f t="shared" si="10817"/>
        <v>0</v>
      </c>
      <c r="L5707" s="1" t="str">
        <f t="shared" si="10817"/>
        <v>0</v>
      </c>
      <c r="M5707" s="1" t="str">
        <f t="shared" si="10817"/>
        <v>0</v>
      </c>
      <c r="N5707" s="1" t="str">
        <f t="shared" si="10817"/>
        <v>0</v>
      </c>
      <c r="O5707" s="1" t="str">
        <f t="shared" si="10817"/>
        <v>0</v>
      </c>
      <c r="P5707" s="1" t="str">
        <f t="shared" si="10817"/>
        <v>0</v>
      </c>
      <c r="Q5707" s="1" t="str">
        <f t="shared" si="10808"/>
        <v>0.0070</v>
      </c>
      <c r="R5707" s="1" t="s">
        <v>25</v>
      </c>
      <c r="T5707" s="1" t="str">
        <f t="shared" si="10809"/>
        <v>0</v>
      </c>
      <c r="U5707" s="1" t="str">
        <f t="shared" si="10745"/>
        <v>0.0070</v>
      </c>
    </row>
    <row r="5708" s="1" customFormat="1" spans="1:21">
      <c r="A5708" s="1" t="str">
        <f>"4601992201553"</f>
        <v>4601992201553</v>
      </c>
      <c r="B5708" s="1" t="s">
        <v>5731</v>
      </c>
      <c r="C5708" s="1" t="s">
        <v>24</v>
      </c>
      <c r="D5708" s="1" t="str">
        <f t="shared" si="10806"/>
        <v>2021</v>
      </c>
      <c r="E5708" s="1" t="str">
        <f t="shared" ref="E5708:P5708" si="10818">"0"</f>
        <v>0</v>
      </c>
      <c r="F5708" s="1" t="str">
        <f t="shared" si="10818"/>
        <v>0</v>
      </c>
      <c r="G5708" s="1" t="str">
        <f t="shared" si="10818"/>
        <v>0</v>
      </c>
      <c r="H5708" s="1" t="str">
        <f t="shared" si="10818"/>
        <v>0</v>
      </c>
      <c r="I5708" s="1" t="str">
        <f t="shared" si="10818"/>
        <v>0</v>
      </c>
      <c r="J5708" s="1" t="str">
        <f t="shared" si="10818"/>
        <v>0</v>
      </c>
      <c r="K5708" s="1" t="str">
        <f t="shared" si="10818"/>
        <v>0</v>
      </c>
      <c r="L5708" s="1" t="str">
        <f t="shared" si="10818"/>
        <v>0</v>
      </c>
      <c r="M5708" s="1" t="str">
        <f t="shared" si="10818"/>
        <v>0</v>
      </c>
      <c r="N5708" s="1" t="str">
        <f t="shared" si="10818"/>
        <v>0</v>
      </c>
      <c r="O5708" s="1" t="str">
        <f t="shared" si="10818"/>
        <v>0</v>
      </c>
      <c r="P5708" s="1" t="str">
        <f t="shared" si="10818"/>
        <v>0</v>
      </c>
      <c r="Q5708" s="1" t="str">
        <f t="shared" si="10808"/>
        <v>0.0070</v>
      </c>
      <c r="R5708" s="1" t="s">
        <v>25</v>
      </c>
      <c r="T5708" s="1" t="str">
        <f t="shared" si="10809"/>
        <v>0</v>
      </c>
      <c r="U5708" s="1" t="str">
        <f t="shared" ref="U5708:U5771" si="10819">"0.0070"</f>
        <v>0.0070</v>
      </c>
    </row>
    <row r="5709" s="1" customFormat="1" spans="1:21">
      <c r="A5709" s="1" t="str">
        <f>"4601992201638"</f>
        <v>4601992201638</v>
      </c>
      <c r="B5709" s="1" t="s">
        <v>5732</v>
      </c>
      <c r="C5709" s="1" t="s">
        <v>24</v>
      </c>
      <c r="D5709" s="1" t="str">
        <f t="shared" si="10806"/>
        <v>2021</v>
      </c>
      <c r="E5709" s="1" t="str">
        <f t="shared" ref="E5709:P5709" si="10820">"0"</f>
        <v>0</v>
      </c>
      <c r="F5709" s="1" t="str">
        <f t="shared" si="10820"/>
        <v>0</v>
      </c>
      <c r="G5709" s="1" t="str">
        <f t="shared" si="10820"/>
        <v>0</v>
      </c>
      <c r="H5709" s="1" t="str">
        <f t="shared" si="10820"/>
        <v>0</v>
      </c>
      <c r="I5709" s="1" t="str">
        <f t="shared" si="10820"/>
        <v>0</v>
      </c>
      <c r="J5709" s="1" t="str">
        <f t="shared" si="10820"/>
        <v>0</v>
      </c>
      <c r="K5709" s="1" t="str">
        <f t="shared" si="10820"/>
        <v>0</v>
      </c>
      <c r="L5709" s="1" t="str">
        <f t="shared" si="10820"/>
        <v>0</v>
      </c>
      <c r="M5709" s="1" t="str">
        <f t="shared" si="10820"/>
        <v>0</v>
      </c>
      <c r="N5709" s="1" t="str">
        <f t="shared" si="10820"/>
        <v>0</v>
      </c>
      <c r="O5709" s="1" t="str">
        <f t="shared" si="10820"/>
        <v>0</v>
      </c>
      <c r="P5709" s="1" t="str">
        <f t="shared" si="10820"/>
        <v>0</v>
      </c>
      <c r="Q5709" s="1" t="str">
        <f t="shared" si="10808"/>
        <v>0.0070</v>
      </c>
      <c r="R5709" s="1" t="s">
        <v>25</v>
      </c>
      <c r="T5709" s="1" t="str">
        <f t="shared" si="10809"/>
        <v>0</v>
      </c>
      <c r="U5709" s="1" t="str">
        <f t="shared" si="10819"/>
        <v>0.0070</v>
      </c>
    </row>
    <row r="5710" s="1" customFormat="1" spans="1:21">
      <c r="A5710" s="1" t="str">
        <f>"4601992201731"</f>
        <v>4601992201731</v>
      </c>
      <c r="B5710" s="1" t="s">
        <v>5733</v>
      </c>
      <c r="C5710" s="1" t="s">
        <v>24</v>
      </c>
      <c r="D5710" s="1" t="str">
        <f t="shared" si="10806"/>
        <v>2021</v>
      </c>
      <c r="E5710" s="1" t="str">
        <f t="shared" ref="E5710:P5710" si="10821">"0"</f>
        <v>0</v>
      </c>
      <c r="F5710" s="1" t="str">
        <f t="shared" si="10821"/>
        <v>0</v>
      </c>
      <c r="G5710" s="1" t="str">
        <f t="shared" si="10821"/>
        <v>0</v>
      </c>
      <c r="H5710" s="1" t="str">
        <f t="shared" si="10821"/>
        <v>0</v>
      </c>
      <c r="I5710" s="1" t="str">
        <f t="shared" si="10821"/>
        <v>0</v>
      </c>
      <c r="J5710" s="1" t="str">
        <f t="shared" si="10821"/>
        <v>0</v>
      </c>
      <c r="K5710" s="1" t="str">
        <f t="shared" si="10821"/>
        <v>0</v>
      </c>
      <c r="L5710" s="1" t="str">
        <f t="shared" si="10821"/>
        <v>0</v>
      </c>
      <c r="M5710" s="1" t="str">
        <f t="shared" si="10821"/>
        <v>0</v>
      </c>
      <c r="N5710" s="1" t="str">
        <f t="shared" si="10821"/>
        <v>0</v>
      </c>
      <c r="O5710" s="1" t="str">
        <f t="shared" si="10821"/>
        <v>0</v>
      </c>
      <c r="P5710" s="1" t="str">
        <f t="shared" si="10821"/>
        <v>0</v>
      </c>
      <c r="Q5710" s="1" t="str">
        <f t="shared" si="10808"/>
        <v>0.0070</v>
      </c>
      <c r="R5710" s="1" t="s">
        <v>25</v>
      </c>
      <c r="T5710" s="1" t="str">
        <f t="shared" si="10809"/>
        <v>0</v>
      </c>
      <c r="U5710" s="1" t="str">
        <f t="shared" si="10819"/>
        <v>0.0070</v>
      </c>
    </row>
    <row r="5711" s="1" customFormat="1" spans="1:21">
      <c r="A5711" s="1" t="str">
        <f>"4601992201808"</f>
        <v>4601992201808</v>
      </c>
      <c r="B5711" s="1" t="s">
        <v>5734</v>
      </c>
      <c r="C5711" s="1" t="s">
        <v>24</v>
      </c>
      <c r="D5711" s="1" t="str">
        <f t="shared" si="10806"/>
        <v>2021</v>
      </c>
      <c r="E5711" s="1" t="str">
        <f t="shared" ref="E5711:P5711" si="10822">"0"</f>
        <v>0</v>
      </c>
      <c r="F5711" s="1" t="str">
        <f t="shared" si="10822"/>
        <v>0</v>
      </c>
      <c r="G5711" s="1" t="str">
        <f t="shared" si="10822"/>
        <v>0</v>
      </c>
      <c r="H5711" s="1" t="str">
        <f t="shared" si="10822"/>
        <v>0</v>
      </c>
      <c r="I5711" s="1" t="str">
        <f t="shared" si="10822"/>
        <v>0</v>
      </c>
      <c r="J5711" s="1" t="str">
        <f t="shared" si="10822"/>
        <v>0</v>
      </c>
      <c r="K5711" s="1" t="str">
        <f t="shared" si="10822"/>
        <v>0</v>
      </c>
      <c r="L5711" s="1" t="str">
        <f t="shared" si="10822"/>
        <v>0</v>
      </c>
      <c r="M5711" s="1" t="str">
        <f t="shared" si="10822"/>
        <v>0</v>
      </c>
      <c r="N5711" s="1" t="str">
        <f t="shared" si="10822"/>
        <v>0</v>
      </c>
      <c r="O5711" s="1" t="str">
        <f t="shared" si="10822"/>
        <v>0</v>
      </c>
      <c r="P5711" s="1" t="str">
        <f t="shared" si="10822"/>
        <v>0</v>
      </c>
      <c r="Q5711" s="1" t="str">
        <f t="shared" si="10808"/>
        <v>0.0070</v>
      </c>
      <c r="R5711" s="1" t="s">
        <v>25</v>
      </c>
      <c r="T5711" s="1" t="str">
        <f t="shared" si="10809"/>
        <v>0</v>
      </c>
      <c r="U5711" s="1" t="str">
        <f t="shared" si="10819"/>
        <v>0.0070</v>
      </c>
    </row>
    <row r="5712" s="1" customFormat="1" spans="1:21">
      <c r="A5712" s="1" t="str">
        <f>"4601992202156"</f>
        <v>4601992202156</v>
      </c>
      <c r="B5712" s="1" t="s">
        <v>5735</v>
      </c>
      <c r="C5712" s="1" t="s">
        <v>24</v>
      </c>
      <c r="D5712" s="1" t="str">
        <f t="shared" si="10806"/>
        <v>2021</v>
      </c>
      <c r="E5712" s="1" t="str">
        <f t="shared" ref="E5712:P5712" si="10823">"0"</f>
        <v>0</v>
      </c>
      <c r="F5712" s="1" t="str">
        <f t="shared" si="10823"/>
        <v>0</v>
      </c>
      <c r="G5712" s="1" t="str">
        <f t="shared" si="10823"/>
        <v>0</v>
      </c>
      <c r="H5712" s="1" t="str">
        <f t="shared" si="10823"/>
        <v>0</v>
      </c>
      <c r="I5712" s="1" t="str">
        <f t="shared" si="10823"/>
        <v>0</v>
      </c>
      <c r="J5712" s="1" t="str">
        <f t="shared" si="10823"/>
        <v>0</v>
      </c>
      <c r="K5712" s="1" t="str">
        <f t="shared" si="10823"/>
        <v>0</v>
      </c>
      <c r="L5712" s="1" t="str">
        <f t="shared" si="10823"/>
        <v>0</v>
      </c>
      <c r="M5712" s="1" t="str">
        <f t="shared" si="10823"/>
        <v>0</v>
      </c>
      <c r="N5712" s="1" t="str">
        <f t="shared" si="10823"/>
        <v>0</v>
      </c>
      <c r="O5712" s="1" t="str">
        <f t="shared" si="10823"/>
        <v>0</v>
      </c>
      <c r="P5712" s="1" t="str">
        <f t="shared" si="10823"/>
        <v>0</v>
      </c>
      <c r="Q5712" s="1" t="str">
        <f t="shared" si="10808"/>
        <v>0.0070</v>
      </c>
      <c r="R5712" s="1" t="s">
        <v>25</v>
      </c>
      <c r="T5712" s="1" t="str">
        <f t="shared" si="10809"/>
        <v>0</v>
      </c>
      <c r="U5712" s="1" t="str">
        <f t="shared" si="10819"/>
        <v>0.0070</v>
      </c>
    </row>
    <row r="5713" s="1" customFormat="1" spans="1:21">
      <c r="A5713" s="1" t="str">
        <f>"4601992202399"</f>
        <v>4601992202399</v>
      </c>
      <c r="B5713" s="1" t="s">
        <v>5736</v>
      </c>
      <c r="C5713" s="1" t="s">
        <v>24</v>
      </c>
      <c r="D5713" s="1" t="str">
        <f t="shared" si="10806"/>
        <v>2021</v>
      </c>
      <c r="E5713" s="1" t="str">
        <f t="shared" ref="E5713:P5713" si="10824">"0"</f>
        <v>0</v>
      </c>
      <c r="F5713" s="1" t="str">
        <f t="shared" si="10824"/>
        <v>0</v>
      </c>
      <c r="G5713" s="1" t="str">
        <f t="shared" si="10824"/>
        <v>0</v>
      </c>
      <c r="H5713" s="1" t="str">
        <f t="shared" si="10824"/>
        <v>0</v>
      </c>
      <c r="I5713" s="1" t="str">
        <f t="shared" si="10824"/>
        <v>0</v>
      </c>
      <c r="J5713" s="1" t="str">
        <f t="shared" si="10824"/>
        <v>0</v>
      </c>
      <c r="K5713" s="1" t="str">
        <f t="shared" si="10824"/>
        <v>0</v>
      </c>
      <c r="L5713" s="1" t="str">
        <f t="shared" si="10824"/>
        <v>0</v>
      </c>
      <c r="M5713" s="1" t="str">
        <f t="shared" si="10824"/>
        <v>0</v>
      </c>
      <c r="N5713" s="1" t="str">
        <f t="shared" si="10824"/>
        <v>0</v>
      </c>
      <c r="O5713" s="1" t="str">
        <f t="shared" si="10824"/>
        <v>0</v>
      </c>
      <c r="P5713" s="1" t="str">
        <f t="shared" si="10824"/>
        <v>0</v>
      </c>
      <c r="Q5713" s="1" t="str">
        <f t="shared" si="10808"/>
        <v>0.0070</v>
      </c>
      <c r="R5713" s="1" t="s">
        <v>25</v>
      </c>
      <c r="T5713" s="1" t="str">
        <f t="shared" si="10809"/>
        <v>0</v>
      </c>
      <c r="U5713" s="1" t="str">
        <f t="shared" si="10819"/>
        <v>0.0070</v>
      </c>
    </row>
    <row r="5714" s="1" customFormat="1" spans="1:21">
      <c r="A5714" s="1" t="str">
        <f>"4601992202578"</f>
        <v>4601992202578</v>
      </c>
      <c r="B5714" s="1" t="s">
        <v>5737</v>
      </c>
      <c r="C5714" s="1" t="s">
        <v>24</v>
      </c>
      <c r="D5714" s="1" t="str">
        <f t="shared" si="10806"/>
        <v>2021</v>
      </c>
      <c r="E5714" s="1" t="str">
        <f t="shared" ref="E5714:P5714" si="10825">"0"</f>
        <v>0</v>
      </c>
      <c r="F5714" s="1" t="str">
        <f t="shared" si="10825"/>
        <v>0</v>
      </c>
      <c r="G5714" s="1" t="str">
        <f t="shared" si="10825"/>
        <v>0</v>
      </c>
      <c r="H5714" s="1" t="str">
        <f t="shared" si="10825"/>
        <v>0</v>
      </c>
      <c r="I5714" s="1" t="str">
        <f t="shared" si="10825"/>
        <v>0</v>
      </c>
      <c r="J5714" s="1" t="str">
        <f t="shared" si="10825"/>
        <v>0</v>
      </c>
      <c r="K5714" s="1" t="str">
        <f t="shared" si="10825"/>
        <v>0</v>
      </c>
      <c r="L5714" s="1" t="str">
        <f t="shared" si="10825"/>
        <v>0</v>
      </c>
      <c r="M5714" s="1" t="str">
        <f t="shared" si="10825"/>
        <v>0</v>
      </c>
      <c r="N5714" s="1" t="str">
        <f t="shared" si="10825"/>
        <v>0</v>
      </c>
      <c r="O5714" s="1" t="str">
        <f t="shared" si="10825"/>
        <v>0</v>
      </c>
      <c r="P5714" s="1" t="str">
        <f t="shared" si="10825"/>
        <v>0</v>
      </c>
      <c r="Q5714" s="1" t="str">
        <f t="shared" si="10808"/>
        <v>0.0070</v>
      </c>
      <c r="R5714" s="1" t="s">
        <v>25</v>
      </c>
      <c r="T5714" s="1" t="str">
        <f t="shared" si="10809"/>
        <v>0</v>
      </c>
      <c r="U5714" s="1" t="str">
        <f t="shared" si="10819"/>
        <v>0.0070</v>
      </c>
    </row>
    <row r="5715" s="1" customFormat="1" spans="1:21">
      <c r="A5715" s="1" t="str">
        <f>"4601992202656"</f>
        <v>4601992202656</v>
      </c>
      <c r="B5715" s="1" t="s">
        <v>5738</v>
      </c>
      <c r="C5715" s="1" t="s">
        <v>24</v>
      </c>
      <c r="D5715" s="1" t="str">
        <f t="shared" si="10806"/>
        <v>2021</v>
      </c>
      <c r="E5715" s="1" t="str">
        <f t="shared" ref="E5715:P5715" si="10826">"0"</f>
        <v>0</v>
      </c>
      <c r="F5715" s="1" t="str">
        <f t="shared" si="10826"/>
        <v>0</v>
      </c>
      <c r="G5715" s="1" t="str">
        <f t="shared" si="10826"/>
        <v>0</v>
      </c>
      <c r="H5715" s="1" t="str">
        <f t="shared" si="10826"/>
        <v>0</v>
      </c>
      <c r="I5715" s="1" t="str">
        <f t="shared" si="10826"/>
        <v>0</v>
      </c>
      <c r="J5715" s="1" t="str">
        <f t="shared" si="10826"/>
        <v>0</v>
      </c>
      <c r="K5715" s="1" t="str">
        <f t="shared" si="10826"/>
        <v>0</v>
      </c>
      <c r="L5715" s="1" t="str">
        <f t="shared" si="10826"/>
        <v>0</v>
      </c>
      <c r="M5715" s="1" t="str">
        <f t="shared" si="10826"/>
        <v>0</v>
      </c>
      <c r="N5715" s="1" t="str">
        <f t="shared" si="10826"/>
        <v>0</v>
      </c>
      <c r="O5715" s="1" t="str">
        <f t="shared" si="10826"/>
        <v>0</v>
      </c>
      <c r="P5715" s="1" t="str">
        <f t="shared" si="10826"/>
        <v>0</v>
      </c>
      <c r="Q5715" s="1" t="str">
        <f t="shared" si="10808"/>
        <v>0.0070</v>
      </c>
      <c r="R5715" s="1" t="s">
        <v>25</v>
      </c>
      <c r="T5715" s="1" t="str">
        <f t="shared" si="10809"/>
        <v>0</v>
      </c>
      <c r="U5715" s="1" t="str">
        <f t="shared" si="10819"/>
        <v>0.0070</v>
      </c>
    </row>
    <row r="5716" s="1" customFormat="1" spans="1:21">
      <c r="A5716" s="1" t="str">
        <f>"4601992202894"</f>
        <v>4601992202894</v>
      </c>
      <c r="B5716" s="1" t="s">
        <v>5739</v>
      </c>
      <c r="C5716" s="1" t="s">
        <v>24</v>
      </c>
      <c r="D5716" s="1" t="str">
        <f t="shared" si="10806"/>
        <v>2021</v>
      </c>
      <c r="E5716" s="1" t="str">
        <f t="shared" ref="E5716:P5716" si="10827">"0"</f>
        <v>0</v>
      </c>
      <c r="F5716" s="1" t="str">
        <f t="shared" si="10827"/>
        <v>0</v>
      </c>
      <c r="G5716" s="1" t="str">
        <f t="shared" si="10827"/>
        <v>0</v>
      </c>
      <c r="H5716" s="1" t="str">
        <f t="shared" si="10827"/>
        <v>0</v>
      </c>
      <c r="I5716" s="1" t="str">
        <f t="shared" si="10827"/>
        <v>0</v>
      </c>
      <c r="J5716" s="1" t="str">
        <f t="shared" si="10827"/>
        <v>0</v>
      </c>
      <c r="K5716" s="1" t="str">
        <f t="shared" si="10827"/>
        <v>0</v>
      </c>
      <c r="L5716" s="1" t="str">
        <f t="shared" si="10827"/>
        <v>0</v>
      </c>
      <c r="M5716" s="1" t="str">
        <f t="shared" si="10827"/>
        <v>0</v>
      </c>
      <c r="N5716" s="1" t="str">
        <f t="shared" si="10827"/>
        <v>0</v>
      </c>
      <c r="O5716" s="1" t="str">
        <f t="shared" si="10827"/>
        <v>0</v>
      </c>
      <c r="P5716" s="1" t="str">
        <f t="shared" si="10827"/>
        <v>0</v>
      </c>
      <c r="Q5716" s="1" t="str">
        <f t="shared" si="10808"/>
        <v>0.0070</v>
      </c>
      <c r="R5716" s="1" t="s">
        <v>25</v>
      </c>
      <c r="T5716" s="1" t="str">
        <f t="shared" si="10809"/>
        <v>0</v>
      </c>
      <c r="U5716" s="1" t="str">
        <f t="shared" si="10819"/>
        <v>0.0070</v>
      </c>
    </row>
    <row r="5717" s="1" customFormat="1" spans="1:21">
      <c r="A5717" s="1" t="str">
        <f>"4601992203231"</f>
        <v>4601992203231</v>
      </c>
      <c r="B5717" s="1" t="s">
        <v>5740</v>
      </c>
      <c r="C5717" s="1" t="s">
        <v>24</v>
      </c>
      <c r="D5717" s="1" t="str">
        <f t="shared" si="10806"/>
        <v>2021</v>
      </c>
      <c r="E5717" s="1" t="str">
        <f t="shared" ref="E5717:P5717" si="10828">"0"</f>
        <v>0</v>
      </c>
      <c r="F5717" s="1" t="str">
        <f t="shared" si="10828"/>
        <v>0</v>
      </c>
      <c r="G5717" s="1" t="str">
        <f t="shared" si="10828"/>
        <v>0</v>
      </c>
      <c r="H5717" s="1" t="str">
        <f t="shared" si="10828"/>
        <v>0</v>
      </c>
      <c r="I5717" s="1" t="str">
        <f t="shared" si="10828"/>
        <v>0</v>
      </c>
      <c r="J5717" s="1" t="str">
        <f t="shared" si="10828"/>
        <v>0</v>
      </c>
      <c r="K5717" s="1" t="str">
        <f t="shared" si="10828"/>
        <v>0</v>
      </c>
      <c r="L5717" s="1" t="str">
        <f t="shared" si="10828"/>
        <v>0</v>
      </c>
      <c r="M5717" s="1" t="str">
        <f t="shared" si="10828"/>
        <v>0</v>
      </c>
      <c r="N5717" s="1" t="str">
        <f t="shared" si="10828"/>
        <v>0</v>
      </c>
      <c r="O5717" s="1" t="str">
        <f t="shared" si="10828"/>
        <v>0</v>
      </c>
      <c r="P5717" s="1" t="str">
        <f t="shared" si="10828"/>
        <v>0</v>
      </c>
      <c r="Q5717" s="1" t="str">
        <f t="shared" si="10808"/>
        <v>0.0070</v>
      </c>
      <c r="R5717" s="1" t="s">
        <v>25</v>
      </c>
      <c r="T5717" s="1" t="str">
        <f t="shared" si="10809"/>
        <v>0</v>
      </c>
      <c r="U5717" s="1" t="str">
        <f t="shared" si="10819"/>
        <v>0.0070</v>
      </c>
    </row>
    <row r="5718" s="1" customFormat="1" spans="1:21">
      <c r="A5718" s="1" t="str">
        <f>"4601992203659"</f>
        <v>4601992203659</v>
      </c>
      <c r="B5718" s="1" t="s">
        <v>5741</v>
      </c>
      <c r="C5718" s="1" t="s">
        <v>24</v>
      </c>
      <c r="D5718" s="1" t="str">
        <f t="shared" si="10806"/>
        <v>2021</v>
      </c>
      <c r="E5718" s="1" t="str">
        <f t="shared" ref="E5718:P5718" si="10829">"0"</f>
        <v>0</v>
      </c>
      <c r="F5718" s="1" t="str">
        <f t="shared" si="10829"/>
        <v>0</v>
      </c>
      <c r="G5718" s="1" t="str">
        <f t="shared" si="10829"/>
        <v>0</v>
      </c>
      <c r="H5718" s="1" t="str">
        <f t="shared" si="10829"/>
        <v>0</v>
      </c>
      <c r="I5718" s="1" t="str">
        <f t="shared" si="10829"/>
        <v>0</v>
      </c>
      <c r="J5718" s="1" t="str">
        <f t="shared" si="10829"/>
        <v>0</v>
      </c>
      <c r="K5718" s="1" t="str">
        <f t="shared" si="10829"/>
        <v>0</v>
      </c>
      <c r="L5718" s="1" t="str">
        <f t="shared" si="10829"/>
        <v>0</v>
      </c>
      <c r="M5718" s="1" t="str">
        <f t="shared" si="10829"/>
        <v>0</v>
      </c>
      <c r="N5718" s="1" t="str">
        <f t="shared" si="10829"/>
        <v>0</v>
      </c>
      <c r="O5718" s="1" t="str">
        <f t="shared" si="10829"/>
        <v>0</v>
      </c>
      <c r="P5718" s="1" t="str">
        <f t="shared" si="10829"/>
        <v>0</v>
      </c>
      <c r="Q5718" s="1" t="str">
        <f t="shared" si="10808"/>
        <v>0.0070</v>
      </c>
      <c r="R5718" s="1" t="s">
        <v>25</v>
      </c>
      <c r="T5718" s="1" t="str">
        <f t="shared" si="10809"/>
        <v>0</v>
      </c>
      <c r="U5718" s="1" t="str">
        <f t="shared" si="10819"/>
        <v>0.0070</v>
      </c>
    </row>
    <row r="5719" s="1" customFormat="1" spans="1:21">
      <c r="A5719" s="1" t="str">
        <f>"4601992203685"</f>
        <v>4601992203685</v>
      </c>
      <c r="B5719" s="1" t="s">
        <v>5742</v>
      </c>
      <c r="C5719" s="1" t="s">
        <v>24</v>
      </c>
      <c r="D5719" s="1" t="str">
        <f t="shared" si="10806"/>
        <v>2021</v>
      </c>
      <c r="E5719" s="1" t="str">
        <f t="shared" ref="E5719:P5719" si="10830">"0"</f>
        <v>0</v>
      </c>
      <c r="F5719" s="1" t="str">
        <f t="shared" si="10830"/>
        <v>0</v>
      </c>
      <c r="G5719" s="1" t="str">
        <f t="shared" si="10830"/>
        <v>0</v>
      </c>
      <c r="H5719" s="1" t="str">
        <f t="shared" si="10830"/>
        <v>0</v>
      </c>
      <c r="I5719" s="1" t="str">
        <f t="shared" si="10830"/>
        <v>0</v>
      </c>
      <c r="J5719" s="1" t="str">
        <f t="shared" si="10830"/>
        <v>0</v>
      </c>
      <c r="K5719" s="1" t="str">
        <f t="shared" si="10830"/>
        <v>0</v>
      </c>
      <c r="L5719" s="1" t="str">
        <f t="shared" si="10830"/>
        <v>0</v>
      </c>
      <c r="M5719" s="1" t="str">
        <f t="shared" si="10830"/>
        <v>0</v>
      </c>
      <c r="N5719" s="1" t="str">
        <f t="shared" si="10830"/>
        <v>0</v>
      </c>
      <c r="O5719" s="1" t="str">
        <f t="shared" si="10830"/>
        <v>0</v>
      </c>
      <c r="P5719" s="1" t="str">
        <f t="shared" si="10830"/>
        <v>0</v>
      </c>
      <c r="Q5719" s="1" t="str">
        <f t="shared" si="10808"/>
        <v>0.0070</v>
      </c>
      <c r="R5719" s="1" t="s">
        <v>25</v>
      </c>
      <c r="T5719" s="1" t="str">
        <f t="shared" si="10809"/>
        <v>0</v>
      </c>
      <c r="U5719" s="1" t="str">
        <f t="shared" si="10819"/>
        <v>0.0070</v>
      </c>
    </row>
    <row r="5720" s="1" customFormat="1" spans="1:21">
      <c r="A5720" s="1" t="str">
        <f>"4601992203739"</f>
        <v>4601992203739</v>
      </c>
      <c r="B5720" s="1" t="s">
        <v>5743</v>
      </c>
      <c r="C5720" s="1" t="s">
        <v>24</v>
      </c>
      <c r="D5720" s="1" t="str">
        <f t="shared" si="10806"/>
        <v>2021</v>
      </c>
      <c r="E5720" s="1" t="str">
        <f t="shared" ref="E5720:P5720" si="10831">"0"</f>
        <v>0</v>
      </c>
      <c r="F5720" s="1" t="str">
        <f t="shared" si="10831"/>
        <v>0</v>
      </c>
      <c r="G5720" s="1" t="str">
        <f t="shared" si="10831"/>
        <v>0</v>
      </c>
      <c r="H5720" s="1" t="str">
        <f t="shared" si="10831"/>
        <v>0</v>
      </c>
      <c r="I5720" s="1" t="str">
        <f t="shared" si="10831"/>
        <v>0</v>
      </c>
      <c r="J5720" s="1" t="str">
        <f t="shared" si="10831"/>
        <v>0</v>
      </c>
      <c r="K5720" s="1" t="str">
        <f t="shared" si="10831"/>
        <v>0</v>
      </c>
      <c r="L5720" s="1" t="str">
        <f t="shared" si="10831"/>
        <v>0</v>
      </c>
      <c r="M5720" s="1" t="str">
        <f t="shared" si="10831"/>
        <v>0</v>
      </c>
      <c r="N5720" s="1" t="str">
        <f t="shared" si="10831"/>
        <v>0</v>
      </c>
      <c r="O5720" s="1" t="str">
        <f t="shared" si="10831"/>
        <v>0</v>
      </c>
      <c r="P5720" s="1" t="str">
        <f t="shared" si="10831"/>
        <v>0</v>
      </c>
      <c r="Q5720" s="1" t="str">
        <f t="shared" si="10808"/>
        <v>0.0070</v>
      </c>
      <c r="R5720" s="1" t="s">
        <v>25</v>
      </c>
      <c r="T5720" s="1" t="str">
        <f t="shared" si="10809"/>
        <v>0</v>
      </c>
      <c r="U5720" s="1" t="str">
        <f t="shared" si="10819"/>
        <v>0.0070</v>
      </c>
    </row>
    <row r="5721" s="1" customFormat="1" spans="1:21">
      <c r="A5721" s="1" t="str">
        <f>"4601992203740"</f>
        <v>4601992203740</v>
      </c>
      <c r="B5721" s="1" t="s">
        <v>5744</v>
      </c>
      <c r="C5721" s="1" t="s">
        <v>24</v>
      </c>
      <c r="D5721" s="1" t="str">
        <f t="shared" si="10806"/>
        <v>2021</v>
      </c>
      <c r="E5721" s="1" t="str">
        <f t="shared" ref="E5721:P5721" si="10832">"0"</f>
        <v>0</v>
      </c>
      <c r="F5721" s="1" t="str">
        <f t="shared" si="10832"/>
        <v>0</v>
      </c>
      <c r="G5721" s="1" t="str">
        <f t="shared" si="10832"/>
        <v>0</v>
      </c>
      <c r="H5721" s="1" t="str">
        <f t="shared" si="10832"/>
        <v>0</v>
      </c>
      <c r="I5721" s="1" t="str">
        <f t="shared" si="10832"/>
        <v>0</v>
      </c>
      <c r="J5721" s="1" t="str">
        <f t="shared" si="10832"/>
        <v>0</v>
      </c>
      <c r="K5721" s="1" t="str">
        <f t="shared" si="10832"/>
        <v>0</v>
      </c>
      <c r="L5721" s="1" t="str">
        <f t="shared" si="10832"/>
        <v>0</v>
      </c>
      <c r="M5721" s="1" t="str">
        <f t="shared" si="10832"/>
        <v>0</v>
      </c>
      <c r="N5721" s="1" t="str">
        <f t="shared" si="10832"/>
        <v>0</v>
      </c>
      <c r="O5721" s="1" t="str">
        <f t="shared" si="10832"/>
        <v>0</v>
      </c>
      <c r="P5721" s="1" t="str">
        <f t="shared" si="10832"/>
        <v>0</v>
      </c>
      <c r="Q5721" s="1" t="str">
        <f t="shared" si="10808"/>
        <v>0.0070</v>
      </c>
      <c r="R5721" s="1" t="s">
        <v>25</v>
      </c>
      <c r="T5721" s="1" t="str">
        <f t="shared" si="10809"/>
        <v>0</v>
      </c>
      <c r="U5721" s="1" t="str">
        <f t="shared" si="10819"/>
        <v>0.0070</v>
      </c>
    </row>
    <row r="5722" s="1" customFormat="1" spans="1:21">
      <c r="A5722" s="1" t="str">
        <f>"4601992203843"</f>
        <v>4601992203843</v>
      </c>
      <c r="B5722" s="1" t="s">
        <v>5745</v>
      </c>
      <c r="C5722" s="1" t="s">
        <v>24</v>
      </c>
      <c r="D5722" s="1" t="str">
        <f t="shared" si="10806"/>
        <v>2021</v>
      </c>
      <c r="E5722" s="1" t="str">
        <f t="shared" ref="E5722:P5722" si="10833">"0"</f>
        <v>0</v>
      </c>
      <c r="F5722" s="1" t="str">
        <f t="shared" si="10833"/>
        <v>0</v>
      </c>
      <c r="G5722" s="1" t="str">
        <f t="shared" si="10833"/>
        <v>0</v>
      </c>
      <c r="H5722" s="1" t="str">
        <f t="shared" si="10833"/>
        <v>0</v>
      </c>
      <c r="I5722" s="1" t="str">
        <f t="shared" si="10833"/>
        <v>0</v>
      </c>
      <c r="J5722" s="1" t="str">
        <f t="shared" si="10833"/>
        <v>0</v>
      </c>
      <c r="K5722" s="1" t="str">
        <f t="shared" si="10833"/>
        <v>0</v>
      </c>
      <c r="L5722" s="1" t="str">
        <f t="shared" si="10833"/>
        <v>0</v>
      </c>
      <c r="M5722" s="1" t="str">
        <f t="shared" si="10833"/>
        <v>0</v>
      </c>
      <c r="N5722" s="1" t="str">
        <f t="shared" si="10833"/>
        <v>0</v>
      </c>
      <c r="O5722" s="1" t="str">
        <f t="shared" si="10833"/>
        <v>0</v>
      </c>
      <c r="P5722" s="1" t="str">
        <f t="shared" si="10833"/>
        <v>0</v>
      </c>
      <c r="Q5722" s="1" t="str">
        <f t="shared" si="10808"/>
        <v>0.0070</v>
      </c>
      <c r="R5722" s="1" t="s">
        <v>25</v>
      </c>
      <c r="T5722" s="1" t="str">
        <f t="shared" si="10809"/>
        <v>0</v>
      </c>
      <c r="U5722" s="1" t="str">
        <f t="shared" si="10819"/>
        <v>0.0070</v>
      </c>
    </row>
    <row r="5723" s="1" customFormat="1" spans="1:21">
      <c r="A5723" s="1" t="str">
        <f>"4601992203506"</f>
        <v>4601992203506</v>
      </c>
      <c r="B5723" s="1" t="s">
        <v>5746</v>
      </c>
      <c r="C5723" s="1" t="s">
        <v>24</v>
      </c>
      <c r="D5723" s="1" t="str">
        <f t="shared" si="10806"/>
        <v>2021</v>
      </c>
      <c r="E5723" s="1" t="str">
        <f t="shared" ref="E5723:I5723" si="10834">"0"</f>
        <v>0</v>
      </c>
      <c r="F5723" s="1" t="str">
        <f t="shared" si="10834"/>
        <v>0</v>
      </c>
      <c r="G5723" s="1" t="str">
        <f t="shared" si="10834"/>
        <v>0</v>
      </c>
      <c r="H5723" s="1" t="str">
        <f t="shared" si="10834"/>
        <v>0</v>
      </c>
      <c r="I5723" s="1" t="str">
        <f t="shared" si="10834"/>
        <v>0</v>
      </c>
      <c r="J5723" s="1" t="str">
        <f>"3"</f>
        <v>3</v>
      </c>
      <c r="K5723" s="1" t="str">
        <f t="shared" ref="K5723:P5723" si="10835">"0"</f>
        <v>0</v>
      </c>
      <c r="L5723" s="1" t="str">
        <f t="shared" si="10835"/>
        <v>0</v>
      </c>
      <c r="M5723" s="1" t="str">
        <f t="shared" si="10835"/>
        <v>0</v>
      </c>
      <c r="N5723" s="1" t="str">
        <f t="shared" si="10835"/>
        <v>0</v>
      </c>
      <c r="O5723" s="1" t="str">
        <f t="shared" si="10835"/>
        <v>0</v>
      </c>
      <c r="P5723" s="1" t="str">
        <f t="shared" si="10835"/>
        <v>0</v>
      </c>
      <c r="Q5723" s="1" t="str">
        <f t="shared" si="10808"/>
        <v>0.0070</v>
      </c>
      <c r="R5723" s="1" t="s">
        <v>25</v>
      </c>
      <c r="T5723" s="1" t="str">
        <f t="shared" si="10809"/>
        <v>0</v>
      </c>
      <c r="U5723" s="1" t="str">
        <f t="shared" si="10819"/>
        <v>0.0070</v>
      </c>
    </row>
    <row r="5724" s="1" customFormat="1" spans="1:21">
      <c r="A5724" s="1" t="str">
        <f>"4601992203852"</f>
        <v>4601992203852</v>
      </c>
      <c r="B5724" s="1" t="s">
        <v>5747</v>
      </c>
      <c r="C5724" s="1" t="s">
        <v>24</v>
      </c>
      <c r="D5724" s="1" t="str">
        <f t="shared" si="10806"/>
        <v>2021</v>
      </c>
      <c r="E5724" s="1" t="str">
        <f t="shared" ref="E5724:P5724" si="10836">"0"</f>
        <v>0</v>
      </c>
      <c r="F5724" s="1" t="str">
        <f t="shared" si="10836"/>
        <v>0</v>
      </c>
      <c r="G5724" s="1" t="str">
        <f t="shared" si="10836"/>
        <v>0</v>
      </c>
      <c r="H5724" s="1" t="str">
        <f t="shared" si="10836"/>
        <v>0</v>
      </c>
      <c r="I5724" s="1" t="str">
        <f t="shared" si="10836"/>
        <v>0</v>
      </c>
      <c r="J5724" s="1" t="str">
        <f t="shared" si="10836"/>
        <v>0</v>
      </c>
      <c r="K5724" s="1" t="str">
        <f t="shared" si="10836"/>
        <v>0</v>
      </c>
      <c r="L5724" s="1" t="str">
        <f t="shared" si="10836"/>
        <v>0</v>
      </c>
      <c r="M5724" s="1" t="str">
        <f t="shared" si="10836"/>
        <v>0</v>
      </c>
      <c r="N5724" s="1" t="str">
        <f t="shared" si="10836"/>
        <v>0</v>
      </c>
      <c r="O5724" s="1" t="str">
        <f t="shared" si="10836"/>
        <v>0</v>
      </c>
      <c r="P5724" s="1" t="str">
        <f t="shared" si="10836"/>
        <v>0</v>
      </c>
      <c r="Q5724" s="1" t="str">
        <f t="shared" si="10808"/>
        <v>0.0070</v>
      </c>
      <c r="R5724" s="1" t="s">
        <v>25</v>
      </c>
      <c r="T5724" s="1" t="str">
        <f t="shared" si="10809"/>
        <v>0</v>
      </c>
      <c r="U5724" s="1" t="str">
        <f t="shared" si="10819"/>
        <v>0.0070</v>
      </c>
    </row>
    <row r="5725" s="1" customFormat="1" spans="1:21">
      <c r="A5725" s="1" t="str">
        <f>"4601992203895"</f>
        <v>4601992203895</v>
      </c>
      <c r="B5725" s="1" t="s">
        <v>5748</v>
      </c>
      <c r="C5725" s="1" t="s">
        <v>24</v>
      </c>
      <c r="D5725" s="1" t="str">
        <f t="shared" si="10806"/>
        <v>2021</v>
      </c>
      <c r="E5725" s="1" t="str">
        <f t="shared" ref="E5725:P5725" si="10837">"0"</f>
        <v>0</v>
      </c>
      <c r="F5725" s="1" t="str">
        <f t="shared" si="10837"/>
        <v>0</v>
      </c>
      <c r="G5725" s="1" t="str">
        <f t="shared" si="10837"/>
        <v>0</v>
      </c>
      <c r="H5725" s="1" t="str">
        <f t="shared" si="10837"/>
        <v>0</v>
      </c>
      <c r="I5725" s="1" t="str">
        <f t="shared" si="10837"/>
        <v>0</v>
      </c>
      <c r="J5725" s="1" t="str">
        <f t="shared" si="10837"/>
        <v>0</v>
      </c>
      <c r="K5725" s="1" t="str">
        <f t="shared" si="10837"/>
        <v>0</v>
      </c>
      <c r="L5725" s="1" t="str">
        <f t="shared" si="10837"/>
        <v>0</v>
      </c>
      <c r="M5725" s="1" t="str">
        <f t="shared" si="10837"/>
        <v>0</v>
      </c>
      <c r="N5725" s="1" t="str">
        <f t="shared" si="10837"/>
        <v>0</v>
      </c>
      <c r="O5725" s="1" t="str">
        <f t="shared" si="10837"/>
        <v>0</v>
      </c>
      <c r="P5725" s="1" t="str">
        <f t="shared" si="10837"/>
        <v>0</v>
      </c>
      <c r="Q5725" s="1" t="str">
        <f t="shared" si="10808"/>
        <v>0.0070</v>
      </c>
      <c r="R5725" s="1" t="s">
        <v>25</v>
      </c>
      <c r="T5725" s="1" t="str">
        <f t="shared" si="10809"/>
        <v>0</v>
      </c>
      <c r="U5725" s="1" t="str">
        <f t="shared" si="10819"/>
        <v>0.0070</v>
      </c>
    </row>
    <row r="5726" s="1" customFormat="1" spans="1:21">
      <c r="A5726" s="1" t="str">
        <f>"4601992203910"</f>
        <v>4601992203910</v>
      </c>
      <c r="B5726" s="1" t="s">
        <v>5749</v>
      </c>
      <c r="C5726" s="1" t="s">
        <v>24</v>
      </c>
      <c r="D5726" s="1" t="str">
        <f t="shared" si="10806"/>
        <v>2021</v>
      </c>
      <c r="E5726" s="1" t="str">
        <f t="shared" ref="E5726:P5726" si="10838">"0"</f>
        <v>0</v>
      </c>
      <c r="F5726" s="1" t="str">
        <f t="shared" si="10838"/>
        <v>0</v>
      </c>
      <c r="G5726" s="1" t="str">
        <f t="shared" si="10838"/>
        <v>0</v>
      </c>
      <c r="H5726" s="1" t="str">
        <f t="shared" si="10838"/>
        <v>0</v>
      </c>
      <c r="I5726" s="1" t="str">
        <f t="shared" si="10838"/>
        <v>0</v>
      </c>
      <c r="J5726" s="1" t="str">
        <f t="shared" si="10838"/>
        <v>0</v>
      </c>
      <c r="K5726" s="1" t="str">
        <f t="shared" si="10838"/>
        <v>0</v>
      </c>
      <c r="L5726" s="1" t="str">
        <f t="shared" si="10838"/>
        <v>0</v>
      </c>
      <c r="M5726" s="1" t="str">
        <f t="shared" si="10838"/>
        <v>0</v>
      </c>
      <c r="N5726" s="1" t="str">
        <f t="shared" si="10838"/>
        <v>0</v>
      </c>
      <c r="O5726" s="1" t="str">
        <f t="shared" si="10838"/>
        <v>0</v>
      </c>
      <c r="P5726" s="1" t="str">
        <f t="shared" si="10838"/>
        <v>0</v>
      </c>
      <c r="Q5726" s="1" t="str">
        <f t="shared" si="10808"/>
        <v>0.0070</v>
      </c>
      <c r="R5726" s="1" t="s">
        <v>25</v>
      </c>
      <c r="T5726" s="1" t="str">
        <f t="shared" si="10809"/>
        <v>0</v>
      </c>
      <c r="U5726" s="1" t="str">
        <f t="shared" si="10819"/>
        <v>0.0070</v>
      </c>
    </row>
    <row r="5727" s="1" customFormat="1" spans="1:21">
      <c r="A5727" s="1" t="str">
        <f>"4601992204292"</f>
        <v>4601992204292</v>
      </c>
      <c r="B5727" s="1" t="s">
        <v>5750</v>
      </c>
      <c r="C5727" s="1" t="s">
        <v>24</v>
      </c>
      <c r="D5727" s="1" t="str">
        <f t="shared" si="10806"/>
        <v>2021</v>
      </c>
      <c r="E5727" s="1" t="str">
        <f t="shared" ref="E5727:P5727" si="10839">"0"</f>
        <v>0</v>
      </c>
      <c r="F5727" s="1" t="str">
        <f t="shared" si="10839"/>
        <v>0</v>
      </c>
      <c r="G5727" s="1" t="str">
        <f t="shared" si="10839"/>
        <v>0</v>
      </c>
      <c r="H5727" s="1" t="str">
        <f t="shared" si="10839"/>
        <v>0</v>
      </c>
      <c r="I5727" s="1" t="str">
        <f t="shared" si="10839"/>
        <v>0</v>
      </c>
      <c r="J5727" s="1" t="str">
        <f t="shared" si="10839"/>
        <v>0</v>
      </c>
      <c r="K5727" s="1" t="str">
        <f t="shared" si="10839"/>
        <v>0</v>
      </c>
      <c r="L5727" s="1" t="str">
        <f t="shared" si="10839"/>
        <v>0</v>
      </c>
      <c r="M5727" s="1" t="str">
        <f t="shared" si="10839"/>
        <v>0</v>
      </c>
      <c r="N5727" s="1" t="str">
        <f t="shared" si="10839"/>
        <v>0</v>
      </c>
      <c r="O5727" s="1" t="str">
        <f t="shared" si="10839"/>
        <v>0</v>
      </c>
      <c r="P5727" s="1" t="str">
        <f t="shared" si="10839"/>
        <v>0</v>
      </c>
      <c r="Q5727" s="1" t="str">
        <f t="shared" si="10808"/>
        <v>0.0070</v>
      </c>
      <c r="R5727" s="1" t="s">
        <v>25</v>
      </c>
      <c r="T5727" s="1" t="str">
        <f t="shared" si="10809"/>
        <v>0</v>
      </c>
      <c r="U5727" s="1" t="str">
        <f t="shared" si="10819"/>
        <v>0.0070</v>
      </c>
    </row>
    <row r="5728" s="1" customFormat="1" spans="1:21">
      <c r="A5728" s="1" t="str">
        <f>"4601992204573"</f>
        <v>4601992204573</v>
      </c>
      <c r="B5728" s="1" t="s">
        <v>5751</v>
      </c>
      <c r="C5728" s="1" t="s">
        <v>24</v>
      </c>
      <c r="D5728" s="1" t="str">
        <f t="shared" si="10806"/>
        <v>2021</v>
      </c>
      <c r="E5728" s="1" t="str">
        <f t="shared" ref="E5728:P5728" si="10840">"0"</f>
        <v>0</v>
      </c>
      <c r="F5728" s="1" t="str">
        <f t="shared" si="10840"/>
        <v>0</v>
      </c>
      <c r="G5728" s="1" t="str">
        <f t="shared" si="10840"/>
        <v>0</v>
      </c>
      <c r="H5728" s="1" t="str">
        <f t="shared" si="10840"/>
        <v>0</v>
      </c>
      <c r="I5728" s="1" t="str">
        <f t="shared" si="10840"/>
        <v>0</v>
      </c>
      <c r="J5728" s="1" t="str">
        <f t="shared" si="10840"/>
        <v>0</v>
      </c>
      <c r="K5728" s="1" t="str">
        <f t="shared" si="10840"/>
        <v>0</v>
      </c>
      <c r="L5728" s="1" t="str">
        <f t="shared" si="10840"/>
        <v>0</v>
      </c>
      <c r="M5728" s="1" t="str">
        <f t="shared" si="10840"/>
        <v>0</v>
      </c>
      <c r="N5728" s="1" t="str">
        <f t="shared" si="10840"/>
        <v>0</v>
      </c>
      <c r="O5728" s="1" t="str">
        <f t="shared" si="10840"/>
        <v>0</v>
      </c>
      <c r="P5728" s="1" t="str">
        <f t="shared" si="10840"/>
        <v>0</v>
      </c>
      <c r="Q5728" s="1" t="str">
        <f t="shared" si="10808"/>
        <v>0.0070</v>
      </c>
      <c r="R5728" s="1" t="s">
        <v>25</v>
      </c>
      <c r="T5728" s="1" t="str">
        <f t="shared" si="10809"/>
        <v>0</v>
      </c>
      <c r="U5728" s="1" t="str">
        <f t="shared" si="10819"/>
        <v>0.0070</v>
      </c>
    </row>
    <row r="5729" s="1" customFormat="1" spans="1:21">
      <c r="A5729" s="1" t="str">
        <f>"4601992204694"</f>
        <v>4601992204694</v>
      </c>
      <c r="B5729" s="1" t="s">
        <v>5752</v>
      </c>
      <c r="C5729" s="1" t="s">
        <v>24</v>
      </c>
      <c r="D5729" s="1" t="str">
        <f t="shared" si="10806"/>
        <v>2021</v>
      </c>
      <c r="E5729" s="1" t="str">
        <f t="shared" ref="E5729:P5729" si="10841">"0"</f>
        <v>0</v>
      </c>
      <c r="F5729" s="1" t="str">
        <f t="shared" si="10841"/>
        <v>0</v>
      </c>
      <c r="G5729" s="1" t="str">
        <f t="shared" si="10841"/>
        <v>0</v>
      </c>
      <c r="H5729" s="1" t="str">
        <f t="shared" si="10841"/>
        <v>0</v>
      </c>
      <c r="I5729" s="1" t="str">
        <f t="shared" si="10841"/>
        <v>0</v>
      </c>
      <c r="J5729" s="1" t="str">
        <f t="shared" si="10841"/>
        <v>0</v>
      </c>
      <c r="K5729" s="1" t="str">
        <f t="shared" si="10841"/>
        <v>0</v>
      </c>
      <c r="L5729" s="1" t="str">
        <f t="shared" si="10841"/>
        <v>0</v>
      </c>
      <c r="M5729" s="1" t="str">
        <f t="shared" si="10841"/>
        <v>0</v>
      </c>
      <c r="N5729" s="1" t="str">
        <f t="shared" si="10841"/>
        <v>0</v>
      </c>
      <c r="O5729" s="1" t="str">
        <f t="shared" si="10841"/>
        <v>0</v>
      </c>
      <c r="P5729" s="1" t="str">
        <f t="shared" si="10841"/>
        <v>0</v>
      </c>
      <c r="Q5729" s="1" t="str">
        <f t="shared" si="10808"/>
        <v>0.0070</v>
      </c>
      <c r="R5729" s="1" t="s">
        <v>25</v>
      </c>
      <c r="T5729" s="1" t="str">
        <f t="shared" si="10809"/>
        <v>0</v>
      </c>
      <c r="U5729" s="1" t="str">
        <f t="shared" si="10819"/>
        <v>0.0070</v>
      </c>
    </row>
    <row r="5730" s="1" customFormat="1" spans="1:21">
      <c r="A5730" s="1" t="str">
        <f>"4601992204863"</f>
        <v>4601992204863</v>
      </c>
      <c r="B5730" s="1" t="s">
        <v>5753</v>
      </c>
      <c r="C5730" s="1" t="s">
        <v>24</v>
      </c>
      <c r="D5730" s="1" t="str">
        <f t="shared" si="10806"/>
        <v>2021</v>
      </c>
      <c r="E5730" s="1" t="str">
        <f t="shared" ref="E5730:P5730" si="10842">"0"</f>
        <v>0</v>
      </c>
      <c r="F5730" s="1" t="str">
        <f t="shared" si="10842"/>
        <v>0</v>
      </c>
      <c r="G5730" s="1" t="str">
        <f t="shared" si="10842"/>
        <v>0</v>
      </c>
      <c r="H5730" s="1" t="str">
        <f t="shared" si="10842"/>
        <v>0</v>
      </c>
      <c r="I5730" s="1" t="str">
        <f t="shared" si="10842"/>
        <v>0</v>
      </c>
      <c r="J5730" s="1" t="str">
        <f t="shared" si="10842"/>
        <v>0</v>
      </c>
      <c r="K5730" s="1" t="str">
        <f t="shared" si="10842"/>
        <v>0</v>
      </c>
      <c r="L5730" s="1" t="str">
        <f t="shared" si="10842"/>
        <v>0</v>
      </c>
      <c r="M5730" s="1" t="str">
        <f t="shared" si="10842"/>
        <v>0</v>
      </c>
      <c r="N5730" s="1" t="str">
        <f t="shared" si="10842"/>
        <v>0</v>
      </c>
      <c r="O5730" s="1" t="str">
        <f t="shared" si="10842"/>
        <v>0</v>
      </c>
      <c r="P5730" s="1" t="str">
        <f t="shared" si="10842"/>
        <v>0</v>
      </c>
      <c r="Q5730" s="1" t="str">
        <f t="shared" si="10808"/>
        <v>0.0070</v>
      </c>
      <c r="R5730" s="1" t="s">
        <v>25</v>
      </c>
      <c r="T5730" s="1" t="str">
        <f t="shared" si="10809"/>
        <v>0</v>
      </c>
      <c r="U5730" s="1" t="str">
        <f t="shared" si="10819"/>
        <v>0.0070</v>
      </c>
    </row>
    <row r="5731" s="1" customFormat="1" spans="1:21">
      <c r="A5731" s="1" t="str">
        <f>"4601992204436"</f>
        <v>4601992204436</v>
      </c>
      <c r="B5731" s="1" t="s">
        <v>5754</v>
      </c>
      <c r="C5731" s="1" t="s">
        <v>24</v>
      </c>
      <c r="D5731" s="1" t="str">
        <f t="shared" si="10806"/>
        <v>2021</v>
      </c>
      <c r="E5731" s="1" t="str">
        <f t="shared" ref="E5731:I5731" si="10843">"0"</f>
        <v>0</v>
      </c>
      <c r="F5731" s="1" t="str">
        <f t="shared" si="10843"/>
        <v>0</v>
      </c>
      <c r="G5731" s="1" t="str">
        <f t="shared" si="10843"/>
        <v>0</v>
      </c>
      <c r="H5731" s="1" t="str">
        <f t="shared" si="10843"/>
        <v>0</v>
      </c>
      <c r="I5731" s="1" t="str">
        <f t="shared" si="10843"/>
        <v>0</v>
      </c>
      <c r="J5731" s="1" t="str">
        <f>"1"</f>
        <v>1</v>
      </c>
      <c r="K5731" s="1" t="str">
        <f t="shared" ref="K5731:P5731" si="10844">"0"</f>
        <v>0</v>
      </c>
      <c r="L5731" s="1" t="str">
        <f t="shared" si="10844"/>
        <v>0</v>
      </c>
      <c r="M5731" s="1" t="str">
        <f t="shared" si="10844"/>
        <v>0</v>
      </c>
      <c r="N5731" s="1" t="str">
        <f t="shared" si="10844"/>
        <v>0</v>
      </c>
      <c r="O5731" s="1" t="str">
        <f t="shared" si="10844"/>
        <v>0</v>
      </c>
      <c r="P5731" s="1" t="str">
        <f t="shared" si="10844"/>
        <v>0</v>
      </c>
      <c r="Q5731" s="1" t="str">
        <f t="shared" si="10808"/>
        <v>0.0070</v>
      </c>
      <c r="R5731" s="1" t="s">
        <v>25</v>
      </c>
      <c r="T5731" s="1" t="str">
        <f t="shared" si="10809"/>
        <v>0</v>
      </c>
      <c r="U5731" s="1" t="str">
        <f t="shared" si="10819"/>
        <v>0.0070</v>
      </c>
    </row>
    <row r="5732" s="1" customFormat="1" spans="1:21">
      <c r="A5732" s="1" t="str">
        <f>"4601992205150"</f>
        <v>4601992205150</v>
      </c>
      <c r="B5732" s="1" t="s">
        <v>5755</v>
      </c>
      <c r="C5732" s="1" t="s">
        <v>24</v>
      </c>
      <c r="D5732" s="1" t="str">
        <f t="shared" si="10806"/>
        <v>2021</v>
      </c>
      <c r="E5732" s="1" t="str">
        <f t="shared" ref="E5732:P5732" si="10845">"0"</f>
        <v>0</v>
      </c>
      <c r="F5732" s="1" t="str">
        <f t="shared" si="10845"/>
        <v>0</v>
      </c>
      <c r="G5732" s="1" t="str">
        <f t="shared" si="10845"/>
        <v>0</v>
      </c>
      <c r="H5732" s="1" t="str">
        <f t="shared" si="10845"/>
        <v>0</v>
      </c>
      <c r="I5732" s="1" t="str">
        <f t="shared" si="10845"/>
        <v>0</v>
      </c>
      <c r="J5732" s="1" t="str">
        <f t="shared" si="10845"/>
        <v>0</v>
      </c>
      <c r="K5732" s="1" t="str">
        <f t="shared" si="10845"/>
        <v>0</v>
      </c>
      <c r="L5732" s="1" t="str">
        <f t="shared" si="10845"/>
        <v>0</v>
      </c>
      <c r="M5732" s="1" t="str">
        <f t="shared" si="10845"/>
        <v>0</v>
      </c>
      <c r="N5732" s="1" t="str">
        <f t="shared" si="10845"/>
        <v>0</v>
      </c>
      <c r="O5732" s="1" t="str">
        <f t="shared" si="10845"/>
        <v>0</v>
      </c>
      <c r="P5732" s="1" t="str">
        <f t="shared" si="10845"/>
        <v>0</v>
      </c>
      <c r="Q5732" s="1" t="str">
        <f t="shared" si="10808"/>
        <v>0.0070</v>
      </c>
      <c r="R5732" s="1" t="s">
        <v>25</v>
      </c>
      <c r="T5732" s="1" t="str">
        <f t="shared" si="10809"/>
        <v>0</v>
      </c>
      <c r="U5732" s="1" t="str">
        <f t="shared" si="10819"/>
        <v>0.0070</v>
      </c>
    </row>
    <row r="5733" s="1" customFormat="1" spans="1:21">
      <c r="A5733" s="1" t="str">
        <f>"4601992205357"</f>
        <v>4601992205357</v>
      </c>
      <c r="B5733" s="1" t="s">
        <v>5756</v>
      </c>
      <c r="C5733" s="1" t="s">
        <v>24</v>
      </c>
      <c r="D5733" s="1" t="str">
        <f t="shared" si="10806"/>
        <v>2021</v>
      </c>
      <c r="E5733" s="1" t="str">
        <f t="shared" ref="E5733:P5733" si="10846">"0"</f>
        <v>0</v>
      </c>
      <c r="F5733" s="1" t="str">
        <f t="shared" si="10846"/>
        <v>0</v>
      </c>
      <c r="G5733" s="1" t="str">
        <f t="shared" si="10846"/>
        <v>0</v>
      </c>
      <c r="H5733" s="1" t="str">
        <f t="shared" si="10846"/>
        <v>0</v>
      </c>
      <c r="I5733" s="1" t="str">
        <f t="shared" si="10846"/>
        <v>0</v>
      </c>
      <c r="J5733" s="1" t="str">
        <f t="shared" si="10846"/>
        <v>0</v>
      </c>
      <c r="K5733" s="1" t="str">
        <f t="shared" si="10846"/>
        <v>0</v>
      </c>
      <c r="L5733" s="1" t="str">
        <f t="shared" si="10846"/>
        <v>0</v>
      </c>
      <c r="M5733" s="1" t="str">
        <f t="shared" si="10846"/>
        <v>0</v>
      </c>
      <c r="N5733" s="1" t="str">
        <f t="shared" si="10846"/>
        <v>0</v>
      </c>
      <c r="O5733" s="1" t="str">
        <f t="shared" si="10846"/>
        <v>0</v>
      </c>
      <c r="P5733" s="1" t="str">
        <f t="shared" si="10846"/>
        <v>0</v>
      </c>
      <c r="Q5733" s="1" t="str">
        <f t="shared" si="10808"/>
        <v>0.0070</v>
      </c>
      <c r="R5733" s="1" t="s">
        <v>25</v>
      </c>
      <c r="T5733" s="1" t="str">
        <f t="shared" si="10809"/>
        <v>0</v>
      </c>
      <c r="U5733" s="1" t="str">
        <f t="shared" si="10819"/>
        <v>0.0070</v>
      </c>
    </row>
    <row r="5734" s="1" customFormat="1" spans="1:21">
      <c r="A5734" s="1" t="str">
        <f>"4601992205429"</f>
        <v>4601992205429</v>
      </c>
      <c r="B5734" s="1" t="s">
        <v>5757</v>
      </c>
      <c r="C5734" s="1" t="s">
        <v>24</v>
      </c>
      <c r="D5734" s="1" t="str">
        <f t="shared" si="10806"/>
        <v>2021</v>
      </c>
      <c r="E5734" s="1" t="str">
        <f t="shared" ref="E5734:P5734" si="10847">"0"</f>
        <v>0</v>
      </c>
      <c r="F5734" s="1" t="str">
        <f t="shared" si="10847"/>
        <v>0</v>
      </c>
      <c r="G5734" s="1" t="str">
        <f t="shared" si="10847"/>
        <v>0</v>
      </c>
      <c r="H5734" s="1" t="str">
        <f t="shared" si="10847"/>
        <v>0</v>
      </c>
      <c r="I5734" s="1" t="str">
        <f t="shared" si="10847"/>
        <v>0</v>
      </c>
      <c r="J5734" s="1" t="str">
        <f t="shared" si="10847"/>
        <v>0</v>
      </c>
      <c r="K5734" s="1" t="str">
        <f t="shared" si="10847"/>
        <v>0</v>
      </c>
      <c r="L5734" s="1" t="str">
        <f t="shared" si="10847"/>
        <v>0</v>
      </c>
      <c r="M5734" s="1" t="str">
        <f t="shared" si="10847"/>
        <v>0</v>
      </c>
      <c r="N5734" s="1" t="str">
        <f t="shared" si="10847"/>
        <v>0</v>
      </c>
      <c r="O5734" s="1" t="str">
        <f t="shared" si="10847"/>
        <v>0</v>
      </c>
      <c r="P5734" s="1" t="str">
        <f t="shared" si="10847"/>
        <v>0</v>
      </c>
      <c r="Q5734" s="1" t="str">
        <f t="shared" si="10808"/>
        <v>0.0070</v>
      </c>
      <c r="R5734" s="1" t="s">
        <v>25</v>
      </c>
      <c r="T5734" s="1" t="str">
        <f t="shared" si="10809"/>
        <v>0</v>
      </c>
      <c r="U5734" s="1" t="str">
        <f t="shared" si="10819"/>
        <v>0.0070</v>
      </c>
    </row>
    <row r="5735" s="1" customFormat="1" spans="1:21">
      <c r="A5735" s="1" t="str">
        <f>"4601992205500"</f>
        <v>4601992205500</v>
      </c>
      <c r="B5735" s="1" t="s">
        <v>5758</v>
      </c>
      <c r="C5735" s="1" t="s">
        <v>24</v>
      </c>
      <c r="D5735" s="1" t="str">
        <f t="shared" si="10806"/>
        <v>2021</v>
      </c>
      <c r="E5735" s="1" t="str">
        <f t="shared" ref="E5735:P5735" si="10848">"0"</f>
        <v>0</v>
      </c>
      <c r="F5735" s="1" t="str">
        <f t="shared" si="10848"/>
        <v>0</v>
      </c>
      <c r="G5735" s="1" t="str">
        <f t="shared" si="10848"/>
        <v>0</v>
      </c>
      <c r="H5735" s="1" t="str">
        <f t="shared" si="10848"/>
        <v>0</v>
      </c>
      <c r="I5735" s="1" t="str">
        <f t="shared" si="10848"/>
        <v>0</v>
      </c>
      <c r="J5735" s="1" t="str">
        <f t="shared" si="10848"/>
        <v>0</v>
      </c>
      <c r="K5735" s="1" t="str">
        <f t="shared" si="10848"/>
        <v>0</v>
      </c>
      <c r="L5735" s="1" t="str">
        <f t="shared" si="10848"/>
        <v>0</v>
      </c>
      <c r="M5735" s="1" t="str">
        <f t="shared" si="10848"/>
        <v>0</v>
      </c>
      <c r="N5735" s="1" t="str">
        <f t="shared" si="10848"/>
        <v>0</v>
      </c>
      <c r="O5735" s="1" t="str">
        <f t="shared" si="10848"/>
        <v>0</v>
      </c>
      <c r="P5735" s="1" t="str">
        <f t="shared" si="10848"/>
        <v>0</v>
      </c>
      <c r="Q5735" s="1" t="str">
        <f t="shared" si="10808"/>
        <v>0.0070</v>
      </c>
      <c r="R5735" s="1" t="s">
        <v>25</v>
      </c>
      <c r="T5735" s="1" t="str">
        <f t="shared" si="10809"/>
        <v>0</v>
      </c>
      <c r="U5735" s="1" t="str">
        <f t="shared" si="10819"/>
        <v>0.0070</v>
      </c>
    </row>
    <row r="5736" s="1" customFormat="1" spans="1:21">
      <c r="A5736" s="1" t="str">
        <f>"4601992206243"</f>
        <v>4601992206243</v>
      </c>
      <c r="B5736" s="1" t="s">
        <v>5759</v>
      </c>
      <c r="C5736" s="1" t="s">
        <v>24</v>
      </c>
      <c r="D5736" s="1" t="str">
        <f t="shared" si="10806"/>
        <v>2021</v>
      </c>
      <c r="E5736" s="1" t="str">
        <f t="shared" ref="E5736:P5736" si="10849">"0"</f>
        <v>0</v>
      </c>
      <c r="F5736" s="1" t="str">
        <f t="shared" si="10849"/>
        <v>0</v>
      </c>
      <c r="G5736" s="1" t="str">
        <f t="shared" si="10849"/>
        <v>0</v>
      </c>
      <c r="H5736" s="1" t="str">
        <f t="shared" si="10849"/>
        <v>0</v>
      </c>
      <c r="I5736" s="1" t="str">
        <f t="shared" si="10849"/>
        <v>0</v>
      </c>
      <c r="J5736" s="1" t="str">
        <f t="shared" si="10849"/>
        <v>0</v>
      </c>
      <c r="K5736" s="1" t="str">
        <f t="shared" si="10849"/>
        <v>0</v>
      </c>
      <c r="L5736" s="1" t="str">
        <f t="shared" si="10849"/>
        <v>0</v>
      </c>
      <c r="M5736" s="1" t="str">
        <f t="shared" si="10849"/>
        <v>0</v>
      </c>
      <c r="N5736" s="1" t="str">
        <f t="shared" si="10849"/>
        <v>0</v>
      </c>
      <c r="O5736" s="1" t="str">
        <f t="shared" si="10849"/>
        <v>0</v>
      </c>
      <c r="P5736" s="1" t="str">
        <f t="shared" si="10849"/>
        <v>0</v>
      </c>
      <c r="Q5736" s="1" t="str">
        <f t="shared" si="10808"/>
        <v>0.0070</v>
      </c>
      <c r="R5736" s="1" t="s">
        <v>25</v>
      </c>
      <c r="T5736" s="1" t="str">
        <f t="shared" si="10809"/>
        <v>0</v>
      </c>
      <c r="U5736" s="1" t="str">
        <f t="shared" si="10819"/>
        <v>0.0070</v>
      </c>
    </row>
    <row r="5737" s="1" customFormat="1" spans="1:21">
      <c r="A5737" s="1" t="str">
        <f>"4601992206286"</f>
        <v>4601992206286</v>
      </c>
      <c r="B5737" s="1" t="s">
        <v>5760</v>
      </c>
      <c r="C5737" s="1" t="s">
        <v>24</v>
      </c>
      <c r="D5737" s="1" t="str">
        <f t="shared" si="10806"/>
        <v>2021</v>
      </c>
      <c r="E5737" s="1" t="str">
        <f t="shared" ref="E5737:P5737" si="10850">"0"</f>
        <v>0</v>
      </c>
      <c r="F5737" s="1" t="str">
        <f t="shared" si="10850"/>
        <v>0</v>
      </c>
      <c r="G5737" s="1" t="str">
        <f t="shared" si="10850"/>
        <v>0</v>
      </c>
      <c r="H5737" s="1" t="str">
        <f t="shared" si="10850"/>
        <v>0</v>
      </c>
      <c r="I5737" s="1" t="str">
        <f t="shared" si="10850"/>
        <v>0</v>
      </c>
      <c r="J5737" s="1" t="str">
        <f t="shared" si="10850"/>
        <v>0</v>
      </c>
      <c r="K5737" s="1" t="str">
        <f t="shared" si="10850"/>
        <v>0</v>
      </c>
      <c r="L5737" s="1" t="str">
        <f t="shared" si="10850"/>
        <v>0</v>
      </c>
      <c r="M5737" s="1" t="str">
        <f t="shared" si="10850"/>
        <v>0</v>
      </c>
      <c r="N5737" s="1" t="str">
        <f t="shared" si="10850"/>
        <v>0</v>
      </c>
      <c r="O5737" s="1" t="str">
        <f t="shared" si="10850"/>
        <v>0</v>
      </c>
      <c r="P5737" s="1" t="str">
        <f t="shared" si="10850"/>
        <v>0</v>
      </c>
      <c r="Q5737" s="1" t="str">
        <f t="shared" si="10808"/>
        <v>0.0070</v>
      </c>
      <c r="R5737" s="1" t="s">
        <v>25</v>
      </c>
      <c r="T5737" s="1" t="str">
        <f t="shared" si="10809"/>
        <v>0</v>
      </c>
      <c r="U5737" s="1" t="str">
        <f t="shared" si="10819"/>
        <v>0.0070</v>
      </c>
    </row>
    <row r="5738" s="1" customFormat="1" spans="1:21">
      <c r="A5738" s="1" t="str">
        <f>"4601992205586"</f>
        <v>4601992205586</v>
      </c>
      <c r="B5738" s="1" t="s">
        <v>5761</v>
      </c>
      <c r="C5738" s="1" t="s">
        <v>24</v>
      </c>
      <c r="D5738" s="1" t="str">
        <f t="shared" si="10806"/>
        <v>2021</v>
      </c>
      <c r="E5738" s="1" t="str">
        <f t="shared" ref="E5738:I5738" si="10851">"0"</f>
        <v>0</v>
      </c>
      <c r="F5738" s="1" t="str">
        <f t="shared" si="10851"/>
        <v>0</v>
      </c>
      <c r="G5738" s="1" t="str">
        <f t="shared" si="10851"/>
        <v>0</v>
      </c>
      <c r="H5738" s="1" t="str">
        <f t="shared" si="10851"/>
        <v>0</v>
      </c>
      <c r="I5738" s="1" t="str">
        <f t="shared" si="10851"/>
        <v>0</v>
      </c>
      <c r="J5738" s="1" t="str">
        <f>"1"</f>
        <v>1</v>
      </c>
      <c r="K5738" s="1" t="str">
        <f t="shared" ref="K5738:P5738" si="10852">"0"</f>
        <v>0</v>
      </c>
      <c r="L5738" s="1" t="str">
        <f t="shared" si="10852"/>
        <v>0</v>
      </c>
      <c r="M5738" s="1" t="str">
        <f t="shared" si="10852"/>
        <v>0</v>
      </c>
      <c r="N5738" s="1" t="str">
        <f t="shared" si="10852"/>
        <v>0</v>
      </c>
      <c r="O5738" s="1" t="str">
        <f t="shared" si="10852"/>
        <v>0</v>
      </c>
      <c r="P5738" s="1" t="str">
        <f t="shared" si="10852"/>
        <v>0</v>
      </c>
      <c r="Q5738" s="1" t="str">
        <f t="shared" si="10808"/>
        <v>0.0070</v>
      </c>
      <c r="R5738" s="1" t="s">
        <v>25</v>
      </c>
      <c r="T5738" s="1" t="str">
        <f t="shared" si="10809"/>
        <v>0</v>
      </c>
      <c r="U5738" s="1" t="str">
        <f t="shared" si="10819"/>
        <v>0.0070</v>
      </c>
    </row>
    <row r="5739" s="1" customFormat="1" spans="1:21">
      <c r="A5739" s="1" t="str">
        <f>"4601992206315"</f>
        <v>4601992206315</v>
      </c>
      <c r="B5739" s="1" t="s">
        <v>5762</v>
      </c>
      <c r="C5739" s="1" t="s">
        <v>24</v>
      </c>
      <c r="D5739" s="1" t="str">
        <f t="shared" si="10806"/>
        <v>2021</v>
      </c>
      <c r="E5739" s="1" t="str">
        <f t="shared" ref="E5739:P5739" si="10853">"0"</f>
        <v>0</v>
      </c>
      <c r="F5739" s="1" t="str">
        <f t="shared" si="10853"/>
        <v>0</v>
      </c>
      <c r="G5739" s="1" t="str">
        <f t="shared" si="10853"/>
        <v>0</v>
      </c>
      <c r="H5739" s="1" t="str">
        <f t="shared" si="10853"/>
        <v>0</v>
      </c>
      <c r="I5739" s="1" t="str">
        <f t="shared" si="10853"/>
        <v>0</v>
      </c>
      <c r="J5739" s="1" t="str">
        <f t="shared" si="10853"/>
        <v>0</v>
      </c>
      <c r="K5739" s="1" t="str">
        <f t="shared" si="10853"/>
        <v>0</v>
      </c>
      <c r="L5739" s="1" t="str">
        <f t="shared" si="10853"/>
        <v>0</v>
      </c>
      <c r="M5739" s="1" t="str">
        <f t="shared" si="10853"/>
        <v>0</v>
      </c>
      <c r="N5739" s="1" t="str">
        <f t="shared" si="10853"/>
        <v>0</v>
      </c>
      <c r="O5739" s="1" t="str">
        <f t="shared" si="10853"/>
        <v>0</v>
      </c>
      <c r="P5739" s="1" t="str">
        <f t="shared" si="10853"/>
        <v>0</v>
      </c>
      <c r="Q5739" s="1" t="str">
        <f t="shared" si="10808"/>
        <v>0.0070</v>
      </c>
      <c r="R5739" s="1" t="s">
        <v>25</v>
      </c>
      <c r="T5739" s="1" t="str">
        <f t="shared" si="10809"/>
        <v>0</v>
      </c>
      <c r="U5739" s="1" t="str">
        <f t="shared" si="10819"/>
        <v>0.0070</v>
      </c>
    </row>
    <row r="5740" s="1" customFormat="1" spans="1:21">
      <c r="A5740" s="1" t="str">
        <f>"4601992206122"</f>
        <v>4601992206122</v>
      </c>
      <c r="B5740" s="1" t="s">
        <v>5763</v>
      </c>
      <c r="C5740" s="1" t="s">
        <v>24</v>
      </c>
      <c r="D5740" s="1" t="str">
        <f t="shared" si="10806"/>
        <v>2021</v>
      </c>
      <c r="E5740" s="1" t="str">
        <f t="shared" ref="E5740:I5740" si="10854">"0"</f>
        <v>0</v>
      </c>
      <c r="F5740" s="1" t="str">
        <f t="shared" si="10854"/>
        <v>0</v>
      </c>
      <c r="G5740" s="1" t="str">
        <f t="shared" si="10854"/>
        <v>0</v>
      </c>
      <c r="H5740" s="1" t="str">
        <f t="shared" si="10854"/>
        <v>0</v>
      </c>
      <c r="I5740" s="1" t="str">
        <f t="shared" si="10854"/>
        <v>0</v>
      </c>
      <c r="J5740" s="1" t="str">
        <f>"2"</f>
        <v>2</v>
      </c>
      <c r="K5740" s="1" t="str">
        <f t="shared" ref="K5740:P5740" si="10855">"0"</f>
        <v>0</v>
      </c>
      <c r="L5740" s="1" t="str">
        <f t="shared" si="10855"/>
        <v>0</v>
      </c>
      <c r="M5740" s="1" t="str">
        <f t="shared" si="10855"/>
        <v>0</v>
      </c>
      <c r="N5740" s="1" t="str">
        <f t="shared" si="10855"/>
        <v>0</v>
      </c>
      <c r="O5740" s="1" t="str">
        <f t="shared" si="10855"/>
        <v>0</v>
      </c>
      <c r="P5740" s="1" t="str">
        <f t="shared" si="10855"/>
        <v>0</v>
      </c>
      <c r="Q5740" s="1" t="str">
        <f t="shared" si="10808"/>
        <v>0.0070</v>
      </c>
      <c r="R5740" s="1" t="s">
        <v>25</v>
      </c>
      <c r="T5740" s="1" t="str">
        <f t="shared" si="10809"/>
        <v>0</v>
      </c>
      <c r="U5740" s="1" t="str">
        <f t="shared" si="10819"/>
        <v>0.0070</v>
      </c>
    </row>
    <row r="5741" s="1" customFormat="1" spans="1:21">
      <c r="A5741" s="1" t="str">
        <f>"4601992206398"</f>
        <v>4601992206398</v>
      </c>
      <c r="B5741" s="1" t="s">
        <v>5764</v>
      </c>
      <c r="C5741" s="1" t="s">
        <v>24</v>
      </c>
      <c r="D5741" s="1" t="str">
        <f t="shared" si="10806"/>
        <v>2021</v>
      </c>
      <c r="E5741" s="1" t="str">
        <f t="shared" ref="E5741:P5741" si="10856">"0"</f>
        <v>0</v>
      </c>
      <c r="F5741" s="1" t="str">
        <f t="shared" si="10856"/>
        <v>0</v>
      </c>
      <c r="G5741" s="1" t="str">
        <f t="shared" si="10856"/>
        <v>0</v>
      </c>
      <c r="H5741" s="1" t="str">
        <f t="shared" si="10856"/>
        <v>0</v>
      </c>
      <c r="I5741" s="1" t="str">
        <f t="shared" si="10856"/>
        <v>0</v>
      </c>
      <c r="J5741" s="1" t="str">
        <f t="shared" si="10856"/>
        <v>0</v>
      </c>
      <c r="K5741" s="1" t="str">
        <f t="shared" si="10856"/>
        <v>0</v>
      </c>
      <c r="L5741" s="1" t="str">
        <f t="shared" si="10856"/>
        <v>0</v>
      </c>
      <c r="M5741" s="1" t="str">
        <f t="shared" si="10856"/>
        <v>0</v>
      </c>
      <c r="N5741" s="1" t="str">
        <f t="shared" si="10856"/>
        <v>0</v>
      </c>
      <c r="O5741" s="1" t="str">
        <f t="shared" si="10856"/>
        <v>0</v>
      </c>
      <c r="P5741" s="1" t="str">
        <f t="shared" si="10856"/>
        <v>0</v>
      </c>
      <c r="Q5741" s="1" t="str">
        <f t="shared" si="10808"/>
        <v>0.0070</v>
      </c>
      <c r="R5741" s="1" t="s">
        <v>25</v>
      </c>
      <c r="T5741" s="1" t="str">
        <f t="shared" si="10809"/>
        <v>0</v>
      </c>
      <c r="U5741" s="1" t="str">
        <f t="shared" si="10819"/>
        <v>0.0070</v>
      </c>
    </row>
    <row r="5742" s="1" customFormat="1" spans="1:21">
      <c r="A5742" s="1" t="str">
        <f>"4601992206510"</f>
        <v>4601992206510</v>
      </c>
      <c r="B5742" s="1" t="s">
        <v>5765</v>
      </c>
      <c r="C5742" s="1" t="s">
        <v>24</v>
      </c>
      <c r="D5742" s="1" t="str">
        <f t="shared" si="10806"/>
        <v>2021</v>
      </c>
      <c r="E5742" s="1" t="str">
        <f t="shared" ref="E5742:P5742" si="10857">"0"</f>
        <v>0</v>
      </c>
      <c r="F5742" s="1" t="str">
        <f t="shared" si="10857"/>
        <v>0</v>
      </c>
      <c r="G5742" s="1" t="str">
        <f t="shared" si="10857"/>
        <v>0</v>
      </c>
      <c r="H5742" s="1" t="str">
        <f t="shared" si="10857"/>
        <v>0</v>
      </c>
      <c r="I5742" s="1" t="str">
        <f t="shared" si="10857"/>
        <v>0</v>
      </c>
      <c r="J5742" s="1" t="str">
        <f t="shared" si="10857"/>
        <v>0</v>
      </c>
      <c r="K5742" s="1" t="str">
        <f t="shared" si="10857"/>
        <v>0</v>
      </c>
      <c r="L5742" s="1" t="str">
        <f t="shared" si="10857"/>
        <v>0</v>
      </c>
      <c r="M5742" s="1" t="str">
        <f t="shared" si="10857"/>
        <v>0</v>
      </c>
      <c r="N5742" s="1" t="str">
        <f t="shared" si="10857"/>
        <v>0</v>
      </c>
      <c r="O5742" s="1" t="str">
        <f t="shared" si="10857"/>
        <v>0</v>
      </c>
      <c r="P5742" s="1" t="str">
        <f t="shared" si="10857"/>
        <v>0</v>
      </c>
      <c r="Q5742" s="1" t="str">
        <f t="shared" si="10808"/>
        <v>0.0070</v>
      </c>
      <c r="R5742" s="1" t="s">
        <v>25</v>
      </c>
      <c r="T5742" s="1" t="str">
        <f t="shared" si="10809"/>
        <v>0</v>
      </c>
      <c r="U5742" s="1" t="str">
        <f t="shared" si="10819"/>
        <v>0.0070</v>
      </c>
    </row>
    <row r="5743" s="1" customFormat="1" spans="1:21">
      <c r="A5743" s="1" t="str">
        <f>"4601992206565"</f>
        <v>4601992206565</v>
      </c>
      <c r="B5743" s="1" t="s">
        <v>5766</v>
      </c>
      <c r="C5743" s="1" t="s">
        <v>24</v>
      </c>
      <c r="D5743" s="1" t="str">
        <f t="shared" si="10806"/>
        <v>2021</v>
      </c>
      <c r="E5743" s="1" t="str">
        <f t="shared" ref="E5743:P5743" si="10858">"0"</f>
        <v>0</v>
      </c>
      <c r="F5743" s="1" t="str">
        <f t="shared" si="10858"/>
        <v>0</v>
      </c>
      <c r="G5743" s="1" t="str">
        <f t="shared" si="10858"/>
        <v>0</v>
      </c>
      <c r="H5743" s="1" t="str">
        <f t="shared" si="10858"/>
        <v>0</v>
      </c>
      <c r="I5743" s="1" t="str">
        <f t="shared" si="10858"/>
        <v>0</v>
      </c>
      <c r="J5743" s="1" t="str">
        <f t="shared" si="10858"/>
        <v>0</v>
      </c>
      <c r="K5743" s="1" t="str">
        <f t="shared" si="10858"/>
        <v>0</v>
      </c>
      <c r="L5743" s="1" t="str">
        <f t="shared" si="10858"/>
        <v>0</v>
      </c>
      <c r="M5743" s="1" t="str">
        <f t="shared" si="10858"/>
        <v>0</v>
      </c>
      <c r="N5743" s="1" t="str">
        <f t="shared" si="10858"/>
        <v>0</v>
      </c>
      <c r="O5743" s="1" t="str">
        <f t="shared" si="10858"/>
        <v>0</v>
      </c>
      <c r="P5743" s="1" t="str">
        <f t="shared" si="10858"/>
        <v>0</v>
      </c>
      <c r="Q5743" s="1" t="str">
        <f t="shared" si="10808"/>
        <v>0.0070</v>
      </c>
      <c r="R5743" s="1" t="s">
        <v>25</v>
      </c>
      <c r="T5743" s="1" t="str">
        <f t="shared" si="10809"/>
        <v>0</v>
      </c>
      <c r="U5743" s="1" t="str">
        <f t="shared" si="10819"/>
        <v>0.0070</v>
      </c>
    </row>
    <row r="5744" s="1" customFormat="1" spans="1:21">
      <c r="A5744" s="1" t="str">
        <f>"4601992206671"</f>
        <v>4601992206671</v>
      </c>
      <c r="B5744" s="1" t="s">
        <v>5767</v>
      </c>
      <c r="C5744" s="1" t="s">
        <v>24</v>
      </c>
      <c r="D5744" s="1" t="str">
        <f t="shared" si="10806"/>
        <v>2021</v>
      </c>
      <c r="E5744" s="1" t="str">
        <f t="shared" ref="E5744:P5744" si="10859">"0"</f>
        <v>0</v>
      </c>
      <c r="F5744" s="1" t="str">
        <f t="shared" si="10859"/>
        <v>0</v>
      </c>
      <c r="G5744" s="1" t="str">
        <f t="shared" si="10859"/>
        <v>0</v>
      </c>
      <c r="H5744" s="1" t="str">
        <f t="shared" si="10859"/>
        <v>0</v>
      </c>
      <c r="I5744" s="1" t="str">
        <f t="shared" si="10859"/>
        <v>0</v>
      </c>
      <c r="J5744" s="1" t="str">
        <f t="shared" si="10859"/>
        <v>0</v>
      </c>
      <c r="K5744" s="1" t="str">
        <f t="shared" si="10859"/>
        <v>0</v>
      </c>
      <c r="L5744" s="1" t="str">
        <f t="shared" si="10859"/>
        <v>0</v>
      </c>
      <c r="M5744" s="1" t="str">
        <f t="shared" si="10859"/>
        <v>0</v>
      </c>
      <c r="N5744" s="1" t="str">
        <f t="shared" si="10859"/>
        <v>0</v>
      </c>
      <c r="O5744" s="1" t="str">
        <f t="shared" si="10859"/>
        <v>0</v>
      </c>
      <c r="P5744" s="1" t="str">
        <f t="shared" si="10859"/>
        <v>0</v>
      </c>
      <c r="Q5744" s="1" t="str">
        <f t="shared" si="10808"/>
        <v>0.0070</v>
      </c>
      <c r="R5744" s="1" t="s">
        <v>25</v>
      </c>
      <c r="T5744" s="1" t="str">
        <f t="shared" si="10809"/>
        <v>0</v>
      </c>
      <c r="U5744" s="1" t="str">
        <f t="shared" si="10819"/>
        <v>0.0070</v>
      </c>
    </row>
    <row r="5745" s="1" customFormat="1" spans="1:21">
      <c r="A5745" s="1" t="str">
        <f>"4601992206718"</f>
        <v>4601992206718</v>
      </c>
      <c r="B5745" s="1" t="s">
        <v>5768</v>
      </c>
      <c r="C5745" s="1" t="s">
        <v>24</v>
      </c>
      <c r="D5745" s="1" t="str">
        <f t="shared" si="10806"/>
        <v>2021</v>
      </c>
      <c r="E5745" s="1" t="str">
        <f t="shared" ref="E5745:P5745" si="10860">"0"</f>
        <v>0</v>
      </c>
      <c r="F5745" s="1" t="str">
        <f t="shared" si="10860"/>
        <v>0</v>
      </c>
      <c r="G5745" s="1" t="str">
        <f t="shared" si="10860"/>
        <v>0</v>
      </c>
      <c r="H5745" s="1" t="str">
        <f t="shared" si="10860"/>
        <v>0</v>
      </c>
      <c r="I5745" s="1" t="str">
        <f t="shared" si="10860"/>
        <v>0</v>
      </c>
      <c r="J5745" s="1" t="str">
        <f t="shared" si="10860"/>
        <v>0</v>
      </c>
      <c r="K5745" s="1" t="str">
        <f t="shared" si="10860"/>
        <v>0</v>
      </c>
      <c r="L5745" s="1" t="str">
        <f t="shared" si="10860"/>
        <v>0</v>
      </c>
      <c r="M5745" s="1" t="str">
        <f t="shared" si="10860"/>
        <v>0</v>
      </c>
      <c r="N5745" s="1" t="str">
        <f t="shared" si="10860"/>
        <v>0</v>
      </c>
      <c r="O5745" s="1" t="str">
        <f t="shared" si="10860"/>
        <v>0</v>
      </c>
      <c r="P5745" s="1" t="str">
        <f t="shared" si="10860"/>
        <v>0</v>
      </c>
      <c r="Q5745" s="1" t="str">
        <f t="shared" si="10808"/>
        <v>0.0070</v>
      </c>
      <c r="R5745" s="1" t="s">
        <v>25</v>
      </c>
      <c r="T5745" s="1" t="str">
        <f t="shared" si="10809"/>
        <v>0</v>
      </c>
      <c r="U5745" s="1" t="str">
        <f t="shared" si="10819"/>
        <v>0.0070</v>
      </c>
    </row>
    <row r="5746" s="1" customFormat="1" spans="1:21">
      <c r="A5746" s="1" t="str">
        <f>"4601992206877"</f>
        <v>4601992206877</v>
      </c>
      <c r="B5746" s="1" t="s">
        <v>5769</v>
      </c>
      <c r="C5746" s="1" t="s">
        <v>24</v>
      </c>
      <c r="D5746" s="1" t="str">
        <f t="shared" si="10806"/>
        <v>2021</v>
      </c>
      <c r="E5746" s="1" t="str">
        <f t="shared" ref="E5746:P5746" si="10861">"0"</f>
        <v>0</v>
      </c>
      <c r="F5746" s="1" t="str">
        <f t="shared" si="10861"/>
        <v>0</v>
      </c>
      <c r="G5746" s="1" t="str">
        <f t="shared" si="10861"/>
        <v>0</v>
      </c>
      <c r="H5746" s="1" t="str">
        <f t="shared" si="10861"/>
        <v>0</v>
      </c>
      <c r="I5746" s="1" t="str">
        <f t="shared" si="10861"/>
        <v>0</v>
      </c>
      <c r="J5746" s="1" t="str">
        <f t="shared" si="10861"/>
        <v>0</v>
      </c>
      <c r="K5746" s="1" t="str">
        <f t="shared" si="10861"/>
        <v>0</v>
      </c>
      <c r="L5746" s="1" t="str">
        <f t="shared" si="10861"/>
        <v>0</v>
      </c>
      <c r="M5746" s="1" t="str">
        <f t="shared" si="10861"/>
        <v>0</v>
      </c>
      <c r="N5746" s="1" t="str">
        <f t="shared" si="10861"/>
        <v>0</v>
      </c>
      <c r="O5746" s="1" t="str">
        <f t="shared" si="10861"/>
        <v>0</v>
      </c>
      <c r="P5746" s="1" t="str">
        <f t="shared" si="10861"/>
        <v>0</v>
      </c>
      <c r="Q5746" s="1" t="str">
        <f t="shared" si="10808"/>
        <v>0.0070</v>
      </c>
      <c r="R5746" s="1" t="s">
        <v>25</v>
      </c>
      <c r="T5746" s="1" t="str">
        <f t="shared" si="10809"/>
        <v>0</v>
      </c>
      <c r="U5746" s="1" t="str">
        <f t="shared" si="10819"/>
        <v>0.0070</v>
      </c>
    </row>
    <row r="5747" s="1" customFormat="1" spans="1:21">
      <c r="A5747" s="1" t="str">
        <f>"4601992206983"</f>
        <v>4601992206983</v>
      </c>
      <c r="B5747" s="1" t="s">
        <v>5770</v>
      </c>
      <c r="C5747" s="1" t="s">
        <v>24</v>
      </c>
      <c r="D5747" s="1" t="str">
        <f t="shared" si="10806"/>
        <v>2021</v>
      </c>
      <c r="E5747" s="1" t="str">
        <f t="shared" ref="E5747:P5747" si="10862">"0"</f>
        <v>0</v>
      </c>
      <c r="F5747" s="1" t="str">
        <f t="shared" si="10862"/>
        <v>0</v>
      </c>
      <c r="G5747" s="1" t="str">
        <f t="shared" si="10862"/>
        <v>0</v>
      </c>
      <c r="H5747" s="1" t="str">
        <f t="shared" si="10862"/>
        <v>0</v>
      </c>
      <c r="I5747" s="1" t="str">
        <f t="shared" si="10862"/>
        <v>0</v>
      </c>
      <c r="J5747" s="1" t="str">
        <f t="shared" si="10862"/>
        <v>0</v>
      </c>
      <c r="K5747" s="1" t="str">
        <f t="shared" si="10862"/>
        <v>0</v>
      </c>
      <c r="L5747" s="1" t="str">
        <f t="shared" si="10862"/>
        <v>0</v>
      </c>
      <c r="M5747" s="1" t="str">
        <f t="shared" si="10862"/>
        <v>0</v>
      </c>
      <c r="N5747" s="1" t="str">
        <f t="shared" si="10862"/>
        <v>0</v>
      </c>
      <c r="O5747" s="1" t="str">
        <f t="shared" si="10862"/>
        <v>0</v>
      </c>
      <c r="P5747" s="1" t="str">
        <f t="shared" si="10862"/>
        <v>0</v>
      </c>
      <c r="Q5747" s="1" t="str">
        <f t="shared" si="10808"/>
        <v>0.0070</v>
      </c>
      <c r="R5747" s="1" t="s">
        <v>25</v>
      </c>
      <c r="T5747" s="1" t="str">
        <f t="shared" si="10809"/>
        <v>0</v>
      </c>
      <c r="U5747" s="1" t="str">
        <f t="shared" si="10819"/>
        <v>0.0070</v>
      </c>
    </row>
    <row r="5748" s="1" customFormat="1" spans="1:21">
      <c r="A5748" s="1" t="str">
        <f>"4601992206848"</f>
        <v>4601992206848</v>
      </c>
      <c r="B5748" s="1" t="s">
        <v>5771</v>
      </c>
      <c r="C5748" s="1" t="s">
        <v>24</v>
      </c>
      <c r="D5748" s="1" t="str">
        <f t="shared" si="10806"/>
        <v>2021</v>
      </c>
      <c r="E5748" s="1" t="str">
        <f t="shared" ref="E5748:I5748" si="10863">"0"</f>
        <v>0</v>
      </c>
      <c r="F5748" s="1" t="str">
        <f t="shared" si="10863"/>
        <v>0</v>
      </c>
      <c r="G5748" s="1" t="str">
        <f t="shared" si="10863"/>
        <v>0</v>
      </c>
      <c r="H5748" s="1" t="str">
        <f t="shared" si="10863"/>
        <v>0</v>
      </c>
      <c r="I5748" s="1" t="str">
        <f t="shared" si="10863"/>
        <v>0</v>
      </c>
      <c r="J5748" s="1" t="str">
        <f>"1"</f>
        <v>1</v>
      </c>
      <c r="K5748" s="1" t="str">
        <f t="shared" ref="K5748:P5748" si="10864">"0"</f>
        <v>0</v>
      </c>
      <c r="L5748" s="1" t="str">
        <f t="shared" si="10864"/>
        <v>0</v>
      </c>
      <c r="M5748" s="1" t="str">
        <f t="shared" si="10864"/>
        <v>0</v>
      </c>
      <c r="N5748" s="1" t="str">
        <f t="shared" si="10864"/>
        <v>0</v>
      </c>
      <c r="O5748" s="1" t="str">
        <f t="shared" si="10864"/>
        <v>0</v>
      </c>
      <c r="P5748" s="1" t="str">
        <f t="shared" si="10864"/>
        <v>0</v>
      </c>
      <c r="Q5748" s="1" t="str">
        <f t="shared" si="10808"/>
        <v>0.0070</v>
      </c>
      <c r="R5748" s="1" t="s">
        <v>25</v>
      </c>
      <c r="T5748" s="1" t="str">
        <f t="shared" si="10809"/>
        <v>0</v>
      </c>
      <c r="U5748" s="1" t="str">
        <f t="shared" si="10819"/>
        <v>0.0070</v>
      </c>
    </row>
    <row r="5749" s="1" customFormat="1" spans="1:21">
      <c r="A5749" s="1" t="str">
        <f>"4601992207485"</f>
        <v>4601992207485</v>
      </c>
      <c r="B5749" s="1" t="s">
        <v>5772</v>
      </c>
      <c r="C5749" s="1" t="s">
        <v>24</v>
      </c>
      <c r="D5749" s="1" t="str">
        <f t="shared" si="10806"/>
        <v>2021</v>
      </c>
      <c r="E5749" s="1" t="str">
        <f t="shared" ref="E5749:P5749" si="10865">"0"</f>
        <v>0</v>
      </c>
      <c r="F5749" s="1" t="str">
        <f t="shared" si="10865"/>
        <v>0</v>
      </c>
      <c r="G5749" s="1" t="str">
        <f t="shared" si="10865"/>
        <v>0</v>
      </c>
      <c r="H5749" s="1" t="str">
        <f t="shared" si="10865"/>
        <v>0</v>
      </c>
      <c r="I5749" s="1" t="str">
        <f t="shared" si="10865"/>
        <v>0</v>
      </c>
      <c r="J5749" s="1" t="str">
        <f t="shared" si="10865"/>
        <v>0</v>
      </c>
      <c r="K5749" s="1" t="str">
        <f t="shared" si="10865"/>
        <v>0</v>
      </c>
      <c r="L5749" s="1" t="str">
        <f t="shared" si="10865"/>
        <v>0</v>
      </c>
      <c r="M5749" s="1" t="str">
        <f t="shared" si="10865"/>
        <v>0</v>
      </c>
      <c r="N5749" s="1" t="str">
        <f t="shared" si="10865"/>
        <v>0</v>
      </c>
      <c r="O5749" s="1" t="str">
        <f t="shared" si="10865"/>
        <v>0</v>
      </c>
      <c r="P5749" s="1" t="str">
        <f t="shared" si="10865"/>
        <v>0</v>
      </c>
      <c r="Q5749" s="1" t="str">
        <f t="shared" si="10808"/>
        <v>0.0070</v>
      </c>
      <c r="R5749" s="1" t="s">
        <v>25</v>
      </c>
      <c r="T5749" s="1" t="str">
        <f t="shared" si="10809"/>
        <v>0</v>
      </c>
      <c r="U5749" s="1" t="str">
        <f t="shared" si="10819"/>
        <v>0.0070</v>
      </c>
    </row>
    <row r="5750" s="1" customFormat="1" spans="1:21">
      <c r="A5750" s="1" t="str">
        <f>"4601992207518"</f>
        <v>4601992207518</v>
      </c>
      <c r="B5750" s="1" t="s">
        <v>5773</v>
      </c>
      <c r="C5750" s="1" t="s">
        <v>24</v>
      </c>
      <c r="D5750" s="1" t="str">
        <f t="shared" si="10806"/>
        <v>2021</v>
      </c>
      <c r="E5750" s="1" t="str">
        <f t="shared" ref="E5750:P5750" si="10866">"0"</f>
        <v>0</v>
      </c>
      <c r="F5750" s="1" t="str">
        <f t="shared" si="10866"/>
        <v>0</v>
      </c>
      <c r="G5750" s="1" t="str">
        <f t="shared" si="10866"/>
        <v>0</v>
      </c>
      <c r="H5750" s="1" t="str">
        <f t="shared" si="10866"/>
        <v>0</v>
      </c>
      <c r="I5750" s="1" t="str">
        <f t="shared" si="10866"/>
        <v>0</v>
      </c>
      <c r="J5750" s="1" t="str">
        <f t="shared" si="10866"/>
        <v>0</v>
      </c>
      <c r="K5750" s="1" t="str">
        <f t="shared" si="10866"/>
        <v>0</v>
      </c>
      <c r="L5750" s="1" t="str">
        <f t="shared" si="10866"/>
        <v>0</v>
      </c>
      <c r="M5750" s="1" t="str">
        <f t="shared" si="10866"/>
        <v>0</v>
      </c>
      <c r="N5750" s="1" t="str">
        <f t="shared" si="10866"/>
        <v>0</v>
      </c>
      <c r="O5750" s="1" t="str">
        <f t="shared" si="10866"/>
        <v>0</v>
      </c>
      <c r="P5750" s="1" t="str">
        <f t="shared" si="10866"/>
        <v>0</v>
      </c>
      <c r="Q5750" s="1" t="str">
        <f t="shared" si="10808"/>
        <v>0.0070</v>
      </c>
      <c r="R5750" s="1" t="s">
        <v>25</v>
      </c>
      <c r="T5750" s="1" t="str">
        <f t="shared" si="10809"/>
        <v>0</v>
      </c>
      <c r="U5750" s="1" t="str">
        <f t="shared" si="10819"/>
        <v>0.0070</v>
      </c>
    </row>
    <row r="5751" s="1" customFormat="1" spans="1:21">
      <c r="A5751" s="1" t="str">
        <f>"4601992207627"</f>
        <v>4601992207627</v>
      </c>
      <c r="B5751" s="1" t="s">
        <v>5774</v>
      </c>
      <c r="C5751" s="1" t="s">
        <v>24</v>
      </c>
      <c r="D5751" s="1" t="str">
        <f t="shared" si="10806"/>
        <v>2021</v>
      </c>
      <c r="E5751" s="1" t="str">
        <f t="shared" ref="E5751:P5751" si="10867">"0"</f>
        <v>0</v>
      </c>
      <c r="F5751" s="1" t="str">
        <f t="shared" si="10867"/>
        <v>0</v>
      </c>
      <c r="G5751" s="1" t="str">
        <f t="shared" si="10867"/>
        <v>0</v>
      </c>
      <c r="H5751" s="1" t="str">
        <f t="shared" si="10867"/>
        <v>0</v>
      </c>
      <c r="I5751" s="1" t="str">
        <f t="shared" si="10867"/>
        <v>0</v>
      </c>
      <c r="J5751" s="1" t="str">
        <f t="shared" si="10867"/>
        <v>0</v>
      </c>
      <c r="K5751" s="1" t="str">
        <f t="shared" si="10867"/>
        <v>0</v>
      </c>
      <c r="L5751" s="1" t="str">
        <f t="shared" si="10867"/>
        <v>0</v>
      </c>
      <c r="M5751" s="1" t="str">
        <f t="shared" si="10867"/>
        <v>0</v>
      </c>
      <c r="N5751" s="1" t="str">
        <f t="shared" si="10867"/>
        <v>0</v>
      </c>
      <c r="O5751" s="1" t="str">
        <f t="shared" si="10867"/>
        <v>0</v>
      </c>
      <c r="P5751" s="1" t="str">
        <f t="shared" si="10867"/>
        <v>0</v>
      </c>
      <c r="Q5751" s="1" t="str">
        <f t="shared" si="10808"/>
        <v>0.0070</v>
      </c>
      <c r="R5751" s="1" t="s">
        <v>25</v>
      </c>
      <c r="T5751" s="1" t="str">
        <f t="shared" si="10809"/>
        <v>0</v>
      </c>
      <c r="U5751" s="1" t="str">
        <f t="shared" si="10819"/>
        <v>0.0070</v>
      </c>
    </row>
    <row r="5752" s="1" customFormat="1" spans="1:21">
      <c r="A5752" s="1" t="str">
        <f>"4601992207680"</f>
        <v>4601992207680</v>
      </c>
      <c r="B5752" s="1" t="s">
        <v>5775</v>
      </c>
      <c r="C5752" s="1" t="s">
        <v>24</v>
      </c>
      <c r="D5752" s="1" t="str">
        <f t="shared" si="10806"/>
        <v>2021</v>
      </c>
      <c r="E5752" s="1" t="str">
        <f t="shared" ref="E5752:P5752" si="10868">"0"</f>
        <v>0</v>
      </c>
      <c r="F5752" s="1" t="str">
        <f t="shared" si="10868"/>
        <v>0</v>
      </c>
      <c r="G5752" s="1" t="str">
        <f t="shared" si="10868"/>
        <v>0</v>
      </c>
      <c r="H5752" s="1" t="str">
        <f t="shared" si="10868"/>
        <v>0</v>
      </c>
      <c r="I5752" s="1" t="str">
        <f t="shared" si="10868"/>
        <v>0</v>
      </c>
      <c r="J5752" s="1" t="str">
        <f t="shared" si="10868"/>
        <v>0</v>
      </c>
      <c r="K5752" s="1" t="str">
        <f t="shared" si="10868"/>
        <v>0</v>
      </c>
      <c r="L5752" s="1" t="str">
        <f t="shared" si="10868"/>
        <v>0</v>
      </c>
      <c r="M5752" s="1" t="str">
        <f t="shared" si="10868"/>
        <v>0</v>
      </c>
      <c r="N5752" s="1" t="str">
        <f t="shared" si="10868"/>
        <v>0</v>
      </c>
      <c r="O5752" s="1" t="str">
        <f t="shared" si="10868"/>
        <v>0</v>
      </c>
      <c r="P5752" s="1" t="str">
        <f t="shared" si="10868"/>
        <v>0</v>
      </c>
      <c r="Q5752" s="1" t="str">
        <f t="shared" si="10808"/>
        <v>0.0070</v>
      </c>
      <c r="R5752" s="1" t="s">
        <v>25</v>
      </c>
      <c r="T5752" s="1" t="str">
        <f t="shared" si="10809"/>
        <v>0</v>
      </c>
      <c r="U5752" s="1" t="str">
        <f t="shared" si="10819"/>
        <v>0.0070</v>
      </c>
    </row>
    <row r="5753" s="1" customFormat="1" spans="1:21">
      <c r="A5753" s="1" t="str">
        <f>"4601992208854"</f>
        <v>4601992208854</v>
      </c>
      <c r="B5753" s="1" t="s">
        <v>5776</v>
      </c>
      <c r="C5753" s="1" t="s">
        <v>24</v>
      </c>
      <c r="D5753" s="1" t="str">
        <f t="shared" si="10806"/>
        <v>2021</v>
      </c>
      <c r="E5753" s="1" t="str">
        <f t="shared" ref="E5753:P5753" si="10869">"0"</f>
        <v>0</v>
      </c>
      <c r="F5753" s="1" t="str">
        <f t="shared" si="10869"/>
        <v>0</v>
      </c>
      <c r="G5753" s="1" t="str">
        <f t="shared" si="10869"/>
        <v>0</v>
      </c>
      <c r="H5753" s="1" t="str">
        <f t="shared" si="10869"/>
        <v>0</v>
      </c>
      <c r="I5753" s="1" t="str">
        <f t="shared" si="10869"/>
        <v>0</v>
      </c>
      <c r="J5753" s="1" t="str">
        <f t="shared" si="10869"/>
        <v>0</v>
      </c>
      <c r="K5753" s="1" t="str">
        <f t="shared" si="10869"/>
        <v>0</v>
      </c>
      <c r="L5753" s="1" t="str">
        <f t="shared" si="10869"/>
        <v>0</v>
      </c>
      <c r="M5753" s="1" t="str">
        <f t="shared" si="10869"/>
        <v>0</v>
      </c>
      <c r="N5753" s="1" t="str">
        <f t="shared" si="10869"/>
        <v>0</v>
      </c>
      <c r="O5753" s="1" t="str">
        <f t="shared" si="10869"/>
        <v>0</v>
      </c>
      <c r="P5753" s="1" t="str">
        <f t="shared" si="10869"/>
        <v>0</v>
      </c>
      <c r="Q5753" s="1" t="str">
        <f t="shared" si="10808"/>
        <v>0.0070</v>
      </c>
      <c r="R5753" s="1" t="s">
        <v>25</v>
      </c>
      <c r="T5753" s="1" t="str">
        <f t="shared" si="10809"/>
        <v>0</v>
      </c>
      <c r="U5753" s="1" t="str">
        <f t="shared" si="10819"/>
        <v>0.0070</v>
      </c>
    </row>
    <row r="5754" s="1" customFormat="1" spans="1:21">
      <c r="A5754" s="1" t="str">
        <f>"4601992207840"</f>
        <v>4601992207840</v>
      </c>
      <c r="B5754" s="1" t="s">
        <v>5777</v>
      </c>
      <c r="C5754" s="1" t="s">
        <v>24</v>
      </c>
      <c r="D5754" s="1" t="str">
        <f t="shared" si="10806"/>
        <v>2021</v>
      </c>
      <c r="E5754" s="1" t="str">
        <f t="shared" ref="E5754:P5754" si="10870">"0"</f>
        <v>0</v>
      </c>
      <c r="F5754" s="1" t="str">
        <f t="shared" si="10870"/>
        <v>0</v>
      </c>
      <c r="G5754" s="1" t="str">
        <f t="shared" si="10870"/>
        <v>0</v>
      </c>
      <c r="H5754" s="1" t="str">
        <f t="shared" si="10870"/>
        <v>0</v>
      </c>
      <c r="I5754" s="1" t="str">
        <f t="shared" si="10870"/>
        <v>0</v>
      </c>
      <c r="J5754" s="1" t="str">
        <f t="shared" si="10870"/>
        <v>0</v>
      </c>
      <c r="K5754" s="1" t="str">
        <f t="shared" si="10870"/>
        <v>0</v>
      </c>
      <c r="L5754" s="1" t="str">
        <f t="shared" si="10870"/>
        <v>0</v>
      </c>
      <c r="M5754" s="1" t="str">
        <f t="shared" si="10870"/>
        <v>0</v>
      </c>
      <c r="N5754" s="1" t="str">
        <f t="shared" si="10870"/>
        <v>0</v>
      </c>
      <c r="O5754" s="1" t="str">
        <f t="shared" si="10870"/>
        <v>0</v>
      </c>
      <c r="P5754" s="1" t="str">
        <f t="shared" si="10870"/>
        <v>0</v>
      </c>
      <c r="Q5754" s="1" t="str">
        <f t="shared" si="10808"/>
        <v>0.0070</v>
      </c>
      <c r="R5754" s="1" t="s">
        <v>25</v>
      </c>
      <c r="T5754" s="1" t="str">
        <f t="shared" si="10809"/>
        <v>0</v>
      </c>
      <c r="U5754" s="1" t="str">
        <f t="shared" si="10819"/>
        <v>0.0070</v>
      </c>
    </row>
    <row r="5755" s="1" customFormat="1" spans="1:21">
      <c r="A5755" s="1" t="str">
        <f>"4601992207722"</f>
        <v>4601992207722</v>
      </c>
      <c r="B5755" s="1" t="s">
        <v>5778</v>
      </c>
      <c r="C5755" s="1" t="s">
        <v>24</v>
      </c>
      <c r="D5755" s="1" t="str">
        <f t="shared" si="10806"/>
        <v>2021</v>
      </c>
      <c r="E5755" s="1" t="str">
        <f t="shared" ref="E5755:I5755" si="10871">"0"</f>
        <v>0</v>
      </c>
      <c r="F5755" s="1" t="str">
        <f t="shared" si="10871"/>
        <v>0</v>
      </c>
      <c r="G5755" s="1" t="str">
        <f t="shared" si="10871"/>
        <v>0</v>
      </c>
      <c r="H5755" s="1" t="str">
        <f t="shared" si="10871"/>
        <v>0</v>
      </c>
      <c r="I5755" s="1" t="str">
        <f t="shared" si="10871"/>
        <v>0</v>
      </c>
      <c r="J5755" s="1" t="str">
        <f>"1"</f>
        <v>1</v>
      </c>
      <c r="K5755" s="1" t="str">
        <f t="shared" ref="K5755:P5755" si="10872">"0"</f>
        <v>0</v>
      </c>
      <c r="L5755" s="1" t="str">
        <f t="shared" si="10872"/>
        <v>0</v>
      </c>
      <c r="M5755" s="1" t="str">
        <f t="shared" si="10872"/>
        <v>0</v>
      </c>
      <c r="N5755" s="1" t="str">
        <f t="shared" si="10872"/>
        <v>0</v>
      </c>
      <c r="O5755" s="1" t="str">
        <f t="shared" si="10872"/>
        <v>0</v>
      </c>
      <c r="P5755" s="1" t="str">
        <f t="shared" si="10872"/>
        <v>0</v>
      </c>
      <c r="Q5755" s="1" t="str">
        <f t="shared" si="10808"/>
        <v>0.0070</v>
      </c>
      <c r="R5755" s="1" t="s">
        <v>25</v>
      </c>
      <c r="T5755" s="1" t="str">
        <f t="shared" si="10809"/>
        <v>0</v>
      </c>
      <c r="U5755" s="1" t="str">
        <f t="shared" si="10819"/>
        <v>0.0070</v>
      </c>
    </row>
    <row r="5756" s="1" customFormat="1" spans="1:21">
      <c r="A5756" s="1" t="str">
        <f>"4601992208976"</f>
        <v>4601992208976</v>
      </c>
      <c r="B5756" s="1" t="s">
        <v>5779</v>
      </c>
      <c r="C5756" s="1" t="s">
        <v>24</v>
      </c>
      <c r="D5756" s="1" t="str">
        <f t="shared" si="10806"/>
        <v>2021</v>
      </c>
      <c r="E5756" s="1" t="str">
        <f t="shared" ref="E5756:P5756" si="10873">"0"</f>
        <v>0</v>
      </c>
      <c r="F5756" s="1" t="str">
        <f t="shared" si="10873"/>
        <v>0</v>
      </c>
      <c r="G5756" s="1" t="str">
        <f t="shared" si="10873"/>
        <v>0</v>
      </c>
      <c r="H5756" s="1" t="str">
        <f t="shared" si="10873"/>
        <v>0</v>
      </c>
      <c r="I5756" s="1" t="str">
        <f t="shared" si="10873"/>
        <v>0</v>
      </c>
      <c r="J5756" s="1" t="str">
        <f t="shared" si="10873"/>
        <v>0</v>
      </c>
      <c r="K5756" s="1" t="str">
        <f t="shared" si="10873"/>
        <v>0</v>
      </c>
      <c r="L5756" s="1" t="str">
        <f t="shared" si="10873"/>
        <v>0</v>
      </c>
      <c r="M5756" s="1" t="str">
        <f t="shared" si="10873"/>
        <v>0</v>
      </c>
      <c r="N5756" s="1" t="str">
        <f t="shared" si="10873"/>
        <v>0</v>
      </c>
      <c r="O5756" s="1" t="str">
        <f t="shared" si="10873"/>
        <v>0</v>
      </c>
      <c r="P5756" s="1" t="str">
        <f t="shared" si="10873"/>
        <v>0</v>
      </c>
      <c r="Q5756" s="1" t="str">
        <f t="shared" si="10808"/>
        <v>0.0070</v>
      </c>
      <c r="R5756" s="1" t="s">
        <v>25</v>
      </c>
      <c r="T5756" s="1" t="str">
        <f t="shared" si="10809"/>
        <v>0</v>
      </c>
      <c r="U5756" s="1" t="str">
        <f t="shared" si="10819"/>
        <v>0.0070</v>
      </c>
    </row>
    <row r="5757" s="1" customFormat="1" spans="1:21">
      <c r="A5757" s="1" t="str">
        <f>"4601992209231"</f>
        <v>4601992209231</v>
      </c>
      <c r="B5757" s="1" t="s">
        <v>5780</v>
      </c>
      <c r="C5757" s="1" t="s">
        <v>24</v>
      </c>
      <c r="D5757" s="1" t="str">
        <f t="shared" si="10806"/>
        <v>2021</v>
      </c>
      <c r="E5757" s="1" t="str">
        <f t="shared" ref="E5757:P5757" si="10874">"0"</f>
        <v>0</v>
      </c>
      <c r="F5757" s="1" t="str">
        <f t="shared" si="10874"/>
        <v>0</v>
      </c>
      <c r="G5757" s="1" t="str">
        <f t="shared" si="10874"/>
        <v>0</v>
      </c>
      <c r="H5757" s="1" t="str">
        <f t="shared" si="10874"/>
        <v>0</v>
      </c>
      <c r="I5757" s="1" t="str">
        <f t="shared" si="10874"/>
        <v>0</v>
      </c>
      <c r="J5757" s="1" t="str">
        <f t="shared" si="10874"/>
        <v>0</v>
      </c>
      <c r="K5757" s="1" t="str">
        <f t="shared" si="10874"/>
        <v>0</v>
      </c>
      <c r="L5757" s="1" t="str">
        <f t="shared" si="10874"/>
        <v>0</v>
      </c>
      <c r="M5757" s="1" t="str">
        <f t="shared" si="10874"/>
        <v>0</v>
      </c>
      <c r="N5757" s="1" t="str">
        <f t="shared" si="10874"/>
        <v>0</v>
      </c>
      <c r="O5757" s="1" t="str">
        <f t="shared" si="10874"/>
        <v>0</v>
      </c>
      <c r="P5757" s="1" t="str">
        <f t="shared" si="10874"/>
        <v>0</v>
      </c>
      <c r="Q5757" s="1" t="str">
        <f t="shared" si="10808"/>
        <v>0.0070</v>
      </c>
      <c r="R5757" s="1" t="s">
        <v>25</v>
      </c>
      <c r="T5757" s="1" t="str">
        <f t="shared" si="10809"/>
        <v>0</v>
      </c>
      <c r="U5757" s="1" t="str">
        <f t="shared" si="10819"/>
        <v>0.0070</v>
      </c>
    </row>
    <row r="5758" s="1" customFormat="1" spans="1:21">
      <c r="A5758" s="1" t="str">
        <f>"4601992209034"</f>
        <v>4601992209034</v>
      </c>
      <c r="B5758" s="1" t="s">
        <v>5781</v>
      </c>
      <c r="C5758" s="1" t="s">
        <v>24</v>
      </c>
      <c r="D5758" s="1" t="str">
        <f t="shared" si="10806"/>
        <v>2021</v>
      </c>
      <c r="E5758" s="1" t="str">
        <f t="shared" ref="E5758:P5758" si="10875">"0"</f>
        <v>0</v>
      </c>
      <c r="F5758" s="1" t="str">
        <f t="shared" si="10875"/>
        <v>0</v>
      </c>
      <c r="G5758" s="1" t="str">
        <f t="shared" si="10875"/>
        <v>0</v>
      </c>
      <c r="H5758" s="1" t="str">
        <f t="shared" si="10875"/>
        <v>0</v>
      </c>
      <c r="I5758" s="1" t="str">
        <f t="shared" si="10875"/>
        <v>0</v>
      </c>
      <c r="J5758" s="1" t="str">
        <f t="shared" si="10875"/>
        <v>0</v>
      </c>
      <c r="K5758" s="1" t="str">
        <f t="shared" si="10875"/>
        <v>0</v>
      </c>
      <c r="L5758" s="1" t="str">
        <f t="shared" si="10875"/>
        <v>0</v>
      </c>
      <c r="M5758" s="1" t="str">
        <f t="shared" si="10875"/>
        <v>0</v>
      </c>
      <c r="N5758" s="1" t="str">
        <f t="shared" si="10875"/>
        <v>0</v>
      </c>
      <c r="O5758" s="1" t="str">
        <f t="shared" si="10875"/>
        <v>0</v>
      </c>
      <c r="P5758" s="1" t="str">
        <f t="shared" si="10875"/>
        <v>0</v>
      </c>
      <c r="Q5758" s="1" t="str">
        <f t="shared" si="10808"/>
        <v>0.0070</v>
      </c>
      <c r="R5758" s="1" t="s">
        <v>25</v>
      </c>
      <c r="T5758" s="1" t="str">
        <f t="shared" si="10809"/>
        <v>0</v>
      </c>
      <c r="U5758" s="1" t="str">
        <f t="shared" si="10819"/>
        <v>0.0070</v>
      </c>
    </row>
    <row r="5759" s="1" customFormat="1" spans="1:21">
      <c r="A5759" s="1" t="str">
        <f>"4601992209233"</f>
        <v>4601992209233</v>
      </c>
      <c r="B5759" s="1" t="s">
        <v>5782</v>
      </c>
      <c r="C5759" s="1" t="s">
        <v>24</v>
      </c>
      <c r="D5759" s="1" t="str">
        <f t="shared" si="10806"/>
        <v>2021</v>
      </c>
      <c r="E5759" s="1" t="str">
        <f t="shared" ref="E5759:P5759" si="10876">"0"</f>
        <v>0</v>
      </c>
      <c r="F5759" s="1" t="str">
        <f t="shared" si="10876"/>
        <v>0</v>
      </c>
      <c r="G5759" s="1" t="str">
        <f t="shared" si="10876"/>
        <v>0</v>
      </c>
      <c r="H5759" s="1" t="str">
        <f t="shared" si="10876"/>
        <v>0</v>
      </c>
      <c r="I5759" s="1" t="str">
        <f t="shared" si="10876"/>
        <v>0</v>
      </c>
      <c r="J5759" s="1" t="str">
        <f t="shared" si="10876"/>
        <v>0</v>
      </c>
      <c r="K5759" s="1" t="str">
        <f t="shared" si="10876"/>
        <v>0</v>
      </c>
      <c r="L5759" s="1" t="str">
        <f t="shared" si="10876"/>
        <v>0</v>
      </c>
      <c r="M5759" s="1" t="str">
        <f t="shared" si="10876"/>
        <v>0</v>
      </c>
      <c r="N5759" s="1" t="str">
        <f t="shared" si="10876"/>
        <v>0</v>
      </c>
      <c r="O5759" s="1" t="str">
        <f t="shared" si="10876"/>
        <v>0</v>
      </c>
      <c r="P5759" s="1" t="str">
        <f t="shared" si="10876"/>
        <v>0</v>
      </c>
      <c r="Q5759" s="1" t="str">
        <f t="shared" si="10808"/>
        <v>0.0070</v>
      </c>
      <c r="R5759" s="1" t="s">
        <v>25</v>
      </c>
      <c r="T5759" s="1" t="str">
        <f t="shared" si="10809"/>
        <v>0</v>
      </c>
      <c r="U5759" s="1" t="str">
        <f t="shared" si="10819"/>
        <v>0.0070</v>
      </c>
    </row>
    <row r="5760" s="1" customFormat="1" spans="1:21">
      <c r="A5760" s="1" t="str">
        <f>"4601992209235"</f>
        <v>4601992209235</v>
      </c>
      <c r="B5760" s="1" t="s">
        <v>5783</v>
      </c>
      <c r="C5760" s="1" t="s">
        <v>24</v>
      </c>
      <c r="D5760" s="1" t="str">
        <f t="shared" si="10806"/>
        <v>2021</v>
      </c>
      <c r="E5760" s="1" t="str">
        <f t="shared" ref="E5760:P5760" si="10877">"0"</f>
        <v>0</v>
      </c>
      <c r="F5760" s="1" t="str">
        <f t="shared" si="10877"/>
        <v>0</v>
      </c>
      <c r="G5760" s="1" t="str">
        <f t="shared" si="10877"/>
        <v>0</v>
      </c>
      <c r="H5760" s="1" t="str">
        <f t="shared" si="10877"/>
        <v>0</v>
      </c>
      <c r="I5760" s="1" t="str">
        <f t="shared" si="10877"/>
        <v>0</v>
      </c>
      <c r="J5760" s="1" t="str">
        <f t="shared" si="10877"/>
        <v>0</v>
      </c>
      <c r="K5760" s="1" t="str">
        <f t="shared" si="10877"/>
        <v>0</v>
      </c>
      <c r="L5760" s="1" t="str">
        <f t="shared" si="10877"/>
        <v>0</v>
      </c>
      <c r="M5760" s="1" t="str">
        <f t="shared" si="10877"/>
        <v>0</v>
      </c>
      <c r="N5760" s="1" t="str">
        <f t="shared" si="10877"/>
        <v>0</v>
      </c>
      <c r="O5760" s="1" t="str">
        <f t="shared" si="10877"/>
        <v>0</v>
      </c>
      <c r="P5760" s="1" t="str">
        <f t="shared" si="10877"/>
        <v>0</v>
      </c>
      <c r="Q5760" s="1" t="str">
        <f t="shared" si="10808"/>
        <v>0.0070</v>
      </c>
      <c r="R5760" s="1" t="s">
        <v>25</v>
      </c>
      <c r="T5760" s="1" t="str">
        <f t="shared" si="10809"/>
        <v>0</v>
      </c>
      <c r="U5760" s="1" t="str">
        <f t="shared" si="10819"/>
        <v>0.0070</v>
      </c>
    </row>
    <row r="5761" s="1" customFormat="1" spans="1:21">
      <c r="A5761" s="1" t="str">
        <f>"4601992209299"</f>
        <v>4601992209299</v>
      </c>
      <c r="B5761" s="1" t="s">
        <v>5784</v>
      </c>
      <c r="C5761" s="1" t="s">
        <v>24</v>
      </c>
      <c r="D5761" s="1" t="str">
        <f t="shared" si="10806"/>
        <v>2021</v>
      </c>
      <c r="E5761" s="1" t="str">
        <f t="shared" ref="E5761:P5761" si="10878">"0"</f>
        <v>0</v>
      </c>
      <c r="F5761" s="1" t="str">
        <f t="shared" si="10878"/>
        <v>0</v>
      </c>
      <c r="G5761" s="1" t="str">
        <f t="shared" si="10878"/>
        <v>0</v>
      </c>
      <c r="H5761" s="1" t="str">
        <f t="shared" si="10878"/>
        <v>0</v>
      </c>
      <c r="I5761" s="1" t="str">
        <f t="shared" si="10878"/>
        <v>0</v>
      </c>
      <c r="J5761" s="1" t="str">
        <f t="shared" si="10878"/>
        <v>0</v>
      </c>
      <c r="K5761" s="1" t="str">
        <f t="shared" si="10878"/>
        <v>0</v>
      </c>
      <c r="L5761" s="1" t="str">
        <f t="shared" si="10878"/>
        <v>0</v>
      </c>
      <c r="M5761" s="1" t="str">
        <f t="shared" si="10878"/>
        <v>0</v>
      </c>
      <c r="N5761" s="1" t="str">
        <f t="shared" si="10878"/>
        <v>0</v>
      </c>
      <c r="O5761" s="1" t="str">
        <f t="shared" si="10878"/>
        <v>0</v>
      </c>
      <c r="P5761" s="1" t="str">
        <f t="shared" si="10878"/>
        <v>0</v>
      </c>
      <c r="Q5761" s="1" t="str">
        <f t="shared" si="10808"/>
        <v>0.0070</v>
      </c>
      <c r="R5761" s="1" t="s">
        <v>25</v>
      </c>
      <c r="T5761" s="1" t="str">
        <f t="shared" si="10809"/>
        <v>0</v>
      </c>
      <c r="U5761" s="1" t="str">
        <f t="shared" si="10819"/>
        <v>0.0070</v>
      </c>
    </row>
    <row r="5762" s="1" customFormat="1" spans="1:21">
      <c r="A5762" s="1" t="str">
        <f>"4601992209488"</f>
        <v>4601992209488</v>
      </c>
      <c r="B5762" s="1" t="s">
        <v>5785</v>
      </c>
      <c r="C5762" s="1" t="s">
        <v>24</v>
      </c>
      <c r="D5762" s="1" t="str">
        <f t="shared" si="10806"/>
        <v>2021</v>
      </c>
      <c r="E5762" s="1" t="str">
        <f t="shared" ref="E5762:P5762" si="10879">"0"</f>
        <v>0</v>
      </c>
      <c r="F5762" s="1" t="str">
        <f t="shared" si="10879"/>
        <v>0</v>
      </c>
      <c r="G5762" s="1" t="str">
        <f t="shared" si="10879"/>
        <v>0</v>
      </c>
      <c r="H5762" s="1" t="str">
        <f t="shared" si="10879"/>
        <v>0</v>
      </c>
      <c r="I5762" s="1" t="str">
        <f t="shared" si="10879"/>
        <v>0</v>
      </c>
      <c r="J5762" s="1" t="str">
        <f t="shared" si="10879"/>
        <v>0</v>
      </c>
      <c r="K5762" s="1" t="str">
        <f t="shared" si="10879"/>
        <v>0</v>
      </c>
      <c r="L5762" s="1" t="str">
        <f t="shared" si="10879"/>
        <v>0</v>
      </c>
      <c r="M5762" s="1" t="str">
        <f t="shared" si="10879"/>
        <v>0</v>
      </c>
      <c r="N5762" s="1" t="str">
        <f t="shared" si="10879"/>
        <v>0</v>
      </c>
      <c r="O5762" s="1" t="str">
        <f t="shared" si="10879"/>
        <v>0</v>
      </c>
      <c r="P5762" s="1" t="str">
        <f t="shared" si="10879"/>
        <v>0</v>
      </c>
      <c r="Q5762" s="1" t="str">
        <f t="shared" si="10808"/>
        <v>0.0070</v>
      </c>
      <c r="R5762" s="1" t="s">
        <v>25</v>
      </c>
      <c r="T5762" s="1" t="str">
        <f t="shared" si="10809"/>
        <v>0</v>
      </c>
      <c r="U5762" s="1" t="str">
        <f t="shared" si="10819"/>
        <v>0.0070</v>
      </c>
    </row>
    <row r="5763" s="1" customFormat="1" spans="1:21">
      <c r="A5763" s="1" t="str">
        <f>"4601992209751"</f>
        <v>4601992209751</v>
      </c>
      <c r="B5763" s="1" t="s">
        <v>5786</v>
      </c>
      <c r="C5763" s="1" t="s">
        <v>24</v>
      </c>
      <c r="D5763" s="1" t="str">
        <f t="shared" ref="D5763:D5826" si="10880">"2021"</f>
        <v>2021</v>
      </c>
      <c r="E5763" s="1" t="str">
        <f t="shared" ref="E5763:P5763" si="10881">"0"</f>
        <v>0</v>
      </c>
      <c r="F5763" s="1" t="str">
        <f t="shared" si="10881"/>
        <v>0</v>
      </c>
      <c r="G5763" s="1" t="str">
        <f t="shared" si="10881"/>
        <v>0</v>
      </c>
      <c r="H5763" s="1" t="str">
        <f t="shared" si="10881"/>
        <v>0</v>
      </c>
      <c r="I5763" s="1" t="str">
        <f t="shared" si="10881"/>
        <v>0</v>
      </c>
      <c r="J5763" s="1" t="str">
        <f t="shared" si="10881"/>
        <v>0</v>
      </c>
      <c r="K5763" s="1" t="str">
        <f t="shared" si="10881"/>
        <v>0</v>
      </c>
      <c r="L5763" s="1" t="str">
        <f t="shared" si="10881"/>
        <v>0</v>
      </c>
      <c r="M5763" s="1" t="str">
        <f t="shared" si="10881"/>
        <v>0</v>
      </c>
      <c r="N5763" s="1" t="str">
        <f t="shared" si="10881"/>
        <v>0</v>
      </c>
      <c r="O5763" s="1" t="str">
        <f t="shared" si="10881"/>
        <v>0</v>
      </c>
      <c r="P5763" s="1" t="str">
        <f t="shared" si="10881"/>
        <v>0</v>
      </c>
      <c r="Q5763" s="1" t="str">
        <f t="shared" ref="Q5763:Q5826" si="10882">"0.0070"</f>
        <v>0.0070</v>
      </c>
      <c r="R5763" s="1" t="s">
        <v>25</v>
      </c>
      <c r="T5763" s="1" t="str">
        <f t="shared" ref="T5763:T5826" si="10883">"0"</f>
        <v>0</v>
      </c>
      <c r="U5763" s="1" t="str">
        <f t="shared" si="10819"/>
        <v>0.0070</v>
      </c>
    </row>
    <row r="5764" s="1" customFormat="1" spans="1:21">
      <c r="A5764" s="1" t="str">
        <f>"4601992209761"</f>
        <v>4601992209761</v>
      </c>
      <c r="B5764" s="1" t="s">
        <v>5787</v>
      </c>
      <c r="C5764" s="1" t="s">
        <v>24</v>
      </c>
      <c r="D5764" s="1" t="str">
        <f t="shared" si="10880"/>
        <v>2021</v>
      </c>
      <c r="E5764" s="1" t="str">
        <f t="shared" ref="E5764:P5764" si="10884">"0"</f>
        <v>0</v>
      </c>
      <c r="F5764" s="1" t="str">
        <f t="shared" si="10884"/>
        <v>0</v>
      </c>
      <c r="G5764" s="1" t="str">
        <f t="shared" si="10884"/>
        <v>0</v>
      </c>
      <c r="H5764" s="1" t="str">
        <f t="shared" si="10884"/>
        <v>0</v>
      </c>
      <c r="I5764" s="1" t="str">
        <f t="shared" si="10884"/>
        <v>0</v>
      </c>
      <c r="J5764" s="1" t="str">
        <f t="shared" si="10884"/>
        <v>0</v>
      </c>
      <c r="K5764" s="1" t="str">
        <f t="shared" si="10884"/>
        <v>0</v>
      </c>
      <c r="L5764" s="1" t="str">
        <f t="shared" si="10884"/>
        <v>0</v>
      </c>
      <c r="M5764" s="1" t="str">
        <f t="shared" si="10884"/>
        <v>0</v>
      </c>
      <c r="N5764" s="1" t="str">
        <f t="shared" si="10884"/>
        <v>0</v>
      </c>
      <c r="O5764" s="1" t="str">
        <f t="shared" si="10884"/>
        <v>0</v>
      </c>
      <c r="P5764" s="1" t="str">
        <f t="shared" si="10884"/>
        <v>0</v>
      </c>
      <c r="Q5764" s="1" t="str">
        <f t="shared" si="10882"/>
        <v>0.0070</v>
      </c>
      <c r="R5764" s="1" t="s">
        <v>25</v>
      </c>
      <c r="T5764" s="1" t="str">
        <f t="shared" si="10883"/>
        <v>0</v>
      </c>
      <c r="U5764" s="1" t="str">
        <f t="shared" si="10819"/>
        <v>0.0070</v>
      </c>
    </row>
    <row r="5765" s="1" customFormat="1" spans="1:21">
      <c r="A5765" s="1" t="str">
        <f>"4601992209834"</f>
        <v>4601992209834</v>
      </c>
      <c r="B5765" s="1" t="s">
        <v>5788</v>
      </c>
      <c r="C5765" s="1" t="s">
        <v>24</v>
      </c>
      <c r="D5765" s="1" t="str">
        <f t="shared" si="10880"/>
        <v>2021</v>
      </c>
      <c r="E5765" s="1" t="str">
        <f t="shared" ref="E5765:P5765" si="10885">"0"</f>
        <v>0</v>
      </c>
      <c r="F5765" s="1" t="str">
        <f t="shared" si="10885"/>
        <v>0</v>
      </c>
      <c r="G5765" s="1" t="str">
        <f t="shared" si="10885"/>
        <v>0</v>
      </c>
      <c r="H5765" s="1" t="str">
        <f t="shared" si="10885"/>
        <v>0</v>
      </c>
      <c r="I5765" s="1" t="str">
        <f t="shared" si="10885"/>
        <v>0</v>
      </c>
      <c r="J5765" s="1" t="str">
        <f t="shared" si="10885"/>
        <v>0</v>
      </c>
      <c r="K5765" s="1" t="str">
        <f t="shared" si="10885"/>
        <v>0</v>
      </c>
      <c r="L5765" s="1" t="str">
        <f t="shared" si="10885"/>
        <v>0</v>
      </c>
      <c r="M5765" s="1" t="str">
        <f t="shared" si="10885"/>
        <v>0</v>
      </c>
      <c r="N5765" s="1" t="str">
        <f t="shared" si="10885"/>
        <v>0</v>
      </c>
      <c r="O5765" s="1" t="str">
        <f t="shared" si="10885"/>
        <v>0</v>
      </c>
      <c r="P5765" s="1" t="str">
        <f t="shared" si="10885"/>
        <v>0</v>
      </c>
      <c r="Q5765" s="1" t="str">
        <f t="shared" si="10882"/>
        <v>0.0070</v>
      </c>
      <c r="R5765" s="1" t="s">
        <v>25</v>
      </c>
      <c r="T5765" s="1" t="str">
        <f t="shared" si="10883"/>
        <v>0</v>
      </c>
      <c r="U5765" s="1" t="str">
        <f t="shared" si="10819"/>
        <v>0.0070</v>
      </c>
    </row>
    <row r="5766" s="1" customFormat="1" spans="1:21">
      <c r="A5766" s="1" t="str">
        <f>"4601992209871"</f>
        <v>4601992209871</v>
      </c>
      <c r="B5766" s="1" t="s">
        <v>5789</v>
      </c>
      <c r="C5766" s="1" t="s">
        <v>24</v>
      </c>
      <c r="D5766" s="1" t="str">
        <f t="shared" si="10880"/>
        <v>2021</v>
      </c>
      <c r="E5766" s="1" t="str">
        <f t="shared" ref="E5766:P5766" si="10886">"0"</f>
        <v>0</v>
      </c>
      <c r="F5766" s="1" t="str">
        <f t="shared" si="10886"/>
        <v>0</v>
      </c>
      <c r="G5766" s="1" t="str">
        <f t="shared" si="10886"/>
        <v>0</v>
      </c>
      <c r="H5766" s="1" t="str">
        <f t="shared" si="10886"/>
        <v>0</v>
      </c>
      <c r="I5766" s="1" t="str">
        <f t="shared" si="10886"/>
        <v>0</v>
      </c>
      <c r="J5766" s="1" t="str">
        <f t="shared" si="10886"/>
        <v>0</v>
      </c>
      <c r="K5766" s="1" t="str">
        <f t="shared" si="10886"/>
        <v>0</v>
      </c>
      <c r="L5766" s="1" t="str">
        <f t="shared" si="10886"/>
        <v>0</v>
      </c>
      <c r="M5766" s="1" t="str">
        <f t="shared" si="10886"/>
        <v>0</v>
      </c>
      <c r="N5766" s="1" t="str">
        <f t="shared" si="10886"/>
        <v>0</v>
      </c>
      <c r="O5766" s="1" t="str">
        <f t="shared" si="10886"/>
        <v>0</v>
      </c>
      <c r="P5766" s="1" t="str">
        <f t="shared" si="10886"/>
        <v>0</v>
      </c>
      <c r="Q5766" s="1" t="str">
        <f t="shared" si="10882"/>
        <v>0.0070</v>
      </c>
      <c r="R5766" s="1" t="s">
        <v>25</v>
      </c>
      <c r="T5766" s="1" t="str">
        <f t="shared" si="10883"/>
        <v>0</v>
      </c>
      <c r="U5766" s="1" t="str">
        <f t="shared" si="10819"/>
        <v>0.0070</v>
      </c>
    </row>
    <row r="5767" s="1" customFormat="1" spans="1:21">
      <c r="A5767" s="1" t="str">
        <f>"4601992209886"</f>
        <v>4601992209886</v>
      </c>
      <c r="B5767" s="1" t="s">
        <v>5790</v>
      </c>
      <c r="C5767" s="1" t="s">
        <v>24</v>
      </c>
      <c r="D5767" s="1" t="str">
        <f t="shared" si="10880"/>
        <v>2021</v>
      </c>
      <c r="E5767" s="1" t="str">
        <f t="shared" ref="E5767:P5767" si="10887">"0"</f>
        <v>0</v>
      </c>
      <c r="F5767" s="1" t="str">
        <f t="shared" si="10887"/>
        <v>0</v>
      </c>
      <c r="G5767" s="1" t="str">
        <f t="shared" si="10887"/>
        <v>0</v>
      </c>
      <c r="H5767" s="1" t="str">
        <f t="shared" si="10887"/>
        <v>0</v>
      </c>
      <c r="I5767" s="1" t="str">
        <f t="shared" si="10887"/>
        <v>0</v>
      </c>
      <c r="J5767" s="1" t="str">
        <f t="shared" si="10887"/>
        <v>0</v>
      </c>
      <c r="K5767" s="1" t="str">
        <f t="shared" si="10887"/>
        <v>0</v>
      </c>
      <c r="L5767" s="1" t="str">
        <f t="shared" si="10887"/>
        <v>0</v>
      </c>
      <c r="M5767" s="1" t="str">
        <f t="shared" si="10887"/>
        <v>0</v>
      </c>
      <c r="N5767" s="1" t="str">
        <f t="shared" si="10887"/>
        <v>0</v>
      </c>
      <c r="O5767" s="1" t="str">
        <f t="shared" si="10887"/>
        <v>0</v>
      </c>
      <c r="P5767" s="1" t="str">
        <f t="shared" si="10887"/>
        <v>0</v>
      </c>
      <c r="Q5767" s="1" t="str">
        <f t="shared" si="10882"/>
        <v>0.0070</v>
      </c>
      <c r="R5767" s="1" t="s">
        <v>25</v>
      </c>
      <c r="T5767" s="1" t="str">
        <f t="shared" si="10883"/>
        <v>0</v>
      </c>
      <c r="U5767" s="1" t="str">
        <f t="shared" si="10819"/>
        <v>0.0070</v>
      </c>
    </row>
    <row r="5768" s="1" customFormat="1" spans="1:21">
      <c r="A5768" s="1" t="str">
        <f>"4601992209953"</f>
        <v>4601992209953</v>
      </c>
      <c r="B5768" s="1" t="s">
        <v>5791</v>
      </c>
      <c r="C5768" s="1" t="s">
        <v>24</v>
      </c>
      <c r="D5768" s="1" t="str">
        <f t="shared" si="10880"/>
        <v>2021</v>
      </c>
      <c r="E5768" s="1" t="str">
        <f t="shared" ref="E5768:P5768" si="10888">"0"</f>
        <v>0</v>
      </c>
      <c r="F5768" s="1" t="str">
        <f t="shared" si="10888"/>
        <v>0</v>
      </c>
      <c r="G5768" s="1" t="str">
        <f t="shared" si="10888"/>
        <v>0</v>
      </c>
      <c r="H5768" s="1" t="str">
        <f t="shared" si="10888"/>
        <v>0</v>
      </c>
      <c r="I5768" s="1" t="str">
        <f t="shared" si="10888"/>
        <v>0</v>
      </c>
      <c r="J5768" s="1" t="str">
        <f t="shared" si="10888"/>
        <v>0</v>
      </c>
      <c r="K5768" s="1" t="str">
        <f t="shared" si="10888"/>
        <v>0</v>
      </c>
      <c r="L5768" s="1" t="str">
        <f t="shared" si="10888"/>
        <v>0</v>
      </c>
      <c r="M5768" s="1" t="str">
        <f t="shared" si="10888"/>
        <v>0</v>
      </c>
      <c r="N5768" s="1" t="str">
        <f t="shared" si="10888"/>
        <v>0</v>
      </c>
      <c r="O5768" s="1" t="str">
        <f t="shared" si="10888"/>
        <v>0</v>
      </c>
      <c r="P5768" s="1" t="str">
        <f t="shared" si="10888"/>
        <v>0</v>
      </c>
      <c r="Q5768" s="1" t="str">
        <f t="shared" si="10882"/>
        <v>0.0070</v>
      </c>
      <c r="R5768" s="1" t="s">
        <v>25</v>
      </c>
      <c r="T5768" s="1" t="str">
        <f t="shared" si="10883"/>
        <v>0</v>
      </c>
      <c r="U5768" s="1" t="str">
        <f t="shared" si="10819"/>
        <v>0.0070</v>
      </c>
    </row>
    <row r="5769" s="1" customFormat="1" spans="1:21">
      <c r="A5769" s="1" t="str">
        <f>"4601992209929"</f>
        <v>4601992209929</v>
      </c>
      <c r="B5769" s="1" t="s">
        <v>5792</v>
      </c>
      <c r="C5769" s="1" t="s">
        <v>24</v>
      </c>
      <c r="D5769" s="1" t="str">
        <f t="shared" si="10880"/>
        <v>2021</v>
      </c>
      <c r="E5769" s="1" t="str">
        <f t="shared" ref="E5769:P5769" si="10889">"0"</f>
        <v>0</v>
      </c>
      <c r="F5769" s="1" t="str">
        <f t="shared" si="10889"/>
        <v>0</v>
      </c>
      <c r="G5769" s="1" t="str">
        <f t="shared" si="10889"/>
        <v>0</v>
      </c>
      <c r="H5769" s="1" t="str">
        <f t="shared" si="10889"/>
        <v>0</v>
      </c>
      <c r="I5769" s="1" t="str">
        <f t="shared" si="10889"/>
        <v>0</v>
      </c>
      <c r="J5769" s="1" t="str">
        <f t="shared" si="10889"/>
        <v>0</v>
      </c>
      <c r="K5769" s="1" t="str">
        <f t="shared" si="10889"/>
        <v>0</v>
      </c>
      <c r="L5769" s="1" t="str">
        <f t="shared" si="10889"/>
        <v>0</v>
      </c>
      <c r="M5769" s="1" t="str">
        <f t="shared" si="10889"/>
        <v>0</v>
      </c>
      <c r="N5769" s="1" t="str">
        <f t="shared" si="10889"/>
        <v>0</v>
      </c>
      <c r="O5769" s="1" t="str">
        <f t="shared" si="10889"/>
        <v>0</v>
      </c>
      <c r="P5769" s="1" t="str">
        <f t="shared" si="10889"/>
        <v>0</v>
      </c>
      <c r="Q5769" s="1" t="str">
        <f t="shared" si="10882"/>
        <v>0.0070</v>
      </c>
      <c r="R5769" s="1" t="s">
        <v>25</v>
      </c>
      <c r="T5769" s="1" t="str">
        <f t="shared" si="10883"/>
        <v>0</v>
      </c>
      <c r="U5769" s="1" t="str">
        <f t="shared" si="10819"/>
        <v>0.0070</v>
      </c>
    </row>
    <row r="5770" s="1" customFormat="1" spans="1:21">
      <c r="A5770" s="1" t="str">
        <f>"4601992210765"</f>
        <v>4601992210765</v>
      </c>
      <c r="B5770" s="1" t="s">
        <v>5793</v>
      </c>
      <c r="C5770" s="1" t="s">
        <v>24</v>
      </c>
      <c r="D5770" s="1" t="str">
        <f t="shared" si="10880"/>
        <v>2021</v>
      </c>
      <c r="E5770" s="1" t="str">
        <f t="shared" ref="E5770:P5770" si="10890">"0"</f>
        <v>0</v>
      </c>
      <c r="F5770" s="1" t="str">
        <f t="shared" si="10890"/>
        <v>0</v>
      </c>
      <c r="G5770" s="1" t="str">
        <f t="shared" si="10890"/>
        <v>0</v>
      </c>
      <c r="H5770" s="1" t="str">
        <f t="shared" si="10890"/>
        <v>0</v>
      </c>
      <c r="I5770" s="1" t="str">
        <f t="shared" si="10890"/>
        <v>0</v>
      </c>
      <c r="J5770" s="1" t="str">
        <f t="shared" si="10890"/>
        <v>0</v>
      </c>
      <c r="K5770" s="1" t="str">
        <f t="shared" si="10890"/>
        <v>0</v>
      </c>
      <c r="L5770" s="1" t="str">
        <f t="shared" si="10890"/>
        <v>0</v>
      </c>
      <c r="M5770" s="1" t="str">
        <f t="shared" si="10890"/>
        <v>0</v>
      </c>
      <c r="N5770" s="1" t="str">
        <f t="shared" si="10890"/>
        <v>0</v>
      </c>
      <c r="O5770" s="1" t="str">
        <f t="shared" si="10890"/>
        <v>0</v>
      </c>
      <c r="P5770" s="1" t="str">
        <f t="shared" si="10890"/>
        <v>0</v>
      </c>
      <c r="Q5770" s="1" t="str">
        <f t="shared" si="10882"/>
        <v>0.0070</v>
      </c>
      <c r="R5770" s="1" t="s">
        <v>25</v>
      </c>
      <c r="T5770" s="1" t="str">
        <f t="shared" si="10883"/>
        <v>0</v>
      </c>
      <c r="U5770" s="1" t="str">
        <f t="shared" si="10819"/>
        <v>0.0070</v>
      </c>
    </row>
    <row r="5771" s="1" customFormat="1" spans="1:21">
      <c r="A5771" s="1" t="str">
        <f>"4601992210845"</f>
        <v>4601992210845</v>
      </c>
      <c r="B5771" s="1" t="s">
        <v>5794</v>
      </c>
      <c r="C5771" s="1" t="s">
        <v>24</v>
      </c>
      <c r="D5771" s="1" t="str">
        <f t="shared" si="10880"/>
        <v>2021</v>
      </c>
      <c r="E5771" s="1" t="str">
        <f t="shared" ref="E5771:P5771" si="10891">"0"</f>
        <v>0</v>
      </c>
      <c r="F5771" s="1" t="str">
        <f t="shared" si="10891"/>
        <v>0</v>
      </c>
      <c r="G5771" s="1" t="str">
        <f t="shared" si="10891"/>
        <v>0</v>
      </c>
      <c r="H5771" s="1" t="str">
        <f t="shared" si="10891"/>
        <v>0</v>
      </c>
      <c r="I5771" s="1" t="str">
        <f t="shared" si="10891"/>
        <v>0</v>
      </c>
      <c r="J5771" s="1" t="str">
        <f t="shared" si="10891"/>
        <v>0</v>
      </c>
      <c r="K5771" s="1" t="str">
        <f t="shared" si="10891"/>
        <v>0</v>
      </c>
      <c r="L5771" s="1" t="str">
        <f t="shared" si="10891"/>
        <v>0</v>
      </c>
      <c r="M5771" s="1" t="str">
        <f t="shared" si="10891"/>
        <v>0</v>
      </c>
      <c r="N5771" s="1" t="str">
        <f t="shared" si="10891"/>
        <v>0</v>
      </c>
      <c r="O5771" s="1" t="str">
        <f t="shared" si="10891"/>
        <v>0</v>
      </c>
      <c r="P5771" s="1" t="str">
        <f t="shared" si="10891"/>
        <v>0</v>
      </c>
      <c r="Q5771" s="1" t="str">
        <f t="shared" si="10882"/>
        <v>0.0070</v>
      </c>
      <c r="R5771" s="1" t="s">
        <v>25</v>
      </c>
      <c r="T5771" s="1" t="str">
        <f t="shared" si="10883"/>
        <v>0</v>
      </c>
      <c r="U5771" s="1" t="str">
        <f t="shared" si="10819"/>
        <v>0.0070</v>
      </c>
    </row>
    <row r="5772" s="1" customFormat="1" spans="1:21">
      <c r="A5772" s="1" t="str">
        <f>"4601992210865"</f>
        <v>4601992210865</v>
      </c>
      <c r="B5772" s="1" t="s">
        <v>5795</v>
      </c>
      <c r="C5772" s="1" t="s">
        <v>24</v>
      </c>
      <c r="D5772" s="1" t="str">
        <f t="shared" si="10880"/>
        <v>2021</v>
      </c>
      <c r="E5772" s="1" t="str">
        <f t="shared" ref="E5772:P5772" si="10892">"0"</f>
        <v>0</v>
      </c>
      <c r="F5772" s="1" t="str">
        <f t="shared" si="10892"/>
        <v>0</v>
      </c>
      <c r="G5772" s="1" t="str">
        <f t="shared" si="10892"/>
        <v>0</v>
      </c>
      <c r="H5772" s="1" t="str">
        <f t="shared" si="10892"/>
        <v>0</v>
      </c>
      <c r="I5772" s="1" t="str">
        <f t="shared" si="10892"/>
        <v>0</v>
      </c>
      <c r="J5772" s="1" t="str">
        <f t="shared" si="10892"/>
        <v>0</v>
      </c>
      <c r="K5772" s="1" t="str">
        <f t="shared" si="10892"/>
        <v>0</v>
      </c>
      <c r="L5772" s="1" t="str">
        <f t="shared" si="10892"/>
        <v>0</v>
      </c>
      <c r="M5772" s="1" t="str">
        <f t="shared" si="10892"/>
        <v>0</v>
      </c>
      <c r="N5772" s="1" t="str">
        <f t="shared" si="10892"/>
        <v>0</v>
      </c>
      <c r="O5772" s="1" t="str">
        <f t="shared" si="10892"/>
        <v>0</v>
      </c>
      <c r="P5772" s="1" t="str">
        <f t="shared" si="10892"/>
        <v>0</v>
      </c>
      <c r="Q5772" s="1" t="str">
        <f t="shared" si="10882"/>
        <v>0.0070</v>
      </c>
      <c r="R5772" s="1" t="s">
        <v>25</v>
      </c>
      <c r="T5772" s="1" t="str">
        <f t="shared" si="10883"/>
        <v>0</v>
      </c>
      <c r="U5772" s="1" t="str">
        <f t="shared" ref="U5772:U5781" si="10893">"0.0070"</f>
        <v>0.0070</v>
      </c>
    </row>
    <row r="5773" s="1" customFormat="1" spans="1:21">
      <c r="A5773" s="1" t="str">
        <f>"4601992210927"</f>
        <v>4601992210927</v>
      </c>
      <c r="B5773" s="1" t="s">
        <v>5796</v>
      </c>
      <c r="C5773" s="1" t="s">
        <v>24</v>
      </c>
      <c r="D5773" s="1" t="str">
        <f t="shared" si="10880"/>
        <v>2021</v>
      </c>
      <c r="E5773" s="1" t="str">
        <f t="shared" ref="E5773:P5773" si="10894">"0"</f>
        <v>0</v>
      </c>
      <c r="F5773" s="1" t="str">
        <f t="shared" si="10894"/>
        <v>0</v>
      </c>
      <c r="G5773" s="1" t="str">
        <f t="shared" si="10894"/>
        <v>0</v>
      </c>
      <c r="H5773" s="1" t="str">
        <f t="shared" si="10894"/>
        <v>0</v>
      </c>
      <c r="I5773" s="1" t="str">
        <f t="shared" si="10894"/>
        <v>0</v>
      </c>
      <c r="J5773" s="1" t="str">
        <f t="shared" si="10894"/>
        <v>0</v>
      </c>
      <c r="K5773" s="1" t="str">
        <f t="shared" si="10894"/>
        <v>0</v>
      </c>
      <c r="L5773" s="1" t="str">
        <f t="shared" si="10894"/>
        <v>0</v>
      </c>
      <c r="M5773" s="1" t="str">
        <f t="shared" si="10894"/>
        <v>0</v>
      </c>
      <c r="N5773" s="1" t="str">
        <f t="shared" si="10894"/>
        <v>0</v>
      </c>
      <c r="O5773" s="1" t="str">
        <f t="shared" si="10894"/>
        <v>0</v>
      </c>
      <c r="P5773" s="1" t="str">
        <f t="shared" si="10894"/>
        <v>0</v>
      </c>
      <c r="Q5773" s="1" t="str">
        <f t="shared" si="10882"/>
        <v>0.0070</v>
      </c>
      <c r="R5773" s="1" t="s">
        <v>25</v>
      </c>
      <c r="T5773" s="1" t="str">
        <f t="shared" si="10883"/>
        <v>0</v>
      </c>
      <c r="U5773" s="1" t="str">
        <f t="shared" si="10893"/>
        <v>0.0070</v>
      </c>
    </row>
    <row r="5774" s="1" customFormat="1" spans="1:21">
      <c r="A5774" s="1" t="str">
        <f>"4601992211053"</f>
        <v>4601992211053</v>
      </c>
      <c r="B5774" s="1" t="s">
        <v>5797</v>
      </c>
      <c r="C5774" s="1" t="s">
        <v>24</v>
      </c>
      <c r="D5774" s="1" t="str">
        <f t="shared" si="10880"/>
        <v>2021</v>
      </c>
      <c r="E5774" s="1" t="str">
        <f t="shared" ref="E5774:P5774" si="10895">"0"</f>
        <v>0</v>
      </c>
      <c r="F5774" s="1" t="str">
        <f t="shared" si="10895"/>
        <v>0</v>
      </c>
      <c r="G5774" s="1" t="str">
        <f t="shared" si="10895"/>
        <v>0</v>
      </c>
      <c r="H5774" s="1" t="str">
        <f t="shared" si="10895"/>
        <v>0</v>
      </c>
      <c r="I5774" s="1" t="str">
        <f t="shared" si="10895"/>
        <v>0</v>
      </c>
      <c r="J5774" s="1" t="str">
        <f t="shared" si="10895"/>
        <v>0</v>
      </c>
      <c r="K5774" s="1" t="str">
        <f t="shared" si="10895"/>
        <v>0</v>
      </c>
      <c r="L5774" s="1" t="str">
        <f t="shared" si="10895"/>
        <v>0</v>
      </c>
      <c r="M5774" s="1" t="str">
        <f t="shared" si="10895"/>
        <v>0</v>
      </c>
      <c r="N5774" s="1" t="str">
        <f t="shared" si="10895"/>
        <v>0</v>
      </c>
      <c r="O5774" s="1" t="str">
        <f t="shared" si="10895"/>
        <v>0</v>
      </c>
      <c r="P5774" s="1" t="str">
        <f t="shared" si="10895"/>
        <v>0</v>
      </c>
      <c r="Q5774" s="1" t="str">
        <f t="shared" si="10882"/>
        <v>0.0070</v>
      </c>
      <c r="R5774" s="1" t="s">
        <v>25</v>
      </c>
      <c r="T5774" s="1" t="str">
        <f t="shared" si="10883"/>
        <v>0</v>
      </c>
      <c r="U5774" s="1" t="str">
        <f t="shared" si="10893"/>
        <v>0.0070</v>
      </c>
    </row>
    <row r="5775" s="1" customFormat="1" spans="1:21">
      <c r="A5775" s="1" t="str">
        <f>"4601992211239"</f>
        <v>4601992211239</v>
      </c>
      <c r="B5775" s="1" t="s">
        <v>5798</v>
      </c>
      <c r="C5775" s="1" t="s">
        <v>24</v>
      </c>
      <c r="D5775" s="1" t="str">
        <f t="shared" si="10880"/>
        <v>2021</v>
      </c>
      <c r="E5775" s="1" t="str">
        <f t="shared" ref="E5775:P5775" si="10896">"0"</f>
        <v>0</v>
      </c>
      <c r="F5775" s="1" t="str">
        <f t="shared" si="10896"/>
        <v>0</v>
      </c>
      <c r="G5775" s="1" t="str">
        <f t="shared" si="10896"/>
        <v>0</v>
      </c>
      <c r="H5775" s="1" t="str">
        <f t="shared" si="10896"/>
        <v>0</v>
      </c>
      <c r="I5775" s="1" t="str">
        <f t="shared" si="10896"/>
        <v>0</v>
      </c>
      <c r="J5775" s="1" t="str">
        <f t="shared" si="10896"/>
        <v>0</v>
      </c>
      <c r="K5775" s="1" t="str">
        <f t="shared" si="10896"/>
        <v>0</v>
      </c>
      <c r="L5775" s="1" t="str">
        <f t="shared" si="10896"/>
        <v>0</v>
      </c>
      <c r="M5775" s="1" t="str">
        <f t="shared" si="10896"/>
        <v>0</v>
      </c>
      <c r="N5775" s="1" t="str">
        <f t="shared" si="10896"/>
        <v>0</v>
      </c>
      <c r="O5775" s="1" t="str">
        <f t="shared" si="10896"/>
        <v>0</v>
      </c>
      <c r="P5775" s="1" t="str">
        <f t="shared" si="10896"/>
        <v>0</v>
      </c>
      <c r="Q5775" s="1" t="str">
        <f t="shared" si="10882"/>
        <v>0.0070</v>
      </c>
      <c r="R5775" s="1" t="s">
        <v>25</v>
      </c>
      <c r="T5775" s="1" t="str">
        <f t="shared" si="10883"/>
        <v>0</v>
      </c>
      <c r="U5775" s="1" t="str">
        <f t="shared" si="10893"/>
        <v>0.0070</v>
      </c>
    </row>
    <row r="5776" s="1" customFormat="1" spans="1:21">
      <c r="A5776" s="1" t="str">
        <f>"4601992211631"</f>
        <v>4601992211631</v>
      </c>
      <c r="B5776" s="1" t="s">
        <v>5799</v>
      </c>
      <c r="C5776" s="1" t="s">
        <v>24</v>
      </c>
      <c r="D5776" s="1" t="str">
        <f t="shared" si="10880"/>
        <v>2021</v>
      </c>
      <c r="E5776" s="1" t="str">
        <f t="shared" ref="E5776:P5776" si="10897">"0"</f>
        <v>0</v>
      </c>
      <c r="F5776" s="1" t="str">
        <f t="shared" si="10897"/>
        <v>0</v>
      </c>
      <c r="G5776" s="1" t="str">
        <f t="shared" si="10897"/>
        <v>0</v>
      </c>
      <c r="H5776" s="1" t="str">
        <f t="shared" si="10897"/>
        <v>0</v>
      </c>
      <c r="I5776" s="1" t="str">
        <f t="shared" si="10897"/>
        <v>0</v>
      </c>
      <c r="J5776" s="1" t="str">
        <f t="shared" si="10897"/>
        <v>0</v>
      </c>
      <c r="K5776" s="1" t="str">
        <f t="shared" si="10897"/>
        <v>0</v>
      </c>
      <c r="L5776" s="1" t="str">
        <f t="shared" si="10897"/>
        <v>0</v>
      </c>
      <c r="M5776" s="1" t="str">
        <f t="shared" si="10897"/>
        <v>0</v>
      </c>
      <c r="N5776" s="1" t="str">
        <f t="shared" si="10897"/>
        <v>0</v>
      </c>
      <c r="O5776" s="1" t="str">
        <f t="shared" si="10897"/>
        <v>0</v>
      </c>
      <c r="P5776" s="1" t="str">
        <f t="shared" si="10897"/>
        <v>0</v>
      </c>
      <c r="Q5776" s="1" t="str">
        <f t="shared" si="10882"/>
        <v>0.0070</v>
      </c>
      <c r="R5776" s="1" t="s">
        <v>25</v>
      </c>
      <c r="T5776" s="1" t="str">
        <f t="shared" si="10883"/>
        <v>0</v>
      </c>
      <c r="U5776" s="1" t="str">
        <f t="shared" si="10893"/>
        <v>0.0070</v>
      </c>
    </row>
    <row r="5777" s="1" customFormat="1" spans="1:21">
      <c r="A5777" s="1" t="str">
        <f>"4601992211422"</f>
        <v>4601992211422</v>
      </c>
      <c r="B5777" s="1" t="s">
        <v>5800</v>
      </c>
      <c r="C5777" s="1" t="s">
        <v>24</v>
      </c>
      <c r="D5777" s="1" t="str">
        <f t="shared" si="10880"/>
        <v>2021</v>
      </c>
      <c r="E5777" s="1" t="str">
        <f t="shared" ref="E5777:P5777" si="10898">"0"</f>
        <v>0</v>
      </c>
      <c r="F5777" s="1" t="str">
        <f t="shared" si="10898"/>
        <v>0</v>
      </c>
      <c r="G5777" s="1" t="str">
        <f t="shared" si="10898"/>
        <v>0</v>
      </c>
      <c r="H5777" s="1" t="str">
        <f t="shared" si="10898"/>
        <v>0</v>
      </c>
      <c r="I5777" s="1" t="str">
        <f t="shared" si="10898"/>
        <v>0</v>
      </c>
      <c r="J5777" s="1" t="str">
        <f t="shared" si="10898"/>
        <v>0</v>
      </c>
      <c r="K5777" s="1" t="str">
        <f t="shared" si="10898"/>
        <v>0</v>
      </c>
      <c r="L5777" s="1" t="str">
        <f t="shared" si="10898"/>
        <v>0</v>
      </c>
      <c r="M5777" s="1" t="str">
        <f t="shared" si="10898"/>
        <v>0</v>
      </c>
      <c r="N5777" s="1" t="str">
        <f t="shared" si="10898"/>
        <v>0</v>
      </c>
      <c r="O5777" s="1" t="str">
        <f t="shared" si="10898"/>
        <v>0</v>
      </c>
      <c r="P5777" s="1" t="str">
        <f t="shared" si="10898"/>
        <v>0</v>
      </c>
      <c r="Q5777" s="1" t="str">
        <f t="shared" si="10882"/>
        <v>0.0070</v>
      </c>
      <c r="R5777" s="1" t="s">
        <v>25</v>
      </c>
      <c r="T5777" s="1" t="str">
        <f t="shared" si="10883"/>
        <v>0</v>
      </c>
      <c r="U5777" s="1" t="str">
        <f t="shared" si="10893"/>
        <v>0.0070</v>
      </c>
    </row>
    <row r="5778" s="1" customFormat="1" spans="1:21">
      <c r="A5778" s="1" t="str">
        <f>"4601992211664"</f>
        <v>4601992211664</v>
      </c>
      <c r="B5778" s="1" t="s">
        <v>5801</v>
      </c>
      <c r="C5778" s="1" t="s">
        <v>24</v>
      </c>
      <c r="D5778" s="1" t="str">
        <f t="shared" si="10880"/>
        <v>2021</v>
      </c>
      <c r="E5778" s="1" t="str">
        <f t="shared" ref="E5778:P5778" si="10899">"0"</f>
        <v>0</v>
      </c>
      <c r="F5778" s="1" t="str">
        <f t="shared" si="10899"/>
        <v>0</v>
      </c>
      <c r="G5778" s="1" t="str">
        <f t="shared" si="10899"/>
        <v>0</v>
      </c>
      <c r="H5778" s="1" t="str">
        <f t="shared" si="10899"/>
        <v>0</v>
      </c>
      <c r="I5778" s="1" t="str">
        <f t="shared" si="10899"/>
        <v>0</v>
      </c>
      <c r="J5778" s="1" t="str">
        <f t="shared" si="10899"/>
        <v>0</v>
      </c>
      <c r="K5778" s="1" t="str">
        <f t="shared" si="10899"/>
        <v>0</v>
      </c>
      <c r="L5778" s="1" t="str">
        <f t="shared" si="10899"/>
        <v>0</v>
      </c>
      <c r="M5778" s="1" t="str">
        <f t="shared" si="10899"/>
        <v>0</v>
      </c>
      <c r="N5778" s="1" t="str">
        <f t="shared" si="10899"/>
        <v>0</v>
      </c>
      <c r="O5778" s="1" t="str">
        <f t="shared" si="10899"/>
        <v>0</v>
      </c>
      <c r="P5778" s="1" t="str">
        <f t="shared" si="10899"/>
        <v>0</v>
      </c>
      <c r="Q5778" s="1" t="str">
        <f t="shared" si="10882"/>
        <v>0.0070</v>
      </c>
      <c r="R5778" s="1" t="s">
        <v>25</v>
      </c>
      <c r="T5778" s="1" t="str">
        <f t="shared" si="10883"/>
        <v>0</v>
      </c>
      <c r="U5778" s="1" t="str">
        <f t="shared" si="10893"/>
        <v>0.0070</v>
      </c>
    </row>
    <row r="5779" s="1" customFormat="1" spans="1:21">
      <c r="A5779" s="1" t="str">
        <f>"4601992211667"</f>
        <v>4601992211667</v>
      </c>
      <c r="B5779" s="1" t="s">
        <v>5802</v>
      </c>
      <c r="C5779" s="1" t="s">
        <v>24</v>
      </c>
      <c r="D5779" s="1" t="str">
        <f t="shared" si="10880"/>
        <v>2021</v>
      </c>
      <c r="E5779" s="1" t="str">
        <f t="shared" ref="E5779:P5779" si="10900">"0"</f>
        <v>0</v>
      </c>
      <c r="F5779" s="1" t="str">
        <f t="shared" si="10900"/>
        <v>0</v>
      </c>
      <c r="G5779" s="1" t="str">
        <f t="shared" si="10900"/>
        <v>0</v>
      </c>
      <c r="H5779" s="1" t="str">
        <f t="shared" si="10900"/>
        <v>0</v>
      </c>
      <c r="I5779" s="1" t="str">
        <f t="shared" si="10900"/>
        <v>0</v>
      </c>
      <c r="J5779" s="1" t="str">
        <f t="shared" si="10900"/>
        <v>0</v>
      </c>
      <c r="K5779" s="1" t="str">
        <f t="shared" si="10900"/>
        <v>0</v>
      </c>
      <c r="L5779" s="1" t="str">
        <f t="shared" si="10900"/>
        <v>0</v>
      </c>
      <c r="M5779" s="1" t="str">
        <f t="shared" si="10900"/>
        <v>0</v>
      </c>
      <c r="N5779" s="1" t="str">
        <f t="shared" si="10900"/>
        <v>0</v>
      </c>
      <c r="O5779" s="1" t="str">
        <f t="shared" si="10900"/>
        <v>0</v>
      </c>
      <c r="P5779" s="1" t="str">
        <f t="shared" si="10900"/>
        <v>0</v>
      </c>
      <c r="Q5779" s="1" t="str">
        <f t="shared" si="10882"/>
        <v>0.0070</v>
      </c>
      <c r="R5779" s="1" t="s">
        <v>25</v>
      </c>
      <c r="T5779" s="1" t="str">
        <f t="shared" si="10883"/>
        <v>0</v>
      </c>
      <c r="U5779" s="1" t="str">
        <f t="shared" si="10893"/>
        <v>0.0070</v>
      </c>
    </row>
    <row r="5780" s="1" customFormat="1" spans="1:21">
      <c r="A5780" s="1" t="str">
        <f>"4601992212539"</f>
        <v>4601992212539</v>
      </c>
      <c r="B5780" s="1" t="s">
        <v>5803</v>
      </c>
      <c r="C5780" s="1" t="s">
        <v>24</v>
      </c>
      <c r="D5780" s="1" t="str">
        <f t="shared" si="10880"/>
        <v>2021</v>
      </c>
      <c r="E5780" s="1" t="str">
        <f t="shared" ref="E5780:P5780" si="10901">"0"</f>
        <v>0</v>
      </c>
      <c r="F5780" s="1" t="str">
        <f t="shared" si="10901"/>
        <v>0</v>
      </c>
      <c r="G5780" s="1" t="str">
        <f t="shared" si="10901"/>
        <v>0</v>
      </c>
      <c r="H5780" s="1" t="str">
        <f t="shared" si="10901"/>
        <v>0</v>
      </c>
      <c r="I5780" s="1" t="str">
        <f t="shared" si="10901"/>
        <v>0</v>
      </c>
      <c r="J5780" s="1" t="str">
        <f t="shared" si="10901"/>
        <v>0</v>
      </c>
      <c r="K5780" s="1" t="str">
        <f t="shared" si="10901"/>
        <v>0</v>
      </c>
      <c r="L5780" s="1" t="str">
        <f t="shared" si="10901"/>
        <v>0</v>
      </c>
      <c r="M5780" s="1" t="str">
        <f t="shared" si="10901"/>
        <v>0</v>
      </c>
      <c r="N5780" s="1" t="str">
        <f t="shared" si="10901"/>
        <v>0</v>
      </c>
      <c r="O5780" s="1" t="str">
        <f t="shared" si="10901"/>
        <v>0</v>
      </c>
      <c r="P5780" s="1" t="str">
        <f t="shared" si="10901"/>
        <v>0</v>
      </c>
      <c r="Q5780" s="1" t="str">
        <f t="shared" si="10882"/>
        <v>0.0070</v>
      </c>
      <c r="R5780" s="1" t="s">
        <v>25</v>
      </c>
      <c r="T5780" s="1" t="str">
        <f t="shared" si="10883"/>
        <v>0</v>
      </c>
      <c r="U5780" s="1" t="str">
        <f t="shared" si="10893"/>
        <v>0.0070</v>
      </c>
    </row>
    <row r="5781" s="1" customFormat="1" spans="1:21">
      <c r="A5781" s="1" t="str">
        <f>"4601992211634"</f>
        <v>4601992211634</v>
      </c>
      <c r="B5781" s="1" t="s">
        <v>5804</v>
      </c>
      <c r="C5781" s="1" t="s">
        <v>24</v>
      </c>
      <c r="D5781" s="1" t="str">
        <f t="shared" si="10880"/>
        <v>2021</v>
      </c>
      <c r="E5781" s="1" t="str">
        <f t="shared" ref="E5781:I5781" si="10902">"0"</f>
        <v>0</v>
      </c>
      <c r="F5781" s="1" t="str">
        <f t="shared" si="10902"/>
        <v>0</v>
      </c>
      <c r="G5781" s="1" t="str">
        <f t="shared" si="10902"/>
        <v>0</v>
      </c>
      <c r="H5781" s="1" t="str">
        <f t="shared" si="10902"/>
        <v>0</v>
      </c>
      <c r="I5781" s="1" t="str">
        <f t="shared" si="10902"/>
        <v>0</v>
      </c>
      <c r="J5781" s="1" t="str">
        <f>"2"</f>
        <v>2</v>
      </c>
      <c r="K5781" s="1" t="str">
        <f t="shared" ref="K5781:P5781" si="10903">"0"</f>
        <v>0</v>
      </c>
      <c r="L5781" s="1" t="str">
        <f t="shared" si="10903"/>
        <v>0</v>
      </c>
      <c r="M5781" s="1" t="str">
        <f t="shared" si="10903"/>
        <v>0</v>
      </c>
      <c r="N5781" s="1" t="str">
        <f t="shared" si="10903"/>
        <v>0</v>
      </c>
      <c r="O5781" s="1" t="str">
        <f t="shared" si="10903"/>
        <v>0</v>
      </c>
      <c r="P5781" s="1" t="str">
        <f t="shared" si="10903"/>
        <v>0</v>
      </c>
      <c r="Q5781" s="1" t="str">
        <f t="shared" si="10882"/>
        <v>0.0070</v>
      </c>
      <c r="R5781" s="1" t="s">
        <v>25</v>
      </c>
      <c r="T5781" s="1" t="str">
        <f t="shared" si="10883"/>
        <v>0</v>
      </c>
      <c r="U5781" s="1" t="str">
        <f t="shared" si="10893"/>
        <v>0.0070</v>
      </c>
    </row>
    <row r="5782" s="1" customFormat="1" spans="1:21">
      <c r="A5782" s="1" t="str">
        <f>"4601992213655"</f>
        <v>4601992213655</v>
      </c>
      <c r="B5782" s="1" t="s">
        <v>5805</v>
      </c>
      <c r="C5782" s="1" t="s">
        <v>24</v>
      </c>
      <c r="D5782" s="1" t="str">
        <f t="shared" si="10880"/>
        <v>2021</v>
      </c>
      <c r="E5782" s="1" t="str">
        <f>"13.42"</f>
        <v>13.42</v>
      </c>
      <c r="F5782" s="1" t="str">
        <f t="shared" ref="F5782:I5782" si="10904">"0"</f>
        <v>0</v>
      </c>
      <c r="G5782" s="1" t="str">
        <f t="shared" si="10904"/>
        <v>0</v>
      </c>
      <c r="H5782" s="1" t="str">
        <f t="shared" si="10904"/>
        <v>0</v>
      </c>
      <c r="I5782" s="1" t="str">
        <f t="shared" si="10904"/>
        <v>0</v>
      </c>
      <c r="J5782" s="1" t="str">
        <f>"2"</f>
        <v>2</v>
      </c>
      <c r="K5782" s="1" t="str">
        <f t="shared" ref="K5782:P5782" si="10905">"0"</f>
        <v>0</v>
      </c>
      <c r="L5782" s="1" t="str">
        <f t="shared" si="10905"/>
        <v>0</v>
      </c>
      <c r="M5782" s="1" t="str">
        <f t="shared" si="10905"/>
        <v>0</v>
      </c>
      <c r="N5782" s="1" t="str">
        <f t="shared" si="10905"/>
        <v>0</v>
      </c>
      <c r="O5782" s="1" t="str">
        <f t="shared" si="10905"/>
        <v>0</v>
      </c>
      <c r="P5782" s="1" t="str">
        <f t="shared" si="10905"/>
        <v>0</v>
      </c>
      <c r="Q5782" s="1" t="str">
        <f t="shared" si="10882"/>
        <v>0.0070</v>
      </c>
      <c r="R5782" s="1" t="s">
        <v>29</v>
      </c>
      <c r="S5782" s="1">
        <v>-0.0014</v>
      </c>
      <c r="T5782" s="1" t="str">
        <f t="shared" si="10883"/>
        <v>0</v>
      </c>
      <c r="U5782" s="1" t="str">
        <f>"0.0056"</f>
        <v>0.0056</v>
      </c>
    </row>
    <row r="5783" s="1" customFormat="1" spans="1:21">
      <c r="A5783" s="1" t="str">
        <f>"4601992214470"</f>
        <v>4601992214470</v>
      </c>
      <c r="B5783" s="1" t="s">
        <v>5806</v>
      </c>
      <c r="C5783" s="1" t="s">
        <v>24</v>
      </c>
      <c r="D5783" s="1" t="str">
        <f t="shared" si="10880"/>
        <v>2021</v>
      </c>
      <c r="E5783" s="1" t="str">
        <f t="shared" ref="E5783:I5783" si="10906">"0"</f>
        <v>0</v>
      </c>
      <c r="F5783" s="1" t="str">
        <f t="shared" si="10906"/>
        <v>0</v>
      </c>
      <c r="G5783" s="1" t="str">
        <f t="shared" si="10906"/>
        <v>0</v>
      </c>
      <c r="H5783" s="1" t="str">
        <f t="shared" si="10906"/>
        <v>0</v>
      </c>
      <c r="I5783" s="1" t="str">
        <f t="shared" si="10906"/>
        <v>0</v>
      </c>
      <c r="J5783" s="1" t="str">
        <f>"3"</f>
        <v>3</v>
      </c>
      <c r="K5783" s="1" t="str">
        <f t="shared" ref="K5783:P5783" si="10907">"0"</f>
        <v>0</v>
      </c>
      <c r="L5783" s="1" t="str">
        <f t="shared" si="10907"/>
        <v>0</v>
      </c>
      <c r="M5783" s="1" t="str">
        <f t="shared" si="10907"/>
        <v>0</v>
      </c>
      <c r="N5783" s="1" t="str">
        <f t="shared" si="10907"/>
        <v>0</v>
      </c>
      <c r="O5783" s="1" t="str">
        <f t="shared" si="10907"/>
        <v>0</v>
      </c>
      <c r="P5783" s="1" t="str">
        <f t="shared" si="10907"/>
        <v>0</v>
      </c>
      <c r="Q5783" s="1" t="str">
        <f t="shared" si="10882"/>
        <v>0.0070</v>
      </c>
      <c r="R5783" s="1" t="s">
        <v>25</v>
      </c>
      <c r="T5783" s="1" t="str">
        <f t="shared" si="10883"/>
        <v>0</v>
      </c>
      <c r="U5783" s="1" t="str">
        <f t="shared" ref="U5783:U5837" si="10908">"0.0070"</f>
        <v>0.0070</v>
      </c>
    </row>
    <row r="5784" s="1" customFormat="1" spans="1:21">
      <c r="A5784" s="1" t="str">
        <f>"4601992214542"</f>
        <v>4601992214542</v>
      </c>
      <c r="B5784" s="1" t="s">
        <v>5807</v>
      </c>
      <c r="C5784" s="1" t="s">
        <v>24</v>
      </c>
      <c r="D5784" s="1" t="str">
        <f t="shared" si="10880"/>
        <v>2021</v>
      </c>
      <c r="E5784" s="1" t="str">
        <f t="shared" ref="E5784:P5784" si="10909">"0"</f>
        <v>0</v>
      </c>
      <c r="F5784" s="1" t="str">
        <f t="shared" si="10909"/>
        <v>0</v>
      </c>
      <c r="G5784" s="1" t="str">
        <f t="shared" si="10909"/>
        <v>0</v>
      </c>
      <c r="H5784" s="1" t="str">
        <f t="shared" si="10909"/>
        <v>0</v>
      </c>
      <c r="I5784" s="1" t="str">
        <f t="shared" si="10909"/>
        <v>0</v>
      </c>
      <c r="J5784" s="1" t="str">
        <f t="shared" si="10909"/>
        <v>0</v>
      </c>
      <c r="K5784" s="1" t="str">
        <f t="shared" si="10909"/>
        <v>0</v>
      </c>
      <c r="L5784" s="1" t="str">
        <f t="shared" si="10909"/>
        <v>0</v>
      </c>
      <c r="M5784" s="1" t="str">
        <f t="shared" si="10909"/>
        <v>0</v>
      </c>
      <c r="N5784" s="1" t="str">
        <f t="shared" si="10909"/>
        <v>0</v>
      </c>
      <c r="O5784" s="1" t="str">
        <f t="shared" si="10909"/>
        <v>0</v>
      </c>
      <c r="P5784" s="1" t="str">
        <f t="shared" si="10909"/>
        <v>0</v>
      </c>
      <c r="Q5784" s="1" t="str">
        <f t="shared" si="10882"/>
        <v>0.0070</v>
      </c>
      <c r="R5784" s="1" t="s">
        <v>25</v>
      </c>
      <c r="T5784" s="1" t="str">
        <f t="shared" si="10883"/>
        <v>0</v>
      </c>
      <c r="U5784" s="1" t="str">
        <f t="shared" si="10908"/>
        <v>0.0070</v>
      </c>
    </row>
    <row r="5785" s="1" customFormat="1" spans="1:21">
      <c r="A5785" s="1" t="str">
        <f>"4601992214488"</f>
        <v>4601992214488</v>
      </c>
      <c r="B5785" s="1" t="s">
        <v>5808</v>
      </c>
      <c r="C5785" s="1" t="s">
        <v>24</v>
      </c>
      <c r="D5785" s="1" t="str">
        <f t="shared" si="10880"/>
        <v>2021</v>
      </c>
      <c r="E5785" s="1" t="str">
        <f t="shared" ref="E5785:I5785" si="10910">"0"</f>
        <v>0</v>
      </c>
      <c r="F5785" s="1" t="str">
        <f t="shared" si="10910"/>
        <v>0</v>
      </c>
      <c r="G5785" s="1" t="str">
        <f t="shared" si="10910"/>
        <v>0</v>
      </c>
      <c r="H5785" s="1" t="str">
        <f t="shared" si="10910"/>
        <v>0</v>
      </c>
      <c r="I5785" s="1" t="str">
        <f t="shared" si="10910"/>
        <v>0</v>
      </c>
      <c r="J5785" s="1" t="str">
        <f t="shared" ref="J5785:J5788" si="10911">"1"</f>
        <v>1</v>
      </c>
      <c r="K5785" s="1" t="str">
        <f t="shared" ref="K5785:P5785" si="10912">"0"</f>
        <v>0</v>
      </c>
      <c r="L5785" s="1" t="str">
        <f t="shared" si="10912"/>
        <v>0</v>
      </c>
      <c r="M5785" s="1" t="str">
        <f t="shared" si="10912"/>
        <v>0</v>
      </c>
      <c r="N5785" s="1" t="str">
        <f t="shared" si="10912"/>
        <v>0</v>
      </c>
      <c r="O5785" s="1" t="str">
        <f t="shared" si="10912"/>
        <v>0</v>
      </c>
      <c r="P5785" s="1" t="str">
        <f t="shared" si="10912"/>
        <v>0</v>
      </c>
      <c r="Q5785" s="1" t="str">
        <f t="shared" si="10882"/>
        <v>0.0070</v>
      </c>
      <c r="R5785" s="1" t="s">
        <v>25</v>
      </c>
      <c r="T5785" s="1" t="str">
        <f t="shared" si="10883"/>
        <v>0</v>
      </c>
      <c r="U5785" s="1" t="str">
        <f t="shared" si="10908"/>
        <v>0.0070</v>
      </c>
    </row>
    <row r="5786" s="1" customFormat="1" spans="1:21">
      <c r="A5786" s="1" t="str">
        <f>"4601992214492"</f>
        <v>4601992214492</v>
      </c>
      <c r="B5786" s="1" t="s">
        <v>5809</v>
      </c>
      <c r="C5786" s="1" t="s">
        <v>24</v>
      </c>
      <c r="D5786" s="1" t="str">
        <f t="shared" si="10880"/>
        <v>2021</v>
      </c>
      <c r="E5786" s="1" t="str">
        <f>"0.03"</f>
        <v>0.03</v>
      </c>
      <c r="F5786" s="1" t="str">
        <f t="shared" ref="F5786:I5786" si="10913">"0"</f>
        <v>0</v>
      </c>
      <c r="G5786" s="1" t="str">
        <f t="shared" si="10913"/>
        <v>0</v>
      </c>
      <c r="H5786" s="1" t="str">
        <f t="shared" si="10913"/>
        <v>0</v>
      </c>
      <c r="I5786" s="1" t="str">
        <f t="shared" si="10913"/>
        <v>0</v>
      </c>
      <c r="J5786" s="1" t="str">
        <f t="shared" si="10911"/>
        <v>1</v>
      </c>
      <c r="K5786" s="1" t="str">
        <f t="shared" ref="K5786:P5786" si="10914">"0"</f>
        <v>0</v>
      </c>
      <c r="L5786" s="1" t="str">
        <f t="shared" si="10914"/>
        <v>0</v>
      </c>
      <c r="M5786" s="1" t="str">
        <f t="shared" si="10914"/>
        <v>0</v>
      </c>
      <c r="N5786" s="1" t="str">
        <f t="shared" si="10914"/>
        <v>0</v>
      </c>
      <c r="O5786" s="1" t="str">
        <f t="shared" si="10914"/>
        <v>0</v>
      </c>
      <c r="P5786" s="1" t="str">
        <f t="shared" si="10914"/>
        <v>0</v>
      </c>
      <c r="Q5786" s="1" t="str">
        <f t="shared" si="10882"/>
        <v>0.0070</v>
      </c>
      <c r="R5786" s="1" t="s">
        <v>25</v>
      </c>
      <c r="T5786" s="1" t="str">
        <f t="shared" si="10883"/>
        <v>0</v>
      </c>
      <c r="U5786" s="1" t="str">
        <f t="shared" si="10908"/>
        <v>0.0070</v>
      </c>
    </row>
    <row r="5787" s="1" customFormat="1" spans="1:21">
      <c r="A5787" s="1" t="str">
        <f>"4601992214615"</f>
        <v>4601992214615</v>
      </c>
      <c r="B5787" s="1" t="s">
        <v>5810</v>
      </c>
      <c r="C5787" s="1" t="s">
        <v>24</v>
      </c>
      <c r="D5787" s="1" t="str">
        <f t="shared" si="10880"/>
        <v>2021</v>
      </c>
      <c r="E5787" s="1" t="str">
        <f t="shared" ref="E5787:I5787" si="10915">"0"</f>
        <v>0</v>
      </c>
      <c r="F5787" s="1" t="str">
        <f t="shared" si="10915"/>
        <v>0</v>
      </c>
      <c r="G5787" s="1" t="str">
        <f t="shared" si="10915"/>
        <v>0</v>
      </c>
      <c r="H5787" s="1" t="str">
        <f t="shared" si="10915"/>
        <v>0</v>
      </c>
      <c r="I5787" s="1" t="str">
        <f t="shared" si="10915"/>
        <v>0</v>
      </c>
      <c r="J5787" s="1" t="str">
        <f t="shared" si="10911"/>
        <v>1</v>
      </c>
      <c r="K5787" s="1" t="str">
        <f t="shared" ref="K5787:P5787" si="10916">"0"</f>
        <v>0</v>
      </c>
      <c r="L5787" s="1" t="str">
        <f t="shared" si="10916"/>
        <v>0</v>
      </c>
      <c r="M5787" s="1" t="str">
        <f t="shared" si="10916"/>
        <v>0</v>
      </c>
      <c r="N5787" s="1" t="str">
        <f t="shared" si="10916"/>
        <v>0</v>
      </c>
      <c r="O5787" s="1" t="str">
        <f t="shared" si="10916"/>
        <v>0</v>
      </c>
      <c r="P5787" s="1" t="str">
        <f t="shared" si="10916"/>
        <v>0</v>
      </c>
      <c r="Q5787" s="1" t="str">
        <f t="shared" si="10882"/>
        <v>0.0070</v>
      </c>
      <c r="R5787" s="1" t="s">
        <v>25</v>
      </c>
      <c r="T5787" s="1" t="str">
        <f t="shared" si="10883"/>
        <v>0</v>
      </c>
      <c r="U5787" s="1" t="str">
        <f t="shared" si="10908"/>
        <v>0.0070</v>
      </c>
    </row>
    <row r="5788" s="1" customFormat="1" spans="1:21">
      <c r="A5788" s="1" t="str">
        <f>"4601992214557"</f>
        <v>4601992214557</v>
      </c>
      <c r="B5788" s="1" t="s">
        <v>5811</v>
      </c>
      <c r="C5788" s="1" t="s">
        <v>24</v>
      </c>
      <c r="D5788" s="1" t="str">
        <f t="shared" si="10880"/>
        <v>2021</v>
      </c>
      <c r="E5788" s="1" t="str">
        <f t="shared" ref="E5788:I5788" si="10917">"0"</f>
        <v>0</v>
      </c>
      <c r="F5788" s="1" t="str">
        <f t="shared" si="10917"/>
        <v>0</v>
      </c>
      <c r="G5788" s="1" t="str">
        <f t="shared" si="10917"/>
        <v>0</v>
      </c>
      <c r="H5788" s="1" t="str">
        <f t="shared" si="10917"/>
        <v>0</v>
      </c>
      <c r="I5788" s="1" t="str">
        <f t="shared" si="10917"/>
        <v>0</v>
      </c>
      <c r="J5788" s="1" t="str">
        <f t="shared" si="10911"/>
        <v>1</v>
      </c>
      <c r="K5788" s="1" t="str">
        <f t="shared" ref="K5788:P5788" si="10918">"0"</f>
        <v>0</v>
      </c>
      <c r="L5788" s="1" t="str">
        <f t="shared" si="10918"/>
        <v>0</v>
      </c>
      <c r="M5788" s="1" t="str">
        <f t="shared" si="10918"/>
        <v>0</v>
      </c>
      <c r="N5788" s="1" t="str">
        <f t="shared" si="10918"/>
        <v>0</v>
      </c>
      <c r="O5788" s="1" t="str">
        <f t="shared" si="10918"/>
        <v>0</v>
      </c>
      <c r="P5788" s="1" t="str">
        <f t="shared" si="10918"/>
        <v>0</v>
      </c>
      <c r="Q5788" s="1" t="str">
        <f t="shared" si="10882"/>
        <v>0.0070</v>
      </c>
      <c r="R5788" s="1" t="s">
        <v>25</v>
      </c>
      <c r="T5788" s="1" t="str">
        <f t="shared" si="10883"/>
        <v>0</v>
      </c>
      <c r="U5788" s="1" t="str">
        <f t="shared" si="10908"/>
        <v>0.0070</v>
      </c>
    </row>
    <row r="5789" s="1" customFormat="1" spans="1:21">
      <c r="A5789" s="1" t="str">
        <f>"4601992214602"</f>
        <v>4601992214602</v>
      </c>
      <c r="B5789" s="1" t="s">
        <v>5812</v>
      </c>
      <c r="C5789" s="1" t="s">
        <v>24</v>
      </c>
      <c r="D5789" s="1" t="str">
        <f t="shared" si="10880"/>
        <v>2021</v>
      </c>
      <c r="E5789" s="1" t="str">
        <f t="shared" ref="E5789:I5789" si="10919">"0"</f>
        <v>0</v>
      </c>
      <c r="F5789" s="1" t="str">
        <f t="shared" si="10919"/>
        <v>0</v>
      </c>
      <c r="G5789" s="1" t="str">
        <f t="shared" si="10919"/>
        <v>0</v>
      </c>
      <c r="H5789" s="1" t="str">
        <f t="shared" si="10919"/>
        <v>0</v>
      </c>
      <c r="I5789" s="1" t="str">
        <f t="shared" si="10919"/>
        <v>0</v>
      </c>
      <c r="J5789" s="1" t="str">
        <f>"3"</f>
        <v>3</v>
      </c>
      <c r="K5789" s="1" t="str">
        <f t="shared" ref="K5789:P5789" si="10920">"0"</f>
        <v>0</v>
      </c>
      <c r="L5789" s="1" t="str">
        <f t="shared" si="10920"/>
        <v>0</v>
      </c>
      <c r="M5789" s="1" t="str">
        <f t="shared" si="10920"/>
        <v>0</v>
      </c>
      <c r="N5789" s="1" t="str">
        <f t="shared" si="10920"/>
        <v>0</v>
      </c>
      <c r="O5789" s="1" t="str">
        <f t="shared" si="10920"/>
        <v>0</v>
      </c>
      <c r="P5789" s="1" t="str">
        <f t="shared" si="10920"/>
        <v>0</v>
      </c>
      <c r="Q5789" s="1" t="str">
        <f t="shared" si="10882"/>
        <v>0.0070</v>
      </c>
      <c r="R5789" s="1" t="s">
        <v>25</v>
      </c>
      <c r="T5789" s="1" t="str">
        <f t="shared" si="10883"/>
        <v>0</v>
      </c>
      <c r="U5789" s="1" t="str">
        <f t="shared" si="10908"/>
        <v>0.0070</v>
      </c>
    </row>
    <row r="5790" s="1" customFormat="1" spans="1:21">
      <c r="A5790" s="1" t="str">
        <f>"4601992214639"</f>
        <v>4601992214639</v>
      </c>
      <c r="B5790" s="1" t="s">
        <v>5813</v>
      </c>
      <c r="C5790" s="1" t="s">
        <v>24</v>
      </c>
      <c r="D5790" s="1" t="str">
        <f t="shared" si="10880"/>
        <v>2021</v>
      </c>
      <c r="E5790" s="1" t="str">
        <f t="shared" ref="E5790:I5790" si="10921">"0"</f>
        <v>0</v>
      </c>
      <c r="F5790" s="1" t="str">
        <f t="shared" si="10921"/>
        <v>0</v>
      </c>
      <c r="G5790" s="1" t="str">
        <f t="shared" si="10921"/>
        <v>0</v>
      </c>
      <c r="H5790" s="1" t="str">
        <f t="shared" si="10921"/>
        <v>0</v>
      </c>
      <c r="I5790" s="1" t="str">
        <f t="shared" si="10921"/>
        <v>0</v>
      </c>
      <c r="J5790" s="1" t="str">
        <f>"3"</f>
        <v>3</v>
      </c>
      <c r="K5790" s="1" t="str">
        <f t="shared" ref="K5790:P5790" si="10922">"0"</f>
        <v>0</v>
      </c>
      <c r="L5790" s="1" t="str">
        <f t="shared" si="10922"/>
        <v>0</v>
      </c>
      <c r="M5790" s="1" t="str">
        <f t="shared" si="10922"/>
        <v>0</v>
      </c>
      <c r="N5790" s="1" t="str">
        <f t="shared" si="10922"/>
        <v>0</v>
      </c>
      <c r="O5790" s="1" t="str">
        <f t="shared" si="10922"/>
        <v>0</v>
      </c>
      <c r="P5790" s="1" t="str">
        <f t="shared" si="10922"/>
        <v>0</v>
      </c>
      <c r="Q5790" s="1" t="str">
        <f t="shared" si="10882"/>
        <v>0.0070</v>
      </c>
      <c r="R5790" s="1" t="s">
        <v>25</v>
      </c>
      <c r="T5790" s="1" t="str">
        <f t="shared" si="10883"/>
        <v>0</v>
      </c>
      <c r="U5790" s="1" t="str">
        <f t="shared" si="10908"/>
        <v>0.0070</v>
      </c>
    </row>
    <row r="5791" s="1" customFormat="1" spans="1:21">
      <c r="A5791" s="1" t="str">
        <f>"4601992214675"</f>
        <v>4601992214675</v>
      </c>
      <c r="B5791" s="1" t="s">
        <v>5814</v>
      </c>
      <c r="C5791" s="1" t="s">
        <v>24</v>
      </c>
      <c r="D5791" s="1" t="str">
        <f t="shared" si="10880"/>
        <v>2021</v>
      </c>
      <c r="E5791" s="1" t="str">
        <f t="shared" ref="E5791:P5791" si="10923">"0"</f>
        <v>0</v>
      </c>
      <c r="F5791" s="1" t="str">
        <f t="shared" si="10923"/>
        <v>0</v>
      </c>
      <c r="G5791" s="1" t="str">
        <f t="shared" si="10923"/>
        <v>0</v>
      </c>
      <c r="H5791" s="1" t="str">
        <f t="shared" si="10923"/>
        <v>0</v>
      </c>
      <c r="I5791" s="1" t="str">
        <f t="shared" si="10923"/>
        <v>0</v>
      </c>
      <c r="J5791" s="1" t="str">
        <f t="shared" si="10923"/>
        <v>0</v>
      </c>
      <c r="K5791" s="1" t="str">
        <f t="shared" si="10923"/>
        <v>0</v>
      </c>
      <c r="L5791" s="1" t="str">
        <f t="shared" si="10923"/>
        <v>0</v>
      </c>
      <c r="M5791" s="1" t="str">
        <f t="shared" si="10923"/>
        <v>0</v>
      </c>
      <c r="N5791" s="1" t="str">
        <f t="shared" si="10923"/>
        <v>0</v>
      </c>
      <c r="O5791" s="1" t="str">
        <f t="shared" si="10923"/>
        <v>0</v>
      </c>
      <c r="P5791" s="1" t="str">
        <f t="shared" si="10923"/>
        <v>0</v>
      </c>
      <c r="Q5791" s="1" t="str">
        <f t="shared" si="10882"/>
        <v>0.0070</v>
      </c>
      <c r="R5791" s="1" t="s">
        <v>25</v>
      </c>
      <c r="T5791" s="1" t="str">
        <f t="shared" si="10883"/>
        <v>0</v>
      </c>
      <c r="U5791" s="1" t="str">
        <f t="shared" si="10908"/>
        <v>0.0070</v>
      </c>
    </row>
    <row r="5792" s="1" customFormat="1" spans="1:21">
      <c r="A5792" s="1" t="str">
        <f>"4601992214648"</f>
        <v>4601992214648</v>
      </c>
      <c r="B5792" s="1" t="s">
        <v>5815</v>
      </c>
      <c r="C5792" s="1" t="s">
        <v>24</v>
      </c>
      <c r="D5792" s="1" t="str">
        <f t="shared" si="10880"/>
        <v>2021</v>
      </c>
      <c r="E5792" s="1" t="str">
        <f t="shared" ref="E5792:I5792" si="10924">"0"</f>
        <v>0</v>
      </c>
      <c r="F5792" s="1" t="str">
        <f t="shared" si="10924"/>
        <v>0</v>
      </c>
      <c r="G5792" s="1" t="str">
        <f t="shared" si="10924"/>
        <v>0</v>
      </c>
      <c r="H5792" s="1" t="str">
        <f t="shared" si="10924"/>
        <v>0</v>
      </c>
      <c r="I5792" s="1" t="str">
        <f t="shared" si="10924"/>
        <v>0</v>
      </c>
      <c r="J5792" s="1" t="str">
        <f>"7"</f>
        <v>7</v>
      </c>
      <c r="K5792" s="1" t="str">
        <f t="shared" ref="K5792:P5792" si="10925">"0"</f>
        <v>0</v>
      </c>
      <c r="L5792" s="1" t="str">
        <f t="shared" si="10925"/>
        <v>0</v>
      </c>
      <c r="M5792" s="1" t="str">
        <f t="shared" si="10925"/>
        <v>0</v>
      </c>
      <c r="N5792" s="1" t="str">
        <f t="shared" si="10925"/>
        <v>0</v>
      </c>
      <c r="O5792" s="1" t="str">
        <f t="shared" si="10925"/>
        <v>0</v>
      </c>
      <c r="P5792" s="1" t="str">
        <f t="shared" si="10925"/>
        <v>0</v>
      </c>
      <c r="Q5792" s="1" t="str">
        <f t="shared" si="10882"/>
        <v>0.0070</v>
      </c>
      <c r="R5792" s="1" t="s">
        <v>25</v>
      </c>
      <c r="T5792" s="1" t="str">
        <f t="shared" si="10883"/>
        <v>0</v>
      </c>
      <c r="U5792" s="1" t="str">
        <f t="shared" si="10908"/>
        <v>0.0070</v>
      </c>
    </row>
    <row r="5793" s="1" customFormat="1" spans="1:21">
      <c r="A5793" s="1" t="str">
        <f>"4601992214674"</f>
        <v>4601992214674</v>
      </c>
      <c r="B5793" s="1" t="s">
        <v>5816</v>
      </c>
      <c r="C5793" s="1" t="s">
        <v>24</v>
      </c>
      <c r="D5793" s="1" t="str">
        <f t="shared" si="10880"/>
        <v>2021</v>
      </c>
      <c r="E5793" s="1" t="str">
        <f t="shared" ref="E5793:I5793" si="10926">"0"</f>
        <v>0</v>
      </c>
      <c r="F5793" s="1" t="str">
        <f t="shared" si="10926"/>
        <v>0</v>
      </c>
      <c r="G5793" s="1" t="str">
        <f t="shared" si="10926"/>
        <v>0</v>
      </c>
      <c r="H5793" s="1" t="str">
        <f t="shared" si="10926"/>
        <v>0</v>
      </c>
      <c r="I5793" s="1" t="str">
        <f t="shared" si="10926"/>
        <v>0</v>
      </c>
      <c r="J5793" s="1" t="str">
        <f>"2"</f>
        <v>2</v>
      </c>
      <c r="K5793" s="1" t="str">
        <f t="shared" ref="K5793:P5793" si="10927">"0"</f>
        <v>0</v>
      </c>
      <c r="L5793" s="1" t="str">
        <f t="shared" si="10927"/>
        <v>0</v>
      </c>
      <c r="M5793" s="1" t="str">
        <f t="shared" si="10927"/>
        <v>0</v>
      </c>
      <c r="N5793" s="1" t="str">
        <f t="shared" si="10927"/>
        <v>0</v>
      </c>
      <c r="O5793" s="1" t="str">
        <f t="shared" si="10927"/>
        <v>0</v>
      </c>
      <c r="P5793" s="1" t="str">
        <f t="shared" si="10927"/>
        <v>0</v>
      </c>
      <c r="Q5793" s="1" t="str">
        <f t="shared" si="10882"/>
        <v>0.0070</v>
      </c>
      <c r="R5793" s="1" t="s">
        <v>25</v>
      </c>
      <c r="T5793" s="1" t="str">
        <f t="shared" si="10883"/>
        <v>0</v>
      </c>
      <c r="U5793" s="1" t="str">
        <f t="shared" si="10908"/>
        <v>0.0070</v>
      </c>
    </row>
    <row r="5794" s="1" customFormat="1" spans="1:21">
      <c r="A5794" s="1" t="str">
        <f>"4601992214686"</f>
        <v>4601992214686</v>
      </c>
      <c r="B5794" s="1" t="s">
        <v>5817</v>
      </c>
      <c r="C5794" s="1" t="s">
        <v>24</v>
      </c>
      <c r="D5794" s="1" t="str">
        <f t="shared" si="10880"/>
        <v>2021</v>
      </c>
      <c r="E5794" s="1" t="str">
        <f t="shared" ref="E5794:P5794" si="10928">"0"</f>
        <v>0</v>
      </c>
      <c r="F5794" s="1" t="str">
        <f t="shared" si="10928"/>
        <v>0</v>
      </c>
      <c r="G5794" s="1" t="str">
        <f t="shared" si="10928"/>
        <v>0</v>
      </c>
      <c r="H5794" s="1" t="str">
        <f t="shared" si="10928"/>
        <v>0</v>
      </c>
      <c r="I5794" s="1" t="str">
        <f t="shared" si="10928"/>
        <v>0</v>
      </c>
      <c r="J5794" s="1" t="str">
        <f t="shared" si="10928"/>
        <v>0</v>
      </c>
      <c r="K5794" s="1" t="str">
        <f t="shared" si="10928"/>
        <v>0</v>
      </c>
      <c r="L5794" s="1" t="str">
        <f t="shared" si="10928"/>
        <v>0</v>
      </c>
      <c r="M5794" s="1" t="str">
        <f t="shared" si="10928"/>
        <v>0</v>
      </c>
      <c r="N5794" s="1" t="str">
        <f t="shared" si="10928"/>
        <v>0</v>
      </c>
      <c r="O5794" s="1" t="str">
        <f t="shared" si="10928"/>
        <v>0</v>
      </c>
      <c r="P5794" s="1" t="str">
        <f t="shared" si="10928"/>
        <v>0</v>
      </c>
      <c r="Q5794" s="1" t="str">
        <f t="shared" si="10882"/>
        <v>0.0070</v>
      </c>
      <c r="R5794" s="1" t="s">
        <v>25</v>
      </c>
      <c r="T5794" s="1" t="str">
        <f t="shared" si="10883"/>
        <v>0</v>
      </c>
      <c r="U5794" s="1" t="str">
        <f t="shared" si="10908"/>
        <v>0.0070</v>
      </c>
    </row>
    <row r="5795" s="1" customFormat="1" spans="1:21">
      <c r="A5795" s="1" t="str">
        <f>"4601992214673"</f>
        <v>4601992214673</v>
      </c>
      <c r="B5795" s="1" t="s">
        <v>5818</v>
      </c>
      <c r="C5795" s="1" t="s">
        <v>24</v>
      </c>
      <c r="D5795" s="1" t="str">
        <f t="shared" si="10880"/>
        <v>2021</v>
      </c>
      <c r="E5795" s="1" t="str">
        <f t="shared" ref="E5795:I5795" si="10929">"0"</f>
        <v>0</v>
      </c>
      <c r="F5795" s="1" t="str">
        <f t="shared" si="10929"/>
        <v>0</v>
      </c>
      <c r="G5795" s="1" t="str">
        <f t="shared" si="10929"/>
        <v>0</v>
      </c>
      <c r="H5795" s="1" t="str">
        <f t="shared" si="10929"/>
        <v>0</v>
      </c>
      <c r="I5795" s="1" t="str">
        <f t="shared" si="10929"/>
        <v>0</v>
      </c>
      <c r="J5795" s="1" t="str">
        <f>"1"</f>
        <v>1</v>
      </c>
      <c r="K5795" s="1" t="str">
        <f t="shared" ref="K5795:P5795" si="10930">"0"</f>
        <v>0</v>
      </c>
      <c r="L5795" s="1" t="str">
        <f t="shared" si="10930"/>
        <v>0</v>
      </c>
      <c r="M5795" s="1" t="str">
        <f t="shared" si="10930"/>
        <v>0</v>
      </c>
      <c r="N5795" s="1" t="str">
        <f t="shared" si="10930"/>
        <v>0</v>
      </c>
      <c r="O5795" s="1" t="str">
        <f t="shared" si="10930"/>
        <v>0</v>
      </c>
      <c r="P5795" s="1" t="str">
        <f t="shared" si="10930"/>
        <v>0</v>
      </c>
      <c r="Q5795" s="1" t="str">
        <f t="shared" si="10882"/>
        <v>0.0070</v>
      </c>
      <c r="R5795" s="1" t="s">
        <v>25</v>
      </c>
      <c r="T5795" s="1" t="str">
        <f t="shared" si="10883"/>
        <v>0</v>
      </c>
      <c r="U5795" s="1" t="str">
        <f t="shared" si="10908"/>
        <v>0.0070</v>
      </c>
    </row>
    <row r="5796" s="1" customFormat="1" spans="1:21">
      <c r="A5796" s="1" t="str">
        <f>"4601992214728"</f>
        <v>4601992214728</v>
      </c>
      <c r="B5796" s="1" t="s">
        <v>5819</v>
      </c>
      <c r="C5796" s="1" t="s">
        <v>24</v>
      </c>
      <c r="D5796" s="1" t="str">
        <f t="shared" si="10880"/>
        <v>2021</v>
      </c>
      <c r="E5796" s="1" t="str">
        <f t="shared" ref="E5796:P5796" si="10931">"0"</f>
        <v>0</v>
      </c>
      <c r="F5796" s="1" t="str">
        <f t="shared" si="10931"/>
        <v>0</v>
      </c>
      <c r="G5796" s="1" t="str">
        <f t="shared" si="10931"/>
        <v>0</v>
      </c>
      <c r="H5796" s="1" t="str">
        <f t="shared" si="10931"/>
        <v>0</v>
      </c>
      <c r="I5796" s="1" t="str">
        <f t="shared" si="10931"/>
        <v>0</v>
      </c>
      <c r="J5796" s="1" t="str">
        <f t="shared" si="10931"/>
        <v>0</v>
      </c>
      <c r="K5796" s="1" t="str">
        <f t="shared" si="10931"/>
        <v>0</v>
      </c>
      <c r="L5796" s="1" t="str">
        <f t="shared" si="10931"/>
        <v>0</v>
      </c>
      <c r="M5796" s="1" t="str">
        <f t="shared" si="10931"/>
        <v>0</v>
      </c>
      <c r="N5796" s="1" t="str">
        <f t="shared" si="10931"/>
        <v>0</v>
      </c>
      <c r="O5796" s="1" t="str">
        <f t="shared" si="10931"/>
        <v>0</v>
      </c>
      <c r="P5796" s="1" t="str">
        <f t="shared" si="10931"/>
        <v>0</v>
      </c>
      <c r="Q5796" s="1" t="str">
        <f t="shared" si="10882"/>
        <v>0.0070</v>
      </c>
      <c r="R5796" s="1" t="s">
        <v>25</v>
      </c>
      <c r="T5796" s="1" t="str">
        <f t="shared" si="10883"/>
        <v>0</v>
      </c>
      <c r="U5796" s="1" t="str">
        <f t="shared" si="10908"/>
        <v>0.0070</v>
      </c>
    </row>
    <row r="5797" s="1" customFormat="1" spans="1:21">
      <c r="A5797" s="1" t="str">
        <f>"4601992214745"</f>
        <v>4601992214745</v>
      </c>
      <c r="B5797" s="1" t="s">
        <v>5820</v>
      </c>
      <c r="C5797" s="1" t="s">
        <v>24</v>
      </c>
      <c r="D5797" s="1" t="str">
        <f t="shared" si="10880"/>
        <v>2021</v>
      </c>
      <c r="E5797" s="1" t="str">
        <f t="shared" ref="E5797:P5797" si="10932">"0"</f>
        <v>0</v>
      </c>
      <c r="F5797" s="1" t="str">
        <f t="shared" si="10932"/>
        <v>0</v>
      </c>
      <c r="G5797" s="1" t="str">
        <f t="shared" si="10932"/>
        <v>0</v>
      </c>
      <c r="H5797" s="1" t="str">
        <f t="shared" si="10932"/>
        <v>0</v>
      </c>
      <c r="I5797" s="1" t="str">
        <f t="shared" si="10932"/>
        <v>0</v>
      </c>
      <c r="J5797" s="1" t="str">
        <f t="shared" si="10932"/>
        <v>0</v>
      </c>
      <c r="K5797" s="1" t="str">
        <f t="shared" si="10932"/>
        <v>0</v>
      </c>
      <c r="L5797" s="1" t="str">
        <f t="shared" si="10932"/>
        <v>0</v>
      </c>
      <c r="M5797" s="1" t="str">
        <f t="shared" si="10932"/>
        <v>0</v>
      </c>
      <c r="N5797" s="1" t="str">
        <f t="shared" si="10932"/>
        <v>0</v>
      </c>
      <c r="O5797" s="1" t="str">
        <f t="shared" si="10932"/>
        <v>0</v>
      </c>
      <c r="P5797" s="1" t="str">
        <f t="shared" si="10932"/>
        <v>0</v>
      </c>
      <c r="Q5797" s="1" t="str">
        <f t="shared" si="10882"/>
        <v>0.0070</v>
      </c>
      <c r="R5797" s="1" t="s">
        <v>25</v>
      </c>
      <c r="T5797" s="1" t="str">
        <f t="shared" si="10883"/>
        <v>0</v>
      </c>
      <c r="U5797" s="1" t="str">
        <f t="shared" si="10908"/>
        <v>0.0070</v>
      </c>
    </row>
    <row r="5798" s="1" customFormat="1" spans="1:21">
      <c r="A5798" s="1" t="str">
        <f>"4601992214702"</f>
        <v>4601992214702</v>
      </c>
      <c r="B5798" s="1" t="s">
        <v>5821</v>
      </c>
      <c r="C5798" s="1" t="s">
        <v>24</v>
      </c>
      <c r="D5798" s="1" t="str">
        <f t="shared" si="10880"/>
        <v>2021</v>
      </c>
      <c r="E5798" s="1" t="str">
        <f t="shared" ref="E5798:I5798" si="10933">"0"</f>
        <v>0</v>
      </c>
      <c r="F5798" s="1" t="str">
        <f t="shared" si="10933"/>
        <v>0</v>
      </c>
      <c r="G5798" s="1" t="str">
        <f t="shared" si="10933"/>
        <v>0</v>
      </c>
      <c r="H5798" s="1" t="str">
        <f t="shared" si="10933"/>
        <v>0</v>
      </c>
      <c r="I5798" s="1" t="str">
        <f t="shared" si="10933"/>
        <v>0</v>
      </c>
      <c r="J5798" s="1" t="str">
        <f>"5"</f>
        <v>5</v>
      </c>
      <c r="K5798" s="1" t="str">
        <f t="shared" ref="K5798:P5798" si="10934">"0"</f>
        <v>0</v>
      </c>
      <c r="L5798" s="1" t="str">
        <f t="shared" si="10934"/>
        <v>0</v>
      </c>
      <c r="M5798" s="1" t="str">
        <f t="shared" si="10934"/>
        <v>0</v>
      </c>
      <c r="N5798" s="1" t="str">
        <f t="shared" si="10934"/>
        <v>0</v>
      </c>
      <c r="O5798" s="1" t="str">
        <f t="shared" si="10934"/>
        <v>0</v>
      </c>
      <c r="P5798" s="1" t="str">
        <f t="shared" si="10934"/>
        <v>0</v>
      </c>
      <c r="Q5798" s="1" t="str">
        <f t="shared" si="10882"/>
        <v>0.0070</v>
      </c>
      <c r="R5798" s="1" t="s">
        <v>25</v>
      </c>
      <c r="T5798" s="1" t="str">
        <f t="shared" si="10883"/>
        <v>0</v>
      </c>
      <c r="U5798" s="1" t="str">
        <f t="shared" si="10908"/>
        <v>0.0070</v>
      </c>
    </row>
    <row r="5799" s="1" customFormat="1" spans="1:21">
      <c r="A5799" s="1" t="str">
        <f>"4601992214732"</f>
        <v>4601992214732</v>
      </c>
      <c r="B5799" s="1" t="s">
        <v>5822</v>
      </c>
      <c r="C5799" s="1" t="s">
        <v>24</v>
      </c>
      <c r="D5799" s="1" t="str">
        <f t="shared" si="10880"/>
        <v>2021</v>
      </c>
      <c r="E5799" s="1" t="str">
        <f t="shared" ref="E5799:I5799" si="10935">"0"</f>
        <v>0</v>
      </c>
      <c r="F5799" s="1" t="str">
        <f t="shared" si="10935"/>
        <v>0</v>
      </c>
      <c r="G5799" s="1" t="str">
        <f t="shared" si="10935"/>
        <v>0</v>
      </c>
      <c r="H5799" s="1" t="str">
        <f t="shared" si="10935"/>
        <v>0</v>
      </c>
      <c r="I5799" s="1" t="str">
        <f t="shared" si="10935"/>
        <v>0</v>
      </c>
      <c r="J5799" s="1" t="str">
        <f>"6"</f>
        <v>6</v>
      </c>
      <c r="K5799" s="1" t="str">
        <f t="shared" ref="K5799:P5799" si="10936">"0"</f>
        <v>0</v>
      </c>
      <c r="L5799" s="1" t="str">
        <f t="shared" si="10936"/>
        <v>0</v>
      </c>
      <c r="M5799" s="1" t="str">
        <f t="shared" si="10936"/>
        <v>0</v>
      </c>
      <c r="N5799" s="1" t="str">
        <f t="shared" si="10936"/>
        <v>0</v>
      </c>
      <c r="O5799" s="1" t="str">
        <f t="shared" si="10936"/>
        <v>0</v>
      </c>
      <c r="P5799" s="1" t="str">
        <f t="shared" si="10936"/>
        <v>0</v>
      </c>
      <c r="Q5799" s="1" t="str">
        <f t="shared" si="10882"/>
        <v>0.0070</v>
      </c>
      <c r="R5799" s="1" t="s">
        <v>25</v>
      </c>
      <c r="T5799" s="1" t="str">
        <f t="shared" si="10883"/>
        <v>0</v>
      </c>
      <c r="U5799" s="1" t="str">
        <f t="shared" si="10908"/>
        <v>0.0070</v>
      </c>
    </row>
    <row r="5800" s="1" customFormat="1" spans="1:21">
      <c r="A5800" s="1" t="str">
        <f>"4601992214773"</f>
        <v>4601992214773</v>
      </c>
      <c r="B5800" s="1" t="s">
        <v>5823</v>
      </c>
      <c r="C5800" s="1" t="s">
        <v>24</v>
      </c>
      <c r="D5800" s="1" t="str">
        <f t="shared" si="10880"/>
        <v>2021</v>
      </c>
      <c r="E5800" s="1" t="str">
        <f t="shared" ref="E5800:I5800" si="10937">"0"</f>
        <v>0</v>
      </c>
      <c r="F5800" s="1" t="str">
        <f t="shared" si="10937"/>
        <v>0</v>
      </c>
      <c r="G5800" s="1" t="str">
        <f t="shared" si="10937"/>
        <v>0</v>
      </c>
      <c r="H5800" s="1" t="str">
        <f t="shared" si="10937"/>
        <v>0</v>
      </c>
      <c r="I5800" s="1" t="str">
        <f t="shared" si="10937"/>
        <v>0</v>
      </c>
      <c r="J5800" s="1" t="str">
        <f>"23"</f>
        <v>23</v>
      </c>
      <c r="K5800" s="1" t="str">
        <f t="shared" ref="K5800:P5800" si="10938">"0"</f>
        <v>0</v>
      </c>
      <c r="L5800" s="1" t="str">
        <f t="shared" si="10938"/>
        <v>0</v>
      </c>
      <c r="M5800" s="1" t="str">
        <f t="shared" si="10938"/>
        <v>0</v>
      </c>
      <c r="N5800" s="1" t="str">
        <f t="shared" si="10938"/>
        <v>0</v>
      </c>
      <c r="O5800" s="1" t="str">
        <f t="shared" si="10938"/>
        <v>0</v>
      </c>
      <c r="P5800" s="1" t="str">
        <f t="shared" si="10938"/>
        <v>0</v>
      </c>
      <c r="Q5800" s="1" t="str">
        <f t="shared" si="10882"/>
        <v>0.0070</v>
      </c>
      <c r="R5800" s="1" t="s">
        <v>25</v>
      </c>
      <c r="T5800" s="1" t="str">
        <f t="shared" si="10883"/>
        <v>0</v>
      </c>
      <c r="U5800" s="1" t="str">
        <f t="shared" si="10908"/>
        <v>0.0070</v>
      </c>
    </row>
    <row r="5801" s="1" customFormat="1" spans="1:21">
      <c r="A5801" s="1" t="str">
        <f>"4601992214758"</f>
        <v>4601992214758</v>
      </c>
      <c r="B5801" s="1" t="s">
        <v>5824</v>
      </c>
      <c r="C5801" s="1" t="s">
        <v>24</v>
      </c>
      <c r="D5801" s="1" t="str">
        <f t="shared" si="10880"/>
        <v>2021</v>
      </c>
      <c r="E5801" s="1" t="str">
        <f t="shared" ref="E5801:I5801" si="10939">"0"</f>
        <v>0</v>
      </c>
      <c r="F5801" s="1" t="str">
        <f t="shared" si="10939"/>
        <v>0</v>
      </c>
      <c r="G5801" s="1" t="str">
        <f t="shared" si="10939"/>
        <v>0</v>
      </c>
      <c r="H5801" s="1" t="str">
        <f t="shared" si="10939"/>
        <v>0</v>
      </c>
      <c r="I5801" s="1" t="str">
        <f t="shared" si="10939"/>
        <v>0</v>
      </c>
      <c r="J5801" s="1" t="str">
        <f>"5"</f>
        <v>5</v>
      </c>
      <c r="K5801" s="1" t="str">
        <f t="shared" ref="K5801:P5801" si="10940">"0"</f>
        <v>0</v>
      </c>
      <c r="L5801" s="1" t="str">
        <f t="shared" si="10940"/>
        <v>0</v>
      </c>
      <c r="M5801" s="1" t="str">
        <f t="shared" si="10940"/>
        <v>0</v>
      </c>
      <c r="N5801" s="1" t="str">
        <f t="shared" si="10940"/>
        <v>0</v>
      </c>
      <c r="O5801" s="1" t="str">
        <f t="shared" si="10940"/>
        <v>0</v>
      </c>
      <c r="P5801" s="1" t="str">
        <f t="shared" si="10940"/>
        <v>0</v>
      </c>
      <c r="Q5801" s="1" t="str">
        <f t="shared" si="10882"/>
        <v>0.0070</v>
      </c>
      <c r="R5801" s="1" t="s">
        <v>25</v>
      </c>
      <c r="T5801" s="1" t="str">
        <f t="shared" si="10883"/>
        <v>0</v>
      </c>
      <c r="U5801" s="1" t="str">
        <f t="shared" si="10908"/>
        <v>0.0070</v>
      </c>
    </row>
    <row r="5802" s="1" customFormat="1" spans="1:21">
      <c r="A5802" s="1" t="str">
        <f>"4601992214790"</f>
        <v>4601992214790</v>
      </c>
      <c r="B5802" s="1" t="s">
        <v>5825</v>
      </c>
      <c r="C5802" s="1" t="s">
        <v>24</v>
      </c>
      <c r="D5802" s="1" t="str">
        <f t="shared" si="10880"/>
        <v>2021</v>
      </c>
      <c r="E5802" s="1" t="str">
        <f t="shared" ref="E5802:I5802" si="10941">"0"</f>
        <v>0</v>
      </c>
      <c r="F5802" s="1" t="str">
        <f t="shared" si="10941"/>
        <v>0</v>
      </c>
      <c r="G5802" s="1" t="str">
        <f t="shared" si="10941"/>
        <v>0</v>
      </c>
      <c r="H5802" s="1" t="str">
        <f t="shared" si="10941"/>
        <v>0</v>
      </c>
      <c r="I5802" s="1" t="str">
        <f t="shared" si="10941"/>
        <v>0</v>
      </c>
      <c r="J5802" s="1" t="str">
        <f t="shared" ref="J5802:J5807" si="10942">"1"</f>
        <v>1</v>
      </c>
      <c r="K5802" s="1" t="str">
        <f t="shared" ref="K5802:P5802" si="10943">"0"</f>
        <v>0</v>
      </c>
      <c r="L5802" s="1" t="str">
        <f t="shared" si="10943"/>
        <v>0</v>
      </c>
      <c r="M5802" s="1" t="str">
        <f t="shared" si="10943"/>
        <v>0</v>
      </c>
      <c r="N5802" s="1" t="str">
        <f t="shared" si="10943"/>
        <v>0</v>
      </c>
      <c r="O5802" s="1" t="str">
        <f t="shared" si="10943"/>
        <v>0</v>
      </c>
      <c r="P5802" s="1" t="str">
        <f t="shared" si="10943"/>
        <v>0</v>
      </c>
      <c r="Q5802" s="1" t="str">
        <f t="shared" si="10882"/>
        <v>0.0070</v>
      </c>
      <c r="R5802" s="1" t="s">
        <v>25</v>
      </c>
      <c r="T5802" s="1" t="str">
        <f t="shared" si="10883"/>
        <v>0</v>
      </c>
      <c r="U5802" s="1" t="str">
        <f t="shared" si="10908"/>
        <v>0.0070</v>
      </c>
    </row>
    <row r="5803" s="1" customFormat="1" spans="1:21">
      <c r="A5803" s="1" t="str">
        <f>"4601992214782"</f>
        <v>4601992214782</v>
      </c>
      <c r="B5803" s="1" t="s">
        <v>5826</v>
      </c>
      <c r="C5803" s="1" t="s">
        <v>24</v>
      </c>
      <c r="D5803" s="1" t="str">
        <f t="shared" si="10880"/>
        <v>2021</v>
      </c>
      <c r="E5803" s="1" t="str">
        <f t="shared" ref="E5803:I5803" si="10944">"0"</f>
        <v>0</v>
      </c>
      <c r="F5803" s="1" t="str">
        <f t="shared" si="10944"/>
        <v>0</v>
      </c>
      <c r="G5803" s="1" t="str">
        <f t="shared" si="10944"/>
        <v>0</v>
      </c>
      <c r="H5803" s="1" t="str">
        <f t="shared" si="10944"/>
        <v>0</v>
      </c>
      <c r="I5803" s="1" t="str">
        <f t="shared" si="10944"/>
        <v>0</v>
      </c>
      <c r="J5803" s="1" t="str">
        <f>"3"</f>
        <v>3</v>
      </c>
      <c r="K5803" s="1" t="str">
        <f t="shared" ref="K5803:P5803" si="10945">"0"</f>
        <v>0</v>
      </c>
      <c r="L5803" s="1" t="str">
        <f t="shared" si="10945"/>
        <v>0</v>
      </c>
      <c r="M5803" s="1" t="str">
        <f t="shared" si="10945"/>
        <v>0</v>
      </c>
      <c r="N5803" s="1" t="str">
        <f t="shared" si="10945"/>
        <v>0</v>
      </c>
      <c r="O5803" s="1" t="str">
        <f t="shared" si="10945"/>
        <v>0</v>
      </c>
      <c r="P5803" s="1" t="str">
        <f t="shared" si="10945"/>
        <v>0</v>
      </c>
      <c r="Q5803" s="1" t="str">
        <f t="shared" si="10882"/>
        <v>0.0070</v>
      </c>
      <c r="R5803" s="1" t="s">
        <v>25</v>
      </c>
      <c r="T5803" s="1" t="str">
        <f t="shared" si="10883"/>
        <v>0</v>
      </c>
      <c r="U5803" s="1" t="str">
        <f t="shared" si="10908"/>
        <v>0.0070</v>
      </c>
    </row>
    <row r="5804" s="1" customFormat="1" spans="1:21">
      <c r="A5804" s="1" t="str">
        <f>"4601992214796"</f>
        <v>4601992214796</v>
      </c>
      <c r="B5804" s="1" t="s">
        <v>5827</v>
      </c>
      <c r="C5804" s="1" t="s">
        <v>24</v>
      </c>
      <c r="D5804" s="1" t="str">
        <f t="shared" si="10880"/>
        <v>2021</v>
      </c>
      <c r="E5804" s="1" t="str">
        <f t="shared" ref="E5804:I5804" si="10946">"0"</f>
        <v>0</v>
      </c>
      <c r="F5804" s="1" t="str">
        <f t="shared" si="10946"/>
        <v>0</v>
      </c>
      <c r="G5804" s="1" t="str">
        <f t="shared" si="10946"/>
        <v>0</v>
      </c>
      <c r="H5804" s="1" t="str">
        <f t="shared" si="10946"/>
        <v>0</v>
      </c>
      <c r="I5804" s="1" t="str">
        <f t="shared" si="10946"/>
        <v>0</v>
      </c>
      <c r="J5804" s="1" t="str">
        <f t="shared" si="10942"/>
        <v>1</v>
      </c>
      <c r="K5804" s="1" t="str">
        <f t="shared" ref="K5804:P5804" si="10947">"0"</f>
        <v>0</v>
      </c>
      <c r="L5804" s="1" t="str">
        <f t="shared" si="10947"/>
        <v>0</v>
      </c>
      <c r="M5804" s="1" t="str">
        <f t="shared" si="10947"/>
        <v>0</v>
      </c>
      <c r="N5804" s="1" t="str">
        <f t="shared" si="10947"/>
        <v>0</v>
      </c>
      <c r="O5804" s="1" t="str">
        <f t="shared" si="10947"/>
        <v>0</v>
      </c>
      <c r="P5804" s="1" t="str">
        <f t="shared" si="10947"/>
        <v>0</v>
      </c>
      <c r="Q5804" s="1" t="str">
        <f t="shared" si="10882"/>
        <v>0.0070</v>
      </c>
      <c r="R5804" s="1" t="s">
        <v>25</v>
      </c>
      <c r="T5804" s="1" t="str">
        <f t="shared" si="10883"/>
        <v>0</v>
      </c>
      <c r="U5804" s="1" t="str">
        <f t="shared" si="10908"/>
        <v>0.0070</v>
      </c>
    </row>
    <row r="5805" s="1" customFormat="1" spans="1:21">
      <c r="A5805" s="1" t="str">
        <f>"4601992214818"</f>
        <v>4601992214818</v>
      </c>
      <c r="B5805" s="1" t="s">
        <v>5828</v>
      </c>
      <c r="C5805" s="1" t="s">
        <v>24</v>
      </c>
      <c r="D5805" s="1" t="str">
        <f t="shared" si="10880"/>
        <v>2021</v>
      </c>
      <c r="E5805" s="1" t="str">
        <f t="shared" ref="E5805:I5805" si="10948">"0"</f>
        <v>0</v>
      </c>
      <c r="F5805" s="1" t="str">
        <f t="shared" si="10948"/>
        <v>0</v>
      </c>
      <c r="G5805" s="1" t="str">
        <f t="shared" si="10948"/>
        <v>0</v>
      </c>
      <c r="H5805" s="1" t="str">
        <f t="shared" si="10948"/>
        <v>0</v>
      </c>
      <c r="I5805" s="1" t="str">
        <f t="shared" si="10948"/>
        <v>0</v>
      </c>
      <c r="J5805" s="1" t="str">
        <f>"3"</f>
        <v>3</v>
      </c>
      <c r="K5805" s="1" t="str">
        <f t="shared" ref="K5805:P5805" si="10949">"0"</f>
        <v>0</v>
      </c>
      <c r="L5805" s="1" t="str">
        <f t="shared" si="10949"/>
        <v>0</v>
      </c>
      <c r="M5805" s="1" t="str">
        <f t="shared" si="10949"/>
        <v>0</v>
      </c>
      <c r="N5805" s="1" t="str">
        <f t="shared" si="10949"/>
        <v>0</v>
      </c>
      <c r="O5805" s="1" t="str">
        <f t="shared" si="10949"/>
        <v>0</v>
      </c>
      <c r="P5805" s="1" t="str">
        <f t="shared" si="10949"/>
        <v>0</v>
      </c>
      <c r="Q5805" s="1" t="str">
        <f t="shared" si="10882"/>
        <v>0.0070</v>
      </c>
      <c r="R5805" s="1" t="s">
        <v>25</v>
      </c>
      <c r="T5805" s="1" t="str">
        <f t="shared" si="10883"/>
        <v>0</v>
      </c>
      <c r="U5805" s="1" t="str">
        <f t="shared" si="10908"/>
        <v>0.0070</v>
      </c>
    </row>
    <row r="5806" s="1" customFormat="1" spans="1:21">
      <c r="A5806" s="1" t="str">
        <f>"4601992214797"</f>
        <v>4601992214797</v>
      </c>
      <c r="B5806" s="1" t="s">
        <v>5829</v>
      </c>
      <c r="C5806" s="1" t="s">
        <v>24</v>
      </c>
      <c r="D5806" s="1" t="str">
        <f t="shared" si="10880"/>
        <v>2021</v>
      </c>
      <c r="E5806" s="1" t="str">
        <f t="shared" ref="E5806:I5806" si="10950">"0"</f>
        <v>0</v>
      </c>
      <c r="F5806" s="1" t="str">
        <f t="shared" si="10950"/>
        <v>0</v>
      </c>
      <c r="G5806" s="1" t="str">
        <f t="shared" si="10950"/>
        <v>0</v>
      </c>
      <c r="H5806" s="1" t="str">
        <f t="shared" si="10950"/>
        <v>0</v>
      </c>
      <c r="I5806" s="1" t="str">
        <f t="shared" si="10950"/>
        <v>0</v>
      </c>
      <c r="J5806" s="1" t="str">
        <f>"5"</f>
        <v>5</v>
      </c>
      <c r="K5806" s="1" t="str">
        <f t="shared" ref="K5806:P5806" si="10951">"0"</f>
        <v>0</v>
      </c>
      <c r="L5806" s="1" t="str">
        <f t="shared" si="10951"/>
        <v>0</v>
      </c>
      <c r="M5806" s="1" t="str">
        <f t="shared" si="10951"/>
        <v>0</v>
      </c>
      <c r="N5806" s="1" t="str">
        <f t="shared" si="10951"/>
        <v>0</v>
      </c>
      <c r="O5806" s="1" t="str">
        <f t="shared" si="10951"/>
        <v>0</v>
      </c>
      <c r="P5806" s="1" t="str">
        <f t="shared" si="10951"/>
        <v>0</v>
      </c>
      <c r="Q5806" s="1" t="str">
        <f t="shared" si="10882"/>
        <v>0.0070</v>
      </c>
      <c r="R5806" s="1" t="s">
        <v>25</v>
      </c>
      <c r="T5806" s="1" t="str">
        <f t="shared" si="10883"/>
        <v>0</v>
      </c>
      <c r="U5806" s="1" t="str">
        <f t="shared" si="10908"/>
        <v>0.0070</v>
      </c>
    </row>
    <row r="5807" s="1" customFormat="1" spans="1:21">
      <c r="A5807" s="1" t="str">
        <f>"4601992215077"</f>
        <v>4601992215077</v>
      </c>
      <c r="B5807" s="1" t="s">
        <v>5830</v>
      </c>
      <c r="C5807" s="1" t="s">
        <v>24</v>
      </c>
      <c r="D5807" s="1" t="str">
        <f t="shared" si="10880"/>
        <v>2021</v>
      </c>
      <c r="E5807" s="1" t="str">
        <f t="shared" ref="E5807:I5807" si="10952">"0"</f>
        <v>0</v>
      </c>
      <c r="F5807" s="1" t="str">
        <f t="shared" si="10952"/>
        <v>0</v>
      </c>
      <c r="G5807" s="1" t="str">
        <f t="shared" si="10952"/>
        <v>0</v>
      </c>
      <c r="H5807" s="1" t="str">
        <f t="shared" si="10952"/>
        <v>0</v>
      </c>
      <c r="I5807" s="1" t="str">
        <f t="shared" si="10952"/>
        <v>0</v>
      </c>
      <c r="J5807" s="1" t="str">
        <f t="shared" si="10942"/>
        <v>1</v>
      </c>
      <c r="K5807" s="1" t="str">
        <f t="shared" ref="K5807:P5807" si="10953">"0"</f>
        <v>0</v>
      </c>
      <c r="L5807" s="1" t="str">
        <f t="shared" si="10953"/>
        <v>0</v>
      </c>
      <c r="M5807" s="1" t="str">
        <f t="shared" si="10953"/>
        <v>0</v>
      </c>
      <c r="N5807" s="1" t="str">
        <f t="shared" si="10953"/>
        <v>0</v>
      </c>
      <c r="O5807" s="1" t="str">
        <f t="shared" si="10953"/>
        <v>0</v>
      </c>
      <c r="P5807" s="1" t="str">
        <f t="shared" si="10953"/>
        <v>0</v>
      </c>
      <c r="Q5807" s="1" t="str">
        <f t="shared" si="10882"/>
        <v>0.0070</v>
      </c>
      <c r="R5807" s="1" t="s">
        <v>25</v>
      </c>
      <c r="T5807" s="1" t="str">
        <f t="shared" si="10883"/>
        <v>0</v>
      </c>
      <c r="U5807" s="1" t="str">
        <f t="shared" si="10908"/>
        <v>0.0070</v>
      </c>
    </row>
    <row r="5808" s="1" customFormat="1" spans="1:21">
      <c r="A5808" s="1" t="str">
        <f>"4601992215136"</f>
        <v>4601992215136</v>
      </c>
      <c r="B5808" s="1" t="s">
        <v>5831</v>
      </c>
      <c r="C5808" s="1" t="s">
        <v>24</v>
      </c>
      <c r="D5808" s="1" t="str">
        <f t="shared" si="10880"/>
        <v>2021</v>
      </c>
      <c r="E5808" s="1" t="str">
        <f t="shared" ref="E5808:P5808" si="10954">"0"</f>
        <v>0</v>
      </c>
      <c r="F5808" s="1" t="str">
        <f t="shared" si="10954"/>
        <v>0</v>
      </c>
      <c r="G5808" s="1" t="str">
        <f t="shared" si="10954"/>
        <v>0</v>
      </c>
      <c r="H5808" s="1" t="str">
        <f t="shared" si="10954"/>
        <v>0</v>
      </c>
      <c r="I5808" s="1" t="str">
        <f t="shared" si="10954"/>
        <v>0</v>
      </c>
      <c r="J5808" s="1" t="str">
        <f t="shared" si="10954"/>
        <v>0</v>
      </c>
      <c r="K5808" s="1" t="str">
        <f t="shared" si="10954"/>
        <v>0</v>
      </c>
      <c r="L5808" s="1" t="str">
        <f t="shared" si="10954"/>
        <v>0</v>
      </c>
      <c r="M5808" s="1" t="str">
        <f t="shared" si="10954"/>
        <v>0</v>
      </c>
      <c r="N5808" s="1" t="str">
        <f t="shared" si="10954"/>
        <v>0</v>
      </c>
      <c r="O5808" s="1" t="str">
        <f t="shared" si="10954"/>
        <v>0</v>
      </c>
      <c r="P5808" s="1" t="str">
        <f t="shared" si="10954"/>
        <v>0</v>
      </c>
      <c r="Q5808" s="1" t="str">
        <f t="shared" si="10882"/>
        <v>0.0070</v>
      </c>
      <c r="R5808" s="1" t="s">
        <v>25</v>
      </c>
      <c r="T5808" s="1" t="str">
        <f t="shared" si="10883"/>
        <v>0</v>
      </c>
      <c r="U5808" s="1" t="str">
        <f t="shared" si="10908"/>
        <v>0.0070</v>
      </c>
    </row>
    <row r="5809" s="1" customFormat="1" spans="1:21">
      <c r="A5809" s="1" t="str">
        <f>"4601992215160"</f>
        <v>4601992215160</v>
      </c>
      <c r="B5809" s="1" t="s">
        <v>5832</v>
      </c>
      <c r="C5809" s="1" t="s">
        <v>24</v>
      </c>
      <c r="D5809" s="1" t="str">
        <f t="shared" si="10880"/>
        <v>2021</v>
      </c>
      <c r="E5809" s="1" t="str">
        <f t="shared" ref="E5809:I5809" si="10955">"0"</f>
        <v>0</v>
      </c>
      <c r="F5809" s="1" t="str">
        <f t="shared" si="10955"/>
        <v>0</v>
      </c>
      <c r="G5809" s="1" t="str">
        <f t="shared" si="10955"/>
        <v>0</v>
      </c>
      <c r="H5809" s="1" t="str">
        <f t="shared" si="10955"/>
        <v>0</v>
      </c>
      <c r="I5809" s="1" t="str">
        <f t="shared" si="10955"/>
        <v>0</v>
      </c>
      <c r="J5809" s="1" t="str">
        <f>"4"</f>
        <v>4</v>
      </c>
      <c r="K5809" s="1" t="str">
        <f t="shared" ref="K5809:P5809" si="10956">"0"</f>
        <v>0</v>
      </c>
      <c r="L5809" s="1" t="str">
        <f t="shared" si="10956"/>
        <v>0</v>
      </c>
      <c r="M5809" s="1" t="str">
        <f t="shared" si="10956"/>
        <v>0</v>
      </c>
      <c r="N5809" s="1" t="str">
        <f t="shared" si="10956"/>
        <v>0</v>
      </c>
      <c r="O5809" s="1" t="str">
        <f t="shared" si="10956"/>
        <v>0</v>
      </c>
      <c r="P5809" s="1" t="str">
        <f t="shared" si="10956"/>
        <v>0</v>
      </c>
      <c r="Q5809" s="1" t="str">
        <f t="shared" si="10882"/>
        <v>0.0070</v>
      </c>
      <c r="R5809" s="1" t="s">
        <v>25</v>
      </c>
      <c r="T5809" s="1" t="str">
        <f t="shared" si="10883"/>
        <v>0</v>
      </c>
      <c r="U5809" s="1" t="str">
        <f t="shared" si="10908"/>
        <v>0.0070</v>
      </c>
    </row>
    <row r="5810" s="1" customFormat="1" spans="1:21">
      <c r="A5810" s="1" t="str">
        <f>"4601992215162"</f>
        <v>4601992215162</v>
      </c>
      <c r="B5810" s="1" t="s">
        <v>5833</v>
      </c>
      <c r="C5810" s="1" t="s">
        <v>24</v>
      </c>
      <c r="D5810" s="1" t="str">
        <f t="shared" si="10880"/>
        <v>2021</v>
      </c>
      <c r="E5810" s="1" t="str">
        <f t="shared" ref="E5810:I5810" si="10957">"0"</f>
        <v>0</v>
      </c>
      <c r="F5810" s="1" t="str">
        <f t="shared" si="10957"/>
        <v>0</v>
      </c>
      <c r="G5810" s="1" t="str">
        <f t="shared" si="10957"/>
        <v>0</v>
      </c>
      <c r="H5810" s="1" t="str">
        <f t="shared" si="10957"/>
        <v>0</v>
      </c>
      <c r="I5810" s="1" t="str">
        <f t="shared" si="10957"/>
        <v>0</v>
      </c>
      <c r="J5810" s="1" t="str">
        <f>"1"</f>
        <v>1</v>
      </c>
      <c r="K5810" s="1" t="str">
        <f t="shared" ref="K5810:P5810" si="10958">"0"</f>
        <v>0</v>
      </c>
      <c r="L5810" s="1" t="str">
        <f t="shared" si="10958"/>
        <v>0</v>
      </c>
      <c r="M5810" s="1" t="str">
        <f t="shared" si="10958"/>
        <v>0</v>
      </c>
      <c r="N5810" s="1" t="str">
        <f t="shared" si="10958"/>
        <v>0</v>
      </c>
      <c r="O5810" s="1" t="str">
        <f t="shared" si="10958"/>
        <v>0</v>
      </c>
      <c r="P5810" s="1" t="str">
        <f t="shared" si="10958"/>
        <v>0</v>
      </c>
      <c r="Q5810" s="1" t="str">
        <f t="shared" si="10882"/>
        <v>0.0070</v>
      </c>
      <c r="R5810" s="1" t="s">
        <v>25</v>
      </c>
      <c r="T5810" s="1" t="str">
        <f t="shared" si="10883"/>
        <v>0</v>
      </c>
      <c r="U5810" s="1" t="str">
        <f t="shared" si="10908"/>
        <v>0.0070</v>
      </c>
    </row>
    <row r="5811" s="1" customFormat="1" spans="1:21">
      <c r="A5811" s="1" t="str">
        <f>"4601992215177"</f>
        <v>4601992215177</v>
      </c>
      <c r="B5811" s="1" t="s">
        <v>5834</v>
      </c>
      <c r="C5811" s="1" t="s">
        <v>24</v>
      </c>
      <c r="D5811" s="1" t="str">
        <f t="shared" si="10880"/>
        <v>2021</v>
      </c>
      <c r="E5811" s="1" t="str">
        <f t="shared" ref="E5811:I5811" si="10959">"0"</f>
        <v>0</v>
      </c>
      <c r="F5811" s="1" t="str">
        <f t="shared" si="10959"/>
        <v>0</v>
      </c>
      <c r="G5811" s="1" t="str">
        <f t="shared" si="10959"/>
        <v>0</v>
      </c>
      <c r="H5811" s="1" t="str">
        <f t="shared" si="10959"/>
        <v>0</v>
      </c>
      <c r="I5811" s="1" t="str">
        <f t="shared" si="10959"/>
        <v>0</v>
      </c>
      <c r="J5811" s="1" t="str">
        <f>"1"</f>
        <v>1</v>
      </c>
      <c r="K5811" s="1" t="str">
        <f t="shared" ref="K5811:P5811" si="10960">"0"</f>
        <v>0</v>
      </c>
      <c r="L5811" s="1" t="str">
        <f t="shared" si="10960"/>
        <v>0</v>
      </c>
      <c r="M5811" s="1" t="str">
        <f t="shared" si="10960"/>
        <v>0</v>
      </c>
      <c r="N5811" s="1" t="str">
        <f t="shared" si="10960"/>
        <v>0</v>
      </c>
      <c r="O5811" s="1" t="str">
        <f t="shared" si="10960"/>
        <v>0</v>
      </c>
      <c r="P5811" s="1" t="str">
        <f t="shared" si="10960"/>
        <v>0</v>
      </c>
      <c r="Q5811" s="1" t="str">
        <f t="shared" si="10882"/>
        <v>0.0070</v>
      </c>
      <c r="R5811" s="1" t="s">
        <v>25</v>
      </c>
      <c r="T5811" s="1" t="str">
        <f t="shared" si="10883"/>
        <v>0</v>
      </c>
      <c r="U5811" s="1" t="str">
        <f t="shared" si="10908"/>
        <v>0.0070</v>
      </c>
    </row>
    <row r="5812" s="1" customFormat="1" spans="1:21">
      <c r="A5812" s="1" t="str">
        <f>"4601992215199"</f>
        <v>4601992215199</v>
      </c>
      <c r="B5812" s="1" t="s">
        <v>5835</v>
      </c>
      <c r="C5812" s="1" t="s">
        <v>24</v>
      </c>
      <c r="D5812" s="1" t="str">
        <f t="shared" si="10880"/>
        <v>2021</v>
      </c>
      <c r="E5812" s="1" t="str">
        <f t="shared" ref="E5812:I5812" si="10961">"0"</f>
        <v>0</v>
      </c>
      <c r="F5812" s="1" t="str">
        <f t="shared" si="10961"/>
        <v>0</v>
      </c>
      <c r="G5812" s="1" t="str">
        <f t="shared" si="10961"/>
        <v>0</v>
      </c>
      <c r="H5812" s="1" t="str">
        <f t="shared" si="10961"/>
        <v>0</v>
      </c>
      <c r="I5812" s="1" t="str">
        <f t="shared" si="10961"/>
        <v>0</v>
      </c>
      <c r="J5812" s="1" t="str">
        <f>"13"</f>
        <v>13</v>
      </c>
      <c r="K5812" s="1" t="str">
        <f t="shared" ref="K5812:P5812" si="10962">"0"</f>
        <v>0</v>
      </c>
      <c r="L5812" s="1" t="str">
        <f t="shared" si="10962"/>
        <v>0</v>
      </c>
      <c r="M5812" s="1" t="str">
        <f t="shared" si="10962"/>
        <v>0</v>
      </c>
      <c r="N5812" s="1" t="str">
        <f t="shared" si="10962"/>
        <v>0</v>
      </c>
      <c r="O5812" s="1" t="str">
        <f t="shared" si="10962"/>
        <v>0</v>
      </c>
      <c r="P5812" s="1" t="str">
        <f t="shared" si="10962"/>
        <v>0</v>
      </c>
      <c r="Q5812" s="1" t="str">
        <f t="shared" si="10882"/>
        <v>0.0070</v>
      </c>
      <c r="R5812" s="1" t="s">
        <v>25</v>
      </c>
      <c r="T5812" s="1" t="str">
        <f t="shared" si="10883"/>
        <v>0</v>
      </c>
      <c r="U5812" s="1" t="str">
        <f t="shared" si="10908"/>
        <v>0.0070</v>
      </c>
    </row>
    <row r="5813" s="1" customFormat="1" spans="1:21">
      <c r="A5813" s="1" t="str">
        <f>"4601992215235"</f>
        <v>4601992215235</v>
      </c>
      <c r="B5813" s="1" t="s">
        <v>5836</v>
      </c>
      <c r="C5813" s="1" t="s">
        <v>24</v>
      </c>
      <c r="D5813" s="1" t="str">
        <f t="shared" si="10880"/>
        <v>2021</v>
      </c>
      <c r="E5813" s="1" t="str">
        <f t="shared" ref="E5813:I5813" si="10963">"0"</f>
        <v>0</v>
      </c>
      <c r="F5813" s="1" t="str">
        <f t="shared" si="10963"/>
        <v>0</v>
      </c>
      <c r="G5813" s="1" t="str">
        <f t="shared" si="10963"/>
        <v>0</v>
      </c>
      <c r="H5813" s="1" t="str">
        <f t="shared" si="10963"/>
        <v>0</v>
      </c>
      <c r="I5813" s="1" t="str">
        <f t="shared" si="10963"/>
        <v>0</v>
      </c>
      <c r="J5813" s="1" t="str">
        <f t="shared" ref="J5813:J5817" si="10964">"4"</f>
        <v>4</v>
      </c>
      <c r="K5813" s="1" t="str">
        <f t="shared" ref="K5813:P5813" si="10965">"0"</f>
        <v>0</v>
      </c>
      <c r="L5813" s="1" t="str">
        <f t="shared" si="10965"/>
        <v>0</v>
      </c>
      <c r="M5813" s="1" t="str">
        <f t="shared" si="10965"/>
        <v>0</v>
      </c>
      <c r="N5813" s="1" t="str">
        <f t="shared" si="10965"/>
        <v>0</v>
      </c>
      <c r="O5813" s="1" t="str">
        <f t="shared" si="10965"/>
        <v>0</v>
      </c>
      <c r="P5813" s="1" t="str">
        <f t="shared" si="10965"/>
        <v>0</v>
      </c>
      <c r="Q5813" s="1" t="str">
        <f t="shared" si="10882"/>
        <v>0.0070</v>
      </c>
      <c r="R5813" s="1" t="s">
        <v>25</v>
      </c>
      <c r="T5813" s="1" t="str">
        <f t="shared" si="10883"/>
        <v>0</v>
      </c>
      <c r="U5813" s="1" t="str">
        <f t="shared" si="10908"/>
        <v>0.0070</v>
      </c>
    </row>
    <row r="5814" s="1" customFormat="1" spans="1:21">
      <c r="A5814" s="1" t="str">
        <f>"4601992215246"</f>
        <v>4601992215246</v>
      </c>
      <c r="B5814" s="1" t="s">
        <v>5837</v>
      </c>
      <c r="C5814" s="1" t="s">
        <v>24</v>
      </c>
      <c r="D5814" s="1" t="str">
        <f t="shared" si="10880"/>
        <v>2021</v>
      </c>
      <c r="E5814" s="1" t="str">
        <f t="shared" ref="E5814:I5814" si="10966">"0"</f>
        <v>0</v>
      </c>
      <c r="F5814" s="1" t="str">
        <f t="shared" si="10966"/>
        <v>0</v>
      </c>
      <c r="G5814" s="1" t="str">
        <f t="shared" si="10966"/>
        <v>0</v>
      </c>
      <c r="H5814" s="1" t="str">
        <f t="shared" si="10966"/>
        <v>0</v>
      </c>
      <c r="I5814" s="1" t="str">
        <f t="shared" si="10966"/>
        <v>0</v>
      </c>
      <c r="J5814" s="1" t="str">
        <f>"5"</f>
        <v>5</v>
      </c>
      <c r="K5814" s="1" t="str">
        <f t="shared" ref="K5814:P5814" si="10967">"0"</f>
        <v>0</v>
      </c>
      <c r="L5814" s="1" t="str">
        <f t="shared" si="10967"/>
        <v>0</v>
      </c>
      <c r="M5814" s="1" t="str">
        <f t="shared" si="10967"/>
        <v>0</v>
      </c>
      <c r="N5814" s="1" t="str">
        <f t="shared" si="10967"/>
        <v>0</v>
      </c>
      <c r="O5814" s="1" t="str">
        <f t="shared" si="10967"/>
        <v>0</v>
      </c>
      <c r="P5814" s="1" t="str">
        <f t="shared" si="10967"/>
        <v>0</v>
      </c>
      <c r="Q5814" s="1" t="str">
        <f t="shared" si="10882"/>
        <v>0.0070</v>
      </c>
      <c r="R5814" s="1" t="s">
        <v>25</v>
      </c>
      <c r="T5814" s="1" t="str">
        <f t="shared" si="10883"/>
        <v>0</v>
      </c>
      <c r="U5814" s="1" t="str">
        <f t="shared" si="10908"/>
        <v>0.0070</v>
      </c>
    </row>
    <row r="5815" s="1" customFormat="1" spans="1:21">
      <c r="A5815" s="1" t="str">
        <f>"4601992215207"</f>
        <v>4601992215207</v>
      </c>
      <c r="B5815" s="1" t="s">
        <v>5838</v>
      </c>
      <c r="C5815" s="1" t="s">
        <v>24</v>
      </c>
      <c r="D5815" s="1" t="str">
        <f t="shared" si="10880"/>
        <v>2021</v>
      </c>
      <c r="E5815" s="1" t="str">
        <f t="shared" ref="E5815:I5815" si="10968">"0"</f>
        <v>0</v>
      </c>
      <c r="F5815" s="1" t="str">
        <f t="shared" si="10968"/>
        <v>0</v>
      </c>
      <c r="G5815" s="1" t="str">
        <f t="shared" si="10968"/>
        <v>0</v>
      </c>
      <c r="H5815" s="1" t="str">
        <f t="shared" si="10968"/>
        <v>0</v>
      </c>
      <c r="I5815" s="1" t="str">
        <f t="shared" si="10968"/>
        <v>0</v>
      </c>
      <c r="J5815" s="1" t="str">
        <f t="shared" si="10964"/>
        <v>4</v>
      </c>
      <c r="K5815" s="1" t="str">
        <f t="shared" ref="K5815:P5815" si="10969">"0"</f>
        <v>0</v>
      </c>
      <c r="L5815" s="1" t="str">
        <f t="shared" si="10969"/>
        <v>0</v>
      </c>
      <c r="M5815" s="1" t="str">
        <f t="shared" si="10969"/>
        <v>0</v>
      </c>
      <c r="N5815" s="1" t="str">
        <f t="shared" si="10969"/>
        <v>0</v>
      </c>
      <c r="O5815" s="1" t="str">
        <f t="shared" si="10969"/>
        <v>0</v>
      </c>
      <c r="P5815" s="1" t="str">
        <f t="shared" si="10969"/>
        <v>0</v>
      </c>
      <c r="Q5815" s="1" t="str">
        <f t="shared" si="10882"/>
        <v>0.0070</v>
      </c>
      <c r="R5815" s="1" t="s">
        <v>25</v>
      </c>
      <c r="T5815" s="1" t="str">
        <f t="shared" si="10883"/>
        <v>0</v>
      </c>
      <c r="U5815" s="1" t="str">
        <f t="shared" si="10908"/>
        <v>0.0070</v>
      </c>
    </row>
    <row r="5816" s="1" customFormat="1" spans="1:21">
      <c r="A5816" s="1" t="str">
        <f>"4601992215325"</f>
        <v>4601992215325</v>
      </c>
      <c r="B5816" s="1" t="s">
        <v>5839</v>
      </c>
      <c r="C5816" s="1" t="s">
        <v>24</v>
      </c>
      <c r="D5816" s="1" t="str">
        <f t="shared" si="10880"/>
        <v>2021</v>
      </c>
      <c r="E5816" s="1" t="str">
        <f t="shared" ref="E5816:I5816" si="10970">"0"</f>
        <v>0</v>
      </c>
      <c r="F5816" s="1" t="str">
        <f t="shared" si="10970"/>
        <v>0</v>
      </c>
      <c r="G5816" s="1" t="str">
        <f t="shared" si="10970"/>
        <v>0</v>
      </c>
      <c r="H5816" s="1" t="str">
        <f t="shared" si="10970"/>
        <v>0</v>
      </c>
      <c r="I5816" s="1" t="str">
        <f t="shared" si="10970"/>
        <v>0</v>
      </c>
      <c r="J5816" s="1" t="str">
        <f>"2"</f>
        <v>2</v>
      </c>
      <c r="K5816" s="1" t="str">
        <f t="shared" ref="K5816:P5816" si="10971">"0"</f>
        <v>0</v>
      </c>
      <c r="L5816" s="1" t="str">
        <f t="shared" si="10971"/>
        <v>0</v>
      </c>
      <c r="M5816" s="1" t="str">
        <f t="shared" si="10971"/>
        <v>0</v>
      </c>
      <c r="N5816" s="1" t="str">
        <f t="shared" si="10971"/>
        <v>0</v>
      </c>
      <c r="O5816" s="1" t="str">
        <f t="shared" si="10971"/>
        <v>0</v>
      </c>
      <c r="P5816" s="1" t="str">
        <f t="shared" si="10971"/>
        <v>0</v>
      </c>
      <c r="Q5816" s="1" t="str">
        <f t="shared" si="10882"/>
        <v>0.0070</v>
      </c>
      <c r="R5816" s="1" t="s">
        <v>25</v>
      </c>
      <c r="T5816" s="1" t="str">
        <f t="shared" si="10883"/>
        <v>0</v>
      </c>
      <c r="U5816" s="1" t="str">
        <f t="shared" si="10908"/>
        <v>0.0070</v>
      </c>
    </row>
    <row r="5817" s="1" customFormat="1" spans="1:21">
      <c r="A5817" s="1" t="str">
        <f>"4601992215440"</f>
        <v>4601992215440</v>
      </c>
      <c r="B5817" s="1" t="s">
        <v>5840</v>
      </c>
      <c r="C5817" s="1" t="s">
        <v>24</v>
      </c>
      <c r="D5817" s="1" t="str">
        <f t="shared" si="10880"/>
        <v>2021</v>
      </c>
      <c r="E5817" s="1" t="str">
        <f t="shared" ref="E5817:I5817" si="10972">"0"</f>
        <v>0</v>
      </c>
      <c r="F5817" s="1" t="str">
        <f t="shared" si="10972"/>
        <v>0</v>
      </c>
      <c r="G5817" s="1" t="str">
        <f t="shared" si="10972"/>
        <v>0</v>
      </c>
      <c r="H5817" s="1" t="str">
        <f t="shared" si="10972"/>
        <v>0</v>
      </c>
      <c r="I5817" s="1" t="str">
        <f t="shared" si="10972"/>
        <v>0</v>
      </c>
      <c r="J5817" s="1" t="str">
        <f t="shared" si="10964"/>
        <v>4</v>
      </c>
      <c r="K5817" s="1" t="str">
        <f t="shared" ref="K5817:P5817" si="10973">"0"</f>
        <v>0</v>
      </c>
      <c r="L5817" s="1" t="str">
        <f t="shared" si="10973"/>
        <v>0</v>
      </c>
      <c r="M5817" s="1" t="str">
        <f t="shared" si="10973"/>
        <v>0</v>
      </c>
      <c r="N5817" s="1" t="str">
        <f t="shared" si="10973"/>
        <v>0</v>
      </c>
      <c r="O5817" s="1" t="str">
        <f t="shared" si="10973"/>
        <v>0</v>
      </c>
      <c r="P5817" s="1" t="str">
        <f t="shared" si="10973"/>
        <v>0</v>
      </c>
      <c r="Q5817" s="1" t="str">
        <f t="shared" si="10882"/>
        <v>0.0070</v>
      </c>
      <c r="R5817" s="1" t="s">
        <v>25</v>
      </c>
      <c r="T5817" s="1" t="str">
        <f t="shared" si="10883"/>
        <v>0</v>
      </c>
      <c r="U5817" s="1" t="str">
        <f t="shared" si="10908"/>
        <v>0.0070</v>
      </c>
    </row>
    <row r="5818" s="1" customFormat="1" spans="1:21">
      <c r="A5818" s="1" t="str">
        <f>"4601992215475"</f>
        <v>4601992215475</v>
      </c>
      <c r="B5818" s="1" t="s">
        <v>5841</v>
      </c>
      <c r="C5818" s="1" t="s">
        <v>24</v>
      </c>
      <c r="D5818" s="1" t="str">
        <f t="shared" si="10880"/>
        <v>2021</v>
      </c>
      <c r="E5818" s="1" t="str">
        <f t="shared" ref="E5818:I5818" si="10974">"0"</f>
        <v>0</v>
      </c>
      <c r="F5818" s="1" t="str">
        <f t="shared" si="10974"/>
        <v>0</v>
      </c>
      <c r="G5818" s="1" t="str">
        <f t="shared" si="10974"/>
        <v>0</v>
      </c>
      <c r="H5818" s="1" t="str">
        <f t="shared" si="10974"/>
        <v>0</v>
      </c>
      <c r="I5818" s="1" t="str">
        <f t="shared" si="10974"/>
        <v>0</v>
      </c>
      <c r="J5818" s="1" t="str">
        <f t="shared" ref="J5818:J5821" si="10975">"1"</f>
        <v>1</v>
      </c>
      <c r="K5818" s="1" t="str">
        <f t="shared" ref="K5818:P5818" si="10976">"0"</f>
        <v>0</v>
      </c>
      <c r="L5818" s="1" t="str">
        <f t="shared" si="10976"/>
        <v>0</v>
      </c>
      <c r="M5818" s="1" t="str">
        <f t="shared" si="10976"/>
        <v>0</v>
      </c>
      <c r="N5818" s="1" t="str">
        <f t="shared" si="10976"/>
        <v>0</v>
      </c>
      <c r="O5818" s="1" t="str">
        <f t="shared" si="10976"/>
        <v>0</v>
      </c>
      <c r="P5818" s="1" t="str">
        <f t="shared" si="10976"/>
        <v>0</v>
      </c>
      <c r="Q5818" s="1" t="str">
        <f t="shared" si="10882"/>
        <v>0.0070</v>
      </c>
      <c r="R5818" s="1" t="s">
        <v>25</v>
      </c>
      <c r="T5818" s="1" t="str">
        <f t="shared" si="10883"/>
        <v>0</v>
      </c>
      <c r="U5818" s="1" t="str">
        <f t="shared" si="10908"/>
        <v>0.0070</v>
      </c>
    </row>
    <row r="5819" s="1" customFormat="1" spans="1:21">
      <c r="A5819" s="1" t="str">
        <f>"4601992215970"</f>
        <v>4601992215970</v>
      </c>
      <c r="B5819" s="1" t="s">
        <v>5842</v>
      </c>
      <c r="C5819" s="1" t="s">
        <v>24</v>
      </c>
      <c r="D5819" s="1" t="str">
        <f t="shared" si="10880"/>
        <v>2021</v>
      </c>
      <c r="E5819" s="1" t="str">
        <f t="shared" ref="E5819:I5819" si="10977">"0"</f>
        <v>0</v>
      </c>
      <c r="F5819" s="1" t="str">
        <f t="shared" si="10977"/>
        <v>0</v>
      </c>
      <c r="G5819" s="1" t="str">
        <f t="shared" si="10977"/>
        <v>0</v>
      </c>
      <c r="H5819" s="1" t="str">
        <f t="shared" si="10977"/>
        <v>0</v>
      </c>
      <c r="I5819" s="1" t="str">
        <f t="shared" si="10977"/>
        <v>0</v>
      </c>
      <c r="J5819" s="1" t="str">
        <f t="shared" si="10975"/>
        <v>1</v>
      </c>
      <c r="K5819" s="1" t="str">
        <f t="shared" ref="K5819:P5819" si="10978">"0"</f>
        <v>0</v>
      </c>
      <c r="L5819" s="1" t="str">
        <f t="shared" si="10978"/>
        <v>0</v>
      </c>
      <c r="M5819" s="1" t="str">
        <f t="shared" si="10978"/>
        <v>0</v>
      </c>
      <c r="N5819" s="1" t="str">
        <f t="shared" si="10978"/>
        <v>0</v>
      </c>
      <c r="O5819" s="1" t="str">
        <f t="shared" si="10978"/>
        <v>0</v>
      </c>
      <c r="P5819" s="1" t="str">
        <f t="shared" si="10978"/>
        <v>0</v>
      </c>
      <c r="Q5819" s="1" t="str">
        <f t="shared" si="10882"/>
        <v>0.0070</v>
      </c>
      <c r="R5819" s="1" t="s">
        <v>25</v>
      </c>
      <c r="T5819" s="1" t="str">
        <f t="shared" si="10883"/>
        <v>0</v>
      </c>
      <c r="U5819" s="1" t="str">
        <f t="shared" si="10908"/>
        <v>0.0070</v>
      </c>
    </row>
    <row r="5820" s="1" customFormat="1" spans="1:21">
      <c r="A5820" s="1" t="str">
        <f>"4601992215442"</f>
        <v>4601992215442</v>
      </c>
      <c r="B5820" s="1" t="s">
        <v>5843</v>
      </c>
      <c r="C5820" s="1" t="s">
        <v>24</v>
      </c>
      <c r="D5820" s="1" t="str">
        <f t="shared" si="10880"/>
        <v>2021</v>
      </c>
      <c r="E5820" s="1" t="str">
        <f t="shared" ref="E5820:I5820" si="10979">"0"</f>
        <v>0</v>
      </c>
      <c r="F5820" s="1" t="str">
        <f t="shared" si="10979"/>
        <v>0</v>
      </c>
      <c r="G5820" s="1" t="str">
        <f t="shared" si="10979"/>
        <v>0</v>
      </c>
      <c r="H5820" s="1" t="str">
        <f t="shared" si="10979"/>
        <v>0</v>
      </c>
      <c r="I5820" s="1" t="str">
        <f t="shared" si="10979"/>
        <v>0</v>
      </c>
      <c r="J5820" s="1" t="str">
        <f t="shared" si="10975"/>
        <v>1</v>
      </c>
      <c r="K5820" s="1" t="str">
        <f t="shared" ref="K5820:P5820" si="10980">"0"</f>
        <v>0</v>
      </c>
      <c r="L5820" s="1" t="str">
        <f t="shared" si="10980"/>
        <v>0</v>
      </c>
      <c r="M5820" s="1" t="str">
        <f t="shared" si="10980"/>
        <v>0</v>
      </c>
      <c r="N5820" s="1" t="str">
        <f t="shared" si="10980"/>
        <v>0</v>
      </c>
      <c r="O5820" s="1" t="str">
        <f t="shared" si="10980"/>
        <v>0</v>
      </c>
      <c r="P5820" s="1" t="str">
        <f t="shared" si="10980"/>
        <v>0</v>
      </c>
      <c r="Q5820" s="1" t="str">
        <f t="shared" si="10882"/>
        <v>0.0070</v>
      </c>
      <c r="R5820" s="1" t="s">
        <v>25</v>
      </c>
      <c r="T5820" s="1" t="str">
        <f t="shared" si="10883"/>
        <v>0</v>
      </c>
      <c r="U5820" s="1" t="str">
        <f t="shared" si="10908"/>
        <v>0.0070</v>
      </c>
    </row>
    <row r="5821" s="1" customFormat="1" spans="1:21">
      <c r="A5821" s="1" t="str">
        <f>"4601992215989"</f>
        <v>4601992215989</v>
      </c>
      <c r="B5821" s="1" t="s">
        <v>5844</v>
      </c>
      <c r="C5821" s="1" t="s">
        <v>24</v>
      </c>
      <c r="D5821" s="1" t="str">
        <f t="shared" si="10880"/>
        <v>2021</v>
      </c>
      <c r="E5821" s="1" t="str">
        <f t="shared" ref="E5821:I5821" si="10981">"0"</f>
        <v>0</v>
      </c>
      <c r="F5821" s="1" t="str">
        <f t="shared" si="10981"/>
        <v>0</v>
      </c>
      <c r="G5821" s="1" t="str">
        <f t="shared" si="10981"/>
        <v>0</v>
      </c>
      <c r="H5821" s="1" t="str">
        <f t="shared" si="10981"/>
        <v>0</v>
      </c>
      <c r="I5821" s="1" t="str">
        <f t="shared" si="10981"/>
        <v>0</v>
      </c>
      <c r="J5821" s="1" t="str">
        <f t="shared" si="10975"/>
        <v>1</v>
      </c>
      <c r="K5821" s="1" t="str">
        <f t="shared" ref="K5821:P5821" si="10982">"0"</f>
        <v>0</v>
      </c>
      <c r="L5821" s="1" t="str">
        <f t="shared" si="10982"/>
        <v>0</v>
      </c>
      <c r="M5821" s="1" t="str">
        <f t="shared" si="10982"/>
        <v>0</v>
      </c>
      <c r="N5821" s="1" t="str">
        <f t="shared" si="10982"/>
        <v>0</v>
      </c>
      <c r="O5821" s="1" t="str">
        <f t="shared" si="10982"/>
        <v>0</v>
      </c>
      <c r="P5821" s="1" t="str">
        <f t="shared" si="10982"/>
        <v>0</v>
      </c>
      <c r="Q5821" s="1" t="str">
        <f t="shared" si="10882"/>
        <v>0.0070</v>
      </c>
      <c r="R5821" s="1" t="s">
        <v>25</v>
      </c>
      <c r="T5821" s="1" t="str">
        <f t="shared" si="10883"/>
        <v>0</v>
      </c>
      <c r="U5821" s="1" t="str">
        <f t="shared" si="10908"/>
        <v>0.0070</v>
      </c>
    </row>
    <row r="5822" s="1" customFormat="1" spans="1:21">
      <c r="A5822" s="1" t="str">
        <f>"4601992215992"</f>
        <v>4601992215992</v>
      </c>
      <c r="B5822" s="1" t="s">
        <v>5845</v>
      </c>
      <c r="C5822" s="1" t="s">
        <v>24</v>
      </c>
      <c r="D5822" s="1" t="str">
        <f t="shared" si="10880"/>
        <v>2021</v>
      </c>
      <c r="E5822" s="1" t="str">
        <f t="shared" ref="E5822:I5822" si="10983">"0"</f>
        <v>0</v>
      </c>
      <c r="F5822" s="1" t="str">
        <f t="shared" si="10983"/>
        <v>0</v>
      </c>
      <c r="G5822" s="1" t="str">
        <f t="shared" si="10983"/>
        <v>0</v>
      </c>
      <c r="H5822" s="1" t="str">
        <f t="shared" si="10983"/>
        <v>0</v>
      </c>
      <c r="I5822" s="1" t="str">
        <f t="shared" si="10983"/>
        <v>0</v>
      </c>
      <c r="J5822" s="1" t="str">
        <f>"2"</f>
        <v>2</v>
      </c>
      <c r="K5822" s="1" t="str">
        <f t="shared" ref="K5822:P5822" si="10984">"0"</f>
        <v>0</v>
      </c>
      <c r="L5822" s="1" t="str">
        <f t="shared" si="10984"/>
        <v>0</v>
      </c>
      <c r="M5822" s="1" t="str">
        <f t="shared" si="10984"/>
        <v>0</v>
      </c>
      <c r="N5822" s="1" t="str">
        <f t="shared" si="10984"/>
        <v>0</v>
      </c>
      <c r="O5822" s="1" t="str">
        <f t="shared" si="10984"/>
        <v>0</v>
      </c>
      <c r="P5822" s="1" t="str">
        <f t="shared" si="10984"/>
        <v>0</v>
      </c>
      <c r="Q5822" s="1" t="str">
        <f t="shared" si="10882"/>
        <v>0.0070</v>
      </c>
      <c r="R5822" s="1" t="s">
        <v>25</v>
      </c>
      <c r="T5822" s="1" t="str">
        <f t="shared" si="10883"/>
        <v>0</v>
      </c>
      <c r="U5822" s="1" t="str">
        <f t="shared" si="10908"/>
        <v>0.0070</v>
      </c>
    </row>
    <row r="5823" s="1" customFormat="1" spans="1:21">
      <c r="A5823" s="1" t="str">
        <f>"4601992216049"</f>
        <v>4601992216049</v>
      </c>
      <c r="B5823" s="1" t="s">
        <v>5846</v>
      </c>
      <c r="C5823" s="1" t="s">
        <v>24</v>
      </c>
      <c r="D5823" s="1" t="str">
        <f t="shared" si="10880"/>
        <v>2021</v>
      </c>
      <c r="E5823" s="1" t="str">
        <f t="shared" ref="E5823:I5823" si="10985">"0"</f>
        <v>0</v>
      </c>
      <c r="F5823" s="1" t="str">
        <f t="shared" si="10985"/>
        <v>0</v>
      </c>
      <c r="G5823" s="1" t="str">
        <f t="shared" si="10985"/>
        <v>0</v>
      </c>
      <c r="H5823" s="1" t="str">
        <f t="shared" si="10985"/>
        <v>0</v>
      </c>
      <c r="I5823" s="1" t="str">
        <f t="shared" si="10985"/>
        <v>0</v>
      </c>
      <c r="J5823" s="1" t="str">
        <f>"2"</f>
        <v>2</v>
      </c>
      <c r="K5823" s="1" t="str">
        <f t="shared" ref="K5823:P5823" si="10986">"0"</f>
        <v>0</v>
      </c>
      <c r="L5823" s="1" t="str">
        <f t="shared" si="10986"/>
        <v>0</v>
      </c>
      <c r="M5823" s="1" t="str">
        <f t="shared" si="10986"/>
        <v>0</v>
      </c>
      <c r="N5823" s="1" t="str">
        <f t="shared" si="10986"/>
        <v>0</v>
      </c>
      <c r="O5823" s="1" t="str">
        <f t="shared" si="10986"/>
        <v>0</v>
      </c>
      <c r="P5823" s="1" t="str">
        <f t="shared" si="10986"/>
        <v>0</v>
      </c>
      <c r="Q5823" s="1" t="str">
        <f t="shared" si="10882"/>
        <v>0.0070</v>
      </c>
      <c r="R5823" s="1" t="s">
        <v>25</v>
      </c>
      <c r="T5823" s="1" t="str">
        <f t="shared" si="10883"/>
        <v>0</v>
      </c>
      <c r="U5823" s="1" t="str">
        <f t="shared" si="10908"/>
        <v>0.0070</v>
      </c>
    </row>
    <row r="5824" s="1" customFormat="1" spans="1:21">
      <c r="A5824" s="1" t="str">
        <f>"4601992216052"</f>
        <v>4601992216052</v>
      </c>
      <c r="B5824" s="1" t="s">
        <v>5847</v>
      </c>
      <c r="C5824" s="1" t="s">
        <v>24</v>
      </c>
      <c r="D5824" s="1" t="str">
        <f t="shared" si="10880"/>
        <v>2021</v>
      </c>
      <c r="E5824" s="1" t="str">
        <f t="shared" ref="E5824:I5824" si="10987">"0"</f>
        <v>0</v>
      </c>
      <c r="F5824" s="1" t="str">
        <f t="shared" si="10987"/>
        <v>0</v>
      </c>
      <c r="G5824" s="1" t="str">
        <f t="shared" si="10987"/>
        <v>0</v>
      </c>
      <c r="H5824" s="1" t="str">
        <f t="shared" si="10987"/>
        <v>0</v>
      </c>
      <c r="I5824" s="1" t="str">
        <f t="shared" si="10987"/>
        <v>0</v>
      </c>
      <c r="J5824" s="1" t="str">
        <f t="shared" ref="J5824:J5827" si="10988">"3"</f>
        <v>3</v>
      </c>
      <c r="K5824" s="1" t="str">
        <f t="shared" ref="K5824:P5824" si="10989">"0"</f>
        <v>0</v>
      </c>
      <c r="L5824" s="1" t="str">
        <f t="shared" si="10989"/>
        <v>0</v>
      </c>
      <c r="M5824" s="1" t="str">
        <f t="shared" si="10989"/>
        <v>0</v>
      </c>
      <c r="N5824" s="1" t="str">
        <f t="shared" si="10989"/>
        <v>0</v>
      </c>
      <c r="O5824" s="1" t="str">
        <f t="shared" si="10989"/>
        <v>0</v>
      </c>
      <c r="P5824" s="1" t="str">
        <f t="shared" si="10989"/>
        <v>0</v>
      </c>
      <c r="Q5824" s="1" t="str">
        <f t="shared" si="10882"/>
        <v>0.0070</v>
      </c>
      <c r="R5824" s="1" t="s">
        <v>25</v>
      </c>
      <c r="T5824" s="1" t="str">
        <f t="shared" si="10883"/>
        <v>0</v>
      </c>
      <c r="U5824" s="1" t="str">
        <f t="shared" si="10908"/>
        <v>0.0070</v>
      </c>
    </row>
    <row r="5825" s="1" customFormat="1" spans="1:21">
      <c r="A5825" s="1" t="str">
        <f>"4601992216069"</f>
        <v>4601992216069</v>
      </c>
      <c r="B5825" s="1" t="s">
        <v>5848</v>
      </c>
      <c r="C5825" s="1" t="s">
        <v>24</v>
      </c>
      <c r="D5825" s="1" t="str">
        <f t="shared" si="10880"/>
        <v>2021</v>
      </c>
      <c r="E5825" s="1" t="str">
        <f t="shared" ref="E5825:P5825" si="10990">"0"</f>
        <v>0</v>
      </c>
      <c r="F5825" s="1" t="str">
        <f t="shared" si="10990"/>
        <v>0</v>
      </c>
      <c r="G5825" s="1" t="str">
        <f t="shared" si="10990"/>
        <v>0</v>
      </c>
      <c r="H5825" s="1" t="str">
        <f t="shared" si="10990"/>
        <v>0</v>
      </c>
      <c r="I5825" s="1" t="str">
        <f t="shared" si="10990"/>
        <v>0</v>
      </c>
      <c r="J5825" s="1" t="str">
        <f t="shared" si="10990"/>
        <v>0</v>
      </c>
      <c r="K5825" s="1" t="str">
        <f t="shared" si="10990"/>
        <v>0</v>
      </c>
      <c r="L5825" s="1" t="str">
        <f t="shared" si="10990"/>
        <v>0</v>
      </c>
      <c r="M5825" s="1" t="str">
        <f t="shared" si="10990"/>
        <v>0</v>
      </c>
      <c r="N5825" s="1" t="str">
        <f t="shared" si="10990"/>
        <v>0</v>
      </c>
      <c r="O5825" s="1" t="str">
        <f t="shared" si="10990"/>
        <v>0</v>
      </c>
      <c r="P5825" s="1" t="str">
        <f t="shared" si="10990"/>
        <v>0</v>
      </c>
      <c r="Q5825" s="1" t="str">
        <f t="shared" si="10882"/>
        <v>0.0070</v>
      </c>
      <c r="R5825" s="1" t="s">
        <v>25</v>
      </c>
      <c r="T5825" s="1" t="str">
        <f t="shared" si="10883"/>
        <v>0</v>
      </c>
      <c r="U5825" s="1" t="str">
        <f t="shared" si="10908"/>
        <v>0.0070</v>
      </c>
    </row>
    <row r="5826" s="1" customFormat="1" spans="1:21">
      <c r="A5826" s="1" t="str">
        <f>"4601992216059"</f>
        <v>4601992216059</v>
      </c>
      <c r="B5826" s="1" t="s">
        <v>5849</v>
      </c>
      <c r="C5826" s="1" t="s">
        <v>24</v>
      </c>
      <c r="D5826" s="1" t="str">
        <f t="shared" si="10880"/>
        <v>2021</v>
      </c>
      <c r="E5826" s="1" t="str">
        <f t="shared" ref="E5826:I5826" si="10991">"0"</f>
        <v>0</v>
      </c>
      <c r="F5826" s="1" t="str">
        <f t="shared" si="10991"/>
        <v>0</v>
      </c>
      <c r="G5826" s="1" t="str">
        <f t="shared" si="10991"/>
        <v>0</v>
      </c>
      <c r="H5826" s="1" t="str">
        <f t="shared" si="10991"/>
        <v>0</v>
      </c>
      <c r="I5826" s="1" t="str">
        <f t="shared" si="10991"/>
        <v>0</v>
      </c>
      <c r="J5826" s="1" t="str">
        <f t="shared" si="10988"/>
        <v>3</v>
      </c>
      <c r="K5826" s="1" t="str">
        <f t="shared" ref="K5826:P5826" si="10992">"0"</f>
        <v>0</v>
      </c>
      <c r="L5826" s="1" t="str">
        <f t="shared" si="10992"/>
        <v>0</v>
      </c>
      <c r="M5826" s="1" t="str">
        <f t="shared" si="10992"/>
        <v>0</v>
      </c>
      <c r="N5826" s="1" t="str">
        <f t="shared" si="10992"/>
        <v>0</v>
      </c>
      <c r="O5826" s="1" t="str">
        <f t="shared" si="10992"/>
        <v>0</v>
      </c>
      <c r="P5826" s="1" t="str">
        <f t="shared" si="10992"/>
        <v>0</v>
      </c>
      <c r="Q5826" s="1" t="str">
        <f t="shared" si="10882"/>
        <v>0.0070</v>
      </c>
      <c r="R5826" s="1" t="s">
        <v>25</v>
      </c>
      <c r="T5826" s="1" t="str">
        <f t="shared" si="10883"/>
        <v>0</v>
      </c>
      <c r="U5826" s="1" t="str">
        <f t="shared" si="10908"/>
        <v>0.0070</v>
      </c>
    </row>
    <row r="5827" s="1" customFormat="1" spans="1:21">
      <c r="A5827" s="1" t="str">
        <f>"4601992216070"</f>
        <v>4601992216070</v>
      </c>
      <c r="B5827" s="1" t="s">
        <v>5850</v>
      </c>
      <c r="C5827" s="1" t="s">
        <v>24</v>
      </c>
      <c r="D5827" s="1" t="str">
        <f t="shared" ref="D5827:D5890" si="10993">"2021"</f>
        <v>2021</v>
      </c>
      <c r="E5827" s="1" t="str">
        <f t="shared" ref="E5827:I5827" si="10994">"0"</f>
        <v>0</v>
      </c>
      <c r="F5827" s="1" t="str">
        <f t="shared" si="10994"/>
        <v>0</v>
      </c>
      <c r="G5827" s="1" t="str">
        <f t="shared" si="10994"/>
        <v>0</v>
      </c>
      <c r="H5827" s="1" t="str">
        <f t="shared" si="10994"/>
        <v>0</v>
      </c>
      <c r="I5827" s="1" t="str">
        <f t="shared" si="10994"/>
        <v>0</v>
      </c>
      <c r="J5827" s="1" t="str">
        <f t="shared" si="10988"/>
        <v>3</v>
      </c>
      <c r="K5827" s="1" t="str">
        <f t="shared" ref="K5827:P5827" si="10995">"0"</f>
        <v>0</v>
      </c>
      <c r="L5827" s="1" t="str">
        <f t="shared" si="10995"/>
        <v>0</v>
      </c>
      <c r="M5827" s="1" t="str">
        <f t="shared" si="10995"/>
        <v>0</v>
      </c>
      <c r="N5827" s="1" t="str">
        <f t="shared" si="10995"/>
        <v>0</v>
      </c>
      <c r="O5827" s="1" t="str">
        <f t="shared" si="10995"/>
        <v>0</v>
      </c>
      <c r="P5827" s="1" t="str">
        <f t="shared" si="10995"/>
        <v>0</v>
      </c>
      <c r="Q5827" s="1" t="str">
        <f t="shared" ref="Q5827:Q5890" si="10996">"0.0070"</f>
        <v>0.0070</v>
      </c>
      <c r="R5827" s="1" t="s">
        <v>25</v>
      </c>
      <c r="T5827" s="1" t="str">
        <f t="shared" ref="T5827:T5890" si="10997">"0"</f>
        <v>0</v>
      </c>
      <c r="U5827" s="1" t="str">
        <f t="shared" si="10908"/>
        <v>0.0070</v>
      </c>
    </row>
    <row r="5828" s="1" customFormat="1" spans="1:21">
      <c r="A5828" s="1" t="str">
        <f>"4601992216101"</f>
        <v>4601992216101</v>
      </c>
      <c r="B5828" s="1" t="s">
        <v>5851</v>
      </c>
      <c r="C5828" s="1" t="s">
        <v>24</v>
      </c>
      <c r="D5828" s="1" t="str">
        <f t="shared" si="10993"/>
        <v>2021</v>
      </c>
      <c r="E5828" s="1" t="str">
        <f t="shared" ref="E5828:I5828" si="10998">"0"</f>
        <v>0</v>
      </c>
      <c r="F5828" s="1" t="str">
        <f t="shared" si="10998"/>
        <v>0</v>
      </c>
      <c r="G5828" s="1" t="str">
        <f t="shared" si="10998"/>
        <v>0</v>
      </c>
      <c r="H5828" s="1" t="str">
        <f t="shared" si="10998"/>
        <v>0</v>
      </c>
      <c r="I5828" s="1" t="str">
        <f t="shared" si="10998"/>
        <v>0</v>
      </c>
      <c r="J5828" s="1" t="str">
        <f>"5"</f>
        <v>5</v>
      </c>
      <c r="K5828" s="1" t="str">
        <f t="shared" ref="K5828:P5828" si="10999">"0"</f>
        <v>0</v>
      </c>
      <c r="L5828" s="1" t="str">
        <f t="shared" si="10999"/>
        <v>0</v>
      </c>
      <c r="M5828" s="1" t="str">
        <f t="shared" si="10999"/>
        <v>0</v>
      </c>
      <c r="N5828" s="1" t="str">
        <f t="shared" si="10999"/>
        <v>0</v>
      </c>
      <c r="O5828" s="1" t="str">
        <f t="shared" si="10999"/>
        <v>0</v>
      </c>
      <c r="P5828" s="1" t="str">
        <f t="shared" si="10999"/>
        <v>0</v>
      </c>
      <c r="Q5828" s="1" t="str">
        <f t="shared" si="10996"/>
        <v>0.0070</v>
      </c>
      <c r="R5828" s="1" t="s">
        <v>25</v>
      </c>
      <c r="T5828" s="1" t="str">
        <f t="shared" si="10997"/>
        <v>0</v>
      </c>
      <c r="U5828" s="1" t="str">
        <f t="shared" si="10908"/>
        <v>0.0070</v>
      </c>
    </row>
    <row r="5829" s="1" customFormat="1" spans="1:21">
      <c r="A5829" s="1" t="str">
        <f>"4601992216111"</f>
        <v>4601992216111</v>
      </c>
      <c r="B5829" s="1" t="s">
        <v>5852</v>
      </c>
      <c r="C5829" s="1" t="s">
        <v>24</v>
      </c>
      <c r="D5829" s="1" t="str">
        <f t="shared" si="10993"/>
        <v>2021</v>
      </c>
      <c r="E5829" s="1" t="str">
        <f t="shared" ref="E5829:I5829" si="11000">"0"</f>
        <v>0</v>
      </c>
      <c r="F5829" s="1" t="str">
        <f t="shared" si="11000"/>
        <v>0</v>
      </c>
      <c r="G5829" s="1" t="str">
        <f t="shared" si="11000"/>
        <v>0</v>
      </c>
      <c r="H5829" s="1" t="str">
        <f t="shared" si="11000"/>
        <v>0</v>
      </c>
      <c r="I5829" s="1" t="str">
        <f t="shared" si="11000"/>
        <v>0</v>
      </c>
      <c r="J5829" s="1" t="str">
        <f>"5"</f>
        <v>5</v>
      </c>
      <c r="K5829" s="1" t="str">
        <f t="shared" ref="K5829:P5829" si="11001">"0"</f>
        <v>0</v>
      </c>
      <c r="L5829" s="1" t="str">
        <f t="shared" si="11001"/>
        <v>0</v>
      </c>
      <c r="M5829" s="1" t="str">
        <f t="shared" si="11001"/>
        <v>0</v>
      </c>
      <c r="N5829" s="1" t="str">
        <f t="shared" si="11001"/>
        <v>0</v>
      </c>
      <c r="O5829" s="1" t="str">
        <f t="shared" si="11001"/>
        <v>0</v>
      </c>
      <c r="P5829" s="1" t="str">
        <f t="shared" si="11001"/>
        <v>0</v>
      </c>
      <c r="Q5829" s="1" t="str">
        <f t="shared" si="10996"/>
        <v>0.0070</v>
      </c>
      <c r="R5829" s="1" t="s">
        <v>25</v>
      </c>
      <c r="T5829" s="1" t="str">
        <f t="shared" si="10997"/>
        <v>0</v>
      </c>
      <c r="U5829" s="1" t="str">
        <f t="shared" si="10908"/>
        <v>0.0070</v>
      </c>
    </row>
    <row r="5830" s="1" customFormat="1" spans="1:21">
      <c r="A5830" s="1" t="str">
        <f>"4601992216122"</f>
        <v>4601992216122</v>
      </c>
      <c r="B5830" s="1" t="s">
        <v>5853</v>
      </c>
      <c r="C5830" s="1" t="s">
        <v>24</v>
      </c>
      <c r="D5830" s="1" t="str">
        <f t="shared" si="10993"/>
        <v>2021</v>
      </c>
      <c r="E5830" s="1" t="str">
        <f t="shared" ref="E5830:I5830" si="11002">"0"</f>
        <v>0</v>
      </c>
      <c r="F5830" s="1" t="str">
        <f t="shared" si="11002"/>
        <v>0</v>
      </c>
      <c r="G5830" s="1" t="str">
        <f t="shared" si="11002"/>
        <v>0</v>
      </c>
      <c r="H5830" s="1" t="str">
        <f t="shared" si="11002"/>
        <v>0</v>
      </c>
      <c r="I5830" s="1" t="str">
        <f t="shared" si="11002"/>
        <v>0</v>
      </c>
      <c r="J5830" s="1" t="str">
        <f>"1"</f>
        <v>1</v>
      </c>
      <c r="K5830" s="1" t="str">
        <f t="shared" ref="K5830:P5830" si="11003">"0"</f>
        <v>0</v>
      </c>
      <c r="L5830" s="1" t="str">
        <f t="shared" si="11003"/>
        <v>0</v>
      </c>
      <c r="M5830" s="1" t="str">
        <f t="shared" si="11003"/>
        <v>0</v>
      </c>
      <c r="N5830" s="1" t="str">
        <f t="shared" si="11003"/>
        <v>0</v>
      </c>
      <c r="O5830" s="1" t="str">
        <f t="shared" si="11003"/>
        <v>0</v>
      </c>
      <c r="P5830" s="1" t="str">
        <f t="shared" si="11003"/>
        <v>0</v>
      </c>
      <c r="Q5830" s="1" t="str">
        <f t="shared" si="10996"/>
        <v>0.0070</v>
      </c>
      <c r="R5830" s="1" t="s">
        <v>25</v>
      </c>
      <c r="T5830" s="1" t="str">
        <f t="shared" si="10997"/>
        <v>0</v>
      </c>
      <c r="U5830" s="1" t="str">
        <f t="shared" si="10908"/>
        <v>0.0070</v>
      </c>
    </row>
    <row r="5831" s="1" customFormat="1" spans="1:21">
      <c r="A5831" s="1" t="str">
        <f>"4601992216166"</f>
        <v>4601992216166</v>
      </c>
      <c r="B5831" s="1" t="s">
        <v>5854</v>
      </c>
      <c r="C5831" s="1" t="s">
        <v>24</v>
      </c>
      <c r="D5831" s="1" t="str">
        <f t="shared" si="10993"/>
        <v>2021</v>
      </c>
      <c r="E5831" s="1" t="str">
        <f t="shared" ref="E5831:P5831" si="11004">"0"</f>
        <v>0</v>
      </c>
      <c r="F5831" s="1" t="str">
        <f t="shared" si="11004"/>
        <v>0</v>
      </c>
      <c r="G5831" s="1" t="str">
        <f t="shared" si="11004"/>
        <v>0</v>
      </c>
      <c r="H5831" s="1" t="str">
        <f t="shared" si="11004"/>
        <v>0</v>
      </c>
      <c r="I5831" s="1" t="str">
        <f t="shared" si="11004"/>
        <v>0</v>
      </c>
      <c r="J5831" s="1" t="str">
        <f t="shared" si="11004"/>
        <v>0</v>
      </c>
      <c r="K5831" s="1" t="str">
        <f t="shared" si="11004"/>
        <v>0</v>
      </c>
      <c r="L5831" s="1" t="str">
        <f t="shared" si="11004"/>
        <v>0</v>
      </c>
      <c r="M5831" s="1" t="str">
        <f t="shared" si="11004"/>
        <v>0</v>
      </c>
      <c r="N5831" s="1" t="str">
        <f t="shared" si="11004"/>
        <v>0</v>
      </c>
      <c r="O5831" s="1" t="str">
        <f t="shared" si="11004"/>
        <v>0</v>
      </c>
      <c r="P5831" s="1" t="str">
        <f t="shared" si="11004"/>
        <v>0</v>
      </c>
      <c r="Q5831" s="1" t="str">
        <f t="shared" si="10996"/>
        <v>0.0070</v>
      </c>
      <c r="R5831" s="1" t="s">
        <v>25</v>
      </c>
      <c r="T5831" s="1" t="str">
        <f t="shared" si="10997"/>
        <v>0</v>
      </c>
      <c r="U5831" s="1" t="str">
        <f t="shared" si="10908"/>
        <v>0.0070</v>
      </c>
    </row>
    <row r="5832" s="1" customFormat="1" spans="1:21">
      <c r="A5832" s="1" t="str">
        <f>"4601992216230"</f>
        <v>4601992216230</v>
      </c>
      <c r="B5832" s="1" t="s">
        <v>5855</v>
      </c>
      <c r="C5832" s="1" t="s">
        <v>24</v>
      </c>
      <c r="D5832" s="1" t="str">
        <f t="shared" si="10993"/>
        <v>2021</v>
      </c>
      <c r="E5832" s="1" t="str">
        <f t="shared" ref="E5832:P5832" si="11005">"0"</f>
        <v>0</v>
      </c>
      <c r="F5832" s="1" t="str">
        <f t="shared" si="11005"/>
        <v>0</v>
      </c>
      <c r="G5832" s="1" t="str">
        <f t="shared" si="11005"/>
        <v>0</v>
      </c>
      <c r="H5832" s="1" t="str">
        <f t="shared" si="11005"/>
        <v>0</v>
      </c>
      <c r="I5832" s="1" t="str">
        <f t="shared" si="11005"/>
        <v>0</v>
      </c>
      <c r="J5832" s="1" t="str">
        <f t="shared" si="11005"/>
        <v>0</v>
      </c>
      <c r="K5832" s="1" t="str">
        <f t="shared" si="11005"/>
        <v>0</v>
      </c>
      <c r="L5832" s="1" t="str">
        <f t="shared" si="11005"/>
        <v>0</v>
      </c>
      <c r="M5832" s="1" t="str">
        <f t="shared" si="11005"/>
        <v>0</v>
      </c>
      <c r="N5832" s="1" t="str">
        <f t="shared" si="11005"/>
        <v>0</v>
      </c>
      <c r="O5832" s="1" t="str">
        <f t="shared" si="11005"/>
        <v>0</v>
      </c>
      <c r="P5832" s="1" t="str">
        <f t="shared" si="11005"/>
        <v>0</v>
      </c>
      <c r="Q5832" s="1" t="str">
        <f t="shared" si="10996"/>
        <v>0.0070</v>
      </c>
      <c r="R5832" s="1" t="s">
        <v>25</v>
      </c>
      <c r="T5832" s="1" t="str">
        <f t="shared" si="10997"/>
        <v>0</v>
      </c>
      <c r="U5832" s="1" t="str">
        <f t="shared" si="10908"/>
        <v>0.0070</v>
      </c>
    </row>
    <row r="5833" s="1" customFormat="1" spans="1:21">
      <c r="A5833" s="1" t="str">
        <f>"4601992216252"</f>
        <v>4601992216252</v>
      </c>
      <c r="B5833" s="1" t="s">
        <v>5856</v>
      </c>
      <c r="C5833" s="1" t="s">
        <v>24</v>
      </c>
      <c r="D5833" s="1" t="str">
        <f t="shared" si="10993"/>
        <v>2021</v>
      </c>
      <c r="E5833" s="1" t="str">
        <f t="shared" ref="E5833:P5833" si="11006">"0"</f>
        <v>0</v>
      </c>
      <c r="F5833" s="1" t="str">
        <f t="shared" si="11006"/>
        <v>0</v>
      </c>
      <c r="G5833" s="1" t="str">
        <f t="shared" si="11006"/>
        <v>0</v>
      </c>
      <c r="H5833" s="1" t="str">
        <f t="shared" si="11006"/>
        <v>0</v>
      </c>
      <c r="I5833" s="1" t="str">
        <f t="shared" si="11006"/>
        <v>0</v>
      </c>
      <c r="J5833" s="1" t="str">
        <f t="shared" si="11006"/>
        <v>0</v>
      </c>
      <c r="K5833" s="1" t="str">
        <f t="shared" si="11006"/>
        <v>0</v>
      </c>
      <c r="L5833" s="1" t="str">
        <f t="shared" si="11006"/>
        <v>0</v>
      </c>
      <c r="M5833" s="1" t="str">
        <f t="shared" si="11006"/>
        <v>0</v>
      </c>
      <c r="N5833" s="1" t="str">
        <f t="shared" si="11006"/>
        <v>0</v>
      </c>
      <c r="O5833" s="1" t="str">
        <f t="shared" si="11006"/>
        <v>0</v>
      </c>
      <c r="P5833" s="1" t="str">
        <f t="shared" si="11006"/>
        <v>0</v>
      </c>
      <c r="Q5833" s="1" t="str">
        <f t="shared" si="10996"/>
        <v>0.0070</v>
      </c>
      <c r="R5833" s="1" t="s">
        <v>25</v>
      </c>
      <c r="T5833" s="1" t="str">
        <f t="shared" si="10997"/>
        <v>0</v>
      </c>
      <c r="U5833" s="1" t="str">
        <f t="shared" si="10908"/>
        <v>0.0070</v>
      </c>
    </row>
    <row r="5834" s="1" customFormat="1" spans="1:21">
      <c r="A5834" s="1" t="str">
        <f>"4601992216143"</f>
        <v>4601992216143</v>
      </c>
      <c r="B5834" s="1" t="s">
        <v>5857</v>
      </c>
      <c r="C5834" s="1" t="s">
        <v>24</v>
      </c>
      <c r="D5834" s="1" t="str">
        <f t="shared" si="10993"/>
        <v>2021</v>
      </c>
      <c r="E5834" s="1" t="str">
        <f t="shared" ref="E5834:I5834" si="11007">"0"</f>
        <v>0</v>
      </c>
      <c r="F5834" s="1" t="str">
        <f t="shared" si="11007"/>
        <v>0</v>
      </c>
      <c r="G5834" s="1" t="str">
        <f t="shared" si="11007"/>
        <v>0</v>
      </c>
      <c r="H5834" s="1" t="str">
        <f t="shared" si="11007"/>
        <v>0</v>
      </c>
      <c r="I5834" s="1" t="str">
        <f t="shared" si="11007"/>
        <v>0</v>
      </c>
      <c r="J5834" s="1" t="str">
        <f>"2"</f>
        <v>2</v>
      </c>
      <c r="K5834" s="1" t="str">
        <f t="shared" ref="K5834:P5834" si="11008">"0"</f>
        <v>0</v>
      </c>
      <c r="L5834" s="1" t="str">
        <f t="shared" si="11008"/>
        <v>0</v>
      </c>
      <c r="M5834" s="1" t="str">
        <f t="shared" si="11008"/>
        <v>0</v>
      </c>
      <c r="N5834" s="1" t="str">
        <f t="shared" si="11008"/>
        <v>0</v>
      </c>
      <c r="O5834" s="1" t="str">
        <f t="shared" si="11008"/>
        <v>0</v>
      </c>
      <c r="P5834" s="1" t="str">
        <f t="shared" si="11008"/>
        <v>0</v>
      </c>
      <c r="Q5834" s="1" t="str">
        <f t="shared" si="10996"/>
        <v>0.0070</v>
      </c>
      <c r="R5834" s="1" t="s">
        <v>25</v>
      </c>
      <c r="T5834" s="1" t="str">
        <f t="shared" si="10997"/>
        <v>0</v>
      </c>
      <c r="U5834" s="1" t="str">
        <f t="shared" si="10908"/>
        <v>0.0070</v>
      </c>
    </row>
    <row r="5835" s="1" customFormat="1" spans="1:21">
      <c r="A5835" s="1" t="str">
        <f>"4601992216375"</f>
        <v>4601992216375</v>
      </c>
      <c r="B5835" s="1" t="s">
        <v>5858</v>
      </c>
      <c r="C5835" s="1" t="s">
        <v>24</v>
      </c>
      <c r="D5835" s="1" t="str">
        <f t="shared" si="10993"/>
        <v>2021</v>
      </c>
      <c r="E5835" s="1" t="str">
        <f t="shared" ref="E5835:P5835" si="11009">"0"</f>
        <v>0</v>
      </c>
      <c r="F5835" s="1" t="str">
        <f t="shared" si="11009"/>
        <v>0</v>
      </c>
      <c r="G5835" s="1" t="str">
        <f t="shared" si="11009"/>
        <v>0</v>
      </c>
      <c r="H5835" s="1" t="str">
        <f t="shared" si="11009"/>
        <v>0</v>
      </c>
      <c r="I5835" s="1" t="str">
        <f t="shared" si="11009"/>
        <v>0</v>
      </c>
      <c r="J5835" s="1" t="str">
        <f t="shared" si="11009"/>
        <v>0</v>
      </c>
      <c r="K5835" s="1" t="str">
        <f t="shared" si="11009"/>
        <v>0</v>
      </c>
      <c r="L5835" s="1" t="str">
        <f t="shared" si="11009"/>
        <v>0</v>
      </c>
      <c r="M5835" s="1" t="str">
        <f t="shared" si="11009"/>
        <v>0</v>
      </c>
      <c r="N5835" s="1" t="str">
        <f t="shared" si="11009"/>
        <v>0</v>
      </c>
      <c r="O5835" s="1" t="str">
        <f t="shared" si="11009"/>
        <v>0</v>
      </c>
      <c r="P5835" s="1" t="str">
        <f t="shared" si="11009"/>
        <v>0</v>
      </c>
      <c r="Q5835" s="1" t="str">
        <f t="shared" si="10996"/>
        <v>0.0070</v>
      </c>
      <c r="R5835" s="1" t="s">
        <v>25</v>
      </c>
      <c r="T5835" s="1" t="str">
        <f t="shared" si="10997"/>
        <v>0</v>
      </c>
      <c r="U5835" s="1" t="str">
        <f t="shared" si="10908"/>
        <v>0.0070</v>
      </c>
    </row>
    <row r="5836" s="1" customFormat="1" spans="1:21">
      <c r="A5836" s="1" t="str">
        <f>"4601992216351"</f>
        <v>4601992216351</v>
      </c>
      <c r="B5836" s="1" t="s">
        <v>5859</v>
      </c>
      <c r="C5836" s="1" t="s">
        <v>24</v>
      </c>
      <c r="D5836" s="1" t="str">
        <f t="shared" si="10993"/>
        <v>2021</v>
      </c>
      <c r="E5836" s="1" t="str">
        <f t="shared" ref="E5836:I5836" si="11010">"0"</f>
        <v>0</v>
      </c>
      <c r="F5836" s="1" t="str">
        <f t="shared" si="11010"/>
        <v>0</v>
      </c>
      <c r="G5836" s="1" t="str">
        <f t="shared" si="11010"/>
        <v>0</v>
      </c>
      <c r="H5836" s="1" t="str">
        <f t="shared" si="11010"/>
        <v>0</v>
      </c>
      <c r="I5836" s="1" t="str">
        <f t="shared" si="11010"/>
        <v>0</v>
      </c>
      <c r="J5836" s="1" t="str">
        <f t="shared" ref="J5836:J5841" si="11011">"1"</f>
        <v>1</v>
      </c>
      <c r="K5836" s="1" t="str">
        <f t="shared" ref="K5836:P5836" si="11012">"0"</f>
        <v>0</v>
      </c>
      <c r="L5836" s="1" t="str">
        <f t="shared" si="11012"/>
        <v>0</v>
      </c>
      <c r="M5836" s="1" t="str">
        <f t="shared" si="11012"/>
        <v>0</v>
      </c>
      <c r="N5836" s="1" t="str">
        <f t="shared" si="11012"/>
        <v>0</v>
      </c>
      <c r="O5836" s="1" t="str">
        <f t="shared" si="11012"/>
        <v>0</v>
      </c>
      <c r="P5836" s="1" t="str">
        <f t="shared" si="11012"/>
        <v>0</v>
      </c>
      <c r="Q5836" s="1" t="str">
        <f t="shared" si="10996"/>
        <v>0.0070</v>
      </c>
      <c r="R5836" s="1" t="s">
        <v>25</v>
      </c>
      <c r="T5836" s="1" t="str">
        <f t="shared" si="10997"/>
        <v>0</v>
      </c>
      <c r="U5836" s="1" t="str">
        <f t="shared" si="10908"/>
        <v>0.0070</v>
      </c>
    </row>
    <row r="5837" s="1" customFormat="1" spans="1:21">
      <c r="A5837" s="1" t="str">
        <f>"4601992216400"</f>
        <v>4601992216400</v>
      </c>
      <c r="B5837" s="1" t="s">
        <v>5860</v>
      </c>
      <c r="C5837" s="1" t="s">
        <v>24</v>
      </c>
      <c r="D5837" s="1" t="str">
        <f t="shared" si="10993"/>
        <v>2021</v>
      </c>
      <c r="E5837" s="1" t="str">
        <f t="shared" ref="E5837:I5837" si="11013">"0"</f>
        <v>0</v>
      </c>
      <c r="F5837" s="1" t="str">
        <f t="shared" si="11013"/>
        <v>0</v>
      </c>
      <c r="G5837" s="1" t="str">
        <f t="shared" si="11013"/>
        <v>0</v>
      </c>
      <c r="H5837" s="1" t="str">
        <f t="shared" si="11013"/>
        <v>0</v>
      </c>
      <c r="I5837" s="1" t="str">
        <f t="shared" si="11013"/>
        <v>0</v>
      </c>
      <c r="J5837" s="1" t="str">
        <f t="shared" si="11011"/>
        <v>1</v>
      </c>
      <c r="K5837" s="1" t="str">
        <f t="shared" ref="K5837:P5837" si="11014">"0"</f>
        <v>0</v>
      </c>
      <c r="L5837" s="1" t="str">
        <f t="shared" si="11014"/>
        <v>0</v>
      </c>
      <c r="M5837" s="1" t="str">
        <f t="shared" si="11014"/>
        <v>0</v>
      </c>
      <c r="N5837" s="1" t="str">
        <f t="shared" si="11014"/>
        <v>0</v>
      </c>
      <c r="O5837" s="1" t="str">
        <f t="shared" si="11014"/>
        <v>0</v>
      </c>
      <c r="P5837" s="1" t="str">
        <f t="shared" si="11014"/>
        <v>0</v>
      </c>
      <c r="Q5837" s="1" t="str">
        <f t="shared" si="10996"/>
        <v>0.0070</v>
      </c>
      <c r="R5837" s="1" t="s">
        <v>25</v>
      </c>
      <c r="T5837" s="1" t="str">
        <f t="shared" si="10997"/>
        <v>0</v>
      </c>
      <c r="U5837" s="1" t="str">
        <f t="shared" si="10908"/>
        <v>0.0070</v>
      </c>
    </row>
    <row r="5838" s="1" customFormat="1" spans="1:21">
      <c r="A5838" s="1" t="str">
        <f>"4601992216491"</f>
        <v>4601992216491</v>
      </c>
      <c r="B5838" s="1" t="s">
        <v>5861</v>
      </c>
      <c r="C5838" s="1" t="s">
        <v>24</v>
      </c>
      <c r="D5838" s="1" t="str">
        <f t="shared" si="10993"/>
        <v>2021</v>
      </c>
      <c r="E5838" s="1" t="str">
        <f>"24.90"</f>
        <v>24.90</v>
      </c>
      <c r="F5838" s="1" t="str">
        <f t="shared" ref="F5838:I5838" si="11015">"0"</f>
        <v>0</v>
      </c>
      <c r="G5838" s="1" t="str">
        <f t="shared" si="11015"/>
        <v>0</v>
      </c>
      <c r="H5838" s="1" t="str">
        <f t="shared" si="11015"/>
        <v>0</v>
      </c>
      <c r="I5838" s="1" t="str">
        <f t="shared" si="11015"/>
        <v>0</v>
      </c>
      <c r="J5838" s="1" t="str">
        <f>"3"</f>
        <v>3</v>
      </c>
      <c r="K5838" s="1" t="str">
        <f t="shared" ref="K5838:P5838" si="11016">"0"</f>
        <v>0</v>
      </c>
      <c r="L5838" s="1" t="str">
        <f t="shared" si="11016"/>
        <v>0</v>
      </c>
      <c r="M5838" s="1" t="str">
        <f t="shared" si="11016"/>
        <v>0</v>
      </c>
      <c r="N5838" s="1" t="str">
        <f t="shared" si="11016"/>
        <v>0</v>
      </c>
      <c r="O5838" s="1" t="str">
        <f t="shared" si="11016"/>
        <v>0</v>
      </c>
      <c r="P5838" s="1" t="str">
        <f t="shared" si="11016"/>
        <v>0</v>
      </c>
      <c r="Q5838" s="1" t="str">
        <f t="shared" si="10996"/>
        <v>0.0070</v>
      </c>
      <c r="R5838" s="1" t="s">
        <v>29</v>
      </c>
      <c r="S5838" s="1">
        <v>-0.0014</v>
      </c>
      <c r="T5838" s="1" t="str">
        <f t="shared" si="10997"/>
        <v>0</v>
      </c>
      <c r="U5838" s="1" t="str">
        <f>"0.0056"</f>
        <v>0.0056</v>
      </c>
    </row>
    <row r="5839" s="1" customFormat="1" spans="1:21">
      <c r="A5839" s="1" t="str">
        <f>"4601992216493"</f>
        <v>4601992216493</v>
      </c>
      <c r="B5839" s="1" t="s">
        <v>5862</v>
      </c>
      <c r="C5839" s="1" t="s">
        <v>24</v>
      </c>
      <c r="D5839" s="1" t="str">
        <f t="shared" si="10993"/>
        <v>2021</v>
      </c>
      <c r="E5839" s="1" t="str">
        <f>"37.11"</f>
        <v>37.11</v>
      </c>
      <c r="F5839" s="1" t="str">
        <f t="shared" ref="F5839:I5839" si="11017">"0"</f>
        <v>0</v>
      </c>
      <c r="G5839" s="1" t="str">
        <f t="shared" si="11017"/>
        <v>0</v>
      </c>
      <c r="H5839" s="1" t="str">
        <f t="shared" si="11017"/>
        <v>0</v>
      </c>
      <c r="I5839" s="1" t="str">
        <f t="shared" si="11017"/>
        <v>0</v>
      </c>
      <c r="J5839" s="1" t="str">
        <f>"4"</f>
        <v>4</v>
      </c>
      <c r="K5839" s="1" t="str">
        <f t="shared" ref="K5839:P5839" si="11018">"0"</f>
        <v>0</v>
      </c>
      <c r="L5839" s="1" t="str">
        <f t="shared" si="11018"/>
        <v>0</v>
      </c>
      <c r="M5839" s="1" t="str">
        <f t="shared" si="11018"/>
        <v>0</v>
      </c>
      <c r="N5839" s="1" t="str">
        <f t="shared" si="11018"/>
        <v>0</v>
      </c>
      <c r="O5839" s="1" t="str">
        <f t="shared" si="11018"/>
        <v>0</v>
      </c>
      <c r="P5839" s="1" t="str">
        <f t="shared" si="11018"/>
        <v>0</v>
      </c>
      <c r="Q5839" s="1" t="str">
        <f t="shared" si="10996"/>
        <v>0.0070</v>
      </c>
      <c r="R5839" s="1" t="s">
        <v>29</v>
      </c>
      <c r="S5839" s="1">
        <v>-0.0014</v>
      </c>
      <c r="T5839" s="1" t="str">
        <f t="shared" si="10997"/>
        <v>0</v>
      </c>
      <c r="U5839" s="1" t="str">
        <f>"0.0056"</f>
        <v>0.0056</v>
      </c>
    </row>
    <row r="5840" s="1" customFormat="1" spans="1:21">
      <c r="A5840" s="1" t="str">
        <f>"4601992216677"</f>
        <v>4601992216677</v>
      </c>
      <c r="B5840" s="1" t="s">
        <v>5863</v>
      </c>
      <c r="C5840" s="1" t="s">
        <v>24</v>
      </c>
      <c r="D5840" s="1" t="str">
        <f t="shared" si="10993"/>
        <v>2021</v>
      </c>
      <c r="E5840" s="1" t="str">
        <f t="shared" ref="E5840:P5840" si="11019">"0"</f>
        <v>0</v>
      </c>
      <c r="F5840" s="1" t="str">
        <f t="shared" si="11019"/>
        <v>0</v>
      </c>
      <c r="G5840" s="1" t="str">
        <f t="shared" si="11019"/>
        <v>0</v>
      </c>
      <c r="H5840" s="1" t="str">
        <f t="shared" si="11019"/>
        <v>0</v>
      </c>
      <c r="I5840" s="1" t="str">
        <f t="shared" si="11019"/>
        <v>0</v>
      </c>
      <c r="J5840" s="1" t="str">
        <f t="shared" si="11019"/>
        <v>0</v>
      </c>
      <c r="K5840" s="1" t="str">
        <f t="shared" si="11019"/>
        <v>0</v>
      </c>
      <c r="L5840" s="1" t="str">
        <f t="shared" si="11019"/>
        <v>0</v>
      </c>
      <c r="M5840" s="1" t="str">
        <f t="shared" si="11019"/>
        <v>0</v>
      </c>
      <c r="N5840" s="1" t="str">
        <f t="shared" si="11019"/>
        <v>0</v>
      </c>
      <c r="O5840" s="1" t="str">
        <f t="shared" si="11019"/>
        <v>0</v>
      </c>
      <c r="P5840" s="1" t="str">
        <f t="shared" si="11019"/>
        <v>0</v>
      </c>
      <c r="Q5840" s="1" t="str">
        <f t="shared" si="10996"/>
        <v>0.0070</v>
      </c>
      <c r="R5840" s="1" t="s">
        <v>25</v>
      </c>
      <c r="T5840" s="1" t="str">
        <f t="shared" si="10997"/>
        <v>0</v>
      </c>
      <c r="U5840" s="1" t="str">
        <f t="shared" ref="U5840:U5884" si="11020">"0.0070"</f>
        <v>0.0070</v>
      </c>
    </row>
    <row r="5841" s="1" customFormat="1" spans="1:21">
      <c r="A5841" s="1" t="str">
        <f>"4601992216615"</f>
        <v>4601992216615</v>
      </c>
      <c r="B5841" s="1" t="s">
        <v>5864</v>
      </c>
      <c r="C5841" s="1" t="s">
        <v>24</v>
      </c>
      <c r="D5841" s="1" t="str">
        <f t="shared" si="10993"/>
        <v>2021</v>
      </c>
      <c r="E5841" s="1" t="str">
        <f t="shared" ref="E5841:I5841" si="11021">"0"</f>
        <v>0</v>
      </c>
      <c r="F5841" s="1" t="str">
        <f t="shared" si="11021"/>
        <v>0</v>
      </c>
      <c r="G5841" s="1" t="str">
        <f t="shared" si="11021"/>
        <v>0</v>
      </c>
      <c r="H5841" s="1" t="str">
        <f t="shared" si="11021"/>
        <v>0</v>
      </c>
      <c r="I5841" s="1" t="str">
        <f t="shared" si="11021"/>
        <v>0</v>
      </c>
      <c r="J5841" s="1" t="str">
        <f t="shared" si="11011"/>
        <v>1</v>
      </c>
      <c r="K5841" s="1" t="str">
        <f t="shared" ref="K5841:P5841" si="11022">"0"</f>
        <v>0</v>
      </c>
      <c r="L5841" s="1" t="str">
        <f t="shared" si="11022"/>
        <v>0</v>
      </c>
      <c r="M5841" s="1" t="str">
        <f t="shared" si="11022"/>
        <v>0</v>
      </c>
      <c r="N5841" s="1" t="str">
        <f t="shared" si="11022"/>
        <v>0</v>
      </c>
      <c r="O5841" s="1" t="str">
        <f t="shared" si="11022"/>
        <v>0</v>
      </c>
      <c r="P5841" s="1" t="str">
        <f t="shared" si="11022"/>
        <v>0</v>
      </c>
      <c r="Q5841" s="1" t="str">
        <f t="shared" si="10996"/>
        <v>0.0070</v>
      </c>
      <c r="R5841" s="1" t="s">
        <v>25</v>
      </c>
      <c r="T5841" s="1" t="str">
        <f t="shared" si="10997"/>
        <v>0</v>
      </c>
      <c r="U5841" s="1" t="str">
        <f t="shared" si="11020"/>
        <v>0.0070</v>
      </c>
    </row>
    <row r="5842" s="1" customFormat="1" spans="1:21">
      <c r="A5842" s="1" t="str">
        <f>"4601992216798"</f>
        <v>4601992216798</v>
      </c>
      <c r="B5842" s="1" t="s">
        <v>5865</v>
      </c>
      <c r="C5842" s="1" t="s">
        <v>24</v>
      </c>
      <c r="D5842" s="1" t="str">
        <f t="shared" si="10993"/>
        <v>2021</v>
      </c>
      <c r="E5842" s="1" t="str">
        <f t="shared" ref="E5842:P5842" si="11023">"0"</f>
        <v>0</v>
      </c>
      <c r="F5842" s="1" t="str">
        <f t="shared" si="11023"/>
        <v>0</v>
      </c>
      <c r="G5842" s="1" t="str">
        <f t="shared" si="11023"/>
        <v>0</v>
      </c>
      <c r="H5842" s="1" t="str">
        <f t="shared" si="11023"/>
        <v>0</v>
      </c>
      <c r="I5842" s="1" t="str">
        <f t="shared" si="11023"/>
        <v>0</v>
      </c>
      <c r="J5842" s="1" t="str">
        <f t="shared" si="11023"/>
        <v>0</v>
      </c>
      <c r="K5842" s="1" t="str">
        <f t="shared" si="11023"/>
        <v>0</v>
      </c>
      <c r="L5842" s="1" t="str">
        <f t="shared" si="11023"/>
        <v>0</v>
      </c>
      <c r="M5842" s="1" t="str">
        <f t="shared" si="11023"/>
        <v>0</v>
      </c>
      <c r="N5842" s="1" t="str">
        <f t="shared" si="11023"/>
        <v>0</v>
      </c>
      <c r="O5842" s="1" t="str">
        <f t="shared" si="11023"/>
        <v>0</v>
      </c>
      <c r="P5842" s="1" t="str">
        <f t="shared" si="11023"/>
        <v>0</v>
      </c>
      <c r="Q5842" s="1" t="str">
        <f t="shared" si="10996"/>
        <v>0.0070</v>
      </c>
      <c r="R5842" s="1" t="s">
        <v>25</v>
      </c>
      <c r="T5842" s="1" t="str">
        <f t="shared" si="10997"/>
        <v>0</v>
      </c>
      <c r="U5842" s="1" t="str">
        <f t="shared" si="11020"/>
        <v>0.0070</v>
      </c>
    </row>
    <row r="5843" s="1" customFormat="1" spans="1:21">
      <c r="A5843" s="1" t="str">
        <f>"4601992217215"</f>
        <v>4601992217215</v>
      </c>
      <c r="B5843" s="1" t="s">
        <v>5866</v>
      </c>
      <c r="C5843" s="1" t="s">
        <v>24</v>
      </c>
      <c r="D5843" s="1" t="str">
        <f t="shared" si="10993"/>
        <v>2021</v>
      </c>
      <c r="E5843" s="1" t="str">
        <f t="shared" ref="E5843:I5843" si="11024">"0"</f>
        <v>0</v>
      </c>
      <c r="F5843" s="1" t="str">
        <f t="shared" si="11024"/>
        <v>0</v>
      </c>
      <c r="G5843" s="1" t="str">
        <f t="shared" si="11024"/>
        <v>0</v>
      </c>
      <c r="H5843" s="1" t="str">
        <f t="shared" si="11024"/>
        <v>0</v>
      </c>
      <c r="I5843" s="1" t="str">
        <f t="shared" si="11024"/>
        <v>0</v>
      </c>
      <c r="J5843" s="1" t="str">
        <f t="shared" ref="J5843:J5846" si="11025">"1"</f>
        <v>1</v>
      </c>
      <c r="K5843" s="1" t="str">
        <f t="shared" ref="K5843:P5843" si="11026">"0"</f>
        <v>0</v>
      </c>
      <c r="L5843" s="1" t="str">
        <f t="shared" si="11026"/>
        <v>0</v>
      </c>
      <c r="M5843" s="1" t="str">
        <f t="shared" si="11026"/>
        <v>0</v>
      </c>
      <c r="N5843" s="1" t="str">
        <f t="shared" si="11026"/>
        <v>0</v>
      </c>
      <c r="O5843" s="1" t="str">
        <f t="shared" si="11026"/>
        <v>0</v>
      </c>
      <c r="P5843" s="1" t="str">
        <f t="shared" si="11026"/>
        <v>0</v>
      </c>
      <c r="Q5843" s="1" t="str">
        <f t="shared" si="10996"/>
        <v>0.0070</v>
      </c>
      <c r="R5843" s="1" t="s">
        <v>25</v>
      </c>
      <c r="T5843" s="1" t="str">
        <f t="shared" si="10997"/>
        <v>0</v>
      </c>
      <c r="U5843" s="1" t="str">
        <f t="shared" si="11020"/>
        <v>0.0070</v>
      </c>
    </row>
    <row r="5844" s="1" customFormat="1" spans="1:21">
      <c r="A5844" s="1" t="str">
        <f>"4601992217231"</f>
        <v>4601992217231</v>
      </c>
      <c r="B5844" s="1" t="s">
        <v>5867</v>
      </c>
      <c r="C5844" s="1" t="s">
        <v>24</v>
      </c>
      <c r="D5844" s="1" t="str">
        <f t="shared" si="10993"/>
        <v>2021</v>
      </c>
      <c r="E5844" s="1" t="str">
        <f t="shared" ref="E5844:I5844" si="11027">"0"</f>
        <v>0</v>
      </c>
      <c r="F5844" s="1" t="str">
        <f t="shared" si="11027"/>
        <v>0</v>
      </c>
      <c r="G5844" s="1" t="str">
        <f t="shared" si="11027"/>
        <v>0</v>
      </c>
      <c r="H5844" s="1" t="str">
        <f t="shared" si="11027"/>
        <v>0</v>
      </c>
      <c r="I5844" s="1" t="str">
        <f t="shared" si="11027"/>
        <v>0</v>
      </c>
      <c r="J5844" s="1" t="str">
        <f t="shared" si="11025"/>
        <v>1</v>
      </c>
      <c r="K5844" s="1" t="str">
        <f t="shared" ref="K5844:P5844" si="11028">"0"</f>
        <v>0</v>
      </c>
      <c r="L5844" s="1" t="str">
        <f t="shared" si="11028"/>
        <v>0</v>
      </c>
      <c r="M5844" s="1" t="str">
        <f t="shared" si="11028"/>
        <v>0</v>
      </c>
      <c r="N5844" s="1" t="str">
        <f t="shared" si="11028"/>
        <v>0</v>
      </c>
      <c r="O5844" s="1" t="str">
        <f t="shared" si="11028"/>
        <v>0</v>
      </c>
      <c r="P5844" s="1" t="str">
        <f t="shared" si="11028"/>
        <v>0</v>
      </c>
      <c r="Q5844" s="1" t="str">
        <f t="shared" si="10996"/>
        <v>0.0070</v>
      </c>
      <c r="R5844" s="1" t="s">
        <v>25</v>
      </c>
      <c r="T5844" s="1" t="str">
        <f t="shared" si="10997"/>
        <v>0</v>
      </c>
      <c r="U5844" s="1" t="str">
        <f t="shared" si="11020"/>
        <v>0.0070</v>
      </c>
    </row>
    <row r="5845" s="1" customFormat="1" spans="1:21">
      <c r="A5845" s="1" t="str">
        <f>"4601992217228"</f>
        <v>4601992217228</v>
      </c>
      <c r="B5845" s="1" t="s">
        <v>5868</v>
      </c>
      <c r="C5845" s="1" t="s">
        <v>24</v>
      </c>
      <c r="D5845" s="1" t="str">
        <f t="shared" si="10993"/>
        <v>2021</v>
      </c>
      <c r="E5845" s="1" t="str">
        <f t="shared" ref="E5845:I5845" si="11029">"0"</f>
        <v>0</v>
      </c>
      <c r="F5845" s="1" t="str">
        <f t="shared" si="11029"/>
        <v>0</v>
      </c>
      <c r="G5845" s="1" t="str">
        <f t="shared" si="11029"/>
        <v>0</v>
      </c>
      <c r="H5845" s="1" t="str">
        <f t="shared" si="11029"/>
        <v>0</v>
      </c>
      <c r="I5845" s="1" t="str">
        <f t="shared" si="11029"/>
        <v>0</v>
      </c>
      <c r="J5845" s="1" t="str">
        <f>"3"</f>
        <v>3</v>
      </c>
      <c r="K5845" s="1" t="str">
        <f t="shared" ref="K5845:P5845" si="11030">"0"</f>
        <v>0</v>
      </c>
      <c r="L5845" s="1" t="str">
        <f t="shared" si="11030"/>
        <v>0</v>
      </c>
      <c r="M5845" s="1" t="str">
        <f t="shared" si="11030"/>
        <v>0</v>
      </c>
      <c r="N5845" s="1" t="str">
        <f t="shared" si="11030"/>
        <v>0</v>
      </c>
      <c r="O5845" s="1" t="str">
        <f t="shared" si="11030"/>
        <v>0</v>
      </c>
      <c r="P5845" s="1" t="str">
        <f t="shared" si="11030"/>
        <v>0</v>
      </c>
      <c r="Q5845" s="1" t="str">
        <f t="shared" si="10996"/>
        <v>0.0070</v>
      </c>
      <c r="R5845" s="1" t="s">
        <v>25</v>
      </c>
      <c r="T5845" s="1" t="str">
        <f t="shared" si="10997"/>
        <v>0</v>
      </c>
      <c r="U5845" s="1" t="str">
        <f t="shared" si="11020"/>
        <v>0.0070</v>
      </c>
    </row>
    <row r="5846" s="1" customFormat="1" spans="1:21">
      <c r="A5846" s="1" t="str">
        <f>"4601992217253"</f>
        <v>4601992217253</v>
      </c>
      <c r="B5846" s="1" t="s">
        <v>5869</v>
      </c>
      <c r="C5846" s="1" t="s">
        <v>24</v>
      </c>
      <c r="D5846" s="1" t="str">
        <f t="shared" si="10993"/>
        <v>2021</v>
      </c>
      <c r="E5846" s="1" t="str">
        <f t="shared" ref="E5846:I5846" si="11031">"0"</f>
        <v>0</v>
      </c>
      <c r="F5846" s="1" t="str">
        <f t="shared" si="11031"/>
        <v>0</v>
      </c>
      <c r="G5846" s="1" t="str">
        <f t="shared" si="11031"/>
        <v>0</v>
      </c>
      <c r="H5846" s="1" t="str">
        <f t="shared" si="11031"/>
        <v>0</v>
      </c>
      <c r="I5846" s="1" t="str">
        <f t="shared" si="11031"/>
        <v>0</v>
      </c>
      <c r="J5846" s="1" t="str">
        <f t="shared" si="11025"/>
        <v>1</v>
      </c>
      <c r="K5846" s="1" t="str">
        <f t="shared" ref="K5846:P5846" si="11032">"0"</f>
        <v>0</v>
      </c>
      <c r="L5846" s="1" t="str">
        <f t="shared" si="11032"/>
        <v>0</v>
      </c>
      <c r="M5846" s="1" t="str">
        <f t="shared" si="11032"/>
        <v>0</v>
      </c>
      <c r="N5846" s="1" t="str">
        <f t="shared" si="11032"/>
        <v>0</v>
      </c>
      <c r="O5846" s="1" t="str">
        <f t="shared" si="11032"/>
        <v>0</v>
      </c>
      <c r="P5846" s="1" t="str">
        <f t="shared" si="11032"/>
        <v>0</v>
      </c>
      <c r="Q5846" s="1" t="str">
        <f t="shared" si="10996"/>
        <v>0.0070</v>
      </c>
      <c r="R5846" s="1" t="s">
        <v>25</v>
      </c>
      <c r="T5846" s="1" t="str">
        <f t="shared" si="10997"/>
        <v>0</v>
      </c>
      <c r="U5846" s="1" t="str">
        <f t="shared" si="11020"/>
        <v>0.0070</v>
      </c>
    </row>
    <row r="5847" s="1" customFormat="1" spans="1:21">
      <c r="A5847" s="1" t="str">
        <f>"4601992217272"</f>
        <v>4601992217272</v>
      </c>
      <c r="B5847" s="1" t="s">
        <v>5870</v>
      </c>
      <c r="C5847" s="1" t="s">
        <v>24</v>
      </c>
      <c r="D5847" s="1" t="str">
        <f t="shared" si="10993"/>
        <v>2021</v>
      </c>
      <c r="E5847" s="1" t="str">
        <f t="shared" ref="E5847:P5847" si="11033">"0"</f>
        <v>0</v>
      </c>
      <c r="F5847" s="1" t="str">
        <f t="shared" si="11033"/>
        <v>0</v>
      </c>
      <c r="G5847" s="1" t="str">
        <f t="shared" si="11033"/>
        <v>0</v>
      </c>
      <c r="H5847" s="1" t="str">
        <f t="shared" si="11033"/>
        <v>0</v>
      </c>
      <c r="I5847" s="1" t="str">
        <f t="shared" si="11033"/>
        <v>0</v>
      </c>
      <c r="J5847" s="1" t="str">
        <f t="shared" si="11033"/>
        <v>0</v>
      </c>
      <c r="K5847" s="1" t="str">
        <f t="shared" si="11033"/>
        <v>0</v>
      </c>
      <c r="L5847" s="1" t="str">
        <f t="shared" si="11033"/>
        <v>0</v>
      </c>
      <c r="M5847" s="1" t="str">
        <f t="shared" si="11033"/>
        <v>0</v>
      </c>
      <c r="N5847" s="1" t="str">
        <f t="shared" si="11033"/>
        <v>0</v>
      </c>
      <c r="O5847" s="1" t="str">
        <f t="shared" si="11033"/>
        <v>0</v>
      </c>
      <c r="P5847" s="1" t="str">
        <f t="shared" si="11033"/>
        <v>0</v>
      </c>
      <c r="Q5847" s="1" t="str">
        <f t="shared" si="10996"/>
        <v>0.0070</v>
      </c>
      <c r="R5847" s="1" t="s">
        <v>25</v>
      </c>
      <c r="T5847" s="1" t="str">
        <f t="shared" si="10997"/>
        <v>0</v>
      </c>
      <c r="U5847" s="1" t="str">
        <f t="shared" si="11020"/>
        <v>0.0070</v>
      </c>
    </row>
    <row r="5848" s="1" customFormat="1" spans="1:21">
      <c r="A5848" s="1" t="str">
        <f>"4601992217284"</f>
        <v>4601992217284</v>
      </c>
      <c r="B5848" s="1" t="s">
        <v>5871</v>
      </c>
      <c r="C5848" s="1" t="s">
        <v>24</v>
      </c>
      <c r="D5848" s="1" t="str">
        <f t="shared" si="10993"/>
        <v>2021</v>
      </c>
      <c r="E5848" s="1" t="str">
        <f t="shared" ref="E5848:P5848" si="11034">"0"</f>
        <v>0</v>
      </c>
      <c r="F5848" s="1" t="str">
        <f t="shared" si="11034"/>
        <v>0</v>
      </c>
      <c r="G5848" s="1" t="str">
        <f t="shared" si="11034"/>
        <v>0</v>
      </c>
      <c r="H5848" s="1" t="str">
        <f t="shared" si="11034"/>
        <v>0</v>
      </c>
      <c r="I5848" s="1" t="str">
        <f t="shared" si="11034"/>
        <v>0</v>
      </c>
      <c r="J5848" s="1" t="str">
        <f t="shared" si="11034"/>
        <v>0</v>
      </c>
      <c r="K5848" s="1" t="str">
        <f t="shared" si="11034"/>
        <v>0</v>
      </c>
      <c r="L5848" s="1" t="str">
        <f t="shared" si="11034"/>
        <v>0</v>
      </c>
      <c r="M5848" s="1" t="str">
        <f t="shared" si="11034"/>
        <v>0</v>
      </c>
      <c r="N5848" s="1" t="str">
        <f t="shared" si="11034"/>
        <v>0</v>
      </c>
      <c r="O5848" s="1" t="str">
        <f t="shared" si="11034"/>
        <v>0</v>
      </c>
      <c r="P5848" s="1" t="str">
        <f t="shared" si="11034"/>
        <v>0</v>
      </c>
      <c r="Q5848" s="1" t="str">
        <f t="shared" si="10996"/>
        <v>0.0070</v>
      </c>
      <c r="R5848" s="1" t="s">
        <v>25</v>
      </c>
      <c r="T5848" s="1" t="str">
        <f t="shared" si="10997"/>
        <v>0</v>
      </c>
      <c r="U5848" s="1" t="str">
        <f t="shared" si="11020"/>
        <v>0.0070</v>
      </c>
    </row>
    <row r="5849" s="1" customFormat="1" spans="1:21">
      <c r="A5849" s="1" t="str">
        <f>"4601992217273"</f>
        <v>4601992217273</v>
      </c>
      <c r="B5849" s="1" t="s">
        <v>5872</v>
      </c>
      <c r="C5849" s="1" t="s">
        <v>24</v>
      </c>
      <c r="D5849" s="1" t="str">
        <f t="shared" si="10993"/>
        <v>2021</v>
      </c>
      <c r="E5849" s="1" t="str">
        <f t="shared" ref="E5849:I5849" si="11035">"0"</f>
        <v>0</v>
      </c>
      <c r="F5849" s="1" t="str">
        <f t="shared" si="11035"/>
        <v>0</v>
      </c>
      <c r="G5849" s="1" t="str">
        <f t="shared" si="11035"/>
        <v>0</v>
      </c>
      <c r="H5849" s="1" t="str">
        <f t="shared" si="11035"/>
        <v>0</v>
      </c>
      <c r="I5849" s="1" t="str">
        <f t="shared" si="11035"/>
        <v>0</v>
      </c>
      <c r="J5849" s="1" t="str">
        <f>"1"</f>
        <v>1</v>
      </c>
      <c r="K5849" s="1" t="str">
        <f t="shared" ref="K5849:P5849" si="11036">"0"</f>
        <v>0</v>
      </c>
      <c r="L5849" s="1" t="str">
        <f t="shared" si="11036"/>
        <v>0</v>
      </c>
      <c r="M5849" s="1" t="str">
        <f t="shared" si="11036"/>
        <v>0</v>
      </c>
      <c r="N5849" s="1" t="str">
        <f t="shared" si="11036"/>
        <v>0</v>
      </c>
      <c r="O5849" s="1" t="str">
        <f t="shared" si="11036"/>
        <v>0</v>
      </c>
      <c r="P5849" s="1" t="str">
        <f t="shared" si="11036"/>
        <v>0</v>
      </c>
      <c r="Q5849" s="1" t="str">
        <f t="shared" si="10996"/>
        <v>0.0070</v>
      </c>
      <c r="R5849" s="1" t="s">
        <v>25</v>
      </c>
      <c r="T5849" s="1" t="str">
        <f t="shared" si="10997"/>
        <v>0</v>
      </c>
      <c r="U5849" s="1" t="str">
        <f t="shared" si="11020"/>
        <v>0.0070</v>
      </c>
    </row>
    <row r="5850" s="1" customFormat="1" spans="1:21">
      <c r="A5850" s="1" t="str">
        <f>"4601992217294"</f>
        <v>4601992217294</v>
      </c>
      <c r="B5850" s="1" t="s">
        <v>5873</v>
      </c>
      <c r="C5850" s="1" t="s">
        <v>24</v>
      </c>
      <c r="D5850" s="1" t="str">
        <f t="shared" si="10993"/>
        <v>2021</v>
      </c>
      <c r="E5850" s="1" t="str">
        <f t="shared" ref="E5850:I5850" si="11037">"0"</f>
        <v>0</v>
      </c>
      <c r="F5850" s="1" t="str">
        <f t="shared" si="11037"/>
        <v>0</v>
      </c>
      <c r="G5850" s="1" t="str">
        <f t="shared" si="11037"/>
        <v>0</v>
      </c>
      <c r="H5850" s="1" t="str">
        <f t="shared" si="11037"/>
        <v>0</v>
      </c>
      <c r="I5850" s="1" t="str">
        <f t="shared" si="11037"/>
        <v>0</v>
      </c>
      <c r="J5850" s="1" t="str">
        <f>"1"</f>
        <v>1</v>
      </c>
      <c r="K5850" s="1" t="str">
        <f t="shared" ref="K5850:P5850" si="11038">"0"</f>
        <v>0</v>
      </c>
      <c r="L5850" s="1" t="str">
        <f t="shared" si="11038"/>
        <v>0</v>
      </c>
      <c r="M5850" s="1" t="str">
        <f t="shared" si="11038"/>
        <v>0</v>
      </c>
      <c r="N5850" s="1" t="str">
        <f t="shared" si="11038"/>
        <v>0</v>
      </c>
      <c r="O5850" s="1" t="str">
        <f t="shared" si="11038"/>
        <v>0</v>
      </c>
      <c r="P5850" s="1" t="str">
        <f t="shared" si="11038"/>
        <v>0</v>
      </c>
      <c r="Q5850" s="1" t="str">
        <f t="shared" si="10996"/>
        <v>0.0070</v>
      </c>
      <c r="R5850" s="1" t="s">
        <v>25</v>
      </c>
      <c r="T5850" s="1" t="str">
        <f t="shared" si="10997"/>
        <v>0</v>
      </c>
      <c r="U5850" s="1" t="str">
        <f t="shared" si="11020"/>
        <v>0.0070</v>
      </c>
    </row>
    <row r="5851" s="1" customFormat="1" spans="1:21">
      <c r="A5851" s="1" t="str">
        <f>"4601992217286"</f>
        <v>4601992217286</v>
      </c>
      <c r="B5851" s="1" t="s">
        <v>5874</v>
      </c>
      <c r="C5851" s="1" t="s">
        <v>24</v>
      </c>
      <c r="D5851" s="1" t="str">
        <f t="shared" si="10993"/>
        <v>2021</v>
      </c>
      <c r="E5851" s="1" t="str">
        <f t="shared" ref="E5851:I5851" si="11039">"0"</f>
        <v>0</v>
      </c>
      <c r="F5851" s="1" t="str">
        <f t="shared" si="11039"/>
        <v>0</v>
      </c>
      <c r="G5851" s="1" t="str">
        <f t="shared" si="11039"/>
        <v>0</v>
      </c>
      <c r="H5851" s="1" t="str">
        <f t="shared" si="11039"/>
        <v>0</v>
      </c>
      <c r="I5851" s="1" t="str">
        <f t="shared" si="11039"/>
        <v>0</v>
      </c>
      <c r="J5851" s="1" t="str">
        <f>"2"</f>
        <v>2</v>
      </c>
      <c r="K5851" s="1" t="str">
        <f t="shared" ref="K5851:P5851" si="11040">"0"</f>
        <v>0</v>
      </c>
      <c r="L5851" s="1" t="str">
        <f t="shared" si="11040"/>
        <v>0</v>
      </c>
      <c r="M5851" s="1" t="str">
        <f t="shared" si="11040"/>
        <v>0</v>
      </c>
      <c r="N5851" s="1" t="str">
        <f t="shared" si="11040"/>
        <v>0</v>
      </c>
      <c r="O5851" s="1" t="str">
        <f t="shared" si="11040"/>
        <v>0</v>
      </c>
      <c r="P5851" s="1" t="str">
        <f t="shared" si="11040"/>
        <v>0</v>
      </c>
      <c r="Q5851" s="1" t="str">
        <f t="shared" si="10996"/>
        <v>0.0070</v>
      </c>
      <c r="R5851" s="1" t="s">
        <v>25</v>
      </c>
      <c r="T5851" s="1" t="str">
        <f t="shared" si="10997"/>
        <v>0</v>
      </c>
      <c r="U5851" s="1" t="str">
        <f t="shared" si="11020"/>
        <v>0.0070</v>
      </c>
    </row>
    <row r="5852" s="1" customFormat="1" spans="1:21">
      <c r="A5852" s="1" t="str">
        <f>"4601992217300"</f>
        <v>4601992217300</v>
      </c>
      <c r="B5852" s="1" t="s">
        <v>5875</v>
      </c>
      <c r="C5852" s="1" t="s">
        <v>24</v>
      </c>
      <c r="D5852" s="1" t="str">
        <f t="shared" si="10993"/>
        <v>2021</v>
      </c>
      <c r="E5852" s="1" t="str">
        <f t="shared" ref="E5852:I5852" si="11041">"0"</f>
        <v>0</v>
      </c>
      <c r="F5852" s="1" t="str">
        <f t="shared" si="11041"/>
        <v>0</v>
      </c>
      <c r="G5852" s="1" t="str">
        <f t="shared" si="11041"/>
        <v>0</v>
      </c>
      <c r="H5852" s="1" t="str">
        <f t="shared" si="11041"/>
        <v>0</v>
      </c>
      <c r="I5852" s="1" t="str">
        <f t="shared" si="11041"/>
        <v>0</v>
      </c>
      <c r="J5852" s="1" t="str">
        <f>"2"</f>
        <v>2</v>
      </c>
      <c r="K5852" s="1" t="str">
        <f t="shared" ref="K5852:P5852" si="11042">"0"</f>
        <v>0</v>
      </c>
      <c r="L5852" s="1" t="str">
        <f t="shared" si="11042"/>
        <v>0</v>
      </c>
      <c r="M5852" s="1" t="str">
        <f t="shared" si="11042"/>
        <v>0</v>
      </c>
      <c r="N5852" s="1" t="str">
        <f t="shared" si="11042"/>
        <v>0</v>
      </c>
      <c r="O5852" s="1" t="str">
        <f t="shared" si="11042"/>
        <v>0</v>
      </c>
      <c r="P5852" s="1" t="str">
        <f t="shared" si="11042"/>
        <v>0</v>
      </c>
      <c r="Q5852" s="1" t="str">
        <f t="shared" si="10996"/>
        <v>0.0070</v>
      </c>
      <c r="R5852" s="1" t="s">
        <v>25</v>
      </c>
      <c r="T5852" s="1" t="str">
        <f t="shared" si="10997"/>
        <v>0</v>
      </c>
      <c r="U5852" s="1" t="str">
        <f t="shared" si="11020"/>
        <v>0.0070</v>
      </c>
    </row>
    <row r="5853" s="1" customFormat="1" spans="1:21">
      <c r="A5853" s="1" t="str">
        <f>"4601992217314"</f>
        <v>4601992217314</v>
      </c>
      <c r="B5853" s="1" t="s">
        <v>5876</v>
      </c>
      <c r="C5853" s="1" t="s">
        <v>24</v>
      </c>
      <c r="D5853" s="1" t="str">
        <f t="shared" si="10993"/>
        <v>2021</v>
      </c>
      <c r="E5853" s="1" t="str">
        <f t="shared" ref="E5853:P5853" si="11043">"0"</f>
        <v>0</v>
      </c>
      <c r="F5853" s="1" t="str">
        <f t="shared" si="11043"/>
        <v>0</v>
      </c>
      <c r="G5853" s="1" t="str">
        <f t="shared" si="11043"/>
        <v>0</v>
      </c>
      <c r="H5853" s="1" t="str">
        <f t="shared" si="11043"/>
        <v>0</v>
      </c>
      <c r="I5853" s="1" t="str">
        <f t="shared" si="11043"/>
        <v>0</v>
      </c>
      <c r="J5853" s="1" t="str">
        <f t="shared" si="11043"/>
        <v>0</v>
      </c>
      <c r="K5853" s="1" t="str">
        <f t="shared" si="11043"/>
        <v>0</v>
      </c>
      <c r="L5853" s="1" t="str">
        <f t="shared" si="11043"/>
        <v>0</v>
      </c>
      <c r="M5853" s="1" t="str">
        <f t="shared" si="11043"/>
        <v>0</v>
      </c>
      <c r="N5853" s="1" t="str">
        <f t="shared" si="11043"/>
        <v>0</v>
      </c>
      <c r="O5853" s="1" t="str">
        <f t="shared" si="11043"/>
        <v>0</v>
      </c>
      <c r="P5853" s="1" t="str">
        <f t="shared" si="11043"/>
        <v>0</v>
      </c>
      <c r="Q5853" s="1" t="str">
        <f t="shared" si="10996"/>
        <v>0.0070</v>
      </c>
      <c r="R5853" s="1" t="s">
        <v>25</v>
      </c>
      <c r="T5853" s="1" t="str">
        <f t="shared" si="10997"/>
        <v>0</v>
      </c>
      <c r="U5853" s="1" t="str">
        <f t="shared" si="11020"/>
        <v>0.0070</v>
      </c>
    </row>
    <row r="5854" s="1" customFormat="1" spans="1:21">
      <c r="A5854" s="1" t="str">
        <f>"4601992217359"</f>
        <v>4601992217359</v>
      </c>
      <c r="B5854" s="1" t="s">
        <v>5877</v>
      </c>
      <c r="C5854" s="1" t="s">
        <v>24</v>
      </c>
      <c r="D5854" s="1" t="str">
        <f t="shared" si="10993"/>
        <v>2021</v>
      </c>
      <c r="E5854" s="1" t="str">
        <f t="shared" ref="E5854:P5854" si="11044">"0"</f>
        <v>0</v>
      </c>
      <c r="F5854" s="1" t="str">
        <f t="shared" si="11044"/>
        <v>0</v>
      </c>
      <c r="G5854" s="1" t="str">
        <f t="shared" si="11044"/>
        <v>0</v>
      </c>
      <c r="H5854" s="1" t="str">
        <f t="shared" si="11044"/>
        <v>0</v>
      </c>
      <c r="I5854" s="1" t="str">
        <f t="shared" si="11044"/>
        <v>0</v>
      </c>
      <c r="J5854" s="1" t="str">
        <f t="shared" si="11044"/>
        <v>0</v>
      </c>
      <c r="K5854" s="1" t="str">
        <f t="shared" si="11044"/>
        <v>0</v>
      </c>
      <c r="L5854" s="1" t="str">
        <f t="shared" si="11044"/>
        <v>0</v>
      </c>
      <c r="M5854" s="1" t="str">
        <f t="shared" si="11044"/>
        <v>0</v>
      </c>
      <c r="N5854" s="1" t="str">
        <f t="shared" si="11044"/>
        <v>0</v>
      </c>
      <c r="O5854" s="1" t="str">
        <f t="shared" si="11044"/>
        <v>0</v>
      </c>
      <c r="P5854" s="1" t="str">
        <f t="shared" si="11044"/>
        <v>0</v>
      </c>
      <c r="Q5854" s="1" t="str">
        <f t="shared" si="10996"/>
        <v>0.0070</v>
      </c>
      <c r="R5854" s="1" t="s">
        <v>25</v>
      </c>
      <c r="T5854" s="1" t="str">
        <f t="shared" si="10997"/>
        <v>0</v>
      </c>
      <c r="U5854" s="1" t="str">
        <f t="shared" si="11020"/>
        <v>0.0070</v>
      </c>
    </row>
    <row r="5855" s="1" customFormat="1" spans="1:21">
      <c r="A5855" s="1" t="str">
        <f>"4601992217388"</f>
        <v>4601992217388</v>
      </c>
      <c r="B5855" s="1" t="s">
        <v>5878</v>
      </c>
      <c r="C5855" s="1" t="s">
        <v>24</v>
      </c>
      <c r="D5855" s="1" t="str">
        <f t="shared" si="10993"/>
        <v>2021</v>
      </c>
      <c r="E5855" s="1" t="str">
        <f t="shared" ref="E5855:P5855" si="11045">"0"</f>
        <v>0</v>
      </c>
      <c r="F5855" s="1" t="str">
        <f t="shared" si="11045"/>
        <v>0</v>
      </c>
      <c r="G5855" s="1" t="str">
        <f t="shared" si="11045"/>
        <v>0</v>
      </c>
      <c r="H5855" s="1" t="str">
        <f t="shared" si="11045"/>
        <v>0</v>
      </c>
      <c r="I5855" s="1" t="str">
        <f t="shared" si="11045"/>
        <v>0</v>
      </c>
      <c r="J5855" s="1" t="str">
        <f t="shared" si="11045"/>
        <v>0</v>
      </c>
      <c r="K5855" s="1" t="str">
        <f t="shared" si="11045"/>
        <v>0</v>
      </c>
      <c r="L5855" s="1" t="str">
        <f t="shared" si="11045"/>
        <v>0</v>
      </c>
      <c r="M5855" s="1" t="str">
        <f t="shared" si="11045"/>
        <v>0</v>
      </c>
      <c r="N5855" s="1" t="str">
        <f t="shared" si="11045"/>
        <v>0</v>
      </c>
      <c r="O5855" s="1" t="str">
        <f t="shared" si="11045"/>
        <v>0</v>
      </c>
      <c r="P5855" s="1" t="str">
        <f t="shared" si="11045"/>
        <v>0</v>
      </c>
      <c r="Q5855" s="1" t="str">
        <f t="shared" si="10996"/>
        <v>0.0070</v>
      </c>
      <c r="R5855" s="1" t="s">
        <v>25</v>
      </c>
      <c r="T5855" s="1" t="str">
        <f t="shared" si="10997"/>
        <v>0</v>
      </c>
      <c r="U5855" s="1" t="str">
        <f t="shared" si="11020"/>
        <v>0.0070</v>
      </c>
    </row>
    <row r="5856" s="1" customFormat="1" spans="1:21">
      <c r="A5856" s="1" t="str">
        <f>"4601992217412"</f>
        <v>4601992217412</v>
      </c>
      <c r="B5856" s="1" t="s">
        <v>5879</v>
      </c>
      <c r="C5856" s="1" t="s">
        <v>24</v>
      </c>
      <c r="D5856" s="1" t="str">
        <f t="shared" si="10993"/>
        <v>2021</v>
      </c>
      <c r="E5856" s="1" t="str">
        <f t="shared" ref="E5856:P5856" si="11046">"0"</f>
        <v>0</v>
      </c>
      <c r="F5856" s="1" t="str">
        <f t="shared" si="11046"/>
        <v>0</v>
      </c>
      <c r="G5856" s="1" t="str">
        <f t="shared" si="11046"/>
        <v>0</v>
      </c>
      <c r="H5856" s="1" t="str">
        <f t="shared" si="11046"/>
        <v>0</v>
      </c>
      <c r="I5856" s="1" t="str">
        <f t="shared" si="11046"/>
        <v>0</v>
      </c>
      <c r="J5856" s="1" t="str">
        <f t="shared" si="11046"/>
        <v>0</v>
      </c>
      <c r="K5856" s="1" t="str">
        <f t="shared" si="11046"/>
        <v>0</v>
      </c>
      <c r="L5856" s="1" t="str">
        <f t="shared" si="11046"/>
        <v>0</v>
      </c>
      <c r="M5856" s="1" t="str">
        <f t="shared" si="11046"/>
        <v>0</v>
      </c>
      <c r="N5856" s="1" t="str">
        <f t="shared" si="11046"/>
        <v>0</v>
      </c>
      <c r="O5856" s="1" t="str">
        <f t="shared" si="11046"/>
        <v>0</v>
      </c>
      <c r="P5856" s="1" t="str">
        <f t="shared" si="11046"/>
        <v>0</v>
      </c>
      <c r="Q5856" s="1" t="str">
        <f t="shared" si="10996"/>
        <v>0.0070</v>
      </c>
      <c r="R5856" s="1" t="s">
        <v>25</v>
      </c>
      <c r="T5856" s="1" t="str">
        <f t="shared" si="10997"/>
        <v>0</v>
      </c>
      <c r="U5856" s="1" t="str">
        <f t="shared" si="11020"/>
        <v>0.0070</v>
      </c>
    </row>
    <row r="5857" s="1" customFormat="1" spans="1:21">
      <c r="A5857" s="1" t="str">
        <f>"4601992217343"</f>
        <v>4601992217343</v>
      </c>
      <c r="B5857" s="1" t="s">
        <v>5880</v>
      </c>
      <c r="C5857" s="1" t="s">
        <v>24</v>
      </c>
      <c r="D5857" s="1" t="str">
        <f t="shared" si="10993"/>
        <v>2021</v>
      </c>
      <c r="E5857" s="1" t="str">
        <f t="shared" ref="E5857:I5857" si="11047">"0"</f>
        <v>0</v>
      </c>
      <c r="F5857" s="1" t="str">
        <f t="shared" si="11047"/>
        <v>0</v>
      </c>
      <c r="G5857" s="1" t="str">
        <f t="shared" si="11047"/>
        <v>0</v>
      </c>
      <c r="H5857" s="1" t="str">
        <f t="shared" si="11047"/>
        <v>0</v>
      </c>
      <c r="I5857" s="1" t="str">
        <f t="shared" si="11047"/>
        <v>0</v>
      </c>
      <c r="J5857" s="1" t="str">
        <f>"15"</f>
        <v>15</v>
      </c>
      <c r="K5857" s="1" t="str">
        <f t="shared" ref="K5857:P5857" si="11048">"0"</f>
        <v>0</v>
      </c>
      <c r="L5857" s="1" t="str">
        <f t="shared" si="11048"/>
        <v>0</v>
      </c>
      <c r="M5857" s="1" t="str">
        <f t="shared" si="11048"/>
        <v>0</v>
      </c>
      <c r="N5857" s="1" t="str">
        <f t="shared" si="11048"/>
        <v>0</v>
      </c>
      <c r="O5857" s="1" t="str">
        <f t="shared" si="11048"/>
        <v>0</v>
      </c>
      <c r="P5857" s="1" t="str">
        <f t="shared" si="11048"/>
        <v>0</v>
      </c>
      <c r="Q5857" s="1" t="str">
        <f t="shared" si="10996"/>
        <v>0.0070</v>
      </c>
      <c r="R5857" s="1" t="s">
        <v>25</v>
      </c>
      <c r="T5857" s="1" t="str">
        <f t="shared" si="10997"/>
        <v>0</v>
      </c>
      <c r="U5857" s="1" t="str">
        <f t="shared" si="11020"/>
        <v>0.0070</v>
      </c>
    </row>
    <row r="5858" s="1" customFormat="1" spans="1:21">
      <c r="A5858" s="1" t="str">
        <f>"4601992217538"</f>
        <v>4601992217538</v>
      </c>
      <c r="B5858" s="1" t="s">
        <v>5881</v>
      </c>
      <c r="C5858" s="1" t="s">
        <v>24</v>
      </c>
      <c r="D5858" s="1" t="str">
        <f t="shared" si="10993"/>
        <v>2021</v>
      </c>
      <c r="E5858" s="1" t="str">
        <f t="shared" ref="E5858:P5858" si="11049">"0"</f>
        <v>0</v>
      </c>
      <c r="F5858" s="1" t="str">
        <f t="shared" si="11049"/>
        <v>0</v>
      </c>
      <c r="G5858" s="1" t="str">
        <f t="shared" si="11049"/>
        <v>0</v>
      </c>
      <c r="H5858" s="1" t="str">
        <f t="shared" si="11049"/>
        <v>0</v>
      </c>
      <c r="I5858" s="1" t="str">
        <f t="shared" si="11049"/>
        <v>0</v>
      </c>
      <c r="J5858" s="1" t="str">
        <f t="shared" si="11049"/>
        <v>0</v>
      </c>
      <c r="K5858" s="1" t="str">
        <f t="shared" si="11049"/>
        <v>0</v>
      </c>
      <c r="L5858" s="1" t="str">
        <f t="shared" si="11049"/>
        <v>0</v>
      </c>
      <c r="M5858" s="1" t="str">
        <f t="shared" si="11049"/>
        <v>0</v>
      </c>
      <c r="N5858" s="1" t="str">
        <f t="shared" si="11049"/>
        <v>0</v>
      </c>
      <c r="O5858" s="1" t="str">
        <f t="shared" si="11049"/>
        <v>0</v>
      </c>
      <c r="P5858" s="1" t="str">
        <f t="shared" si="11049"/>
        <v>0</v>
      </c>
      <c r="Q5858" s="1" t="str">
        <f t="shared" si="10996"/>
        <v>0.0070</v>
      </c>
      <c r="R5858" s="1" t="s">
        <v>25</v>
      </c>
      <c r="T5858" s="1" t="str">
        <f t="shared" si="10997"/>
        <v>0</v>
      </c>
      <c r="U5858" s="1" t="str">
        <f t="shared" si="11020"/>
        <v>0.0070</v>
      </c>
    </row>
    <row r="5859" s="1" customFormat="1" spans="1:21">
      <c r="A5859" s="1" t="str">
        <f>"4601992217746"</f>
        <v>4601992217746</v>
      </c>
      <c r="B5859" s="1" t="s">
        <v>5882</v>
      </c>
      <c r="C5859" s="1" t="s">
        <v>24</v>
      </c>
      <c r="D5859" s="1" t="str">
        <f t="shared" si="10993"/>
        <v>2021</v>
      </c>
      <c r="E5859" s="1" t="str">
        <f t="shared" ref="E5859:P5859" si="11050">"0"</f>
        <v>0</v>
      </c>
      <c r="F5859" s="1" t="str">
        <f t="shared" si="11050"/>
        <v>0</v>
      </c>
      <c r="G5859" s="1" t="str">
        <f t="shared" si="11050"/>
        <v>0</v>
      </c>
      <c r="H5859" s="1" t="str">
        <f t="shared" si="11050"/>
        <v>0</v>
      </c>
      <c r="I5859" s="1" t="str">
        <f t="shared" si="11050"/>
        <v>0</v>
      </c>
      <c r="J5859" s="1" t="str">
        <f t="shared" si="11050"/>
        <v>0</v>
      </c>
      <c r="K5859" s="1" t="str">
        <f t="shared" si="11050"/>
        <v>0</v>
      </c>
      <c r="L5859" s="1" t="str">
        <f t="shared" si="11050"/>
        <v>0</v>
      </c>
      <c r="M5859" s="1" t="str">
        <f t="shared" si="11050"/>
        <v>0</v>
      </c>
      <c r="N5859" s="1" t="str">
        <f t="shared" si="11050"/>
        <v>0</v>
      </c>
      <c r="O5859" s="1" t="str">
        <f t="shared" si="11050"/>
        <v>0</v>
      </c>
      <c r="P5859" s="1" t="str">
        <f t="shared" si="11050"/>
        <v>0</v>
      </c>
      <c r="Q5859" s="1" t="str">
        <f t="shared" si="10996"/>
        <v>0.0070</v>
      </c>
      <c r="R5859" s="1" t="s">
        <v>25</v>
      </c>
      <c r="T5859" s="1" t="str">
        <f t="shared" si="10997"/>
        <v>0</v>
      </c>
      <c r="U5859" s="1" t="str">
        <f t="shared" si="11020"/>
        <v>0.0070</v>
      </c>
    </row>
    <row r="5860" s="1" customFormat="1" spans="1:21">
      <c r="A5860" s="1" t="str">
        <f>"4601992217427"</f>
        <v>4601992217427</v>
      </c>
      <c r="B5860" s="1" t="s">
        <v>5883</v>
      </c>
      <c r="C5860" s="1" t="s">
        <v>24</v>
      </c>
      <c r="D5860" s="1" t="str">
        <f t="shared" si="10993"/>
        <v>2021</v>
      </c>
      <c r="E5860" s="1" t="str">
        <f t="shared" ref="E5860:I5860" si="11051">"0"</f>
        <v>0</v>
      </c>
      <c r="F5860" s="1" t="str">
        <f t="shared" si="11051"/>
        <v>0</v>
      </c>
      <c r="G5860" s="1" t="str">
        <f t="shared" si="11051"/>
        <v>0</v>
      </c>
      <c r="H5860" s="1" t="str">
        <f t="shared" si="11051"/>
        <v>0</v>
      </c>
      <c r="I5860" s="1" t="str">
        <f t="shared" si="11051"/>
        <v>0</v>
      </c>
      <c r="J5860" s="1" t="str">
        <f>"1"</f>
        <v>1</v>
      </c>
      <c r="K5860" s="1" t="str">
        <f t="shared" ref="K5860:P5860" si="11052">"0"</f>
        <v>0</v>
      </c>
      <c r="L5860" s="1" t="str">
        <f t="shared" si="11052"/>
        <v>0</v>
      </c>
      <c r="M5860" s="1" t="str">
        <f t="shared" si="11052"/>
        <v>0</v>
      </c>
      <c r="N5860" s="1" t="str">
        <f t="shared" si="11052"/>
        <v>0</v>
      </c>
      <c r="O5860" s="1" t="str">
        <f t="shared" si="11052"/>
        <v>0</v>
      </c>
      <c r="P5860" s="1" t="str">
        <f t="shared" si="11052"/>
        <v>0</v>
      </c>
      <c r="Q5860" s="1" t="str">
        <f t="shared" si="10996"/>
        <v>0.0070</v>
      </c>
      <c r="R5860" s="1" t="s">
        <v>25</v>
      </c>
      <c r="T5860" s="1" t="str">
        <f t="shared" si="10997"/>
        <v>0</v>
      </c>
      <c r="U5860" s="1" t="str">
        <f t="shared" si="11020"/>
        <v>0.0070</v>
      </c>
    </row>
    <row r="5861" s="1" customFormat="1" spans="1:21">
      <c r="A5861" s="1" t="str">
        <f>"4601992217894"</f>
        <v>4601992217894</v>
      </c>
      <c r="B5861" s="1" t="s">
        <v>5884</v>
      </c>
      <c r="C5861" s="1" t="s">
        <v>24</v>
      </c>
      <c r="D5861" s="1" t="str">
        <f t="shared" si="10993"/>
        <v>2021</v>
      </c>
      <c r="E5861" s="1" t="str">
        <f t="shared" ref="E5861:P5861" si="11053">"0"</f>
        <v>0</v>
      </c>
      <c r="F5861" s="1" t="str">
        <f t="shared" si="11053"/>
        <v>0</v>
      </c>
      <c r="G5861" s="1" t="str">
        <f t="shared" si="11053"/>
        <v>0</v>
      </c>
      <c r="H5861" s="1" t="str">
        <f t="shared" si="11053"/>
        <v>0</v>
      </c>
      <c r="I5861" s="1" t="str">
        <f t="shared" si="11053"/>
        <v>0</v>
      </c>
      <c r="J5861" s="1" t="str">
        <f t="shared" si="11053"/>
        <v>0</v>
      </c>
      <c r="K5861" s="1" t="str">
        <f t="shared" si="11053"/>
        <v>0</v>
      </c>
      <c r="L5861" s="1" t="str">
        <f t="shared" si="11053"/>
        <v>0</v>
      </c>
      <c r="M5861" s="1" t="str">
        <f t="shared" si="11053"/>
        <v>0</v>
      </c>
      <c r="N5861" s="1" t="str">
        <f t="shared" si="11053"/>
        <v>0</v>
      </c>
      <c r="O5861" s="1" t="str">
        <f t="shared" si="11053"/>
        <v>0</v>
      </c>
      <c r="P5861" s="1" t="str">
        <f t="shared" si="11053"/>
        <v>0</v>
      </c>
      <c r="Q5861" s="1" t="str">
        <f t="shared" si="10996"/>
        <v>0.0070</v>
      </c>
      <c r="R5861" s="1" t="s">
        <v>25</v>
      </c>
      <c r="T5861" s="1" t="str">
        <f t="shared" si="10997"/>
        <v>0</v>
      </c>
      <c r="U5861" s="1" t="str">
        <f t="shared" si="11020"/>
        <v>0.0070</v>
      </c>
    </row>
    <row r="5862" s="1" customFormat="1" spans="1:21">
      <c r="A5862" s="1" t="str">
        <f>"4601992218046"</f>
        <v>4601992218046</v>
      </c>
      <c r="B5862" s="1" t="s">
        <v>5885</v>
      </c>
      <c r="C5862" s="1" t="s">
        <v>24</v>
      </c>
      <c r="D5862" s="1" t="str">
        <f t="shared" si="10993"/>
        <v>2021</v>
      </c>
      <c r="E5862" s="1" t="str">
        <f t="shared" ref="E5862:P5862" si="11054">"0"</f>
        <v>0</v>
      </c>
      <c r="F5862" s="1" t="str">
        <f t="shared" si="11054"/>
        <v>0</v>
      </c>
      <c r="G5862" s="1" t="str">
        <f t="shared" si="11054"/>
        <v>0</v>
      </c>
      <c r="H5862" s="1" t="str">
        <f t="shared" si="11054"/>
        <v>0</v>
      </c>
      <c r="I5862" s="1" t="str">
        <f t="shared" si="11054"/>
        <v>0</v>
      </c>
      <c r="J5862" s="1" t="str">
        <f t="shared" si="11054"/>
        <v>0</v>
      </c>
      <c r="K5862" s="1" t="str">
        <f t="shared" si="11054"/>
        <v>0</v>
      </c>
      <c r="L5862" s="1" t="str">
        <f t="shared" si="11054"/>
        <v>0</v>
      </c>
      <c r="M5862" s="1" t="str">
        <f t="shared" si="11054"/>
        <v>0</v>
      </c>
      <c r="N5862" s="1" t="str">
        <f t="shared" si="11054"/>
        <v>0</v>
      </c>
      <c r="O5862" s="1" t="str">
        <f t="shared" si="11054"/>
        <v>0</v>
      </c>
      <c r="P5862" s="1" t="str">
        <f t="shared" si="11054"/>
        <v>0</v>
      </c>
      <c r="Q5862" s="1" t="str">
        <f t="shared" si="10996"/>
        <v>0.0070</v>
      </c>
      <c r="R5862" s="1" t="s">
        <v>25</v>
      </c>
      <c r="T5862" s="1" t="str">
        <f t="shared" si="10997"/>
        <v>0</v>
      </c>
      <c r="U5862" s="1" t="str">
        <f t="shared" si="11020"/>
        <v>0.0070</v>
      </c>
    </row>
    <row r="5863" s="1" customFormat="1" spans="1:21">
      <c r="A5863" s="1" t="str">
        <f>"4601992217813"</f>
        <v>4601992217813</v>
      </c>
      <c r="B5863" s="1" t="s">
        <v>5886</v>
      </c>
      <c r="C5863" s="1" t="s">
        <v>24</v>
      </c>
      <c r="D5863" s="1" t="str">
        <f t="shared" si="10993"/>
        <v>2021</v>
      </c>
      <c r="E5863" s="1" t="str">
        <f t="shared" ref="E5863:I5863" si="11055">"0"</f>
        <v>0</v>
      </c>
      <c r="F5863" s="1" t="str">
        <f t="shared" si="11055"/>
        <v>0</v>
      </c>
      <c r="G5863" s="1" t="str">
        <f t="shared" si="11055"/>
        <v>0</v>
      </c>
      <c r="H5863" s="1" t="str">
        <f t="shared" si="11055"/>
        <v>0</v>
      </c>
      <c r="I5863" s="1" t="str">
        <f t="shared" si="11055"/>
        <v>0</v>
      </c>
      <c r="J5863" s="1" t="str">
        <f>"2"</f>
        <v>2</v>
      </c>
      <c r="K5863" s="1" t="str">
        <f t="shared" ref="K5863:P5863" si="11056">"0"</f>
        <v>0</v>
      </c>
      <c r="L5863" s="1" t="str">
        <f t="shared" si="11056"/>
        <v>0</v>
      </c>
      <c r="M5863" s="1" t="str">
        <f t="shared" si="11056"/>
        <v>0</v>
      </c>
      <c r="N5863" s="1" t="str">
        <f t="shared" si="11056"/>
        <v>0</v>
      </c>
      <c r="O5863" s="1" t="str">
        <f t="shared" si="11056"/>
        <v>0</v>
      </c>
      <c r="P5863" s="1" t="str">
        <f t="shared" si="11056"/>
        <v>0</v>
      </c>
      <c r="Q5863" s="1" t="str">
        <f t="shared" si="10996"/>
        <v>0.0070</v>
      </c>
      <c r="R5863" s="1" t="s">
        <v>25</v>
      </c>
      <c r="T5863" s="1" t="str">
        <f t="shared" si="10997"/>
        <v>0</v>
      </c>
      <c r="U5863" s="1" t="str">
        <f t="shared" si="11020"/>
        <v>0.0070</v>
      </c>
    </row>
    <row r="5864" s="1" customFormat="1" spans="1:21">
      <c r="A5864" s="1" t="str">
        <f>"4601992217965"</f>
        <v>4601992217965</v>
      </c>
      <c r="B5864" s="1" t="s">
        <v>5887</v>
      </c>
      <c r="C5864" s="1" t="s">
        <v>24</v>
      </c>
      <c r="D5864" s="1" t="str">
        <f t="shared" si="10993"/>
        <v>2021</v>
      </c>
      <c r="E5864" s="1" t="str">
        <f t="shared" ref="E5864:I5864" si="11057">"0"</f>
        <v>0</v>
      </c>
      <c r="F5864" s="1" t="str">
        <f t="shared" si="11057"/>
        <v>0</v>
      </c>
      <c r="G5864" s="1" t="str">
        <f t="shared" si="11057"/>
        <v>0</v>
      </c>
      <c r="H5864" s="1" t="str">
        <f t="shared" si="11057"/>
        <v>0</v>
      </c>
      <c r="I5864" s="1" t="str">
        <f t="shared" si="11057"/>
        <v>0</v>
      </c>
      <c r="J5864" s="1" t="str">
        <f>"2"</f>
        <v>2</v>
      </c>
      <c r="K5864" s="1" t="str">
        <f t="shared" ref="K5864:P5864" si="11058">"0"</f>
        <v>0</v>
      </c>
      <c r="L5864" s="1" t="str">
        <f t="shared" si="11058"/>
        <v>0</v>
      </c>
      <c r="M5864" s="1" t="str">
        <f t="shared" si="11058"/>
        <v>0</v>
      </c>
      <c r="N5864" s="1" t="str">
        <f t="shared" si="11058"/>
        <v>0</v>
      </c>
      <c r="O5864" s="1" t="str">
        <f t="shared" si="11058"/>
        <v>0</v>
      </c>
      <c r="P5864" s="1" t="str">
        <f t="shared" si="11058"/>
        <v>0</v>
      </c>
      <c r="Q5864" s="1" t="str">
        <f t="shared" si="10996"/>
        <v>0.0070</v>
      </c>
      <c r="R5864" s="1" t="s">
        <v>25</v>
      </c>
      <c r="T5864" s="1" t="str">
        <f t="shared" si="10997"/>
        <v>0</v>
      </c>
      <c r="U5864" s="1" t="str">
        <f t="shared" si="11020"/>
        <v>0.0070</v>
      </c>
    </row>
    <row r="5865" s="1" customFormat="1" spans="1:21">
      <c r="A5865" s="1" t="str">
        <f>"4601992218154"</f>
        <v>4601992218154</v>
      </c>
      <c r="B5865" s="1" t="s">
        <v>5888</v>
      </c>
      <c r="C5865" s="1" t="s">
        <v>24</v>
      </c>
      <c r="D5865" s="1" t="str">
        <f t="shared" si="10993"/>
        <v>2021</v>
      </c>
      <c r="E5865" s="1" t="str">
        <f t="shared" ref="E5865:P5865" si="11059">"0"</f>
        <v>0</v>
      </c>
      <c r="F5865" s="1" t="str">
        <f t="shared" si="11059"/>
        <v>0</v>
      </c>
      <c r="G5865" s="1" t="str">
        <f t="shared" si="11059"/>
        <v>0</v>
      </c>
      <c r="H5865" s="1" t="str">
        <f t="shared" si="11059"/>
        <v>0</v>
      </c>
      <c r="I5865" s="1" t="str">
        <f t="shared" si="11059"/>
        <v>0</v>
      </c>
      <c r="J5865" s="1" t="str">
        <f t="shared" si="11059"/>
        <v>0</v>
      </c>
      <c r="K5865" s="1" t="str">
        <f t="shared" si="11059"/>
        <v>0</v>
      </c>
      <c r="L5865" s="1" t="str">
        <f t="shared" si="11059"/>
        <v>0</v>
      </c>
      <c r="M5865" s="1" t="str">
        <f t="shared" si="11059"/>
        <v>0</v>
      </c>
      <c r="N5865" s="1" t="str">
        <f t="shared" si="11059"/>
        <v>0</v>
      </c>
      <c r="O5865" s="1" t="str">
        <f t="shared" si="11059"/>
        <v>0</v>
      </c>
      <c r="P5865" s="1" t="str">
        <f t="shared" si="11059"/>
        <v>0</v>
      </c>
      <c r="Q5865" s="1" t="str">
        <f t="shared" si="10996"/>
        <v>0.0070</v>
      </c>
      <c r="R5865" s="1" t="s">
        <v>25</v>
      </c>
      <c r="T5865" s="1" t="str">
        <f t="shared" si="10997"/>
        <v>0</v>
      </c>
      <c r="U5865" s="1" t="str">
        <f t="shared" si="11020"/>
        <v>0.0070</v>
      </c>
    </row>
    <row r="5866" s="1" customFormat="1" spans="1:21">
      <c r="A5866" s="1" t="str">
        <f>"4601992218269"</f>
        <v>4601992218269</v>
      </c>
      <c r="B5866" s="1" t="s">
        <v>5889</v>
      </c>
      <c r="C5866" s="1" t="s">
        <v>24</v>
      </c>
      <c r="D5866" s="1" t="str">
        <f t="shared" si="10993"/>
        <v>2021</v>
      </c>
      <c r="E5866" s="1" t="str">
        <f t="shared" ref="E5866:I5866" si="11060">"0"</f>
        <v>0</v>
      </c>
      <c r="F5866" s="1" t="str">
        <f t="shared" si="11060"/>
        <v>0</v>
      </c>
      <c r="G5866" s="1" t="str">
        <f t="shared" si="11060"/>
        <v>0</v>
      </c>
      <c r="H5866" s="1" t="str">
        <f t="shared" si="11060"/>
        <v>0</v>
      </c>
      <c r="I5866" s="1" t="str">
        <f t="shared" si="11060"/>
        <v>0</v>
      </c>
      <c r="J5866" s="1" t="str">
        <f>"6"</f>
        <v>6</v>
      </c>
      <c r="K5866" s="1" t="str">
        <f t="shared" ref="K5866:P5866" si="11061">"0"</f>
        <v>0</v>
      </c>
      <c r="L5866" s="1" t="str">
        <f t="shared" si="11061"/>
        <v>0</v>
      </c>
      <c r="M5866" s="1" t="str">
        <f t="shared" si="11061"/>
        <v>0</v>
      </c>
      <c r="N5866" s="1" t="str">
        <f t="shared" si="11061"/>
        <v>0</v>
      </c>
      <c r="O5866" s="1" t="str">
        <f t="shared" si="11061"/>
        <v>0</v>
      </c>
      <c r="P5866" s="1" t="str">
        <f t="shared" si="11061"/>
        <v>0</v>
      </c>
      <c r="Q5866" s="1" t="str">
        <f t="shared" si="10996"/>
        <v>0.0070</v>
      </c>
      <c r="R5866" s="1" t="s">
        <v>25</v>
      </c>
      <c r="T5866" s="1" t="str">
        <f t="shared" si="10997"/>
        <v>0</v>
      </c>
      <c r="U5866" s="1" t="str">
        <f t="shared" si="11020"/>
        <v>0.0070</v>
      </c>
    </row>
    <row r="5867" s="1" customFormat="1" spans="1:21">
      <c r="A5867" s="1" t="str">
        <f>"4601992218581"</f>
        <v>4601992218581</v>
      </c>
      <c r="B5867" s="1" t="s">
        <v>5890</v>
      </c>
      <c r="C5867" s="1" t="s">
        <v>24</v>
      </c>
      <c r="D5867" s="1" t="str">
        <f t="shared" si="10993"/>
        <v>2021</v>
      </c>
      <c r="E5867" s="1" t="str">
        <f t="shared" ref="E5867:I5867" si="11062">"0"</f>
        <v>0</v>
      </c>
      <c r="F5867" s="1" t="str">
        <f t="shared" si="11062"/>
        <v>0</v>
      </c>
      <c r="G5867" s="1" t="str">
        <f t="shared" si="11062"/>
        <v>0</v>
      </c>
      <c r="H5867" s="1" t="str">
        <f t="shared" si="11062"/>
        <v>0</v>
      </c>
      <c r="I5867" s="1" t="str">
        <f t="shared" si="11062"/>
        <v>0</v>
      </c>
      <c r="J5867" s="1" t="str">
        <f t="shared" ref="J5867:J5872" si="11063">"1"</f>
        <v>1</v>
      </c>
      <c r="K5867" s="1" t="str">
        <f t="shared" ref="K5867:P5867" si="11064">"0"</f>
        <v>0</v>
      </c>
      <c r="L5867" s="1" t="str">
        <f t="shared" si="11064"/>
        <v>0</v>
      </c>
      <c r="M5867" s="1" t="str">
        <f t="shared" si="11064"/>
        <v>0</v>
      </c>
      <c r="N5867" s="1" t="str">
        <f t="shared" si="11064"/>
        <v>0</v>
      </c>
      <c r="O5867" s="1" t="str">
        <f t="shared" si="11064"/>
        <v>0</v>
      </c>
      <c r="P5867" s="1" t="str">
        <f t="shared" si="11064"/>
        <v>0</v>
      </c>
      <c r="Q5867" s="1" t="str">
        <f t="shared" si="10996"/>
        <v>0.0070</v>
      </c>
      <c r="R5867" s="1" t="s">
        <v>25</v>
      </c>
      <c r="T5867" s="1" t="str">
        <f t="shared" si="10997"/>
        <v>0</v>
      </c>
      <c r="U5867" s="1" t="str">
        <f t="shared" si="11020"/>
        <v>0.0070</v>
      </c>
    </row>
    <row r="5868" s="1" customFormat="1" spans="1:21">
      <c r="A5868" s="1" t="str">
        <f>"4601992218589"</f>
        <v>4601992218589</v>
      </c>
      <c r="B5868" s="1" t="s">
        <v>5891</v>
      </c>
      <c r="C5868" s="1" t="s">
        <v>24</v>
      </c>
      <c r="D5868" s="1" t="str">
        <f t="shared" si="10993"/>
        <v>2021</v>
      </c>
      <c r="E5868" s="1" t="str">
        <f t="shared" ref="E5868:I5868" si="11065">"0"</f>
        <v>0</v>
      </c>
      <c r="F5868" s="1" t="str">
        <f t="shared" si="11065"/>
        <v>0</v>
      </c>
      <c r="G5868" s="1" t="str">
        <f t="shared" si="11065"/>
        <v>0</v>
      </c>
      <c r="H5868" s="1" t="str">
        <f t="shared" si="11065"/>
        <v>0</v>
      </c>
      <c r="I5868" s="1" t="str">
        <f t="shared" si="11065"/>
        <v>0</v>
      </c>
      <c r="J5868" s="1" t="str">
        <f t="shared" si="11063"/>
        <v>1</v>
      </c>
      <c r="K5868" s="1" t="str">
        <f t="shared" ref="K5868:P5868" si="11066">"0"</f>
        <v>0</v>
      </c>
      <c r="L5868" s="1" t="str">
        <f t="shared" si="11066"/>
        <v>0</v>
      </c>
      <c r="M5868" s="1" t="str">
        <f t="shared" si="11066"/>
        <v>0</v>
      </c>
      <c r="N5868" s="1" t="str">
        <f t="shared" si="11066"/>
        <v>0</v>
      </c>
      <c r="O5868" s="1" t="str">
        <f t="shared" si="11066"/>
        <v>0</v>
      </c>
      <c r="P5868" s="1" t="str">
        <f t="shared" si="11066"/>
        <v>0</v>
      </c>
      <c r="Q5868" s="1" t="str">
        <f t="shared" si="10996"/>
        <v>0.0070</v>
      </c>
      <c r="R5868" s="1" t="s">
        <v>25</v>
      </c>
      <c r="T5868" s="1" t="str">
        <f t="shared" si="10997"/>
        <v>0</v>
      </c>
      <c r="U5868" s="1" t="str">
        <f t="shared" si="11020"/>
        <v>0.0070</v>
      </c>
    </row>
    <row r="5869" s="1" customFormat="1" spans="1:21">
      <c r="A5869" s="1" t="str">
        <f>"4601992218586"</f>
        <v>4601992218586</v>
      </c>
      <c r="B5869" s="1" t="s">
        <v>5892</v>
      </c>
      <c r="C5869" s="1" t="s">
        <v>24</v>
      </c>
      <c r="D5869" s="1" t="str">
        <f t="shared" si="10993"/>
        <v>2021</v>
      </c>
      <c r="E5869" s="1" t="str">
        <f t="shared" ref="E5869:I5869" si="11067">"0"</f>
        <v>0</v>
      </c>
      <c r="F5869" s="1" t="str">
        <f t="shared" si="11067"/>
        <v>0</v>
      </c>
      <c r="G5869" s="1" t="str">
        <f t="shared" si="11067"/>
        <v>0</v>
      </c>
      <c r="H5869" s="1" t="str">
        <f t="shared" si="11067"/>
        <v>0</v>
      </c>
      <c r="I5869" s="1" t="str">
        <f t="shared" si="11067"/>
        <v>0</v>
      </c>
      <c r="J5869" s="1" t="str">
        <f>"2"</f>
        <v>2</v>
      </c>
      <c r="K5869" s="1" t="str">
        <f t="shared" ref="K5869:P5869" si="11068">"0"</f>
        <v>0</v>
      </c>
      <c r="L5869" s="1" t="str">
        <f t="shared" si="11068"/>
        <v>0</v>
      </c>
      <c r="M5869" s="1" t="str">
        <f t="shared" si="11068"/>
        <v>0</v>
      </c>
      <c r="N5869" s="1" t="str">
        <f t="shared" si="11068"/>
        <v>0</v>
      </c>
      <c r="O5869" s="1" t="str">
        <f t="shared" si="11068"/>
        <v>0</v>
      </c>
      <c r="P5869" s="1" t="str">
        <f t="shared" si="11068"/>
        <v>0</v>
      </c>
      <c r="Q5869" s="1" t="str">
        <f t="shared" si="10996"/>
        <v>0.0070</v>
      </c>
      <c r="R5869" s="1" t="s">
        <v>25</v>
      </c>
      <c r="T5869" s="1" t="str">
        <f t="shared" si="10997"/>
        <v>0</v>
      </c>
      <c r="U5869" s="1" t="str">
        <f t="shared" si="11020"/>
        <v>0.0070</v>
      </c>
    </row>
    <row r="5870" s="1" customFormat="1" spans="1:21">
      <c r="A5870" s="1" t="str">
        <f>"4601992218593"</f>
        <v>4601992218593</v>
      </c>
      <c r="B5870" s="1" t="s">
        <v>5893</v>
      </c>
      <c r="C5870" s="1" t="s">
        <v>24</v>
      </c>
      <c r="D5870" s="1" t="str">
        <f t="shared" si="10993"/>
        <v>2021</v>
      </c>
      <c r="E5870" s="1" t="str">
        <f t="shared" ref="E5870:P5870" si="11069">"0"</f>
        <v>0</v>
      </c>
      <c r="F5870" s="1" t="str">
        <f t="shared" si="11069"/>
        <v>0</v>
      </c>
      <c r="G5870" s="1" t="str">
        <f t="shared" si="11069"/>
        <v>0</v>
      </c>
      <c r="H5870" s="1" t="str">
        <f t="shared" si="11069"/>
        <v>0</v>
      </c>
      <c r="I5870" s="1" t="str">
        <f t="shared" si="11069"/>
        <v>0</v>
      </c>
      <c r="J5870" s="1" t="str">
        <f t="shared" si="11069"/>
        <v>0</v>
      </c>
      <c r="K5870" s="1" t="str">
        <f t="shared" si="11069"/>
        <v>0</v>
      </c>
      <c r="L5870" s="1" t="str">
        <f t="shared" si="11069"/>
        <v>0</v>
      </c>
      <c r="M5870" s="1" t="str">
        <f t="shared" si="11069"/>
        <v>0</v>
      </c>
      <c r="N5870" s="1" t="str">
        <f t="shared" si="11069"/>
        <v>0</v>
      </c>
      <c r="O5870" s="1" t="str">
        <f t="shared" si="11069"/>
        <v>0</v>
      </c>
      <c r="P5870" s="1" t="str">
        <f t="shared" si="11069"/>
        <v>0</v>
      </c>
      <c r="Q5870" s="1" t="str">
        <f t="shared" si="10996"/>
        <v>0.0070</v>
      </c>
      <c r="R5870" s="1" t="s">
        <v>25</v>
      </c>
      <c r="T5870" s="1" t="str">
        <f t="shared" si="10997"/>
        <v>0</v>
      </c>
      <c r="U5870" s="1" t="str">
        <f t="shared" si="11020"/>
        <v>0.0070</v>
      </c>
    </row>
    <row r="5871" s="1" customFormat="1" spans="1:21">
      <c r="A5871" s="1" t="str">
        <f>"4601992218617"</f>
        <v>4601992218617</v>
      </c>
      <c r="B5871" s="1" t="s">
        <v>5894</v>
      </c>
      <c r="C5871" s="1" t="s">
        <v>24</v>
      </c>
      <c r="D5871" s="1" t="str">
        <f t="shared" si="10993"/>
        <v>2021</v>
      </c>
      <c r="E5871" s="1" t="str">
        <f t="shared" ref="E5871:I5871" si="11070">"0"</f>
        <v>0</v>
      </c>
      <c r="F5871" s="1" t="str">
        <f t="shared" si="11070"/>
        <v>0</v>
      </c>
      <c r="G5871" s="1" t="str">
        <f t="shared" si="11070"/>
        <v>0</v>
      </c>
      <c r="H5871" s="1" t="str">
        <f t="shared" si="11070"/>
        <v>0</v>
      </c>
      <c r="I5871" s="1" t="str">
        <f t="shared" si="11070"/>
        <v>0</v>
      </c>
      <c r="J5871" s="1" t="str">
        <f t="shared" si="11063"/>
        <v>1</v>
      </c>
      <c r="K5871" s="1" t="str">
        <f t="shared" ref="K5871:P5871" si="11071">"0"</f>
        <v>0</v>
      </c>
      <c r="L5871" s="1" t="str">
        <f t="shared" si="11071"/>
        <v>0</v>
      </c>
      <c r="M5871" s="1" t="str">
        <f t="shared" si="11071"/>
        <v>0</v>
      </c>
      <c r="N5871" s="1" t="str">
        <f t="shared" si="11071"/>
        <v>0</v>
      </c>
      <c r="O5871" s="1" t="str">
        <f t="shared" si="11071"/>
        <v>0</v>
      </c>
      <c r="P5871" s="1" t="str">
        <f t="shared" si="11071"/>
        <v>0</v>
      </c>
      <c r="Q5871" s="1" t="str">
        <f t="shared" si="10996"/>
        <v>0.0070</v>
      </c>
      <c r="R5871" s="1" t="s">
        <v>25</v>
      </c>
      <c r="T5871" s="1" t="str">
        <f t="shared" si="10997"/>
        <v>0</v>
      </c>
      <c r="U5871" s="1" t="str">
        <f t="shared" si="11020"/>
        <v>0.0070</v>
      </c>
    </row>
    <row r="5872" s="1" customFormat="1" spans="1:21">
      <c r="A5872" s="1" t="str">
        <f>"4601992218643"</f>
        <v>4601992218643</v>
      </c>
      <c r="B5872" s="1" t="s">
        <v>5895</v>
      </c>
      <c r="C5872" s="1" t="s">
        <v>24</v>
      </c>
      <c r="D5872" s="1" t="str">
        <f t="shared" si="10993"/>
        <v>2021</v>
      </c>
      <c r="E5872" s="1" t="str">
        <f t="shared" ref="E5872:I5872" si="11072">"0"</f>
        <v>0</v>
      </c>
      <c r="F5872" s="1" t="str">
        <f t="shared" si="11072"/>
        <v>0</v>
      </c>
      <c r="G5872" s="1" t="str">
        <f t="shared" si="11072"/>
        <v>0</v>
      </c>
      <c r="H5872" s="1" t="str">
        <f t="shared" si="11072"/>
        <v>0</v>
      </c>
      <c r="I5872" s="1" t="str">
        <f t="shared" si="11072"/>
        <v>0</v>
      </c>
      <c r="J5872" s="1" t="str">
        <f t="shared" si="11063"/>
        <v>1</v>
      </c>
      <c r="K5872" s="1" t="str">
        <f t="shared" ref="K5872:P5872" si="11073">"0"</f>
        <v>0</v>
      </c>
      <c r="L5872" s="1" t="str">
        <f t="shared" si="11073"/>
        <v>0</v>
      </c>
      <c r="M5872" s="1" t="str">
        <f t="shared" si="11073"/>
        <v>0</v>
      </c>
      <c r="N5872" s="1" t="str">
        <f t="shared" si="11073"/>
        <v>0</v>
      </c>
      <c r="O5872" s="1" t="str">
        <f t="shared" si="11073"/>
        <v>0</v>
      </c>
      <c r="P5872" s="1" t="str">
        <f t="shared" si="11073"/>
        <v>0</v>
      </c>
      <c r="Q5872" s="1" t="str">
        <f t="shared" si="10996"/>
        <v>0.0070</v>
      </c>
      <c r="R5872" s="1" t="s">
        <v>25</v>
      </c>
      <c r="T5872" s="1" t="str">
        <f t="shared" si="10997"/>
        <v>0</v>
      </c>
      <c r="U5872" s="1" t="str">
        <f t="shared" si="11020"/>
        <v>0.0070</v>
      </c>
    </row>
    <row r="5873" s="1" customFormat="1" spans="1:21">
      <c r="A5873" s="1" t="str">
        <f>"4601992218657"</f>
        <v>4601992218657</v>
      </c>
      <c r="B5873" s="1" t="s">
        <v>5896</v>
      </c>
      <c r="C5873" s="1" t="s">
        <v>24</v>
      </c>
      <c r="D5873" s="1" t="str">
        <f t="shared" si="10993"/>
        <v>2021</v>
      </c>
      <c r="E5873" s="1" t="str">
        <f t="shared" ref="E5873:I5873" si="11074">"0"</f>
        <v>0</v>
      </c>
      <c r="F5873" s="1" t="str">
        <f t="shared" si="11074"/>
        <v>0</v>
      </c>
      <c r="G5873" s="1" t="str">
        <f t="shared" si="11074"/>
        <v>0</v>
      </c>
      <c r="H5873" s="1" t="str">
        <f t="shared" si="11074"/>
        <v>0</v>
      </c>
      <c r="I5873" s="1" t="str">
        <f t="shared" si="11074"/>
        <v>0</v>
      </c>
      <c r="J5873" s="1" t="str">
        <f>"2"</f>
        <v>2</v>
      </c>
      <c r="K5873" s="1" t="str">
        <f t="shared" ref="K5873:P5873" si="11075">"0"</f>
        <v>0</v>
      </c>
      <c r="L5873" s="1" t="str">
        <f t="shared" si="11075"/>
        <v>0</v>
      </c>
      <c r="M5873" s="1" t="str">
        <f t="shared" si="11075"/>
        <v>0</v>
      </c>
      <c r="N5873" s="1" t="str">
        <f t="shared" si="11075"/>
        <v>0</v>
      </c>
      <c r="O5873" s="1" t="str">
        <f t="shared" si="11075"/>
        <v>0</v>
      </c>
      <c r="P5873" s="1" t="str">
        <f t="shared" si="11075"/>
        <v>0</v>
      </c>
      <c r="Q5873" s="1" t="str">
        <f t="shared" si="10996"/>
        <v>0.0070</v>
      </c>
      <c r="R5873" s="1" t="s">
        <v>25</v>
      </c>
      <c r="T5873" s="1" t="str">
        <f t="shared" si="10997"/>
        <v>0</v>
      </c>
      <c r="U5873" s="1" t="str">
        <f t="shared" si="11020"/>
        <v>0.0070</v>
      </c>
    </row>
    <row r="5874" s="1" customFormat="1" spans="1:21">
      <c r="A5874" s="1" t="str">
        <f>"4601992218863"</f>
        <v>4601992218863</v>
      </c>
      <c r="B5874" s="1" t="s">
        <v>5897</v>
      </c>
      <c r="C5874" s="1" t="s">
        <v>24</v>
      </c>
      <c r="D5874" s="1" t="str">
        <f t="shared" si="10993"/>
        <v>2021</v>
      </c>
      <c r="E5874" s="1" t="str">
        <f t="shared" ref="E5874:I5874" si="11076">"0"</f>
        <v>0</v>
      </c>
      <c r="F5874" s="1" t="str">
        <f t="shared" si="11076"/>
        <v>0</v>
      </c>
      <c r="G5874" s="1" t="str">
        <f t="shared" si="11076"/>
        <v>0</v>
      </c>
      <c r="H5874" s="1" t="str">
        <f t="shared" si="11076"/>
        <v>0</v>
      </c>
      <c r="I5874" s="1" t="str">
        <f t="shared" si="11076"/>
        <v>0</v>
      </c>
      <c r="J5874" s="1" t="str">
        <f>"3"</f>
        <v>3</v>
      </c>
      <c r="K5874" s="1" t="str">
        <f t="shared" ref="K5874:P5874" si="11077">"0"</f>
        <v>0</v>
      </c>
      <c r="L5874" s="1" t="str">
        <f t="shared" si="11077"/>
        <v>0</v>
      </c>
      <c r="M5874" s="1" t="str">
        <f t="shared" si="11077"/>
        <v>0</v>
      </c>
      <c r="N5874" s="1" t="str">
        <f t="shared" si="11077"/>
        <v>0</v>
      </c>
      <c r="O5874" s="1" t="str">
        <f t="shared" si="11077"/>
        <v>0</v>
      </c>
      <c r="P5874" s="1" t="str">
        <f t="shared" si="11077"/>
        <v>0</v>
      </c>
      <c r="Q5874" s="1" t="str">
        <f t="shared" si="10996"/>
        <v>0.0070</v>
      </c>
      <c r="R5874" s="1" t="s">
        <v>25</v>
      </c>
      <c r="T5874" s="1" t="str">
        <f t="shared" si="10997"/>
        <v>0</v>
      </c>
      <c r="U5874" s="1" t="str">
        <f t="shared" si="11020"/>
        <v>0.0070</v>
      </c>
    </row>
    <row r="5875" s="1" customFormat="1" spans="1:21">
      <c r="A5875" s="1" t="str">
        <f>"4601992218990"</f>
        <v>4601992218990</v>
      </c>
      <c r="B5875" s="1" t="s">
        <v>5898</v>
      </c>
      <c r="C5875" s="1" t="s">
        <v>24</v>
      </c>
      <c r="D5875" s="1" t="str">
        <f t="shared" si="10993"/>
        <v>2021</v>
      </c>
      <c r="E5875" s="1" t="str">
        <f t="shared" ref="E5875:I5875" si="11078">"0"</f>
        <v>0</v>
      </c>
      <c r="F5875" s="1" t="str">
        <f t="shared" si="11078"/>
        <v>0</v>
      </c>
      <c r="G5875" s="1" t="str">
        <f t="shared" si="11078"/>
        <v>0</v>
      </c>
      <c r="H5875" s="1" t="str">
        <f t="shared" si="11078"/>
        <v>0</v>
      </c>
      <c r="I5875" s="1" t="str">
        <f t="shared" si="11078"/>
        <v>0</v>
      </c>
      <c r="J5875" s="1" t="str">
        <f t="shared" ref="J5875:J5880" si="11079">"1"</f>
        <v>1</v>
      </c>
      <c r="K5875" s="1" t="str">
        <f t="shared" ref="K5875:P5875" si="11080">"0"</f>
        <v>0</v>
      </c>
      <c r="L5875" s="1" t="str">
        <f t="shared" si="11080"/>
        <v>0</v>
      </c>
      <c r="M5875" s="1" t="str">
        <f t="shared" si="11080"/>
        <v>0</v>
      </c>
      <c r="N5875" s="1" t="str">
        <f t="shared" si="11080"/>
        <v>0</v>
      </c>
      <c r="O5875" s="1" t="str">
        <f t="shared" si="11080"/>
        <v>0</v>
      </c>
      <c r="P5875" s="1" t="str">
        <f t="shared" si="11080"/>
        <v>0</v>
      </c>
      <c r="Q5875" s="1" t="str">
        <f t="shared" si="10996"/>
        <v>0.0070</v>
      </c>
      <c r="R5875" s="1" t="s">
        <v>25</v>
      </c>
      <c r="T5875" s="1" t="str">
        <f t="shared" si="10997"/>
        <v>0</v>
      </c>
      <c r="U5875" s="1" t="str">
        <f t="shared" si="11020"/>
        <v>0.0070</v>
      </c>
    </row>
    <row r="5876" s="1" customFormat="1" spans="1:21">
      <c r="A5876" s="1" t="str">
        <f>"4601992219518"</f>
        <v>4601992219518</v>
      </c>
      <c r="B5876" s="1" t="s">
        <v>5899</v>
      </c>
      <c r="C5876" s="1" t="s">
        <v>24</v>
      </c>
      <c r="D5876" s="1" t="str">
        <f t="shared" si="10993"/>
        <v>2021</v>
      </c>
      <c r="E5876" s="1" t="str">
        <f t="shared" ref="E5876:P5876" si="11081">"0"</f>
        <v>0</v>
      </c>
      <c r="F5876" s="1" t="str">
        <f t="shared" si="11081"/>
        <v>0</v>
      </c>
      <c r="G5876" s="1" t="str">
        <f t="shared" si="11081"/>
        <v>0</v>
      </c>
      <c r="H5876" s="1" t="str">
        <f t="shared" si="11081"/>
        <v>0</v>
      </c>
      <c r="I5876" s="1" t="str">
        <f t="shared" si="11081"/>
        <v>0</v>
      </c>
      <c r="J5876" s="1" t="str">
        <f t="shared" si="11081"/>
        <v>0</v>
      </c>
      <c r="K5876" s="1" t="str">
        <f t="shared" si="11081"/>
        <v>0</v>
      </c>
      <c r="L5876" s="1" t="str">
        <f t="shared" si="11081"/>
        <v>0</v>
      </c>
      <c r="M5876" s="1" t="str">
        <f t="shared" si="11081"/>
        <v>0</v>
      </c>
      <c r="N5876" s="1" t="str">
        <f t="shared" si="11081"/>
        <v>0</v>
      </c>
      <c r="O5876" s="1" t="str">
        <f t="shared" si="11081"/>
        <v>0</v>
      </c>
      <c r="P5876" s="1" t="str">
        <f t="shared" si="11081"/>
        <v>0</v>
      </c>
      <c r="Q5876" s="1" t="str">
        <f t="shared" si="10996"/>
        <v>0.0070</v>
      </c>
      <c r="R5876" s="1" t="s">
        <v>25</v>
      </c>
      <c r="T5876" s="1" t="str">
        <f t="shared" si="10997"/>
        <v>0</v>
      </c>
      <c r="U5876" s="1" t="str">
        <f t="shared" si="11020"/>
        <v>0.0070</v>
      </c>
    </row>
    <row r="5877" s="1" customFormat="1" spans="1:21">
      <c r="A5877" s="1" t="str">
        <f>"4601992219054"</f>
        <v>4601992219054</v>
      </c>
      <c r="B5877" s="1" t="s">
        <v>5900</v>
      </c>
      <c r="C5877" s="1" t="s">
        <v>24</v>
      </c>
      <c r="D5877" s="1" t="str">
        <f t="shared" si="10993"/>
        <v>2021</v>
      </c>
      <c r="E5877" s="1" t="str">
        <f t="shared" ref="E5877:I5877" si="11082">"0"</f>
        <v>0</v>
      </c>
      <c r="F5877" s="1" t="str">
        <f t="shared" si="11082"/>
        <v>0</v>
      </c>
      <c r="G5877" s="1" t="str">
        <f t="shared" si="11082"/>
        <v>0</v>
      </c>
      <c r="H5877" s="1" t="str">
        <f t="shared" si="11082"/>
        <v>0</v>
      </c>
      <c r="I5877" s="1" t="str">
        <f t="shared" si="11082"/>
        <v>0</v>
      </c>
      <c r="J5877" s="1" t="str">
        <f t="shared" si="11079"/>
        <v>1</v>
      </c>
      <c r="K5877" s="1" t="str">
        <f t="shared" ref="K5877:P5877" si="11083">"0"</f>
        <v>0</v>
      </c>
      <c r="L5877" s="1" t="str">
        <f t="shared" si="11083"/>
        <v>0</v>
      </c>
      <c r="M5877" s="1" t="str">
        <f t="shared" si="11083"/>
        <v>0</v>
      </c>
      <c r="N5877" s="1" t="str">
        <f t="shared" si="11083"/>
        <v>0</v>
      </c>
      <c r="O5877" s="1" t="str">
        <f t="shared" si="11083"/>
        <v>0</v>
      </c>
      <c r="P5877" s="1" t="str">
        <f t="shared" si="11083"/>
        <v>0</v>
      </c>
      <c r="Q5877" s="1" t="str">
        <f t="shared" si="10996"/>
        <v>0.0070</v>
      </c>
      <c r="R5877" s="1" t="s">
        <v>25</v>
      </c>
      <c r="T5877" s="1" t="str">
        <f t="shared" si="10997"/>
        <v>0</v>
      </c>
      <c r="U5877" s="1" t="str">
        <f t="shared" si="11020"/>
        <v>0.0070</v>
      </c>
    </row>
    <row r="5878" s="1" customFormat="1" spans="1:21">
      <c r="A5878" s="1" t="str">
        <f>"4601992219029"</f>
        <v>4601992219029</v>
      </c>
      <c r="B5878" s="1" t="s">
        <v>5901</v>
      </c>
      <c r="C5878" s="1" t="s">
        <v>24</v>
      </c>
      <c r="D5878" s="1" t="str">
        <f t="shared" si="10993"/>
        <v>2021</v>
      </c>
      <c r="E5878" s="1" t="str">
        <f t="shared" ref="E5878:I5878" si="11084">"0"</f>
        <v>0</v>
      </c>
      <c r="F5878" s="1" t="str">
        <f t="shared" si="11084"/>
        <v>0</v>
      </c>
      <c r="G5878" s="1" t="str">
        <f t="shared" si="11084"/>
        <v>0</v>
      </c>
      <c r="H5878" s="1" t="str">
        <f t="shared" si="11084"/>
        <v>0</v>
      </c>
      <c r="I5878" s="1" t="str">
        <f t="shared" si="11084"/>
        <v>0</v>
      </c>
      <c r="J5878" s="1" t="str">
        <f>"2"</f>
        <v>2</v>
      </c>
      <c r="K5878" s="1" t="str">
        <f t="shared" ref="K5878:P5878" si="11085">"0"</f>
        <v>0</v>
      </c>
      <c r="L5878" s="1" t="str">
        <f t="shared" si="11085"/>
        <v>0</v>
      </c>
      <c r="M5878" s="1" t="str">
        <f t="shared" si="11085"/>
        <v>0</v>
      </c>
      <c r="N5878" s="1" t="str">
        <f t="shared" si="11085"/>
        <v>0</v>
      </c>
      <c r="O5878" s="1" t="str">
        <f t="shared" si="11085"/>
        <v>0</v>
      </c>
      <c r="P5878" s="1" t="str">
        <f t="shared" si="11085"/>
        <v>0</v>
      </c>
      <c r="Q5878" s="1" t="str">
        <f t="shared" si="10996"/>
        <v>0.0070</v>
      </c>
      <c r="R5878" s="1" t="s">
        <v>25</v>
      </c>
      <c r="T5878" s="1" t="str">
        <f t="shared" si="10997"/>
        <v>0</v>
      </c>
      <c r="U5878" s="1" t="str">
        <f t="shared" si="11020"/>
        <v>0.0070</v>
      </c>
    </row>
    <row r="5879" s="1" customFormat="1" spans="1:21">
      <c r="A5879" s="1" t="str">
        <f>"4601992219545"</f>
        <v>4601992219545</v>
      </c>
      <c r="B5879" s="1" t="s">
        <v>5902</v>
      </c>
      <c r="C5879" s="1" t="s">
        <v>24</v>
      </c>
      <c r="D5879" s="1" t="str">
        <f t="shared" si="10993"/>
        <v>2021</v>
      </c>
      <c r="E5879" s="1" t="str">
        <f t="shared" ref="E5879:I5879" si="11086">"0"</f>
        <v>0</v>
      </c>
      <c r="F5879" s="1" t="str">
        <f t="shared" si="11086"/>
        <v>0</v>
      </c>
      <c r="G5879" s="1" t="str">
        <f t="shared" si="11086"/>
        <v>0</v>
      </c>
      <c r="H5879" s="1" t="str">
        <f t="shared" si="11086"/>
        <v>0</v>
      </c>
      <c r="I5879" s="1" t="str">
        <f t="shared" si="11086"/>
        <v>0</v>
      </c>
      <c r="J5879" s="1" t="str">
        <f t="shared" ref="J5879:J5884" si="11087">"3"</f>
        <v>3</v>
      </c>
      <c r="K5879" s="1" t="str">
        <f t="shared" ref="K5879:P5879" si="11088">"0"</f>
        <v>0</v>
      </c>
      <c r="L5879" s="1" t="str">
        <f t="shared" si="11088"/>
        <v>0</v>
      </c>
      <c r="M5879" s="1" t="str">
        <f t="shared" si="11088"/>
        <v>0</v>
      </c>
      <c r="N5879" s="1" t="str">
        <f t="shared" si="11088"/>
        <v>0</v>
      </c>
      <c r="O5879" s="1" t="str">
        <f t="shared" si="11088"/>
        <v>0</v>
      </c>
      <c r="P5879" s="1" t="str">
        <f t="shared" si="11088"/>
        <v>0</v>
      </c>
      <c r="Q5879" s="1" t="str">
        <f t="shared" si="10996"/>
        <v>0.0070</v>
      </c>
      <c r="R5879" s="1" t="s">
        <v>25</v>
      </c>
      <c r="T5879" s="1" t="str">
        <f t="shared" si="10997"/>
        <v>0</v>
      </c>
      <c r="U5879" s="1" t="str">
        <f t="shared" si="11020"/>
        <v>0.0070</v>
      </c>
    </row>
    <row r="5880" s="1" customFormat="1" spans="1:21">
      <c r="A5880" s="1" t="str">
        <f>"4601992219548"</f>
        <v>4601992219548</v>
      </c>
      <c r="B5880" s="1" t="s">
        <v>5903</v>
      </c>
      <c r="C5880" s="1" t="s">
        <v>24</v>
      </c>
      <c r="D5880" s="1" t="str">
        <f t="shared" si="10993"/>
        <v>2021</v>
      </c>
      <c r="E5880" s="1" t="str">
        <f t="shared" ref="E5880:I5880" si="11089">"0"</f>
        <v>0</v>
      </c>
      <c r="F5880" s="1" t="str">
        <f t="shared" si="11089"/>
        <v>0</v>
      </c>
      <c r="G5880" s="1" t="str">
        <f t="shared" si="11089"/>
        <v>0</v>
      </c>
      <c r="H5880" s="1" t="str">
        <f t="shared" si="11089"/>
        <v>0</v>
      </c>
      <c r="I5880" s="1" t="str">
        <f t="shared" si="11089"/>
        <v>0</v>
      </c>
      <c r="J5880" s="1" t="str">
        <f t="shared" si="11079"/>
        <v>1</v>
      </c>
      <c r="K5880" s="1" t="str">
        <f t="shared" ref="K5880:P5880" si="11090">"0"</f>
        <v>0</v>
      </c>
      <c r="L5880" s="1" t="str">
        <f t="shared" si="11090"/>
        <v>0</v>
      </c>
      <c r="M5880" s="1" t="str">
        <f t="shared" si="11090"/>
        <v>0</v>
      </c>
      <c r="N5880" s="1" t="str">
        <f t="shared" si="11090"/>
        <v>0</v>
      </c>
      <c r="O5880" s="1" t="str">
        <f t="shared" si="11090"/>
        <v>0</v>
      </c>
      <c r="P5880" s="1" t="str">
        <f t="shared" si="11090"/>
        <v>0</v>
      </c>
      <c r="Q5880" s="1" t="str">
        <f t="shared" si="10996"/>
        <v>0.0070</v>
      </c>
      <c r="R5880" s="1" t="s">
        <v>25</v>
      </c>
      <c r="T5880" s="1" t="str">
        <f t="shared" si="10997"/>
        <v>0</v>
      </c>
      <c r="U5880" s="1" t="str">
        <f t="shared" si="11020"/>
        <v>0.0070</v>
      </c>
    </row>
    <row r="5881" s="1" customFormat="1" spans="1:21">
      <c r="A5881" s="1" t="str">
        <f>"4601992219599"</f>
        <v>4601992219599</v>
      </c>
      <c r="B5881" s="1" t="s">
        <v>5904</v>
      </c>
      <c r="C5881" s="1" t="s">
        <v>24</v>
      </c>
      <c r="D5881" s="1" t="str">
        <f t="shared" si="10993"/>
        <v>2021</v>
      </c>
      <c r="E5881" s="1" t="str">
        <f t="shared" ref="E5881:I5881" si="11091">"0"</f>
        <v>0</v>
      </c>
      <c r="F5881" s="1" t="str">
        <f t="shared" si="11091"/>
        <v>0</v>
      </c>
      <c r="G5881" s="1" t="str">
        <f t="shared" si="11091"/>
        <v>0</v>
      </c>
      <c r="H5881" s="1" t="str">
        <f t="shared" si="11091"/>
        <v>0</v>
      </c>
      <c r="I5881" s="1" t="str">
        <f t="shared" si="11091"/>
        <v>0</v>
      </c>
      <c r="J5881" s="1" t="str">
        <f t="shared" ref="J5881:J5886" si="11092">"2"</f>
        <v>2</v>
      </c>
      <c r="K5881" s="1" t="str">
        <f t="shared" ref="K5881:P5881" si="11093">"0"</f>
        <v>0</v>
      </c>
      <c r="L5881" s="1" t="str">
        <f t="shared" si="11093"/>
        <v>0</v>
      </c>
      <c r="M5881" s="1" t="str">
        <f t="shared" si="11093"/>
        <v>0</v>
      </c>
      <c r="N5881" s="1" t="str">
        <f t="shared" si="11093"/>
        <v>0</v>
      </c>
      <c r="O5881" s="1" t="str">
        <f t="shared" si="11093"/>
        <v>0</v>
      </c>
      <c r="P5881" s="1" t="str">
        <f t="shared" si="11093"/>
        <v>0</v>
      </c>
      <c r="Q5881" s="1" t="str">
        <f t="shared" si="10996"/>
        <v>0.0070</v>
      </c>
      <c r="R5881" s="1" t="s">
        <v>25</v>
      </c>
      <c r="T5881" s="1" t="str">
        <f t="shared" si="10997"/>
        <v>0</v>
      </c>
      <c r="U5881" s="1" t="str">
        <f t="shared" si="11020"/>
        <v>0.0070</v>
      </c>
    </row>
    <row r="5882" s="1" customFormat="1" spans="1:21">
      <c r="A5882" s="1" t="str">
        <f>"4601992219602"</f>
        <v>4601992219602</v>
      </c>
      <c r="B5882" s="1" t="s">
        <v>5905</v>
      </c>
      <c r="C5882" s="1" t="s">
        <v>24</v>
      </c>
      <c r="D5882" s="1" t="str">
        <f t="shared" si="10993"/>
        <v>2021</v>
      </c>
      <c r="E5882" s="1" t="str">
        <f t="shared" ref="E5882:I5882" si="11094">"0"</f>
        <v>0</v>
      </c>
      <c r="F5882" s="1" t="str">
        <f t="shared" si="11094"/>
        <v>0</v>
      </c>
      <c r="G5882" s="1" t="str">
        <f t="shared" si="11094"/>
        <v>0</v>
      </c>
      <c r="H5882" s="1" t="str">
        <f t="shared" si="11094"/>
        <v>0</v>
      </c>
      <c r="I5882" s="1" t="str">
        <f t="shared" si="11094"/>
        <v>0</v>
      </c>
      <c r="J5882" s="1" t="str">
        <f t="shared" si="11087"/>
        <v>3</v>
      </c>
      <c r="K5882" s="1" t="str">
        <f t="shared" ref="K5882:P5882" si="11095">"0"</f>
        <v>0</v>
      </c>
      <c r="L5882" s="1" t="str">
        <f t="shared" si="11095"/>
        <v>0</v>
      </c>
      <c r="M5882" s="1" t="str">
        <f t="shared" si="11095"/>
        <v>0</v>
      </c>
      <c r="N5882" s="1" t="str">
        <f t="shared" si="11095"/>
        <v>0</v>
      </c>
      <c r="O5882" s="1" t="str">
        <f t="shared" si="11095"/>
        <v>0</v>
      </c>
      <c r="P5882" s="1" t="str">
        <f t="shared" si="11095"/>
        <v>0</v>
      </c>
      <c r="Q5882" s="1" t="str">
        <f t="shared" si="10996"/>
        <v>0.0070</v>
      </c>
      <c r="R5882" s="1" t="s">
        <v>25</v>
      </c>
      <c r="T5882" s="1" t="str">
        <f t="shared" si="10997"/>
        <v>0</v>
      </c>
      <c r="U5882" s="1" t="str">
        <f t="shared" si="11020"/>
        <v>0.0070</v>
      </c>
    </row>
    <row r="5883" s="1" customFormat="1" spans="1:21">
      <c r="A5883" s="1" t="str">
        <f>"4601992219610"</f>
        <v>4601992219610</v>
      </c>
      <c r="B5883" s="1" t="s">
        <v>5906</v>
      </c>
      <c r="C5883" s="1" t="s">
        <v>24</v>
      </c>
      <c r="D5883" s="1" t="str">
        <f t="shared" si="10993"/>
        <v>2021</v>
      </c>
      <c r="E5883" s="1" t="str">
        <f t="shared" ref="E5883:I5883" si="11096">"0"</f>
        <v>0</v>
      </c>
      <c r="F5883" s="1" t="str">
        <f t="shared" si="11096"/>
        <v>0</v>
      </c>
      <c r="G5883" s="1" t="str">
        <f t="shared" si="11096"/>
        <v>0</v>
      </c>
      <c r="H5883" s="1" t="str">
        <f t="shared" si="11096"/>
        <v>0</v>
      </c>
      <c r="I5883" s="1" t="str">
        <f t="shared" si="11096"/>
        <v>0</v>
      </c>
      <c r="J5883" s="1" t="str">
        <f>"5"</f>
        <v>5</v>
      </c>
      <c r="K5883" s="1" t="str">
        <f t="shared" ref="K5883:P5883" si="11097">"0"</f>
        <v>0</v>
      </c>
      <c r="L5883" s="1" t="str">
        <f t="shared" si="11097"/>
        <v>0</v>
      </c>
      <c r="M5883" s="1" t="str">
        <f t="shared" si="11097"/>
        <v>0</v>
      </c>
      <c r="N5883" s="1" t="str">
        <f t="shared" si="11097"/>
        <v>0</v>
      </c>
      <c r="O5883" s="1" t="str">
        <f t="shared" si="11097"/>
        <v>0</v>
      </c>
      <c r="P5883" s="1" t="str">
        <f t="shared" si="11097"/>
        <v>0</v>
      </c>
      <c r="Q5883" s="1" t="str">
        <f t="shared" si="10996"/>
        <v>0.0070</v>
      </c>
      <c r="R5883" s="1" t="s">
        <v>25</v>
      </c>
      <c r="T5883" s="1" t="str">
        <f t="shared" si="10997"/>
        <v>0</v>
      </c>
      <c r="U5883" s="1" t="str">
        <f t="shared" si="11020"/>
        <v>0.0070</v>
      </c>
    </row>
    <row r="5884" s="1" customFormat="1" spans="1:21">
      <c r="A5884" s="1" t="str">
        <f>"4601992219614"</f>
        <v>4601992219614</v>
      </c>
      <c r="B5884" s="1" t="s">
        <v>5907</v>
      </c>
      <c r="C5884" s="1" t="s">
        <v>24</v>
      </c>
      <c r="D5884" s="1" t="str">
        <f t="shared" si="10993"/>
        <v>2021</v>
      </c>
      <c r="E5884" s="1" t="str">
        <f t="shared" ref="E5884:I5884" si="11098">"0"</f>
        <v>0</v>
      </c>
      <c r="F5884" s="1" t="str">
        <f t="shared" si="11098"/>
        <v>0</v>
      </c>
      <c r="G5884" s="1" t="str">
        <f t="shared" si="11098"/>
        <v>0</v>
      </c>
      <c r="H5884" s="1" t="str">
        <f t="shared" si="11098"/>
        <v>0</v>
      </c>
      <c r="I5884" s="1" t="str">
        <f t="shared" si="11098"/>
        <v>0</v>
      </c>
      <c r="J5884" s="1" t="str">
        <f t="shared" si="11087"/>
        <v>3</v>
      </c>
      <c r="K5884" s="1" t="str">
        <f t="shared" ref="K5884:P5884" si="11099">"0"</f>
        <v>0</v>
      </c>
      <c r="L5884" s="1" t="str">
        <f t="shared" si="11099"/>
        <v>0</v>
      </c>
      <c r="M5884" s="1" t="str">
        <f t="shared" si="11099"/>
        <v>0</v>
      </c>
      <c r="N5884" s="1" t="str">
        <f t="shared" si="11099"/>
        <v>0</v>
      </c>
      <c r="O5884" s="1" t="str">
        <f t="shared" si="11099"/>
        <v>0</v>
      </c>
      <c r="P5884" s="1" t="str">
        <f t="shared" si="11099"/>
        <v>0</v>
      </c>
      <c r="Q5884" s="1" t="str">
        <f t="shared" si="10996"/>
        <v>0.0070</v>
      </c>
      <c r="R5884" s="1" t="s">
        <v>25</v>
      </c>
      <c r="T5884" s="1" t="str">
        <f t="shared" si="10997"/>
        <v>0</v>
      </c>
      <c r="U5884" s="1" t="str">
        <f t="shared" si="11020"/>
        <v>0.0070</v>
      </c>
    </row>
    <row r="5885" s="1" customFormat="1" spans="1:21">
      <c r="A5885" s="1" t="str">
        <f>"4601992219656"</f>
        <v>4601992219656</v>
      </c>
      <c r="B5885" s="1" t="s">
        <v>5908</v>
      </c>
      <c r="C5885" s="1" t="s">
        <v>24</v>
      </c>
      <c r="D5885" s="1" t="str">
        <f t="shared" si="10993"/>
        <v>2021</v>
      </c>
      <c r="E5885" s="1" t="str">
        <f>"25.12"</f>
        <v>25.12</v>
      </c>
      <c r="F5885" s="1" t="str">
        <f t="shared" ref="F5885:I5885" si="11100">"0"</f>
        <v>0</v>
      </c>
      <c r="G5885" s="1" t="str">
        <f t="shared" si="11100"/>
        <v>0</v>
      </c>
      <c r="H5885" s="1" t="str">
        <f t="shared" si="11100"/>
        <v>0</v>
      </c>
      <c r="I5885" s="1" t="str">
        <f t="shared" si="11100"/>
        <v>0</v>
      </c>
      <c r="J5885" s="1" t="str">
        <f t="shared" si="11092"/>
        <v>2</v>
      </c>
      <c r="K5885" s="1" t="str">
        <f t="shared" ref="K5885:P5885" si="11101">"0"</f>
        <v>0</v>
      </c>
      <c r="L5885" s="1" t="str">
        <f t="shared" si="11101"/>
        <v>0</v>
      </c>
      <c r="M5885" s="1" t="str">
        <f t="shared" si="11101"/>
        <v>0</v>
      </c>
      <c r="N5885" s="1" t="str">
        <f t="shared" si="11101"/>
        <v>0</v>
      </c>
      <c r="O5885" s="1" t="str">
        <f t="shared" si="11101"/>
        <v>0</v>
      </c>
      <c r="P5885" s="1" t="str">
        <f t="shared" si="11101"/>
        <v>0</v>
      </c>
      <c r="Q5885" s="1" t="str">
        <f t="shared" si="10996"/>
        <v>0.0070</v>
      </c>
      <c r="R5885" s="1" t="s">
        <v>29</v>
      </c>
      <c r="S5885" s="1">
        <v>-0.0014</v>
      </c>
      <c r="T5885" s="1" t="str">
        <f t="shared" si="10997"/>
        <v>0</v>
      </c>
      <c r="U5885" s="1" t="str">
        <f>"0.0056"</f>
        <v>0.0056</v>
      </c>
    </row>
    <row r="5886" s="1" customFormat="1" spans="1:21">
      <c r="A5886" s="1" t="str">
        <f>"4601992219620"</f>
        <v>4601992219620</v>
      </c>
      <c r="B5886" s="1" t="s">
        <v>5909</v>
      </c>
      <c r="C5886" s="1" t="s">
        <v>24</v>
      </c>
      <c r="D5886" s="1" t="str">
        <f t="shared" si="10993"/>
        <v>2021</v>
      </c>
      <c r="E5886" s="1" t="str">
        <f t="shared" ref="E5886:I5886" si="11102">"0"</f>
        <v>0</v>
      </c>
      <c r="F5886" s="1" t="str">
        <f t="shared" si="11102"/>
        <v>0</v>
      </c>
      <c r="G5886" s="1" t="str">
        <f t="shared" si="11102"/>
        <v>0</v>
      </c>
      <c r="H5886" s="1" t="str">
        <f t="shared" si="11102"/>
        <v>0</v>
      </c>
      <c r="I5886" s="1" t="str">
        <f t="shared" si="11102"/>
        <v>0</v>
      </c>
      <c r="J5886" s="1" t="str">
        <f t="shared" si="11092"/>
        <v>2</v>
      </c>
      <c r="K5886" s="1" t="str">
        <f t="shared" ref="K5886:P5886" si="11103">"0"</f>
        <v>0</v>
      </c>
      <c r="L5886" s="1" t="str">
        <f t="shared" si="11103"/>
        <v>0</v>
      </c>
      <c r="M5886" s="1" t="str">
        <f t="shared" si="11103"/>
        <v>0</v>
      </c>
      <c r="N5886" s="1" t="str">
        <f t="shared" si="11103"/>
        <v>0</v>
      </c>
      <c r="O5886" s="1" t="str">
        <f t="shared" si="11103"/>
        <v>0</v>
      </c>
      <c r="P5886" s="1" t="str">
        <f t="shared" si="11103"/>
        <v>0</v>
      </c>
      <c r="Q5886" s="1" t="str">
        <f t="shared" si="10996"/>
        <v>0.0070</v>
      </c>
      <c r="R5886" s="1" t="s">
        <v>25</v>
      </c>
      <c r="T5886" s="1" t="str">
        <f t="shared" si="10997"/>
        <v>0</v>
      </c>
      <c r="U5886" s="1" t="str">
        <f t="shared" ref="U5886:U5901" si="11104">"0.0070"</f>
        <v>0.0070</v>
      </c>
    </row>
    <row r="5887" s="1" customFormat="1" spans="1:21">
      <c r="A5887" s="1" t="str">
        <f>"4601992219855"</f>
        <v>4601992219855</v>
      </c>
      <c r="B5887" s="1" t="s">
        <v>5910</v>
      </c>
      <c r="C5887" s="1" t="s">
        <v>24</v>
      </c>
      <c r="D5887" s="1" t="str">
        <f t="shared" si="10993"/>
        <v>2021</v>
      </c>
      <c r="E5887" s="1" t="str">
        <f t="shared" ref="E5887:P5887" si="11105">"0"</f>
        <v>0</v>
      </c>
      <c r="F5887" s="1" t="str">
        <f t="shared" si="11105"/>
        <v>0</v>
      </c>
      <c r="G5887" s="1" t="str">
        <f t="shared" si="11105"/>
        <v>0</v>
      </c>
      <c r="H5887" s="1" t="str">
        <f t="shared" si="11105"/>
        <v>0</v>
      </c>
      <c r="I5887" s="1" t="str">
        <f t="shared" si="11105"/>
        <v>0</v>
      </c>
      <c r="J5887" s="1" t="str">
        <f t="shared" si="11105"/>
        <v>0</v>
      </c>
      <c r="K5887" s="1" t="str">
        <f t="shared" si="11105"/>
        <v>0</v>
      </c>
      <c r="L5887" s="1" t="str">
        <f t="shared" si="11105"/>
        <v>0</v>
      </c>
      <c r="M5887" s="1" t="str">
        <f t="shared" si="11105"/>
        <v>0</v>
      </c>
      <c r="N5887" s="1" t="str">
        <f t="shared" si="11105"/>
        <v>0</v>
      </c>
      <c r="O5887" s="1" t="str">
        <f t="shared" si="11105"/>
        <v>0</v>
      </c>
      <c r="P5887" s="1" t="str">
        <f t="shared" si="11105"/>
        <v>0</v>
      </c>
      <c r="Q5887" s="1" t="str">
        <f t="shared" si="10996"/>
        <v>0.0070</v>
      </c>
      <c r="R5887" s="1" t="s">
        <v>25</v>
      </c>
      <c r="T5887" s="1" t="str">
        <f t="shared" si="10997"/>
        <v>0</v>
      </c>
      <c r="U5887" s="1" t="str">
        <f t="shared" si="11104"/>
        <v>0.0070</v>
      </c>
    </row>
    <row r="5888" s="1" customFormat="1" spans="1:21">
      <c r="A5888" s="1" t="str">
        <f>"4601992219661"</f>
        <v>4601992219661</v>
      </c>
      <c r="B5888" s="1" t="s">
        <v>5911</v>
      </c>
      <c r="C5888" s="1" t="s">
        <v>24</v>
      </c>
      <c r="D5888" s="1" t="str">
        <f t="shared" si="10993"/>
        <v>2021</v>
      </c>
      <c r="E5888" s="1" t="str">
        <f t="shared" ref="E5888:I5888" si="11106">"0"</f>
        <v>0</v>
      </c>
      <c r="F5888" s="1" t="str">
        <f t="shared" si="11106"/>
        <v>0</v>
      </c>
      <c r="G5888" s="1" t="str">
        <f t="shared" si="11106"/>
        <v>0</v>
      </c>
      <c r="H5888" s="1" t="str">
        <f t="shared" si="11106"/>
        <v>0</v>
      </c>
      <c r="I5888" s="1" t="str">
        <f t="shared" si="11106"/>
        <v>0</v>
      </c>
      <c r="J5888" s="1" t="str">
        <f>"1"</f>
        <v>1</v>
      </c>
      <c r="K5888" s="1" t="str">
        <f t="shared" ref="K5888:P5888" si="11107">"0"</f>
        <v>0</v>
      </c>
      <c r="L5888" s="1" t="str">
        <f t="shared" si="11107"/>
        <v>0</v>
      </c>
      <c r="M5888" s="1" t="str">
        <f t="shared" si="11107"/>
        <v>0</v>
      </c>
      <c r="N5888" s="1" t="str">
        <f t="shared" si="11107"/>
        <v>0</v>
      </c>
      <c r="O5888" s="1" t="str">
        <f t="shared" si="11107"/>
        <v>0</v>
      </c>
      <c r="P5888" s="1" t="str">
        <f t="shared" si="11107"/>
        <v>0</v>
      </c>
      <c r="Q5888" s="1" t="str">
        <f t="shared" si="10996"/>
        <v>0.0070</v>
      </c>
      <c r="R5888" s="1" t="s">
        <v>25</v>
      </c>
      <c r="T5888" s="1" t="str">
        <f t="shared" si="10997"/>
        <v>0</v>
      </c>
      <c r="U5888" s="1" t="str">
        <f t="shared" si="11104"/>
        <v>0.0070</v>
      </c>
    </row>
    <row r="5889" s="1" customFormat="1" spans="1:21">
      <c r="A5889" s="1" t="str">
        <f>"4601992220007"</f>
        <v>4601992220007</v>
      </c>
      <c r="B5889" s="1" t="s">
        <v>5912</v>
      </c>
      <c r="C5889" s="1" t="s">
        <v>24</v>
      </c>
      <c r="D5889" s="1" t="str">
        <f t="shared" si="10993"/>
        <v>2021</v>
      </c>
      <c r="E5889" s="1" t="str">
        <f t="shared" ref="E5889:P5889" si="11108">"0"</f>
        <v>0</v>
      </c>
      <c r="F5889" s="1" t="str">
        <f t="shared" si="11108"/>
        <v>0</v>
      </c>
      <c r="G5889" s="1" t="str">
        <f t="shared" si="11108"/>
        <v>0</v>
      </c>
      <c r="H5889" s="1" t="str">
        <f t="shared" si="11108"/>
        <v>0</v>
      </c>
      <c r="I5889" s="1" t="str">
        <f t="shared" si="11108"/>
        <v>0</v>
      </c>
      <c r="J5889" s="1" t="str">
        <f t="shared" si="11108"/>
        <v>0</v>
      </c>
      <c r="K5889" s="1" t="str">
        <f t="shared" si="11108"/>
        <v>0</v>
      </c>
      <c r="L5889" s="1" t="str">
        <f t="shared" si="11108"/>
        <v>0</v>
      </c>
      <c r="M5889" s="1" t="str">
        <f t="shared" si="11108"/>
        <v>0</v>
      </c>
      <c r="N5889" s="1" t="str">
        <f t="shared" si="11108"/>
        <v>0</v>
      </c>
      <c r="O5889" s="1" t="str">
        <f t="shared" si="11108"/>
        <v>0</v>
      </c>
      <c r="P5889" s="1" t="str">
        <f t="shared" si="11108"/>
        <v>0</v>
      </c>
      <c r="Q5889" s="1" t="str">
        <f t="shared" si="10996"/>
        <v>0.0070</v>
      </c>
      <c r="R5889" s="1" t="s">
        <v>25</v>
      </c>
      <c r="T5889" s="1" t="str">
        <f t="shared" si="10997"/>
        <v>0</v>
      </c>
      <c r="U5889" s="1" t="str">
        <f t="shared" si="11104"/>
        <v>0.0070</v>
      </c>
    </row>
    <row r="5890" s="1" customFormat="1" spans="1:21">
      <c r="A5890" s="1" t="str">
        <f>"4601992219676"</f>
        <v>4601992219676</v>
      </c>
      <c r="B5890" s="1" t="s">
        <v>5913</v>
      </c>
      <c r="C5890" s="1" t="s">
        <v>24</v>
      </c>
      <c r="D5890" s="1" t="str">
        <f t="shared" si="10993"/>
        <v>2021</v>
      </c>
      <c r="E5890" s="1" t="str">
        <f t="shared" ref="E5890:I5890" si="11109">"0"</f>
        <v>0</v>
      </c>
      <c r="F5890" s="1" t="str">
        <f t="shared" si="11109"/>
        <v>0</v>
      </c>
      <c r="G5890" s="1" t="str">
        <f t="shared" si="11109"/>
        <v>0</v>
      </c>
      <c r="H5890" s="1" t="str">
        <f t="shared" si="11109"/>
        <v>0</v>
      </c>
      <c r="I5890" s="1" t="str">
        <f t="shared" si="11109"/>
        <v>0</v>
      </c>
      <c r="J5890" s="1" t="str">
        <f>"1"</f>
        <v>1</v>
      </c>
      <c r="K5890" s="1" t="str">
        <f t="shared" ref="K5890:P5890" si="11110">"0"</f>
        <v>0</v>
      </c>
      <c r="L5890" s="1" t="str">
        <f t="shared" si="11110"/>
        <v>0</v>
      </c>
      <c r="M5890" s="1" t="str">
        <f t="shared" si="11110"/>
        <v>0</v>
      </c>
      <c r="N5890" s="1" t="str">
        <f t="shared" si="11110"/>
        <v>0</v>
      </c>
      <c r="O5890" s="1" t="str">
        <f t="shared" si="11110"/>
        <v>0</v>
      </c>
      <c r="P5890" s="1" t="str">
        <f t="shared" si="11110"/>
        <v>0</v>
      </c>
      <c r="Q5890" s="1" t="str">
        <f t="shared" si="10996"/>
        <v>0.0070</v>
      </c>
      <c r="R5890" s="1" t="s">
        <v>25</v>
      </c>
      <c r="T5890" s="1" t="str">
        <f t="shared" si="10997"/>
        <v>0</v>
      </c>
      <c r="U5890" s="1" t="str">
        <f t="shared" si="11104"/>
        <v>0.0070</v>
      </c>
    </row>
    <row r="5891" s="1" customFormat="1" spans="1:21">
      <c r="A5891" s="1" t="str">
        <f>"4601992221664"</f>
        <v>4601992221664</v>
      </c>
      <c r="B5891" s="1" t="s">
        <v>5914</v>
      </c>
      <c r="C5891" s="1" t="s">
        <v>24</v>
      </c>
      <c r="D5891" s="1" t="str">
        <f t="shared" ref="D5891:D5954" si="11111">"2021"</f>
        <v>2021</v>
      </c>
      <c r="E5891" s="1" t="str">
        <f t="shared" ref="E5891:P5891" si="11112">"0"</f>
        <v>0</v>
      </c>
      <c r="F5891" s="1" t="str">
        <f t="shared" si="11112"/>
        <v>0</v>
      </c>
      <c r="G5891" s="1" t="str">
        <f t="shared" si="11112"/>
        <v>0</v>
      </c>
      <c r="H5891" s="1" t="str">
        <f t="shared" si="11112"/>
        <v>0</v>
      </c>
      <c r="I5891" s="1" t="str">
        <f t="shared" si="11112"/>
        <v>0</v>
      </c>
      <c r="J5891" s="1" t="str">
        <f t="shared" si="11112"/>
        <v>0</v>
      </c>
      <c r="K5891" s="1" t="str">
        <f t="shared" si="11112"/>
        <v>0</v>
      </c>
      <c r="L5891" s="1" t="str">
        <f t="shared" si="11112"/>
        <v>0</v>
      </c>
      <c r="M5891" s="1" t="str">
        <f t="shared" si="11112"/>
        <v>0</v>
      </c>
      <c r="N5891" s="1" t="str">
        <f t="shared" si="11112"/>
        <v>0</v>
      </c>
      <c r="O5891" s="1" t="str">
        <f t="shared" si="11112"/>
        <v>0</v>
      </c>
      <c r="P5891" s="1" t="str">
        <f t="shared" si="11112"/>
        <v>0</v>
      </c>
      <c r="Q5891" s="1" t="str">
        <f t="shared" ref="Q5891:Q5954" si="11113">"0.0070"</f>
        <v>0.0070</v>
      </c>
      <c r="R5891" s="1" t="s">
        <v>25</v>
      </c>
      <c r="T5891" s="1" t="str">
        <f t="shared" ref="T5891:T5954" si="11114">"0"</f>
        <v>0</v>
      </c>
      <c r="U5891" s="1" t="str">
        <f t="shared" si="11104"/>
        <v>0.0070</v>
      </c>
    </row>
    <row r="5892" s="1" customFormat="1" spans="1:21">
      <c r="A5892" s="1" t="str">
        <f>"4601992221219"</f>
        <v>4601992221219</v>
      </c>
      <c r="B5892" s="1" t="s">
        <v>5915</v>
      </c>
      <c r="C5892" s="1" t="s">
        <v>24</v>
      </c>
      <c r="D5892" s="1" t="str">
        <f t="shared" si="11111"/>
        <v>2021</v>
      </c>
      <c r="E5892" s="1" t="str">
        <f t="shared" ref="E5892:I5892" si="11115">"0"</f>
        <v>0</v>
      </c>
      <c r="F5892" s="1" t="str">
        <f t="shared" si="11115"/>
        <v>0</v>
      </c>
      <c r="G5892" s="1" t="str">
        <f t="shared" si="11115"/>
        <v>0</v>
      </c>
      <c r="H5892" s="1" t="str">
        <f t="shared" si="11115"/>
        <v>0</v>
      </c>
      <c r="I5892" s="1" t="str">
        <f t="shared" si="11115"/>
        <v>0</v>
      </c>
      <c r="J5892" s="1" t="str">
        <f>"2"</f>
        <v>2</v>
      </c>
      <c r="K5892" s="1" t="str">
        <f t="shared" ref="K5892:P5892" si="11116">"0"</f>
        <v>0</v>
      </c>
      <c r="L5892" s="1" t="str">
        <f t="shared" si="11116"/>
        <v>0</v>
      </c>
      <c r="M5892" s="1" t="str">
        <f t="shared" si="11116"/>
        <v>0</v>
      </c>
      <c r="N5892" s="1" t="str">
        <f t="shared" si="11116"/>
        <v>0</v>
      </c>
      <c r="O5892" s="1" t="str">
        <f t="shared" si="11116"/>
        <v>0</v>
      </c>
      <c r="P5892" s="1" t="str">
        <f t="shared" si="11116"/>
        <v>0</v>
      </c>
      <c r="Q5892" s="1" t="str">
        <f t="shared" si="11113"/>
        <v>0.0070</v>
      </c>
      <c r="R5892" s="1" t="s">
        <v>25</v>
      </c>
      <c r="T5892" s="1" t="str">
        <f t="shared" si="11114"/>
        <v>0</v>
      </c>
      <c r="U5892" s="1" t="str">
        <f t="shared" si="11104"/>
        <v>0.0070</v>
      </c>
    </row>
    <row r="5893" s="1" customFormat="1" spans="1:21">
      <c r="A5893" s="1" t="str">
        <f>"4601992222302"</f>
        <v>4601992222302</v>
      </c>
      <c r="B5893" s="1" t="s">
        <v>5916</v>
      </c>
      <c r="C5893" s="1" t="s">
        <v>24</v>
      </c>
      <c r="D5893" s="1" t="str">
        <f t="shared" si="11111"/>
        <v>2021</v>
      </c>
      <c r="E5893" s="1" t="str">
        <f t="shared" ref="E5893:I5893" si="11117">"0"</f>
        <v>0</v>
      </c>
      <c r="F5893" s="1" t="str">
        <f t="shared" si="11117"/>
        <v>0</v>
      </c>
      <c r="G5893" s="1" t="str">
        <f t="shared" si="11117"/>
        <v>0</v>
      </c>
      <c r="H5893" s="1" t="str">
        <f t="shared" si="11117"/>
        <v>0</v>
      </c>
      <c r="I5893" s="1" t="str">
        <f t="shared" si="11117"/>
        <v>0</v>
      </c>
      <c r="J5893" s="1" t="str">
        <f>"3"</f>
        <v>3</v>
      </c>
      <c r="K5893" s="1" t="str">
        <f t="shared" ref="K5893:P5893" si="11118">"0"</f>
        <v>0</v>
      </c>
      <c r="L5893" s="1" t="str">
        <f t="shared" si="11118"/>
        <v>0</v>
      </c>
      <c r="M5893" s="1" t="str">
        <f t="shared" si="11118"/>
        <v>0</v>
      </c>
      <c r="N5893" s="1" t="str">
        <f t="shared" si="11118"/>
        <v>0</v>
      </c>
      <c r="O5893" s="1" t="str">
        <f t="shared" si="11118"/>
        <v>0</v>
      </c>
      <c r="P5893" s="1" t="str">
        <f t="shared" si="11118"/>
        <v>0</v>
      </c>
      <c r="Q5893" s="1" t="str">
        <f t="shared" si="11113"/>
        <v>0.0070</v>
      </c>
      <c r="R5893" s="1" t="s">
        <v>25</v>
      </c>
      <c r="T5893" s="1" t="str">
        <f t="shared" si="11114"/>
        <v>0</v>
      </c>
      <c r="U5893" s="1" t="str">
        <f t="shared" si="11104"/>
        <v>0.0070</v>
      </c>
    </row>
    <row r="5894" s="1" customFormat="1" spans="1:21">
      <c r="A5894" s="1" t="str">
        <f>"4601992221588"</f>
        <v>4601992221588</v>
      </c>
      <c r="B5894" s="1" t="s">
        <v>5917</v>
      </c>
      <c r="C5894" s="1" t="s">
        <v>24</v>
      </c>
      <c r="D5894" s="1" t="str">
        <f t="shared" si="11111"/>
        <v>2021</v>
      </c>
      <c r="E5894" s="1" t="str">
        <f t="shared" ref="E5894:I5894" si="11119">"0"</f>
        <v>0</v>
      </c>
      <c r="F5894" s="1" t="str">
        <f t="shared" si="11119"/>
        <v>0</v>
      </c>
      <c r="G5894" s="1" t="str">
        <f t="shared" si="11119"/>
        <v>0</v>
      </c>
      <c r="H5894" s="1" t="str">
        <f t="shared" si="11119"/>
        <v>0</v>
      </c>
      <c r="I5894" s="1" t="str">
        <f t="shared" si="11119"/>
        <v>0</v>
      </c>
      <c r="J5894" s="1" t="str">
        <f>"4"</f>
        <v>4</v>
      </c>
      <c r="K5894" s="1" t="str">
        <f t="shared" ref="K5894:P5894" si="11120">"0"</f>
        <v>0</v>
      </c>
      <c r="L5894" s="1" t="str">
        <f t="shared" si="11120"/>
        <v>0</v>
      </c>
      <c r="M5894" s="1" t="str">
        <f t="shared" si="11120"/>
        <v>0</v>
      </c>
      <c r="N5894" s="1" t="str">
        <f t="shared" si="11120"/>
        <v>0</v>
      </c>
      <c r="O5894" s="1" t="str">
        <f t="shared" si="11120"/>
        <v>0</v>
      </c>
      <c r="P5894" s="1" t="str">
        <f t="shared" si="11120"/>
        <v>0</v>
      </c>
      <c r="Q5894" s="1" t="str">
        <f t="shared" si="11113"/>
        <v>0.0070</v>
      </c>
      <c r="R5894" s="1" t="s">
        <v>25</v>
      </c>
      <c r="T5894" s="1" t="str">
        <f t="shared" si="11114"/>
        <v>0</v>
      </c>
      <c r="U5894" s="1" t="str">
        <f t="shared" si="11104"/>
        <v>0.0070</v>
      </c>
    </row>
    <row r="5895" s="1" customFormat="1" spans="1:21">
      <c r="A5895" s="1" t="str">
        <f>"4601992222748"</f>
        <v>4601992222748</v>
      </c>
      <c r="B5895" s="1" t="s">
        <v>5918</v>
      </c>
      <c r="C5895" s="1" t="s">
        <v>24</v>
      </c>
      <c r="D5895" s="1" t="str">
        <f t="shared" si="11111"/>
        <v>2021</v>
      </c>
      <c r="E5895" s="1" t="str">
        <f t="shared" ref="E5895:P5895" si="11121">"0"</f>
        <v>0</v>
      </c>
      <c r="F5895" s="1" t="str">
        <f t="shared" si="11121"/>
        <v>0</v>
      </c>
      <c r="G5895" s="1" t="str">
        <f t="shared" si="11121"/>
        <v>0</v>
      </c>
      <c r="H5895" s="1" t="str">
        <f t="shared" si="11121"/>
        <v>0</v>
      </c>
      <c r="I5895" s="1" t="str">
        <f t="shared" si="11121"/>
        <v>0</v>
      </c>
      <c r="J5895" s="1" t="str">
        <f t="shared" si="11121"/>
        <v>0</v>
      </c>
      <c r="K5895" s="1" t="str">
        <f t="shared" si="11121"/>
        <v>0</v>
      </c>
      <c r="L5895" s="1" t="str">
        <f t="shared" si="11121"/>
        <v>0</v>
      </c>
      <c r="M5895" s="1" t="str">
        <f t="shared" si="11121"/>
        <v>0</v>
      </c>
      <c r="N5895" s="1" t="str">
        <f t="shared" si="11121"/>
        <v>0</v>
      </c>
      <c r="O5895" s="1" t="str">
        <f t="shared" si="11121"/>
        <v>0</v>
      </c>
      <c r="P5895" s="1" t="str">
        <f t="shared" si="11121"/>
        <v>0</v>
      </c>
      <c r="Q5895" s="1" t="str">
        <f t="shared" si="11113"/>
        <v>0.0070</v>
      </c>
      <c r="R5895" s="1" t="s">
        <v>25</v>
      </c>
      <c r="T5895" s="1" t="str">
        <f t="shared" si="11114"/>
        <v>0</v>
      </c>
      <c r="U5895" s="1" t="str">
        <f t="shared" si="11104"/>
        <v>0.0070</v>
      </c>
    </row>
    <row r="5896" s="1" customFormat="1" spans="1:21">
      <c r="A5896" s="1" t="str">
        <f>"4601992222320"</f>
        <v>4601992222320</v>
      </c>
      <c r="B5896" s="1" t="s">
        <v>5919</v>
      </c>
      <c r="C5896" s="1" t="s">
        <v>24</v>
      </c>
      <c r="D5896" s="1" t="str">
        <f t="shared" si="11111"/>
        <v>2021</v>
      </c>
      <c r="E5896" s="1" t="str">
        <f t="shared" ref="E5896:I5896" si="11122">"0"</f>
        <v>0</v>
      </c>
      <c r="F5896" s="1" t="str">
        <f t="shared" si="11122"/>
        <v>0</v>
      </c>
      <c r="G5896" s="1" t="str">
        <f t="shared" si="11122"/>
        <v>0</v>
      </c>
      <c r="H5896" s="1" t="str">
        <f t="shared" si="11122"/>
        <v>0</v>
      </c>
      <c r="I5896" s="1" t="str">
        <f t="shared" si="11122"/>
        <v>0</v>
      </c>
      <c r="J5896" s="1" t="str">
        <f>"8"</f>
        <v>8</v>
      </c>
      <c r="K5896" s="1" t="str">
        <f t="shared" ref="K5896:P5896" si="11123">"0"</f>
        <v>0</v>
      </c>
      <c r="L5896" s="1" t="str">
        <f t="shared" si="11123"/>
        <v>0</v>
      </c>
      <c r="M5896" s="1" t="str">
        <f t="shared" si="11123"/>
        <v>0</v>
      </c>
      <c r="N5896" s="1" t="str">
        <f t="shared" si="11123"/>
        <v>0</v>
      </c>
      <c r="O5896" s="1" t="str">
        <f t="shared" si="11123"/>
        <v>0</v>
      </c>
      <c r="P5896" s="1" t="str">
        <f t="shared" si="11123"/>
        <v>0</v>
      </c>
      <c r="Q5896" s="1" t="str">
        <f t="shared" si="11113"/>
        <v>0.0070</v>
      </c>
      <c r="R5896" s="1" t="s">
        <v>25</v>
      </c>
      <c r="T5896" s="1" t="str">
        <f t="shared" si="11114"/>
        <v>0</v>
      </c>
      <c r="U5896" s="1" t="str">
        <f t="shared" si="11104"/>
        <v>0.0070</v>
      </c>
    </row>
    <row r="5897" s="1" customFormat="1" spans="1:21">
      <c r="A5897" s="1" t="str">
        <f>"4601992222341"</f>
        <v>4601992222341</v>
      </c>
      <c r="B5897" s="1" t="s">
        <v>5920</v>
      </c>
      <c r="C5897" s="1" t="s">
        <v>24</v>
      </c>
      <c r="D5897" s="1" t="str">
        <f t="shared" si="11111"/>
        <v>2021</v>
      </c>
      <c r="E5897" s="1" t="str">
        <f t="shared" ref="E5897:I5897" si="11124">"0"</f>
        <v>0</v>
      </c>
      <c r="F5897" s="1" t="str">
        <f t="shared" si="11124"/>
        <v>0</v>
      </c>
      <c r="G5897" s="1" t="str">
        <f t="shared" si="11124"/>
        <v>0</v>
      </c>
      <c r="H5897" s="1" t="str">
        <f t="shared" si="11124"/>
        <v>0</v>
      </c>
      <c r="I5897" s="1" t="str">
        <f t="shared" si="11124"/>
        <v>0</v>
      </c>
      <c r="J5897" s="1" t="str">
        <f>"1"</f>
        <v>1</v>
      </c>
      <c r="K5897" s="1" t="str">
        <f t="shared" ref="K5897:P5897" si="11125">"0"</f>
        <v>0</v>
      </c>
      <c r="L5897" s="1" t="str">
        <f t="shared" si="11125"/>
        <v>0</v>
      </c>
      <c r="M5897" s="1" t="str">
        <f t="shared" si="11125"/>
        <v>0</v>
      </c>
      <c r="N5897" s="1" t="str">
        <f t="shared" si="11125"/>
        <v>0</v>
      </c>
      <c r="O5897" s="1" t="str">
        <f t="shared" si="11125"/>
        <v>0</v>
      </c>
      <c r="P5897" s="1" t="str">
        <f t="shared" si="11125"/>
        <v>0</v>
      </c>
      <c r="Q5897" s="1" t="str">
        <f t="shared" si="11113"/>
        <v>0.0070</v>
      </c>
      <c r="R5897" s="1" t="s">
        <v>25</v>
      </c>
      <c r="T5897" s="1" t="str">
        <f t="shared" si="11114"/>
        <v>0</v>
      </c>
      <c r="U5897" s="1" t="str">
        <f t="shared" si="11104"/>
        <v>0.0070</v>
      </c>
    </row>
    <row r="5898" s="1" customFormat="1" spans="1:21">
      <c r="A5898" s="1" t="str">
        <f>"4601992222377"</f>
        <v>4601992222377</v>
      </c>
      <c r="B5898" s="1" t="s">
        <v>5921</v>
      </c>
      <c r="C5898" s="1" t="s">
        <v>24</v>
      </c>
      <c r="D5898" s="1" t="str">
        <f t="shared" si="11111"/>
        <v>2021</v>
      </c>
      <c r="E5898" s="1" t="str">
        <f t="shared" ref="E5898:I5898" si="11126">"0"</f>
        <v>0</v>
      </c>
      <c r="F5898" s="1" t="str">
        <f t="shared" si="11126"/>
        <v>0</v>
      </c>
      <c r="G5898" s="1" t="str">
        <f t="shared" si="11126"/>
        <v>0</v>
      </c>
      <c r="H5898" s="1" t="str">
        <f t="shared" si="11126"/>
        <v>0</v>
      </c>
      <c r="I5898" s="1" t="str">
        <f t="shared" si="11126"/>
        <v>0</v>
      </c>
      <c r="J5898" s="1" t="str">
        <f>"3"</f>
        <v>3</v>
      </c>
      <c r="K5898" s="1" t="str">
        <f t="shared" ref="K5898:P5898" si="11127">"0"</f>
        <v>0</v>
      </c>
      <c r="L5898" s="1" t="str">
        <f t="shared" si="11127"/>
        <v>0</v>
      </c>
      <c r="M5898" s="1" t="str">
        <f t="shared" si="11127"/>
        <v>0</v>
      </c>
      <c r="N5898" s="1" t="str">
        <f t="shared" si="11127"/>
        <v>0</v>
      </c>
      <c r="O5898" s="1" t="str">
        <f t="shared" si="11127"/>
        <v>0</v>
      </c>
      <c r="P5898" s="1" t="str">
        <f t="shared" si="11127"/>
        <v>0</v>
      </c>
      <c r="Q5898" s="1" t="str">
        <f t="shared" si="11113"/>
        <v>0.0070</v>
      </c>
      <c r="R5898" s="1" t="s">
        <v>25</v>
      </c>
      <c r="T5898" s="1" t="str">
        <f t="shared" si="11114"/>
        <v>0</v>
      </c>
      <c r="U5898" s="1" t="str">
        <f t="shared" si="11104"/>
        <v>0.0070</v>
      </c>
    </row>
    <row r="5899" s="1" customFormat="1" spans="1:21">
      <c r="A5899" s="1" t="str">
        <f>"4601992222768"</f>
        <v>4601992222768</v>
      </c>
      <c r="B5899" s="1" t="s">
        <v>5922</v>
      </c>
      <c r="C5899" s="1" t="s">
        <v>24</v>
      </c>
      <c r="D5899" s="1" t="str">
        <f t="shared" si="11111"/>
        <v>2021</v>
      </c>
      <c r="E5899" s="1" t="str">
        <f t="shared" ref="E5899:I5899" si="11128">"0"</f>
        <v>0</v>
      </c>
      <c r="F5899" s="1" t="str">
        <f t="shared" si="11128"/>
        <v>0</v>
      </c>
      <c r="G5899" s="1" t="str">
        <f t="shared" si="11128"/>
        <v>0</v>
      </c>
      <c r="H5899" s="1" t="str">
        <f t="shared" si="11128"/>
        <v>0</v>
      </c>
      <c r="I5899" s="1" t="str">
        <f t="shared" si="11128"/>
        <v>0</v>
      </c>
      <c r="J5899" s="1" t="str">
        <f>"2"</f>
        <v>2</v>
      </c>
      <c r="K5899" s="1" t="str">
        <f t="shared" ref="K5899:P5899" si="11129">"0"</f>
        <v>0</v>
      </c>
      <c r="L5899" s="1" t="str">
        <f t="shared" si="11129"/>
        <v>0</v>
      </c>
      <c r="M5899" s="1" t="str">
        <f t="shared" si="11129"/>
        <v>0</v>
      </c>
      <c r="N5899" s="1" t="str">
        <f t="shared" si="11129"/>
        <v>0</v>
      </c>
      <c r="O5899" s="1" t="str">
        <f t="shared" si="11129"/>
        <v>0</v>
      </c>
      <c r="P5899" s="1" t="str">
        <f t="shared" si="11129"/>
        <v>0</v>
      </c>
      <c r="Q5899" s="1" t="str">
        <f t="shared" si="11113"/>
        <v>0.0070</v>
      </c>
      <c r="R5899" s="1" t="s">
        <v>25</v>
      </c>
      <c r="T5899" s="1" t="str">
        <f t="shared" si="11114"/>
        <v>0</v>
      </c>
      <c r="U5899" s="1" t="str">
        <f t="shared" si="11104"/>
        <v>0.0070</v>
      </c>
    </row>
    <row r="5900" s="1" customFormat="1" spans="1:21">
      <c r="A5900" s="1" t="str">
        <f>"4601992222929"</f>
        <v>4601992222929</v>
      </c>
      <c r="B5900" s="1" t="s">
        <v>5923</v>
      </c>
      <c r="C5900" s="1" t="s">
        <v>24</v>
      </c>
      <c r="D5900" s="1" t="str">
        <f t="shared" si="11111"/>
        <v>2021</v>
      </c>
      <c r="E5900" s="1" t="str">
        <f t="shared" ref="E5900:I5900" si="11130">"0"</f>
        <v>0</v>
      </c>
      <c r="F5900" s="1" t="str">
        <f t="shared" si="11130"/>
        <v>0</v>
      </c>
      <c r="G5900" s="1" t="str">
        <f t="shared" si="11130"/>
        <v>0</v>
      </c>
      <c r="H5900" s="1" t="str">
        <f t="shared" si="11130"/>
        <v>0</v>
      </c>
      <c r="I5900" s="1" t="str">
        <f t="shared" si="11130"/>
        <v>0</v>
      </c>
      <c r="J5900" s="1" t="str">
        <f>"3"</f>
        <v>3</v>
      </c>
      <c r="K5900" s="1" t="str">
        <f t="shared" ref="K5900:P5900" si="11131">"0"</f>
        <v>0</v>
      </c>
      <c r="L5900" s="1" t="str">
        <f t="shared" si="11131"/>
        <v>0</v>
      </c>
      <c r="M5900" s="1" t="str">
        <f t="shared" si="11131"/>
        <v>0</v>
      </c>
      <c r="N5900" s="1" t="str">
        <f t="shared" si="11131"/>
        <v>0</v>
      </c>
      <c r="O5900" s="1" t="str">
        <f t="shared" si="11131"/>
        <v>0</v>
      </c>
      <c r="P5900" s="1" t="str">
        <f t="shared" si="11131"/>
        <v>0</v>
      </c>
      <c r="Q5900" s="1" t="str">
        <f t="shared" si="11113"/>
        <v>0.0070</v>
      </c>
      <c r="R5900" s="1" t="s">
        <v>25</v>
      </c>
      <c r="T5900" s="1" t="str">
        <f t="shared" si="11114"/>
        <v>0</v>
      </c>
      <c r="U5900" s="1" t="str">
        <f t="shared" si="11104"/>
        <v>0.0070</v>
      </c>
    </row>
    <row r="5901" s="1" customFormat="1" spans="1:21">
      <c r="A5901" s="1" t="str">
        <f>"4601992222967"</f>
        <v>4601992222967</v>
      </c>
      <c r="B5901" s="1" t="s">
        <v>5924</v>
      </c>
      <c r="C5901" s="1" t="s">
        <v>24</v>
      </c>
      <c r="D5901" s="1" t="str">
        <f t="shared" si="11111"/>
        <v>2021</v>
      </c>
      <c r="E5901" s="1" t="str">
        <f t="shared" ref="E5901:I5901" si="11132">"0"</f>
        <v>0</v>
      </c>
      <c r="F5901" s="1" t="str">
        <f t="shared" si="11132"/>
        <v>0</v>
      </c>
      <c r="G5901" s="1" t="str">
        <f t="shared" si="11132"/>
        <v>0</v>
      </c>
      <c r="H5901" s="1" t="str">
        <f t="shared" si="11132"/>
        <v>0</v>
      </c>
      <c r="I5901" s="1" t="str">
        <f t="shared" si="11132"/>
        <v>0</v>
      </c>
      <c r="J5901" s="1" t="str">
        <f>"2"</f>
        <v>2</v>
      </c>
      <c r="K5901" s="1" t="str">
        <f t="shared" ref="K5901:P5901" si="11133">"0"</f>
        <v>0</v>
      </c>
      <c r="L5901" s="1" t="str">
        <f t="shared" si="11133"/>
        <v>0</v>
      </c>
      <c r="M5901" s="1" t="str">
        <f t="shared" si="11133"/>
        <v>0</v>
      </c>
      <c r="N5901" s="1" t="str">
        <f t="shared" si="11133"/>
        <v>0</v>
      </c>
      <c r="O5901" s="1" t="str">
        <f t="shared" si="11133"/>
        <v>0</v>
      </c>
      <c r="P5901" s="1" t="str">
        <f t="shared" si="11133"/>
        <v>0</v>
      </c>
      <c r="Q5901" s="1" t="str">
        <f t="shared" si="11113"/>
        <v>0.0070</v>
      </c>
      <c r="R5901" s="1" t="s">
        <v>25</v>
      </c>
      <c r="T5901" s="1" t="str">
        <f t="shared" si="11114"/>
        <v>0</v>
      </c>
      <c r="U5901" s="1" t="str">
        <f t="shared" si="11104"/>
        <v>0.0070</v>
      </c>
    </row>
    <row r="5902" s="1" customFormat="1" spans="1:21">
      <c r="A5902" s="1" t="str">
        <f>"4601992016115"</f>
        <v>4601992016115</v>
      </c>
      <c r="B5902" s="1" t="s">
        <v>5925</v>
      </c>
      <c r="C5902" s="1" t="s">
        <v>24</v>
      </c>
      <c r="D5902" s="1" t="str">
        <f t="shared" si="11111"/>
        <v>2021</v>
      </c>
      <c r="E5902" s="1" t="str">
        <f>"97.98"</f>
        <v>97.98</v>
      </c>
      <c r="F5902" s="1" t="str">
        <f t="shared" ref="F5902:I5902" si="11134">"0"</f>
        <v>0</v>
      </c>
      <c r="G5902" s="1" t="str">
        <f t="shared" si="11134"/>
        <v>0</v>
      </c>
      <c r="H5902" s="1" t="str">
        <f t="shared" si="11134"/>
        <v>0</v>
      </c>
      <c r="I5902" s="1" t="str">
        <f t="shared" si="11134"/>
        <v>0</v>
      </c>
      <c r="J5902" s="1" t="str">
        <f>"8"</f>
        <v>8</v>
      </c>
      <c r="K5902" s="1" t="str">
        <f t="shared" ref="K5902:P5902" si="11135">"0"</f>
        <v>0</v>
      </c>
      <c r="L5902" s="1" t="str">
        <f t="shared" si="11135"/>
        <v>0</v>
      </c>
      <c r="M5902" s="1" t="str">
        <f t="shared" si="11135"/>
        <v>0</v>
      </c>
      <c r="N5902" s="1" t="str">
        <f t="shared" si="11135"/>
        <v>0</v>
      </c>
      <c r="O5902" s="1" t="str">
        <f t="shared" si="11135"/>
        <v>0</v>
      </c>
      <c r="P5902" s="1" t="str">
        <f t="shared" si="11135"/>
        <v>0</v>
      </c>
      <c r="Q5902" s="1" t="str">
        <f t="shared" si="11113"/>
        <v>0.0070</v>
      </c>
      <c r="R5902" s="1" t="s">
        <v>29</v>
      </c>
      <c r="S5902" s="1">
        <v>-0.0014</v>
      </c>
      <c r="T5902" s="1" t="str">
        <f t="shared" si="11114"/>
        <v>0</v>
      </c>
      <c r="U5902" s="1" t="str">
        <f>"0.0056"</f>
        <v>0.0056</v>
      </c>
    </row>
    <row r="5903" s="1" customFormat="1" spans="1:21">
      <c r="A5903" s="1" t="str">
        <f>"4601992222996"</f>
        <v>4601992222996</v>
      </c>
      <c r="B5903" s="1" t="s">
        <v>5926</v>
      </c>
      <c r="C5903" s="1" t="s">
        <v>24</v>
      </c>
      <c r="D5903" s="1" t="str">
        <f t="shared" si="11111"/>
        <v>2021</v>
      </c>
      <c r="E5903" s="1" t="str">
        <f t="shared" ref="E5903:P5903" si="11136">"0"</f>
        <v>0</v>
      </c>
      <c r="F5903" s="1" t="str">
        <f t="shared" si="11136"/>
        <v>0</v>
      </c>
      <c r="G5903" s="1" t="str">
        <f t="shared" si="11136"/>
        <v>0</v>
      </c>
      <c r="H5903" s="1" t="str">
        <f t="shared" si="11136"/>
        <v>0</v>
      </c>
      <c r="I5903" s="1" t="str">
        <f t="shared" si="11136"/>
        <v>0</v>
      </c>
      <c r="J5903" s="1" t="str">
        <f t="shared" si="11136"/>
        <v>0</v>
      </c>
      <c r="K5903" s="1" t="str">
        <f t="shared" si="11136"/>
        <v>0</v>
      </c>
      <c r="L5903" s="1" t="str">
        <f t="shared" si="11136"/>
        <v>0</v>
      </c>
      <c r="M5903" s="1" t="str">
        <f t="shared" si="11136"/>
        <v>0</v>
      </c>
      <c r="N5903" s="1" t="str">
        <f t="shared" si="11136"/>
        <v>0</v>
      </c>
      <c r="O5903" s="1" t="str">
        <f t="shared" si="11136"/>
        <v>0</v>
      </c>
      <c r="P5903" s="1" t="str">
        <f t="shared" si="11136"/>
        <v>0</v>
      </c>
      <c r="Q5903" s="1" t="str">
        <f t="shared" si="11113"/>
        <v>0.0070</v>
      </c>
      <c r="R5903" s="1" t="s">
        <v>25</v>
      </c>
      <c r="T5903" s="1" t="str">
        <f t="shared" si="11114"/>
        <v>0</v>
      </c>
      <c r="U5903" s="1" t="str">
        <f t="shared" ref="U5903:U5913" si="11137">"0.0070"</f>
        <v>0.0070</v>
      </c>
    </row>
    <row r="5904" s="1" customFormat="1" spans="1:21">
      <c r="A5904" s="1" t="str">
        <f>"4601992222970"</f>
        <v>4601992222970</v>
      </c>
      <c r="B5904" s="1" t="s">
        <v>5927</v>
      </c>
      <c r="C5904" s="1" t="s">
        <v>24</v>
      </c>
      <c r="D5904" s="1" t="str">
        <f t="shared" si="11111"/>
        <v>2021</v>
      </c>
      <c r="E5904" s="1" t="str">
        <f t="shared" ref="E5904:I5904" si="11138">"0"</f>
        <v>0</v>
      </c>
      <c r="F5904" s="1" t="str">
        <f t="shared" si="11138"/>
        <v>0</v>
      </c>
      <c r="G5904" s="1" t="str">
        <f t="shared" si="11138"/>
        <v>0</v>
      </c>
      <c r="H5904" s="1" t="str">
        <f t="shared" si="11138"/>
        <v>0</v>
      </c>
      <c r="I5904" s="1" t="str">
        <f t="shared" si="11138"/>
        <v>0</v>
      </c>
      <c r="J5904" s="1" t="str">
        <f>"4"</f>
        <v>4</v>
      </c>
      <c r="K5904" s="1" t="str">
        <f t="shared" ref="K5904:P5904" si="11139">"0"</f>
        <v>0</v>
      </c>
      <c r="L5904" s="1" t="str">
        <f t="shared" si="11139"/>
        <v>0</v>
      </c>
      <c r="M5904" s="1" t="str">
        <f t="shared" si="11139"/>
        <v>0</v>
      </c>
      <c r="N5904" s="1" t="str">
        <f t="shared" si="11139"/>
        <v>0</v>
      </c>
      <c r="O5904" s="1" t="str">
        <f t="shared" si="11139"/>
        <v>0</v>
      </c>
      <c r="P5904" s="1" t="str">
        <f t="shared" si="11139"/>
        <v>0</v>
      </c>
      <c r="Q5904" s="1" t="str">
        <f t="shared" si="11113"/>
        <v>0.0070</v>
      </c>
      <c r="R5904" s="1" t="s">
        <v>25</v>
      </c>
      <c r="T5904" s="1" t="str">
        <f t="shared" si="11114"/>
        <v>0</v>
      </c>
      <c r="U5904" s="1" t="str">
        <f t="shared" si="11137"/>
        <v>0.0070</v>
      </c>
    </row>
    <row r="5905" s="1" customFormat="1" spans="1:21">
      <c r="A5905" s="1" t="str">
        <f>"4601992223055"</f>
        <v>4601992223055</v>
      </c>
      <c r="B5905" s="1" t="s">
        <v>5928</v>
      </c>
      <c r="C5905" s="1" t="s">
        <v>24</v>
      </c>
      <c r="D5905" s="1" t="str">
        <f t="shared" si="11111"/>
        <v>2021</v>
      </c>
      <c r="E5905" s="1" t="str">
        <f t="shared" ref="E5905:P5905" si="11140">"0"</f>
        <v>0</v>
      </c>
      <c r="F5905" s="1" t="str">
        <f t="shared" si="11140"/>
        <v>0</v>
      </c>
      <c r="G5905" s="1" t="str">
        <f t="shared" si="11140"/>
        <v>0</v>
      </c>
      <c r="H5905" s="1" t="str">
        <f t="shared" si="11140"/>
        <v>0</v>
      </c>
      <c r="I5905" s="1" t="str">
        <f t="shared" si="11140"/>
        <v>0</v>
      </c>
      <c r="J5905" s="1" t="str">
        <f t="shared" si="11140"/>
        <v>0</v>
      </c>
      <c r="K5905" s="1" t="str">
        <f t="shared" si="11140"/>
        <v>0</v>
      </c>
      <c r="L5905" s="1" t="str">
        <f t="shared" si="11140"/>
        <v>0</v>
      </c>
      <c r="M5905" s="1" t="str">
        <f t="shared" si="11140"/>
        <v>0</v>
      </c>
      <c r="N5905" s="1" t="str">
        <f t="shared" si="11140"/>
        <v>0</v>
      </c>
      <c r="O5905" s="1" t="str">
        <f t="shared" si="11140"/>
        <v>0</v>
      </c>
      <c r="P5905" s="1" t="str">
        <f t="shared" si="11140"/>
        <v>0</v>
      </c>
      <c r="Q5905" s="1" t="str">
        <f t="shared" si="11113"/>
        <v>0.0070</v>
      </c>
      <c r="R5905" s="1" t="s">
        <v>25</v>
      </c>
      <c r="T5905" s="1" t="str">
        <f t="shared" si="11114"/>
        <v>0</v>
      </c>
      <c r="U5905" s="1" t="str">
        <f t="shared" si="11137"/>
        <v>0.0070</v>
      </c>
    </row>
    <row r="5906" s="1" customFormat="1" spans="1:21">
      <c r="A5906" s="1" t="str">
        <f>"4601992223013"</f>
        <v>4601992223013</v>
      </c>
      <c r="B5906" s="1" t="s">
        <v>5929</v>
      </c>
      <c r="C5906" s="1" t="s">
        <v>24</v>
      </c>
      <c r="D5906" s="1" t="str">
        <f t="shared" si="11111"/>
        <v>2021</v>
      </c>
      <c r="E5906" s="1" t="str">
        <f t="shared" ref="E5906:I5906" si="11141">"0"</f>
        <v>0</v>
      </c>
      <c r="F5906" s="1" t="str">
        <f t="shared" si="11141"/>
        <v>0</v>
      </c>
      <c r="G5906" s="1" t="str">
        <f t="shared" si="11141"/>
        <v>0</v>
      </c>
      <c r="H5906" s="1" t="str">
        <f t="shared" si="11141"/>
        <v>0</v>
      </c>
      <c r="I5906" s="1" t="str">
        <f t="shared" si="11141"/>
        <v>0</v>
      </c>
      <c r="J5906" s="1" t="str">
        <f t="shared" ref="J5906:J5908" si="11142">"1"</f>
        <v>1</v>
      </c>
      <c r="K5906" s="1" t="str">
        <f t="shared" ref="K5906:P5906" si="11143">"0"</f>
        <v>0</v>
      </c>
      <c r="L5906" s="1" t="str">
        <f t="shared" si="11143"/>
        <v>0</v>
      </c>
      <c r="M5906" s="1" t="str">
        <f t="shared" si="11143"/>
        <v>0</v>
      </c>
      <c r="N5906" s="1" t="str">
        <f t="shared" si="11143"/>
        <v>0</v>
      </c>
      <c r="O5906" s="1" t="str">
        <f t="shared" si="11143"/>
        <v>0</v>
      </c>
      <c r="P5906" s="1" t="str">
        <f t="shared" si="11143"/>
        <v>0</v>
      </c>
      <c r="Q5906" s="1" t="str">
        <f t="shared" si="11113"/>
        <v>0.0070</v>
      </c>
      <c r="R5906" s="1" t="s">
        <v>25</v>
      </c>
      <c r="T5906" s="1" t="str">
        <f t="shared" si="11114"/>
        <v>0</v>
      </c>
      <c r="U5906" s="1" t="str">
        <f t="shared" si="11137"/>
        <v>0.0070</v>
      </c>
    </row>
    <row r="5907" s="1" customFormat="1" spans="1:21">
      <c r="A5907" s="1" t="str">
        <f>"4601992223040"</f>
        <v>4601992223040</v>
      </c>
      <c r="B5907" s="1" t="s">
        <v>5930</v>
      </c>
      <c r="C5907" s="1" t="s">
        <v>24</v>
      </c>
      <c r="D5907" s="1" t="str">
        <f t="shared" si="11111"/>
        <v>2021</v>
      </c>
      <c r="E5907" s="1" t="str">
        <f t="shared" ref="E5907:I5907" si="11144">"0"</f>
        <v>0</v>
      </c>
      <c r="F5907" s="1" t="str">
        <f t="shared" si="11144"/>
        <v>0</v>
      </c>
      <c r="G5907" s="1" t="str">
        <f t="shared" si="11144"/>
        <v>0</v>
      </c>
      <c r="H5907" s="1" t="str">
        <f t="shared" si="11144"/>
        <v>0</v>
      </c>
      <c r="I5907" s="1" t="str">
        <f t="shared" si="11144"/>
        <v>0</v>
      </c>
      <c r="J5907" s="1" t="str">
        <f t="shared" si="11142"/>
        <v>1</v>
      </c>
      <c r="K5907" s="1" t="str">
        <f t="shared" ref="K5907:P5907" si="11145">"0"</f>
        <v>0</v>
      </c>
      <c r="L5907" s="1" t="str">
        <f t="shared" si="11145"/>
        <v>0</v>
      </c>
      <c r="M5907" s="1" t="str">
        <f t="shared" si="11145"/>
        <v>0</v>
      </c>
      <c r="N5907" s="1" t="str">
        <f t="shared" si="11145"/>
        <v>0</v>
      </c>
      <c r="O5907" s="1" t="str">
        <f t="shared" si="11145"/>
        <v>0</v>
      </c>
      <c r="P5907" s="1" t="str">
        <f t="shared" si="11145"/>
        <v>0</v>
      </c>
      <c r="Q5907" s="1" t="str">
        <f t="shared" si="11113"/>
        <v>0.0070</v>
      </c>
      <c r="R5907" s="1" t="s">
        <v>25</v>
      </c>
      <c r="T5907" s="1" t="str">
        <f t="shared" si="11114"/>
        <v>0</v>
      </c>
      <c r="U5907" s="1" t="str">
        <f t="shared" si="11137"/>
        <v>0.0070</v>
      </c>
    </row>
    <row r="5908" s="1" customFormat="1" spans="1:21">
      <c r="A5908" s="1" t="str">
        <f>"4601992223041"</f>
        <v>4601992223041</v>
      </c>
      <c r="B5908" s="1" t="s">
        <v>5931</v>
      </c>
      <c r="C5908" s="1" t="s">
        <v>24</v>
      </c>
      <c r="D5908" s="1" t="str">
        <f t="shared" si="11111"/>
        <v>2021</v>
      </c>
      <c r="E5908" s="1" t="str">
        <f t="shared" ref="E5908:I5908" si="11146">"0"</f>
        <v>0</v>
      </c>
      <c r="F5908" s="1" t="str">
        <f t="shared" si="11146"/>
        <v>0</v>
      </c>
      <c r="G5908" s="1" t="str">
        <f t="shared" si="11146"/>
        <v>0</v>
      </c>
      <c r="H5908" s="1" t="str">
        <f t="shared" si="11146"/>
        <v>0</v>
      </c>
      <c r="I5908" s="1" t="str">
        <f t="shared" si="11146"/>
        <v>0</v>
      </c>
      <c r="J5908" s="1" t="str">
        <f t="shared" si="11142"/>
        <v>1</v>
      </c>
      <c r="K5908" s="1" t="str">
        <f t="shared" ref="K5908:P5908" si="11147">"0"</f>
        <v>0</v>
      </c>
      <c r="L5908" s="1" t="str">
        <f t="shared" si="11147"/>
        <v>0</v>
      </c>
      <c r="M5908" s="1" t="str">
        <f t="shared" si="11147"/>
        <v>0</v>
      </c>
      <c r="N5908" s="1" t="str">
        <f t="shared" si="11147"/>
        <v>0</v>
      </c>
      <c r="O5908" s="1" t="str">
        <f t="shared" si="11147"/>
        <v>0</v>
      </c>
      <c r="P5908" s="1" t="str">
        <f t="shared" si="11147"/>
        <v>0</v>
      </c>
      <c r="Q5908" s="1" t="str">
        <f t="shared" si="11113"/>
        <v>0.0070</v>
      </c>
      <c r="R5908" s="1" t="s">
        <v>25</v>
      </c>
      <c r="T5908" s="1" t="str">
        <f t="shared" si="11114"/>
        <v>0</v>
      </c>
      <c r="U5908" s="1" t="str">
        <f t="shared" si="11137"/>
        <v>0.0070</v>
      </c>
    </row>
    <row r="5909" s="1" customFormat="1" spans="1:21">
      <c r="A5909" s="1" t="str">
        <f>"4601992223654"</f>
        <v>4601992223654</v>
      </c>
      <c r="B5909" s="1" t="s">
        <v>5932</v>
      </c>
      <c r="C5909" s="1" t="s">
        <v>24</v>
      </c>
      <c r="D5909" s="1" t="str">
        <f t="shared" si="11111"/>
        <v>2021</v>
      </c>
      <c r="E5909" s="1" t="str">
        <f t="shared" ref="E5909:P5909" si="11148">"0"</f>
        <v>0</v>
      </c>
      <c r="F5909" s="1" t="str">
        <f t="shared" si="11148"/>
        <v>0</v>
      </c>
      <c r="G5909" s="1" t="str">
        <f t="shared" si="11148"/>
        <v>0</v>
      </c>
      <c r="H5909" s="1" t="str">
        <f t="shared" si="11148"/>
        <v>0</v>
      </c>
      <c r="I5909" s="1" t="str">
        <f t="shared" si="11148"/>
        <v>0</v>
      </c>
      <c r="J5909" s="1" t="str">
        <f t="shared" si="11148"/>
        <v>0</v>
      </c>
      <c r="K5909" s="1" t="str">
        <f t="shared" si="11148"/>
        <v>0</v>
      </c>
      <c r="L5909" s="1" t="str">
        <f t="shared" si="11148"/>
        <v>0</v>
      </c>
      <c r="M5909" s="1" t="str">
        <f t="shared" si="11148"/>
        <v>0</v>
      </c>
      <c r="N5909" s="1" t="str">
        <f t="shared" si="11148"/>
        <v>0</v>
      </c>
      <c r="O5909" s="1" t="str">
        <f t="shared" si="11148"/>
        <v>0</v>
      </c>
      <c r="P5909" s="1" t="str">
        <f t="shared" si="11148"/>
        <v>0</v>
      </c>
      <c r="Q5909" s="1" t="str">
        <f t="shared" si="11113"/>
        <v>0.0070</v>
      </c>
      <c r="R5909" s="1" t="s">
        <v>25</v>
      </c>
      <c r="T5909" s="1" t="str">
        <f t="shared" si="11114"/>
        <v>0</v>
      </c>
      <c r="U5909" s="1" t="str">
        <f t="shared" si="11137"/>
        <v>0.0070</v>
      </c>
    </row>
    <row r="5910" s="1" customFormat="1" spans="1:21">
      <c r="A5910" s="1" t="str">
        <f>"4601992223619"</f>
        <v>4601992223619</v>
      </c>
      <c r="B5910" s="1" t="s">
        <v>5933</v>
      </c>
      <c r="C5910" s="1" t="s">
        <v>24</v>
      </c>
      <c r="D5910" s="1" t="str">
        <f t="shared" si="11111"/>
        <v>2021</v>
      </c>
      <c r="E5910" s="1" t="str">
        <f t="shared" ref="E5910:I5910" si="11149">"0"</f>
        <v>0</v>
      </c>
      <c r="F5910" s="1" t="str">
        <f t="shared" si="11149"/>
        <v>0</v>
      </c>
      <c r="G5910" s="1" t="str">
        <f t="shared" si="11149"/>
        <v>0</v>
      </c>
      <c r="H5910" s="1" t="str">
        <f t="shared" si="11149"/>
        <v>0</v>
      </c>
      <c r="I5910" s="1" t="str">
        <f t="shared" si="11149"/>
        <v>0</v>
      </c>
      <c r="J5910" s="1" t="str">
        <f>"3"</f>
        <v>3</v>
      </c>
      <c r="K5910" s="1" t="str">
        <f t="shared" ref="K5910:P5910" si="11150">"0"</f>
        <v>0</v>
      </c>
      <c r="L5910" s="1" t="str">
        <f t="shared" si="11150"/>
        <v>0</v>
      </c>
      <c r="M5910" s="1" t="str">
        <f t="shared" si="11150"/>
        <v>0</v>
      </c>
      <c r="N5910" s="1" t="str">
        <f t="shared" si="11150"/>
        <v>0</v>
      </c>
      <c r="O5910" s="1" t="str">
        <f t="shared" si="11150"/>
        <v>0</v>
      </c>
      <c r="P5910" s="1" t="str">
        <f t="shared" si="11150"/>
        <v>0</v>
      </c>
      <c r="Q5910" s="1" t="str">
        <f t="shared" si="11113"/>
        <v>0.0070</v>
      </c>
      <c r="R5910" s="1" t="s">
        <v>25</v>
      </c>
      <c r="T5910" s="1" t="str">
        <f t="shared" si="11114"/>
        <v>0</v>
      </c>
      <c r="U5910" s="1" t="str">
        <f t="shared" si="11137"/>
        <v>0.0070</v>
      </c>
    </row>
    <row r="5911" s="1" customFormat="1" spans="1:21">
      <c r="A5911" s="1" t="str">
        <f>"4601992223678"</f>
        <v>4601992223678</v>
      </c>
      <c r="B5911" s="1" t="s">
        <v>5934</v>
      </c>
      <c r="C5911" s="1" t="s">
        <v>24</v>
      </c>
      <c r="D5911" s="1" t="str">
        <f t="shared" si="11111"/>
        <v>2021</v>
      </c>
      <c r="E5911" s="1" t="str">
        <f t="shared" ref="E5911:I5911" si="11151">"0"</f>
        <v>0</v>
      </c>
      <c r="F5911" s="1" t="str">
        <f t="shared" si="11151"/>
        <v>0</v>
      </c>
      <c r="G5911" s="1" t="str">
        <f t="shared" si="11151"/>
        <v>0</v>
      </c>
      <c r="H5911" s="1" t="str">
        <f t="shared" si="11151"/>
        <v>0</v>
      </c>
      <c r="I5911" s="1" t="str">
        <f t="shared" si="11151"/>
        <v>0</v>
      </c>
      <c r="J5911" s="1" t="str">
        <f t="shared" ref="J5911:J5915" si="11152">"1"</f>
        <v>1</v>
      </c>
      <c r="K5911" s="1" t="str">
        <f t="shared" ref="K5911:P5911" si="11153">"0"</f>
        <v>0</v>
      </c>
      <c r="L5911" s="1" t="str">
        <f t="shared" si="11153"/>
        <v>0</v>
      </c>
      <c r="M5911" s="1" t="str">
        <f t="shared" si="11153"/>
        <v>0</v>
      </c>
      <c r="N5911" s="1" t="str">
        <f t="shared" si="11153"/>
        <v>0</v>
      </c>
      <c r="O5911" s="1" t="str">
        <f t="shared" si="11153"/>
        <v>0</v>
      </c>
      <c r="P5911" s="1" t="str">
        <f t="shared" si="11153"/>
        <v>0</v>
      </c>
      <c r="Q5911" s="1" t="str">
        <f t="shared" si="11113"/>
        <v>0.0070</v>
      </c>
      <c r="R5911" s="1" t="s">
        <v>25</v>
      </c>
      <c r="T5911" s="1" t="str">
        <f t="shared" si="11114"/>
        <v>0</v>
      </c>
      <c r="U5911" s="1" t="str">
        <f t="shared" si="11137"/>
        <v>0.0070</v>
      </c>
    </row>
    <row r="5912" s="1" customFormat="1" spans="1:21">
      <c r="A5912" s="1" t="str">
        <f>"4601992223679"</f>
        <v>4601992223679</v>
      </c>
      <c r="B5912" s="1" t="s">
        <v>5935</v>
      </c>
      <c r="C5912" s="1" t="s">
        <v>24</v>
      </c>
      <c r="D5912" s="1" t="str">
        <f t="shared" si="11111"/>
        <v>2021</v>
      </c>
      <c r="E5912" s="1" t="str">
        <f t="shared" ref="E5912:I5912" si="11154">"0"</f>
        <v>0</v>
      </c>
      <c r="F5912" s="1" t="str">
        <f t="shared" si="11154"/>
        <v>0</v>
      </c>
      <c r="G5912" s="1" t="str">
        <f t="shared" si="11154"/>
        <v>0</v>
      </c>
      <c r="H5912" s="1" t="str">
        <f t="shared" si="11154"/>
        <v>0</v>
      </c>
      <c r="I5912" s="1" t="str">
        <f t="shared" si="11154"/>
        <v>0</v>
      </c>
      <c r="J5912" s="1" t="str">
        <f>"6"</f>
        <v>6</v>
      </c>
      <c r="K5912" s="1" t="str">
        <f t="shared" ref="K5912:P5912" si="11155">"0"</f>
        <v>0</v>
      </c>
      <c r="L5912" s="1" t="str">
        <f t="shared" si="11155"/>
        <v>0</v>
      </c>
      <c r="M5912" s="1" t="str">
        <f t="shared" si="11155"/>
        <v>0</v>
      </c>
      <c r="N5912" s="1" t="str">
        <f t="shared" si="11155"/>
        <v>0</v>
      </c>
      <c r="O5912" s="1" t="str">
        <f t="shared" si="11155"/>
        <v>0</v>
      </c>
      <c r="P5912" s="1" t="str">
        <f t="shared" si="11155"/>
        <v>0</v>
      </c>
      <c r="Q5912" s="1" t="str">
        <f t="shared" si="11113"/>
        <v>0.0070</v>
      </c>
      <c r="R5912" s="1" t="s">
        <v>25</v>
      </c>
      <c r="T5912" s="1" t="str">
        <f t="shared" si="11114"/>
        <v>0</v>
      </c>
      <c r="U5912" s="1" t="str">
        <f t="shared" si="11137"/>
        <v>0.0070</v>
      </c>
    </row>
    <row r="5913" s="1" customFormat="1" spans="1:21">
      <c r="A5913" s="1" t="str">
        <f>"4601992223767"</f>
        <v>4601992223767</v>
      </c>
      <c r="B5913" s="1" t="s">
        <v>5936</v>
      </c>
      <c r="C5913" s="1" t="s">
        <v>24</v>
      </c>
      <c r="D5913" s="1" t="str">
        <f t="shared" si="11111"/>
        <v>2021</v>
      </c>
      <c r="E5913" s="1" t="str">
        <f t="shared" ref="E5913:P5913" si="11156">"0"</f>
        <v>0</v>
      </c>
      <c r="F5913" s="1" t="str">
        <f t="shared" si="11156"/>
        <v>0</v>
      </c>
      <c r="G5913" s="1" t="str">
        <f t="shared" si="11156"/>
        <v>0</v>
      </c>
      <c r="H5913" s="1" t="str">
        <f t="shared" si="11156"/>
        <v>0</v>
      </c>
      <c r="I5913" s="1" t="str">
        <f t="shared" si="11156"/>
        <v>0</v>
      </c>
      <c r="J5913" s="1" t="str">
        <f t="shared" si="11156"/>
        <v>0</v>
      </c>
      <c r="K5913" s="1" t="str">
        <f t="shared" si="11156"/>
        <v>0</v>
      </c>
      <c r="L5913" s="1" t="str">
        <f t="shared" si="11156"/>
        <v>0</v>
      </c>
      <c r="M5913" s="1" t="str">
        <f t="shared" si="11156"/>
        <v>0</v>
      </c>
      <c r="N5913" s="1" t="str">
        <f t="shared" si="11156"/>
        <v>0</v>
      </c>
      <c r="O5913" s="1" t="str">
        <f t="shared" si="11156"/>
        <v>0</v>
      </c>
      <c r="P5913" s="1" t="str">
        <f t="shared" si="11156"/>
        <v>0</v>
      </c>
      <c r="Q5913" s="1" t="str">
        <f t="shared" si="11113"/>
        <v>0.0070</v>
      </c>
      <c r="R5913" s="1" t="s">
        <v>25</v>
      </c>
      <c r="T5913" s="1" t="str">
        <f t="shared" si="11114"/>
        <v>0</v>
      </c>
      <c r="U5913" s="1" t="str">
        <f t="shared" si="11137"/>
        <v>0.0070</v>
      </c>
    </row>
    <row r="5914" s="1" customFormat="1" spans="1:21">
      <c r="A5914" s="1" t="str">
        <f>"4601992223699"</f>
        <v>4601992223699</v>
      </c>
      <c r="B5914" s="1" t="s">
        <v>5937</v>
      </c>
      <c r="C5914" s="1" t="s">
        <v>24</v>
      </c>
      <c r="D5914" s="1" t="str">
        <f t="shared" si="11111"/>
        <v>2021</v>
      </c>
      <c r="E5914" s="1" t="str">
        <f>"13.43"</f>
        <v>13.43</v>
      </c>
      <c r="F5914" s="1" t="str">
        <f t="shared" ref="F5914:I5914" si="11157">"0"</f>
        <v>0</v>
      </c>
      <c r="G5914" s="1" t="str">
        <f t="shared" si="11157"/>
        <v>0</v>
      </c>
      <c r="H5914" s="1" t="str">
        <f t="shared" si="11157"/>
        <v>0</v>
      </c>
      <c r="I5914" s="1" t="str">
        <f t="shared" si="11157"/>
        <v>0</v>
      </c>
      <c r="J5914" s="1" t="str">
        <f t="shared" si="11152"/>
        <v>1</v>
      </c>
      <c r="K5914" s="1" t="str">
        <f t="shared" ref="K5914:P5914" si="11158">"0"</f>
        <v>0</v>
      </c>
      <c r="L5914" s="1" t="str">
        <f t="shared" si="11158"/>
        <v>0</v>
      </c>
      <c r="M5914" s="1" t="str">
        <f t="shared" si="11158"/>
        <v>0</v>
      </c>
      <c r="N5914" s="1" t="str">
        <f t="shared" si="11158"/>
        <v>0</v>
      </c>
      <c r="O5914" s="1" t="str">
        <f t="shared" si="11158"/>
        <v>0</v>
      </c>
      <c r="P5914" s="1" t="str">
        <f t="shared" si="11158"/>
        <v>0</v>
      </c>
      <c r="Q5914" s="1" t="str">
        <f t="shared" si="11113"/>
        <v>0.0070</v>
      </c>
      <c r="R5914" s="1" t="s">
        <v>29</v>
      </c>
      <c r="S5914" s="1">
        <v>-0.0014</v>
      </c>
      <c r="T5914" s="1" t="str">
        <f t="shared" si="11114"/>
        <v>0</v>
      </c>
      <c r="U5914" s="1" t="str">
        <f>"0.0056"</f>
        <v>0.0056</v>
      </c>
    </row>
    <row r="5915" s="1" customFormat="1" spans="1:21">
      <c r="A5915" s="1" t="str">
        <f>"4601992223711"</f>
        <v>4601992223711</v>
      </c>
      <c r="B5915" s="1" t="s">
        <v>5938</v>
      </c>
      <c r="C5915" s="1" t="s">
        <v>24</v>
      </c>
      <c r="D5915" s="1" t="str">
        <f t="shared" si="11111"/>
        <v>2021</v>
      </c>
      <c r="E5915" s="1" t="str">
        <f t="shared" ref="E5915:I5915" si="11159">"0"</f>
        <v>0</v>
      </c>
      <c r="F5915" s="1" t="str">
        <f t="shared" si="11159"/>
        <v>0</v>
      </c>
      <c r="G5915" s="1" t="str">
        <f t="shared" si="11159"/>
        <v>0</v>
      </c>
      <c r="H5915" s="1" t="str">
        <f t="shared" si="11159"/>
        <v>0</v>
      </c>
      <c r="I5915" s="1" t="str">
        <f t="shared" si="11159"/>
        <v>0</v>
      </c>
      <c r="J5915" s="1" t="str">
        <f t="shared" si="11152"/>
        <v>1</v>
      </c>
      <c r="K5915" s="1" t="str">
        <f t="shared" ref="K5915:P5915" si="11160">"0"</f>
        <v>0</v>
      </c>
      <c r="L5915" s="1" t="str">
        <f t="shared" si="11160"/>
        <v>0</v>
      </c>
      <c r="M5915" s="1" t="str">
        <f t="shared" si="11160"/>
        <v>0</v>
      </c>
      <c r="N5915" s="1" t="str">
        <f t="shared" si="11160"/>
        <v>0</v>
      </c>
      <c r="O5915" s="1" t="str">
        <f t="shared" si="11160"/>
        <v>0</v>
      </c>
      <c r="P5915" s="1" t="str">
        <f t="shared" si="11160"/>
        <v>0</v>
      </c>
      <c r="Q5915" s="1" t="str">
        <f t="shared" si="11113"/>
        <v>0.0070</v>
      </c>
      <c r="R5915" s="1" t="s">
        <v>25</v>
      </c>
      <c r="T5915" s="1" t="str">
        <f t="shared" si="11114"/>
        <v>0</v>
      </c>
      <c r="U5915" s="1" t="str">
        <f t="shared" ref="U5915:U5969" si="11161">"0.0070"</f>
        <v>0.0070</v>
      </c>
    </row>
    <row r="5916" s="1" customFormat="1" spans="1:21">
      <c r="A5916" s="1" t="str">
        <f>"4601992156436"</f>
        <v>4601992156436</v>
      </c>
      <c r="B5916" s="1" t="s">
        <v>5939</v>
      </c>
      <c r="C5916" s="1" t="s">
        <v>24</v>
      </c>
      <c r="D5916" s="1" t="str">
        <f t="shared" si="11111"/>
        <v>2021</v>
      </c>
      <c r="E5916" s="1" t="str">
        <f t="shared" ref="E5916:I5916" si="11162">"0"</f>
        <v>0</v>
      </c>
      <c r="F5916" s="1" t="str">
        <f t="shared" si="11162"/>
        <v>0</v>
      </c>
      <c r="G5916" s="1" t="str">
        <f t="shared" si="11162"/>
        <v>0</v>
      </c>
      <c r="H5916" s="1" t="str">
        <f t="shared" si="11162"/>
        <v>0</v>
      </c>
      <c r="I5916" s="1" t="str">
        <f t="shared" si="11162"/>
        <v>0</v>
      </c>
      <c r="J5916" s="1" t="str">
        <f>"3"</f>
        <v>3</v>
      </c>
      <c r="K5916" s="1" t="str">
        <f t="shared" ref="K5916:P5916" si="11163">"0"</f>
        <v>0</v>
      </c>
      <c r="L5916" s="1" t="str">
        <f t="shared" si="11163"/>
        <v>0</v>
      </c>
      <c r="M5916" s="1" t="str">
        <f t="shared" si="11163"/>
        <v>0</v>
      </c>
      <c r="N5916" s="1" t="str">
        <f t="shared" si="11163"/>
        <v>0</v>
      </c>
      <c r="O5916" s="1" t="str">
        <f t="shared" si="11163"/>
        <v>0</v>
      </c>
      <c r="P5916" s="1" t="str">
        <f t="shared" si="11163"/>
        <v>0</v>
      </c>
      <c r="Q5916" s="1" t="str">
        <f t="shared" si="11113"/>
        <v>0.0070</v>
      </c>
      <c r="R5916" s="1" t="s">
        <v>25</v>
      </c>
      <c r="T5916" s="1" t="str">
        <f t="shared" si="11114"/>
        <v>0</v>
      </c>
      <c r="U5916" s="1" t="str">
        <f t="shared" si="11161"/>
        <v>0.0070</v>
      </c>
    </row>
    <row r="5917" s="1" customFormat="1" spans="1:21">
      <c r="A5917" s="1" t="str">
        <f>"4601992223840"</f>
        <v>4601992223840</v>
      </c>
      <c r="B5917" s="1" t="s">
        <v>5940</v>
      </c>
      <c r="C5917" s="1" t="s">
        <v>24</v>
      </c>
      <c r="D5917" s="1" t="str">
        <f t="shared" si="11111"/>
        <v>2021</v>
      </c>
      <c r="E5917" s="1" t="str">
        <f t="shared" ref="E5917:P5917" si="11164">"0"</f>
        <v>0</v>
      </c>
      <c r="F5917" s="1" t="str">
        <f t="shared" si="11164"/>
        <v>0</v>
      </c>
      <c r="G5917" s="1" t="str">
        <f t="shared" si="11164"/>
        <v>0</v>
      </c>
      <c r="H5917" s="1" t="str">
        <f t="shared" si="11164"/>
        <v>0</v>
      </c>
      <c r="I5917" s="1" t="str">
        <f t="shared" si="11164"/>
        <v>0</v>
      </c>
      <c r="J5917" s="1" t="str">
        <f t="shared" si="11164"/>
        <v>0</v>
      </c>
      <c r="K5917" s="1" t="str">
        <f t="shared" si="11164"/>
        <v>0</v>
      </c>
      <c r="L5917" s="1" t="str">
        <f t="shared" si="11164"/>
        <v>0</v>
      </c>
      <c r="M5917" s="1" t="str">
        <f t="shared" si="11164"/>
        <v>0</v>
      </c>
      <c r="N5917" s="1" t="str">
        <f t="shared" si="11164"/>
        <v>0</v>
      </c>
      <c r="O5917" s="1" t="str">
        <f t="shared" si="11164"/>
        <v>0</v>
      </c>
      <c r="P5917" s="1" t="str">
        <f t="shared" si="11164"/>
        <v>0</v>
      </c>
      <c r="Q5917" s="1" t="str">
        <f t="shared" si="11113"/>
        <v>0.0070</v>
      </c>
      <c r="R5917" s="1" t="s">
        <v>25</v>
      </c>
      <c r="T5917" s="1" t="str">
        <f t="shared" si="11114"/>
        <v>0</v>
      </c>
      <c r="U5917" s="1" t="str">
        <f t="shared" si="11161"/>
        <v>0.0070</v>
      </c>
    </row>
    <row r="5918" s="1" customFormat="1" spans="1:21">
      <c r="A5918" s="1" t="str">
        <f>"4601992223917"</f>
        <v>4601992223917</v>
      </c>
      <c r="B5918" s="1" t="s">
        <v>5941</v>
      </c>
      <c r="C5918" s="1" t="s">
        <v>24</v>
      </c>
      <c r="D5918" s="1" t="str">
        <f t="shared" si="11111"/>
        <v>2021</v>
      </c>
      <c r="E5918" s="1" t="str">
        <f t="shared" ref="E5918:P5918" si="11165">"0"</f>
        <v>0</v>
      </c>
      <c r="F5918" s="1" t="str">
        <f t="shared" si="11165"/>
        <v>0</v>
      </c>
      <c r="G5918" s="1" t="str">
        <f t="shared" si="11165"/>
        <v>0</v>
      </c>
      <c r="H5918" s="1" t="str">
        <f t="shared" si="11165"/>
        <v>0</v>
      </c>
      <c r="I5918" s="1" t="str">
        <f t="shared" si="11165"/>
        <v>0</v>
      </c>
      <c r="J5918" s="1" t="str">
        <f t="shared" si="11165"/>
        <v>0</v>
      </c>
      <c r="K5918" s="1" t="str">
        <f t="shared" si="11165"/>
        <v>0</v>
      </c>
      <c r="L5918" s="1" t="str">
        <f t="shared" si="11165"/>
        <v>0</v>
      </c>
      <c r="M5918" s="1" t="str">
        <f t="shared" si="11165"/>
        <v>0</v>
      </c>
      <c r="N5918" s="1" t="str">
        <f t="shared" si="11165"/>
        <v>0</v>
      </c>
      <c r="O5918" s="1" t="str">
        <f t="shared" si="11165"/>
        <v>0</v>
      </c>
      <c r="P5918" s="1" t="str">
        <f t="shared" si="11165"/>
        <v>0</v>
      </c>
      <c r="Q5918" s="1" t="str">
        <f t="shared" si="11113"/>
        <v>0.0070</v>
      </c>
      <c r="R5918" s="1" t="s">
        <v>25</v>
      </c>
      <c r="T5918" s="1" t="str">
        <f t="shared" si="11114"/>
        <v>0</v>
      </c>
      <c r="U5918" s="1" t="str">
        <f t="shared" si="11161"/>
        <v>0.0070</v>
      </c>
    </row>
    <row r="5919" s="1" customFormat="1" spans="1:21">
      <c r="A5919" s="1" t="str">
        <f>"4601992223813"</f>
        <v>4601992223813</v>
      </c>
      <c r="B5919" s="1" t="s">
        <v>5942</v>
      </c>
      <c r="C5919" s="1" t="s">
        <v>24</v>
      </c>
      <c r="D5919" s="1" t="str">
        <f t="shared" si="11111"/>
        <v>2021</v>
      </c>
      <c r="E5919" s="1" t="str">
        <f t="shared" ref="E5919:I5919" si="11166">"0"</f>
        <v>0</v>
      </c>
      <c r="F5919" s="1" t="str">
        <f t="shared" si="11166"/>
        <v>0</v>
      </c>
      <c r="G5919" s="1" t="str">
        <f t="shared" si="11166"/>
        <v>0</v>
      </c>
      <c r="H5919" s="1" t="str">
        <f t="shared" si="11166"/>
        <v>0</v>
      </c>
      <c r="I5919" s="1" t="str">
        <f t="shared" si="11166"/>
        <v>0</v>
      </c>
      <c r="J5919" s="1" t="str">
        <f>"3"</f>
        <v>3</v>
      </c>
      <c r="K5919" s="1" t="str">
        <f t="shared" ref="K5919:P5919" si="11167">"0"</f>
        <v>0</v>
      </c>
      <c r="L5919" s="1" t="str">
        <f t="shared" si="11167"/>
        <v>0</v>
      </c>
      <c r="M5919" s="1" t="str">
        <f t="shared" si="11167"/>
        <v>0</v>
      </c>
      <c r="N5919" s="1" t="str">
        <f t="shared" si="11167"/>
        <v>0</v>
      </c>
      <c r="O5919" s="1" t="str">
        <f t="shared" si="11167"/>
        <v>0</v>
      </c>
      <c r="P5919" s="1" t="str">
        <f t="shared" si="11167"/>
        <v>0</v>
      </c>
      <c r="Q5919" s="1" t="str">
        <f t="shared" si="11113"/>
        <v>0.0070</v>
      </c>
      <c r="R5919" s="1" t="s">
        <v>25</v>
      </c>
      <c r="T5919" s="1" t="str">
        <f t="shared" si="11114"/>
        <v>0</v>
      </c>
      <c r="U5919" s="1" t="str">
        <f t="shared" si="11161"/>
        <v>0.0070</v>
      </c>
    </row>
    <row r="5920" s="1" customFormat="1" spans="1:21">
      <c r="A5920" s="1" t="str">
        <f>"4601992224326"</f>
        <v>4601992224326</v>
      </c>
      <c r="B5920" s="1" t="s">
        <v>5943</v>
      </c>
      <c r="C5920" s="1" t="s">
        <v>24</v>
      </c>
      <c r="D5920" s="1" t="str">
        <f t="shared" si="11111"/>
        <v>2021</v>
      </c>
      <c r="E5920" s="1" t="str">
        <f t="shared" ref="E5920:P5920" si="11168">"0"</f>
        <v>0</v>
      </c>
      <c r="F5920" s="1" t="str">
        <f t="shared" si="11168"/>
        <v>0</v>
      </c>
      <c r="G5920" s="1" t="str">
        <f t="shared" si="11168"/>
        <v>0</v>
      </c>
      <c r="H5920" s="1" t="str">
        <f t="shared" si="11168"/>
        <v>0</v>
      </c>
      <c r="I5920" s="1" t="str">
        <f t="shared" si="11168"/>
        <v>0</v>
      </c>
      <c r="J5920" s="1" t="str">
        <f t="shared" si="11168"/>
        <v>0</v>
      </c>
      <c r="K5920" s="1" t="str">
        <f t="shared" si="11168"/>
        <v>0</v>
      </c>
      <c r="L5920" s="1" t="str">
        <f t="shared" si="11168"/>
        <v>0</v>
      </c>
      <c r="M5920" s="1" t="str">
        <f t="shared" si="11168"/>
        <v>0</v>
      </c>
      <c r="N5920" s="1" t="str">
        <f t="shared" si="11168"/>
        <v>0</v>
      </c>
      <c r="O5920" s="1" t="str">
        <f t="shared" si="11168"/>
        <v>0</v>
      </c>
      <c r="P5920" s="1" t="str">
        <f t="shared" si="11168"/>
        <v>0</v>
      </c>
      <c r="Q5920" s="1" t="str">
        <f t="shared" si="11113"/>
        <v>0.0070</v>
      </c>
      <c r="R5920" s="1" t="s">
        <v>25</v>
      </c>
      <c r="T5920" s="1" t="str">
        <f t="shared" si="11114"/>
        <v>0</v>
      </c>
      <c r="U5920" s="1" t="str">
        <f t="shared" si="11161"/>
        <v>0.0070</v>
      </c>
    </row>
    <row r="5921" s="1" customFormat="1" spans="1:21">
      <c r="A5921" s="1" t="str">
        <f>"4601992224355"</f>
        <v>4601992224355</v>
      </c>
      <c r="B5921" s="1" t="s">
        <v>5944</v>
      </c>
      <c r="C5921" s="1" t="s">
        <v>24</v>
      </c>
      <c r="D5921" s="1" t="str">
        <f t="shared" si="11111"/>
        <v>2021</v>
      </c>
      <c r="E5921" s="1" t="str">
        <f t="shared" ref="E5921:P5921" si="11169">"0"</f>
        <v>0</v>
      </c>
      <c r="F5921" s="1" t="str">
        <f t="shared" si="11169"/>
        <v>0</v>
      </c>
      <c r="G5921" s="1" t="str">
        <f t="shared" si="11169"/>
        <v>0</v>
      </c>
      <c r="H5921" s="1" t="str">
        <f t="shared" si="11169"/>
        <v>0</v>
      </c>
      <c r="I5921" s="1" t="str">
        <f t="shared" si="11169"/>
        <v>0</v>
      </c>
      <c r="J5921" s="1" t="str">
        <f t="shared" si="11169"/>
        <v>0</v>
      </c>
      <c r="K5921" s="1" t="str">
        <f t="shared" si="11169"/>
        <v>0</v>
      </c>
      <c r="L5921" s="1" t="str">
        <f t="shared" si="11169"/>
        <v>0</v>
      </c>
      <c r="M5921" s="1" t="str">
        <f t="shared" si="11169"/>
        <v>0</v>
      </c>
      <c r="N5921" s="1" t="str">
        <f t="shared" si="11169"/>
        <v>0</v>
      </c>
      <c r="O5921" s="1" t="str">
        <f t="shared" si="11169"/>
        <v>0</v>
      </c>
      <c r="P5921" s="1" t="str">
        <f t="shared" si="11169"/>
        <v>0</v>
      </c>
      <c r="Q5921" s="1" t="str">
        <f t="shared" si="11113"/>
        <v>0.0070</v>
      </c>
      <c r="R5921" s="1" t="s">
        <v>25</v>
      </c>
      <c r="T5921" s="1" t="str">
        <f t="shared" si="11114"/>
        <v>0</v>
      </c>
      <c r="U5921" s="1" t="str">
        <f t="shared" si="11161"/>
        <v>0.0070</v>
      </c>
    </row>
    <row r="5922" s="1" customFormat="1" spans="1:21">
      <c r="A5922" s="1" t="str">
        <f>"4601992224350"</f>
        <v>4601992224350</v>
      </c>
      <c r="B5922" s="1" t="s">
        <v>5945</v>
      </c>
      <c r="C5922" s="1" t="s">
        <v>24</v>
      </c>
      <c r="D5922" s="1" t="str">
        <f t="shared" si="11111"/>
        <v>2021</v>
      </c>
      <c r="E5922" s="1" t="str">
        <f t="shared" ref="E5922:I5922" si="11170">"0"</f>
        <v>0</v>
      </c>
      <c r="F5922" s="1" t="str">
        <f t="shared" si="11170"/>
        <v>0</v>
      </c>
      <c r="G5922" s="1" t="str">
        <f t="shared" si="11170"/>
        <v>0</v>
      </c>
      <c r="H5922" s="1" t="str">
        <f t="shared" si="11170"/>
        <v>0</v>
      </c>
      <c r="I5922" s="1" t="str">
        <f t="shared" si="11170"/>
        <v>0</v>
      </c>
      <c r="J5922" s="1" t="str">
        <f>"2"</f>
        <v>2</v>
      </c>
      <c r="K5922" s="1" t="str">
        <f t="shared" ref="K5922:P5922" si="11171">"0"</f>
        <v>0</v>
      </c>
      <c r="L5922" s="1" t="str">
        <f t="shared" si="11171"/>
        <v>0</v>
      </c>
      <c r="M5922" s="1" t="str">
        <f t="shared" si="11171"/>
        <v>0</v>
      </c>
      <c r="N5922" s="1" t="str">
        <f t="shared" si="11171"/>
        <v>0</v>
      </c>
      <c r="O5922" s="1" t="str">
        <f t="shared" si="11171"/>
        <v>0</v>
      </c>
      <c r="P5922" s="1" t="str">
        <f t="shared" si="11171"/>
        <v>0</v>
      </c>
      <c r="Q5922" s="1" t="str">
        <f t="shared" si="11113"/>
        <v>0.0070</v>
      </c>
      <c r="R5922" s="1" t="s">
        <v>25</v>
      </c>
      <c r="T5922" s="1" t="str">
        <f t="shared" si="11114"/>
        <v>0</v>
      </c>
      <c r="U5922" s="1" t="str">
        <f t="shared" si="11161"/>
        <v>0.0070</v>
      </c>
    </row>
    <row r="5923" s="1" customFormat="1" spans="1:21">
      <c r="A5923" s="1" t="str">
        <f>"4601992224395"</f>
        <v>4601992224395</v>
      </c>
      <c r="B5923" s="1" t="s">
        <v>5946</v>
      </c>
      <c r="C5923" s="1" t="s">
        <v>24</v>
      </c>
      <c r="D5923" s="1" t="str">
        <f t="shared" si="11111"/>
        <v>2021</v>
      </c>
      <c r="E5923" s="1" t="str">
        <f t="shared" ref="E5923:P5923" si="11172">"0"</f>
        <v>0</v>
      </c>
      <c r="F5923" s="1" t="str">
        <f t="shared" si="11172"/>
        <v>0</v>
      </c>
      <c r="G5923" s="1" t="str">
        <f t="shared" si="11172"/>
        <v>0</v>
      </c>
      <c r="H5923" s="1" t="str">
        <f t="shared" si="11172"/>
        <v>0</v>
      </c>
      <c r="I5923" s="1" t="str">
        <f t="shared" si="11172"/>
        <v>0</v>
      </c>
      <c r="J5923" s="1" t="str">
        <f t="shared" si="11172"/>
        <v>0</v>
      </c>
      <c r="K5923" s="1" t="str">
        <f t="shared" si="11172"/>
        <v>0</v>
      </c>
      <c r="L5923" s="1" t="str">
        <f t="shared" si="11172"/>
        <v>0</v>
      </c>
      <c r="M5923" s="1" t="str">
        <f t="shared" si="11172"/>
        <v>0</v>
      </c>
      <c r="N5923" s="1" t="str">
        <f t="shared" si="11172"/>
        <v>0</v>
      </c>
      <c r="O5923" s="1" t="str">
        <f t="shared" si="11172"/>
        <v>0</v>
      </c>
      <c r="P5923" s="1" t="str">
        <f t="shared" si="11172"/>
        <v>0</v>
      </c>
      <c r="Q5923" s="1" t="str">
        <f t="shared" si="11113"/>
        <v>0.0070</v>
      </c>
      <c r="R5923" s="1" t="s">
        <v>25</v>
      </c>
      <c r="T5923" s="1" t="str">
        <f t="shared" si="11114"/>
        <v>0</v>
      </c>
      <c r="U5923" s="1" t="str">
        <f t="shared" si="11161"/>
        <v>0.0070</v>
      </c>
    </row>
    <row r="5924" s="1" customFormat="1" spans="1:21">
      <c r="A5924" s="1" t="str">
        <f>"4601992224428"</f>
        <v>4601992224428</v>
      </c>
      <c r="B5924" s="1" t="s">
        <v>5947</v>
      </c>
      <c r="C5924" s="1" t="s">
        <v>24</v>
      </c>
      <c r="D5924" s="1" t="str">
        <f t="shared" si="11111"/>
        <v>2021</v>
      </c>
      <c r="E5924" s="1" t="str">
        <f t="shared" ref="E5924:I5924" si="11173">"0"</f>
        <v>0</v>
      </c>
      <c r="F5924" s="1" t="str">
        <f t="shared" si="11173"/>
        <v>0</v>
      </c>
      <c r="G5924" s="1" t="str">
        <f t="shared" si="11173"/>
        <v>0</v>
      </c>
      <c r="H5924" s="1" t="str">
        <f t="shared" si="11173"/>
        <v>0</v>
      </c>
      <c r="I5924" s="1" t="str">
        <f t="shared" si="11173"/>
        <v>0</v>
      </c>
      <c r="J5924" s="1" t="str">
        <f>"2"</f>
        <v>2</v>
      </c>
      <c r="K5924" s="1" t="str">
        <f t="shared" ref="K5924:P5924" si="11174">"0"</f>
        <v>0</v>
      </c>
      <c r="L5924" s="1" t="str">
        <f t="shared" si="11174"/>
        <v>0</v>
      </c>
      <c r="M5924" s="1" t="str">
        <f t="shared" si="11174"/>
        <v>0</v>
      </c>
      <c r="N5924" s="1" t="str">
        <f t="shared" si="11174"/>
        <v>0</v>
      </c>
      <c r="O5924" s="1" t="str">
        <f t="shared" si="11174"/>
        <v>0</v>
      </c>
      <c r="P5924" s="1" t="str">
        <f t="shared" si="11174"/>
        <v>0</v>
      </c>
      <c r="Q5924" s="1" t="str">
        <f t="shared" si="11113"/>
        <v>0.0070</v>
      </c>
      <c r="R5924" s="1" t="s">
        <v>25</v>
      </c>
      <c r="T5924" s="1" t="str">
        <f t="shared" si="11114"/>
        <v>0</v>
      </c>
      <c r="U5924" s="1" t="str">
        <f t="shared" si="11161"/>
        <v>0.0070</v>
      </c>
    </row>
    <row r="5925" s="1" customFormat="1" spans="1:21">
      <c r="A5925" s="1" t="str">
        <f>"4601992224393"</f>
        <v>4601992224393</v>
      </c>
      <c r="B5925" s="1" t="s">
        <v>5948</v>
      </c>
      <c r="C5925" s="1" t="s">
        <v>24</v>
      </c>
      <c r="D5925" s="1" t="str">
        <f t="shared" si="11111"/>
        <v>2021</v>
      </c>
      <c r="E5925" s="1" t="str">
        <f t="shared" ref="E5925:I5925" si="11175">"0"</f>
        <v>0</v>
      </c>
      <c r="F5925" s="1" t="str">
        <f t="shared" si="11175"/>
        <v>0</v>
      </c>
      <c r="G5925" s="1" t="str">
        <f t="shared" si="11175"/>
        <v>0</v>
      </c>
      <c r="H5925" s="1" t="str">
        <f t="shared" si="11175"/>
        <v>0</v>
      </c>
      <c r="I5925" s="1" t="str">
        <f t="shared" si="11175"/>
        <v>0</v>
      </c>
      <c r="J5925" s="1" t="str">
        <f>"3"</f>
        <v>3</v>
      </c>
      <c r="K5925" s="1" t="str">
        <f t="shared" ref="K5925:P5925" si="11176">"0"</f>
        <v>0</v>
      </c>
      <c r="L5925" s="1" t="str">
        <f t="shared" si="11176"/>
        <v>0</v>
      </c>
      <c r="M5925" s="1" t="str">
        <f t="shared" si="11176"/>
        <v>0</v>
      </c>
      <c r="N5925" s="1" t="str">
        <f t="shared" si="11176"/>
        <v>0</v>
      </c>
      <c r="O5925" s="1" t="str">
        <f t="shared" si="11176"/>
        <v>0</v>
      </c>
      <c r="P5925" s="1" t="str">
        <f t="shared" si="11176"/>
        <v>0</v>
      </c>
      <c r="Q5925" s="1" t="str">
        <f t="shared" si="11113"/>
        <v>0.0070</v>
      </c>
      <c r="R5925" s="1" t="s">
        <v>25</v>
      </c>
      <c r="T5925" s="1" t="str">
        <f t="shared" si="11114"/>
        <v>0</v>
      </c>
      <c r="U5925" s="1" t="str">
        <f t="shared" si="11161"/>
        <v>0.0070</v>
      </c>
    </row>
    <row r="5926" s="1" customFormat="1" spans="1:21">
      <c r="A5926" s="1" t="str">
        <f>"4601992224549"</f>
        <v>4601992224549</v>
      </c>
      <c r="B5926" s="1" t="s">
        <v>5949</v>
      </c>
      <c r="C5926" s="1" t="s">
        <v>24</v>
      </c>
      <c r="D5926" s="1" t="str">
        <f t="shared" si="11111"/>
        <v>2021</v>
      </c>
      <c r="E5926" s="1" t="str">
        <f t="shared" ref="E5926:I5926" si="11177">"0"</f>
        <v>0</v>
      </c>
      <c r="F5926" s="1" t="str">
        <f t="shared" si="11177"/>
        <v>0</v>
      </c>
      <c r="G5926" s="1" t="str">
        <f t="shared" si="11177"/>
        <v>0</v>
      </c>
      <c r="H5926" s="1" t="str">
        <f t="shared" si="11177"/>
        <v>0</v>
      </c>
      <c r="I5926" s="1" t="str">
        <f t="shared" si="11177"/>
        <v>0</v>
      </c>
      <c r="J5926" s="1" t="str">
        <f>"1"</f>
        <v>1</v>
      </c>
      <c r="K5926" s="1" t="str">
        <f t="shared" ref="K5926:P5926" si="11178">"0"</f>
        <v>0</v>
      </c>
      <c r="L5926" s="1" t="str">
        <f t="shared" si="11178"/>
        <v>0</v>
      </c>
      <c r="M5926" s="1" t="str">
        <f t="shared" si="11178"/>
        <v>0</v>
      </c>
      <c r="N5926" s="1" t="str">
        <f t="shared" si="11178"/>
        <v>0</v>
      </c>
      <c r="O5926" s="1" t="str">
        <f t="shared" si="11178"/>
        <v>0</v>
      </c>
      <c r="P5926" s="1" t="str">
        <f t="shared" si="11178"/>
        <v>0</v>
      </c>
      <c r="Q5926" s="1" t="str">
        <f t="shared" si="11113"/>
        <v>0.0070</v>
      </c>
      <c r="R5926" s="1" t="s">
        <v>25</v>
      </c>
      <c r="T5926" s="1" t="str">
        <f t="shared" si="11114"/>
        <v>0</v>
      </c>
      <c r="U5926" s="1" t="str">
        <f t="shared" si="11161"/>
        <v>0.0070</v>
      </c>
    </row>
    <row r="5927" s="1" customFormat="1" spans="1:21">
      <c r="A5927" s="1" t="str">
        <f>"4601992224635"</f>
        <v>4601992224635</v>
      </c>
      <c r="B5927" s="1" t="s">
        <v>5950</v>
      </c>
      <c r="C5927" s="1" t="s">
        <v>24</v>
      </c>
      <c r="D5927" s="1" t="str">
        <f t="shared" si="11111"/>
        <v>2021</v>
      </c>
      <c r="E5927" s="1" t="str">
        <f t="shared" ref="E5927:P5927" si="11179">"0"</f>
        <v>0</v>
      </c>
      <c r="F5927" s="1" t="str">
        <f t="shared" si="11179"/>
        <v>0</v>
      </c>
      <c r="G5927" s="1" t="str">
        <f t="shared" si="11179"/>
        <v>0</v>
      </c>
      <c r="H5927" s="1" t="str">
        <f t="shared" si="11179"/>
        <v>0</v>
      </c>
      <c r="I5927" s="1" t="str">
        <f t="shared" si="11179"/>
        <v>0</v>
      </c>
      <c r="J5927" s="1" t="str">
        <f t="shared" si="11179"/>
        <v>0</v>
      </c>
      <c r="K5927" s="1" t="str">
        <f t="shared" si="11179"/>
        <v>0</v>
      </c>
      <c r="L5927" s="1" t="str">
        <f t="shared" si="11179"/>
        <v>0</v>
      </c>
      <c r="M5927" s="1" t="str">
        <f t="shared" si="11179"/>
        <v>0</v>
      </c>
      <c r="N5927" s="1" t="str">
        <f t="shared" si="11179"/>
        <v>0</v>
      </c>
      <c r="O5927" s="1" t="str">
        <f t="shared" si="11179"/>
        <v>0</v>
      </c>
      <c r="P5927" s="1" t="str">
        <f t="shared" si="11179"/>
        <v>0</v>
      </c>
      <c r="Q5927" s="1" t="str">
        <f t="shared" si="11113"/>
        <v>0.0070</v>
      </c>
      <c r="R5927" s="1" t="s">
        <v>25</v>
      </c>
      <c r="T5927" s="1" t="str">
        <f t="shared" si="11114"/>
        <v>0</v>
      </c>
      <c r="U5927" s="1" t="str">
        <f t="shared" si="11161"/>
        <v>0.0070</v>
      </c>
    </row>
    <row r="5928" s="1" customFormat="1" spans="1:21">
      <c r="A5928" s="1" t="str">
        <f>"4601992224551"</f>
        <v>4601992224551</v>
      </c>
      <c r="B5928" s="1" t="s">
        <v>5951</v>
      </c>
      <c r="C5928" s="1" t="s">
        <v>24</v>
      </c>
      <c r="D5928" s="1" t="str">
        <f t="shared" si="11111"/>
        <v>2021</v>
      </c>
      <c r="E5928" s="1" t="str">
        <f t="shared" ref="E5928:I5928" si="11180">"0"</f>
        <v>0</v>
      </c>
      <c r="F5928" s="1" t="str">
        <f t="shared" si="11180"/>
        <v>0</v>
      </c>
      <c r="G5928" s="1" t="str">
        <f t="shared" si="11180"/>
        <v>0</v>
      </c>
      <c r="H5928" s="1" t="str">
        <f t="shared" si="11180"/>
        <v>0</v>
      </c>
      <c r="I5928" s="1" t="str">
        <f t="shared" si="11180"/>
        <v>0</v>
      </c>
      <c r="J5928" s="1" t="str">
        <f>"2"</f>
        <v>2</v>
      </c>
      <c r="K5928" s="1" t="str">
        <f t="shared" ref="K5928:P5928" si="11181">"0"</f>
        <v>0</v>
      </c>
      <c r="L5928" s="1" t="str">
        <f t="shared" si="11181"/>
        <v>0</v>
      </c>
      <c r="M5928" s="1" t="str">
        <f t="shared" si="11181"/>
        <v>0</v>
      </c>
      <c r="N5928" s="1" t="str">
        <f t="shared" si="11181"/>
        <v>0</v>
      </c>
      <c r="O5928" s="1" t="str">
        <f t="shared" si="11181"/>
        <v>0</v>
      </c>
      <c r="P5928" s="1" t="str">
        <f t="shared" si="11181"/>
        <v>0</v>
      </c>
      <c r="Q5928" s="1" t="str">
        <f t="shared" si="11113"/>
        <v>0.0070</v>
      </c>
      <c r="R5928" s="1" t="s">
        <v>25</v>
      </c>
      <c r="T5928" s="1" t="str">
        <f t="shared" si="11114"/>
        <v>0</v>
      </c>
      <c r="U5928" s="1" t="str">
        <f t="shared" si="11161"/>
        <v>0.0070</v>
      </c>
    </row>
    <row r="5929" s="1" customFormat="1" spans="1:21">
      <c r="A5929" s="1" t="str">
        <f>"4601992224949"</f>
        <v>4601992224949</v>
      </c>
      <c r="B5929" s="1" t="s">
        <v>5952</v>
      </c>
      <c r="C5929" s="1" t="s">
        <v>24</v>
      </c>
      <c r="D5929" s="1" t="str">
        <f t="shared" si="11111"/>
        <v>2021</v>
      </c>
      <c r="E5929" s="1" t="str">
        <f t="shared" ref="E5929:I5929" si="11182">"0"</f>
        <v>0</v>
      </c>
      <c r="F5929" s="1" t="str">
        <f t="shared" si="11182"/>
        <v>0</v>
      </c>
      <c r="G5929" s="1" t="str">
        <f t="shared" si="11182"/>
        <v>0</v>
      </c>
      <c r="H5929" s="1" t="str">
        <f t="shared" si="11182"/>
        <v>0</v>
      </c>
      <c r="I5929" s="1" t="str">
        <f t="shared" si="11182"/>
        <v>0</v>
      </c>
      <c r="J5929" s="1" t="str">
        <f>"1"</f>
        <v>1</v>
      </c>
      <c r="K5929" s="1" t="str">
        <f t="shared" ref="K5929:P5929" si="11183">"0"</f>
        <v>0</v>
      </c>
      <c r="L5929" s="1" t="str">
        <f t="shared" si="11183"/>
        <v>0</v>
      </c>
      <c r="M5929" s="1" t="str">
        <f t="shared" si="11183"/>
        <v>0</v>
      </c>
      <c r="N5929" s="1" t="str">
        <f t="shared" si="11183"/>
        <v>0</v>
      </c>
      <c r="O5929" s="1" t="str">
        <f t="shared" si="11183"/>
        <v>0</v>
      </c>
      <c r="P5929" s="1" t="str">
        <f t="shared" si="11183"/>
        <v>0</v>
      </c>
      <c r="Q5929" s="1" t="str">
        <f t="shared" si="11113"/>
        <v>0.0070</v>
      </c>
      <c r="R5929" s="1" t="s">
        <v>25</v>
      </c>
      <c r="T5929" s="1" t="str">
        <f t="shared" si="11114"/>
        <v>0</v>
      </c>
      <c r="U5929" s="1" t="str">
        <f t="shared" si="11161"/>
        <v>0.0070</v>
      </c>
    </row>
    <row r="5930" s="1" customFormat="1" spans="1:21">
      <c r="A5930" s="1" t="str">
        <f>"4601992224951"</f>
        <v>4601992224951</v>
      </c>
      <c r="B5930" s="1" t="s">
        <v>5953</v>
      </c>
      <c r="C5930" s="1" t="s">
        <v>24</v>
      </c>
      <c r="D5930" s="1" t="str">
        <f t="shared" si="11111"/>
        <v>2021</v>
      </c>
      <c r="E5930" s="1" t="str">
        <f t="shared" ref="E5930:I5930" si="11184">"0"</f>
        <v>0</v>
      </c>
      <c r="F5930" s="1" t="str">
        <f t="shared" si="11184"/>
        <v>0</v>
      </c>
      <c r="G5930" s="1" t="str">
        <f t="shared" si="11184"/>
        <v>0</v>
      </c>
      <c r="H5930" s="1" t="str">
        <f t="shared" si="11184"/>
        <v>0</v>
      </c>
      <c r="I5930" s="1" t="str">
        <f t="shared" si="11184"/>
        <v>0</v>
      </c>
      <c r="J5930" s="1" t="str">
        <f>"2"</f>
        <v>2</v>
      </c>
      <c r="K5930" s="1" t="str">
        <f t="shared" ref="K5930:P5930" si="11185">"0"</f>
        <v>0</v>
      </c>
      <c r="L5930" s="1" t="str">
        <f t="shared" si="11185"/>
        <v>0</v>
      </c>
      <c r="M5930" s="1" t="str">
        <f t="shared" si="11185"/>
        <v>0</v>
      </c>
      <c r="N5930" s="1" t="str">
        <f t="shared" si="11185"/>
        <v>0</v>
      </c>
      <c r="O5930" s="1" t="str">
        <f t="shared" si="11185"/>
        <v>0</v>
      </c>
      <c r="P5930" s="1" t="str">
        <f t="shared" si="11185"/>
        <v>0</v>
      </c>
      <c r="Q5930" s="1" t="str">
        <f t="shared" si="11113"/>
        <v>0.0070</v>
      </c>
      <c r="R5930" s="1" t="s">
        <v>25</v>
      </c>
      <c r="T5930" s="1" t="str">
        <f t="shared" si="11114"/>
        <v>0</v>
      </c>
      <c r="U5930" s="1" t="str">
        <f t="shared" si="11161"/>
        <v>0.0070</v>
      </c>
    </row>
    <row r="5931" s="1" customFormat="1" spans="1:21">
      <c r="A5931" s="1" t="str">
        <f>"4601992225022"</f>
        <v>4601992225022</v>
      </c>
      <c r="B5931" s="1" t="s">
        <v>5954</v>
      </c>
      <c r="C5931" s="1" t="s">
        <v>24</v>
      </c>
      <c r="D5931" s="1" t="str">
        <f t="shared" si="11111"/>
        <v>2021</v>
      </c>
      <c r="E5931" s="1" t="str">
        <f t="shared" ref="E5931:I5931" si="11186">"0"</f>
        <v>0</v>
      </c>
      <c r="F5931" s="1" t="str">
        <f t="shared" si="11186"/>
        <v>0</v>
      </c>
      <c r="G5931" s="1" t="str">
        <f t="shared" si="11186"/>
        <v>0</v>
      </c>
      <c r="H5931" s="1" t="str">
        <f t="shared" si="11186"/>
        <v>0</v>
      </c>
      <c r="I5931" s="1" t="str">
        <f t="shared" si="11186"/>
        <v>0</v>
      </c>
      <c r="J5931" s="1" t="str">
        <f>"4"</f>
        <v>4</v>
      </c>
      <c r="K5931" s="1" t="str">
        <f t="shared" ref="K5931:P5931" si="11187">"0"</f>
        <v>0</v>
      </c>
      <c r="L5931" s="1" t="str">
        <f t="shared" si="11187"/>
        <v>0</v>
      </c>
      <c r="M5931" s="1" t="str">
        <f t="shared" si="11187"/>
        <v>0</v>
      </c>
      <c r="N5931" s="1" t="str">
        <f t="shared" si="11187"/>
        <v>0</v>
      </c>
      <c r="O5931" s="1" t="str">
        <f t="shared" si="11187"/>
        <v>0</v>
      </c>
      <c r="P5931" s="1" t="str">
        <f t="shared" si="11187"/>
        <v>0</v>
      </c>
      <c r="Q5931" s="1" t="str">
        <f t="shared" si="11113"/>
        <v>0.0070</v>
      </c>
      <c r="R5931" s="1" t="s">
        <v>25</v>
      </c>
      <c r="T5931" s="1" t="str">
        <f t="shared" si="11114"/>
        <v>0</v>
      </c>
      <c r="U5931" s="1" t="str">
        <f t="shared" si="11161"/>
        <v>0.0070</v>
      </c>
    </row>
    <row r="5932" s="1" customFormat="1" spans="1:21">
      <c r="A5932" s="1" t="str">
        <f>"4601992224954"</f>
        <v>4601992224954</v>
      </c>
      <c r="B5932" s="1" t="s">
        <v>5955</v>
      </c>
      <c r="C5932" s="1" t="s">
        <v>24</v>
      </c>
      <c r="D5932" s="1" t="str">
        <f t="shared" si="11111"/>
        <v>2021</v>
      </c>
      <c r="E5932" s="1" t="str">
        <f t="shared" ref="E5932:I5932" si="11188">"0"</f>
        <v>0</v>
      </c>
      <c r="F5932" s="1" t="str">
        <f t="shared" si="11188"/>
        <v>0</v>
      </c>
      <c r="G5932" s="1" t="str">
        <f t="shared" si="11188"/>
        <v>0</v>
      </c>
      <c r="H5932" s="1" t="str">
        <f t="shared" si="11188"/>
        <v>0</v>
      </c>
      <c r="I5932" s="1" t="str">
        <f t="shared" si="11188"/>
        <v>0</v>
      </c>
      <c r="J5932" s="1" t="str">
        <f>"1"</f>
        <v>1</v>
      </c>
      <c r="K5932" s="1" t="str">
        <f t="shared" ref="K5932:P5932" si="11189">"0"</f>
        <v>0</v>
      </c>
      <c r="L5932" s="1" t="str">
        <f t="shared" si="11189"/>
        <v>0</v>
      </c>
      <c r="M5932" s="1" t="str">
        <f t="shared" si="11189"/>
        <v>0</v>
      </c>
      <c r="N5932" s="1" t="str">
        <f t="shared" si="11189"/>
        <v>0</v>
      </c>
      <c r="O5932" s="1" t="str">
        <f t="shared" si="11189"/>
        <v>0</v>
      </c>
      <c r="P5932" s="1" t="str">
        <f t="shared" si="11189"/>
        <v>0</v>
      </c>
      <c r="Q5932" s="1" t="str">
        <f t="shared" si="11113"/>
        <v>0.0070</v>
      </c>
      <c r="R5932" s="1" t="s">
        <v>25</v>
      </c>
      <c r="T5932" s="1" t="str">
        <f t="shared" si="11114"/>
        <v>0</v>
      </c>
      <c r="U5932" s="1" t="str">
        <f t="shared" si="11161"/>
        <v>0.0070</v>
      </c>
    </row>
    <row r="5933" s="1" customFormat="1" spans="1:21">
      <c r="A5933" s="1" t="str">
        <f>"4601992225084"</f>
        <v>4601992225084</v>
      </c>
      <c r="B5933" s="1" t="s">
        <v>5956</v>
      </c>
      <c r="C5933" s="1" t="s">
        <v>24</v>
      </c>
      <c r="D5933" s="1" t="str">
        <f t="shared" si="11111"/>
        <v>2021</v>
      </c>
      <c r="E5933" s="1" t="str">
        <f t="shared" ref="E5933:P5933" si="11190">"0"</f>
        <v>0</v>
      </c>
      <c r="F5933" s="1" t="str">
        <f t="shared" si="11190"/>
        <v>0</v>
      </c>
      <c r="G5933" s="1" t="str">
        <f t="shared" si="11190"/>
        <v>0</v>
      </c>
      <c r="H5933" s="1" t="str">
        <f t="shared" si="11190"/>
        <v>0</v>
      </c>
      <c r="I5933" s="1" t="str">
        <f t="shared" si="11190"/>
        <v>0</v>
      </c>
      <c r="J5933" s="1" t="str">
        <f t="shared" si="11190"/>
        <v>0</v>
      </c>
      <c r="K5933" s="1" t="str">
        <f t="shared" si="11190"/>
        <v>0</v>
      </c>
      <c r="L5933" s="1" t="str">
        <f t="shared" si="11190"/>
        <v>0</v>
      </c>
      <c r="M5933" s="1" t="str">
        <f t="shared" si="11190"/>
        <v>0</v>
      </c>
      <c r="N5933" s="1" t="str">
        <f t="shared" si="11190"/>
        <v>0</v>
      </c>
      <c r="O5933" s="1" t="str">
        <f t="shared" si="11190"/>
        <v>0</v>
      </c>
      <c r="P5933" s="1" t="str">
        <f t="shared" si="11190"/>
        <v>0</v>
      </c>
      <c r="Q5933" s="1" t="str">
        <f t="shared" si="11113"/>
        <v>0.0070</v>
      </c>
      <c r="R5933" s="1" t="s">
        <v>25</v>
      </c>
      <c r="T5933" s="1" t="str">
        <f t="shared" si="11114"/>
        <v>0</v>
      </c>
      <c r="U5933" s="1" t="str">
        <f t="shared" si="11161"/>
        <v>0.0070</v>
      </c>
    </row>
    <row r="5934" s="1" customFormat="1" spans="1:21">
      <c r="A5934" s="1" t="str">
        <f>"4601992225182"</f>
        <v>4601992225182</v>
      </c>
      <c r="B5934" s="1" t="s">
        <v>5957</v>
      </c>
      <c r="C5934" s="1" t="s">
        <v>24</v>
      </c>
      <c r="D5934" s="1" t="str">
        <f t="shared" si="11111"/>
        <v>2021</v>
      </c>
      <c r="E5934" s="1" t="str">
        <f t="shared" ref="E5934:P5934" si="11191">"0"</f>
        <v>0</v>
      </c>
      <c r="F5934" s="1" t="str">
        <f t="shared" si="11191"/>
        <v>0</v>
      </c>
      <c r="G5934" s="1" t="str">
        <f t="shared" si="11191"/>
        <v>0</v>
      </c>
      <c r="H5934" s="1" t="str">
        <f t="shared" si="11191"/>
        <v>0</v>
      </c>
      <c r="I5934" s="1" t="str">
        <f t="shared" si="11191"/>
        <v>0</v>
      </c>
      <c r="J5934" s="1" t="str">
        <f t="shared" si="11191"/>
        <v>0</v>
      </c>
      <c r="K5934" s="1" t="str">
        <f t="shared" si="11191"/>
        <v>0</v>
      </c>
      <c r="L5934" s="1" t="str">
        <f t="shared" si="11191"/>
        <v>0</v>
      </c>
      <c r="M5934" s="1" t="str">
        <f t="shared" si="11191"/>
        <v>0</v>
      </c>
      <c r="N5934" s="1" t="str">
        <f t="shared" si="11191"/>
        <v>0</v>
      </c>
      <c r="O5934" s="1" t="str">
        <f t="shared" si="11191"/>
        <v>0</v>
      </c>
      <c r="P5934" s="1" t="str">
        <f t="shared" si="11191"/>
        <v>0</v>
      </c>
      <c r="Q5934" s="1" t="str">
        <f t="shared" si="11113"/>
        <v>0.0070</v>
      </c>
      <c r="R5934" s="1" t="s">
        <v>25</v>
      </c>
      <c r="T5934" s="1" t="str">
        <f t="shared" si="11114"/>
        <v>0</v>
      </c>
      <c r="U5934" s="1" t="str">
        <f t="shared" si="11161"/>
        <v>0.0070</v>
      </c>
    </row>
    <row r="5935" s="1" customFormat="1" spans="1:21">
      <c r="A5935" s="1" t="str">
        <f>"4601992225039"</f>
        <v>4601992225039</v>
      </c>
      <c r="B5935" s="1" t="s">
        <v>5958</v>
      </c>
      <c r="C5935" s="1" t="s">
        <v>24</v>
      </c>
      <c r="D5935" s="1" t="str">
        <f t="shared" si="11111"/>
        <v>2021</v>
      </c>
      <c r="E5935" s="1" t="str">
        <f t="shared" ref="E5935:I5935" si="11192">"0"</f>
        <v>0</v>
      </c>
      <c r="F5935" s="1" t="str">
        <f t="shared" si="11192"/>
        <v>0</v>
      </c>
      <c r="G5935" s="1" t="str">
        <f t="shared" si="11192"/>
        <v>0</v>
      </c>
      <c r="H5935" s="1" t="str">
        <f t="shared" si="11192"/>
        <v>0</v>
      </c>
      <c r="I5935" s="1" t="str">
        <f t="shared" si="11192"/>
        <v>0</v>
      </c>
      <c r="J5935" s="1" t="str">
        <f>"2"</f>
        <v>2</v>
      </c>
      <c r="K5935" s="1" t="str">
        <f t="shared" ref="K5935:P5935" si="11193">"0"</f>
        <v>0</v>
      </c>
      <c r="L5935" s="1" t="str">
        <f t="shared" si="11193"/>
        <v>0</v>
      </c>
      <c r="M5935" s="1" t="str">
        <f t="shared" si="11193"/>
        <v>0</v>
      </c>
      <c r="N5935" s="1" t="str">
        <f t="shared" si="11193"/>
        <v>0</v>
      </c>
      <c r="O5935" s="1" t="str">
        <f t="shared" si="11193"/>
        <v>0</v>
      </c>
      <c r="P5935" s="1" t="str">
        <f t="shared" si="11193"/>
        <v>0</v>
      </c>
      <c r="Q5935" s="1" t="str">
        <f t="shared" si="11113"/>
        <v>0.0070</v>
      </c>
      <c r="R5935" s="1" t="s">
        <v>25</v>
      </c>
      <c r="T5935" s="1" t="str">
        <f t="shared" si="11114"/>
        <v>0</v>
      </c>
      <c r="U5935" s="1" t="str">
        <f t="shared" si="11161"/>
        <v>0.0070</v>
      </c>
    </row>
    <row r="5936" s="1" customFormat="1" spans="1:21">
      <c r="A5936" s="1" t="str">
        <f>"4601992225234"</f>
        <v>4601992225234</v>
      </c>
      <c r="B5936" s="1" t="s">
        <v>5959</v>
      </c>
      <c r="C5936" s="1" t="s">
        <v>24</v>
      </c>
      <c r="D5936" s="1" t="str">
        <f t="shared" si="11111"/>
        <v>2021</v>
      </c>
      <c r="E5936" s="1" t="str">
        <f t="shared" ref="E5936:I5936" si="11194">"0"</f>
        <v>0</v>
      </c>
      <c r="F5936" s="1" t="str">
        <f t="shared" si="11194"/>
        <v>0</v>
      </c>
      <c r="G5936" s="1" t="str">
        <f t="shared" si="11194"/>
        <v>0</v>
      </c>
      <c r="H5936" s="1" t="str">
        <f t="shared" si="11194"/>
        <v>0</v>
      </c>
      <c r="I5936" s="1" t="str">
        <f t="shared" si="11194"/>
        <v>0</v>
      </c>
      <c r="J5936" s="1" t="str">
        <f>"3"</f>
        <v>3</v>
      </c>
      <c r="K5936" s="1" t="str">
        <f t="shared" ref="K5936:P5936" si="11195">"0"</f>
        <v>0</v>
      </c>
      <c r="L5936" s="1" t="str">
        <f t="shared" si="11195"/>
        <v>0</v>
      </c>
      <c r="M5936" s="1" t="str">
        <f t="shared" si="11195"/>
        <v>0</v>
      </c>
      <c r="N5936" s="1" t="str">
        <f t="shared" si="11195"/>
        <v>0</v>
      </c>
      <c r="O5936" s="1" t="str">
        <f t="shared" si="11195"/>
        <v>0</v>
      </c>
      <c r="P5936" s="1" t="str">
        <f t="shared" si="11195"/>
        <v>0</v>
      </c>
      <c r="Q5936" s="1" t="str">
        <f t="shared" si="11113"/>
        <v>0.0070</v>
      </c>
      <c r="R5936" s="1" t="s">
        <v>25</v>
      </c>
      <c r="T5936" s="1" t="str">
        <f t="shared" si="11114"/>
        <v>0</v>
      </c>
      <c r="U5936" s="1" t="str">
        <f t="shared" si="11161"/>
        <v>0.0070</v>
      </c>
    </row>
    <row r="5937" s="1" customFormat="1" spans="1:21">
      <c r="A5937" s="1" t="str">
        <f>"4601992225256"</f>
        <v>4601992225256</v>
      </c>
      <c r="B5937" s="1" t="s">
        <v>5960</v>
      </c>
      <c r="C5937" s="1" t="s">
        <v>24</v>
      </c>
      <c r="D5937" s="1" t="str">
        <f t="shared" si="11111"/>
        <v>2021</v>
      </c>
      <c r="E5937" s="1" t="str">
        <f t="shared" ref="E5937:I5937" si="11196">"0"</f>
        <v>0</v>
      </c>
      <c r="F5937" s="1" t="str">
        <f t="shared" si="11196"/>
        <v>0</v>
      </c>
      <c r="G5937" s="1" t="str">
        <f t="shared" si="11196"/>
        <v>0</v>
      </c>
      <c r="H5937" s="1" t="str">
        <f t="shared" si="11196"/>
        <v>0</v>
      </c>
      <c r="I5937" s="1" t="str">
        <f t="shared" si="11196"/>
        <v>0</v>
      </c>
      <c r="J5937" s="1" t="str">
        <f>"1"</f>
        <v>1</v>
      </c>
      <c r="K5937" s="1" t="str">
        <f t="shared" ref="K5937:P5937" si="11197">"0"</f>
        <v>0</v>
      </c>
      <c r="L5937" s="1" t="str">
        <f t="shared" si="11197"/>
        <v>0</v>
      </c>
      <c r="M5937" s="1" t="str">
        <f t="shared" si="11197"/>
        <v>0</v>
      </c>
      <c r="N5937" s="1" t="str">
        <f t="shared" si="11197"/>
        <v>0</v>
      </c>
      <c r="O5937" s="1" t="str">
        <f t="shared" si="11197"/>
        <v>0</v>
      </c>
      <c r="P5937" s="1" t="str">
        <f t="shared" si="11197"/>
        <v>0</v>
      </c>
      <c r="Q5937" s="1" t="str">
        <f t="shared" si="11113"/>
        <v>0.0070</v>
      </c>
      <c r="R5937" s="1" t="s">
        <v>25</v>
      </c>
      <c r="T5937" s="1" t="str">
        <f t="shared" si="11114"/>
        <v>0</v>
      </c>
      <c r="U5937" s="1" t="str">
        <f t="shared" si="11161"/>
        <v>0.0070</v>
      </c>
    </row>
    <row r="5938" s="1" customFormat="1" spans="1:21">
      <c r="A5938" s="1" t="str">
        <f>"4601992225259"</f>
        <v>4601992225259</v>
      </c>
      <c r="B5938" s="1" t="s">
        <v>5961</v>
      </c>
      <c r="C5938" s="1" t="s">
        <v>24</v>
      </c>
      <c r="D5938" s="1" t="str">
        <f t="shared" si="11111"/>
        <v>2021</v>
      </c>
      <c r="E5938" s="1" t="str">
        <f t="shared" ref="E5938:I5938" si="11198">"0"</f>
        <v>0</v>
      </c>
      <c r="F5938" s="1" t="str">
        <f t="shared" si="11198"/>
        <v>0</v>
      </c>
      <c r="G5938" s="1" t="str">
        <f t="shared" si="11198"/>
        <v>0</v>
      </c>
      <c r="H5938" s="1" t="str">
        <f t="shared" si="11198"/>
        <v>0</v>
      </c>
      <c r="I5938" s="1" t="str">
        <f t="shared" si="11198"/>
        <v>0</v>
      </c>
      <c r="J5938" s="1" t="str">
        <f>"2"</f>
        <v>2</v>
      </c>
      <c r="K5938" s="1" t="str">
        <f t="shared" ref="K5938:P5938" si="11199">"0"</f>
        <v>0</v>
      </c>
      <c r="L5938" s="1" t="str">
        <f t="shared" si="11199"/>
        <v>0</v>
      </c>
      <c r="M5938" s="1" t="str">
        <f t="shared" si="11199"/>
        <v>0</v>
      </c>
      <c r="N5938" s="1" t="str">
        <f t="shared" si="11199"/>
        <v>0</v>
      </c>
      <c r="O5938" s="1" t="str">
        <f t="shared" si="11199"/>
        <v>0</v>
      </c>
      <c r="P5938" s="1" t="str">
        <f t="shared" si="11199"/>
        <v>0</v>
      </c>
      <c r="Q5938" s="1" t="str">
        <f t="shared" si="11113"/>
        <v>0.0070</v>
      </c>
      <c r="R5938" s="1" t="s">
        <v>25</v>
      </c>
      <c r="T5938" s="1" t="str">
        <f t="shared" si="11114"/>
        <v>0</v>
      </c>
      <c r="U5938" s="1" t="str">
        <f t="shared" si="11161"/>
        <v>0.0070</v>
      </c>
    </row>
    <row r="5939" s="1" customFormat="1" spans="1:21">
      <c r="A5939" s="1" t="str">
        <f>"4601992225268"</f>
        <v>4601992225268</v>
      </c>
      <c r="B5939" s="1" t="s">
        <v>5962</v>
      </c>
      <c r="C5939" s="1" t="s">
        <v>24</v>
      </c>
      <c r="D5939" s="1" t="str">
        <f t="shared" si="11111"/>
        <v>2021</v>
      </c>
      <c r="E5939" s="1" t="str">
        <f t="shared" ref="E5939:I5939" si="11200">"0"</f>
        <v>0</v>
      </c>
      <c r="F5939" s="1" t="str">
        <f t="shared" si="11200"/>
        <v>0</v>
      </c>
      <c r="G5939" s="1" t="str">
        <f t="shared" si="11200"/>
        <v>0</v>
      </c>
      <c r="H5939" s="1" t="str">
        <f t="shared" si="11200"/>
        <v>0</v>
      </c>
      <c r="I5939" s="1" t="str">
        <f t="shared" si="11200"/>
        <v>0</v>
      </c>
      <c r="J5939" s="1" t="str">
        <f>"4"</f>
        <v>4</v>
      </c>
      <c r="K5939" s="1" t="str">
        <f t="shared" ref="K5939:P5939" si="11201">"0"</f>
        <v>0</v>
      </c>
      <c r="L5939" s="1" t="str">
        <f t="shared" si="11201"/>
        <v>0</v>
      </c>
      <c r="M5939" s="1" t="str">
        <f t="shared" si="11201"/>
        <v>0</v>
      </c>
      <c r="N5939" s="1" t="str">
        <f t="shared" si="11201"/>
        <v>0</v>
      </c>
      <c r="O5939" s="1" t="str">
        <f t="shared" si="11201"/>
        <v>0</v>
      </c>
      <c r="P5939" s="1" t="str">
        <f t="shared" si="11201"/>
        <v>0</v>
      </c>
      <c r="Q5939" s="1" t="str">
        <f t="shared" si="11113"/>
        <v>0.0070</v>
      </c>
      <c r="R5939" s="1" t="s">
        <v>25</v>
      </c>
      <c r="T5939" s="1" t="str">
        <f t="shared" si="11114"/>
        <v>0</v>
      </c>
      <c r="U5939" s="1" t="str">
        <f t="shared" si="11161"/>
        <v>0.0070</v>
      </c>
    </row>
    <row r="5940" s="1" customFormat="1" spans="1:21">
      <c r="A5940" s="1" t="str">
        <f>"4601992225523"</f>
        <v>4601992225523</v>
      </c>
      <c r="B5940" s="1" t="s">
        <v>5963</v>
      </c>
      <c r="C5940" s="1" t="s">
        <v>24</v>
      </c>
      <c r="D5940" s="1" t="str">
        <f t="shared" si="11111"/>
        <v>2021</v>
      </c>
      <c r="E5940" s="1" t="str">
        <f t="shared" ref="E5940:P5940" si="11202">"0"</f>
        <v>0</v>
      </c>
      <c r="F5940" s="1" t="str">
        <f t="shared" si="11202"/>
        <v>0</v>
      </c>
      <c r="G5940" s="1" t="str">
        <f t="shared" si="11202"/>
        <v>0</v>
      </c>
      <c r="H5940" s="1" t="str">
        <f t="shared" si="11202"/>
        <v>0</v>
      </c>
      <c r="I5940" s="1" t="str">
        <f t="shared" si="11202"/>
        <v>0</v>
      </c>
      <c r="J5940" s="1" t="str">
        <f t="shared" si="11202"/>
        <v>0</v>
      </c>
      <c r="K5940" s="1" t="str">
        <f t="shared" si="11202"/>
        <v>0</v>
      </c>
      <c r="L5940" s="1" t="str">
        <f t="shared" si="11202"/>
        <v>0</v>
      </c>
      <c r="M5940" s="1" t="str">
        <f t="shared" si="11202"/>
        <v>0</v>
      </c>
      <c r="N5940" s="1" t="str">
        <f t="shared" si="11202"/>
        <v>0</v>
      </c>
      <c r="O5940" s="1" t="str">
        <f t="shared" si="11202"/>
        <v>0</v>
      </c>
      <c r="P5940" s="1" t="str">
        <f t="shared" si="11202"/>
        <v>0</v>
      </c>
      <c r="Q5940" s="1" t="str">
        <f t="shared" si="11113"/>
        <v>0.0070</v>
      </c>
      <c r="R5940" s="1" t="s">
        <v>25</v>
      </c>
      <c r="T5940" s="1" t="str">
        <f t="shared" si="11114"/>
        <v>0</v>
      </c>
      <c r="U5940" s="1" t="str">
        <f t="shared" si="11161"/>
        <v>0.0070</v>
      </c>
    </row>
    <row r="5941" s="1" customFormat="1" spans="1:21">
      <c r="A5941" s="1" t="str">
        <f>"4601992225289"</f>
        <v>4601992225289</v>
      </c>
      <c r="B5941" s="1" t="s">
        <v>5964</v>
      </c>
      <c r="C5941" s="1" t="s">
        <v>24</v>
      </c>
      <c r="D5941" s="1" t="str">
        <f t="shared" si="11111"/>
        <v>2021</v>
      </c>
      <c r="E5941" s="1" t="str">
        <f t="shared" ref="E5941:I5941" si="11203">"0"</f>
        <v>0</v>
      </c>
      <c r="F5941" s="1" t="str">
        <f t="shared" si="11203"/>
        <v>0</v>
      </c>
      <c r="G5941" s="1" t="str">
        <f t="shared" si="11203"/>
        <v>0</v>
      </c>
      <c r="H5941" s="1" t="str">
        <f t="shared" si="11203"/>
        <v>0</v>
      </c>
      <c r="I5941" s="1" t="str">
        <f t="shared" si="11203"/>
        <v>0</v>
      </c>
      <c r="J5941" s="1" t="str">
        <f>"2"</f>
        <v>2</v>
      </c>
      <c r="K5941" s="1" t="str">
        <f t="shared" ref="K5941:P5941" si="11204">"0"</f>
        <v>0</v>
      </c>
      <c r="L5941" s="1" t="str">
        <f t="shared" si="11204"/>
        <v>0</v>
      </c>
      <c r="M5941" s="1" t="str">
        <f t="shared" si="11204"/>
        <v>0</v>
      </c>
      <c r="N5941" s="1" t="str">
        <f t="shared" si="11204"/>
        <v>0</v>
      </c>
      <c r="O5941" s="1" t="str">
        <f t="shared" si="11204"/>
        <v>0</v>
      </c>
      <c r="P5941" s="1" t="str">
        <f t="shared" si="11204"/>
        <v>0</v>
      </c>
      <c r="Q5941" s="1" t="str">
        <f t="shared" si="11113"/>
        <v>0.0070</v>
      </c>
      <c r="R5941" s="1" t="s">
        <v>25</v>
      </c>
      <c r="T5941" s="1" t="str">
        <f t="shared" si="11114"/>
        <v>0</v>
      </c>
      <c r="U5941" s="1" t="str">
        <f t="shared" si="11161"/>
        <v>0.0070</v>
      </c>
    </row>
    <row r="5942" s="1" customFormat="1" spans="1:21">
      <c r="A5942" s="1" t="str">
        <f>"4601992225291"</f>
        <v>4601992225291</v>
      </c>
      <c r="B5942" s="1" t="s">
        <v>5965</v>
      </c>
      <c r="C5942" s="1" t="s">
        <v>24</v>
      </c>
      <c r="D5942" s="1" t="str">
        <f t="shared" si="11111"/>
        <v>2021</v>
      </c>
      <c r="E5942" s="1" t="str">
        <f t="shared" ref="E5942:I5942" si="11205">"0"</f>
        <v>0</v>
      </c>
      <c r="F5942" s="1" t="str">
        <f t="shared" si="11205"/>
        <v>0</v>
      </c>
      <c r="G5942" s="1" t="str">
        <f t="shared" si="11205"/>
        <v>0</v>
      </c>
      <c r="H5942" s="1" t="str">
        <f t="shared" si="11205"/>
        <v>0</v>
      </c>
      <c r="I5942" s="1" t="str">
        <f t="shared" si="11205"/>
        <v>0</v>
      </c>
      <c r="J5942" s="1" t="str">
        <f t="shared" ref="J5942:J5946" si="11206">"1"</f>
        <v>1</v>
      </c>
      <c r="K5942" s="1" t="str">
        <f t="shared" ref="K5942:P5942" si="11207">"0"</f>
        <v>0</v>
      </c>
      <c r="L5942" s="1" t="str">
        <f t="shared" si="11207"/>
        <v>0</v>
      </c>
      <c r="M5942" s="1" t="str">
        <f t="shared" si="11207"/>
        <v>0</v>
      </c>
      <c r="N5942" s="1" t="str">
        <f t="shared" si="11207"/>
        <v>0</v>
      </c>
      <c r="O5942" s="1" t="str">
        <f t="shared" si="11207"/>
        <v>0</v>
      </c>
      <c r="P5942" s="1" t="str">
        <f t="shared" si="11207"/>
        <v>0</v>
      </c>
      <c r="Q5942" s="1" t="str">
        <f t="shared" si="11113"/>
        <v>0.0070</v>
      </c>
      <c r="R5942" s="1" t="s">
        <v>25</v>
      </c>
      <c r="T5942" s="1" t="str">
        <f t="shared" si="11114"/>
        <v>0</v>
      </c>
      <c r="U5942" s="1" t="str">
        <f t="shared" si="11161"/>
        <v>0.0070</v>
      </c>
    </row>
    <row r="5943" s="1" customFormat="1" spans="1:21">
      <c r="A5943" s="1" t="str">
        <f>"4601992225941"</f>
        <v>4601992225941</v>
      </c>
      <c r="B5943" s="1" t="s">
        <v>5966</v>
      </c>
      <c r="C5943" s="1" t="s">
        <v>24</v>
      </c>
      <c r="D5943" s="1" t="str">
        <f t="shared" si="11111"/>
        <v>2021</v>
      </c>
      <c r="E5943" s="1" t="str">
        <f t="shared" ref="E5943:P5943" si="11208">"0"</f>
        <v>0</v>
      </c>
      <c r="F5943" s="1" t="str">
        <f t="shared" si="11208"/>
        <v>0</v>
      </c>
      <c r="G5943" s="1" t="str">
        <f t="shared" si="11208"/>
        <v>0</v>
      </c>
      <c r="H5943" s="1" t="str">
        <f t="shared" si="11208"/>
        <v>0</v>
      </c>
      <c r="I5943" s="1" t="str">
        <f t="shared" si="11208"/>
        <v>0</v>
      </c>
      <c r="J5943" s="1" t="str">
        <f t="shared" si="11208"/>
        <v>0</v>
      </c>
      <c r="K5943" s="1" t="str">
        <f t="shared" si="11208"/>
        <v>0</v>
      </c>
      <c r="L5943" s="1" t="str">
        <f t="shared" si="11208"/>
        <v>0</v>
      </c>
      <c r="M5943" s="1" t="str">
        <f t="shared" si="11208"/>
        <v>0</v>
      </c>
      <c r="N5943" s="1" t="str">
        <f t="shared" si="11208"/>
        <v>0</v>
      </c>
      <c r="O5943" s="1" t="str">
        <f t="shared" si="11208"/>
        <v>0</v>
      </c>
      <c r="P5943" s="1" t="str">
        <f t="shared" si="11208"/>
        <v>0</v>
      </c>
      <c r="Q5943" s="1" t="str">
        <f t="shared" si="11113"/>
        <v>0.0070</v>
      </c>
      <c r="R5943" s="1" t="s">
        <v>25</v>
      </c>
      <c r="T5943" s="1" t="str">
        <f t="shared" si="11114"/>
        <v>0</v>
      </c>
      <c r="U5943" s="1" t="str">
        <f t="shared" si="11161"/>
        <v>0.0070</v>
      </c>
    </row>
    <row r="5944" s="1" customFormat="1" spans="1:21">
      <c r="A5944" s="1" t="str">
        <f>"4601992226226"</f>
        <v>4601992226226</v>
      </c>
      <c r="B5944" s="1" t="s">
        <v>5967</v>
      </c>
      <c r="C5944" s="1" t="s">
        <v>24</v>
      </c>
      <c r="D5944" s="1" t="str">
        <f t="shared" si="11111"/>
        <v>2021</v>
      </c>
      <c r="E5944" s="1" t="str">
        <f t="shared" ref="E5944:P5944" si="11209">"0"</f>
        <v>0</v>
      </c>
      <c r="F5944" s="1" t="str">
        <f t="shared" si="11209"/>
        <v>0</v>
      </c>
      <c r="G5944" s="1" t="str">
        <f t="shared" si="11209"/>
        <v>0</v>
      </c>
      <c r="H5944" s="1" t="str">
        <f t="shared" si="11209"/>
        <v>0</v>
      </c>
      <c r="I5944" s="1" t="str">
        <f t="shared" si="11209"/>
        <v>0</v>
      </c>
      <c r="J5944" s="1" t="str">
        <f t="shared" si="11209"/>
        <v>0</v>
      </c>
      <c r="K5944" s="1" t="str">
        <f t="shared" si="11209"/>
        <v>0</v>
      </c>
      <c r="L5944" s="1" t="str">
        <f t="shared" si="11209"/>
        <v>0</v>
      </c>
      <c r="M5944" s="1" t="str">
        <f t="shared" si="11209"/>
        <v>0</v>
      </c>
      <c r="N5944" s="1" t="str">
        <f t="shared" si="11209"/>
        <v>0</v>
      </c>
      <c r="O5944" s="1" t="str">
        <f t="shared" si="11209"/>
        <v>0</v>
      </c>
      <c r="P5944" s="1" t="str">
        <f t="shared" si="11209"/>
        <v>0</v>
      </c>
      <c r="Q5944" s="1" t="str">
        <f t="shared" si="11113"/>
        <v>0.0070</v>
      </c>
      <c r="R5944" s="1" t="s">
        <v>25</v>
      </c>
      <c r="T5944" s="1" t="str">
        <f t="shared" si="11114"/>
        <v>0</v>
      </c>
      <c r="U5944" s="1" t="str">
        <f t="shared" si="11161"/>
        <v>0.0070</v>
      </c>
    </row>
    <row r="5945" s="1" customFormat="1" spans="1:21">
      <c r="A5945" s="1" t="str">
        <f>"4601992226580"</f>
        <v>4601992226580</v>
      </c>
      <c r="B5945" s="1" t="s">
        <v>5968</v>
      </c>
      <c r="C5945" s="1" t="s">
        <v>24</v>
      </c>
      <c r="D5945" s="1" t="str">
        <f t="shared" si="11111"/>
        <v>2021</v>
      </c>
      <c r="E5945" s="1" t="str">
        <f t="shared" ref="E5945:I5945" si="11210">"0"</f>
        <v>0</v>
      </c>
      <c r="F5945" s="1" t="str">
        <f t="shared" si="11210"/>
        <v>0</v>
      </c>
      <c r="G5945" s="1" t="str">
        <f t="shared" si="11210"/>
        <v>0</v>
      </c>
      <c r="H5945" s="1" t="str">
        <f t="shared" si="11210"/>
        <v>0</v>
      </c>
      <c r="I5945" s="1" t="str">
        <f t="shared" si="11210"/>
        <v>0</v>
      </c>
      <c r="J5945" s="1" t="str">
        <f t="shared" si="11206"/>
        <v>1</v>
      </c>
      <c r="K5945" s="1" t="str">
        <f t="shared" ref="K5945:P5945" si="11211">"0"</f>
        <v>0</v>
      </c>
      <c r="L5945" s="1" t="str">
        <f t="shared" si="11211"/>
        <v>0</v>
      </c>
      <c r="M5945" s="1" t="str">
        <f t="shared" si="11211"/>
        <v>0</v>
      </c>
      <c r="N5945" s="1" t="str">
        <f t="shared" si="11211"/>
        <v>0</v>
      </c>
      <c r="O5945" s="1" t="str">
        <f t="shared" si="11211"/>
        <v>0</v>
      </c>
      <c r="P5945" s="1" t="str">
        <f t="shared" si="11211"/>
        <v>0</v>
      </c>
      <c r="Q5945" s="1" t="str">
        <f t="shared" si="11113"/>
        <v>0.0070</v>
      </c>
      <c r="R5945" s="1" t="s">
        <v>25</v>
      </c>
      <c r="T5945" s="1" t="str">
        <f t="shared" si="11114"/>
        <v>0</v>
      </c>
      <c r="U5945" s="1" t="str">
        <f t="shared" si="11161"/>
        <v>0.0070</v>
      </c>
    </row>
    <row r="5946" s="1" customFormat="1" spans="1:21">
      <c r="A5946" s="1" t="str">
        <f>"4601992226609"</f>
        <v>4601992226609</v>
      </c>
      <c r="B5946" s="1" t="s">
        <v>5969</v>
      </c>
      <c r="C5946" s="1" t="s">
        <v>24</v>
      </c>
      <c r="D5946" s="1" t="str">
        <f t="shared" si="11111"/>
        <v>2021</v>
      </c>
      <c r="E5946" s="1" t="str">
        <f t="shared" ref="E5946:I5946" si="11212">"0"</f>
        <v>0</v>
      </c>
      <c r="F5946" s="1" t="str">
        <f t="shared" si="11212"/>
        <v>0</v>
      </c>
      <c r="G5946" s="1" t="str">
        <f t="shared" si="11212"/>
        <v>0</v>
      </c>
      <c r="H5946" s="1" t="str">
        <f t="shared" si="11212"/>
        <v>0</v>
      </c>
      <c r="I5946" s="1" t="str">
        <f t="shared" si="11212"/>
        <v>0</v>
      </c>
      <c r="J5946" s="1" t="str">
        <f t="shared" si="11206"/>
        <v>1</v>
      </c>
      <c r="K5946" s="1" t="str">
        <f t="shared" ref="K5946:P5946" si="11213">"0"</f>
        <v>0</v>
      </c>
      <c r="L5946" s="1" t="str">
        <f t="shared" si="11213"/>
        <v>0</v>
      </c>
      <c r="M5946" s="1" t="str">
        <f t="shared" si="11213"/>
        <v>0</v>
      </c>
      <c r="N5946" s="1" t="str">
        <f t="shared" si="11213"/>
        <v>0</v>
      </c>
      <c r="O5946" s="1" t="str">
        <f t="shared" si="11213"/>
        <v>0</v>
      </c>
      <c r="P5946" s="1" t="str">
        <f t="shared" si="11213"/>
        <v>0</v>
      </c>
      <c r="Q5946" s="1" t="str">
        <f t="shared" si="11113"/>
        <v>0.0070</v>
      </c>
      <c r="R5946" s="1" t="s">
        <v>25</v>
      </c>
      <c r="T5946" s="1" t="str">
        <f t="shared" si="11114"/>
        <v>0</v>
      </c>
      <c r="U5946" s="1" t="str">
        <f t="shared" si="11161"/>
        <v>0.0070</v>
      </c>
    </row>
    <row r="5947" s="1" customFormat="1" spans="1:21">
      <c r="A5947" s="1" t="str">
        <f>"4601992226659"</f>
        <v>4601992226659</v>
      </c>
      <c r="B5947" s="1" t="s">
        <v>5970</v>
      </c>
      <c r="C5947" s="1" t="s">
        <v>24</v>
      </c>
      <c r="D5947" s="1" t="str">
        <f t="shared" si="11111"/>
        <v>2021</v>
      </c>
      <c r="E5947" s="1" t="str">
        <f t="shared" ref="E5947:I5947" si="11214">"0"</f>
        <v>0</v>
      </c>
      <c r="F5947" s="1" t="str">
        <f t="shared" si="11214"/>
        <v>0</v>
      </c>
      <c r="G5947" s="1" t="str">
        <f t="shared" si="11214"/>
        <v>0</v>
      </c>
      <c r="H5947" s="1" t="str">
        <f t="shared" si="11214"/>
        <v>0</v>
      </c>
      <c r="I5947" s="1" t="str">
        <f t="shared" si="11214"/>
        <v>0</v>
      </c>
      <c r="J5947" s="1" t="str">
        <f>"4"</f>
        <v>4</v>
      </c>
      <c r="K5947" s="1" t="str">
        <f t="shared" ref="K5947:P5947" si="11215">"0"</f>
        <v>0</v>
      </c>
      <c r="L5947" s="1" t="str">
        <f t="shared" si="11215"/>
        <v>0</v>
      </c>
      <c r="M5947" s="1" t="str">
        <f t="shared" si="11215"/>
        <v>0</v>
      </c>
      <c r="N5947" s="1" t="str">
        <f t="shared" si="11215"/>
        <v>0</v>
      </c>
      <c r="O5947" s="1" t="str">
        <f t="shared" si="11215"/>
        <v>0</v>
      </c>
      <c r="P5947" s="1" t="str">
        <f t="shared" si="11215"/>
        <v>0</v>
      </c>
      <c r="Q5947" s="1" t="str">
        <f t="shared" si="11113"/>
        <v>0.0070</v>
      </c>
      <c r="R5947" s="1" t="s">
        <v>25</v>
      </c>
      <c r="T5947" s="1" t="str">
        <f t="shared" si="11114"/>
        <v>0</v>
      </c>
      <c r="U5947" s="1" t="str">
        <f t="shared" si="11161"/>
        <v>0.0070</v>
      </c>
    </row>
    <row r="5948" s="1" customFormat="1" spans="1:21">
      <c r="A5948" s="1" t="str">
        <f>"4601992227008"</f>
        <v>4601992227008</v>
      </c>
      <c r="B5948" s="1" t="s">
        <v>5971</v>
      </c>
      <c r="C5948" s="1" t="s">
        <v>24</v>
      </c>
      <c r="D5948" s="1" t="str">
        <f t="shared" si="11111"/>
        <v>2021</v>
      </c>
      <c r="E5948" s="1" t="str">
        <f t="shared" ref="E5948:P5948" si="11216">"0"</f>
        <v>0</v>
      </c>
      <c r="F5948" s="1" t="str">
        <f t="shared" si="11216"/>
        <v>0</v>
      </c>
      <c r="G5948" s="1" t="str">
        <f t="shared" si="11216"/>
        <v>0</v>
      </c>
      <c r="H5948" s="1" t="str">
        <f t="shared" si="11216"/>
        <v>0</v>
      </c>
      <c r="I5948" s="1" t="str">
        <f t="shared" si="11216"/>
        <v>0</v>
      </c>
      <c r="J5948" s="1" t="str">
        <f t="shared" si="11216"/>
        <v>0</v>
      </c>
      <c r="K5948" s="1" t="str">
        <f t="shared" si="11216"/>
        <v>0</v>
      </c>
      <c r="L5948" s="1" t="str">
        <f t="shared" si="11216"/>
        <v>0</v>
      </c>
      <c r="M5948" s="1" t="str">
        <f t="shared" si="11216"/>
        <v>0</v>
      </c>
      <c r="N5948" s="1" t="str">
        <f t="shared" si="11216"/>
        <v>0</v>
      </c>
      <c r="O5948" s="1" t="str">
        <f t="shared" si="11216"/>
        <v>0</v>
      </c>
      <c r="P5948" s="1" t="str">
        <f t="shared" si="11216"/>
        <v>0</v>
      </c>
      <c r="Q5948" s="1" t="str">
        <f t="shared" si="11113"/>
        <v>0.0070</v>
      </c>
      <c r="R5948" s="1" t="s">
        <v>25</v>
      </c>
      <c r="T5948" s="1" t="str">
        <f t="shared" si="11114"/>
        <v>0</v>
      </c>
      <c r="U5948" s="1" t="str">
        <f t="shared" si="11161"/>
        <v>0.0070</v>
      </c>
    </row>
    <row r="5949" s="1" customFormat="1" spans="1:21">
      <c r="A5949" s="1" t="str">
        <f>"4601992226690"</f>
        <v>4601992226690</v>
      </c>
      <c r="B5949" s="1" t="s">
        <v>5972</v>
      </c>
      <c r="C5949" s="1" t="s">
        <v>24</v>
      </c>
      <c r="D5949" s="1" t="str">
        <f t="shared" si="11111"/>
        <v>2021</v>
      </c>
      <c r="E5949" s="1" t="str">
        <f t="shared" ref="E5949:I5949" si="11217">"0"</f>
        <v>0</v>
      </c>
      <c r="F5949" s="1" t="str">
        <f t="shared" si="11217"/>
        <v>0</v>
      </c>
      <c r="G5949" s="1" t="str">
        <f t="shared" si="11217"/>
        <v>0</v>
      </c>
      <c r="H5949" s="1" t="str">
        <f t="shared" si="11217"/>
        <v>0</v>
      </c>
      <c r="I5949" s="1" t="str">
        <f t="shared" si="11217"/>
        <v>0</v>
      </c>
      <c r="J5949" s="1" t="str">
        <f>"3"</f>
        <v>3</v>
      </c>
      <c r="K5949" s="1" t="str">
        <f t="shared" ref="K5949:P5949" si="11218">"0"</f>
        <v>0</v>
      </c>
      <c r="L5949" s="1" t="str">
        <f t="shared" si="11218"/>
        <v>0</v>
      </c>
      <c r="M5949" s="1" t="str">
        <f t="shared" si="11218"/>
        <v>0</v>
      </c>
      <c r="N5949" s="1" t="str">
        <f t="shared" si="11218"/>
        <v>0</v>
      </c>
      <c r="O5949" s="1" t="str">
        <f t="shared" si="11218"/>
        <v>0</v>
      </c>
      <c r="P5949" s="1" t="str">
        <f t="shared" si="11218"/>
        <v>0</v>
      </c>
      <c r="Q5949" s="1" t="str">
        <f t="shared" si="11113"/>
        <v>0.0070</v>
      </c>
      <c r="R5949" s="1" t="s">
        <v>25</v>
      </c>
      <c r="T5949" s="1" t="str">
        <f t="shared" si="11114"/>
        <v>0</v>
      </c>
      <c r="U5949" s="1" t="str">
        <f t="shared" si="11161"/>
        <v>0.0070</v>
      </c>
    </row>
    <row r="5950" s="1" customFormat="1" spans="1:21">
      <c r="A5950" s="1" t="str">
        <f>"4601992227089"</f>
        <v>4601992227089</v>
      </c>
      <c r="B5950" s="1" t="s">
        <v>5973</v>
      </c>
      <c r="C5950" s="1" t="s">
        <v>24</v>
      </c>
      <c r="D5950" s="1" t="str">
        <f t="shared" si="11111"/>
        <v>2021</v>
      </c>
      <c r="E5950" s="1" t="str">
        <f t="shared" ref="E5950:P5950" si="11219">"0"</f>
        <v>0</v>
      </c>
      <c r="F5950" s="1" t="str">
        <f t="shared" si="11219"/>
        <v>0</v>
      </c>
      <c r="G5950" s="1" t="str">
        <f t="shared" si="11219"/>
        <v>0</v>
      </c>
      <c r="H5950" s="1" t="str">
        <f t="shared" si="11219"/>
        <v>0</v>
      </c>
      <c r="I5950" s="1" t="str">
        <f t="shared" si="11219"/>
        <v>0</v>
      </c>
      <c r="J5950" s="1" t="str">
        <f t="shared" si="11219"/>
        <v>0</v>
      </c>
      <c r="K5950" s="1" t="str">
        <f t="shared" si="11219"/>
        <v>0</v>
      </c>
      <c r="L5950" s="1" t="str">
        <f t="shared" si="11219"/>
        <v>0</v>
      </c>
      <c r="M5950" s="1" t="str">
        <f t="shared" si="11219"/>
        <v>0</v>
      </c>
      <c r="N5950" s="1" t="str">
        <f t="shared" si="11219"/>
        <v>0</v>
      </c>
      <c r="O5950" s="1" t="str">
        <f t="shared" si="11219"/>
        <v>0</v>
      </c>
      <c r="P5950" s="1" t="str">
        <f t="shared" si="11219"/>
        <v>0</v>
      </c>
      <c r="Q5950" s="1" t="str">
        <f t="shared" si="11113"/>
        <v>0.0070</v>
      </c>
      <c r="R5950" s="1" t="s">
        <v>25</v>
      </c>
      <c r="T5950" s="1" t="str">
        <f t="shared" si="11114"/>
        <v>0</v>
      </c>
      <c r="U5950" s="1" t="str">
        <f t="shared" si="11161"/>
        <v>0.0070</v>
      </c>
    </row>
    <row r="5951" s="1" customFormat="1" spans="1:21">
      <c r="A5951" s="1" t="str">
        <f>"4601992227072"</f>
        <v>4601992227072</v>
      </c>
      <c r="B5951" s="1" t="s">
        <v>5974</v>
      </c>
      <c r="C5951" s="1" t="s">
        <v>24</v>
      </c>
      <c r="D5951" s="1" t="str">
        <f t="shared" si="11111"/>
        <v>2021</v>
      </c>
      <c r="E5951" s="1" t="str">
        <f t="shared" ref="E5951:I5951" si="11220">"0"</f>
        <v>0</v>
      </c>
      <c r="F5951" s="1" t="str">
        <f t="shared" si="11220"/>
        <v>0</v>
      </c>
      <c r="G5951" s="1" t="str">
        <f t="shared" si="11220"/>
        <v>0</v>
      </c>
      <c r="H5951" s="1" t="str">
        <f t="shared" si="11220"/>
        <v>0</v>
      </c>
      <c r="I5951" s="1" t="str">
        <f t="shared" si="11220"/>
        <v>0</v>
      </c>
      <c r="J5951" s="1" t="str">
        <f>"9"</f>
        <v>9</v>
      </c>
      <c r="K5951" s="1" t="str">
        <f t="shared" ref="K5951:P5951" si="11221">"0"</f>
        <v>0</v>
      </c>
      <c r="L5951" s="1" t="str">
        <f t="shared" si="11221"/>
        <v>0</v>
      </c>
      <c r="M5951" s="1" t="str">
        <f t="shared" si="11221"/>
        <v>0</v>
      </c>
      <c r="N5951" s="1" t="str">
        <f t="shared" si="11221"/>
        <v>0</v>
      </c>
      <c r="O5951" s="1" t="str">
        <f t="shared" si="11221"/>
        <v>0</v>
      </c>
      <c r="P5951" s="1" t="str">
        <f t="shared" si="11221"/>
        <v>0</v>
      </c>
      <c r="Q5951" s="1" t="str">
        <f t="shared" si="11113"/>
        <v>0.0070</v>
      </c>
      <c r="R5951" s="1" t="s">
        <v>25</v>
      </c>
      <c r="T5951" s="1" t="str">
        <f t="shared" si="11114"/>
        <v>0</v>
      </c>
      <c r="U5951" s="1" t="str">
        <f t="shared" si="11161"/>
        <v>0.0070</v>
      </c>
    </row>
    <row r="5952" s="1" customFormat="1" spans="1:21">
      <c r="A5952" s="1" t="str">
        <f>"4601992227234"</f>
        <v>4601992227234</v>
      </c>
      <c r="B5952" s="1" t="s">
        <v>5975</v>
      </c>
      <c r="C5952" s="1" t="s">
        <v>24</v>
      </c>
      <c r="D5952" s="1" t="str">
        <f t="shared" si="11111"/>
        <v>2021</v>
      </c>
      <c r="E5952" s="1" t="str">
        <f t="shared" ref="E5952:P5952" si="11222">"0"</f>
        <v>0</v>
      </c>
      <c r="F5952" s="1" t="str">
        <f t="shared" si="11222"/>
        <v>0</v>
      </c>
      <c r="G5952" s="1" t="str">
        <f t="shared" si="11222"/>
        <v>0</v>
      </c>
      <c r="H5952" s="1" t="str">
        <f t="shared" si="11222"/>
        <v>0</v>
      </c>
      <c r="I5952" s="1" t="str">
        <f t="shared" si="11222"/>
        <v>0</v>
      </c>
      <c r="J5952" s="1" t="str">
        <f t="shared" si="11222"/>
        <v>0</v>
      </c>
      <c r="K5952" s="1" t="str">
        <f t="shared" si="11222"/>
        <v>0</v>
      </c>
      <c r="L5952" s="1" t="str">
        <f t="shared" si="11222"/>
        <v>0</v>
      </c>
      <c r="M5952" s="1" t="str">
        <f t="shared" si="11222"/>
        <v>0</v>
      </c>
      <c r="N5952" s="1" t="str">
        <f t="shared" si="11222"/>
        <v>0</v>
      </c>
      <c r="O5952" s="1" t="str">
        <f t="shared" si="11222"/>
        <v>0</v>
      </c>
      <c r="P5952" s="1" t="str">
        <f t="shared" si="11222"/>
        <v>0</v>
      </c>
      <c r="Q5952" s="1" t="str">
        <f t="shared" si="11113"/>
        <v>0.0070</v>
      </c>
      <c r="R5952" s="1" t="s">
        <v>25</v>
      </c>
      <c r="T5952" s="1" t="str">
        <f t="shared" si="11114"/>
        <v>0</v>
      </c>
      <c r="U5952" s="1" t="str">
        <f t="shared" si="11161"/>
        <v>0.0070</v>
      </c>
    </row>
    <row r="5953" s="1" customFormat="1" spans="1:21">
      <c r="A5953" s="1" t="str">
        <f>"4601992227272"</f>
        <v>4601992227272</v>
      </c>
      <c r="B5953" s="1" t="s">
        <v>5976</v>
      </c>
      <c r="C5953" s="1" t="s">
        <v>24</v>
      </c>
      <c r="D5953" s="1" t="str">
        <f t="shared" si="11111"/>
        <v>2021</v>
      </c>
      <c r="E5953" s="1" t="str">
        <f t="shared" ref="E5953:P5953" si="11223">"0"</f>
        <v>0</v>
      </c>
      <c r="F5953" s="1" t="str">
        <f t="shared" si="11223"/>
        <v>0</v>
      </c>
      <c r="G5953" s="1" t="str">
        <f t="shared" si="11223"/>
        <v>0</v>
      </c>
      <c r="H5953" s="1" t="str">
        <f t="shared" si="11223"/>
        <v>0</v>
      </c>
      <c r="I5953" s="1" t="str">
        <f t="shared" si="11223"/>
        <v>0</v>
      </c>
      <c r="J5953" s="1" t="str">
        <f t="shared" si="11223"/>
        <v>0</v>
      </c>
      <c r="K5953" s="1" t="str">
        <f t="shared" si="11223"/>
        <v>0</v>
      </c>
      <c r="L5953" s="1" t="str">
        <f t="shared" si="11223"/>
        <v>0</v>
      </c>
      <c r="M5953" s="1" t="str">
        <f t="shared" si="11223"/>
        <v>0</v>
      </c>
      <c r="N5953" s="1" t="str">
        <f t="shared" si="11223"/>
        <v>0</v>
      </c>
      <c r="O5953" s="1" t="str">
        <f t="shared" si="11223"/>
        <v>0</v>
      </c>
      <c r="P5953" s="1" t="str">
        <f t="shared" si="11223"/>
        <v>0</v>
      </c>
      <c r="Q5953" s="1" t="str">
        <f t="shared" si="11113"/>
        <v>0.0070</v>
      </c>
      <c r="R5953" s="1" t="s">
        <v>25</v>
      </c>
      <c r="T5953" s="1" t="str">
        <f t="shared" si="11114"/>
        <v>0</v>
      </c>
      <c r="U5953" s="1" t="str">
        <f t="shared" si="11161"/>
        <v>0.0070</v>
      </c>
    </row>
    <row r="5954" s="1" customFormat="1" spans="1:21">
      <c r="A5954" s="1" t="str">
        <f>"4601992227145"</f>
        <v>4601992227145</v>
      </c>
      <c r="B5954" s="1" t="s">
        <v>5977</v>
      </c>
      <c r="C5954" s="1" t="s">
        <v>24</v>
      </c>
      <c r="D5954" s="1" t="str">
        <f t="shared" si="11111"/>
        <v>2021</v>
      </c>
      <c r="E5954" s="1" t="str">
        <f t="shared" ref="E5954:I5954" si="11224">"0"</f>
        <v>0</v>
      </c>
      <c r="F5954" s="1" t="str">
        <f t="shared" si="11224"/>
        <v>0</v>
      </c>
      <c r="G5954" s="1" t="str">
        <f t="shared" si="11224"/>
        <v>0</v>
      </c>
      <c r="H5954" s="1" t="str">
        <f t="shared" si="11224"/>
        <v>0</v>
      </c>
      <c r="I5954" s="1" t="str">
        <f t="shared" si="11224"/>
        <v>0</v>
      </c>
      <c r="J5954" s="1" t="str">
        <f>"1"</f>
        <v>1</v>
      </c>
      <c r="K5954" s="1" t="str">
        <f t="shared" ref="K5954:P5954" si="11225">"0"</f>
        <v>0</v>
      </c>
      <c r="L5954" s="1" t="str">
        <f t="shared" si="11225"/>
        <v>0</v>
      </c>
      <c r="M5954" s="1" t="str">
        <f t="shared" si="11225"/>
        <v>0</v>
      </c>
      <c r="N5954" s="1" t="str">
        <f t="shared" si="11225"/>
        <v>0</v>
      </c>
      <c r="O5954" s="1" t="str">
        <f t="shared" si="11225"/>
        <v>0</v>
      </c>
      <c r="P5954" s="1" t="str">
        <f t="shared" si="11225"/>
        <v>0</v>
      </c>
      <c r="Q5954" s="1" t="str">
        <f t="shared" si="11113"/>
        <v>0.0070</v>
      </c>
      <c r="R5954" s="1" t="s">
        <v>25</v>
      </c>
      <c r="T5954" s="1" t="str">
        <f t="shared" si="11114"/>
        <v>0</v>
      </c>
      <c r="U5954" s="1" t="str">
        <f t="shared" si="11161"/>
        <v>0.0070</v>
      </c>
    </row>
    <row r="5955" s="1" customFormat="1" spans="1:21">
      <c r="A5955" s="1" t="str">
        <f>"4601992227530"</f>
        <v>4601992227530</v>
      </c>
      <c r="B5955" s="1" t="s">
        <v>5978</v>
      </c>
      <c r="C5955" s="1" t="s">
        <v>24</v>
      </c>
      <c r="D5955" s="1" t="str">
        <f t="shared" ref="D5955:D6018" si="11226">"2021"</f>
        <v>2021</v>
      </c>
      <c r="E5955" s="1" t="str">
        <f t="shared" ref="E5955:P5955" si="11227">"0"</f>
        <v>0</v>
      </c>
      <c r="F5955" s="1" t="str">
        <f t="shared" si="11227"/>
        <v>0</v>
      </c>
      <c r="G5955" s="1" t="str">
        <f t="shared" si="11227"/>
        <v>0</v>
      </c>
      <c r="H5955" s="1" t="str">
        <f t="shared" si="11227"/>
        <v>0</v>
      </c>
      <c r="I5955" s="1" t="str">
        <f t="shared" si="11227"/>
        <v>0</v>
      </c>
      <c r="J5955" s="1" t="str">
        <f t="shared" si="11227"/>
        <v>0</v>
      </c>
      <c r="K5955" s="1" t="str">
        <f t="shared" si="11227"/>
        <v>0</v>
      </c>
      <c r="L5955" s="1" t="str">
        <f t="shared" si="11227"/>
        <v>0</v>
      </c>
      <c r="M5955" s="1" t="str">
        <f t="shared" si="11227"/>
        <v>0</v>
      </c>
      <c r="N5955" s="1" t="str">
        <f t="shared" si="11227"/>
        <v>0</v>
      </c>
      <c r="O5955" s="1" t="str">
        <f t="shared" si="11227"/>
        <v>0</v>
      </c>
      <c r="P5955" s="1" t="str">
        <f t="shared" si="11227"/>
        <v>0</v>
      </c>
      <c r="Q5955" s="1" t="str">
        <f t="shared" ref="Q5955:Q6018" si="11228">"0.0070"</f>
        <v>0.0070</v>
      </c>
      <c r="R5955" s="1" t="s">
        <v>25</v>
      </c>
      <c r="T5955" s="1" t="str">
        <f t="shared" ref="T5955:T6018" si="11229">"0"</f>
        <v>0</v>
      </c>
      <c r="U5955" s="1" t="str">
        <f t="shared" si="11161"/>
        <v>0.0070</v>
      </c>
    </row>
    <row r="5956" s="1" customFormat="1" spans="1:21">
      <c r="A5956" s="1" t="str">
        <f>"4601992228843"</f>
        <v>4601992228843</v>
      </c>
      <c r="B5956" s="1" t="s">
        <v>5979</v>
      </c>
      <c r="C5956" s="1" t="s">
        <v>24</v>
      </c>
      <c r="D5956" s="1" t="str">
        <f t="shared" si="11226"/>
        <v>2021</v>
      </c>
      <c r="E5956" s="1" t="str">
        <f t="shared" ref="E5956:P5956" si="11230">"0"</f>
        <v>0</v>
      </c>
      <c r="F5956" s="1" t="str">
        <f t="shared" si="11230"/>
        <v>0</v>
      </c>
      <c r="G5956" s="1" t="str">
        <f t="shared" si="11230"/>
        <v>0</v>
      </c>
      <c r="H5956" s="1" t="str">
        <f t="shared" si="11230"/>
        <v>0</v>
      </c>
      <c r="I5956" s="1" t="str">
        <f t="shared" si="11230"/>
        <v>0</v>
      </c>
      <c r="J5956" s="1" t="str">
        <f t="shared" si="11230"/>
        <v>0</v>
      </c>
      <c r="K5956" s="1" t="str">
        <f t="shared" si="11230"/>
        <v>0</v>
      </c>
      <c r="L5956" s="1" t="str">
        <f t="shared" si="11230"/>
        <v>0</v>
      </c>
      <c r="M5956" s="1" t="str">
        <f t="shared" si="11230"/>
        <v>0</v>
      </c>
      <c r="N5956" s="1" t="str">
        <f t="shared" si="11230"/>
        <v>0</v>
      </c>
      <c r="O5956" s="1" t="str">
        <f t="shared" si="11230"/>
        <v>0</v>
      </c>
      <c r="P5956" s="1" t="str">
        <f t="shared" si="11230"/>
        <v>0</v>
      </c>
      <c r="Q5956" s="1" t="str">
        <f t="shared" si="11228"/>
        <v>0.0070</v>
      </c>
      <c r="R5956" s="1" t="s">
        <v>25</v>
      </c>
      <c r="T5956" s="1" t="str">
        <f t="shared" si="11229"/>
        <v>0</v>
      </c>
      <c r="U5956" s="1" t="str">
        <f t="shared" si="11161"/>
        <v>0.0070</v>
      </c>
    </row>
    <row r="5957" s="1" customFormat="1" spans="1:21">
      <c r="A5957" s="1" t="str">
        <f>"4601992227306"</f>
        <v>4601992227306</v>
      </c>
      <c r="B5957" s="1" t="s">
        <v>5980</v>
      </c>
      <c r="C5957" s="1" t="s">
        <v>24</v>
      </c>
      <c r="D5957" s="1" t="str">
        <f t="shared" si="11226"/>
        <v>2021</v>
      </c>
      <c r="E5957" s="1" t="str">
        <f t="shared" ref="E5957:I5957" si="11231">"0"</f>
        <v>0</v>
      </c>
      <c r="F5957" s="1" t="str">
        <f t="shared" si="11231"/>
        <v>0</v>
      </c>
      <c r="G5957" s="1" t="str">
        <f t="shared" si="11231"/>
        <v>0</v>
      </c>
      <c r="H5957" s="1" t="str">
        <f t="shared" si="11231"/>
        <v>0</v>
      </c>
      <c r="I5957" s="1" t="str">
        <f t="shared" si="11231"/>
        <v>0</v>
      </c>
      <c r="J5957" s="1" t="str">
        <f>"3"</f>
        <v>3</v>
      </c>
      <c r="K5957" s="1" t="str">
        <f t="shared" ref="K5957:P5957" si="11232">"0"</f>
        <v>0</v>
      </c>
      <c r="L5957" s="1" t="str">
        <f t="shared" si="11232"/>
        <v>0</v>
      </c>
      <c r="M5957" s="1" t="str">
        <f t="shared" si="11232"/>
        <v>0</v>
      </c>
      <c r="N5957" s="1" t="str">
        <f t="shared" si="11232"/>
        <v>0</v>
      </c>
      <c r="O5957" s="1" t="str">
        <f t="shared" si="11232"/>
        <v>0</v>
      </c>
      <c r="P5957" s="1" t="str">
        <f t="shared" si="11232"/>
        <v>0</v>
      </c>
      <c r="Q5957" s="1" t="str">
        <f t="shared" si="11228"/>
        <v>0.0070</v>
      </c>
      <c r="R5957" s="1" t="s">
        <v>25</v>
      </c>
      <c r="T5957" s="1" t="str">
        <f t="shared" si="11229"/>
        <v>0</v>
      </c>
      <c r="U5957" s="1" t="str">
        <f t="shared" si="11161"/>
        <v>0.0070</v>
      </c>
    </row>
    <row r="5958" s="1" customFormat="1" spans="1:21">
      <c r="A5958" s="1" t="str">
        <f>"4601992228846"</f>
        <v>4601992228846</v>
      </c>
      <c r="B5958" s="1" t="s">
        <v>5981</v>
      </c>
      <c r="C5958" s="1" t="s">
        <v>24</v>
      </c>
      <c r="D5958" s="1" t="str">
        <f t="shared" si="11226"/>
        <v>2021</v>
      </c>
      <c r="E5958" s="1" t="str">
        <f t="shared" ref="E5958:P5958" si="11233">"0"</f>
        <v>0</v>
      </c>
      <c r="F5958" s="1" t="str">
        <f t="shared" si="11233"/>
        <v>0</v>
      </c>
      <c r="G5958" s="1" t="str">
        <f t="shared" si="11233"/>
        <v>0</v>
      </c>
      <c r="H5958" s="1" t="str">
        <f t="shared" si="11233"/>
        <v>0</v>
      </c>
      <c r="I5958" s="1" t="str">
        <f t="shared" si="11233"/>
        <v>0</v>
      </c>
      <c r="J5958" s="1" t="str">
        <f t="shared" si="11233"/>
        <v>0</v>
      </c>
      <c r="K5958" s="1" t="str">
        <f t="shared" si="11233"/>
        <v>0</v>
      </c>
      <c r="L5958" s="1" t="str">
        <f t="shared" si="11233"/>
        <v>0</v>
      </c>
      <c r="M5958" s="1" t="str">
        <f t="shared" si="11233"/>
        <v>0</v>
      </c>
      <c r="N5958" s="1" t="str">
        <f t="shared" si="11233"/>
        <v>0</v>
      </c>
      <c r="O5958" s="1" t="str">
        <f t="shared" si="11233"/>
        <v>0</v>
      </c>
      <c r="P5958" s="1" t="str">
        <f t="shared" si="11233"/>
        <v>0</v>
      </c>
      <c r="Q5958" s="1" t="str">
        <f t="shared" si="11228"/>
        <v>0.0070</v>
      </c>
      <c r="R5958" s="1" t="s">
        <v>25</v>
      </c>
      <c r="T5958" s="1" t="str">
        <f t="shared" si="11229"/>
        <v>0</v>
      </c>
      <c r="U5958" s="1" t="str">
        <f t="shared" si="11161"/>
        <v>0.0070</v>
      </c>
    </row>
    <row r="5959" s="1" customFormat="1" spans="1:21">
      <c r="A5959" s="1" t="str">
        <f>"4601992228513"</f>
        <v>4601992228513</v>
      </c>
      <c r="B5959" s="1" t="s">
        <v>5982</v>
      </c>
      <c r="C5959" s="1" t="s">
        <v>24</v>
      </c>
      <c r="D5959" s="1" t="str">
        <f t="shared" si="11226"/>
        <v>2021</v>
      </c>
      <c r="E5959" s="1" t="str">
        <f t="shared" ref="E5959:I5959" si="11234">"0"</f>
        <v>0</v>
      </c>
      <c r="F5959" s="1" t="str">
        <f t="shared" si="11234"/>
        <v>0</v>
      </c>
      <c r="G5959" s="1" t="str">
        <f t="shared" si="11234"/>
        <v>0</v>
      </c>
      <c r="H5959" s="1" t="str">
        <f t="shared" si="11234"/>
        <v>0</v>
      </c>
      <c r="I5959" s="1" t="str">
        <f t="shared" si="11234"/>
        <v>0</v>
      </c>
      <c r="J5959" s="1" t="str">
        <f>"1"</f>
        <v>1</v>
      </c>
      <c r="K5959" s="1" t="str">
        <f t="shared" ref="K5959:P5959" si="11235">"0"</f>
        <v>0</v>
      </c>
      <c r="L5959" s="1" t="str">
        <f t="shared" si="11235"/>
        <v>0</v>
      </c>
      <c r="M5959" s="1" t="str">
        <f t="shared" si="11235"/>
        <v>0</v>
      </c>
      <c r="N5959" s="1" t="str">
        <f t="shared" si="11235"/>
        <v>0</v>
      </c>
      <c r="O5959" s="1" t="str">
        <f t="shared" si="11235"/>
        <v>0</v>
      </c>
      <c r="P5959" s="1" t="str">
        <f t="shared" si="11235"/>
        <v>0</v>
      </c>
      <c r="Q5959" s="1" t="str">
        <f t="shared" si="11228"/>
        <v>0.0070</v>
      </c>
      <c r="R5959" s="1" t="s">
        <v>25</v>
      </c>
      <c r="T5959" s="1" t="str">
        <f t="shared" si="11229"/>
        <v>0</v>
      </c>
      <c r="U5959" s="1" t="str">
        <f t="shared" si="11161"/>
        <v>0.0070</v>
      </c>
    </row>
    <row r="5960" s="1" customFormat="1" spans="1:21">
      <c r="A5960" s="1" t="str">
        <f>"4601992228917"</f>
        <v>4601992228917</v>
      </c>
      <c r="B5960" s="1" t="s">
        <v>5983</v>
      </c>
      <c r="C5960" s="1" t="s">
        <v>24</v>
      </c>
      <c r="D5960" s="1" t="str">
        <f t="shared" si="11226"/>
        <v>2021</v>
      </c>
      <c r="E5960" s="1" t="str">
        <f t="shared" ref="E5960:P5960" si="11236">"0"</f>
        <v>0</v>
      </c>
      <c r="F5960" s="1" t="str">
        <f t="shared" si="11236"/>
        <v>0</v>
      </c>
      <c r="G5960" s="1" t="str">
        <f t="shared" si="11236"/>
        <v>0</v>
      </c>
      <c r="H5960" s="1" t="str">
        <f t="shared" si="11236"/>
        <v>0</v>
      </c>
      <c r="I5960" s="1" t="str">
        <f t="shared" si="11236"/>
        <v>0</v>
      </c>
      <c r="J5960" s="1" t="str">
        <f t="shared" si="11236"/>
        <v>0</v>
      </c>
      <c r="K5960" s="1" t="str">
        <f t="shared" si="11236"/>
        <v>0</v>
      </c>
      <c r="L5960" s="1" t="str">
        <f t="shared" si="11236"/>
        <v>0</v>
      </c>
      <c r="M5960" s="1" t="str">
        <f t="shared" si="11236"/>
        <v>0</v>
      </c>
      <c r="N5960" s="1" t="str">
        <f t="shared" si="11236"/>
        <v>0</v>
      </c>
      <c r="O5960" s="1" t="str">
        <f t="shared" si="11236"/>
        <v>0</v>
      </c>
      <c r="P5960" s="1" t="str">
        <f t="shared" si="11236"/>
        <v>0</v>
      </c>
      <c r="Q5960" s="1" t="str">
        <f t="shared" si="11228"/>
        <v>0.0070</v>
      </c>
      <c r="R5960" s="1" t="s">
        <v>25</v>
      </c>
      <c r="T5960" s="1" t="str">
        <f t="shared" si="11229"/>
        <v>0</v>
      </c>
      <c r="U5960" s="1" t="str">
        <f t="shared" si="11161"/>
        <v>0.0070</v>
      </c>
    </row>
    <row r="5961" s="1" customFormat="1" spans="1:21">
      <c r="A5961" s="1" t="str">
        <f>"4601992228993"</f>
        <v>4601992228993</v>
      </c>
      <c r="B5961" s="1" t="s">
        <v>5984</v>
      </c>
      <c r="C5961" s="1" t="s">
        <v>24</v>
      </c>
      <c r="D5961" s="1" t="str">
        <f t="shared" si="11226"/>
        <v>2021</v>
      </c>
      <c r="E5961" s="1" t="str">
        <f t="shared" ref="E5961:P5961" si="11237">"0"</f>
        <v>0</v>
      </c>
      <c r="F5961" s="1" t="str">
        <f t="shared" si="11237"/>
        <v>0</v>
      </c>
      <c r="G5961" s="1" t="str">
        <f t="shared" si="11237"/>
        <v>0</v>
      </c>
      <c r="H5961" s="1" t="str">
        <f t="shared" si="11237"/>
        <v>0</v>
      </c>
      <c r="I5961" s="1" t="str">
        <f t="shared" si="11237"/>
        <v>0</v>
      </c>
      <c r="J5961" s="1" t="str">
        <f t="shared" si="11237"/>
        <v>0</v>
      </c>
      <c r="K5961" s="1" t="str">
        <f t="shared" si="11237"/>
        <v>0</v>
      </c>
      <c r="L5961" s="1" t="str">
        <f t="shared" si="11237"/>
        <v>0</v>
      </c>
      <c r="M5961" s="1" t="str">
        <f t="shared" si="11237"/>
        <v>0</v>
      </c>
      <c r="N5961" s="1" t="str">
        <f t="shared" si="11237"/>
        <v>0</v>
      </c>
      <c r="O5961" s="1" t="str">
        <f t="shared" si="11237"/>
        <v>0</v>
      </c>
      <c r="P5961" s="1" t="str">
        <f t="shared" si="11237"/>
        <v>0</v>
      </c>
      <c r="Q5961" s="1" t="str">
        <f t="shared" si="11228"/>
        <v>0.0070</v>
      </c>
      <c r="R5961" s="1" t="s">
        <v>25</v>
      </c>
      <c r="T5961" s="1" t="str">
        <f t="shared" si="11229"/>
        <v>0</v>
      </c>
      <c r="U5961" s="1" t="str">
        <f t="shared" si="11161"/>
        <v>0.0070</v>
      </c>
    </row>
    <row r="5962" s="1" customFormat="1" spans="1:21">
      <c r="A5962" s="1" t="str">
        <f>"4601992230139"</f>
        <v>4601992230139</v>
      </c>
      <c r="B5962" s="1" t="s">
        <v>5985</v>
      </c>
      <c r="C5962" s="1" t="s">
        <v>24</v>
      </c>
      <c r="D5962" s="1" t="str">
        <f t="shared" si="11226"/>
        <v>2021</v>
      </c>
      <c r="E5962" s="1" t="str">
        <f t="shared" ref="E5962:P5962" si="11238">"0"</f>
        <v>0</v>
      </c>
      <c r="F5962" s="1" t="str">
        <f t="shared" si="11238"/>
        <v>0</v>
      </c>
      <c r="G5962" s="1" t="str">
        <f t="shared" si="11238"/>
        <v>0</v>
      </c>
      <c r="H5962" s="1" t="str">
        <f t="shared" si="11238"/>
        <v>0</v>
      </c>
      <c r="I5962" s="1" t="str">
        <f t="shared" si="11238"/>
        <v>0</v>
      </c>
      <c r="J5962" s="1" t="str">
        <f t="shared" si="11238"/>
        <v>0</v>
      </c>
      <c r="K5962" s="1" t="str">
        <f t="shared" si="11238"/>
        <v>0</v>
      </c>
      <c r="L5962" s="1" t="str">
        <f t="shared" si="11238"/>
        <v>0</v>
      </c>
      <c r="M5962" s="1" t="str">
        <f t="shared" si="11238"/>
        <v>0</v>
      </c>
      <c r="N5962" s="1" t="str">
        <f t="shared" si="11238"/>
        <v>0</v>
      </c>
      <c r="O5962" s="1" t="str">
        <f t="shared" si="11238"/>
        <v>0</v>
      </c>
      <c r="P5962" s="1" t="str">
        <f t="shared" si="11238"/>
        <v>0</v>
      </c>
      <c r="Q5962" s="1" t="str">
        <f t="shared" si="11228"/>
        <v>0.0070</v>
      </c>
      <c r="R5962" s="1" t="s">
        <v>25</v>
      </c>
      <c r="T5962" s="1" t="str">
        <f t="shared" si="11229"/>
        <v>0</v>
      </c>
      <c r="U5962" s="1" t="str">
        <f t="shared" si="11161"/>
        <v>0.0070</v>
      </c>
    </row>
    <row r="5963" s="1" customFormat="1" spans="1:21">
      <c r="A5963" s="1" t="str">
        <f>"4601992230676"</f>
        <v>4601992230676</v>
      </c>
      <c r="B5963" s="1" t="s">
        <v>5986</v>
      </c>
      <c r="C5963" s="1" t="s">
        <v>24</v>
      </c>
      <c r="D5963" s="1" t="str">
        <f t="shared" si="11226"/>
        <v>2021</v>
      </c>
      <c r="E5963" s="1" t="str">
        <f t="shared" ref="E5963:I5963" si="11239">"0"</f>
        <v>0</v>
      </c>
      <c r="F5963" s="1" t="str">
        <f t="shared" si="11239"/>
        <v>0</v>
      </c>
      <c r="G5963" s="1" t="str">
        <f t="shared" si="11239"/>
        <v>0</v>
      </c>
      <c r="H5963" s="1" t="str">
        <f t="shared" si="11239"/>
        <v>0</v>
      </c>
      <c r="I5963" s="1" t="str">
        <f t="shared" si="11239"/>
        <v>0</v>
      </c>
      <c r="J5963" s="1" t="str">
        <f>"3"</f>
        <v>3</v>
      </c>
      <c r="K5963" s="1" t="str">
        <f t="shared" ref="K5963:P5963" si="11240">"0"</f>
        <v>0</v>
      </c>
      <c r="L5963" s="1" t="str">
        <f t="shared" si="11240"/>
        <v>0</v>
      </c>
      <c r="M5963" s="1" t="str">
        <f t="shared" si="11240"/>
        <v>0</v>
      </c>
      <c r="N5963" s="1" t="str">
        <f t="shared" si="11240"/>
        <v>0</v>
      </c>
      <c r="O5963" s="1" t="str">
        <f t="shared" si="11240"/>
        <v>0</v>
      </c>
      <c r="P5963" s="1" t="str">
        <f t="shared" si="11240"/>
        <v>0</v>
      </c>
      <c r="Q5963" s="1" t="str">
        <f t="shared" si="11228"/>
        <v>0.0070</v>
      </c>
      <c r="R5963" s="1" t="s">
        <v>25</v>
      </c>
      <c r="T5963" s="1" t="str">
        <f t="shared" si="11229"/>
        <v>0</v>
      </c>
      <c r="U5963" s="1" t="str">
        <f t="shared" si="11161"/>
        <v>0.0070</v>
      </c>
    </row>
    <row r="5964" s="1" customFormat="1" spans="1:21">
      <c r="A5964" s="1" t="str">
        <f>"4601992230675"</f>
        <v>4601992230675</v>
      </c>
      <c r="B5964" s="1" t="s">
        <v>5987</v>
      </c>
      <c r="C5964" s="1" t="s">
        <v>24</v>
      </c>
      <c r="D5964" s="1" t="str">
        <f t="shared" si="11226"/>
        <v>2021</v>
      </c>
      <c r="E5964" s="1" t="str">
        <f t="shared" ref="E5964:I5964" si="11241">"0"</f>
        <v>0</v>
      </c>
      <c r="F5964" s="1" t="str">
        <f t="shared" si="11241"/>
        <v>0</v>
      </c>
      <c r="G5964" s="1" t="str">
        <f t="shared" si="11241"/>
        <v>0</v>
      </c>
      <c r="H5964" s="1" t="str">
        <f t="shared" si="11241"/>
        <v>0</v>
      </c>
      <c r="I5964" s="1" t="str">
        <f t="shared" si="11241"/>
        <v>0</v>
      </c>
      <c r="J5964" s="1" t="str">
        <f>"2"</f>
        <v>2</v>
      </c>
      <c r="K5964" s="1" t="str">
        <f t="shared" ref="K5964:P5964" si="11242">"0"</f>
        <v>0</v>
      </c>
      <c r="L5964" s="1" t="str">
        <f t="shared" si="11242"/>
        <v>0</v>
      </c>
      <c r="M5964" s="1" t="str">
        <f t="shared" si="11242"/>
        <v>0</v>
      </c>
      <c r="N5964" s="1" t="str">
        <f t="shared" si="11242"/>
        <v>0</v>
      </c>
      <c r="O5964" s="1" t="str">
        <f t="shared" si="11242"/>
        <v>0</v>
      </c>
      <c r="P5964" s="1" t="str">
        <f t="shared" si="11242"/>
        <v>0</v>
      </c>
      <c r="Q5964" s="1" t="str">
        <f t="shared" si="11228"/>
        <v>0.0070</v>
      </c>
      <c r="R5964" s="1" t="s">
        <v>25</v>
      </c>
      <c r="T5964" s="1" t="str">
        <f t="shared" si="11229"/>
        <v>0</v>
      </c>
      <c r="U5964" s="1" t="str">
        <f t="shared" si="11161"/>
        <v>0.0070</v>
      </c>
    </row>
    <row r="5965" s="1" customFormat="1" spans="1:21">
      <c r="A5965" s="1" t="str">
        <f>"4601992230700"</f>
        <v>4601992230700</v>
      </c>
      <c r="B5965" s="1" t="s">
        <v>5988</v>
      </c>
      <c r="C5965" s="1" t="s">
        <v>24</v>
      </c>
      <c r="D5965" s="1" t="str">
        <f t="shared" si="11226"/>
        <v>2021</v>
      </c>
      <c r="E5965" s="1" t="str">
        <f t="shared" ref="E5965:I5965" si="11243">"0"</f>
        <v>0</v>
      </c>
      <c r="F5965" s="1" t="str">
        <f t="shared" si="11243"/>
        <v>0</v>
      </c>
      <c r="G5965" s="1" t="str">
        <f t="shared" si="11243"/>
        <v>0</v>
      </c>
      <c r="H5965" s="1" t="str">
        <f t="shared" si="11243"/>
        <v>0</v>
      </c>
      <c r="I5965" s="1" t="str">
        <f t="shared" si="11243"/>
        <v>0</v>
      </c>
      <c r="J5965" s="1" t="str">
        <f>"2"</f>
        <v>2</v>
      </c>
      <c r="K5965" s="1" t="str">
        <f t="shared" ref="K5965:P5965" si="11244">"0"</f>
        <v>0</v>
      </c>
      <c r="L5965" s="1" t="str">
        <f t="shared" si="11244"/>
        <v>0</v>
      </c>
      <c r="M5965" s="1" t="str">
        <f t="shared" si="11244"/>
        <v>0</v>
      </c>
      <c r="N5965" s="1" t="str">
        <f t="shared" si="11244"/>
        <v>0</v>
      </c>
      <c r="O5965" s="1" t="str">
        <f t="shared" si="11244"/>
        <v>0</v>
      </c>
      <c r="P5965" s="1" t="str">
        <f t="shared" si="11244"/>
        <v>0</v>
      </c>
      <c r="Q5965" s="1" t="str">
        <f t="shared" si="11228"/>
        <v>0.0070</v>
      </c>
      <c r="R5965" s="1" t="s">
        <v>25</v>
      </c>
      <c r="T5965" s="1" t="str">
        <f t="shared" si="11229"/>
        <v>0</v>
      </c>
      <c r="U5965" s="1" t="str">
        <f t="shared" si="11161"/>
        <v>0.0070</v>
      </c>
    </row>
    <row r="5966" s="1" customFormat="1" spans="1:21">
      <c r="A5966" s="1" t="str">
        <f>"4601992230679"</f>
        <v>4601992230679</v>
      </c>
      <c r="B5966" s="1" t="s">
        <v>5989</v>
      </c>
      <c r="C5966" s="1" t="s">
        <v>24</v>
      </c>
      <c r="D5966" s="1" t="str">
        <f t="shared" si="11226"/>
        <v>2021</v>
      </c>
      <c r="E5966" s="1" t="str">
        <f t="shared" ref="E5966:I5966" si="11245">"0"</f>
        <v>0</v>
      </c>
      <c r="F5966" s="1" t="str">
        <f t="shared" si="11245"/>
        <v>0</v>
      </c>
      <c r="G5966" s="1" t="str">
        <f t="shared" si="11245"/>
        <v>0</v>
      </c>
      <c r="H5966" s="1" t="str">
        <f t="shared" si="11245"/>
        <v>0</v>
      </c>
      <c r="I5966" s="1" t="str">
        <f t="shared" si="11245"/>
        <v>0</v>
      </c>
      <c r="J5966" s="1" t="str">
        <f>"1"</f>
        <v>1</v>
      </c>
      <c r="K5966" s="1" t="str">
        <f t="shared" ref="K5966:P5966" si="11246">"0"</f>
        <v>0</v>
      </c>
      <c r="L5966" s="1" t="str">
        <f t="shared" si="11246"/>
        <v>0</v>
      </c>
      <c r="M5966" s="1" t="str">
        <f t="shared" si="11246"/>
        <v>0</v>
      </c>
      <c r="N5966" s="1" t="str">
        <f t="shared" si="11246"/>
        <v>0</v>
      </c>
      <c r="O5966" s="1" t="str">
        <f t="shared" si="11246"/>
        <v>0</v>
      </c>
      <c r="P5966" s="1" t="str">
        <f t="shared" si="11246"/>
        <v>0</v>
      </c>
      <c r="Q5966" s="1" t="str">
        <f t="shared" si="11228"/>
        <v>0.0070</v>
      </c>
      <c r="R5966" s="1" t="s">
        <v>25</v>
      </c>
      <c r="T5966" s="1" t="str">
        <f t="shared" si="11229"/>
        <v>0</v>
      </c>
      <c r="U5966" s="1" t="str">
        <f t="shared" si="11161"/>
        <v>0.0070</v>
      </c>
    </row>
    <row r="5967" s="1" customFormat="1" spans="1:21">
      <c r="A5967" s="1" t="str">
        <f>"4601992230708"</f>
        <v>4601992230708</v>
      </c>
      <c r="B5967" s="1" t="s">
        <v>5990</v>
      </c>
      <c r="C5967" s="1" t="s">
        <v>24</v>
      </c>
      <c r="D5967" s="1" t="str">
        <f t="shared" si="11226"/>
        <v>2021</v>
      </c>
      <c r="E5967" s="1" t="str">
        <f t="shared" ref="E5967:I5967" si="11247">"0"</f>
        <v>0</v>
      </c>
      <c r="F5967" s="1" t="str">
        <f t="shared" si="11247"/>
        <v>0</v>
      </c>
      <c r="G5967" s="1" t="str">
        <f t="shared" si="11247"/>
        <v>0</v>
      </c>
      <c r="H5967" s="1" t="str">
        <f t="shared" si="11247"/>
        <v>0</v>
      </c>
      <c r="I5967" s="1" t="str">
        <f t="shared" si="11247"/>
        <v>0</v>
      </c>
      <c r="J5967" s="1" t="str">
        <f>"1"</f>
        <v>1</v>
      </c>
      <c r="K5967" s="1" t="str">
        <f t="shared" ref="K5967:P5967" si="11248">"0"</f>
        <v>0</v>
      </c>
      <c r="L5967" s="1" t="str">
        <f t="shared" si="11248"/>
        <v>0</v>
      </c>
      <c r="M5967" s="1" t="str">
        <f t="shared" si="11248"/>
        <v>0</v>
      </c>
      <c r="N5967" s="1" t="str">
        <f t="shared" si="11248"/>
        <v>0</v>
      </c>
      <c r="O5967" s="1" t="str">
        <f t="shared" si="11248"/>
        <v>0</v>
      </c>
      <c r="P5967" s="1" t="str">
        <f t="shared" si="11248"/>
        <v>0</v>
      </c>
      <c r="Q5967" s="1" t="str">
        <f t="shared" si="11228"/>
        <v>0.0070</v>
      </c>
      <c r="R5967" s="1" t="s">
        <v>25</v>
      </c>
      <c r="T5967" s="1" t="str">
        <f t="shared" si="11229"/>
        <v>0</v>
      </c>
      <c r="U5967" s="1" t="str">
        <f t="shared" si="11161"/>
        <v>0.0070</v>
      </c>
    </row>
    <row r="5968" s="1" customFormat="1" spans="1:21">
      <c r="A5968" s="1" t="str">
        <f>"4601992230733"</f>
        <v>4601992230733</v>
      </c>
      <c r="B5968" s="1" t="s">
        <v>5991</v>
      </c>
      <c r="C5968" s="1" t="s">
        <v>24</v>
      </c>
      <c r="D5968" s="1" t="str">
        <f t="shared" si="11226"/>
        <v>2021</v>
      </c>
      <c r="E5968" s="1" t="str">
        <f t="shared" ref="E5968:I5968" si="11249">"0"</f>
        <v>0</v>
      </c>
      <c r="F5968" s="1" t="str">
        <f t="shared" si="11249"/>
        <v>0</v>
      </c>
      <c r="G5968" s="1" t="str">
        <f t="shared" si="11249"/>
        <v>0</v>
      </c>
      <c r="H5968" s="1" t="str">
        <f t="shared" si="11249"/>
        <v>0</v>
      </c>
      <c r="I5968" s="1" t="str">
        <f t="shared" si="11249"/>
        <v>0</v>
      </c>
      <c r="J5968" s="1" t="str">
        <f>"3"</f>
        <v>3</v>
      </c>
      <c r="K5968" s="1" t="str">
        <f t="shared" ref="K5968:P5968" si="11250">"0"</f>
        <v>0</v>
      </c>
      <c r="L5968" s="1" t="str">
        <f t="shared" si="11250"/>
        <v>0</v>
      </c>
      <c r="M5968" s="1" t="str">
        <f t="shared" si="11250"/>
        <v>0</v>
      </c>
      <c r="N5968" s="1" t="str">
        <f t="shared" si="11250"/>
        <v>0</v>
      </c>
      <c r="O5968" s="1" t="str">
        <f t="shared" si="11250"/>
        <v>0</v>
      </c>
      <c r="P5968" s="1" t="str">
        <f t="shared" si="11250"/>
        <v>0</v>
      </c>
      <c r="Q5968" s="1" t="str">
        <f t="shared" si="11228"/>
        <v>0.0070</v>
      </c>
      <c r="R5968" s="1" t="s">
        <v>25</v>
      </c>
      <c r="T5968" s="1" t="str">
        <f t="shared" si="11229"/>
        <v>0</v>
      </c>
      <c r="U5968" s="1" t="str">
        <f t="shared" si="11161"/>
        <v>0.0070</v>
      </c>
    </row>
    <row r="5969" s="1" customFormat="1" spans="1:21">
      <c r="A5969" s="1" t="str">
        <f>"4601992230736"</f>
        <v>4601992230736</v>
      </c>
      <c r="B5969" s="1" t="s">
        <v>5992</v>
      </c>
      <c r="C5969" s="1" t="s">
        <v>24</v>
      </c>
      <c r="D5969" s="1" t="str">
        <f t="shared" si="11226"/>
        <v>2021</v>
      </c>
      <c r="E5969" s="1" t="str">
        <f t="shared" ref="E5969:I5969" si="11251">"0"</f>
        <v>0</v>
      </c>
      <c r="F5969" s="1" t="str">
        <f t="shared" si="11251"/>
        <v>0</v>
      </c>
      <c r="G5969" s="1" t="str">
        <f t="shared" si="11251"/>
        <v>0</v>
      </c>
      <c r="H5969" s="1" t="str">
        <f t="shared" si="11251"/>
        <v>0</v>
      </c>
      <c r="I5969" s="1" t="str">
        <f t="shared" si="11251"/>
        <v>0</v>
      </c>
      <c r="J5969" s="1" t="str">
        <f>"4"</f>
        <v>4</v>
      </c>
      <c r="K5969" s="1" t="str">
        <f t="shared" ref="K5969:P5969" si="11252">"0"</f>
        <v>0</v>
      </c>
      <c r="L5969" s="1" t="str">
        <f t="shared" si="11252"/>
        <v>0</v>
      </c>
      <c r="M5969" s="1" t="str">
        <f t="shared" si="11252"/>
        <v>0</v>
      </c>
      <c r="N5969" s="1" t="str">
        <f t="shared" si="11252"/>
        <v>0</v>
      </c>
      <c r="O5969" s="1" t="str">
        <f t="shared" si="11252"/>
        <v>0</v>
      </c>
      <c r="P5969" s="1" t="str">
        <f t="shared" si="11252"/>
        <v>0</v>
      </c>
      <c r="Q5969" s="1" t="str">
        <f t="shared" si="11228"/>
        <v>0.0070</v>
      </c>
      <c r="R5969" s="1" t="s">
        <v>25</v>
      </c>
      <c r="T5969" s="1" t="str">
        <f t="shared" si="11229"/>
        <v>0</v>
      </c>
      <c r="U5969" s="1" t="str">
        <f t="shared" si="11161"/>
        <v>0.0070</v>
      </c>
    </row>
    <row r="5970" s="1" customFormat="1" spans="1:21">
      <c r="A5970" s="1" t="str">
        <f>"4601992003040"</f>
        <v>4601992003040</v>
      </c>
      <c r="B5970" s="1" t="s">
        <v>5993</v>
      </c>
      <c r="C5970" s="1" t="s">
        <v>24</v>
      </c>
      <c r="D5970" s="1" t="str">
        <f t="shared" si="11226"/>
        <v>2021</v>
      </c>
      <c r="E5970" s="1" t="str">
        <f>"68.75"</f>
        <v>68.75</v>
      </c>
      <c r="F5970" s="1" t="str">
        <f t="shared" ref="F5970:I5970" si="11253">"0"</f>
        <v>0</v>
      </c>
      <c r="G5970" s="1" t="str">
        <f t="shared" si="11253"/>
        <v>0</v>
      </c>
      <c r="H5970" s="1" t="str">
        <f t="shared" si="11253"/>
        <v>0</v>
      </c>
      <c r="I5970" s="1" t="str">
        <f t="shared" si="11253"/>
        <v>0</v>
      </c>
      <c r="J5970" s="1" t="str">
        <f>"11"</f>
        <v>11</v>
      </c>
      <c r="K5970" s="1" t="str">
        <f t="shared" ref="K5970:P5970" si="11254">"0"</f>
        <v>0</v>
      </c>
      <c r="L5970" s="1" t="str">
        <f t="shared" si="11254"/>
        <v>0</v>
      </c>
      <c r="M5970" s="1" t="str">
        <f t="shared" si="11254"/>
        <v>0</v>
      </c>
      <c r="N5970" s="1" t="str">
        <f t="shared" si="11254"/>
        <v>0</v>
      </c>
      <c r="O5970" s="1" t="str">
        <f t="shared" si="11254"/>
        <v>0</v>
      </c>
      <c r="P5970" s="1" t="str">
        <f t="shared" si="11254"/>
        <v>0</v>
      </c>
      <c r="Q5970" s="1" t="str">
        <f t="shared" si="11228"/>
        <v>0.0070</v>
      </c>
      <c r="R5970" s="1" t="s">
        <v>29</v>
      </c>
      <c r="S5970" s="1">
        <v>-0.0014</v>
      </c>
      <c r="T5970" s="1" t="str">
        <f t="shared" si="11229"/>
        <v>0</v>
      </c>
      <c r="U5970" s="1" t="str">
        <f>"0.0056"</f>
        <v>0.0056</v>
      </c>
    </row>
    <row r="5971" s="1" customFormat="1" spans="1:21">
      <c r="A5971" s="1" t="str">
        <f>"4601992230742"</f>
        <v>4601992230742</v>
      </c>
      <c r="B5971" s="1" t="s">
        <v>5994</v>
      </c>
      <c r="C5971" s="1" t="s">
        <v>24</v>
      </c>
      <c r="D5971" s="1" t="str">
        <f t="shared" si="11226"/>
        <v>2021</v>
      </c>
      <c r="E5971" s="1" t="str">
        <f t="shared" ref="E5971:I5971" si="11255">"0"</f>
        <v>0</v>
      </c>
      <c r="F5971" s="1" t="str">
        <f t="shared" si="11255"/>
        <v>0</v>
      </c>
      <c r="G5971" s="1" t="str">
        <f t="shared" si="11255"/>
        <v>0</v>
      </c>
      <c r="H5971" s="1" t="str">
        <f t="shared" si="11255"/>
        <v>0</v>
      </c>
      <c r="I5971" s="1" t="str">
        <f t="shared" si="11255"/>
        <v>0</v>
      </c>
      <c r="J5971" s="1" t="str">
        <f>"6"</f>
        <v>6</v>
      </c>
      <c r="K5971" s="1" t="str">
        <f t="shared" ref="K5971:P5971" si="11256">"0"</f>
        <v>0</v>
      </c>
      <c r="L5971" s="1" t="str">
        <f t="shared" si="11256"/>
        <v>0</v>
      </c>
      <c r="M5971" s="1" t="str">
        <f t="shared" si="11256"/>
        <v>0</v>
      </c>
      <c r="N5971" s="1" t="str">
        <f t="shared" si="11256"/>
        <v>0</v>
      </c>
      <c r="O5971" s="1" t="str">
        <f t="shared" si="11256"/>
        <v>0</v>
      </c>
      <c r="P5971" s="1" t="str">
        <f t="shared" si="11256"/>
        <v>0</v>
      </c>
      <c r="Q5971" s="1" t="str">
        <f t="shared" si="11228"/>
        <v>0.0070</v>
      </c>
      <c r="R5971" s="1" t="s">
        <v>25</v>
      </c>
      <c r="T5971" s="1" t="str">
        <f t="shared" si="11229"/>
        <v>0</v>
      </c>
      <c r="U5971" s="1" t="str">
        <f t="shared" ref="U5971:U6018" si="11257">"0.0070"</f>
        <v>0.0070</v>
      </c>
    </row>
    <row r="5972" s="1" customFormat="1" spans="1:21">
      <c r="A5972" s="1" t="str">
        <f>"4601992230776"</f>
        <v>4601992230776</v>
      </c>
      <c r="B5972" s="1" t="s">
        <v>5995</v>
      </c>
      <c r="C5972" s="1" t="s">
        <v>24</v>
      </c>
      <c r="D5972" s="1" t="str">
        <f t="shared" si="11226"/>
        <v>2021</v>
      </c>
      <c r="E5972" s="1" t="str">
        <f t="shared" ref="E5972:P5972" si="11258">"0"</f>
        <v>0</v>
      </c>
      <c r="F5972" s="1" t="str">
        <f t="shared" si="11258"/>
        <v>0</v>
      </c>
      <c r="G5972" s="1" t="str">
        <f t="shared" si="11258"/>
        <v>0</v>
      </c>
      <c r="H5972" s="1" t="str">
        <f t="shared" si="11258"/>
        <v>0</v>
      </c>
      <c r="I5972" s="1" t="str">
        <f t="shared" si="11258"/>
        <v>0</v>
      </c>
      <c r="J5972" s="1" t="str">
        <f t="shared" si="11258"/>
        <v>0</v>
      </c>
      <c r="K5972" s="1" t="str">
        <f t="shared" si="11258"/>
        <v>0</v>
      </c>
      <c r="L5972" s="1" t="str">
        <f t="shared" si="11258"/>
        <v>0</v>
      </c>
      <c r="M5972" s="1" t="str">
        <f t="shared" si="11258"/>
        <v>0</v>
      </c>
      <c r="N5972" s="1" t="str">
        <f t="shared" si="11258"/>
        <v>0</v>
      </c>
      <c r="O5972" s="1" t="str">
        <f t="shared" si="11258"/>
        <v>0</v>
      </c>
      <c r="P5972" s="1" t="str">
        <f t="shared" si="11258"/>
        <v>0</v>
      </c>
      <c r="Q5972" s="1" t="str">
        <f t="shared" si="11228"/>
        <v>0.0070</v>
      </c>
      <c r="R5972" s="1" t="s">
        <v>25</v>
      </c>
      <c r="T5972" s="1" t="str">
        <f t="shared" si="11229"/>
        <v>0</v>
      </c>
      <c r="U5972" s="1" t="str">
        <f t="shared" si="11257"/>
        <v>0.0070</v>
      </c>
    </row>
    <row r="5973" s="1" customFormat="1" spans="1:21">
      <c r="A5973" s="1" t="str">
        <f>"4601992230753"</f>
        <v>4601992230753</v>
      </c>
      <c r="B5973" s="1" t="s">
        <v>5996</v>
      </c>
      <c r="C5973" s="1" t="s">
        <v>24</v>
      </c>
      <c r="D5973" s="1" t="str">
        <f t="shared" si="11226"/>
        <v>2021</v>
      </c>
      <c r="E5973" s="1" t="str">
        <f t="shared" ref="E5973:I5973" si="11259">"0"</f>
        <v>0</v>
      </c>
      <c r="F5973" s="1" t="str">
        <f t="shared" si="11259"/>
        <v>0</v>
      </c>
      <c r="G5973" s="1" t="str">
        <f t="shared" si="11259"/>
        <v>0</v>
      </c>
      <c r="H5973" s="1" t="str">
        <f t="shared" si="11259"/>
        <v>0</v>
      </c>
      <c r="I5973" s="1" t="str">
        <f t="shared" si="11259"/>
        <v>0</v>
      </c>
      <c r="J5973" s="1" t="str">
        <f>"3"</f>
        <v>3</v>
      </c>
      <c r="K5973" s="1" t="str">
        <f t="shared" ref="K5973:P5973" si="11260">"0"</f>
        <v>0</v>
      </c>
      <c r="L5973" s="1" t="str">
        <f t="shared" si="11260"/>
        <v>0</v>
      </c>
      <c r="M5973" s="1" t="str">
        <f t="shared" si="11260"/>
        <v>0</v>
      </c>
      <c r="N5973" s="1" t="str">
        <f t="shared" si="11260"/>
        <v>0</v>
      </c>
      <c r="O5973" s="1" t="str">
        <f t="shared" si="11260"/>
        <v>0</v>
      </c>
      <c r="P5973" s="1" t="str">
        <f t="shared" si="11260"/>
        <v>0</v>
      </c>
      <c r="Q5973" s="1" t="str">
        <f t="shared" si="11228"/>
        <v>0.0070</v>
      </c>
      <c r="R5973" s="1" t="s">
        <v>25</v>
      </c>
      <c r="T5973" s="1" t="str">
        <f t="shared" si="11229"/>
        <v>0</v>
      </c>
      <c r="U5973" s="1" t="str">
        <f t="shared" si="11257"/>
        <v>0.0070</v>
      </c>
    </row>
    <row r="5974" s="1" customFormat="1" spans="1:21">
      <c r="A5974" s="1" t="str">
        <f>"4601992230824"</f>
        <v>4601992230824</v>
      </c>
      <c r="B5974" s="1" t="s">
        <v>5997</v>
      </c>
      <c r="C5974" s="1" t="s">
        <v>24</v>
      </c>
      <c r="D5974" s="1" t="str">
        <f t="shared" si="11226"/>
        <v>2021</v>
      </c>
      <c r="E5974" s="1" t="str">
        <f t="shared" ref="E5974:P5974" si="11261">"0"</f>
        <v>0</v>
      </c>
      <c r="F5974" s="1" t="str">
        <f t="shared" si="11261"/>
        <v>0</v>
      </c>
      <c r="G5974" s="1" t="str">
        <f t="shared" si="11261"/>
        <v>0</v>
      </c>
      <c r="H5974" s="1" t="str">
        <f t="shared" si="11261"/>
        <v>0</v>
      </c>
      <c r="I5974" s="1" t="str">
        <f t="shared" si="11261"/>
        <v>0</v>
      </c>
      <c r="J5974" s="1" t="str">
        <f t="shared" si="11261"/>
        <v>0</v>
      </c>
      <c r="K5974" s="1" t="str">
        <f t="shared" si="11261"/>
        <v>0</v>
      </c>
      <c r="L5974" s="1" t="str">
        <f t="shared" si="11261"/>
        <v>0</v>
      </c>
      <c r="M5974" s="1" t="str">
        <f t="shared" si="11261"/>
        <v>0</v>
      </c>
      <c r="N5974" s="1" t="str">
        <f t="shared" si="11261"/>
        <v>0</v>
      </c>
      <c r="O5974" s="1" t="str">
        <f t="shared" si="11261"/>
        <v>0</v>
      </c>
      <c r="P5974" s="1" t="str">
        <f t="shared" si="11261"/>
        <v>0</v>
      </c>
      <c r="Q5974" s="1" t="str">
        <f t="shared" si="11228"/>
        <v>0.0070</v>
      </c>
      <c r="R5974" s="1" t="s">
        <v>25</v>
      </c>
      <c r="T5974" s="1" t="str">
        <f t="shared" si="11229"/>
        <v>0</v>
      </c>
      <c r="U5974" s="1" t="str">
        <f t="shared" si="11257"/>
        <v>0.0070</v>
      </c>
    </row>
    <row r="5975" s="1" customFormat="1" spans="1:21">
      <c r="A5975" s="1" t="str">
        <f>"4601992230815"</f>
        <v>4601992230815</v>
      </c>
      <c r="B5975" s="1" t="s">
        <v>5998</v>
      </c>
      <c r="C5975" s="1" t="s">
        <v>24</v>
      </c>
      <c r="D5975" s="1" t="str">
        <f t="shared" si="11226"/>
        <v>2021</v>
      </c>
      <c r="E5975" s="1" t="str">
        <f t="shared" ref="E5975:I5975" si="11262">"0"</f>
        <v>0</v>
      </c>
      <c r="F5975" s="1" t="str">
        <f t="shared" si="11262"/>
        <v>0</v>
      </c>
      <c r="G5975" s="1" t="str">
        <f t="shared" si="11262"/>
        <v>0</v>
      </c>
      <c r="H5975" s="1" t="str">
        <f t="shared" si="11262"/>
        <v>0</v>
      </c>
      <c r="I5975" s="1" t="str">
        <f t="shared" si="11262"/>
        <v>0</v>
      </c>
      <c r="J5975" s="1" t="str">
        <f>"3"</f>
        <v>3</v>
      </c>
      <c r="K5975" s="1" t="str">
        <f t="shared" ref="K5975:P5975" si="11263">"0"</f>
        <v>0</v>
      </c>
      <c r="L5975" s="1" t="str">
        <f t="shared" si="11263"/>
        <v>0</v>
      </c>
      <c r="M5975" s="1" t="str">
        <f t="shared" si="11263"/>
        <v>0</v>
      </c>
      <c r="N5975" s="1" t="str">
        <f t="shared" si="11263"/>
        <v>0</v>
      </c>
      <c r="O5975" s="1" t="str">
        <f t="shared" si="11263"/>
        <v>0</v>
      </c>
      <c r="P5975" s="1" t="str">
        <f t="shared" si="11263"/>
        <v>0</v>
      </c>
      <c r="Q5975" s="1" t="str">
        <f t="shared" si="11228"/>
        <v>0.0070</v>
      </c>
      <c r="R5975" s="1" t="s">
        <v>25</v>
      </c>
      <c r="T5975" s="1" t="str">
        <f t="shared" si="11229"/>
        <v>0</v>
      </c>
      <c r="U5975" s="1" t="str">
        <f t="shared" si="11257"/>
        <v>0.0070</v>
      </c>
    </row>
    <row r="5976" s="1" customFormat="1" spans="1:21">
      <c r="A5976" s="1" t="str">
        <f>"4601992230833"</f>
        <v>4601992230833</v>
      </c>
      <c r="B5976" s="1" t="s">
        <v>5999</v>
      </c>
      <c r="C5976" s="1" t="s">
        <v>24</v>
      </c>
      <c r="D5976" s="1" t="str">
        <f t="shared" si="11226"/>
        <v>2021</v>
      </c>
      <c r="E5976" s="1" t="str">
        <f t="shared" ref="E5976:P5976" si="11264">"0"</f>
        <v>0</v>
      </c>
      <c r="F5976" s="1" t="str">
        <f t="shared" si="11264"/>
        <v>0</v>
      </c>
      <c r="G5976" s="1" t="str">
        <f t="shared" si="11264"/>
        <v>0</v>
      </c>
      <c r="H5976" s="1" t="str">
        <f t="shared" si="11264"/>
        <v>0</v>
      </c>
      <c r="I5976" s="1" t="str">
        <f t="shared" si="11264"/>
        <v>0</v>
      </c>
      <c r="J5976" s="1" t="str">
        <f t="shared" si="11264"/>
        <v>0</v>
      </c>
      <c r="K5976" s="1" t="str">
        <f t="shared" si="11264"/>
        <v>0</v>
      </c>
      <c r="L5976" s="1" t="str">
        <f t="shared" si="11264"/>
        <v>0</v>
      </c>
      <c r="M5976" s="1" t="str">
        <f t="shared" si="11264"/>
        <v>0</v>
      </c>
      <c r="N5976" s="1" t="str">
        <f t="shared" si="11264"/>
        <v>0</v>
      </c>
      <c r="O5976" s="1" t="str">
        <f t="shared" si="11264"/>
        <v>0</v>
      </c>
      <c r="P5976" s="1" t="str">
        <f t="shared" si="11264"/>
        <v>0</v>
      </c>
      <c r="Q5976" s="1" t="str">
        <f t="shared" si="11228"/>
        <v>0.0070</v>
      </c>
      <c r="R5976" s="1" t="s">
        <v>25</v>
      </c>
      <c r="T5976" s="1" t="str">
        <f t="shared" si="11229"/>
        <v>0</v>
      </c>
      <c r="U5976" s="1" t="str">
        <f t="shared" si="11257"/>
        <v>0.0070</v>
      </c>
    </row>
    <row r="5977" s="1" customFormat="1" spans="1:21">
      <c r="A5977" s="1" t="str">
        <f>"4601992230828"</f>
        <v>4601992230828</v>
      </c>
      <c r="B5977" s="1" t="s">
        <v>6000</v>
      </c>
      <c r="C5977" s="1" t="s">
        <v>24</v>
      </c>
      <c r="D5977" s="1" t="str">
        <f t="shared" si="11226"/>
        <v>2021</v>
      </c>
      <c r="E5977" s="1" t="str">
        <f t="shared" ref="E5977:I5977" si="11265">"0"</f>
        <v>0</v>
      </c>
      <c r="F5977" s="1" t="str">
        <f t="shared" si="11265"/>
        <v>0</v>
      </c>
      <c r="G5977" s="1" t="str">
        <f t="shared" si="11265"/>
        <v>0</v>
      </c>
      <c r="H5977" s="1" t="str">
        <f t="shared" si="11265"/>
        <v>0</v>
      </c>
      <c r="I5977" s="1" t="str">
        <f t="shared" si="11265"/>
        <v>0</v>
      </c>
      <c r="J5977" s="1" t="str">
        <f>"2"</f>
        <v>2</v>
      </c>
      <c r="K5977" s="1" t="str">
        <f t="shared" ref="K5977:P5977" si="11266">"0"</f>
        <v>0</v>
      </c>
      <c r="L5977" s="1" t="str">
        <f t="shared" si="11266"/>
        <v>0</v>
      </c>
      <c r="M5977" s="1" t="str">
        <f t="shared" si="11266"/>
        <v>0</v>
      </c>
      <c r="N5977" s="1" t="str">
        <f t="shared" si="11266"/>
        <v>0</v>
      </c>
      <c r="O5977" s="1" t="str">
        <f t="shared" si="11266"/>
        <v>0</v>
      </c>
      <c r="P5977" s="1" t="str">
        <f t="shared" si="11266"/>
        <v>0</v>
      </c>
      <c r="Q5977" s="1" t="str">
        <f t="shared" si="11228"/>
        <v>0.0070</v>
      </c>
      <c r="R5977" s="1" t="s">
        <v>25</v>
      </c>
      <c r="T5977" s="1" t="str">
        <f t="shared" si="11229"/>
        <v>0</v>
      </c>
      <c r="U5977" s="1" t="str">
        <f t="shared" si="11257"/>
        <v>0.0070</v>
      </c>
    </row>
    <row r="5978" s="1" customFormat="1" spans="1:21">
      <c r="A5978" s="1" t="str">
        <f>"4601992230831"</f>
        <v>4601992230831</v>
      </c>
      <c r="B5978" s="1" t="s">
        <v>6001</v>
      </c>
      <c r="C5978" s="1" t="s">
        <v>24</v>
      </c>
      <c r="D5978" s="1" t="str">
        <f t="shared" si="11226"/>
        <v>2021</v>
      </c>
      <c r="E5978" s="1" t="str">
        <f t="shared" ref="E5978:I5978" si="11267">"0"</f>
        <v>0</v>
      </c>
      <c r="F5978" s="1" t="str">
        <f t="shared" si="11267"/>
        <v>0</v>
      </c>
      <c r="G5978" s="1" t="str">
        <f t="shared" si="11267"/>
        <v>0</v>
      </c>
      <c r="H5978" s="1" t="str">
        <f t="shared" si="11267"/>
        <v>0</v>
      </c>
      <c r="I5978" s="1" t="str">
        <f t="shared" si="11267"/>
        <v>0</v>
      </c>
      <c r="J5978" s="1" t="str">
        <f>"6"</f>
        <v>6</v>
      </c>
      <c r="K5978" s="1" t="str">
        <f t="shared" ref="K5978:P5978" si="11268">"0"</f>
        <v>0</v>
      </c>
      <c r="L5978" s="1" t="str">
        <f t="shared" si="11268"/>
        <v>0</v>
      </c>
      <c r="M5978" s="1" t="str">
        <f t="shared" si="11268"/>
        <v>0</v>
      </c>
      <c r="N5978" s="1" t="str">
        <f t="shared" si="11268"/>
        <v>0</v>
      </c>
      <c r="O5978" s="1" t="str">
        <f t="shared" si="11268"/>
        <v>0</v>
      </c>
      <c r="P5978" s="1" t="str">
        <f t="shared" si="11268"/>
        <v>0</v>
      </c>
      <c r="Q5978" s="1" t="str">
        <f t="shared" si="11228"/>
        <v>0.0070</v>
      </c>
      <c r="R5978" s="1" t="s">
        <v>25</v>
      </c>
      <c r="T5978" s="1" t="str">
        <f t="shared" si="11229"/>
        <v>0</v>
      </c>
      <c r="U5978" s="1" t="str">
        <f t="shared" si="11257"/>
        <v>0.0070</v>
      </c>
    </row>
    <row r="5979" s="1" customFormat="1" spans="1:21">
      <c r="A5979" s="1" t="str">
        <f>"4601992230846"</f>
        <v>4601992230846</v>
      </c>
      <c r="B5979" s="1" t="s">
        <v>6002</v>
      </c>
      <c r="C5979" s="1" t="s">
        <v>24</v>
      </c>
      <c r="D5979" s="1" t="str">
        <f t="shared" si="11226"/>
        <v>2021</v>
      </c>
      <c r="E5979" s="1" t="str">
        <f t="shared" ref="E5979:I5979" si="11269">"0"</f>
        <v>0</v>
      </c>
      <c r="F5979" s="1" t="str">
        <f t="shared" si="11269"/>
        <v>0</v>
      </c>
      <c r="G5979" s="1" t="str">
        <f t="shared" si="11269"/>
        <v>0</v>
      </c>
      <c r="H5979" s="1" t="str">
        <f t="shared" si="11269"/>
        <v>0</v>
      </c>
      <c r="I5979" s="1" t="str">
        <f t="shared" si="11269"/>
        <v>0</v>
      </c>
      <c r="J5979" s="1" t="str">
        <f>"2"</f>
        <v>2</v>
      </c>
      <c r="K5979" s="1" t="str">
        <f t="shared" ref="K5979:P5979" si="11270">"0"</f>
        <v>0</v>
      </c>
      <c r="L5979" s="1" t="str">
        <f t="shared" si="11270"/>
        <v>0</v>
      </c>
      <c r="M5979" s="1" t="str">
        <f t="shared" si="11270"/>
        <v>0</v>
      </c>
      <c r="N5979" s="1" t="str">
        <f t="shared" si="11270"/>
        <v>0</v>
      </c>
      <c r="O5979" s="1" t="str">
        <f t="shared" si="11270"/>
        <v>0</v>
      </c>
      <c r="P5979" s="1" t="str">
        <f t="shared" si="11270"/>
        <v>0</v>
      </c>
      <c r="Q5979" s="1" t="str">
        <f t="shared" si="11228"/>
        <v>0.0070</v>
      </c>
      <c r="R5979" s="1" t="s">
        <v>25</v>
      </c>
      <c r="T5979" s="1" t="str">
        <f t="shared" si="11229"/>
        <v>0</v>
      </c>
      <c r="U5979" s="1" t="str">
        <f t="shared" si="11257"/>
        <v>0.0070</v>
      </c>
    </row>
    <row r="5980" s="1" customFormat="1" spans="1:21">
      <c r="A5980" s="1" t="str">
        <f>"4601992230857"</f>
        <v>4601992230857</v>
      </c>
      <c r="B5980" s="1" t="s">
        <v>6003</v>
      </c>
      <c r="C5980" s="1" t="s">
        <v>24</v>
      </c>
      <c r="D5980" s="1" t="str">
        <f t="shared" si="11226"/>
        <v>2021</v>
      </c>
      <c r="E5980" s="1" t="str">
        <f t="shared" ref="E5980:I5980" si="11271">"0"</f>
        <v>0</v>
      </c>
      <c r="F5980" s="1" t="str">
        <f t="shared" si="11271"/>
        <v>0</v>
      </c>
      <c r="G5980" s="1" t="str">
        <f t="shared" si="11271"/>
        <v>0</v>
      </c>
      <c r="H5980" s="1" t="str">
        <f t="shared" si="11271"/>
        <v>0</v>
      </c>
      <c r="I5980" s="1" t="str">
        <f t="shared" si="11271"/>
        <v>0</v>
      </c>
      <c r="J5980" s="1" t="str">
        <f>"3"</f>
        <v>3</v>
      </c>
      <c r="K5980" s="1" t="str">
        <f t="shared" ref="K5980:P5980" si="11272">"0"</f>
        <v>0</v>
      </c>
      <c r="L5980" s="1" t="str">
        <f t="shared" si="11272"/>
        <v>0</v>
      </c>
      <c r="M5980" s="1" t="str">
        <f t="shared" si="11272"/>
        <v>0</v>
      </c>
      <c r="N5980" s="1" t="str">
        <f t="shared" si="11272"/>
        <v>0</v>
      </c>
      <c r="O5980" s="1" t="str">
        <f t="shared" si="11272"/>
        <v>0</v>
      </c>
      <c r="P5980" s="1" t="str">
        <f t="shared" si="11272"/>
        <v>0</v>
      </c>
      <c r="Q5980" s="1" t="str">
        <f t="shared" si="11228"/>
        <v>0.0070</v>
      </c>
      <c r="R5980" s="1" t="s">
        <v>25</v>
      </c>
      <c r="T5980" s="1" t="str">
        <f t="shared" si="11229"/>
        <v>0</v>
      </c>
      <c r="U5980" s="1" t="str">
        <f t="shared" si="11257"/>
        <v>0.0070</v>
      </c>
    </row>
    <row r="5981" s="1" customFormat="1" spans="1:21">
      <c r="A5981" s="1" t="str">
        <f>"4601992230902"</f>
        <v>4601992230902</v>
      </c>
      <c r="B5981" s="1" t="s">
        <v>6004</v>
      </c>
      <c r="C5981" s="1" t="s">
        <v>24</v>
      </c>
      <c r="D5981" s="1" t="str">
        <f t="shared" si="11226"/>
        <v>2021</v>
      </c>
      <c r="E5981" s="1" t="str">
        <f t="shared" ref="E5981:P5981" si="11273">"0"</f>
        <v>0</v>
      </c>
      <c r="F5981" s="1" t="str">
        <f t="shared" si="11273"/>
        <v>0</v>
      </c>
      <c r="G5981" s="1" t="str">
        <f t="shared" si="11273"/>
        <v>0</v>
      </c>
      <c r="H5981" s="1" t="str">
        <f t="shared" si="11273"/>
        <v>0</v>
      </c>
      <c r="I5981" s="1" t="str">
        <f t="shared" si="11273"/>
        <v>0</v>
      </c>
      <c r="J5981" s="1" t="str">
        <f t="shared" si="11273"/>
        <v>0</v>
      </c>
      <c r="K5981" s="1" t="str">
        <f t="shared" si="11273"/>
        <v>0</v>
      </c>
      <c r="L5981" s="1" t="str">
        <f t="shared" si="11273"/>
        <v>0</v>
      </c>
      <c r="M5981" s="1" t="str">
        <f t="shared" si="11273"/>
        <v>0</v>
      </c>
      <c r="N5981" s="1" t="str">
        <f t="shared" si="11273"/>
        <v>0</v>
      </c>
      <c r="O5981" s="1" t="str">
        <f t="shared" si="11273"/>
        <v>0</v>
      </c>
      <c r="P5981" s="1" t="str">
        <f t="shared" si="11273"/>
        <v>0</v>
      </c>
      <c r="Q5981" s="1" t="str">
        <f t="shared" si="11228"/>
        <v>0.0070</v>
      </c>
      <c r="R5981" s="1" t="s">
        <v>25</v>
      </c>
      <c r="T5981" s="1" t="str">
        <f t="shared" si="11229"/>
        <v>0</v>
      </c>
      <c r="U5981" s="1" t="str">
        <f t="shared" si="11257"/>
        <v>0.0070</v>
      </c>
    </row>
    <row r="5982" s="1" customFormat="1" spans="1:21">
      <c r="A5982" s="1" t="str">
        <f>"4601992230901"</f>
        <v>4601992230901</v>
      </c>
      <c r="B5982" s="1" t="s">
        <v>6005</v>
      </c>
      <c r="C5982" s="1" t="s">
        <v>24</v>
      </c>
      <c r="D5982" s="1" t="str">
        <f t="shared" si="11226"/>
        <v>2021</v>
      </c>
      <c r="E5982" s="1" t="str">
        <f t="shared" ref="E5982:I5982" si="11274">"0"</f>
        <v>0</v>
      </c>
      <c r="F5982" s="1" t="str">
        <f t="shared" si="11274"/>
        <v>0</v>
      </c>
      <c r="G5982" s="1" t="str">
        <f t="shared" si="11274"/>
        <v>0</v>
      </c>
      <c r="H5982" s="1" t="str">
        <f t="shared" si="11274"/>
        <v>0</v>
      </c>
      <c r="I5982" s="1" t="str">
        <f t="shared" si="11274"/>
        <v>0</v>
      </c>
      <c r="J5982" s="1" t="str">
        <f>"3"</f>
        <v>3</v>
      </c>
      <c r="K5982" s="1" t="str">
        <f t="shared" ref="K5982:P5982" si="11275">"0"</f>
        <v>0</v>
      </c>
      <c r="L5982" s="1" t="str">
        <f t="shared" si="11275"/>
        <v>0</v>
      </c>
      <c r="M5982" s="1" t="str">
        <f t="shared" si="11275"/>
        <v>0</v>
      </c>
      <c r="N5982" s="1" t="str">
        <f t="shared" si="11275"/>
        <v>0</v>
      </c>
      <c r="O5982" s="1" t="str">
        <f t="shared" si="11275"/>
        <v>0</v>
      </c>
      <c r="P5982" s="1" t="str">
        <f t="shared" si="11275"/>
        <v>0</v>
      </c>
      <c r="Q5982" s="1" t="str">
        <f t="shared" si="11228"/>
        <v>0.0070</v>
      </c>
      <c r="R5982" s="1" t="s">
        <v>25</v>
      </c>
      <c r="T5982" s="1" t="str">
        <f t="shared" si="11229"/>
        <v>0</v>
      </c>
      <c r="U5982" s="1" t="str">
        <f t="shared" si="11257"/>
        <v>0.0070</v>
      </c>
    </row>
    <row r="5983" s="1" customFormat="1" spans="1:21">
      <c r="A5983" s="1" t="str">
        <f>"4601992230913"</f>
        <v>4601992230913</v>
      </c>
      <c r="B5983" s="1" t="s">
        <v>6006</v>
      </c>
      <c r="C5983" s="1" t="s">
        <v>24</v>
      </c>
      <c r="D5983" s="1" t="str">
        <f t="shared" si="11226"/>
        <v>2021</v>
      </c>
      <c r="E5983" s="1" t="str">
        <f t="shared" ref="E5983:P5983" si="11276">"0"</f>
        <v>0</v>
      </c>
      <c r="F5983" s="1" t="str">
        <f t="shared" si="11276"/>
        <v>0</v>
      </c>
      <c r="G5983" s="1" t="str">
        <f t="shared" si="11276"/>
        <v>0</v>
      </c>
      <c r="H5983" s="1" t="str">
        <f t="shared" si="11276"/>
        <v>0</v>
      </c>
      <c r="I5983" s="1" t="str">
        <f t="shared" si="11276"/>
        <v>0</v>
      </c>
      <c r="J5983" s="1" t="str">
        <f t="shared" si="11276"/>
        <v>0</v>
      </c>
      <c r="K5983" s="1" t="str">
        <f t="shared" si="11276"/>
        <v>0</v>
      </c>
      <c r="L5983" s="1" t="str">
        <f t="shared" si="11276"/>
        <v>0</v>
      </c>
      <c r="M5983" s="1" t="str">
        <f t="shared" si="11276"/>
        <v>0</v>
      </c>
      <c r="N5983" s="1" t="str">
        <f t="shared" si="11276"/>
        <v>0</v>
      </c>
      <c r="O5983" s="1" t="str">
        <f t="shared" si="11276"/>
        <v>0</v>
      </c>
      <c r="P5983" s="1" t="str">
        <f t="shared" si="11276"/>
        <v>0</v>
      </c>
      <c r="Q5983" s="1" t="str">
        <f t="shared" si="11228"/>
        <v>0.0070</v>
      </c>
      <c r="R5983" s="1" t="s">
        <v>25</v>
      </c>
      <c r="T5983" s="1" t="str">
        <f t="shared" si="11229"/>
        <v>0</v>
      </c>
      <c r="U5983" s="1" t="str">
        <f t="shared" si="11257"/>
        <v>0.0070</v>
      </c>
    </row>
    <row r="5984" s="1" customFormat="1" spans="1:21">
      <c r="A5984" s="1" t="str">
        <f>"4601992231276"</f>
        <v>4601992231276</v>
      </c>
      <c r="B5984" s="1" t="s">
        <v>6007</v>
      </c>
      <c r="C5984" s="1" t="s">
        <v>24</v>
      </c>
      <c r="D5984" s="1" t="str">
        <f t="shared" si="11226"/>
        <v>2021</v>
      </c>
      <c r="E5984" s="1" t="str">
        <f t="shared" ref="E5984:P5984" si="11277">"0"</f>
        <v>0</v>
      </c>
      <c r="F5984" s="1" t="str">
        <f t="shared" si="11277"/>
        <v>0</v>
      </c>
      <c r="G5984" s="1" t="str">
        <f t="shared" si="11277"/>
        <v>0</v>
      </c>
      <c r="H5984" s="1" t="str">
        <f t="shared" si="11277"/>
        <v>0</v>
      </c>
      <c r="I5984" s="1" t="str">
        <f t="shared" si="11277"/>
        <v>0</v>
      </c>
      <c r="J5984" s="1" t="str">
        <f t="shared" si="11277"/>
        <v>0</v>
      </c>
      <c r="K5984" s="1" t="str">
        <f t="shared" si="11277"/>
        <v>0</v>
      </c>
      <c r="L5984" s="1" t="str">
        <f t="shared" si="11277"/>
        <v>0</v>
      </c>
      <c r="M5984" s="1" t="str">
        <f t="shared" si="11277"/>
        <v>0</v>
      </c>
      <c r="N5984" s="1" t="str">
        <f t="shared" si="11277"/>
        <v>0</v>
      </c>
      <c r="O5984" s="1" t="str">
        <f t="shared" si="11277"/>
        <v>0</v>
      </c>
      <c r="P5984" s="1" t="str">
        <f t="shared" si="11277"/>
        <v>0</v>
      </c>
      <c r="Q5984" s="1" t="str">
        <f t="shared" si="11228"/>
        <v>0.0070</v>
      </c>
      <c r="R5984" s="1" t="s">
        <v>25</v>
      </c>
      <c r="T5984" s="1" t="str">
        <f t="shared" si="11229"/>
        <v>0</v>
      </c>
      <c r="U5984" s="1" t="str">
        <f t="shared" si="11257"/>
        <v>0.0070</v>
      </c>
    </row>
    <row r="5985" s="1" customFormat="1" spans="1:21">
      <c r="A5985" s="1" t="str">
        <f>"4601992231144"</f>
        <v>4601992231144</v>
      </c>
      <c r="B5985" s="1" t="s">
        <v>6008</v>
      </c>
      <c r="C5985" s="1" t="s">
        <v>24</v>
      </c>
      <c r="D5985" s="1" t="str">
        <f t="shared" si="11226"/>
        <v>2021</v>
      </c>
      <c r="E5985" s="1" t="str">
        <f t="shared" ref="E5985:I5985" si="11278">"0"</f>
        <v>0</v>
      </c>
      <c r="F5985" s="1" t="str">
        <f t="shared" si="11278"/>
        <v>0</v>
      </c>
      <c r="G5985" s="1" t="str">
        <f t="shared" si="11278"/>
        <v>0</v>
      </c>
      <c r="H5985" s="1" t="str">
        <f t="shared" si="11278"/>
        <v>0</v>
      </c>
      <c r="I5985" s="1" t="str">
        <f t="shared" si="11278"/>
        <v>0</v>
      </c>
      <c r="J5985" s="1" t="str">
        <f>"1"</f>
        <v>1</v>
      </c>
      <c r="K5985" s="1" t="str">
        <f t="shared" ref="K5985:P5985" si="11279">"0"</f>
        <v>0</v>
      </c>
      <c r="L5985" s="1" t="str">
        <f t="shared" si="11279"/>
        <v>0</v>
      </c>
      <c r="M5985" s="1" t="str">
        <f t="shared" si="11279"/>
        <v>0</v>
      </c>
      <c r="N5985" s="1" t="str">
        <f t="shared" si="11279"/>
        <v>0</v>
      </c>
      <c r="O5985" s="1" t="str">
        <f t="shared" si="11279"/>
        <v>0</v>
      </c>
      <c r="P5985" s="1" t="str">
        <f t="shared" si="11279"/>
        <v>0</v>
      </c>
      <c r="Q5985" s="1" t="str">
        <f t="shared" si="11228"/>
        <v>0.0070</v>
      </c>
      <c r="R5985" s="1" t="s">
        <v>25</v>
      </c>
      <c r="T5985" s="1" t="str">
        <f t="shared" si="11229"/>
        <v>0</v>
      </c>
      <c r="U5985" s="1" t="str">
        <f t="shared" si="11257"/>
        <v>0.0070</v>
      </c>
    </row>
    <row r="5986" s="1" customFormat="1" spans="1:21">
      <c r="A5986" s="1" t="str">
        <f>"4601992231433"</f>
        <v>4601992231433</v>
      </c>
      <c r="B5986" s="1" t="s">
        <v>6009</v>
      </c>
      <c r="C5986" s="1" t="s">
        <v>24</v>
      </c>
      <c r="D5986" s="1" t="str">
        <f t="shared" si="11226"/>
        <v>2021</v>
      </c>
      <c r="E5986" s="1" t="str">
        <f t="shared" ref="E5986:P5986" si="11280">"0"</f>
        <v>0</v>
      </c>
      <c r="F5986" s="1" t="str">
        <f t="shared" si="11280"/>
        <v>0</v>
      </c>
      <c r="G5986" s="1" t="str">
        <f t="shared" si="11280"/>
        <v>0</v>
      </c>
      <c r="H5986" s="1" t="str">
        <f t="shared" si="11280"/>
        <v>0</v>
      </c>
      <c r="I5986" s="1" t="str">
        <f t="shared" si="11280"/>
        <v>0</v>
      </c>
      <c r="J5986" s="1" t="str">
        <f t="shared" si="11280"/>
        <v>0</v>
      </c>
      <c r="K5986" s="1" t="str">
        <f t="shared" si="11280"/>
        <v>0</v>
      </c>
      <c r="L5986" s="1" t="str">
        <f t="shared" si="11280"/>
        <v>0</v>
      </c>
      <c r="M5986" s="1" t="str">
        <f t="shared" si="11280"/>
        <v>0</v>
      </c>
      <c r="N5986" s="1" t="str">
        <f t="shared" si="11280"/>
        <v>0</v>
      </c>
      <c r="O5986" s="1" t="str">
        <f t="shared" si="11280"/>
        <v>0</v>
      </c>
      <c r="P5986" s="1" t="str">
        <f t="shared" si="11280"/>
        <v>0</v>
      </c>
      <c r="Q5986" s="1" t="str">
        <f t="shared" si="11228"/>
        <v>0.0070</v>
      </c>
      <c r="R5986" s="1" t="s">
        <v>25</v>
      </c>
      <c r="T5986" s="1" t="str">
        <f t="shared" si="11229"/>
        <v>0</v>
      </c>
      <c r="U5986" s="1" t="str">
        <f t="shared" si="11257"/>
        <v>0.0070</v>
      </c>
    </row>
    <row r="5987" s="1" customFormat="1" spans="1:21">
      <c r="A5987" s="1" t="str">
        <f>"4601992231337"</f>
        <v>4601992231337</v>
      </c>
      <c r="B5987" s="1" t="s">
        <v>6010</v>
      </c>
      <c r="C5987" s="1" t="s">
        <v>24</v>
      </c>
      <c r="D5987" s="1" t="str">
        <f t="shared" si="11226"/>
        <v>2021</v>
      </c>
      <c r="E5987" s="1" t="str">
        <f t="shared" ref="E5987:I5987" si="11281">"0"</f>
        <v>0</v>
      </c>
      <c r="F5987" s="1" t="str">
        <f t="shared" si="11281"/>
        <v>0</v>
      </c>
      <c r="G5987" s="1" t="str">
        <f t="shared" si="11281"/>
        <v>0</v>
      </c>
      <c r="H5987" s="1" t="str">
        <f t="shared" si="11281"/>
        <v>0</v>
      </c>
      <c r="I5987" s="1" t="str">
        <f t="shared" si="11281"/>
        <v>0</v>
      </c>
      <c r="J5987" s="1" t="str">
        <f>"5"</f>
        <v>5</v>
      </c>
      <c r="K5987" s="1" t="str">
        <f t="shared" ref="K5987:P5987" si="11282">"0"</f>
        <v>0</v>
      </c>
      <c r="L5987" s="1" t="str">
        <f t="shared" si="11282"/>
        <v>0</v>
      </c>
      <c r="M5987" s="1" t="str">
        <f t="shared" si="11282"/>
        <v>0</v>
      </c>
      <c r="N5987" s="1" t="str">
        <f t="shared" si="11282"/>
        <v>0</v>
      </c>
      <c r="O5987" s="1" t="str">
        <f t="shared" si="11282"/>
        <v>0</v>
      </c>
      <c r="P5987" s="1" t="str">
        <f t="shared" si="11282"/>
        <v>0</v>
      </c>
      <c r="Q5987" s="1" t="str">
        <f t="shared" si="11228"/>
        <v>0.0070</v>
      </c>
      <c r="R5987" s="1" t="s">
        <v>25</v>
      </c>
      <c r="T5987" s="1" t="str">
        <f t="shared" si="11229"/>
        <v>0</v>
      </c>
      <c r="U5987" s="1" t="str">
        <f t="shared" si="11257"/>
        <v>0.0070</v>
      </c>
    </row>
    <row r="5988" s="1" customFormat="1" spans="1:21">
      <c r="A5988" s="1" t="str">
        <f>"4601992232054"</f>
        <v>4601992232054</v>
      </c>
      <c r="B5988" s="1" t="s">
        <v>6011</v>
      </c>
      <c r="C5988" s="1" t="s">
        <v>24</v>
      </c>
      <c r="D5988" s="1" t="str">
        <f t="shared" si="11226"/>
        <v>2021</v>
      </c>
      <c r="E5988" s="1" t="str">
        <f t="shared" ref="E5988:P5988" si="11283">"0"</f>
        <v>0</v>
      </c>
      <c r="F5988" s="1" t="str">
        <f t="shared" si="11283"/>
        <v>0</v>
      </c>
      <c r="G5988" s="1" t="str">
        <f t="shared" si="11283"/>
        <v>0</v>
      </c>
      <c r="H5988" s="1" t="str">
        <f t="shared" si="11283"/>
        <v>0</v>
      </c>
      <c r="I5988" s="1" t="str">
        <f t="shared" si="11283"/>
        <v>0</v>
      </c>
      <c r="J5988" s="1" t="str">
        <f t="shared" si="11283"/>
        <v>0</v>
      </c>
      <c r="K5988" s="1" t="str">
        <f t="shared" si="11283"/>
        <v>0</v>
      </c>
      <c r="L5988" s="1" t="str">
        <f t="shared" si="11283"/>
        <v>0</v>
      </c>
      <c r="M5988" s="1" t="str">
        <f t="shared" si="11283"/>
        <v>0</v>
      </c>
      <c r="N5988" s="1" t="str">
        <f t="shared" si="11283"/>
        <v>0</v>
      </c>
      <c r="O5988" s="1" t="str">
        <f t="shared" si="11283"/>
        <v>0</v>
      </c>
      <c r="P5988" s="1" t="str">
        <f t="shared" si="11283"/>
        <v>0</v>
      </c>
      <c r="Q5988" s="1" t="str">
        <f t="shared" si="11228"/>
        <v>0.0070</v>
      </c>
      <c r="R5988" s="1" t="s">
        <v>25</v>
      </c>
      <c r="T5988" s="1" t="str">
        <f t="shared" si="11229"/>
        <v>0</v>
      </c>
      <c r="U5988" s="1" t="str">
        <f t="shared" si="11257"/>
        <v>0.0070</v>
      </c>
    </row>
    <row r="5989" s="1" customFormat="1" spans="1:21">
      <c r="A5989" s="1" t="str">
        <f>"4601992232040"</f>
        <v>4601992232040</v>
      </c>
      <c r="B5989" s="1" t="s">
        <v>6012</v>
      </c>
      <c r="C5989" s="1" t="s">
        <v>24</v>
      </c>
      <c r="D5989" s="1" t="str">
        <f t="shared" si="11226"/>
        <v>2021</v>
      </c>
      <c r="E5989" s="1" t="str">
        <f t="shared" ref="E5989:P5989" si="11284">"0"</f>
        <v>0</v>
      </c>
      <c r="F5989" s="1" t="str">
        <f t="shared" si="11284"/>
        <v>0</v>
      </c>
      <c r="G5989" s="1" t="str">
        <f t="shared" si="11284"/>
        <v>0</v>
      </c>
      <c r="H5989" s="1" t="str">
        <f t="shared" si="11284"/>
        <v>0</v>
      </c>
      <c r="I5989" s="1" t="str">
        <f t="shared" si="11284"/>
        <v>0</v>
      </c>
      <c r="J5989" s="1" t="str">
        <f t="shared" si="11284"/>
        <v>0</v>
      </c>
      <c r="K5989" s="1" t="str">
        <f t="shared" si="11284"/>
        <v>0</v>
      </c>
      <c r="L5989" s="1" t="str">
        <f t="shared" si="11284"/>
        <v>0</v>
      </c>
      <c r="M5989" s="1" t="str">
        <f t="shared" si="11284"/>
        <v>0</v>
      </c>
      <c r="N5989" s="1" t="str">
        <f t="shared" si="11284"/>
        <v>0</v>
      </c>
      <c r="O5989" s="1" t="str">
        <f t="shared" si="11284"/>
        <v>0</v>
      </c>
      <c r="P5989" s="1" t="str">
        <f t="shared" si="11284"/>
        <v>0</v>
      </c>
      <c r="Q5989" s="1" t="str">
        <f t="shared" si="11228"/>
        <v>0.0070</v>
      </c>
      <c r="R5989" s="1" t="s">
        <v>25</v>
      </c>
      <c r="T5989" s="1" t="str">
        <f t="shared" si="11229"/>
        <v>0</v>
      </c>
      <c r="U5989" s="1" t="str">
        <f t="shared" si="11257"/>
        <v>0.0070</v>
      </c>
    </row>
    <row r="5990" s="1" customFormat="1" spans="1:21">
      <c r="A5990" s="1" t="str">
        <f>"4601992232050"</f>
        <v>4601992232050</v>
      </c>
      <c r="B5990" s="1" t="s">
        <v>6013</v>
      </c>
      <c r="C5990" s="1" t="s">
        <v>24</v>
      </c>
      <c r="D5990" s="1" t="str">
        <f t="shared" si="11226"/>
        <v>2021</v>
      </c>
      <c r="E5990" s="1" t="str">
        <f t="shared" ref="E5990:P5990" si="11285">"0"</f>
        <v>0</v>
      </c>
      <c r="F5990" s="1" t="str">
        <f t="shared" si="11285"/>
        <v>0</v>
      </c>
      <c r="G5990" s="1" t="str">
        <f t="shared" si="11285"/>
        <v>0</v>
      </c>
      <c r="H5990" s="1" t="str">
        <f t="shared" si="11285"/>
        <v>0</v>
      </c>
      <c r="I5990" s="1" t="str">
        <f t="shared" si="11285"/>
        <v>0</v>
      </c>
      <c r="J5990" s="1" t="str">
        <f t="shared" si="11285"/>
        <v>0</v>
      </c>
      <c r="K5990" s="1" t="str">
        <f t="shared" si="11285"/>
        <v>0</v>
      </c>
      <c r="L5990" s="1" t="str">
        <f t="shared" si="11285"/>
        <v>0</v>
      </c>
      <c r="M5990" s="1" t="str">
        <f t="shared" si="11285"/>
        <v>0</v>
      </c>
      <c r="N5990" s="1" t="str">
        <f t="shared" si="11285"/>
        <v>0</v>
      </c>
      <c r="O5990" s="1" t="str">
        <f t="shared" si="11285"/>
        <v>0</v>
      </c>
      <c r="P5990" s="1" t="str">
        <f t="shared" si="11285"/>
        <v>0</v>
      </c>
      <c r="Q5990" s="1" t="str">
        <f t="shared" si="11228"/>
        <v>0.0070</v>
      </c>
      <c r="R5990" s="1" t="s">
        <v>25</v>
      </c>
      <c r="T5990" s="1" t="str">
        <f t="shared" si="11229"/>
        <v>0</v>
      </c>
      <c r="U5990" s="1" t="str">
        <f t="shared" si="11257"/>
        <v>0.0070</v>
      </c>
    </row>
    <row r="5991" s="1" customFormat="1" spans="1:21">
      <c r="A5991" s="1" t="str">
        <f>"4601992232203"</f>
        <v>4601992232203</v>
      </c>
      <c r="B5991" s="1" t="s">
        <v>6014</v>
      </c>
      <c r="C5991" s="1" t="s">
        <v>24</v>
      </c>
      <c r="D5991" s="1" t="str">
        <f t="shared" si="11226"/>
        <v>2021</v>
      </c>
      <c r="E5991" s="1" t="str">
        <f t="shared" ref="E5991:P5991" si="11286">"0"</f>
        <v>0</v>
      </c>
      <c r="F5991" s="1" t="str">
        <f t="shared" si="11286"/>
        <v>0</v>
      </c>
      <c r="G5991" s="1" t="str">
        <f t="shared" si="11286"/>
        <v>0</v>
      </c>
      <c r="H5991" s="1" t="str">
        <f t="shared" si="11286"/>
        <v>0</v>
      </c>
      <c r="I5991" s="1" t="str">
        <f t="shared" si="11286"/>
        <v>0</v>
      </c>
      <c r="J5991" s="1" t="str">
        <f t="shared" si="11286"/>
        <v>0</v>
      </c>
      <c r="K5991" s="1" t="str">
        <f t="shared" si="11286"/>
        <v>0</v>
      </c>
      <c r="L5991" s="1" t="str">
        <f t="shared" si="11286"/>
        <v>0</v>
      </c>
      <c r="M5991" s="1" t="str">
        <f t="shared" si="11286"/>
        <v>0</v>
      </c>
      <c r="N5991" s="1" t="str">
        <f t="shared" si="11286"/>
        <v>0</v>
      </c>
      <c r="O5991" s="1" t="str">
        <f t="shared" si="11286"/>
        <v>0</v>
      </c>
      <c r="P5991" s="1" t="str">
        <f t="shared" si="11286"/>
        <v>0</v>
      </c>
      <c r="Q5991" s="1" t="str">
        <f t="shared" si="11228"/>
        <v>0.0070</v>
      </c>
      <c r="R5991" s="1" t="s">
        <v>25</v>
      </c>
      <c r="T5991" s="1" t="str">
        <f t="shared" si="11229"/>
        <v>0</v>
      </c>
      <c r="U5991" s="1" t="str">
        <f t="shared" si="11257"/>
        <v>0.0070</v>
      </c>
    </row>
    <row r="5992" s="1" customFormat="1" spans="1:21">
      <c r="A5992" s="1" t="str">
        <f>"4601992233093"</f>
        <v>4601992233093</v>
      </c>
      <c r="B5992" s="1" t="s">
        <v>6015</v>
      </c>
      <c r="C5992" s="1" t="s">
        <v>24</v>
      </c>
      <c r="D5992" s="1" t="str">
        <f t="shared" si="11226"/>
        <v>2021</v>
      </c>
      <c r="E5992" s="1" t="str">
        <f t="shared" ref="E5992:P5992" si="11287">"0"</f>
        <v>0</v>
      </c>
      <c r="F5992" s="1" t="str">
        <f t="shared" si="11287"/>
        <v>0</v>
      </c>
      <c r="G5992" s="1" t="str">
        <f t="shared" si="11287"/>
        <v>0</v>
      </c>
      <c r="H5992" s="1" t="str">
        <f t="shared" si="11287"/>
        <v>0</v>
      </c>
      <c r="I5992" s="1" t="str">
        <f t="shared" si="11287"/>
        <v>0</v>
      </c>
      <c r="J5992" s="1" t="str">
        <f t="shared" si="11287"/>
        <v>0</v>
      </c>
      <c r="K5992" s="1" t="str">
        <f t="shared" si="11287"/>
        <v>0</v>
      </c>
      <c r="L5992" s="1" t="str">
        <f t="shared" si="11287"/>
        <v>0</v>
      </c>
      <c r="M5992" s="1" t="str">
        <f t="shared" si="11287"/>
        <v>0</v>
      </c>
      <c r="N5992" s="1" t="str">
        <f t="shared" si="11287"/>
        <v>0</v>
      </c>
      <c r="O5992" s="1" t="str">
        <f t="shared" si="11287"/>
        <v>0</v>
      </c>
      <c r="P5992" s="1" t="str">
        <f t="shared" si="11287"/>
        <v>0</v>
      </c>
      <c r="Q5992" s="1" t="str">
        <f t="shared" si="11228"/>
        <v>0.0070</v>
      </c>
      <c r="R5992" s="1" t="s">
        <v>25</v>
      </c>
      <c r="T5992" s="1" t="str">
        <f t="shared" si="11229"/>
        <v>0</v>
      </c>
      <c r="U5992" s="1" t="str">
        <f t="shared" si="11257"/>
        <v>0.0070</v>
      </c>
    </row>
    <row r="5993" s="1" customFormat="1" spans="1:21">
      <c r="A5993" s="1" t="str">
        <f>"4601992233094"</f>
        <v>4601992233094</v>
      </c>
      <c r="B5993" s="1" t="s">
        <v>6016</v>
      </c>
      <c r="C5993" s="1" t="s">
        <v>24</v>
      </c>
      <c r="D5993" s="1" t="str">
        <f t="shared" si="11226"/>
        <v>2021</v>
      </c>
      <c r="E5993" s="1" t="str">
        <f t="shared" ref="E5993:P5993" si="11288">"0"</f>
        <v>0</v>
      </c>
      <c r="F5993" s="1" t="str">
        <f t="shared" si="11288"/>
        <v>0</v>
      </c>
      <c r="G5993" s="1" t="str">
        <f t="shared" si="11288"/>
        <v>0</v>
      </c>
      <c r="H5993" s="1" t="str">
        <f t="shared" si="11288"/>
        <v>0</v>
      </c>
      <c r="I5993" s="1" t="str">
        <f t="shared" si="11288"/>
        <v>0</v>
      </c>
      <c r="J5993" s="1" t="str">
        <f t="shared" si="11288"/>
        <v>0</v>
      </c>
      <c r="K5993" s="1" t="str">
        <f t="shared" si="11288"/>
        <v>0</v>
      </c>
      <c r="L5993" s="1" t="str">
        <f t="shared" si="11288"/>
        <v>0</v>
      </c>
      <c r="M5993" s="1" t="str">
        <f t="shared" si="11288"/>
        <v>0</v>
      </c>
      <c r="N5993" s="1" t="str">
        <f t="shared" si="11288"/>
        <v>0</v>
      </c>
      <c r="O5993" s="1" t="str">
        <f t="shared" si="11288"/>
        <v>0</v>
      </c>
      <c r="P5993" s="1" t="str">
        <f t="shared" si="11288"/>
        <v>0</v>
      </c>
      <c r="Q5993" s="1" t="str">
        <f t="shared" si="11228"/>
        <v>0.0070</v>
      </c>
      <c r="R5993" s="1" t="s">
        <v>25</v>
      </c>
      <c r="T5993" s="1" t="str">
        <f t="shared" si="11229"/>
        <v>0</v>
      </c>
      <c r="U5993" s="1" t="str">
        <f t="shared" si="11257"/>
        <v>0.0070</v>
      </c>
    </row>
    <row r="5994" s="1" customFormat="1" spans="1:21">
      <c r="A5994" s="1" t="str">
        <f>"4601992233361"</f>
        <v>4601992233361</v>
      </c>
      <c r="B5994" s="1" t="s">
        <v>6017</v>
      </c>
      <c r="C5994" s="1" t="s">
        <v>24</v>
      </c>
      <c r="D5994" s="1" t="str">
        <f t="shared" si="11226"/>
        <v>2021</v>
      </c>
      <c r="E5994" s="1" t="str">
        <f t="shared" ref="E5994:P5994" si="11289">"0"</f>
        <v>0</v>
      </c>
      <c r="F5994" s="1" t="str">
        <f t="shared" si="11289"/>
        <v>0</v>
      </c>
      <c r="G5994" s="1" t="str">
        <f t="shared" si="11289"/>
        <v>0</v>
      </c>
      <c r="H5994" s="1" t="str">
        <f t="shared" si="11289"/>
        <v>0</v>
      </c>
      <c r="I5994" s="1" t="str">
        <f t="shared" si="11289"/>
        <v>0</v>
      </c>
      <c r="J5994" s="1" t="str">
        <f t="shared" si="11289"/>
        <v>0</v>
      </c>
      <c r="K5994" s="1" t="str">
        <f t="shared" si="11289"/>
        <v>0</v>
      </c>
      <c r="L5994" s="1" t="str">
        <f t="shared" si="11289"/>
        <v>0</v>
      </c>
      <c r="M5994" s="1" t="str">
        <f t="shared" si="11289"/>
        <v>0</v>
      </c>
      <c r="N5994" s="1" t="str">
        <f t="shared" si="11289"/>
        <v>0</v>
      </c>
      <c r="O5994" s="1" t="str">
        <f t="shared" si="11289"/>
        <v>0</v>
      </c>
      <c r="P5994" s="1" t="str">
        <f t="shared" si="11289"/>
        <v>0</v>
      </c>
      <c r="Q5994" s="1" t="str">
        <f t="shared" si="11228"/>
        <v>0.0070</v>
      </c>
      <c r="R5994" s="1" t="s">
        <v>25</v>
      </c>
      <c r="T5994" s="1" t="str">
        <f t="shared" si="11229"/>
        <v>0</v>
      </c>
      <c r="U5994" s="1" t="str">
        <f t="shared" si="11257"/>
        <v>0.0070</v>
      </c>
    </row>
    <row r="5995" s="1" customFormat="1" spans="1:21">
      <c r="A5995" s="1" t="str">
        <f>"4601992233547"</f>
        <v>4601992233547</v>
      </c>
      <c r="B5995" s="1" t="s">
        <v>6018</v>
      </c>
      <c r="C5995" s="1" t="s">
        <v>24</v>
      </c>
      <c r="D5995" s="1" t="str">
        <f t="shared" si="11226"/>
        <v>2021</v>
      </c>
      <c r="E5995" s="1" t="str">
        <f t="shared" ref="E5995:P5995" si="11290">"0"</f>
        <v>0</v>
      </c>
      <c r="F5995" s="1" t="str">
        <f t="shared" si="11290"/>
        <v>0</v>
      </c>
      <c r="G5995" s="1" t="str">
        <f t="shared" si="11290"/>
        <v>0</v>
      </c>
      <c r="H5995" s="1" t="str">
        <f t="shared" si="11290"/>
        <v>0</v>
      </c>
      <c r="I5995" s="1" t="str">
        <f t="shared" si="11290"/>
        <v>0</v>
      </c>
      <c r="J5995" s="1" t="str">
        <f t="shared" si="11290"/>
        <v>0</v>
      </c>
      <c r="K5995" s="1" t="str">
        <f t="shared" si="11290"/>
        <v>0</v>
      </c>
      <c r="L5995" s="1" t="str">
        <f t="shared" si="11290"/>
        <v>0</v>
      </c>
      <c r="M5995" s="1" t="str">
        <f t="shared" si="11290"/>
        <v>0</v>
      </c>
      <c r="N5995" s="1" t="str">
        <f t="shared" si="11290"/>
        <v>0</v>
      </c>
      <c r="O5995" s="1" t="str">
        <f t="shared" si="11290"/>
        <v>0</v>
      </c>
      <c r="P5995" s="1" t="str">
        <f t="shared" si="11290"/>
        <v>0</v>
      </c>
      <c r="Q5995" s="1" t="str">
        <f t="shared" si="11228"/>
        <v>0.0070</v>
      </c>
      <c r="R5995" s="1" t="s">
        <v>25</v>
      </c>
      <c r="T5995" s="1" t="str">
        <f t="shared" si="11229"/>
        <v>0</v>
      </c>
      <c r="U5995" s="1" t="str">
        <f t="shared" si="11257"/>
        <v>0.0070</v>
      </c>
    </row>
    <row r="5996" s="1" customFormat="1" spans="1:21">
      <c r="A5996" s="1" t="str">
        <f>"4601992233647"</f>
        <v>4601992233647</v>
      </c>
      <c r="B5996" s="1" t="s">
        <v>6019</v>
      </c>
      <c r="C5996" s="1" t="s">
        <v>24</v>
      </c>
      <c r="D5996" s="1" t="str">
        <f t="shared" si="11226"/>
        <v>2021</v>
      </c>
      <c r="E5996" s="1" t="str">
        <f t="shared" ref="E5996:P5996" si="11291">"0"</f>
        <v>0</v>
      </c>
      <c r="F5996" s="1" t="str">
        <f t="shared" si="11291"/>
        <v>0</v>
      </c>
      <c r="G5996" s="1" t="str">
        <f t="shared" si="11291"/>
        <v>0</v>
      </c>
      <c r="H5996" s="1" t="str">
        <f t="shared" si="11291"/>
        <v>0</v>
      </c>
      <c r="I5996" s="1" t="str">
        <f t="shared" si="11291"/>
        <v>0</v>
      </c>
      <c r="J5996" s="1" t="str">
        <f t="shared" si="11291"/>
        <v>0</v>
      </c>
      <c r="K5996" s="1" t="str">
        <f t="shared" si="11291"/>
        <v>0</v>
      </c>
      <c r="L5996" s="1" t="str">
        <f t="shared" si="11291"/>
        <v>0</v>
      </c>
      <c r="M5996" s="1" t="str">
        <f t="shared" si="11291"/>
        <v>0</v>
      </c>
      <c r="N5996" s="1" t="str">
        <f t="shared" si="11291"/>
        <v>0</v>
      </c>
      <c r="O5996" s="1" t="str">
        <f t="shared" si="11291"/>
        <v>0</v>
      </c>
      <c r="P5996" s="1" t="str">
        <f t="shared" si="11291"/>
        <v>0</v>
      </c>
      <c r="Q5996" s="1" t="str">
        <f t="shared" si="11228"/>
        <v>0.0070</v>
      </c>
      <c r="R5996" s="1" t="s">
        <v>25</v>
      </c>
      <c r="T5996" s="1" t="str">
        <f t="shared" si="11229"/>
        <v>0</v>
      </c>
      <c r="U5996" s="1" t="str">
        <f t="shared" si="11257"/>
        <v>0.0070</v>
      </c>
    </row>
    <row r="5997" s="1" customFormat="1" spans="1:21">
      <c r="A5997" s="1" t="str">
        <f>"4601992234369"</f>
        <v>4601992234369</v>
      </c>
      <c r="B5997" s="1" t="s">
        <v>6020</v>
      </c>
      <c r="C5997" s="1" t="s">
        <v>24</v>
      </c>
      <c r="D5997" s="1" t="str">
        <f t="shared" si="11226"/>
        <v>2021</v>
      </c>
      <c r="E5997" s="1" t="str">
        <f t="shared" ref="E5997:P5997" si="11292">"0"</f>
        <v>0</v>
      </c>
      <c r="F5997" s="1" t="str">
        <f t="shared" si="11292"/>
        <v>0</v>
      </c>
      <c r="G5997" s="1" t="str">
        <f t="shared" si="11292"/>
        <v>0</v>
      </c>
      <c r="H5997" s="1" t="str">
        <f t="shared" si="11292"/>
        <v>0</v>
      </c>
      <c r="I5997" s="1" t="str">
        <f t="shared" si="11292"/>
        <v>0</v>
      </c>
      <c r="J5997" s="1" t="str">
        <f t="shared" si="11292"/>
        <v>0</v>
      </c>
      <c r="K5997" s="1" t="str">
        <f t="shared" si="11292"/>
        <v>0</v>
      </c>
      <c r="L5997" s="1" t="str">
        <f t="shared" si="11292"/>
        <v>0</v>
      </c>
      <c r="M5997" s="1" t="str">
        <f t="shared" si="11292"/>
        <v>0</v>
      </c>
      <c r="N5997" s="1" t="str">
        <f t="shared" si="11292"/>
        <v>0</v>
      </c>
      <c r="O5997" s="1" t="str">
        <f t="shared" si="11292"/>
        <v>0</v>
      </c>
      <c r="P5997" s="1" t="str">
        <f t="shared" si="11292"/>
        <v>0</v>
      </c>
      <c r="Q5997" s="1" t="str">
        <f t="shared" si="11228"/>
        <v>0.0070</v>
      </c>
      <c r="R5997" s="1" t="s">
        <v>25</v>
      </c>
      <c r="T5997" s="1" t="str">
        <f t="shared" si="11229"/>
        <v>0</v>
      </c>
      <c r="U5997" s="1" t="str">
        <f t="shared" si="11257"/>
        <v>0.0070</v>
      </c>
    </row>
    <row r="5998" s="1" customFormat="1" spans="1:21">
      <c r="A5998" s="1" t="str">
        <f>"4601992235704"</f>
        <v>4601992235704</v>
      </c>
      <c r="B5998" s="1" t="s">
        <v>6021</v>
      </c>
      <c r="C5998" s="1" t="s">
        <v>24</v>
      </c>
      <c r="D5998" s="1" t="str">
        <f t="shared" si="11226"/>
        <v>2021</v>
      </c>
      <c r="E5998" s="1" t="str">
        <f t="shared" ref="E5998:P5998" si="11293">"0"</f>
        <v>0</v>
      </c>
      <c r="F5998" s="1" t="str">
        <f t="shared" si="11293"/>
        <v>0</v>
      </c>
      <c r="G5998" s="1" t="str">
        <f t="shared" si="11293"/>
        <v>0</v>
      </c>
      <c r="H5998" s="1" t="str">
        <f t="shared" si="11293"/>
        <v>0</v>
      </c>
      <c r="I5998" s="1" t="str">
        <f t="shared" si="11293"/>
        <v>0</v>
      </c>
      <c r="J5998" s="1" t="str">
        <f t="shared" si="11293"/>
        <v>0</v>
      </c>
      <c r="K5998" s="1" t="str">
        <f t="shared" si="11293"/>
        <v>0</v>
      </c>
      <c r="L5998" s="1" t="str">
        <f t="shared" si="11293"/>
        <v>0</v>
      </c>
      <c r="M5998" s="1" t="str">
        <f t="shared" si="11293"/>
        <v>0</v>
      </c>
      <c r="N5998" s="1" t="str">
        <f t="shared" si="11293"/>
        <v>0</v>
      </c>
      <c r="O5998" s="1" t="str">
        <f t="shared" si="11293"/>
        <v>0</v>
      </c>
      <c r="P5998" s="1" t="str">
        <f t="shared" si="11293"/>
        <v>0</v>
      </c>
      <c r="Q5998" s="1" t="str">
        <f t="shared" si="11228"/>
        <v>0.0070</v>
      </c>
      <c r="R5998" s="1" t="s">
        <v>25</v>
      </c>
      <c r="T5998" s="1" t="str">
        <f t="shared" si="11229"/>
        <v>0</v>
      </c>
      <c r="U5998" s="1" t="str">
        <f t="shared" si="11257"/>
        <v>0.0070</v>
      </c>
    </row>
    <row r="5999" s="1" customFormat="1" spans="1:21">
      <c r="A5999" s="1" t="str">
        <f>"4601992235849"</f>
        <v>4601992235849</v>
      </c>
      <c r="B5999" s="1" t="s">
        <v>6022</v>
      </c>
      <c r="C5999" s="1" t="s">
        <v>24</v>
      </c>
      <c r="D5999" s="1" t="str">
        <f t="shared" si="11226"/>
        <v>2021</v>
      </c>
      <c r="E5999" s="1" t="str">
        <f t="shared" ref="E5999:P5999" si="11294">"0"</f>
        <v>0</v>
      </c>
      <c r="F5999" s="1" t="str">
        <f t="shared" si="11294"/>
        <v>0</v>
      </c>
      <c r="G5999" s="1" t="str">
        <f t="shared" si="11294"/>
        <v>0</v>
      </c>
      <c r="H5999" s="1" t="str">
        <f t="shared" si="11294"/>
        <v>0</v>
      </c>
      <c r="I5999" s="1" t="str">
        <f t="shared" si="11294"/>
        <v>0</v>
      </c>
      <c r="J5999" s="1" t="str">
        <f t="shared" si="11294"/>
        <v>0</v>
      </c>
      <c r="K5999" s="1" t="str">
        <f t="shared" si="11294"/>
        <v>0</v>
      </c>
      <c r="L5999" s="1" t="str">
        <f t="shared" si="11294"/>
        <v>0</v>
      </c>
      <c r="M5999" s="1" t="str">
        <f t="shared" si="11294"/>
        <v>0</v>
      </c>
      <c r="N5999" s="1" t="str">
        <f t="shared" si="11294"/>
        <v>0</v>
      </c>
      <c r="O5999" s="1" t="str">
        <f t="shared" si="11294"/>
        <v>0</v>
      </c>
      <c r="P5999" s="1" t="str">
        <f t="shared" si="11294"/>
        <v>0</v>
      </c>
      <c r="Q5999" s="1" t="str">
        <f t="shared" si="11228"/>
        <v>0.0070</v>
      </c>
      <c r="R5999" s="1" t="s">
        <v>25</v>
      </c>
      <c r="T5999" s="1" t="str">
        <f t="shared" si="11229"/>
        <v>0</v>
      </c>
      <c r="U5999" s="1" t="str">
        <f t="shared" si="11257"/>
        <v>0.0070</v>
      </c>
    </row>
    <row r="6000" s="1" customFormat="1" spans="1:21">
      <c r="A6000" s="1" t="str">
        <f>"4601992236040"</f>
        <v>4601992236040</v>
      </c>
      <c r="B6000" s="1" t="s">
        <v>6023</v>
      </c>
      <c r="C6000" s="1" t="s">
        <v>24</v>
      </c>
      <c r="D6000" s="1" t="str">
        <f t="shared" si="11226"/>
        <v>2021</v>
      </c>
      <c r="E6000" s="1" t="str">
        <f t="shared" ref="E6000:P6000" si="11295">"0"</f>
        <v>0</v>
      </c>
      <c r="F6000" s="1" t="str">
        <f t="shared" si="11295"/>
        <v>0</v>
      </c>
      <c r="G6000" s="1" t="str">
        <f t="shared" si="11295"/>
        <v>0</v>
      </c>
      <c r="H6000" s="1" t="str">
        <f t="shared" si="11295"/>
        <v>0</v>
      </c>
      <c r="I6000" s="1" t="str">
        <f t="shared" si="11295"/>
        <v>0</v>
      </c>
      <c r="J6000" s="1" t="str">
        <f t="shared" si="11295"/>
        <v>0</v>
      </c>
      <c r="K6000" s="1" t="str">
        <f t="shared" si="11295"/>
        <v>0</v>
      </c>
      <c r="L6000" s="1" t="str">
        <f t="shared" si="11295"/>
        <v>0</v>
      </c>
      <c r="M6000" s="1" t="str">
        <f t="shared" si="11295"/>
        <v>0</v>
      </c>
      <c r="N6000" s="1" t="str">
        <f t="shared" si="11295"/>
        <v>0</v>
      </c>
      <c r="O6000" s="1" t="str">
        <f t="shared" si="11295"/>
        <v>0</v>
      </c>
      <c r="P6000" s="1" t="str">
        <f t="shared" si="11295"/>
        <v>0</v>
      </c>
      <c r="Q6000" s="1" t="str">
        <f t="shared" si="11228"/>
        <v>0.0070</v>
      </c>
      <c r="R6000" s="1" t="s">
        <v>25</v>
      </c>
      <c r="T6000" s="1" t="str">
        <f t="shared" si="11229"/>
        <v>0</v>
      </c>
      <c r="U6000" s="1" t="str">
        <f t="shared" si="11257"/>
        <v>0.0070</v>
      </c>
    </row>
    <row r="6001" s="1" customFormat="1" spans="1:21">
      <c r="A6001" s="1" t="str">
        <f>"4601992236362"</f>
        <v>4601992236362</v>
      </c>
      <c r="B6001" s="1" t="s">
        <v>6024</v>
      </c>
      <c r="C6001" s="1" t="s">
        <v>24</v>
      </c>
      <c r="D6001" s="1" t="str">
        <f t="shared" si="11226"/>
        <v>2021</v>
      </c>
      <c r="E6001" s="1" t="str">
        <f t="shared" ref="E6001:P6001" si="11296">"0"</f>
        <v>0</v>
      </c>
      <c r="F6001" s="1" t="str">
        <f t="shared" si="11296"/>
        <v>0</v>
      </c>
      <c r="G6001" s="1" t="str">
        <f t="shared" si="11296"/>
        <v>0</v>
      </c>
      <c r="H6001" s="1" t="str">
        <f t="shared" si="11296"/>
        <v>0</v>
      </c>
      <c r="I6001" s="1" t="str">
        <f t="shared" si="11296"/>
        <v>0</v>
      </c>
      <c r="J6001" s="1" t="str">
        <f t="shared" si="11296"/>
        <v>0</v>
      </c>
      <c r="K6001" s="1" t="str">
        <f t="shared" si="11296"/>
        <v>0</v>
      </c>
      <c r="L6001" s="1" t="str">
        <f t="shared" si="11296"/>
        <v>0</v>
      </c>
      <c r="M6001" s="1" t="str">
        <f t="shared" si="11296"/>
        <v>0</v>
      </c>
      <c r="N6001" s="1" t="str">
        <f t="shared" si="11296"/>
        <v>0</v>
      </c>
      <c r="O6001" s="1" t="str">
        <f t="shared" si="11296"/>
        <v>0</v>
      </c>
      <c r="P6001" s="1" t="str">
        <f t="shared" si="11296"/>
        <v>0</v>
      </c>
      <c r="Q6001" s="1" t="str">
        <f t="shared" si="11228"/>
        <v>0.0070</v>
      </c>
      <c r="R6001" s="1" t="s">
        <v>25</v>
      </c>
      <c r="T6001" s="1" t="str">
        <f t="shared" si="11229"/>
        <v>0</v>
      </c>
      <c r="U6001" s="1" t="str">
        <f t="shared" si="11257"/>
        <v>0.0070</v>
      </c>
    </row>
    <row r="6002" s="1" customFormat="1" spans="1:21">
      <c r="A6002" s="1" t="str">
        <f>"4601992236300"</f>
        <v>4601992236300</v>
      </c>
      <c r="B6002" s="1" t="s">
        <v>6025</v>
      </c>
      <c r="C6002" s="1" t="s">
        <v>24</v>
      </c>
      <c r="D6002" s="1" t="str">
        <f t="shared" si="11226"/>
        <v>2021</v>
      </c>
      <c r="E6002" s="1" t="str">
        <f t="shared" ref="E6002:P6002" si="11297">"0"</f>
        <v>0</v>
      </c>
      <c r="F6002" s="1" t="str">
        <f t="shared" si="11297"/>
        <v>0</v>
      </c>
      <c r="G6002" s="1" t="str">
        <f t="shared" si="11297"/>
        <v>0</v>
      </c>
      <c r="H6002" s="1" t="str">
        <f t="shared" si="11297"/>
        <v>0</v>
      </c>
      <c r="I6002" s="1" t="str">
        <f t="shared" si="11297"/>
        <v>0</v>
      </c>
      <c r="J6002" s="1" t="str">
        <f t="shared" si="11297"/>
        <v>0</v>
      </c>
      <c r="K6002" s="1" t="str">
        <f t="shared" si="11297"/>
        <v>0</v>
      </c>
      <c r="L6002" s="1" t="str">
        <f t="shared" si="11297"/>
        <v>0</v>
      </c>
      <c r="M6002" s="1" t="str">
        <f t="shared" si="11297"/>
        <v>0</v>
      </c>
      <c r="N6002" s="1" t="str">
        <f t="shared" si="11297"/>
        <v>0</v>
      </c>
      <c r="O6002" s="1" t="str">
        <f t="shared" si="11297"/>
        <v>0</v>
      </c>
      <c r="P6002" s="1" t="str">
        <f t="shared" si="11297"/>
        <v>0</v>
      </c>
      <c r="Q6002" s="1" t="str">
        <f t="shared" si="11228"/>
        <v>0.0070</v>
      </c>
      <c r="R6002" s="1" t="s">
        <v>25</v>
      </c>
      <c r="T6002" s="1" t="str">
        <f t="shared" si="11229"/>
        <v>0</v>
      </c>
      <c r="U6002" s="1" t="str">
        <f t="shared" si="11257"/>
        <v>0.0070</v>
      </c>
    </row>
    <row r="6003" s="1" customFormat="1" spans="1:21">
      <c r="A6003" s="1" t="str">
        <f>"4601992236520"</f>
        <v>4601992236520</v>
      </c>
      <c r="B6003" s="1" t="s">
        <v>6026</v>
      </c>
      <c r="C6003" s="1" t="s">
        <v>24</v>
      </c>
      <c r="D6003" s="1" t="str">
        <f t="shared" si="11226"/>
        <v>2021</v>
      </c>
      <c r="E6003" s="1" t="str">
        <f t="shared" ref="E6003:P6003" si="11298">"0"</f>
        <v>0</v>
      </c>
      <c r="F6003" s="1" t="str">
        <f t="shared" si="11298"/>
        <v>0</v>
      </c>
      <c r="G6003" s="1" t="str">
        <f t="shared" si="11298"/>
        <v>0</v>
      </c>
      <c r="H6003" s="1" t="str">
        <f t="shared" si="11298"/>
        <v>0</v>
      </c>
      <c r="I6003" s="1" t="str">
        <f t="shared" si="11298"/>
        <v>0</v>
      </c>
      <c r="J6003" s="1" t="str">
        <f t="shared" si="11298"/>
        <v>0</v>
      </c>
      <c r="K6003" s="1" t="str">
        <f t="shared" si="11298"/>
        <v>0</v>
      </c>
      <c r="L6003" s="1" t="str">
        <f t="shared" si="11298"/>
        <v>0</v>
      </c>
      <c r="M6003" s="1" t="str">
        <f t="shared" si="11298"/>
        <v>0</v>
      </c>
      <c r="N6003" s="1" t="str">
        <f t="shared" si="11298"/>
        <v>0</v>
      </c>
      <c r="O6003" s="1" t="str">
        <f t="shared" si="11298"/>
        <v>0</v>
      </c>
      <c r="P6003" s="1" t="str">
        <f t="shared" si="11298"/>
        <v>0</v>
      </c>
      <c r="Q6003" s="1" t="str">
        <f t="shared" si="11228"/>
        <v>0.0070</v>
      </c>
      <c r="R6003" s="1" t="s">
        <v>25</v>
      </c>
      <c r="T6003" s="1" t="str">
        <f t="shared" si="11229"/>
        <v>0</v>
      </c>
      <c r="U6003" s="1" t="str">
        <f t="shared" si="11257"/>
        <v>0.0070</v>
      </c>
    </row>
    <row r="6004" s="1" customFormat="1" spans="1:21">
      <c r="A6004" s="1" t="str">
        <f>"4601992236928"</f>
        <v>4601992236928</v>
      </c>
      <c r="B6004" s="1" t="s">
        <v>6027</v>
      </c>
      <c r="C6004" s="1" t="s">
        <v>24</v>
      </c>
      <c r="D6004" s="1" t="str">
        <f t="shared" si="11226"/>
        <v>2021</v>
      </c>
      <c r="E6004" s="1" t="str">
        <f t="shared" ref="E6004:P6004" si="11299">"0"</f>
        <v>0</v>
      </c>
      <c r="F6004" s="1" t="str">
        <f t="shared" si="11299"/>
        <v>0</v>
      </c>
      <c r="G6004" s="1" t="str">
        <f t="shared" si="11299"/>
        <v>0</v>
      </c>
      <c r="H6004" s="1" t="str">
        <f t="shared" si="11299"/>
        <v>0</v>
      </c>
      <c r="I6004" s="1" t="str">
        <f t="shared" si="11299"/>
        <v>0</v>
      </c>
      <c r="J6004" s="1" t="str">
        <f t="shared" si="11299"/>
        <v>0</v>
      </c>
      <c r="K6004" s="1" t="str">
        <f t="shared" si="11299"/>
        <v>0</v>
      </c>
      <c r="L6004" s="1" t="str">
        <f t="shared" si="11299"/>
        <v>0</v>
      </c>
      <c r="M6004" s="1" t="str">
        <f t="shared" si="11299"/>
        <v>0</v>
      </c>
      <c r="N6004" s="1" t="str">
        <f t="shared" si="11299"/>
        <v>0</v>
      </c>
      <c r="O6004" s="1" t="str">
        <f t="shared" si="11299"/>
        <v>0</v>
      </c>
      <c r="P6004" s="1" t="str">
        <f t="shared" si="11299"/>
        <v>0</v>
      </c>
      <c r="Q6004" s="1" t="str">
        <f t="shared" si="11228"/>
        <v>0.0070</v>
      </c>
      <c r="R6004" s="1" t="s">
        <v>25</v>
      </c>
      <c r="T6004" s="1" t="str">
        <f t="shared" si="11229"/>
        <v>0</v>
      </c>
      <c r="U6004" s="1" t="str">
        <f t="shared" si="11257"/>
        <v>0.0070</v>
      </c>
    </row>
    <row r="6005" s="1" customFormat="1" spans="1:21">
      <c r="A6005" s="1" t="str">
        <f>"4601992237141"</f>
        <v>4601992237141</v>
      </c>
      <c r="B6005" s="1" t="s">
        <v>6028</v>
      </c>
      <c r="C6005" s="1" t="s">
        <v>24</v>
      </c>
      <c r="D6005" s="1" t="str">
        <f t="shared" si="11226"/>
        <v>2021</v>
      </c>
      <c r="E6005" s="1" t="str">
        <f t="shared" ref="E6005:P6005" si="11300">"0"</f>
        <v>0</v>
      </c>
      <c r="F6005" s="1" t="str">
        <f t="shared" si="11300"/>
        <v>0</v>
      </c>
      <c r="G6005" s="1" t="str">
        <f t="shared" si="11300"/>
        <v>0</v>
      </c>
      <c r="H6005" s="1" t="str">
        <f t="shared" si="11300"/>
        <v>0</v>
      </c>
      <c r="I6005" s="1" t="str">
        <f t="shared" si="11300"/>
        <v>0</v>
      </c>
      <c r="J6005" s="1" t="str">
        <f t="shared" si="11300"/>
        <v>0</v>
      </c>
      <c r="K6005" s="1" t="str">
        <f t="shared" si="11300"/>
        <v>0</v>
      </c>
      <c r="L6005" s="1" t="str">
        <f t="shared" si="11300"/>
        <v>0</v>
      </c>
      <c r="M6005" s="1" t="str">
        <f t="shared" si="11300"/>
        <v>0</v>
      </c>
      <c r="N6005" s="1" t="str">
        <f t="shared" si="11300"/>
        <v>0</v>
      </c>
      <c r="O6005" s="1" t="str">
        <f t="shared" si="11300"/>
        <v>0</v>
      </c>
      <c r="P6005" s="1" t="str">
        <f t="shared" si="11300"/>
        <v>0</v>
      </c>
      <c r="Q6005" s="1" t="str">
        <f t="shared" si="11228"/>
        <v>0.0070</v>
      </c>
      <c r="R6005" s="1" t="s">
        <v>25</v>
      </c>
      <c r="T6005" s="1" t="str">
        <f t="shared" si="11229"/>
        <v>0</v>
      </c>
      <c r="U6005" s="1" t="str">
        <f t="shared" si="11257"/>
        <v>0.0070</v>
      </c>
    </row>
    <row r="6006" s="1" customFormat="1" spans="1:21">
      <c r="A6006" s="1" t="str">
        <f>"4601992237054"</f>
        <v>4601992237054</v>
      </c>
      <c r="B6006" s="1" t="s">
        <v>6029</v>
      </c>
      <c r="C6006" s="1" t="s">
        <v>24</v>
      </c>
      <c r="D6006" s="1" t="str">
        <f t="shared" si="11226"/>
        <v>2021</v>
      </c>
      <c r="E6006" s="1" t="str">
        <f t="shared" ref="E6006:P6006" si="11301">"0"</f>
        <v>0</v>
      </c>
      <c r="F6006" s="1" t="str">
        <f t="shared" si="11301"/>
        <v>0</v>
      </c>
      <c r="G6006" s="1" t="str">
        <f t="shared" si="11301"/>
        <v>0</v>
      </c>
      <c r="H6006" s="1" t="str">
        <f t="shared" si="11301"/>
        <v>0</v>
      </c>
      <c r="I6006" s="1" t="str">
        <f t="shared" si="11301"/>
        <v>0</v>
      </c>
      <c r="J6006" s="1" t="str">
        <f t="shared" si="11301"/>
        <v>0</v>
      </c>
      <c r="K6006" s="1" t="str">
        <f t="shared" si="11301"/>
        <v>0</v>
      </c>
      <c r="L6006" s="1" t="str">
        <f t="shared" si="11301"/>
        <v>0</v>
      </c>
      <c r="M6006" s="1" t="str">
        <f t="shared" si="11301"/>
        <v>0</v>
      </c>
      <c r="N6006" s="1" t="str">
        <f t="shared" si="11301"/>
        <v>0</v>
      </c>
      <c r="O6006" s="1" t="str">
        <f t="shared" si="11301"/>
        <v>0</v>
      </c>
      <c r="P6006" s="1" t="str">
        <f t="shared" si="11301"/>
        <v>0</v>
      </c>
      <c r="Q6006" s="1" t="str">
        <f t="shared" si="11228"/>
        <v>0.0070</v>
      </c>
      <c r="R6006" s="1" t="s">
        <v>25</v>
      </c>
      <c r="T6006" s="1" t="str">
        <f t="shared" si="11229"/>
        <v>0</v>
      </c>
      <c r="U6006" s="1" t="str">
        <f t="shared" si="11257"/>
        <v>0.0070</v>
      </c>
    </row>
    <row r="6007" s="1" customFormat="1" spans="1:21">
      <c r="A6007" s="1" t="str">
        <f>"4601992237278"</f>
        <v>4601992237278</v>
      </c>
      <c r="B6007" s="1" t="s">
        <v>6030</v>
      </c>
      <c r="C6007" s="1" t="s">
        <v>24</v>
      </c>
      <c r="D6007" s="1" t="str">
        <f t="shared" si="11226"/>
        <v>2021</v>
      </c>
      <c r="E6007" s="1" t="str">
        <f t="shared" ref="E6007:P6007" si="11302">"0"</f>
        <v>0</v>
      </c>
      <c r="F6007" s="1" t="str">
        <f t="shared" si="11302"/>
        <v>0</v>
      </c>
      <c r="G6007" s="1" t="str">
        <f t="shared" si="11302"/>
        <v>0</v>
      </c>
      <c r="H6007" s="1" t="str">
        <f t="shared" si="11302"/>
        <v>0</v>
      </c>
      <c r="I6007" s="1" t="str">
        <f t="shared" si="11302"/>
        <v>0</v>
      </c>
      <c r="J6007" s="1" t="str">
        <f t="shared" si="11302"/>
        <v>0</v>
      </c>
      <c r="K6007" s="1" t="str">
        <f t="shared" si="11302"/>
        <v>0</v>
      </c>
      <c r="L6007" s="1" t="str">
        <f t="shared" si="11302"/>
        <v>0</v>
      </c>
      <c r="M6007" s="1" t="str">
        <f t="shared" si="11302"/>
        <v>0</v>
      </c>
      <c r="N6007" s="1" t="str">
        <f t="shared" si="11302"/>
        <v>0</v>
      </c>
      <c r="O6007" s="1" t="str">
        <f t="shared" si="11302"/>
        <v>0</v>
      </c>
      <c r="P6007" s="1" t="str">
        <f t="shared" si="11302"/>
        <v>0</v>
      </c>
      <c r="Q6007" s="1" t="str">
        <f t="shared" si="11228"/>
        <v>0.0070</v>
      </c>
      <c r="R6007" s="1" t="s">
        <v>25</v>
      </c>
      <c r="T6007" s="1" t="str">
        <f t="shared" si="11229"/>
        <v>0</v>
      </c>
      <c r="U6007" s="1" t="str">
        <f t="shared" si="11257"/>
        <v>0.0070</v>
      </c>
    </row>
    <row r="6008" s="1" customFormat="1" spans="1:21">
      <c r="A6008" s="1" t="str">
        <f>"4601992238502"</f>
        <v>4601992238502</v>
      </c>
      <c r="B6008" s="1" t="s">
        <v>6031</v>
      </c>
      <c r="C6008" s="1" t="s">
        <v>24</v>
      </c>
      <c r="D6008" s="1" t="str">
        <f t="shared" si="11226"/>
        <v>2021</v>
      </c>
      <c r="E6008" s="1" t="str">
        <f t="shared" ref="E6008:P6008" si="11303">"0"</f>
        <v>0</v>
      </c>
      <c r="F6008" s="1" t="str">
        <f t="shared" si="11303"/>
        <v>0</v>
      </c>
      <c r="G6008" s="1" t="str">
        <f t="shared" si="11303"/>
        <v>0</v>
      </c>
      <c r="H6008" s="1" t="str">
        <f t="shared" si="11303"/>
        <v>0</v>
      </c>
      <c r="I6008" s="1" t="str">
        <f t="shared" si="11303"/>
        <v>0</v>
      </c>
      <c r="J6008" s="1" t="str">
        <f t="shared" si="11303"/>
        <v>0</v>
      </c>
      <c r="K6008" s="1" t="str">
        <f t="shared" si="11303"/>
        <v>0</v>
      </c>
      <c r="L6008" s="1" t="str">
        <f t="shared" si="11303"/>
        <v>0</v>
      </c>
      <c r="M6008" s="1" t="str">
        <f t="shared" si="11303"/>
        <v>0</v>
      </c>
      <c r="N6008" s="1" t="str">
        <f t="shared" si="11303"/>
        <v>0</v>
      </c>
      <c r="O6008" s="1" t="str">
        <f t="shared" si="11303"/>
        <v>0</v>
      </c>
      <c r="P6008" s="1" t="str">
        <f t="shared" si="11303"/>
        <v>0</v>
      </c>
      <c r="Q6008" s="1" t="str">
        <f t="shared" si="11228"/>
        <v>0.0070</v>
      </c>
      <c r="R6008" s="1" t="s">
        <v>25</v>
      </c>
      <c r="T6008" s="1" t="str">
        <f t="shared" si="11229"/>
        <v>0</v>
      </c>
      <c r="U6008" s="1" t="str">
        <f t="shared" si="11257"/>
        <v>0.0070</v>
      </c>
    </row>
    <row r="6009" s="1" customFormat="1" spans="1:21">
      <c r="A6009" s="1" t="str">
        <f>"4601992237939"</f>
        <v>4601992237939</v>
      </c>
      <c r="B6009" s="1" t="s">
        <v>6032</v>
      </c>
      <c r="C6009" s="1" t="s">
        <v>24</v>
      </c>
      <c r="D6009" s="1" t="str">
        <f t="shared" si="11226"/>
        <v>2021</v>
      </c>
      <c r="E6009" s="1" t="str">
        <f t="shared" ref="E6009:P6009" si="11304">"0"</f>
        <v>0</v>
      </c>
      <c r="F6009" s="1" t="str">
        <f t="shared" si="11304"/>
        <v>0</v>
      </c>
      <c r="G6009" s="1" t="str">
        <f t="shared" si="11304"/>
        <v>0</v>
      </c>
      <c r="H6009" s="1" t="str">
        <f t="shared" si="11304"/>
        <v>0</v>
      </c>
      <c r="I6009" s="1" t="str">
        <f t="shared" si="11304"/>
        <v>0</v>
      </c>
      <c r="J6009" s="1" t="str">
        <f t="shared" si="11304"/>
        <v>0</v>
      </c>
      <c r="K6009" s="1" t="str">
        <f t="shared" si="11304"/>
        <v>0</v>
      </c>
      <c r="L6009" s="1" t="str">
        <f t="shared" si="11304"/>
        <v>0</v>
      </c>
      <c r="M6009" s="1" t="str">
        <f t="shared" si="11304"/>
        <v>0</v>
      </c>
      <c r="N6009" s="1" t="str">
        <f t="shared" si="11304"/>
        <v>0</v>
      </c>
      <c r="O6009" s="1" t="str">
        <f t="shared" si="11304"/>
        <v>0</v>
      </c>
      <c r="P6009" s="1" t="str">
        <f t="shared" si="11304"/>
        <v>0</v>
      </c>
      <c r="Q6009" s="1" t="str">
        <f t="shared" si="11228"/>
        <v>0.0070</v>
      </c>
      <c r="R6009" s="1" t="s">
        <v>25</v>
      </c>
      <c r="T6009" s="1" t="str">
        <f t="shared" si="11229"/>
        <v>0</v>
      </c>
      <c r="U6009" s="1" t="str">
        <f t="shared" si="11257"/>
        <v>0.0070</v>
      </c>
    </row>
    <row r="6010" s="1" customFormat="1" spans="1:21">
      <c r="A6010" s="1" t="str">
        <f>"4601992237975"</f>
        <v>4601992237975</v>
      </c>
      <c r="B6010" s="1" t="s">
        <v>6033</v>
      </c>
      <c r="C6010" s="1" t="s">
        <v>24</v>
      </c>
      <c r="D6010" s="1" t="str">
        <f t="shared" si="11226"/>
        <v>2021</v>
      </c>
      <c r="E6010" s="1" t="str">
        <f t="shared" ref="E6010:P6010" si="11305">"0"</f>
        <v>0</v>
      </c>
      <c r="F6010" s="1" t="str">
        <f t="shared" si="11305"/>
        <v>0</v>
      </c>
      <c r="G6010" s="1" t="str">
        <f t="shared" si="11305"/>
        <v>0</v>
      </c>
      <c r="H6010" s="1" t="str">
        <f t="shared" si="11305"/>
        <v>0</v>
      </c>
      <c r="I6010" s="1" t="str">
        <f t="shared" si="11305"/>
        <v>0</v>
      </c>
      <c r="J6010" s="1" t="str">
        <f t="shared" si="11305"/>
        <v>0</v>
      </c>
      <c r="K6010" s="1" t="str">
        <f t="shared" si="11305"/>
        <v>0</v>
      </c>
      <c r="L6010" s="1" t="str">
        <f t="shared" si="11305"/>
        <v>0</v>
      </c>
      <c r="M6010" s="1" t="str">
        <f t="shared" si="11305"/>
        <v>0</v>
      </c>
      <c r="N6010" s="1" t="str">
        <f t="shared" si="11305"/>
        <v>0</v>
      </c>
      <c r="O6010" s="1" t="str">
        <f t="shared" si="11305"/>
        <v>0</v>
      </c>
      <c r="P6010" s="1" t="str">
        <f t="shared" si="11305"/>
        <v>0</v>
      </c>
      <c r="Q6010" s="1" t="str">
        <f t="shared" si="11228"/>
        <v>0.0070</v>
      </c>
      <c r="R6010" s="1" t="s">
        <v>25</v>
      </c>
      <c r="T6010" s="1" t="str">
        <f t="shared" si="11229"/>
        <v>0</v>
      </c>
      <c r="U6010" s="1" t="str">
        <f t="shared" si="11257"/>
        <v>0.0070</v>
      </c>
    </row>
    <row r="6011" s="1" customFormat="1" spans="1:21">
      <c r="A6011" s="1" t="str">
        <f>"4601992239007"</f>
        <v>4601992239007</v>
      </c>
      <c r="B6011" s="1" t="s">
        <v>6034</v>
      </c>
      <c r="C6011" s="1" t="s">
        <v>24</v>
      </c>
      <c r="D6011" s="1" t="str">
        <f t="shared" si="11226"/>
        <v>2021</v>
      </c>
      <c r="E6011" s="1" t="str">
        <f t="shared" ref="E6011:P6011" si="11306">"0"</f>
        <v>0</v>
      </c>
      <c r="F6011" s="1" t="str">
        <f t="shared" si="11306"/>
        <v>0</v>
      </c>
      <c r="G6011" s="1" t="str">
        <f t="shared" si="11306"/>
        <v>0</v>
      </c>
      <c r="H6011" s="1" t="str">
        <f t="shared" si="11306"/>
        <v>0</v>
      </c>
      <c r="I6011" s="1" t="str">
        <f t="shared" si="11306"/>
        <v>0</v>
      </c>
      <c r="J6011" s="1" t="str">
        <f t="shared" si="11306"/>
        <v>0</v>
      </c>
      <c r="K6011" s="1" t="str">
        <f t="shared" si="11306"/>
        <v>0</v>
      </c>
      <c r="L6011" s="1" t="str">
        <f t="shared" si="11306"/>
        <v>0</v>
      </c>
      <c r="M6011" s="1" t="str">
        <f t="shared" si="11306"/>
        <v>0</v>
      </c>
      <c r="N6011" s="1" t="str">
        <f t="shared" si="11306"/>
        <v>0</v>
      </c>
      <c r="O6011" s="1" t="str">
        <f t="shared" si="11306"/>
        <v>0</v>
      </c>
      <c r="P6011" s="1" t="str">
        <f t="shared" si="11306"/>
        <v>0</v>
      </c>
      <c r="Q6011" s="1" t="str">
        <f t="shared" si="11228"/>
        <v>0.0070</v>
      </c>
      <c r="R6011" s="1" t="s">
        <v>25</v>
      </c>
      <c r="T6011" s="1" t="str">
        <f t="shared" si="11229"/>
        <v>0</v>
      </c>
      <c r="U6011" s="1" t="str">
        <f t="shared" si="11257"/>
        <v>0.0070</v>
      </c>
    </row>
    <row r="6012" s="1" customFormat="1" spans="1:21">
      <c r="A6012" s="1" t="str">
        <f>"4601992239186"</f>
        <v>4601992239186</v>
      </c>
      <c r="B6012" s="1" t="s">
        <v>6035</v>
      </c>
      <c r="C6012" s="1" t="s">
        <v>24</v>
      </c>
      <c r="D6012" s="1" t="str">
        <f t="shared" si="11226"/>
        <v>2021</v>
      </c>
      <c r="E6012" s="1" t="str">
        <f t="shared" ref="E6012:P6012" si="11307">"0"</f>
        <v>0</v>
      </c>
      <c r="F6012" s="1" t="str">
        <f t="shared" si="11307"/>
        <v>0</v>
      </c>
      <c r="G6012" s="1" t="str">
        <f t="shared" si="11307"/>
        <v>0</v>
      </c>
      <c r="H6012" s="1" t="str">
        <f t="shared" si="11307"/>
        <v>0</v>
      </c>
      <c r="I6012" s="1" t="str">
        <f t="shared" si="11307"/>
        <v>0</v>
      </c>
      <c r="J6012" s="1" t="str">
        <f t="shared" si="11307"/>
        <v>0</v>
      </c>
      <c r="K6012" s="1" t="str">
        <f t="shared" si="11307"/>
        <v>0</v>
      </c>
      <c r="L6012" s="1" t="str">
        <f t="shared" si="11307"/>
        <v>0</v>
      </c>
      <c r="M6012" s="1" t="str">
        <f t="shared" si="11307"/>
        <v>0</v>
      </c>
      <c r="N6012" s="1" t="str">
        <f t="shared" si="11307"/>
        <v>0</v>
      </c>
      <c r="O6012" s="1" t="str">
        <f t="shared" si="11307"/>
        <v>0</v>
      </c>
      <c r="P6012" s="1" t="str">
        <f t="shared" si="11307"/>
        <v>0</v>
      </c>
      <c r="Q6012" s="1" t="str">
        <f t="shared" si="11228"/>
        <v>0.0070</v>
      </c>
      <c r="R6012" s="1" t="s">
        <v>25</v>
      </c>
      <c r="T6012" s="1" t="str">
        <f t="shared" si="11229"/>
        <v>0</v>
      </c>
      <c r="U6012" s="1" t="str">
        <f t="shared" si="11257"/>
        <v>0.0070</v>
      </c>
    </row>
    <row r="6013" s="1" customFormat="1" spans="1:21">
      <c r="A6013" s="1" t="str">
        <f>"4601992239018"</f>
        <v>4601992239018</v>
      </c>
      <c r="B6013" s="1" t="s">
        <v>6036</v>
      </c>
      <c r="C6013" s="1" t="s">
        <v>24</v>
      </c>
      <c r="D6013" s="1" t="str">
        <f t="shared" si="11226"/>
        <v>2021</v>
      </c>
      <c r="E6013" s="1" t="str">
        <f t="shared" ref="E6013:P6013" si="11308">"0"</f>
        <v>0</v>
      </c>
      <c r="F6013" s="1" t="str">
        <f t="shared" si="11308"/>
        <v>0</v>
      </c>
      <c r="G6013" s="1" t="str">
        <f t="shared" si="11308"/>
        <v>0</v>
      </c>
      <c r="H6013" s="1" t="str">
        <f t="shared" si="11308"/>
        <v>0</v>
      </c>
      <c r="I6013" s="1" t="str">
        <f t="shared" si="11308"/>
        <v>0</v>
      </c>
      <c r="J6013" s="1" t="str">
        <f t="shared" si="11308"/>
        <v>0</v>
      </c>
      <c r="K6013" s="1" t="str">
        <f t="shared" si="11308"/>
        <v>0</v>
      </c>
      <c r="L6013" s="1" t="str">
        <f t="shared" si="11308"/>
        <v>0</v>
      </c>
      <c r="M6013" s="1" t="str">
        <f t="shared" si="11308"/>
        <v>0</v>
      </c>
      <c r="N6013" s="1" t="str">
        <f t="shared" si="11308"/>
        <v>0</v>
      </c>
      <c r="O6013" s="1" t="str">
        <f t="shared" si="11308"/>
        <v>0</v>
      </c>
      <c r="P6013" s="1" t="str">
        <f t="shared" si="11308"/>
        <v>0</v>
      </c>
      <c r="Q6013" s="1" t="str">
        <f t="shared" si="11228"/>
        <v>0.0070</v>
      </c>
      <c r="R6013" s="1" t="s">
        <v>25</v>
      </c>
      <c r="T6013" s="1" t="str">
        <f t="shared" si="11229"/>
        <v>0</v>
      </c>
      <c r="U6013" s="1" t="str">
        <f t="shared" si="11257"/>
        <v>0.0070</v>
      </c>
    </row>
    <row r="6014" s="1" customFormat="1" spans="1:21">
      <c r="A6014" s="1" t="str">
        <f>"4601992239060"</f>
        <v>4601992239060</v>
      </c>
      <c r="B6014" s="1" t="s">
        <v>6037</v>
      </c>
      <c r="C6014" s="1" t="s">
        <v>24</v>
      </c>
      <c r="D6014" s="1" t="str">
        <f t="shared" si="11226"/>
        <v>2021</v>
      </c>
      <c r="E6014" s="1" t="str">
        <f t="shared" ref="E6014:P6014" si="11309">"0"</f>
        <v>0</v>
      </c>
      <c r="F6014" s="1" t="str">
        <f t="shared" si="11309"/>
        <v>0</v>
      </c>
      <c r="G6014" s="1" t="str">
        <f t="shared" si="11309"/>
        <v>0</v>
      </c>
      <c r="H6014" s="1" t="str">
        <f t="shared" si="11309"/>
        <v>0</v>
      </c>
      <c r="I6014" s="1" t="str">
        <f t="shared" si="11309"/>
        <v>0</v>
      </c>
      <c r="J6014" s="1" t="str">
        <f t="shared" si="11309"/>
        <v>0</v>
      </c>
      <c r="K6014" s="1" t="str">
        <f t="shared" si="11309"/>
        <v>0</v>
      </c>
      <c r="L6014" s="1" t="str">
        <f t="shared" si="11309"/>
        <v>0</v>
      </c>
      <c r="M6014" s="1" t="str">
        <f t="shared" si="11309"/>
        <v>0</v>
      </c>
      <c r="N6014" s="1" t="str">
        <f t="shared" si="11309"/>
        <v>0</v>
      </c>
      <c r="O6014" s="1" t="str">
        <f t="shared" si="11309"/>
        <v>0</v>
      </c>
      <c r="P6014" s="1" t="str">
        <f t="shared" si="11309"/>
        <v>0</v>
      </c>
      <c r="Q6014" s="1" t="str">
        <f t="shared" si="11228"/>
        <v>0.0070</v>
      </c>
      <c r="R6014" s="1" t="s">
        <v>25</v>
      </c>
      <c r="T6014" s="1" t="str">
        <f t="shared" si="11229"/>
        <v>0</v>
      </c>
      <c r="U6014" s="1" t="str">
        <f t="shared" si="11257"/>
        <v>0.0070</v>
      </c>
    </row>
    <row r="6015" s="1" customFormat="1" spans="1:21">
      <c r="A6015" s="1" t="str">
        <f>"4601992239298"</f>
        <v>4601992239298</v>
      </c>
      <c r="B6015" s="1" t="s">
        <v>6038</v>
      </c>
      <c r="C6015" s="1" t="s">
        <v>24</v>
      </c>
      <c r="D6015" s="1" t="str">
        <f t="shared" si="11226"/>
        <v>2021</v>
      </c>
      <c r="E6015" s="1" t="str">
        <f t="shared" ref="E6015:P6015" si="11310">"0"</f>
        <v>0</v>
      </c>
      <c r="F6015" s="1" t="str">
        <f t="shared" si="11310"/>
        <v>0</v>
      </c>
      <c r="G6015" s="1" t="str">
        <f t="shared" si="11310"/>
        <v>0</v>
      </c>
      <c r="H6015" s="1" t="str">
        <f t="shared" si="11310"/>
        <v>0</v>
      </c>
      <c r="I6015" s="1" t="str">
        <f t="shared" si="11310"/>
        <v>0</v>
      </c>
      <c r="J6015" s="1" t="str">
        <f t="shared" si="11310"/>
        <v>0</v>
      </c>
      <c r="K6015" s="1" t="str">
        <f t="shared" si="11310"/>
        <v>0</v>
      </c>
      <c r="L6015" s="1" t="str">
        <f t="shared" si="11310"/>
        <v>0</v>
      </c>
      <c r="M6015" s="1" t="str">
        <f t="shared" si="11310"/>
        <v>0</v>
      </c>
      <c r="N6015" s="1" t="str">
        <f t="shared" si="11310"/>
        <v>0</v>
      </c>
      <c r="O6015" s="1" t="str">
        <f t="shared" si="11310"/>
        <v>0</v>
      </c>
      <c r="P6015" s="1" t="str">
        <f t="shared" si="11310"/>
        <v>0</v>
      </c>
      <c r="Q6015" s="1" t="str">
        <f t="shared" si="11228"/>
        <v>0.0070</v>
      </c>
      <c r="R6015" s="1" t="s">
        <v>25</v>
      </c>
      <c r="T6015" s="1" t="str">
        <f t="shared" si="11229"/>
        <v>0</v>
      </c>
      <c r="U6015" s="1" t="str">
        <f t="shared" si="11257"/>
        <v>0.0070</v>
      </c>
    </row>
    <row r="6016" s="1" customFormat="1" spans="1:21">
      <c r="A6016" s="1" t="str">
        <f>"4601992239770"</f>
        <v>4601992239770</v>
      </c>
      <c r="B6016" s="1" t="s">
        <v>6039</v>
      </c>
      <c r="C6016" s="1" t="s">
        <v>24</v>
      </c>
      <c r="D6016" s="1" t="str">
        <f t="shared" si="11226"/>
        <v>2021</v>
      </c>
      <c r="E6016" s="1" t="str">
        <f t="shared" ref="E6016:P6016" si="11311">"0"</f>
        <v>0</v>
      </c>
      <c r="F6016" s="1" t="str">
        <f t="shared" si="11311"/>
        <v>0</v>
      </c>
      <c r="G6016" s="1" t="str">
        <f t="shared" si="11311"/>
        <v>0</v>
      </c>
      <c r="H6016" s="1" t="str">
        <f t="shared" si="11311"/>
        <v>0</v>
      </c>
      <c r="I6016" s="1" t="str">
        <f t="shared" si="11311"/>
        <v>0</v>
      </c>
      <c r="J6016" s="1" t="str">
        <f t="shared" si="11311"/>
        <v>0</v>
      </c>
      <c r="K6016" s="1" t="str">
        <f t="shared" si="11311"/>
        <v>0</v>
      </c>
      <c r="L6016" s="1" t="str">
        <f t="shared" si="11311"/>
        <v>0</v>
      </c>
      <c r="M6016" s="1" t="str">
        <f t="shared" si="11311"/>
        <v>0</v>
      </c>
      <c r="N6016" s="1" t="str">
        <f t="shared" si="11311"/>
        <v>0</v>
      </c>
      <c r="O6016" s="1" t="str">
        <f t="shared" si="11311"/>
        <v>0</v>
      </c>
      <c r="P6016" s="1" t="str">
        <f t="shared" si="11311"/>
        <v>0</v>
      </c>
      <c r="Q6016" s="1" t="str">
        <f t="shared" si="11228"/>
        <v>0.0070</v>
      </c>
      <c r="R6016" s="1" t="s">
        <v>25</v>
      </c>
      <c r="T6016" s="1" t="str">
        <f t="shared" si="11229"/>
        <v>0</v>
      </c>
      <c r="U6016" s="1" t="str">
        <f t="shared" si="11257"/>
        <v>0.0070</v>
      </c>
    </row>
    <row r="6017" s="1" customFormat="1" spans="1:21">
      <c r="A6017" s="1" t="str">
        <f>"4601992239784"</f>
        <v>4601992239784</v>
      </c>
      <c r="B6017" s="1" t="s">
        <v>6040</v>
      </c>
      <c r="C6017" s="1" t="s">
        <v>24</v>
      </c>
      <c r="D6017" s="1" t="str">
        <f t="shared" si="11226"/>
        <v>2021</v>
      </c>
      <c r="E6017" s="1" t="str">
        <f t="shared" ref="E6017:I6017" si="11312">"0"</f>
        <v>0</v>
      </c>
      <c r="F6017" s="1" t="str">
        <f t="shared" si="11312"/>
        <v>0</v>
      </c>
      <c r="G6017" s="1" t="str">
        <f t="shared" si="11312"/>
        <v>0</v>
      </c>
      <c r="H6017" s="1" t="str">
        <f t="shared" si="11312"/>
        <v>0</v>
      </c>
      <c r="I6017" s="1" t="str">
        <f t="shared" si="11312"/>
        <v>0</v>
      </c>
      <c r="J6017" s="1" t="str">
        <f>"2"</f>
        <v>2</v>
      </c>
      <c r="K6017" s="1" t="str">
        <f t="shared" ref="K6017:P6017" si="11313">"0"</f>
        <v>0</v>
      </c>
      <c r="L6017" s="1" t="str">
        <f t="shared" si="11313"/>
        <v>0</v>
      </c>
      <c r="M6017" s="1" t="str">
        <f t="shared" si="11313"/>
        <v>0</v>
      </c>
      <c r="N6017" s="1" t="str">
        <f t="shared" si="11313"/>
        <v>0</v>
      </c>
      <c r="O6017" s="1" t="str">
        <f t="shared" si="11313"/>
        <v>0</v>
      </c>
      <c r="P6017" s="1" t="str">
        <f t="shared" si="11313"/>
        <v>0</v>
      </c>
      <c r="Q6017" s="1" t="str">
        <f t="shared" si="11228"/>
        <v>0.0070</v>
      </c>
      <c r="R6017" s="1" t="s">
        <v>25</v>
      </c>
      <c r="T6017" s="1" t="str">
        <f t="shared" si="11229"/>
        <v>0</v>
      </c>
      <c r="U6017" s="1" t="str">
        <f t="shared" si="11257"/>
        <v>0.0070</v>
      </c>
    </row>
    <row r="6018" s="1" customFormat="1" spans="1:21">
      <c r="A6018" s="1" t="str">
        <f>"4601992239622"</f>
        <v>4601992239622</v>
      </c>
      <c r="B6018" s="1" t="s">
        <v>6041</v>
      </c>
      <c r="C6018" s="1" t="s">
        <v>24</v>
      </c>
      <c r="D6018" s="1" t="str">
        <f t="shared" si="11226"/>
        <v>2021</v>
      </c>
      <c r="E6018" s="1" t="str">
        <f t="shared" ref="E6018:I6018" si="11314">"0"</f>
        <v>0</v>
      </c>
      <c r="F6018" s="1" t="str">
        <f t="shared" si="11314"/>
        <v>0</v>
      </c>
      <c r="G6018" s="1" t="str">
        <f t="shared" si="11314"/>
        <v>0</v>
      </c>
      <c r="H6018" s="1" t="str">
        <f t="shared" si="11314"/>
        <v>0</v>
      </c>
      <c r="I6018" s="1" t="str">
        <f t="shared" si="11314"/>
        <v>0</v>
      </c>
      <c r="J6018" s="1" t="str">
        <f>"3"</f>
        <v>3</v>
      </c>
      <c r="K6018" s="1" t="str">
        <f t="shared" ref="K6018:P6018" si="11315">"0"</f>
        <v>0</v>
      </c>
      <c r="L6018" s="1" t="str">
        <f t="shared" si="11315"/>
        <v>0</v>
      </c>
      <c r="M6018" s="1" t="str">
        <f t="shared" si="11315"/>
        <v>0</v>
      </c>
      <c r="N6018" s="1" t="str">
        <f t="shared" si="11315"/>
        <v>0</v>
      </c>
      <c r="O6018" s="1" t="str">
        <f t="shared" si="11315"/>
        <v>0</v>
      </c>
      <c r="P6018" s="1" t="str">
        <f t="shared" si="11315"/>
        <v>0</v>
      </c>
      <c r="Q6018" s="1" t="str">
        <f t="shared" si="11228"/>
        <v>0.0070</v>
      </c>
      <c r="R6018" s="1" t="s">
        <v>25</v>
      </c>
      <c r="T6018" s="1" t="str">
        <f t="shared" si="11229"/>
        <v>0</v>
      </c>
      <c r="U6018" s="1" t="str">
        <f t="shared" si="11257"/>
        <v>0.0070</v>
      </c>
    </row>
    <row r="6019" s="1" customFormat="1" spans="1:21">
      <c r="A6019" s="1" t="str">
        <f>"4601992239826"</f>
        <v>4601992239826</v>
      </c>
      <c r="B6019" s="1" t="s">
        <v>6042</v>
      </c>
      <c r="C6019" s="1" t="s">
        <v>24</v>
      </c>
      <c r="D6019" s="1" t="str">
        <f t="shared" ref="D6019:D6082" si="11316">"2021"</f>
        <v>2021</v>
      </c>
      <c r="E6019" s="1" t="str">
        <f>"12.89"</f>
        <v>12.89</v>
      </c>
      <c r="F6019" s="1" t="str">
        <f t="shared" ref="F6019:I6019" si="11317">"0"</f>
        <v>0</v>
      </c>
      <c r="G6019" s="1" t="str">
        <f t="shared" si="11317"/>
        <v>0</v>
      </c>
      <c r="H6019" s="1" t="str">
        <f t="shared" si="11317"/>
        <v>0</v>
      </c>
      <c r="I6019" s="1" t="str">
        <f t="shared" si="11317"/>
        <v>0</v>
      </c>
      <c r="J6019" s="1" t="str">
        <f>"1"</f>
        <v>1</v>
      </c>
      <c r="K6019" s="1" t="str">
        <f t="shared" ref="K6019:P6019" si="11318">"0"</f>
        <v>0</v>
      </c>
      <c r="L6019" s="1" t="str">
        <f t="shared" si="11318"/>
        <v>0</v>
      </c>
      <c r="M6019" s="1" t="str">
        <f t="shared" si="11318"/>
        <v>0</v>
      </c>
      <c r="N6019" s="1" t="str">
        <f t="shared" si="11318"/>
        <v>0</v>
      </c>
      <c r="O6019" s="1" t="str">
        <f t="shared" si="11318"/>
        <v>0</v>
      </c>
      <c r="P6019" s="1" t="str">
        <f t="shared" si="11318"/>
        <v>0</v>
      </c>
      <c r="Q6019" s="1" t="str">
        <f t="shared" ref="Q6019:Q6082" si="11319">"0.0070"</f>
        <v>0.0070</v>
      </c>
      <c r="R6019" s="1" t="s">
        <v>29</v>
      </c>
      <c r="S6019" s="1">
        <v>-0.0014</v>
      </c>
      <c r="T6019" s="1" t="str">
        <f t="shared" ref="T6019:T6082" si="11320">"0"</f>
        <v>0</v>
      </c>
      <c r="U6019" s="1" t="str">
        <f>"0.0056"</f>
        <v>0.0056</v>
      </c>
    </row>
    <row r="6020" s="1" customFormat="1" spans="1:21">
      <c r="A6020" s="1" t="str">
        <f>"4601992239867"</f>
        <v>4601992239867</v>
      </c>
      <c r="B6020" s="1" t="s">
        <v>6043</v>
      </c>
      <c r="C6020" s="1" t="s">
        <v>24</v>
      </c>
      <c r="D6020" s="1" t="str">
        <f t="shared" si="11316"/>
        <v>2021</v>
      </c>
      <c r="E6020" s="1" t="str">
        <f t="shared" ref="E6020:P6020" si="11321">"0"</f>
        <v>0</v>
      </c>
      <c r="F6020" s="1" t="str">
        <f t="shared" si="11321"/>
        <v>0</v>
      </c>
      <c r="G6020" s="1" t="str">
        <f t="shared" si="11321"/>
        <v>0</v>
      </c>
      <c r="H6020" s="1" t="str">
        <f t="shared" si="11321"/>
        <v>0</v>
      </c>
      <c r="I6020" s="1" t="str">
        <f t="shared" si="11321"/>
        <v>0</v>
      </c>
      <c r="J6020" s="1" t="str">
        <f t="shared" si="11321"/>
        <v>0</v>
      </c>
      <c r="K6020" s="1" t="str">
        <f t="shared" si="11321"/>
        <v>0</v>
      </c>
      <c r="L6020" s="1" t="str">
        <f t="shared" si="11321"/>
        <v>0</v>
      </c>
      <c r="M6020" s="1" t="str">
        <f t="shared" si="11321"/>
        <v>0</v>
      </c>
      <c r="N6020" s="1" t="str">
        <f t="shared" si="11321"/>
        <v>0</v>
      </c>
      <c r="O6020" s="1" t="str">
        <f t="shared" si="11321"/>
        <v>0</v>
      </c>
      <c r="P6020" s="1" t="str">
        <f t="shared" si="11321"/>
        <v>0</v>
      </c>
      <c r="Q6020" s="1" t="str">
        <f t="shared" si="11319"/>
        <v>0.0070</v>
      </c>
      <c r="R6020" s="1" t="s">
        <v>25</v>
      </c>
      <c r="T6020" s="1" t="str">
        <f t="shared" si="11320"/>
        <v>0</v>
      </c>
      <c r="U6020" s="1" t="str">
        <f t="shared" ref="U6020:U6044" si="11322">"0.0070"</f>
        <v>0.0070</v>
      </c>
    </row>
    <row r="6021" s="1" customFormat="1" spans="1:21">
      <c r="A6021" s="1" t="str">
        <f>"4601992239837"</f>
        <v>4601992239837</v>
      </c>
      <c r="B6021" s="1" t="s">
        <v>6044</v>
      </c>
      <c r="C6021" s="1" t="s">
        <v>24</v>
      </c>
      <c r="D6021" s="1" t="str">
        <f t="shared" si="11316"/>
        <v>2021</v>
      </c>
      <c r="E6021" s="1" t="str">
        <f t="shared" ref="E6021:I6021" si="11323">"0"</f>
        <v>0</v>
      </c>
      <c r="F6021" s="1" t="str">
        <f t="shared" si="11323"/>
        <v>0</v>
      </c>
      <c r="G6021" s="1" t="str">
        <f t="shared" si="11323"/>
        <v>0</v>
      </c>
      <c r="H6021" s="1" t="str">
        <f t="shared" si="11323"/>
        <v>0</v>
      </c>
      <c r="I6021" s="1" t="str">
        <f t="shared" si="11323"/>
        <v>0</v>
      </c>
      <c r="J6021" s="1" t="str">
        <f>"13"</f>
        <v>13</v>
      </c>
      <c r="K6021" s="1" t="str">
        <f t="shared" ref="K6021:P6021" si="11324">"0"</f>
        <v>0</v>
      </c>
      <c r="L6021" s="1" t="str">
        <f t="shared" si="11324"/>
        <v>0</v>
      </c>
      <c r="M6021" s="1" t="str">
        <f t="shared" si="11324"/>
        <v>0</v>
      </c>
      <c r="N6021" s="1" t="str">
        <f t="shared" si="11324"/>
        <v>0</v>
      </c>
      <c r="O6021" s="1" t="str">
        <f t="shared" si="11324"/>
        <v>0</v>
      </c>
      <c r="P6021" s="1" t="str">
        <f t="shared" si="11324"/>
        <v>0</v>
      </c>
      <c r="Q6021" s="1" t="str">
        <f t="shared" si="11319"/>
        <v>0.0070</v>
      </c>
      <c r="R6021" s="1" t="s">
        <v>25</v>
      </c>
      <c r="T6021" s="1" t="str">
        <f t="shared" si="11320"/>
        <v>0</v>
      </c>
      <c r="U6021" s="1" t="str">
        <f t="shared" si="11322"/>
        <v>0.0070</v>
      </c>
    </row>
    <row r="6022" s="1" customFormat="1" spans="1:21">
      <c r="A6022" s="1" t="str">
        <f>"4601992239847"</f>
        <v>4601992239847</v>
      </c>
      <c r="B6022" s="1" t="s">
        <v>6045</v>
      </c>
      <c r="C6022" s="1" t="s">
        <v>24</v>
      </c>
      <c r="D6022" s="1" t="str">
        <f t="shared" si="11316"/>
        <v>2021</v>
      </c>
      <c r="E6022" s="1" t="str">
        <f t="shared" ref="E6022:I6022" si="11325">"0"</f>
        <v>0</v>
      </c>
      <c r="F6022" s="1" t="str">
        <f t="shared" si="11325"/>
        <v>0</v>
      </c>
      <c r="G6022" s="1" t="str">
        <f t="shared" si="11325"/>
        <v>0</v>
      </c>
      <c r="H6022" s="1" t="str">
        <f t="shared" si="11325"/>
        <v>0</v>
      </c>
      <c r="I6022" s="1" t="str">
        <f t="shared" si="11325"/>
        <v>0</v>
      </c>
      <c r="J6022" s="1" t="str">
        <f>"2"</f>
        <v>2</v>
      </c>
      <c r="K6022" s="1" t="str">
        <f t="shared" ref="K6022:P6022" si="11326">"0"</f>
        <v>0</v>
      </c>
      <c r="L6022" s="1" t="str">
        <f t="shared" si="11326"/>
        <v>0</v>
      </c>
      <c r="M6022" s="1" t="str">
        <f t="shared" si="11326"/>
        <v>0</v>
      </c>
      <c r="N6022" s="1" t="str">
        <f t="shared" si="11326"/>
        <v>0</v>
      </c>
      <c r="O6022" s="1" t="str">
        <f t="shared" si="11326"/>
        <v>0</v>
      </c>
      <c r="P6022" s="1" t="str">
        <f t="shared" si="11326"/>
        <v>0</v>
      </c>
      <c r="Q6022" s="1" t="str">
        <f t="shared" si="11319"/>
        <v>0.0070</v>
      </c>
      <c r="R6022" s="1" t="s">
        <v>25</v>
      </c>
      <c r="T6022" s="1" t="str">
        <f t="shared" si="11320"/>
        <v>0</v>
      </c>
      <c r="U6022" s="1" t="str">
        <f t="shared" si="11322"/>
        <v>0.0070</v>
      </c>
    </row>
    <row r="6023" s="1" customFormat="1" spans="1:21">
      <c r="A6023" s="1" t="str">
        <f>"4601992239933"</f>
        <v>4601992239933</v>
      </c>
      <c r="B6023" s="1" t="s">
        <v>6046</v>
      </c>
      <c r="C6023" s="1" t="s">
        <v>24</v>
      </c>
      <c r="D6023" s="1" t="str">
        <f t="shared" si="11316"/>
        <v>2021</v>
      </c>
      <c r="E6023" s="1" t="str">
        <f t="shared" ref="E6023:P6023" si="11327">"0"</f>
        <v>0</v>
      </c>
      <c r="F6023" s="1" t="str">
        <f t="shared" si="11327"/>
        <v>0</v>
      </c>
      <c r="G6023" s="1" t="str">
        <f t="shared" si="11327"/>
        <v>0</v>
      </c>
      <c r="H6023" s="1" t="str">
        <f t="shared" si="11327"/>
        <v>0</v>
      </c>
      <c r="I6023" s="1" t="str">
        <f t="shared" si="11327"/>
        <v>0</v>
      </c>
      <c r="J6023" s="1" t="str">
        <f t="shared" si="11327"/>
        <v>0</v>
      </c>
      <c r="K6023" s="1" t="str">
        <f t="shared" si="11327"/>
        <v>0</v>
      </c>
      <c r="L6023" s="1" t="str">
        <f t="shared" si="11327"/>
        <v>0</v>
      </c>
      <c r="M6023" s="1" t="str">
        <f t="shared" si="11327"/>
        <v>0</v>
      </c>
      <c r="N6023" s="1" t="str">
        <f t="shared" si="11327"/>
        <v>0</v>
      </c>
      <c r="O6023" s="1" t="str">
        <f t="shared" si="11327"/>
        <v>0</v>
      </c>
      <c r="P6023" s="1" t="str">
        <f t="shared" si="11327"/>
        <v>0</v>
      </c>
      <c r="Q6023" s="1" t="str">
        <f t="shared" si="11319"/>
        <v>0.0070</v>
      </c>
      <c r="R6023" s="1" t="s">
        <v>25</v>
      </c>
      <c r="T6023" s="1" t="str">
        <f t="shared" si="11320"/>
        <v>0</v>
      </c>
      <c r="U6023" s="1" t="str">
        <f t="shared" si="11322"/>
        <v>0.0070</v>
      </c>
    </row>
    <row r="6024" s="1" customFormat="1" spans="1:21">
      <c r="A6024" s="1" t="str">
        <f>"4601992239850"</f>
        <v>4601992239850</v>
      </c>
      <c r="B6024" s="1" t="s">
        <v>6047</v>
      </c>
      <c r="C6024" s="1" t="s">
        <v>24</v>
      </c>
      <c r="D6024" s="1" t="str">
        <f t="shared" si="11316"/>
        <v>2021</v>
      </c>
      <c r="E6024" s="1" t="str">
        <f t="shared" ref="E6024:I6024" si="11328">"0"</f>
        <v>0</v>
      </c>
      <c r="F6024" s="1" t="str">
        <f t="shared" si="11328"/>
        <v>0</v>
      </c>
      <c r="G6024" s="1" t="str">
        <f t="shared" si="11328"/>
        <v>0</v>
      </c>
      <c r="H6024" s="1" t="str">
        <f t="shared" si="11328"/>
        <v>0</v>
      </c>
      <c r="I6024" s="1" t="str">
        <f t="shared" si="11328"/>
        <v>0</v>
      </c>
      <c r="J6024" s="1" t="str">
        <f>"12"</f>
        <v>12</v>
      </c>
      <c r="K6024" s="1" t="str">
        <f t="shared" ref="K6024:P6024" si="11329">"0"</f>
        <v>0</v>
      </c>
      <c r="L6024" s="1" t="str">
        <f t="shared" si="11329"/>
        <v>0</v>
      </c>
      <c r="M6024" s="1" t="str">
        <f t="shared" si="11329"/>
        <v>0</v>
      </c>
      <c r="N6024" s="1" t="str">
        <f t="shared" si="11329"/>
        <v>0</v>
      </c>
      <c r="O6024" s="1" t="str">
        <f t="shared" si="11329"/>
        <v>0</v>
      </c>
      <c r="P6024" s="1" t="str">
        <f t="shared" si="11329"/>
        <v>0</v>
      </c>
      <c r="Q6024" s="1" t="str">
        <f t="shared" si="11319"/>
        <v>0.0070</v>
      </c>
      <c r="R6024" s="1" t="s">
        <v>25</v>
      </c>
      <c r="T6024" s="1" t="str">
        <f t="shared" si="11320"/>
        <v>0</v>
      </c>
      <c r="U6024" s="1" t="str">
        <f t="shared" si="11322"/>
        <v>0.0070</v>
      </c>
    </row>
    <row r="6025" s="1" customFormat="1" spans="1:21">
      <c r="A6025" s="1" t="str">
        <f>"4601992240623"</f>
        <v>4601992240623</v>
      </c>
      <c r="B6025" s="1" t="s">
        <v>6048</v>
      </c>
      <c r="C6025" s="1" t="s">
        <v>24</v>
      </c>
      <c r="D6025" s="1" t="str">
        <f t="shared" si="11316"/>
        <v>2021</v>
      </c>
      <c r="E6025" s="1" t="str">
        <f t="shared" ref="E6025:I6025" si="11330">"0"</f>
        <v>0</v>
      </c>
      <c r="F6025" s="1" t="str">
        <f t="shared" si="11330"/>
        <v>0</v>
      </c>
      <c r="G6025" s="1" t="str">
        <f t="shared" si="11330"/>
        <v>0</v>
      </c>
      <c r="H6025" s="1" t="str">
        <f t="shared" si="11330"/>
        <v>0</v>
      </c>
      <c r="I6025" s="1" t="str">
        <f t="shared" si="11330"/>
        <v>0</v>
      </c>
      <c r="J6025" s="1" t="str">
        <f t="shared" ref="J6025:J6028" si="11331">"1"</f>
        <v>1</v>
      </c>
      <c r="K6025" s="1" t="str">
        <f t="shared" ref="K6025:P6025" si="11332">"0"</f>
        <v>0</v>
      </c>
      <c r="L6025" s="1" t="str">
        <f t="shared" si="11332"/>
        <v>0</v>
      </c>
      <c r="M6025" s="1" t="str">
        <f t="shared" si="11332"/>
        <v>0</v>
      </c>
      <c r="N6025" s="1" t="str">
        <f t="shared" si="11332"/>
        <v>0</v>
      </c>
      <c r="O6025" s="1" t="str">
        <f t="shared" si="11332"/>
        <v>0</v>
      </c>
      <c r="P6025" s="1" t="str">
        <f t="shared" si="11332"/>
        <v>0</v>
      </c>
      <c r="Q6025" s="1" t="str">
        <f t="shared" si="11319"/>
        <v>0.0070</v>
      </c>
      <c r="R6025" s="1" t="s">
        <v>25</v>
      </c>
      <c r="T6025" s="1" t="str">
        <f t="shared" si="11320"/>
        <v>0</v>
      </c>
      <c r="U6025" s="1" t="str">
        <f t="shared" si="11322"/>
        <v>0.0070</v>
      </c>
    </row>
    <row r="6026" s="1" customFormat="1" spans="1:21">
      <c r="A6026" s="1" t="str">
        <f>"4601992240675"</f>
        <v>4601992240675</v>
      </c>
      <c r="B6026" s="1" t="s">
        <v>6049</v>
      </c>
      <c r="C6026" s="1" t="s">
        <v>24</v>
      </c>
      <c r="D6026" s="1" t="str">
        <f t="shared" si="11316"/>
        <v>2021</v>
      </c>
      <c r="E6026" s="1" t="str">
        <f t="shared" ref="E6026:I6026" si="11333">"0"</f>
        <v>0</v>
      </c>
      <c r="F6026" s="1" t="str">
        <f t="shared" si="11333"/>
        <v>0</v>
      </c>
      <c r="G6026" s="1" t="str">
        <f t="shared" si="11333"/>
        <v>0</v>
      </c>
      <c r="H6026" s="1" t="str">
        <f t="shared" si="11333"/>
        <v>0</v>
      </c>
      <c r="I6026" s="1" t="str">
        <f t="shared" si="11333"/>
        <v>0</v>
      </c>
      <c r="J6026" s="1" t="str">
        <f t="shared" si="11331"/>
        <v>1</v>
      </c>
      <c r="K6026" s="1" t="str">
        <f t="shared" ref="K6026:P6026" si="11334">"0"</f>
        <v>0</v>
      </c>
      <c r="L6026" s="1" t="str">
        <f t="shared" si="11334"/>
        <v>0</v>
      </c>
      <c r="M6026" s="1" t="str">
        <f t="shared" si="11334"/>
        <v>0</v>
      </c>
      <c r="N6026" s="1" t="str">
        <f t="shared" si="11334"/>
        <v>0</v>
      </c>
      <c r="O6026" s="1" t="str">
        <f t="shared" si="11334"/>
        <v>0</v>
      </c>
      <c r="P6026" s="1" t="str">
        <f t="shared" si="11334"/>
        <v>0</v>
      </c>
      <c r="Q6026" s="1" t="str">
        <f t="shared" si="11319"/>
        <v>0.0070</v>
      </c>
      <c r="R6026" s="1" t="s">
        <v>25</v>
      </c>
      <c r="T6026" s="1" t="str">
        <f t="shared" si="11320"/>
        <v>0</v>
      </c>
      <c r="U6026" s="1" t="str">
        <f t="shared" si="11322"/>
        <v>0.0070</v>
      </c>
    </row>
    <row r="6027" s="1" customFormat="1" spans="1:21">
      <c r="A6027" s="1" t="str">
        <f>"4601992240688"</f>
        <v>4601992240688</v>
      </c>
      <c r="B6027" s="1" t="s">
        <v>6050</v>
      </c>
      <c r="C6027" s="1" t="s">
        <v>24</v>
      </c>
      <c r="D6027" s="1" t="str">
        <f t="shared" si="11316"/>
        <v>2021</v>
      </c>
      <c r="E6027" s="1" t="str">
        <f t="shared" ref="E6027:I6027" si="11335">"0"</f>
        <v>0</v>
      </c>
      <c r="F6027" s="1" t="str">
        <f t="shared" si="11335"/>
        <v>0</v>
      </c>
      <c r="G6027" s="1" t="str">
        <f t="shared" si="11335"/>
        <v>0</v>
      </c>
      <c r="H6027" s="1" t="str">
        <f t="shared" si="11335"/>
        <v>0</v>
      </c>
      <c r="I6027" s="1" t="str">
        <f t="shared" si="11335"/>
        <v>0</v>
      </c>
      <c r="J6027" s="1" t="str">
        <f t="shared" ref="J6027:J6031" si="11336">"2"</f>
        <v>2</v>
      </c>
      <c r="K6027" s="1" t="str">
        <f t="shared" ref="K6027:P6027" si="11337">"0"</f>
        <v>0</v>
      </c>
      <c r="L6027" s="1" t="str">
        <f t="shared" si="11337"/>
        <v>0</v>
      </c>
      <c r="M6027" s="1" t="str">
        <f t="shared" si="11337"/>
        <v>0</v>
      </c>
      <c r="N6027" s="1" t="str">
        <f t="shared" si="11337"/>
        <v>0</v>
      </c>
      <c r="O6027" s="1" t="str">
        <f t="shared" si="11337"/>
        <v>0</v>
      </c>
      <c r="P6027" s="1" t="str">
        <f t="shared" si="11337"/>
        <v>0</v>
      </c>
      <c r="Q6027" s="1" t="str">
        <f t="shared" si="11319"/>
        <v>0.0070</v>
      </c>
      <c r="R6027" s="1" t="s">
        <v>25</v>
      </c>
      <c r="T6027" s="1" t="str">
        <f t="shared" si="11320"/>
        <v>0</v>
      </c>
      <c r="U6027" s="1" t="str">
        <f t="shared" si="11322"/>
        <v>0.0070</v>
      </c>
    </row>
    <row r="6028" s="1" customFormat="1" spans="1:21">
      <c r="A6028" s="1" t="str">
        <f>"4601992240640"</f>
        <v>4601992240640</v>
      </c>
      <c r="B6028" s="1" t="s">
        <v>6051</v>
      </c>
      <c r="C6028" s="1" t="s">
        <v>24</v>
      </c>
      <c r="D6028" s="1" t="str">
        <f t="shared" si="11316"/>
        <v>2021</v>
      </c>
      <c r="E6028" s="1" t="str">
        <f t="shared" ref="E6028:I6028" si="11338">"0"</f>
        <v>0</v>
      </c>
      <c r="F6028" s="1" t="str">
        <f t="shared" si="11338"/>
        <v>0</v>
      </c>
      <c r="G6028" s="1" t="str">
        <f t="shared" si="11338"/>
        <v>0</v>
      </c>
      <c r="H6028" s="1" t="str">
        <f t="shared" si="11338"/>
        <v>0</v>
      </c>
      <c r="I6028" s="1" t="str">
        <f t="shared" si="11338"/>
        <v>0</v>
      </c>
      <c r="J6028" s="1" t="str">
        <f t="shared" si="11331"/>
        <v>1</v>
      </c>
      <c r="K6028" s="1" t="str">
        <f t="shared" ref="K6028:P6028" si="11339">"0"</f>
        <v>0</v>
      </c>
      <c r="L6028" s="1" t="str">
        <f t="shared" si="11339"/>
        <v>0</v>
      </c>
      <c r="M6028" s="1" t="str">
        <f t="shared" si="11339"/>
        <v>0</v>
      </c>
      <c r="N6028" s="1" t="str">
        <f t="shared" si="11339"/>
        <v>0</v>
      </c>
      <c r="O6028" s="1" t="str">
        <f t="shared" si="11339"/>
        <v>0</v>
      </c>
      <c r="P6028" s="1" t="str">
        <f t="shared" si="11339"/>
        <v>0</v>
      </c>
      <c r="Q6028" s="1" t="str">
        <f t="shared" si="11319"/>
        <v>0.0070</v>
      </c>
      <c r="R6028" s="1" t="s">
        <v>25</v>
      </c>
      <c r="T6028" s="1" t="str">
        <f t="shared" si="11320"/>
        <v>0</v>
      </c>
      <c r="U6028" s="1" t="str">
        <f t="shared" si="11322"/>
        <v>0.0070</v>
      </c>
    </row>
    <row r="6029" s="1" customFormat="1" spans="1:21">
      <c r="A6029" s="1" t="str">
        <f>"4601992240729"</f>
        <v>4601992240729</v>
      </c>
      <c r="B6029" s="1" t="s">
        <v>6052</v>
      </c>
      <c r="C6029" s="1" t="s">
        <v>24</v>
      </c>
      <c r="D6029" s="1" t="str">
        <f t="shared" si="11316"/>
        <v>2021</v>
      </c>
      <c r="E6029" s="1" t="str">
        <f t="shared" ref="E6029:P6029" si="11340">"0"</f>
        <v>0</v>
      </c>
      <c r="F6029" s="1" t="str">
        <f t="shared" si="11340"/>
        <v>0</v>
      </c>
      <c r="G6029" s="1" t="str">
        <f t="shared" si="11340"/>
        <v>0</v>
      </c>
      <c r="H6029" s="1" t="str">
        <f t="shared" si="11340"/>
        <v>0</v>
      </c>
      <c r="I6029" s="1" t="str">
        <f t="shared" si="11340"/>
        <v>0</v>
      </c>
      <c r="J6029" s="1" t="str">
        <f t="shared" si="11340"/>
        <v>0</v>
      </c>
      <c r="K6029" s="1" t="str">
        <f t="shared" si="11340"/>
        <v>0</v>
      </c>
      <c r="L6029" s="1" t="str">
        <f t="shared" si="11340"/>
        <v>0</v>
      </c>
      <c r="M6029" s="1" t="str">
        <f t="shared" si="11340"/>
        <v>0</v>
      </c>
      <c r="N6029" s="1" t="str">
        <f t="shared" si="11340"/>
        <v>0</v>
      </c>
      <c r="O6029" s="1" t="str">
        <f t="shared" si="11340"/>
        <v>0</v>
      </c>
      <c r="P6029" s="1" t="str">
        <f t="shared" si="11340"/>
        <v>0</v>
      </c>
      <c r="Q6029" s="1" t="str">
        <f t="shared" si="11319"/>
        <v>0.0070</v>
      </c>
      <c r="R6029" s="1" t="s">
        <v>25</v>
      </c>
      <c r="T6029" s="1" t="str">
        <f t="shared" si="11320"/>
        <v>0</v>
      </c>
      <c r="U6029" s="1" t="str">
        <f t="shared" si="11322"/>
        <v>0.0070</v>
      </c>
    </row>
    <row r="6030" s="1" customFormat="1" spans="1:21">
      <c r="A6030" s="1" t="str">
        <f>"4601992240726"</f>
        <v>4601992240726</v>
      </c>
      <c r="B6030" s="1" t="s">
        <v>6053</v>
      </c>
      <c r="C6030" s="1" t="s">
        <v>24</v>
      </c>
      <c r="D6030" s="1" t="str">
        <f t="shared" si="11316"/>
        <v>2021</v>
      </c>
      <c r="E6030" s="1" t="str">
        <f t="shared" ref="E6030:I6030" si="11341">"0"</f>
        <v>0</v>
      </c>
      <c r="F6030" s="1" t="str">
        <f t="shared" si="11341"/>
        <v>0</v>
      </c>
      <c r="G6030" s="1" t="str">
        <f t="shared" si="11341"/>
        <v>0</v>
      </c>
      <c r="H6030" s="1" t="str">
        <f t="shared" si="11341"/>
        <v>0</v>
      </c>
      <c r="I6030" s="1" t="str">
        <f t="shared" si="11341"/>
        <v>0</v>
      </c>
      <c r="J6030" s="1" t="str">
        <f t="shared" si="11336"/>
        <v>2</v>
      </c>
      <c r="K6030" s="1" t="str">
        <f t="shared" ref="K6030:P6030" si="11342">"0"</f>
        <v>0</v>
      </c>
      <c r="L6030" s="1" t="str">
        <f t="shared" si="11342"/>
        <v>0</v>
      </c>
      <c r="M6030" s="1" t="str">
        <f t="shared" si="11342"/>
        <v>0</v>
      </c>
      <c r="N6030" s="1" t="str">
        <f t="shared" si="11342"/>
        <v>0</v>
      </c>
      <c r="O6030" s="1" t="str">
        <f t="shared" si="11342"/>
        <v>0</v>
      </c>
      <c r="P6030" s="1" t="str">
        <f t="shared" si="11342"/>
        <v>0</v>
      </c>
      <c r="Q6030" s="1" t="str">
        <f t="shared" si="11319"/>
        <v>0.0070</v>
      </c>
      <c r="R6030" s="1" t="s">
        <v>25</v>
      </c>
      <c r="T6030" s="1" t="str">
        <f t="shared" si="11320"/>
        <v>0</v>
      </c>
      <c r="U6030" s="1" t="str">
        <f t="shared" si="11322"/>
        <v>0.0070</v>
      </c>
    </row>
    <row r="6031" s="1" customFormat="1" spans="1:21">
      <c r="A6031" s="1" t="str">
        <f>"4601992240717"</f>
        <v>4601992240717</v>
      </c>
      <c r="B6031" s="1" t="s">
        <v>6054</v>
      </c>
      <c r="C6031" s="1" t="s">
        <v>24</v>
      </c>
      <c r="D6031" s="1" t="str">
        <f t="shared" si="11316"/>
        <v>2021</v>
      </c>
      <c r="E6031" s="1" t="str">
        <f t="shared" ref="E6031:I6031" si="11343">"0"</f>
        <v>0</v>
      </c>
      <c r="F6031" s="1" t="str">
        <f t="shared" si="11343"/>
        <v>0</v>
      </c>
      <c r="G6031" s="1" t="str">
        <f t="shared" si="11343"/>
        <v>0</v>
      </c>
      <c r="H6031" s="1" t="str">
        <f t="shared" si="11343"/>
        <v>0</v>
      </c>
      <c r="I6031" s="1" t="str">
        <f t="shared" si="11343"/>
        <v>0</v>
      </c>
      <c r="J6031" s="1" t="str">
        <f t="shared" si="11336"/>
        <v>2</v>
      </c>
      <c r="K6031" s="1" t="str">
        <f t="shared" ref="K6031:P6031" si="11344">"0"</f>
        <v>0</v>
      </c>
      <c r="L6031" s="1" t="str">
        <f t="shared" si="11344"/>
        <v>0</v>
      </c>
      <c r="M6031" s="1" t="str">
        <f t="shared" si="11344"/>
        <v>0</v>
      </c>
      <c r="N6031" s="1" t="str">
        <f t="shared" si="11344"/>
        <v>0</v>
      </c>
      <c r="O6031" s="1" t="str">
        <f t="shared" si="11344"/>
        <v>0</v>
      </c>
      <c r="P6031" s="1" t="str">
        <f t="shared" si="11344"/>
        <v>0</v>
      </c>
      <c r="Q6031" s="1" t="str">
        <f t="shared" si="11319"/>
        <v>0.0070</v>
      </c>
      <c r="R6031" s="1" t="s">
        <v>25</v>
      </c>
      <c r="T6031" s="1" t="str">
        <f t="shared" si="11320"/>
        <v>0</v>
      </c>
      <c r="U6031" s="1" t="str">
        <f t="shared" si="11322"/>
        <v>0.0070</v>
      </c>
    </row>
    <row r="6032" s="1" customFormat="1" spans="1:21">
      <c r="A6032" s="1" t="str">
        <f>"4601992240725"</f>
        <v>4601992240725</v>
      </c>
      <c r="B6032" s="1" t="s">
        <v>6055</v>
      </c>
      <c r="C6032" s="1" t="s">
        <v>24</v>
      </c>
      <c r="D6032" s="1" t="str">
        <f t="shared" si="11316"/>
        <v>2021</v>
      </c>
      <c r="E6032" s="1" t="str">
        <f t="shared" ref="E6032:I6032" si="11345">"0"</f>
        <v>0</v>
      </c>
      <c r="F6032" s="1" t="str">
        <f t="shared" si="11345"/>
        <v>0</v>
      </c>
      <c r="G6032" s="1" t="str">
        <f t="shared" si="11345"/>
        <v>0</v>
      </c>
      <c r="H6032" s="1" t="str">
        <f t="shared" si="11345"/>
        <v>0</v>
      </c>
      <c r="I6032" s="1" t="str">
        <f t="shared" si="11345"/>
        <v>0</v>
      </c>
      <c r="J6032" s="1" t="str">
        <f>"4"</f>
        <v>4</v>
      </c>
      <c r="K6032" s="1" t="str">
        <f t="shared" ref="K6032:P6032" si="11346">"0"</f>
        <v>0</v>
      </c>
      <c r="L6032" s="1" t="str">
        <f t="shared" si="11346"/>
        <v>0</v>
      </c>
      <c r="M6032" s="1" t="str">
        <f t="shared" si="11346"/>
        <v>0</v>
      </c>
      <c r="N6032" s="1" t="str">
        <f t="shared" si="11346"/>
        <v>0</v>
      </c>
      <c r="O6032" s="1" t="str">
        <f t="shared" si="11346"/>
        <v>0</v>
      </c>
      <c r="P6032" s="1" t="str">
        <f t="shared" si="11346"/>
        <v>0</v>
      </c>
      <c r="Q6032" s="1" t="str">
        <f t="shared" si="11319"/>
        <v>0.0070</v>
      </c>
      <c r="R6032" s="1" t="s">
        <v>25</v>
      </c>
      <c r="T6032" s="1" t="str">
        <f t="shared" si="11320"/>
        <v>0</v>
      </c>
      <c r="U6032" s="1" t="str">
        <f t="shared" si="11322"/>
        <v>0.0070</v>
      </c>
    </row>
    <row r="6033" s="1" customFormat="1" spans="1:21">
      <c r="A6033" s="1" t="str">
        <f>"4601992241016"</f>
        <v>4601992241016</v>
      </c>
      <c r="B6033" s="1" t="s">
        <v>6056</v>
      </c>
      <c r="C6033" s="1" t="s">
        <v>24</v>
      </c>
      <c r="D6033" s="1" t="str">
        <f t="shared" si="11316"/>
        <v>2021</v>
      </c>
      <c r="E6033" s="1" t="str">
        <f t="shared" ref="E6033:P6033" si="11347">"0"</f>
        <v>0</v>
      </c>
      <c r="F6033" s="1" t="str">
        <f t="shared" si="11347"/>
        <v>0</v>
      </c>
      <c r="G6033" s="1" t="str">
        <f t="shared" si="11347"/>
        <v>0</v>
      </c>
      <c r="H6033" s="1" t="str">
        <f t="shared" si="11347"/>
        <v>0</v>
      </c>
      <c r="I6033" s="1" t="str">
        <f t="shared" si="11347"/>
        <v>0</v>
      </c>
      <c r="J6033" s="1" t="str">
        <f t="shared" si="11347"/>
        <v>0</v>
      </c>
      <c r="K6033" s="1" t="str">
        <f t="shared" si="11347"/>
        <v>0</v>
      </c>
      <c r="L6033" s="1" t="str">
        <f t="shared" si="11347"/>
        <v>0</v>
      </c>
      <c r="M6033" s="1" t="str">
        <f t="shared" si="11347"/>
        <v>0</v>
      </c>
      <c r="N6033" s="1" t="str">
        <f t="shared" si="11347"/>
        <v>0</v>
      </c>
      <c r="O6033" s="1" t="str">
        <f t="shared" si="11347"/>
        <v>0</v>
      </c>
      <c r="P6033" s="1" t="str">
        <f t="shared" si="11347"/>
        <v>0</v>
      </c>
      <c r="Q6033" s="1" t="str">
        <f t="shared" si="11319"/>
        <v>0.0070</v>
      </c>
      <c r="R6033" s="1" t="s">
        <v>25</v>
      </c>
      <c r="T6033" s="1" t="str">
        <f t="shared" si="11320"/>
        <v>0</v>
      </c>
      <c r="U6033" s="1" t="str">
        <f t="shared" si="11322"/>
        <v>0.0070</v>
      </c>
    </row>
    <row r="6034" s="1" customFormat="1" spans="1:21">
      <c r="A6034" s="1" t="str">
        <f>"4601992240737"</f>
        <v>4601992240737</v>
      </c>
      <c r="B6034" s="1" t="s">
        <v>6057</v>
      </c>
      <c r="C6034" s="1" t="s">
        <v>24</v>
      </c>
      <c r="D6034" s="1" t="str">
        <f t="shared" si="11316"/>
        <v>2021</v>
      </c>
      <c r="E6034" s="1" t="str">
        <f t="shared" ref="E6034:I6034" si="11348">"0"</f>
        <v>0</v>
      </c>
      <c r="F6034" s="1" t="str">
        <f t="shared" si="11348"/>
        <v>0</v>
      </c>
      <c r="G6034" s="1" t="str">
        <f t="shared" si="11348"/>
        <v>0</v>
      </c>
      <c r="H6034" s="1" t="str">
        <f t="shared" si="11348"/>
        <v>0</v>
      </c>
      <c r="I6034" s="1" t="str">
        <f t="shared" si="11348"/>
        <v>0</v>
      </c>
      <c r="J6034" s="1" t="str">
        <f>"6"</f>
        <v>6</v>
      </c>
      <c r="K6034" s="1" t="str">
        <f t="shared" ref="K6034:P6034" si="11349">"0"</f>
        <v>0</v>
      </c>
      <c r="L6034" s="1" t="str">
        <f t="shared" si="11349"/>
        <v>0</v>
      </c>
      <c r="M6034" s="1" t="str">
        <f t="shared" si="11349"/>
        <v>0</v>
      </c>
      <c r="N6034" s="1" t="str">
        <f t="shared" si="11349"/>
        <v>0</v>
      </c>
      <c r="O6034" s="1" t="str">
        <f t="shared" si="11349"/>
        <v>0</v>
      </c>
      <c r="P6034" s="1" t="str">
        <f t="shared" si="11349"/>
        <v>0</v>
      </c>
      <c r="Q6034" s="1" t="str">
        <f t="shared" si="11319"/>
        <v>0.0070</v>
      </c>
      <c r="R6034" s="1" t="s">
        <v>25</v>
      </c>
      <c r="T6034" s="1" t="str">
        <f t="shared" si="11320"/>
        <v>0</v>
      </c>
      <c r="U6034" s="1" t="str">
        <f t="shared" si="11322"/>
        <v>0.0070</v>
      </c>
    </row>
    <row r="6035" s="1" customFormat="1" spans="1:21">
      <c r="A6035" s="1" t="str">
        <f>"4601992240738"</f>
        <v>4601992240738</v>
      </c>
      <c r="B6035" s="1" t="s">
        <v>6058</v>
      </c>
      <c r="C6035" s="1" t="s">
        <v>24</v>
      </c>
      <c r="D6035" s="1" t="str">
        <f t="shared" si="11316"/>
        <v>2021</v>
      </c>
      <c r="E6035" s="1" t="str">
        <f t="shared" ref="E6035:I6035" si="11350">"0"</f>
        <v>0</v>
      </c>
      <c r="F6035" s="1" t="str">
        <f t="shared" si="11350"/>
        <v>0</v>
      </c>
      <c r="G6035" s="1" t="str">
        <f t="shared" si="11350"/>
        <v>0</v>
      </c>
      <c r="H6035" s="1" t="str">
        <f t="shared" si="11350"/>
        <v>0</v>
      </c>
      <c r="I6035" s="1" t="str">
        <f t="shared" si="11350"/>
        <v>0</v>
      </c>
      <c r="J6035" s="1" t="str">
        <f>"1"</f>
        <v>1</v>
      </c>
      <c r="K6035" s="1" t="str">
        <f t="shared" ref="K6035:P6035" si="11351">"0"</f>
        <v>0</v>
      </c>
      <c r="L6035" s="1" t="str">
        <f t="shared" si="11351"/>
        <v>0</v>
      </c>
      <c r="M6035" s="1" t="str">
        <f t="shared" si="11351"/>
        <v>0</v>
      </c>
      <c r="N6035" s="1" t="str">
        <f t="shared" si="11351"/>
        <v>0</v>
      </c>
      <c r="O6035" s="1" t="str">
        <f t="shared" si="11351"/>
        <v>0</v>
      </c>
      <c r="P6035" s="1" t="str">
        <f t="shared" si="11351"/>
        <v>0</v>
      </c>
      <c r="Q6035" s="1" t="str">
        <f t="shared" si="11319"/>
        <v>0.0070</v>
      </c>
      <c r="R6035" s="1" t="s">
        <v>25</v>
      </c>
      <c r="T6035" s="1" t="str">
        <f t="shared" si="11320"/>
        <v>0</v>
      </c>
      <c r="U6035" s="1" t="str">
        <f t="shared" si="11322"/>
        <v>0.0070</v>
      </c>
    </row>
    <row r="6036" s="1" customFormat="1" spans="1:21">
      <c r="A6036" s="1" t="str">
        <f>"4601992240740"</f>
        <v>4601992240740</v>
      </c>
      <c r="B6036" s="1" t="s">
        <v>6059</v>
      </c>
      <c r="C6036" s="1" t="s">
        <v>24</v>
      </c>
      <c r="D6036" s="1" t="str">
        <f t="shared" si="11316"/>
        <v>2021</v>
      </c>
      <c r="E6036" s="1" t="str">
        <f t="shared" ref="E6036:I6036" si="11352">"0"</f>
        <v>0</v>
      </c>
      <c r="F6036" s="1" t="str">
        <f t="shared" si="11352"/>
        <v>0</v>
      </c>
      <c r="G6036" s="1" t="str">
        <f t="shared" si="11352"/>
        <v>0</v>
      </c>
      <c r="H6036" s="1" t="str">
        <f t="shared" si="11352"/>
        <v>0</v>
      </c>
      <c r="I6036" s="1" t="str">
        <f t="shared" si="11352"/>
        <v>0</v>
      </c>
      <c r="J6036" s="1" t="str">
        <f>"3"</f>
        <v>3</v>
      </c>
      <c r="K6036" s="1" t="str">
        <f t="shared" ref="K6036:P6036" si="11353">"0"</f>
        <v>0</v>
      </c>
      <c r="L6036" s="1" t="str">
        <f t="shared" si="11353"/>
        <v>0</v>
      </c>
      <c r="M6036" s="1" t="str">
        <f t="shared" si="11353"/>
        <v>0</v>
      </c>
      <c r="N6036" s="1" t="str">
        <f t="shared" si="11353"/>
        <v>0</v>
      </c>
      <c r="O6036" s="1" t="str">
        <f t="shared" si="11353"/>
        <v>0</v>
      </c>
      <c r="P6036" s="1" t="str">
        <f t="shared" si="11353"/>
        <v>0</v>
      </c>
      <c r="Q6036" s="1" t="str">
        <f t="shared" si="11319"/>
        <v>0.0070</v>
      </c>
      <c r="R6036" s="1" t="s">
        <v>25</v>
      </c>
      <c r="T6036" s="1" t="str">
        <f t="shared" si="11320"/>
        <v>0</v>
      </c>
      <c r="U6036" s="1" t="str">
        <f t="shared" si="11322"/>
        <v>0.0070</v>
      </c>
    </row>
    <row r="6037" s="1" customFormat="1" spans="1:21">
      <c r="A6037" s="1" t="str">
        <f>"4601992241405"</f>
        <v>4601992241405</v>
      </c>
      <c r="B6037" s="1" t="s">
        <v>6060</v>
      </c>
      <c r="C6037" s="1" t="s">
        <v>24</v>
      </c>
      <c r="D6037" s="1" t="str">
        <f t="shared" si="11316"/>
        <v>2021</v>
      </c>
      <c r="E6037" s="1" t="str">
        <f t="shared" ref="E6037:P6037" si="11354">"0"</f>
        <v>0</v>
      </c>
      <c r="F6037" s="1" t="str">
        <f t="shared" si="11354"/>
        <v>0</v>
      </c>
      <c r="G6037" s="1" t="str">
        <f t="shared" si="11354"/>
        <v>0</v>
      </c>
      <c r="H6037" s="1" t="str">
        <f t="shared" si="11354"/>
        <v>0</v>
      </c>
      <c r="I6037" s="1" t="str">
        <f t="shared" si="11354"/>
        <v>0</v>
      </c>
      <c r="J6037" s="1" t="str">
        <f t="shared" si="11354"/>
        <v>0</v>
      </c>
      <c r="K6037" s="1" t="str">
        <f t="shared" si="11354"/>
        <v>0</v>
      </c>
      <c r="L6037" s="1" t="str">
        <f t="shared" si="11354"/>
        <v>0</v>
      </c>
      <c r="M6037" s="1" t="str">
        <f t="shared" si="11354"/>
        <v>0</v>
      </c>
      <c r="N6037" s="1" t="str">
        <f t="shared" si="11354"/>
        <v>0</v>
      </c>
      <c r="O6037" s="1" t="str">
        <f t="shared" si="11354"/>
        <v>0</v>
      </c>
      <c r="P6037" s="1" t="str">
        <f t="shared" si="11354"/>
        <v>0</v>
      </c>
      <c r="Q6037" s="1" t="str">
        <f t="shared" si="11319"/>
        <v>0.0070</v>
      </c>
      <c r="R6037" s="1" t="s">
        <v>25</v>
      </c>
      <c r="T6037" s="1" t="str">
        <f t="shared" si="11320"/>
        <v>0</v>
      </c>
      <c r="U6037" s="1" t="str">
        <f t="shared" si="11322"/>
        <v>0.0070</v>
      </c>
    </row>
    <row r="6038" s="1" customFormat="1" spans="1:21">
      <c r="A6038" s="1" t="str">
        <f>"4601992241787"</f>
        <v>4601992241787</v>
      </c>
      <c r="B6038" s="1" t="s">
        <v>6061</v>
      </c>
      <c r="C6038" s="1" t="s">
        <v>24</v>
      </c>
      <c r="D6038" s="1" t="str">
        <f t="shared" si="11316"/>
        <v>2021</v>
      </c>
      <c r="E6038" s="1" t="str">
        <f t="shared" ref="E6038:P6038" si="11355">"0"</f>
        <v>0</v>
      </c>
      <c r="F6038" s="1" t="str">
        <f t="shared" si="11355"/>
        <v>0</v>
      </c>
      <c r="G6038" s="1" t="str">
        <f t="shared" si="11355"/>
        <v>0</v>
      </c>
      <c r="H6038" s="1" t="str">
        <f t="shared" si="11355"/>
        <v>0</v>
      </c>
      <c r="I6038" s="1" t="str">
        <f t="shared" si="11355"/>
        <v>0</v>
      </c>
      <c r="J6038" s="1" t="str">
        <f t="shared" si="11355"/>
        <v>0</v>
      </c>
      <c r="K6038" s="1" t="str">
        <f t="shared" si="11355"/>
        <v>0</v>
      </c>
      <c r="L6038" s="1" t="str">
        <f t="shared" si="11355"/>
        <v>0</v>
      </c>
      <c r="M6038" s="1" t="str">
        <f t="shared" si="11355"/>
        <v>0</v>
      </c>
      <c r="N6038" s="1" t="str">
        <f t="shared" si="11355"/>
        <v>0</v>
      </c>
      <c r="O6038" s="1" t="str">
        <f t="shared" si="11355"/>
        <v>0</v>
      </c>
      <c r="P6038" s="1" t="str">
        <f t="shared" si="11355"/>
        <v>0</v>
      </c>
      <c r="Q6038" s="1" t="str">
        <f t="shared" si="11319"/>
        <v>0.0070</v>
      </c>
      <c r="R6038" s="1" t="s">
        <v>25</v>
      </c>
      <c r="T6038" s="1" t="str">
        <f t="shared" si="11320"/>
        <v>0</v>
      </c>
      <c r="U6038" s="1" t="str">
        <f t="shared" si="11322"/>
        <v>0.0070</v>
      </c>
    </row>
    <row r="6039" s="1" customFormat="1" spans="1:21">
      <c r="A6039" s="1" t="str">
        <f>"4601992241948"</f>
        <v>4601992241948</v>
      </c>
      <c r="B6039" s="1" t="s">
        <v>6062</v>
      </c>
      <c r="C6039" s="1" t="s">
        <v>24</v>
      </c>
      <c r="D6039" s="1" t="str">
        <f t="shared" si="11316"/>
        <v>2021</v>
      </c>
      <c r="E6039" s="1" t="str">
        <f t="shared" ref="E6039:P6039" si="11356">"0"</f>
        <v>0</v>
      </c>
      <c r="F6039" s="1" t="str">
        <f t="shared" si="11356"/>
        <v>0</v>
      </c>
      <c r="G6039" s="1" t="str">
        <f t="shared" si="11356"/>
        <v>0</v>
      </c>
      <c r="H6039" s="1" t="str">
        <f t="shared" si="11356"/>
        <v>0</v>
      </c>
      <c r="I6039" s="1" t="str">
        <f t="shared" si="11356"/>
        <v>0</v>
      </c>
      <c r="J6039" s="1" t="str">
        <f t="shared" si="11356"/>
        <v>0</v>
      </c>
      <c r="K6039" s="1" t="str">
        <f t="shared" si="11356"/>
        <v>0</v>
      </c>
      <c r="L6039" s="1" t="str">
        <f t="shared" si="11356"/>
        <v>0</v>
      </c>
      <c r="M6039" s="1" t="str">
        <f t="shared" si="11356"/>
        <v>0</v>
      </c>
      <c r="N6039" s="1" t="str">
        <f t="shared" si="11356"/>
        <v>0</v>
      </c>
      <c r="O6039" s="1" t="str">
        <f t="shared" si="11356"/>
        <v>0</v>
      </c>
      <c r="P6039" s="1" t="str">
        <f t="shared" si="11356"/>
        <v>0</v>
      </c>
      <c r="Q6039" s="1" t="str">
        <f t="shared" si="11319"/>
        <v>0.0070</v>
      </c>
      <c r="R6039" s="1" t="s">
        <v>25</v>
      </c>
      <c r="T6039" s="1" t="str">
        <f t="shared" si="11320"/>
        <v>0</v>
      </c>
      <c r="U6039" s="1" t="str">
        <f t="shared" si="11322"/>
        <v>0.0070</v>
      </c>
    </row>
    <row r="6040" s="1" customFormat="1" spans="1:21">
      <c r="A6040" s="1" t="str">
        <f>"4601992242089"</f>
        <v>4601992242089</v>
      </c>
      <c r="B6040" s="1" t="s">
        <v>6063</v>
      </c>
      <c r="C6040" s="1" t="s">
        <v>24</v>
      </c>
      <c r="D6040" s="1" t="str">
        <f t="shared" si="11316"/>
        <v>2021</v>
      </c>
      <c r="E6040" s="1" t="str">
        <f t="shared" ref="E6040:P6040" si="11357">"0"</f>
        <v>0</v>
      </c>
      <c r="F6040" s="1" t="str">
        <f t="shared" si="11357"/>
        <v>0</v>
      </c>
      <c r="G6040" s="1" t="str">
        <f t="shared" si="11357"/>
        <v>0</v>
      </c>
      <c r="H6040" s="1" t="str">
        <f t="shared" si="11357"/>
        <v>0</v>
      </c>
      <c r="I6040" s="1" t="str">
        <f t="shared" si="11357"/>
        <v>0</v>
      </c>
      <c r="J6040" s="1" t="str">
        <f t="shared" si="11357"/>
        <v>0</v>
      </c>
      <c r="K6040" s="1" t="str">
        <f t="shared" si="11357"/>
        <v>0</v>
      </c>
      <c r="L6040" s="1" t="str">
        <f t="shared" si="11357"/>
        <v>0</v>
      </c>
      <c r="M6040" s="1" t="str">
        <f t="shared" si="11357"/>
        <v>0</v>
      </c>
      <c r="N6040" s="1" t="str">
        <f t="shared" si="11357"/>
        <v>0</v>
      </c>
      <c r="O6040" s="1" t="str">
        <f t="shared" si="11357"/>
        <v>0</v>
      </c>
      <c r="P6040" s="1" t="str">
        <f t="shared" si="11357"/>
        <v>0</v>
      </c>
      <c r="Q6040" s="1" t="str">
        <f t="shared" si="11319"/>
        <v>0.0070</v>
      </c>
      <c r="R6040" s="1" t="s">
        <v>25</v>
      </c>
      <c r="T6040" s="1" t="str">
        <f t="shared" si="11320"/>
        <v>0</v>
      </c>
      <c r="U6040" s="1" t="str">
        <f t="shared" si="11322"/>
        <v>0.0070</v>
      </c>
    </row>
    <row r="6041" s="1" customFormat="1" spans="1:21">
      <c r="A6041" s="1" t="str">
        <f>"4601992242203"</f>
        <v>4601992242203</v>
      </c>
      <c r="B6041" s="1" t="s">
        <v>6064</v>
      </c>
      <c r="C6041" s="1" t="s">
        <v>24</v>
      </c>
      <c r="D6041" s="1" t="str">
        <f t="shared" si="11316"/>
        <v>2021</v>
      </c>
      <c r="E6041" s="1" t="str">
        <f t="shared" ref="E6041:P6041" si="11358">"0"</f>
        <v>0</v>
      </c>
      <c r="F6041" s="1" t="str">
        <f t="shared" si="11358"/>
        <v>0</v>
      </c>
      <c r="G6041" s="1" t="str">
        <f t="shared" si="11358"/>
        <v>0</v>
      </c>
      <c r="H6041" s="1" t="str">
        <f t="shared" si="11358"/>
        <v>0</v>
      </c>
      <c r="I6041" s="1" t="str">
        <f t="shared" si="11358"/>
        <v>0</v>
      </c>
      <c r="J6041" s="1" t="str">
        <f t="shared" si="11358"/>
        <v>0</v>
      </c>
      <c r="K6041" s="1" t="str">
        <f t="shared" si="11358"/>
        <v>0</v>
      </c>
      <c r="L6041" s="1" t="str">
        <f t="shared" si="11358"/>
        <v>0</v>
      </c>
      <c r="M6041" s="1" t="str">
        <f t="shared" si="11358"/>
        <v>0</v>
      </c>
      <c r="N6041" s="1" t="str">
        <f t="shared" si="11358"/>
        <v>0</v>
      </c>
      <c r="O6041" s="1" t="str">
        <f t="shared" si="11358"/>
        <v>0</v>
      </c>
      <c r="P6041" s="1" t="str">
        <f t="shared" si="11358"/>
        <v>0</v>
      </c>
      <c r="Q6041" s="1" t="str">
        <f t="shared" si="11319"/>
        <v>0.0070</v>
      </c>
      <c r="R6041" s="1" t="s">
        <v>25</v>
      </c>
      <c r="T6041" s="1" t="str">
        <f t="shared" si="11320"/>
        <v>0</v>
      </c>
      <c r="U6041" s="1" t="str">
        <f t="shared" si="11322"/>
        <v>0.0070</v>
      </c>
    </row>
    <row r="6042" s="1" customFormat="1" spans="1:21">
      <c r="A6042" s="1" t="str">
        <f>"4601992242415"</f>
        <v>4601992242415</v>
      </c>
      <c r="B6042" s="1" t="s">
        <v>6065</v>
      </c>
      <c r="C6042" s="1" t="s">
        <v>24</v>
      </c>
      <c r="D6042" s="1" t="str">
        <f t="shared" si="11316"/>
        <v>2021</v>
      </c>
      <c r="E6042" s="1" t="str">
        <f t="shared" ref="E6042:I6042" si="11359">"0"</f>
        <v>0</v>
      </c>
      <c r="F6042" s="1" t="str">
        <f t="shared" si="11359"/>
        <v>0</v>
      </c>
      <c r="G6042" s="1" t="str">
        <f t="shared" si="11359"/>
        <v>0</v>
      </c>
      <c r="H6042" s="1" t="str">
        <f t="shared" si="11359"/>
        <v>0</v>
      </c>
      <c r="I6042" s="1" t="str">
        <f t="shared" si="11359"/>
        <v>0</v>
      </c>
      <c r="J6042" s="1" t="str">
        <f>"3"</f>
        <v>3</v>
      </c>
      <c r="K6042" s="1" t="str">
        <f t="shared" ref="K6042:P6042" si="11360">"0"</f>
        <v>0</v>
      </c>
      <c r="L6042" s="1" t="str">
        <f t="shared" si="11360"/>
        <v>0</v>
      </c>
      <c r="M6042" s="1" t="str">
        <f t="shared" si="11360"/>
        <v>0</v>
      </c>
      <c r="N6042" s="1" t="str">
        <f t="shared" si="11360"/>
        <v>0</v>
      </c>
      <c r="O6042" s="1" t="str">
        <f t="shared" si="11360"/>
        <v>0</v>
      </c>
      <c r="P6042" s="1" t="str">
        <f t="shared" si="11360"/>
        <v>0</v>
      </c>
      <c r="Q6042" s="1" t="str">
        <f t="shared" si="11319"/>
        <v>0.0070</v>
      </c>
      <c r="R6042" s="1" t="s">
        <v>25</v>
      </c>
      <c r="T6042" s="1" t="str">
        <f t="shared" si="11320"/>
        <v>0</v>
      </c>
      <c r="U6042" s="1" t="str">
        <f t="shared" si="11322"/>
        <v>0.0070</v>
      </c>
    </row>
    <row r="6043" s="1" customFormat="1" spans="1:21">
      <c r="A6043" s="1" t="str">
        <f>"4601992242434"</f>
        <v>4601992242434</v>
      </c>
      <c r="B6043" s="1" t="s">
        <v>6066</v>
      </c>
      <c r="C6043" s="1" t="s">
        <v>24</v>
      </c>
      <c r="D6043" s="1" t="str">
        <f t="shared" si="11316"/>
        <v>2021</v>
      </c>
      <c r="E6043" s="1" t="str">
        <f t="shared" ref="E6043:I6043" si="11361">"0"</f>
        <v>0</v>
      </c>
      <c r="F6043" s="1" t="str">
        <f t="shared" si="11361"/>
        <v>0</v>
      </c>
      <c r="G6043" s="1" t="str">
        <f t="shared" si="11361"/>
        <v>0</v>
      </c>
      <c r="H6043" s="1" t="str">
        <f t="shared" si="11361"/>
        <v>0</v>
      </c>
      <c r="I6043" s="1" t="str">
        <f t="shared" si="11361"/>
        <v>0</v>
      </c>
      <c r="J6043" s="1" t="str">
        <f t="shared" ref="J6043:J6046" si="11362">"2"</f>
        <v>2</v>
      </c>
      <c r="K6043" s="1" t="str">
        <f t="shared" ref="K6043:P6043" si="11363">"0"</f>
        <v>0</v>
      </c>
      <c r="L6043" s="1" t="str">
        <f t="shared" si="11363"/>
        <v>0</v>
      </c>
      <c r="M6043" s="1" t="str">
        <f t="shared" si="11363"/>
        <v>0</v>
      </c>
      <c r="N6043" s="1" t="str">
        <f t="shared" si="11363"/>
        <v>0</v>
      </c>
      <c r="O6043" s="1" t="str">
        <f t="shared" si="11363"/>
        <v>0</v>
      </c>
      <c r="P6043" s="1" t="str">
        <f t="shared" si="11363"/>
        <v>0</v>
      </c>
      <c r="Q6043" s="1" t="str">
        <f t="shared" si="11319"/>
        <v>0.0070</v>
      </c>
      <c r="R6043" s="1" t="s">
        <v>25</v>
      </c>
      <c r="T6043" s="1" t="str">
        <f t="shared" si="11320"/>
        <v>0</v>
      </c>
      <c r="U6043" s="1" t="str">
        <f t="shared" si="11322"/>
        <v>0.0070</v>
      </c>
    </row>
    <row r="6044" s="1" customFormat="1" spans="1:21">
      <c r="A6044" s="1" t="str">
        <f>"4601992242510"</f>
        <v>4601992242510</v>
      </c>
      <c r="B6044" s="1" t="s">
        <v>6067</v>
      </c>
      <c r="C6044" s="1" t="s">
        <v>24</v>
      </c>
      <c r="D6044" s="1" t="str">
        <f t="shared" si="11316"/>
        <v>2021</v>
      </c>
      <c r="E6044" s="1" t="str">
        <f t="shared" ref="E6044:I6044" si="11364">"0"</f>
        <v>0</v>
      </c>
      <c r="F6044" s="1" t="str">
        <f t="shared" si="11364"/>
        <v>0</v>
      </c>
      <c r="G6044" s="1" t="str">
        <f t="shared" si="11364"/>
        <v>0</v>
      </c>
      <c r="H6044" s="1" t="str">
        <f t="shared" si="11364"/>
        <v>0</v>
      </c>
      <c r="I6044" s="1" t="str">
        <f t="shared" si="11364"/>
        <v>0</v>
      </c>
      <c r="J6044" s="1" t="str">
        <f t="shared" ref="J6044:J6049" si="11365">"1"</f>
        <v>1</v>
      </c>
      <c r="K6044" s="1" t="str">
        <f t="shared" ref="K6044:P6044" si="11366">"0"</f>
        <v>0</v>
      </c>
      <c r="L6044" s="1" t="str">
        <f t="shared" si="11366"/>
        <v>0</v>
      </c>
      <c r="M6044" s="1" t="str">
        <f t="shared" si="11366"/>
        <v>0</v>
      </c>
      <c r="N6044" s="1" t="str">
        <f t="shared" si="11366"/>
        <v>0</v>
      </c>
      <c r="O6044" s="1" t="str">
        <f t="shared" si="11366"/>
        <v>0</v>
      </c>
      <c r="P6044" s="1" t="str">
        <f t="shared" si="11366"/>
        <v>0</v>
      </c>
      <c r="Q6044" s="1" t="str">
        <f t="shared" si="11319"/>
        <v>0.0070</v>
      </c>
      <c r="R6044" s="1" t="s">
        <v>25</v>
      </c>
      <c r="T6044" s="1" t="str">
        <f t="shared" si="11320"/>
        <v>0</v>
      </c>
      <c r="U6044" s="1" t="str">
        <f t="shared" si="11322"/>
        <v>0.0070</v>
      </c>
    </row>
    <row r="6045" s="1" customFormat="1" spans="1:21">
      <c r="A6045" s="1" t="str">
        <f>"4601992242511"</f>
        <v>4601992242511</v>
      </c>
      <c r="B6045" s="1" t="s">
        <v>6068</v>
      </c>
      <c r="C6045" s="1" t="s">
        <v>24</v>
      </c>
      <c r="D6045" s="1" t="str">
        <f t="shared" si="11316"/>
        <v>2021</v>
      </c>
      <c r="E6045" s="1" t="str">
        <f>"24.74"</f>
        <v>24.74</v>
      </c>
      <c r="F6045" s="1" t="str">
        <f t="shared" ref="F6045:I6045" si="11367">"0"</f>
        <v>0</v>
      </c>
      <c r="G6045" s="1" t="str">
        <f t="shared" si="11367"/>
        <v>0</v>
      </c>
      <c r="H6045" s="1" t="str">
        <f t="shared" si="11367"/>
        <v>0</v>
      </c>
      <c r="I6045" s="1" t="str">
        <f t="shared" si="11367"/>
        <v>0</v>
      </c>
      <c r="J6045" s="1" t="str">
        <f t="shared" si="11362"/>
        <v>2</v>
      </c>
      <c r="K6045" s="1" t="str">
        <f t="shared" ref="K6045:P6045" si="11368">"0"</f>
        <v>0</v>
      </c>
      <c r="L6045" s="1" t="str">
        <f t="shared" si="11368"/>
        <v>0</v>
      </c>
      <c r="M6045" s="1" t="str">
        <f t="shared" si="11368"/>
        <v>0</v>
      </c>
      <c r="N6045" s="1" t="str">
        <f t="shared" si="11368"/>
        <v>0</v>
      </c>
      <c r="O6045" s="1" t="str">
        <f t="shared" si="11368"/>
        <v>0</v>
      </c>
      <c r="P6045" s="1" t="str">
        <f t="shared" si="11368"/>
        <v>0</v>
      </c>
      <c r="Q6045" s="1" t="str">
        <f t="shared" si="11319"/>
        <v>0.0070</v>
      </c>
      <c r="R6045" s="1" t="s">
        <v>29</v>
      </c>
      <c r="S6045" s="1">
        <v>-0.0014</v>
      </c>
      <c r="T6045" s="1" t="str">
        <f t="shared" si="11320"/>
        <v>0</v>
      </c>
      <c r="U6045" s="1" t="str">
        <f>"0.0056"</f>
        <v>0.0056</v>
      </c>
    </row>
    <row r="6046" s="1" customFormat="1" spans="1:21">
      <c r="A6046" s="1" t="str">
        <f>"4601992242527"</f>
        <v>4601992242527</v>
      </c>
      <c r="B6046" s="1" t="s">
        <v>6069</v>
      </c>
      <c r="C6046" s="1" t="s">
        <v>24</v>
      </c>
      <c r="D6046" s="1" t="str">
        <f t="shared" si="11316"/>
        <v>2021</v>
      </c>
      <c r="E6046" s="1" t="str">
        <f t="shared" ref="E6046:I6046" si="11369">"0"</f>
        <v>0</v>
      </c>
      <c r="F6046" s="1" t="str">
        <f t="shared" si="11369"/>
        <v>0</v>
      </c>
      <c r="G6046" s="1" t="str">
        <f t="shared" si="11369"/>
        <v>0</v>
      </c>
      <c r="H6046" s="1" t="str">
        <f t="shared" si="11369"/>
        <v>0</v>
      </c>
      <c r="I6046" s="1" t="str">
        <f t="shared" si="11369"/>
        <v>0</v>
      </c>
      <c r="J6046" s="1" t="str">
        <f t="shared" si="11362"/>
        <v>2</v>
      </c>
      <c r="K6046" s="1" t="str">
        <f t="shared" ref="K6046:P6046" si="11370">"0"</f>
        <v>0</v>
      </c>
      <c r="L6046" s="1" t="str">
        <f t="shared" si="11370"/>
        <v>0</v>
      </c>
      <c r="M6046" s="1" t="str">
        <f t="shared" si="11370"/>
        <v>0</v>
      </c>
      <c r="N6046" s="1" t="str">
        <f t="shared" si="11370"/>
        <v>0</v>
      </c>
      <c r="O6046" s="1" t="str">
        <f t="shared" si="11370"/>
        <v>0</v>
      </c>
      <c r="P6046" s="1" t="str">
        <f t="shared" si="11370"/>
        <v>0</v>
      </c>
      <c r="Q6046" s="1" t="str">
        <f t="shared" si="11319"/>
        <v>0.0070</v>
      </c>
      <c r="R6046" s="1" t="s">
        <v>25</v>
      </c>
      <c r="T6046" s="1" t="str">
        <f t="shared" si="11320"/>
        <v>0</v>
      </c>
      <c r="U6046" s="1" t="str">
        <f t="shared" ref="U6046:U6106" si="11371">"0.0070"</f>
        <v>0.0070</v>
      </c>
    </row>
    <row r="6047" s="1" customFormat="1" spans="1:21">
      <c r="A6047" s="1" t="str">
        <f>"4601992242542"</f>
        <v>4601992242542</v>
      </c>
      <c r="B6047" s="1" t="s">
        <v>6070</v>
      </c>
      <c r="C6047" s="1" t="s">
        <v>24</v>
      </c>
      <c r="D6047" s="1" t="str">
        <f t="shared" si="11316"/>
        <v>2021</v>
      </c>
      <c r="E6047" s="1" t="str">
        <f t="shared" ref="E6047:I6047" si="11372">"0"</f>
        <v>0</v>
      </c>
      <c r="F6047" s="1" t="str">
        <f t="shared" si="11372"/>
        <v>0</v>
      </c>
      <c r="G6047" s="1" t="str">
        <f t="shared" si="11372"/>
        <v>0</v>
      </c>
      <c r="H6047" s="1" t="str">
        <f t="shared" si="11372"/>
        <v>0</v>
      </c>
      <c r="I6047" s="1" t="str">
        <f t="shared" si="11372"/>
        <v>0</v>
      </c>
      <c r="J6047" s="1" t="str">
        <f t="shared" si="11365"/>
        <v>1</v>
      </c>
      <c r="K6047" s="1" t="str">
        <f t="shared" ref="K6047:P6047" si="11373">"0"</f>
        <v>0</v>
      </c>
      <c r="L6047" s="1" t="str">
        <f t="shared" si="11373"/>
        <v>0</v>
      </c>
      <c r="M6047" s="1" t="str">
        <f t="shared" si="11373"/>
        <v>0</v>
      </c>
      <c r="N6047" s="1" t="str">
        <f t="shared" si="11373"/>
        <v>0</v>
      </c>
      <c r="O6047" s="1" t="str">
        <f t="shared" si="11373"/>
        <v>0</v>
      </c>
      <c r="P6047" s="1" t="str">
        <f t="shared" si="11373"/>
        <v>0</v>
      </c>
      <c r="Q6047" s="1" t="str">
        <f t="shared" si="11319"/>
        <v>0.0070</v>
      </c>
      <c r="R6047" s="1" t="s">
        <v>25</v>
      </c>
      <c r="T6047" s="1" t="str">
        <f t="shared" si="11320"/>
        <v>0</v>
      </c>
      <c r="U6047" s="1" t="str">
        <f t="shared" si="11371"/>
        <v>0.0070</v>
      </c>
    </row>
    <row r="6048" s="1" customFormat="1" spans="1:21">
      <c r="A6048" s="1" t="str">
        <f>"4601992242564"</f>
        <v>4601992242564</v>
      </c>
      <c r="B6048" s="1" t="s">
        <v>6071</v>
      </c>
      <c r="C6048" s="1" t="s">
        <v>24</v>
      </c>
      <c r="D6048" s="1" t="str">
        <f t="shared" si="11316"/>
        <v>2021</v>
      </c>
      <c r="E6048" s="1" t="str">
        <f t="shared" ref="E6048:I6048" si="11374">"0"</f>
        <v>0</v>
      </c>
      <c r="F6048" s="1" t="str">
        <f t="shared" si="11374"/>
        <v>0</v>
      </c>
      <c r="G6048" s="1" t="str">
        <f t="shared" si="11374"/>
        <v>0</v>
      </c>
      <c r="H6048" s="1" t="str">
        <f t="shared" si="11374"/>
        <v>0</v>
      </c>
      <c r="I6048" s="1" t="str">
        <f t="shared" si="11374"/>
        <v>0</v>
      </c>
      <c r="J6048" s="1" t="str">
        <f t="shared" si="11365"/>
        <v>1</v>
      </c>
      <c r="K6048" s="1" t="str">
        <f t="shared" ref="K6048:P6048" si="11375">"0"</f>
        <v>0</v>
      </c>
      <c r="L6048" s="1" t="str">
        <f t="shared" si="11375"/>
        <v>0</v>
      </c>
      <c r="M6048" s="1" t="str">
        <f t="shared" si="11375"/>
        <v>0</v>
      </c>
      <c r="N6048" s="1" t="str">
        <f t="shared" si="11375"/>
        <v>0</v>
      </c>
      <c r="O6048" s="1" t="str">
        <f t="shared" si="11375"/>
        <v>0</v>
      </c>
      <c r="P6048" s="1" t="str">
        <f t="shared" si="11375"/>
        <v>0</v>
      </c>
      <c r="Q6048" s="1" t="str">
        <f t="shared" si="11319"/>
        <v>0.0070</v>
      </c>
      <c r="R6048" s="1" t="s">
        <v>25</v>
      </c>
      <c r="T6048" s="1" t="str">
        <f t="shared" si="11320"/>
        <v>0</v>
      </c>
      <c r="U6048" s="1" t="str">
        <f t="shared" si="11371"/>
        <v>0.0070</v>
      </c>
    </row>
    <row r="6049" s="1" customFormat="1" spans="1:21">
      <c r="A6049" s="1" t="str">
        <f>"4601992242640"</f>
        <v>4601992242640</v>
      </c>
      <c r="B6049" s="1" t="s">
        <v>6072</v>
      </c>
      <c r="C6049" s="1" t="s">
        <v>24</v>
      </c>
      <c r="D6049" s="1" t="str">
        <f t="shared" si="11316"/>
        <v>2021</v>
      </c>
      <c r="E6049" s="1" t="str">
        <f t="shared" ref="E6049:I6049" si="11376">"0"</f>
        <v>0</v>
      </c>
      <c r="F6049" s="1" t="str">
        <f t="shared" si="11376"/>
        <v>0</v>
      </c>
      <c r="G6049" s="1" t="str">
        <f t="shared" si="11376"/>
        <v>0</v>
      </c>
      <c r="H6049" s="1" t="str">
        <f t="shared" si="11376"/>
        <v>0</v>
      </c>
      <c r="I6049" s="1" t="str">
        <f t="shared" si="11376"/>
        <v>0</v>
      </c>
      <c r="J6049" s="1" t="str">
        <f t="shared" si="11365"/>
        <v>1</v>
      </c>
      <c r="K6049" s="1" t="str">
        <f t="shared" ref="K6049:P6049" si="11377">"0"</f>
        <v>0</v>
      </c>
      <c r="L6049" s="1" t="str">
        <f t="shared" si="11377"/>
        <v>0</v>
      </c>
      <c r="M6049" s="1" t="str">
        <f t="shared" si="11377"/>
        <v>0</v>
      </c>
      <c r="N6049" s="1" t="str">
        <f t="shared" si="11377"/>
        <v>0</v>
      </c>
      <c r="O6049" s="1" t="str">
        <f t="shared" si="11377"/>
        <v>0</v>
      </c>
      <c r="P6049" s="1" t="str">
        <f t="shared" si="11377"/>
        <v>0</v>
      </c>
      <c r="Q6049" s="1" t="str">
        <f t="shared" si="11319"/>
        <v>0.0070</v>
      </c>
      <c r="R6049" s="1" t="s">
        <v>25</v>
      </c>
      <c r="T6049" s="1" t="str">
        <f t="shared" si="11320"/>
        <v>0</v>
      </c>
      <c r="U6049" s="1" t="str">
        <f t="shared" si="11371"/>
        <v>0.0070</v>
      </c>
    </row>
    <row r="6050" s="1" customFormat="1" spans="1:21">
      <c r="A6050" s="1" t="str">
        <f>"4601992242893"</f>
        <v>4601992242893</v>
      </c>
      <c r="B6050" s="1" t="s">
        <v>6073</v>
      </c>
      <c r="C6050" s="1" t="s">
        <v>24</v>
      </c>
      <c r="D6050" s="1" t="str">
        <f t="shared" si="11316"/>
        <v>2021</v>
      </c>
      <c r="E6050" s="1" t="str">
        <f t="shared" ref="E6050:P6050" si="11378">"0"</f>
        <v>0</v>
      </c>
      <c r="F6050" s="1" t="str">
        <f t="shared" si="11378"/>
        <v>0</v>
      </c>
      <c r="G6050" s="1" t="str">
        <f t="shared" si="11378"/>
        <v>0</v>
      </c>
      <c r="H6050" s="1" t="str">
        <f t="shared" si="11378"/>
        <v>0</v>
      </c>
      <c r="I6050" s="1" t="str">
        <f t="shared" si="11378"/>
        <v>0</v>
      </c>
      <c r="J6050" s="1" t="str">
        <f t="shared" si="11378"/>
        <v>0</v>
      </c>
      <c r="K6050" s="1" t="str">
        <f t="shared" si="11378"/>
        <v>0</v>
      </c>
      <c r="L6050" s="1" t="str">
        <f t="shared" si="11378"/>
        <v>0</v>
      </c>
      <c r="M6050" s="1" t="str">
        <f t="shared" si="11378"/>
        <v>0</v>
      </c>
      <c r="N6050" s="1" t="str">
        <f t="shared" si="11378"/>
        <v>0</v>
      </c>
      <c r="O6050" s="1" t="str">
        <f t="shared" si="11378"/>
        <v>0</v>
      </c>
      <c r="P6050" s="1" t="str">
        <f t="shared" si="11378"/>
        <v>0</v>
      </c>
      <c r="Q6050" s="1" t="str">
        <f t="shared" si="11319"/>
        <v>0.0070</v>
      </c>
      <c r="R6050" s="1" t="s">
        <v>25</v>
      </c>
      <c r="T6050" s="1" t="str">
        <f t="shared" si="11320"/>
        <v>0</v>
      </c>
      <c r="U6050" s="1" t="str">
        <f t="shared" si="11371"/>
        <v>0.0070</v>
      </c>
    </row>
    <row r="6051" s="1" customFormat="1" spans="1:21">
      <c r="A6051" s="1" t="str">
        <f>"4601992242957"</f>
        <v>4601992242957</v>
      </c>
      <c r="B6051" s="1" t="s">
        <v>6074</v>
      </c>
      <c r="C6051" s="1" t="s">
        <v>24</v>
      </c>
      <c r="D6051" s="1" t="str">
        <f t="shared" si="11316"/>
        <v>2021</v>
      </c>
      <c r="E6051" s="1" t="str">
        <f t="shared" ref="E6051:P6051" si="11379">"0"</f>
        <v>0</v>
      </c>
      <c r="F6051" s="1" t="str">
        <f t="shared" si="11379"/>
        <v>0</v>
      </c>
      <c r="G6051" s="1" t="str">
        <f t="shared" si="11379"/>
        <v>0</v>
      </c>
      <c r="H6051" s="1" t="str">
        <f t="shared" si="11379"/>
        <v>0</v>
      </c>
      <c r="I6051" s="1" t="str">
        <f t="shared" si="11379"/>
        <v>0</v>
      </c>
      <c r="J6051" s="1" t="str">
        <f t="shared" si="11379"/>
        <v>0</v>
      </c>
      <c r="K6051" s="1" t="str">
        <f t="shared" si="11379"/>
        <v>0</v>
      </c>
      <c r="L6051" s="1" t="str">
        <f t="shared" si="11379"/>
        <v>0</v>
      </c>
      <c r="M6051" s="1" t="str">
        <f t="shared" si="11379"/>
        <v>0</v>
      </c>
      <c r="N6051" s="1" t="str">
        <f t="shared" si="11379"/>
        <v>0</v>
      </c>
      <c r="O6051" s="1" t="str">
        <f t="shared" si="11379"/>
        <v>0</v>
      </c>
      <c r="P6051" s="1" t="str">
        <f t="shared" si="11379"/>
        <v>0</v>
      </c>
      <c r="Q6051" s="1" t="str">
        <f t="shared" si="11319"/>
        <v>0.0070</v>
      </c>
      <c r="R6051" s="1" t="s">
        <v>25</v>
      </c>
      <c r="T6051" s="1" t="str">
        <f t="shared" si="11320"/>
        <v>0</v>
      </c>
      <c r="U6051" s="1" t="str">
        <f t="shared" si="11371"/>
        <v>0.0070</v>
      </c>
    </row>
    <row r="6052" s="1" customFormat="1" spans="1:21">
      <c r="A6052" s="1" t="str">
        <f>"4601992242825"</f>
        <v>4601992242825</v>
      </c>
      <c r="B6052" s="1" t="s">
        <v>6075</v>
      </c>
      <c r="C6052" s="1" t="s">
        <v>24</v>
      </c>
      <c r="D6052" s="1" t="str">
        <f t="shared" si="11316"/>
        <v>2021</v>
      </c>
      <c r="E6052" s="1" t="str">
        <f t="shared" ref="E6052:I6052" si="11380">"0"</f>
        <v>0</v>
      </c>
      <c r="F6052" s="1" t="str">
        <f t="shared" si="11380"/>
        <v>0</v>
      </c>
      <c r="G6052" s="1" t="str">
        <f t="shared" si="11380"/>
        <v>0</v>
      </c>
      <c r="H6052" s="1" t="str">
        <f t="shared" si="11380"/>
        <v>0</v>
      </c>
      <c r="I6052" s="1" t="str">
        <f t="shared" si="11380"/>
        <v>0</v>
      </c>
      <c r="J6052" s="1" t="str">
        <f t="shared" ref="J6052:J6056" si="11381">"1"</f>
        <v>1</v>
      </c>
      <c r="K6052" s="1" t="str">
        <f t="shared" ref="K6052:P6052" si="11382">"0"</f>
        <v>0</v>
      </c>
      <c r="L6052" s="1" t="str">
        <f t="shared" si="11382"/>
        <v>0</v>
      </c>
      <c r="M6052" s="1" t="str">
        <f t="shared" si="11382"/>
        <v>0</v>
      </c>
      <c r="N6052" s="1" t="str">
        <f t="shared" si="11382"/>
        <v>0</v>
      </c>
      <c r="O6052" s="1" t="str">
        <f t="shared" si="11382"/>
        <v>0</v>
      </c>
      <c r="P6052" s="1" t="str">
        <f t="shared" si="11382"/>
        <v>0</v>
      </c>
      <c r="Q6052" s="1" t="str">
        <f t="shared" si="11319"/>
        <v>0.0070</v>
      </c>
      <c r="R6052" s="1" t="s">
        <v>25</v>
      </c>
      <c r="T6052" s="1" t="str">
        <f t="shared" si="11320"/>
        <v>0</v>
      </c>
      <c r="U6052" s="1" t="str">
        <f t="shared" si="11371"/>
        <v>0.0070</v>
      </c>
    </row>
    <row r="6053" s="1" customFormat="1" spans="1:21">
      <c r="A6053" s="1" t="str">
        <f>"4601992243006"</f>
        <v>4601992243006</v>
      </c>
      <c r="B6053" s="1" t="s">
        <v>6076</v>
      </c>
      <c r="C6053" s="1" t="s">
        <v>24</v>
      </c>
      <c r="D6053" s="1" t="str">
        <f t="shared" si="11316"/>
        <v>2021</v>
      </c>
      <c r="E6053" s="1" t="str">
        <f t="shared" ref="E6053:I6053" si="11383">"0"</f>
        <v>0</v>
      </c>
      <c r="F6053" s="1" t="str">
        <f t="shared" si="11383"/>
        <v>0</v>
      </c>
      <c r="G6053" s="1" t="str">
        <f t="shared" si="11383"/>
        <v>0</v>
      </c>
      <c r="H6053" s="1" t="str">
        <f t="shared" si="11383"/>
        <v>0</v>
      </c>
      <c r="I6053" s="1" t="str">
        <f t="shared" si="11383"/>
        <v>0</v>
      </c>
      <c r="J6053" s="1" t="str">
        <f t="shared" si="11381"/>
        <v>1</v>
      </c>
      <c r="K6053" s="1" t="str">
        <f t="shared" ref="K6053:P6053" si="11384">"0"</f>
        <v>0</v>
      </c>
      <c r="L6053" s="1" t="str">
        <f t="shared" si="11384"/>
        <v>0</v>
      </c>
      <c r="M6053" s="1" t="str">
        <f t="shared" si="11384"/>
        <v>0</v>
      </c>
      <c r="N6053" s="1" t="str">
        <f t="shared" si="11384"/>
        <v>0</v>
      </c>
      <c r="O6053" s="1" t="str">
        <f t="shared" si="11384"/>
        <v>0</v>
      </c>
      <c r="P6053" s="1" t="str">
        <f t="shared" si="11384"/>
        <v>0</v>
      </c>
      <c r="Q6053" s="1" t="str">
        <f t="shared" si="11319"/>
        <v>0.0070</v>
      </c>
      <c r="R6053" s="1" t="s">
        <v>25</v>
      </c>
      <c r="T6053" s="1" t="str">
        <f t="shared" si="11320"/>
        <v>0</v>
      </c>
      <c r="U6053" s="1" t="str">
        <f t="shared" si="11371"/>
        <v>0.0070</v>
      </c>
    </row>
    <row r="6054" s="1" customFormat="1" spans="1:21">
      <c r="A6054" s="1" t="str">
        <f>"4601992243072"</f>
        <v>4601992243072</v>
      </c>
      <c r="B6054" s="1" t="s">
        <v>6077</v>
      </c>
      <c r="C6054" s="1" t="s">
        <v>24</v>
      </c>
      <c r="D6054" s="1" t="str">
        <f t="shared" si="11316"/>
        <v>2021</v>
      </c>
      <c r="E6054" s="1" t="str">
        <f t="shared" ref="E6054:P6054" si="11385">"0"</f>
        <v>0</v>
      </c>
      <c r="F6054" s="1" t="str">
        <f t="shared" si="11385"/>
        <v>0</v>
      </c>
      <c r="G6054" s="1" t="str">
        <f t="shared" si="11385"/>
        <v>0</v>
      </c>
      <c r="H6054" s="1" t="str">
        <f t="shared" si="11385"/>
        <v>0</v>
      </c>
      <c r="I6054" s="1" t="str">
        <f t="shared" si="11385"/>
        <v>0</v>
      </c>
      <c r="J6054" s="1" t="str">
        <f t="shared" si="11385"/>
        <v>0</v>
      </c>
      <c r="K6054" s="1" t="str">
        <f t="shared" si="11385"/>
        <v>0</v>
      </c>
      <c r="L6054" s="1" t="str">
        <f t="shared" si="11385"/>
        <v>0</v>
      </c>
      <c r="M6054" s="1" t="str">
        <f t="shared" si="11385"/>
        <v>0</v>
      </c>
      <c r="N6054" s="1" t="str">
        <f t="shared" si="11385"/>
        <v>0</v>
      </c>
      <c r="O6054" s="1" t="str">
        <f t="shared" si="11385"/>
        <v>0</v>
      </c>
      <c r="P6054" s="1" t="str">
        <f t="shared" si="11385"/>
        <v>0</v>
      </c>
      <c r="Q6054" s="1" t="str">
        <f t="shared" si="11319"/>
        <v>0.0070</v>
      </c>
      <c r="R6054" s="1" t="s">
        <v>25</v>
      </c>
      <c r="T6054" s="1" t="str">
        <f t="shared" si="11320"/>
        <v>0</v>
      </c>
      <c r="U6054" s="1" t="str">
        <f t="shared" si="11371"/>
        <v>0.0070</v>
      </c>
    </row>
    <row r="6055" s="1" customFormat="1" spans="1:21">
      <c r="A6055" s="1" t="str">
        <f>"4601992070977"</f>
        <v>4601992070977</v>
      </c>
      <c r="B6055" s="1" t="s">
        <v>6078</v>
      </c>
      <c r="C6055" s="1" t="s">
        <v>24</v>
      </c>
      <c r="D6055" s="1" t="str">
        <f t="shared" si="11316"/>
        <v>2021</v>
      </c>
      <c r="E6055" s="1" t="str">
        <f t="shared" ref="E6055:I6055" si="11386">"0"</f>
        <v>0</v>
      </c>
      <c r="F6055" s="1" t="str">
        <f t="shared" si="11386"/>
        <v>0</v>
      </c>
      <c r="G6055" s="1" t="str">
        <f t="shared" si="11386"/>
        <v>0</v>
      </c>
      <c r="H6055" s="1" t="str">
        <f t="shared" si="11386"/>
        <v>0</v>
      </c>
      <c r="I6055" s="1" t="str">
        <f t="shared" si="11386"/>
        <v>0</v>
      </c>
      <c r="J6055" s="1" t="str">
        <f t="shared" si="11381"/>
        <v>1</v>
      </c>
      <c r="K6055" s="1" t="str">
        <f t="shared" ref="K6055:P6055" si="11387">"0"</f>
        <v>0</v>
      </c>
      <c r="L6055" s="1" t="str">
        <f t="shared" si="11387"/>
        <v>0</v>
      </c>
      <c r="M6055" s="1" t="str">
        <f t="shared" si="11387"/>
        <v>0</v>
      </c>
      <c r="N6055" s="1" t="str">
        <f t="shared" si="11387"/>
        <v>0</v>
      </c>
      <c r="O6055" s="1" t="str">
        <f t="shared" si="11387"/>
        <v>0</v>
      </c>
      <c r="P6055" s="1" t="str">
        <f t="shared" si="11387"/>
        <v>0</v>
      </c>
      <c r="Q6055" s="1" t="str">
        <f t="shared" si="11319"/>
        <v>0.0070</v>
      </c>
      <c r="R6055" s="1" t="s">
        <v>25</v>
      </c>
      <c r="T6055" s="1" t="str">
        <f t="shared" si="11320"/>
        <v>0</v>
      </c>
      <c r="U6055" s="1" t="str">
        <f t="shared" si="11371"/>
        <v>0.0070</v>
      </c>
    </row>
    <row r="6056" s="1" customFormat="1" spans="1:21">
      <c r="A6056" s="1" t="str">
        <f>"4601992186858"</f>
        <v>4601992186858</v>
      </c>
      <c r="B6056" s="1" t="s">
        <v>6079</v>
      </c>
      <c r="C6056" s="1" t="s">
        <v>24</v>
      </c>
      <c r="D6056" s="1" t="str">
        <f t="shared" si="11316"/>
        <v>2021</v>
      </c>
      <c r="E6056" s="1" t="str">
        <f t="shared" ref="E6056:I6056" si="11388">"0"</f>
        <v>0</v>
      </c>
      <c r="F6056" s="1" t="str">
        <f t="shared" si="11388"/>
        <v>0</v>
      </c>
      <c r="G6056" s="1" t="str">
        <f t="shared" si="11388"/>
        <v>0</v>
      </c>
      <c r="H6056" s="1" t="str">
        <f t="shared" si="11388"/>
        <v>0</v>
      </c>
      <c r="I6056" s="1" t="str">
        <f t="shared" si="11388"/>
        <v>0</v>
      </c>
      <c r="J6056" s="1" t="str">
        <f t="shared" si="11381"/>
        <v>1</v>
      </c>
      <c r="K6056" s="1" t="str">
        <f t="shared" ref="K6056:P6056" si="11389">"0"</f>
        <v>0</v>
      </c>
      <c r="L6056" s="1" t="str">
        <f t="shared" si="11389"/>
        <v>0</v>
      </c>
      <c r="M6056" s="1" t="str">
        <f t="shared" si="11389"/>
        <v>0</v>
      </c>
      <c r="N6056" s="1" t="str">
        <f t="shared" si="11389"/>
        <v>0</v>
      </c>
      <c r="O6056" s="1" t="str">
        <f t="shared" si="11389"/>
        <v>0</v>
      </c>
      <c r="P6056" s="1" t="str">
        <f t="shared" si="11389"/>
        <v>0</v>
      </c>
      <c r="Q6056" s="1" t="str">
        <f t="shared" si="11319"/>
        <v>0.0070</v>
      </c>
      <c r="R6056" s="1" t="s">
        <v>25</v>
      </c>
      <c r="T6056" s="1" t="str">
        <f t="shared" si="11320"/>
        <v>0</v>
      </c>
      <c r="U6056" s="1" t="str">
        <f t="shared" si="11371"/>
        <v>0.0070</v>
      </c>
    </row>
    <row r="6057" s="1" customFormat="1" spans="1:21">
      <c r="A6057" s="1" t="str">
        <f>"4601992243106"</f>
        <v>4601992243106</v>
      </c>
      <c r="B6057" s="1" t="s">
        <v>6080</v>
      </c>
      <c r="C6057" s="1" t="s">
        <v>24</v>
      </c>
      <c r="D6057" s="1" t="str">
        <f t="shared" si="11316"/>
        <v>2021</v>
      </c>
      <c r="E6057" s="1" t="str">
        <f t="shared" ref="E6057:P6057" si="11390">"0"</f>
        <v>0</v>
      </c>
      <c r="F6057" s="1" t="str">
        <f t="shared" si="11390"/>
        <v>0</v>
      </c>
      <c r="G6057" s="1" t="str">
        <f t="shared" si="11390"/>
        <v>0</v>
      </c>
      <c r="H6057" s="1" t="str">
        <f t="shared" si="11390"/>
        <v>0</v>
      </c>
      <c r="I6057" s="1" t="str">
        <f t="shared" si="11390"/>
        <v>0</v>
      </c>
      <c r="J6057" s="1" t="str">
        <f t="shared" si="11390"/>
        <v>0</v>
      </c>
      <c r="K6057" s="1" t="str">
        <f t="shared" si="11390"/>
        <v>0</v>
      </c>
      <c r="L6057" s="1" t="str">
        <f t="shared" si="11390"/>
        <v>0</v>
      </c>
      <c r="M6057" s="1" t="str">
        <f t="shared" si="11390"/>
        <v>0</v>
      </c>
      <c r="N6057" s="1" t="str">
        <f t="shared" si="11390"/>
        <v>0</v>
      </c>
      <c r="O6057" s="1" t="str">
        <f t="shared" si="11390"/>
        <v>0</v>
      </c>
      <c r="P6057" s="1" t="str">
        <f t="shared" si="11390"/>
        <v>0</v>
      </c>
      <c r="Q6057" s="1" t="str">
        <f t="shared" si="11319"/>
        <v>0.0070</v>
      </c>
      <c r="R6057" s="1" t="s">
        <v>25</v>
      </c>
      <c r="T6057" s="1" t="str">
        <f t="shared" si="11320"/>
        <v>0</v>
      </c>
      <c r="U6057" s="1" t="str">
        <f t="shared" si="11371"/>
        <v>0.0070</v>
      </c>
    </row>
    <row r="6058" s="1" customFormat="1" spans="1:21">
      <c r="A6058" s="1" t="str">
        <f>"4601992243116"</f>
        <v>4601992243116</v>
      </c>
      <c r="B6058" s="1" t="s">
        <v>6081</v>
      </c>
      <c r="C6058" s="1" t="s">
        <v>24</v>
      </c>
      <c r="D6058" s="1" t="str">
        <f t="shared" si="11316"/>
        <v>2021</v>
      </c>
      <c r="E6058" s="1" t="str">
        <f t="shared" ref="E6058:P6058" si="11391">"0"</f>
        <v>0</v>
      </c>
      <c r="F6058" s="1" t="str">
        <f t="shared" si="11391"/>
        <v>0</v>
      </c>
      <c r="G6058" s="1" t="str">
        <f t="shared" si="11391"/>
        <v>0</v>
      </c>
      <c r="H6058" s="1" t="str">
        <f t="shared" si="11391"/>
        <v>0</v>
      </c>
      <c r="I6058" s="1" t="str">
        <f t="shared" si="11391"/>
        <v>0</v>
      </c>
      <c r="J6058" s="1" t="str">
        <f t="shared" si="11391"/>
        <v>0</v>
      </c>
      <c r="K6058" s="1" t="str">
        <f t="shared" si="11391"/>
        <v>0</v>
      </c>
      <c r="L6058" s="1" t="str">
        <f t="shared" si="11391"/>
        <v>0</v>
      </c>
      <c r="M6058" s="1" t="str">
        <f t="shared" si="11391"/>
        <v>0</v>
      </c>
      <c r="N6058" s="1" t="str">
        <f t="shared" si="11391"/>
        <v>0</v>
      </c>
      <c r="O6058" s="1" t="str">
        <f t="shared" si="11391"/>
        <v>0</v>
      </c>
      <c r="P6058" s="1" t="str">
        <f t="shared" si="11391"/>
        <v>0</v>
      </c>
      <c r="Q6058" s="1" t="str">
        <f t="shared" si="11319"/>
        <v>0.0070</v>
      </c>
      <c r="R6058" s="1" t="s">
        <v>25</v>
      </c>
      <c r="T6058" s="1" t="str">
        <f t="shared" si="11320"/>
        <v>0</v>
      </c>
      <c r="U6058" s="1" t="str">
        <f t="shared" si="11371"/>
        <v>0.0070</v>
      </c>
    </row>
    <row r="6059" s="1" customFormat="1" spans="1:21">
      <c r="A6059" s="1" t="str">
        <f>"4601992243082"</f>
        <v>4601992243082</v>
      </c>
      <c r="B6059" s="1" t="s">
        <v>6082</v>
      </c>
      <c r="C6059" s="1" t="s">
        <v>24</v>
      </c>
      <c r="D6059" s="1" t="str">
        <f t="shared" si="11316"/>
        <v>2021</v>
      </c>
      <c r="E6059" s="1" t="str">
        <f t="shared" ref="E6059:I6059" si="11392">"0"</f>
        <v>0</v>
      </c>
      <c r="F6059" s="1" t="str">
        <f t="shared" si="11392"/>
        <v>0</v>
      </c>
      <c r="G6059" s="1" t="str">
        <f t="shared" si="11392"/>
        <v>0</v>
      </c>
      <c r="H6059" s="1" t="str">
        <f t="shared" si="11392"/>
        <v>0</v>
      </c>
      <c r="I6059" s="1" t="str">
        <f t="shared" si="11392"/>
        <v>0</v>
      </c>
      <c r="J6059" s="1" t="str">
        <f>"1"</f>
        <v>1</v>
      </c>
      <c r="K6059" s="1" t="str">
        <f t="shared" ref="K6059:P6059" si="11393">"0"</f>
        <v>0</v>
      </c>
      <c r="L6059" s="1" t="str">
        <f t="shared" si="11393"/>
        <v>0</v>
      </c>
      <c r="M6059" s="1" t="str">
        <f t="shared" si="11393"/>
        <v>0</v>
      </c>
      <c r="N6059" s="1" t="str">
        <f t="shared" si="11393"/>
        <v>0</v>
      </c>
      <c r="O6059" s="1" t="str">
        <f t="shared" si="11393"/>
        <v>0</v>
      </c>
      <c r="P6059" s="1" t="str">
        <f t="shared" si="11393"/>
        <v>0</v>
      </c>
      <c r="Q6059" s="1" t="str">
        <f t="shared" si="11319"/>
        <v>0.0070</v>
      </c>
      <c r="R6059" s="1" t="s">
        <v>25</v>
      </c>
      <c r="T6059" s="1" t="str">
        <f t="shared" si="11320"/>
        <v>0</v>
      </c>
      <c r="U6059" s="1" t="str">
        <f t="shared" si="11371"/>
        <v>0.0070</v>
      </c>
    </row>
    <row r="6060" s="1" customFormat="1" spans="1:21">
      <c r="A6060" s="1" t="str">
        <f>"4601992243099"</f>
        <v>4601992243099</v>
      </c>
      <c r="B6060" s="1" t="s">
        <v>6083</v>
      </c>
      <c r="C6060" s="1" t="s">
        <v>24</v>
      </c>
      <c r="D6060" s="1" t="str">
        <f t="shared" si="11316"/>
        <v>2021</v>
      </c>
      <c r="E6060" s="1" t="str">
        <f t="shared" ref="E6060:I6060" si="11394">"0"</f>
        <v>0</v>
      </c>
      <c r="F6060" s="1" t="str">
        <f t="shared" si="11394"/>
        <v>0</v>
      </c>
      <c r="G6060" s="1" t="str">
        <f t="shared" si="11394"/>
        <v>0</v>
      </c>
      <c r="H6060" s="1" t="str">
        <f t="shared" si="11394"/>
        <v>0</v>
      </c>
      <c r="I6060" s="1" t="str">
        <f t="shared" si="11394"/>
        <v>0</v>
      </c>
      <c r="J6060" s="1" t="str">
        <f>"3"</f>
        <v>3</v>
      </c>
      <c r="K6060" s="1" t="str">
        <f t="shared" ref="K6060:P6060" si="11395">"0"</f>
        <v>0</v>
      </c>
      <c r="L6060" s="1" t="str">
        <f t="shared" si="11395"/>
        <v>0</v>
      </c>
      <c r="M6060" s="1" t="str">
        <f t="shared" si="11395"/>
        <v>0</v>
      </c>
      <c r="N6060" s="1" t="str">
        <f t="shared" si="11395"/>
        <v>0</v>
      </c>
      <c r="O6060" s="1" t="str">
        <f t="shared" si="11395"/>
        <v>0</v>
      </c>
      <c r="P6060" s="1" t="str">
        <f t="shared" si="11395"/>
        <v>0</v>
      </c>
      <c r="Q6060" s="1" t="str">
        <f t="shared" si="11319"/>
        <v>0.0070</v>
      </c>
      <c r="R6060" s="1" t="s">
        <v>25</v>
      </c>
      <c r="T6060" s="1" t="str">
        <f t="shared" si="11320"/>
        <v>0</v>
      </c>
      <c r="U6060" s="1" t="str">
        <f t="shared" si="11371"/>
        <v>0.0070</v>
      </c>
    </row>
    <row r="6061" s="1" customFormat="1" spans="1:21">
      <c r="A6061" s="1" t="str">
        <f>"4601992243219"</f>
        <v>4601992243219</v>
      </c>
      <c r="B6061" s="1" t="s">
        <v>6084</v>
      </c>
      <c r="C6061" s="1" t="s">
        <v>24</v>
      </c>
      <c r="D6061" s="1" t="str">
        <f t="shared" si="11316"/>
        <v>2021</v>
      </c>
      <c r="E6061" s="1" t="str">
        <f t="shared" ref="E6061:P6061" si="11396">"0"</f>
        <v>0</v>
      </c>
      <c r="F6061" s="1" t="str">
        <f t="shared" si="11396"/>
        <v>0</v>
      </c>
      <c r="G6061" s="1" t="str">
        <f t="shared" si="11396"/>
        <v>0</v>
      </c>
      <c r="H6061" s="1" t="str">
        <f t="shared" si="11396"/>
        <v>0</v>
      </c>
      <c r="I6061" s="1" t="str">
        <f t="shared" si="11396"/>
        <v>0</v>
      </c>
      <c r="J6061" s="1" t="str">
        <f t="shared" si="11396"/>
        <v>0</v>
      </c>
      <c r="K6061" s="1" t="str">
        <f t="shared" si="11396"/>
        <v>0</v>
      </c>
      <c r="L6061" s="1" t="str">
        <f t="shared" si="11396"/>
        <v>0</v>
      </c>
      <c r="M6061" s="1" t="str">
        <f t="shared" si="11396"/>
        <v>0</v>
      </c>
      <c r="N6061" s="1" t="str">
        <f t="shared" si="11396"/>
        <v>0</v>
      </c>
      <c r="O6061" s="1" t="str">
        <f t="shared" si="11396"/>
        <v>0</v>
      </c>
      <c r="P6061" s="1" t="str">
        <f t="shared" si="11396"/>
        <v>0</v>
      </c>
      <c r="Q6061" s="1" t="str">
        <f t="shared" si="11319"/>
        <v>0.0070</v>
      </c>
      <c r="R6061" s="1" t="s">
        <v>25</v>
      </c>
      <c r="T6061" s="1" t="str">
        <f t="shared" si="11320"/>
        <v>0</v>
      </c>
      <c r="U6061" s="1" t="str">
        <f t="shared" si="11371"/>
        <v>0.0070</v>
      </c>
    </row>
    <row r="6062" s="1" customFormat="1" spans="1:21">
      <c r="A6062" s="1" t="str">
        <f>"4601992243236"</f>
        <v>4601992243236</v>
      </c>
      <c r="B6062" s="1" t="s">
        <v>6085</v>
      </c>
      <c r="C6062" s="1" t="s">
        <v>24</v>
      </c>
      <c r="D6062" s="1" t="str">
        <f t="shared" si="11316"/>
        <v>2021</v>
      </c>
      <c r="E6062" s="1" t="str">
        <f t="shared" ref="E6062:P6062" si="11397">"0"</f>
        <v>0</v>
      </c>
      <c r="F6062" s="1" t="str">
        <f t="shared" si="11397"/>
        <v>0</v>
      </c>
      <c r="G6062" s="1" t="str">
        <f t="shared" si="11397"/>
        <v>0</v>
      </c>
      <c r="H6062" s="1" t="str">
        <f t="shared" si="11397"/>
        <v>0</v>
      </c>
      <c r="I6062" s="1" t="str">
        <f t="shared" si="11397"/>
        <v>0</v>
      </c>
      <c r="J6062" s="1" t="str">
        <f t="shared" si="11397"/>
        <v>0</v>
      </c>
      <c r="K6062" s="1" t="str">
        <f t="shared" si="11397"/>
        <v>0</v>
      </c>
      <c r="L6062" s="1" t="str">
        <f t="shared" si="11397"/>
        <v>0</v>
      </c>
      <c r="M6062" s="1" t="str">
        <f t="shared" si="11397"/>
        <v>0</v>
      </c>
      <c r="N6062" s="1" t="str">
        <f t="shared" si="11397"/>
        <v>0</v>
      </c>
      <c r="O6062" s="1" t="str">
        <f t="shared" si="11397"/>
        <v>0</v>
      </c>
      <c r="P6062" s="1" t="str">
        <f t="shared" si="11397"/>
        <v>0</v>
      </c>
      <c r="Q6062" s="1" t="str">
        <f t="shared" si="11319"/>
        <v>0.0070</v>
      </c>
      <c r="R6062" s="1" t="s">
        <v>25</v>
      </c>
      <c r="T6062" s="1" t="str">
        <f t="shared" si="11320"/>
        <v>0</v>
      </c>
      <c r="U6062" s="1" t="str">
        <f t="shared" si="11371"/>
        <v>0.0070</v>
      </c>
    </row>
    <row r="6063" s="1" customFormat="1" spans="1:21">
      <c r="A6063" s="1" t="str">
        <f>"4601992243102"</f>
        <v>4601992243102</v>
      </c>
      <c r="B6063" s="1" t="s">
        <v>6086</v>
      </c>
      <c r="C6063" s="1" t="s">
        <v>24</v>
      </c>
      <c r="D6063" s="1" t="str">
        <f t="shared" si="11316"/>
        <v>2021</v>
      </c>
      <c r="E6063" s="1" t="str">
        <f t="shared" ref="E6063:I6063" si="11398">"0"</f>
        <v>0</v>
      </c>
      <c r="F6063" s="1" t="str">
        <f t="shared" si="11398"/>
        <v>0</v>
      </c>
      <c r="G6063" s="1" t="str">
        <f t="shared" si="11398"/>
        <v>0</v>
      </c>
      <c r="H6063" s="1" t="str">
        <f t="shared" si="11398"/>
        <v>0</v>
      </c>
      <c r="I6063" s="1" t="str">
        <f t="shared" si="11398"/>
        <v>0</v>
      </c>
      <c r="J6063" s="1" t="str">
        <f>"3"</f>
        <v>3</v>
      </c>
      <c r="K6063" s="1" t="str">
        <f t="shared" ref="K6063:P6063" si="11399">"0"</f>
        <v>0</v>
      </c>
      <c r="L6063" s="1" t="str">
        <f t="shared" si="11399"/>
        <v>0</v>
      </c>
      <c r="M6063" s="1" t="str">
        <f t="shared" si="11399"/>
        <v>0</v>
      </c>
      <c r="N6063" s="1" t="str">
        <f t="shared" si="11399"/>
        <v>0</v>
      </c>
      <c r="O6063" s="1" t="str">
        <f t="shared" si="11399"/>
        <v>0</v>
      </c>
      <c r="P6063" s="1" t="str">
        <f t="shared" si="11399"/>
        <v>0</v>
      </c>
      <c r="Q6063" s="1" t="str">
        <f t="shared" si="11319"/>
        <v>0.0070</v>
      </c>
      <c r="R6063" s="1" t="s">
        <v>25</v>
      </c>
      <c r="T6063" s="1" t="str">
        <f t="shared" si="11320"/>
        <v>0</v>
      </c>
      <c r="U6063" s="1" t="str">
        <f t="shared" si="11371"/>
        <v>0.0070</v>
      </c>
    </row>
    <row r="6064" s="1" customFormat="1" spans="1:21">
      <c r="A6064" s="1" t="str">
        <f>"4601992243427"</f>
        <v>4601992243427</v>
      </c>
      <c r="B6064" s="1" t="s">
        <v>6087</v>
      </c>
      <c r="C6064" s="1" t="s">
        <v>24</v>
      </c>
      <c r="D6064" s="1" t="str">
        <f t="shared" si="11316"/>
        <v>2021</v>
      </c>
      <c r="E6064" s="1" t="str">
        <f t="shared" ref="E6064:I6064" si="11400">"0"</f>
        <v>0</v>
      </c>
      <c r="F6064" s="1" t="str">
        <f t="shared" si="11400"/>
        <v>0</v>
      </c>
      <c r="G6064" s="1" t="str">
        <f t="shared" si="11400"/>
        <v>0</v>
      </c>
      <c r="H6064" s="1" t="str">
        <f t="shared" si="11400"/>
        <v>0</v>
      </c>
      <c r="I6064" s="1" t="str">
        <f t="shared" si="11400"/>
        <v>0</v>
      </c>
      <c r="J6064" s="1" t="str">
        <f>"2"</f>
        <v>2</v>
      </c>
      <c r="K6064" s="1" t="str">
        <f t="shared" ref="K6064:P6064" si="11401">"0"</f>
        <v>0</v>
      </c>
      <c r="L6064" s="1" t="str">
        <f t="shared" si="11401"/>
        <v>0</v>
      </c>
      <c r="M6064" s="1" t="str">
        <f t="shared" si="11401"/>
        <v>0</v>
      </c>
      <c r="N6064" s="1" t="str">
        <f t="shared" si="11401"/>
        <v>0</v>
      </c>
      <c r="O6064" s="1" t="str">
        <f t="shared" si="11401"/>
        <v>0</v>
      </c>
      <c r="P6064" s="1" t="str">
        <f t="shared" si="11401"/>
        <v>0</v>
      </c>
      <c r="Q6064" s="1" t="str">
        <f t="shared" si="11319"/>
        <v>0.0070</v>
      </c>
      <c r="R6064" s="1" t="s">
        <v>25</v>
      </c>
      <c r="T6064" s="1" t="str">
        <f t="shared" si="11320"/>
        <v>0</v>
      </c>
      <c r="U6064" s="1" t="str">
        <f t="shared" si="11371"/>
        <v>0.0070</v>
      </c>
    </row>
    <row r="6065" s="1" customFormat="1" spans="1:21">
      <c r="A6065" s="1" t="str">
        <f>"4601992243485"</f>
        <v>4601992243485</v>
      </c>
      <c r="B6065" s="1" t="s">
        <v>6088</v>
      </c>
      <c r="C6065" s="1" t="s">
        <v>24</v>
      </c>
      <c r="D6065" s="1" t="str">
        <f t="shared" si="11316"/>
        <v>2021</v>
      </c>
      <c r="E6065" s="1" t="str">
        <f t="shared" ref="E6065:I6065" si="11402">"0"</f>
        <v>0</v>
      </c>
      <c r="F6065" s="1" t="str">
        <f t="shared" si="11402"/>
        <v>0</v>
      </c>
      <c r="G6065" s="1" t="str">
        <f t="shared" si="11402"/>
        <v>0</v>
      </c>
      <c r="H6065" s="1" t="str">
        <f t="shared" si="11402"/>
        <v>0</v>
      </c>
      <c r="I6065" s="1" t="str">
        <f t="shared" si="11402"/>
        <v>0</v>
      </c>
      <c r="J6065" s="1" t="str">
        <f>"1"</f>
        <v>1</v>
      </c>
      <c r="K6065" s="1" t="str">
        <f t="shared" ref="K6065:P6065" si="11403">"0"</f>
        <v>0</v>
      </c>
      <c r="L6065" s="1" t="str">
        <f t="shared" si="11403"/>
        <v>0</v>
      </c>
      <c r="M6065" s="1" t="str">
        <f t="shared" si="11403"/>
        <v>0</v>
      </c>
      <c r="N6065" s="1" t="str">
        <f t="shared" si="11403"/>
        <v>0</v>
      </c>
      <c r="O6065" s="1" t="str">
        <f t="shared" si="11403"/>
        <v>0</v>
      </c>
      <c r="P6065" s="1" t="str">
        <f t="shared" si="11403"/>
        <v>0</v>
      </c>
      <c r="Q6065" s="1" t="str">
        <f t="shared" si="11319"/>
        <v>0.0070</v>
      </c>
      <c r="R6065" s="1" t="s">
        <v>25</v>
      </c>
      <c r="T6065" s="1" t="str">
        <f t="shared" si="11320"/>
        <v>0</v>
      </c>
      <c r="U6065" s="1" t="str">
        <f t="shared" si="11371"/>
        <v>0.0070</v>
      </c>
    </row>
    <row r="6066" s="1" customFormat="1" spans="1:21">
      <c r="A6066" s="1" t="str">
        <f>"4601992243524"</f>
        <v>4601992243524</v>
      </c>
      <c r="B6066" s="1" t="s">
        <v>6089</v>
      </c>
      <c r="C6066" s="1" t="s">
        <v>24</v>
      </c>
      <c r="D6066" s="1" t="str">
        <f t="shared" si="11316"/>
        <v>2021</v>
      </c>
      <c r="E6066" s="1" t="str">
        <f t="shared" ref="E6066:I6066" si="11404">"0"</f>
        <v>0</v>
      </c>
      <c r="F6066" s="1" t="str">
        <f t="shared" si="11404"/>
        <v>0</v>
      </c>
      <c r="G6066" s="1" t="str">
        <f t="shared" si="11404"/>
        <v>0</v>
      </c>
      <c r="H6066" s="1" t="str">
        <f t="shared" si="11404"/>
        <v>0</v>
      </c>
      <c r="I6066" s="1" t="str">
        <f t="shared" si="11404"/>
        <v>0</v>
      </c>
      <c r="J6066" s="1" t="str">
        <f>"2"</f>
        <v>2</v>
      </c>
      <c r="K6066" s="1" t="str">
        <f t="shared" ref="K6066:P6066" si="11405">"0"</f>
        <v>0</v>
      </c>
      <c r="L6066" s="1" t="str">
        <f t="shared" si="11405"/>
        <v>0</v>
      </c>
      <c r="M6066" s="1" t="str">
        <f t="shared" si="11405"/>
        <v>0</v>
      </c>
      <c r="N6066" s="1" t="str">
        <f t="shared" si="11405"/>
        <v>0</v>
      </c>
      <c r="O6066" s="1" t="str">
        <f t="shared" si="11405"/>
        <v>0</v>
      </c>
      <c r="P6066" s="1" t="str">
        <f t="shared" si="11405"/>
        <v>0</v>
      </c>
      <c r="Q6066" s="1" t="str">
        <f t="shared" si="11319"/>
        <v>0.0070</v>
      </c>
      <c r="R6066" s="1" t="s">
        <v>25</v>
      </c>
      <c r="T6066" s="1" t="str">
        <f t="shared" si="11320"/>
        <v>0</v>
      </c>
      <c r="U6066" s="1" t="str">
        <f t="shared" si="11371"/>
        <v>0.0070</v>
      </c>
    </row>
    <row r="6067" s="1" customFormat="1" spans="1:21">
      <c r="A6067" s="1" t="str">
        <f>"4601992243551"</f>
        <v>4601992243551</v>
      </c>
      <c r="B6067" s="1" t="s">
        <v>6090</v>
      </c>
      <c r="C6067" s="1" t="s">
        <v>24</v>
      </c>
      <c r="D6067" s="1" t="str">
        <f t="shared" si="11316"/>
        <v>2021</v>
      </c>
      <c r="E6067" s="1" t="str">
        <f t="shared" ref="E6067:P6067" si="11406">"0"</f>
        <v>0</v>
      </c>
      <c r="F6067" s="1" t="str">
        <f t="shared" si="11406"/>
        <v>0</v>
      </c>
      <c r="G6067" s="1" t="str">
        <f t="shared" si="11406"/>
        <v>0</v>
      </c>
      <c r="H6067" s="1" t="str">
        <f t="shared" si="11406"/>
        <v>0</v>
      </c>
      <c r="I6067" s="1" t="str">
        <f t="shared" si="11406"/>
        <v>0</v>
      </c>
      <c r="J6067" s="1" t="str">
        <f t="shared" si="11406"/>
        <v>0</v>
      </c>
      <c r="K6067" s="1" t="str">
        <f t="shared" si="11406"/>
        <v>0</v>
      </c>
      <c r="L6067" s="1" t="str">
        <f t="shared" si="11406"/>
        <v>0</v>
      </c>
      <c r="M6067" s="1" t="str">
        <f t="shared" si="11406"/>
        <v>0</v>
      </c>
      <c r="N6067" s="1" t="str">
        <f t="shared" si="11406"/>
        <v>0</v>
      </c>
      <c r="O6067" s="1" t="str">
        <f t="shared" si="11406"/>
        <v>0</v>
      </c>
      <c r="P6067" s="1" t="str">
        <f t="shared" si="11406"/>
        <v>0</v>
      </c>
      <c r="Q6067" s="1" t="str">
        <f t="shared" si="11319"/>
        <v>0.0070</v>
      </c>
      <c r="R6067" s="1" t="s">
        <v>25</v>
      </c>
      <c r="T6067" s="1" t="str">
        <f t="shared" si="11320"/>
        <v>0</v>
      </c>
      <c r="U6067" s="1" t="str">
        <f t="shared" si="11371"/>
        <v>0.0070</v>
      </c>
    </row>
    <row r="6068" s="1" customFormat="1" spans="1:21">
      <c r="A6068" s="1" t="str">
        <f>"4601992243547"</f>
        <v>4601992243547</v>
      </c>
      <c r="B6068" s="1" t="s">
        <v>6091</v>
      </c>
      <c r="C6068" s="1" t="s">
        <v>24</v>
      </c>
      <c r="D6068" s="1" t="str">
        <f t="shared" si="11316"/>
        <v>2021</v>
      </c>
      <c r="E6068" s="1" t="str">
        <f t="shared" ref="E6068:I6068" si="11407">"0"</f>
        <v>0</v>
      </c>
      <c r="F6068" s="1" t="str">
        <f t="shared" si="11407"/>
        <v>0</v>
      </c>
      <c r="G6068" s="1" t="str">
        <f t="shared" si="11407"/>
        <v>0</v>
      </c>
      <c r="H6068" s="1" t="str">
        <f t="shared" si="11407"/>
        <v>0</v>
      </c>
      <c r="I6068" s="1" t="str">
        <f t="shared" si="11407"/>
        <v>0</v>
      </c>
      <c r="J6068" s="1" t="str">
        <f>"96"</f>
        <v>96</v>
      </c>
      <c r="K6068" s="1" t="str">
        <f t="shared" ref="K6068:P6068" si="11408">"0"</f>
        <v>0</v>
      </c>
      <c r="L6068" s="1" t="str">
        <f t="shared" si="11408"/>
        <v>0</v>
      </c>
      <c r="M6068" s="1" t="str">
        <f t="shared" si="11408"/>
        <v>0</v>
      </c>
      <c r="N6068" s="1" t="str">
        <f t="shared" si="11408"/>
        <v>0</v>
      </c>
      <c r="O6068" s="1" t="str">
        <f t="shared" si="11408"/>
        <v>0</v>
      </c>
      <c r="P6068" s="1" t="str">
        <f t="shared" si="11408"/>
        <v>0</v>
      </c>
      <c r="Q6068" s="1" t="str">
        <f t="shared" si="11319"/>
        <v>0.0070</v>
      </c>
      <c r="R6068" s="1" t="s">
        <v>25</v>
      </c>
      <c r="T6068" s="1" t="str">
        <f t="shared" si="11320"/>
        <v>0</v>
      </c>
      <c r="U6068" s="1" t="str">
        <f t="shared" si="11371"/>
        <v>0.0070</v>
      </c>
    </row>
    <row r="6069" s="1" customFormat="1" spans="1:21">
      <c r="A6069" s="1" t="str">
        <f>"4601992243535"</f>
        <v>4601992243535</v>
      </c>
      <c r="B6069" s="1" t="s">
        <v>6092</v>
      </c>
      <c r="C6069" s="1" t="s">
        <v>24</v>
      </c>
      <c r="D6069" s="1" t="str">
        <f t="shared" si="11316"/>
        <v>2021</v>
      </c>
      <c r="E6069" s="1" t="str">
        <f t="shared" ref="E6069:I6069" si="11409">"0"</f>
        <v>0</v>
      </c>
      <c r="F6069" s="1" t="str">
        <f t="shared" si="11409"/>
        <v>0</v>
      </c>
      <c r="G6069" s="1" t="str">
        <f t="shared" si="11409"/>
        <v>0</v>
      </c>
      <c r="H6069" s="1" t="str">
        <f t="shared" si="11409"/>
        <v>0</v>
      </c>
      <c r="I6069" s="1" t="str">
        <f t="shared" si="11409"/>
        <v>0</v>
      </c>
      <c r="J6069" s="1" t="str">
        <f>"10"</f>
        <v>10</v>
      </c>
      <c r="K6069" s="1" t="str">
        <f t="shared" ref="K6069:P6069" si="11410">"0"</f>
        <v>0</v>
      </c>
      <c r="L6069" s="1" t="str">
        <f t="shared" si="11410"/>
        <v>0</v>
      </c>
      <c r="M6069" s="1" t="str">
        <f t="shared" si="11410"/>
        <v>0</v>
      </c>
      <c r="N6069" s="1" t="str">
        <f t="shared" si="11410"/>
        <v>0</v>
      </c>
      <c r="O6069" s="1" t="str">
        <f t="shared" si="11410"/>
        <v>0</v>
      </c>
      <c r="P6069" s="1" t="str">
        <f t="shared" si="11410"/>
        <v>0</v>
      </c>
      <c r="Q6069" s="1" t="str">
        <f t="shared" si="11319"/>
        <v>0.0070</v>
      </c>
      <c r="R6069" s="1" t="s">
        <v>25</v>
      </c>
      <c r="T6069" s="1" t="str">
        <f t="shared" si="11320"/>
        <v>0</v>
      </c>
      <c r="U6069" s="1" t="str">
        <f t="shared" si="11371"/>
        <v>0.0070</v>
      </c>
    </row>
    <row r="6070" s="1" customFormat="1" spans="1:21">
      <c r="A6070" s="1" t="str">
        <f>"4601992243555"</f>
        <v>4601992243555</v>
      </c>
      <c r="B6070" s="1" t="s">
        <v>6093</v>
      </c>
      <c r="C6070" s="1" t="s">
        <v>24</v>
      </c>
      <c r="D6070" s="1" t="str">
        <f t="shared" si="11316"/>
        <v>2021</v>
      </c>
      <c r="E6070" s="1" t="str">
        <f t="shared" ref="E6070:P6070" si="11411">"0"</f>
        <v>0</v>
      </c>
      <c r="F6070" s="1" t="str">
        <f t="shared" si="11411"/>
        <v>0</v>
      </c>
      <c r="G6070" s="1" t="str">
        <f t="shared" si="11411"/>
        <v>0</v>
      </c>
      <c r="H6070" s="1" t="str">
        <f t="shared" si="11411"/>
        <v>0</v>
      </c>
      <c r="I6070" s="1" t="str">
        <f t="shared" si="11411"/>
        <v>0</v>
      </c>
      <c r="J6070" s="1" t="str">
        <f t="shared" si="11411"/>
        <v>0</v>
      </c>
      <c r="K6070" s="1" t="str">
        <f t="shared" si="11411"/>
        <v>0</v>
      </c>
      <c r="L6070" s="1" t="str">
        <f t="shared" si="11411"/>
        <v>0</v>
      </c>
      <c r="M6070" s="1" t="str">
        <f t="shared" si="11411"/>
        <v>0</v>
      </c>
      <c r="N6070" s="1" t="str">
        <f t="shared" si="11411"/>
        <v>0</v>
      </c>
      <c r="O6070" s="1" t="str">
        <f t="shared" si="11411"/>
        <v>0</v>
      </c>
      <c r="P6070" s="1" t="str">
        <f t="shared" si="11411"/>
        <v>0</v>
      </c>
      <c r="Q6070" s="1" t="str">
        <f t="shared" si="11319"/>
        <v>0.0070</v>
      </c>
      <c r="R6070" s="1" t="s">
        <v>25</v>
      </c>
      <c r="T6070" s="1" t="str">
        <f t="shared" si="11320"/>
        <v>0</v>
      </c>
      <c r="U6070" s="1" t="str">
        <f t="shared" si="11371"/>
        <v>0.0070</v>
      </c>
    </row>
    <row r="6071" s="1" customFormat="1" spans="1:21">
      <c r="A6071" s="1" t="str">
        <f>"4601992243614"</f>
        <v>4601992243614</v>
      </c>
      <c r="B6071" s="1" t="s">
        <v>6094</v>
      </c>
      <c r="C6071" s="1" t="s">
        <v>24</v>
      </c>
      <c r="D6071" s="1" t="str">
        <f t="shared" si="11316"/>
        <v>2021</v>
      </c>
      <c r="E6071" s="1" t="str">
        <f t="shared" ref="E6071:P6071" si="11412">"0"</f>
        <v>0</v>
      </c>
      <c r="F6071" s="1" t="str">
        <f t="shared" si="11412"/>
        <v>0</v>
      </c>
      <c r="G6071" s="1" t="str">
        <f t="shared" si="11412"/>
        <v>0</v>
      </c>
      <c r="H6071" s="1" t="str">
        <f t="shared" si="11412"/>
        <v>0</v>
      </c>
      <c r="I6071" s="1" t="str">
        <f t="shared" si="11412"/>
        <v>0</v>
      </c>
      <c r="J6071" s="1" t="str">
        <f t="shared" si="11412"/>
        <v>0</v>
      </c>
      <c r="K6071" s="1" t="str">
        <f t="shared" si="11412"/>
        <v>0</v>
      </c>
      <c r="L6071" s="1" t="str">
        <f t="shared" si="11412"/>
        <v>0</v>
      </c>
      <c r="M6071" s="1" t="str">
        <f t="shared" si="11412"/>
        <v>0</v>
      </c>
      <c r="N6071" s="1" t="str">
        <f t="shared" si="11412"/>
        <v>0</v>
      </c>
      <c r="O6071" s="1" t="str">
        <f t="shared" si="11412"/>
        <v>0</v>
      </c>
      <c r="P6071" s="1" t="str">
        <f t="shared" si="11412"/>
        <v>0</v>
      </c>
      <c r="Q6071" s="1" t="str">
        <f t="shared" si="11319"/>
        <v>0.0070</v>
      </c>
      <c r="R6071" s="1" t="s">
        <v>25</v>
      </c>
      <c r="T6071" s="1" t="str">
        <f t="shared" si="11320"/>
        <v>0</v>
      </c>
      <c r="U6071" s="1" t="str">
        <f t="shared" si="11371"/>
        <v>0.0070</v>
      </c>
    </row>
    <row r="6072" s="1" customFormat="1" spans="1:21">
      <c r="A6072" s="1" t="str">
        <f>"4601992243548"</f>
        <v>4601992243548</v>
      </c>
      <c r="B6072" s="1" t="s">
        <v>6095</v>
      </c>
      <c r="C6072" s="1" t="s">
        <v>24</v>
      </c>
      <c r="D6072" s="1" t="str">
        <f t="shared" si="11316"/>
        <v>2021</v>
      </c>
      <c r="E6072" s="1" t="str">
        <f t="shared" ref="E6072:I6072" si="11413">"0"</f>
        <v>0</v>
      </c>
      <c r="F6072" s="1" t="str">
        <f t="shared" si="11413"/>
        <v>0</v>
      </c>
      <c r="G6072" s="1" t="str">
        <f t="shared" si="11413"/>
        <v>0</v>
      </c>
      <c r="H6072" s="1" t="str">
        <f t="shared" si="11413"/>
        <v>0</v>
      </c>
      <c r="I6072" s="1" t="str">
        <f t="shared" si="11413"/>
        <v>0</v>
      </c>
      <c r="J6072" s="1" t="str">
        <f>"3"</f>
        <v>3</v>
      </c>
      <c r="K6072" s="1" t="str">
        <f t="shared" ref="K6072:P6072" si="11414">"0"</f>
        <v>0</v>
      </c>
      <c r="L6072" s="1" t="str">
        <f t="shared" si="11414"/>
        <v>0</v>
      </c>
      <c r="M6072" s="1" t="str">
        <f t="shared" si="11414"/>
        <v>0</v>
      </c>
      <c r="N6072" s="1" t="str">
        <f t="shared" si="11414"/>
        <v>0</v>
      </c>
      <c r="O6072" s="1" t="str">
        <f t="shared" si="11414"/>
        <v>0</v>
      </c>
      <c r="P6072" s="1" t="str">
        <f t="shared" si="11414"/>
        <v>0</v>
      </c>
      <c r="Q6072" s="1" t="str">
        <f t="shared" si="11319"/>
        <v>0.0070</v>
      </c>
      <c r="R6072" s="1" t="s">
        <v>25</v>
      </c>
      <c r="T6072" s="1" t="str">
        <f t="shared" si="11320"/>
        <v>0</v>
      </c>
      <c r="U6072" s="1" t="str">
        <f t="shared" si="11371"/>
        <v>0.0070</v>
      </c>
    </row>
    <row r="6073" s="1" customFormat="1" spans="1:21">
      <c r="A6073" s="1" t="str">
        <f>"4601992244017"</f>
        <v>4601992244017</v>
      </c>
      <c r="B6073" s="1" t="s">
        <v>6096</v>
      </c>
      <c r="C6073" s="1" t="s">
        <v>24</v>
      </c>
      <c r="D6073" s="1" t="str">
        <f t="shared" si="11316"/>
        <v>2021</v>
      </c>
      <c r="E6073" s="1" t="str">
        <f t="shared" ref="E6073:P6073" si="11415">"0"</f>
        <v>0</v>
      </c>
      <c r="F6073" s="1" t="str">
        <f t="shared" si="11415"/>
        <v>0</v>
      </c>
      <c r="G6073" s="1" t="str">
        <f t="shared" si="11415"/>
        <v>0</v>
      </c>
      <c r="H6073" s="1" t="str">
        <f t="shared" si="11415"/>
        <v>0</v>
      </c>
      <c r="I6073" s="1" t="str">
        <f t="shared" si="11415"/>
        <v>0</v>
      </c>
      <c r="J6073" s="1" t="str">
        <f t="shared" si="11415"/>
        <v>0</v>
      </c>
      <c r="K6073" s="1" t="str">
        <f t="shared" si="11415"/>
        <v>0</v>
      </c>
      <c r="L6073" s="1" t="str">
        <f t="shared" si="11415"/>
        <v>0</v>
      </c>
      <c r="M6073" s="1" t="str">
        <f t="shared" si="11415"/>
        <v>0</v>
      </c>
      <c r="N6073" s="1" t="str">
        <f t="shared" si="11415"/>
        <v>0</v>
      </c>
      <c r="O6073" s="1" t="str">
        <f t="shared" si="11415"/>
        <v>0</v>
      </c>
      <c r="P6073" s="1" t="str">
        <f t="shared" si="11415"/>
        <v>0</v>
      </c>
      <c r="Q6073" s="1" t="str">
        <f t="shared" si="11319"/>
        <v>0.0070</v>
      </c>
      <c r="R6073" s="1" t="s">
        <v>25</v>
      </c>
      <c r="T6073" s="1" t="str">
        <f t="shared" si="11320"/>
        <v>0</v>
      </c>
      <c r="U6073" s="1" t="str">
        <f t="shared" si="11371"/>
        <v>0.0070</v>
      </c>
    </row>
    <row r="6074" s="1" customFormat="1" spans="1:21">
      <c r="A6074" s="1" t="str">
        <f>"4601992243845"</f>
        <v>4601992243845</v>
      </c>
      <c r="B6074" s="1" t="s">
        <v>6097</v>
      </c>
      <c r="C6074" s="1" t="s">
        <v>24</v>
      </c>
      <c r="D6074" s="1" t="str">
        <f t="shared" si="11316"/>
        <v>2021</v>
      </c>
      <c r="E6074" s="1" t="str">
        <f t="shared" ref="E6074:I6074" si="11416">"0"</f>
        <v>0</v>
      </c>
      <c r="F6074" s="1" t="str">
        <f t="shared" si="11416"/>
        <v>0</v>
      </c>
      <c r="G6074" s="1" t="str">
        <f t="shared" si="11416"/>
        <v>0</v>
      </c>
      <c r="H6074" s="1" t="str">
        <f t="shared" si="11416"/>
        <v>0</v>
      </c>
      <c r="I6074" s="1" t="str">
        <f t="shared" si="11416"/>
        <v>0</v>
      </c>
      <c r="J6074" s="1" t="str">
        <f>"2"</f>
        <v>2</v>
      </c>
      <c r="K6074" s="1" t="str">
        <f t="shared" ref="K6074:P6074" si="11417">"0"</f>
        <v>0</v>
      </c>
      <c r="L6074" s="1" t="str">
        <f t="shared" si="11417"/>
        <v>0</v>
      </c>
      <c r="M6074" s="1" t="str">
        <f t="shared" si="11417"/>
        <v>0</v>
      </c>
      <c r="N6074" s="1" t="str">
        <f t="shared" si="11417"/>
        <v>0</v>
      </c>
      <c r="O6074" s="1" t="str">
        <f t="shared" si="11417"/>
        <v>0</v>
      </c>
      <c r="P6074" s="1" t="str">
        <f t="shared" si="11417"/>
        <v>0</v>
      </c>
      <c r="Q6074" s="1" t="str">
        <f t="shared" si="11319"/>
        <v>0.0070</v>
      </c>
      <c r="R6074" s="1" t="s">
        <v>25</v>
      </c>
      <c r="T6074" s="1" t="str">
        <f t="shared" si="11320"/>
        <v>0</v>
      </c>
      <c r="U6074" s="1" t="str">
        <f t="shared" si="11371"/>
        <v>0.0070</v>
      </c>
    </row>
    <row r="6075" s="1" customFormat="1" spans="1:21">
      <c r="A6075" s="1" t="str">
        <f>"4601992243909"</f>
        <v>4601992243909</v>
      </c>
      <c r="B6075" s="1" t="s">
        <v>6098</v>
      </c>
      <c r="C6075" s="1" t="s">
        <v>24</v>
      </c>
      <c r="D6075" s="1" t="str">
        <f t="shared" si="11316"/>
        <v>2021</v>
      </c>
      <c r="E6075" s="1" t="str">
        <f t="shared" ref="E6075:I6075" si="11418">"0"</f>
        <v>0</v>
      </c>
      <c r="F6075" s="1" t="str">
        <f t="shared" si="11418"/>
        <v>0</v>
      </c>
      <c r="G6075" s="1" t="str">
        <f t="shared" si="11418"/>
        <v>0</v>
      </c>
      <c r="H6075" s="1" t="str">
        <f t="shared" si="11418"/>
        <v>0</v>
      </c>
      <c r="I6075" s="1" t="str">
        <f t="shared" si="11418"/>
        <v>0</v>
      </c>
      <c r="J6075" s="1" t="str">
        <f>"2"</f>
        <v>2</v>
      </c>
      <c r="K6075" s="1" t="str">
        <f t="shared" ref="K6075:P6075" si="11419">"0"</f>
        <v>0</v>
      </c>
      <c r="L6075" s="1" t="str">
        <f t="shared" si="11419"/>
        <v>0</v>
      </c>
      <c r="M6075" s="1" t="str">
        <f t="shared" si="11419"/>
        <v>0</v>
      </c>
      <c r="N6075" s="1" t="str">
        <f t="shared" si="11419"/>
        <v>0</v>
      </c>
      <c r="O6075" s="1" t="str">
        <f t="shared" si="11419"/>
        <v>0</v>
      </c>
      <c r="P6075" s="1" t="str">
        <f t="shared" si="11419"/>
        <v>0</v>
      </c>
      <c r="Q6075" s="1" t="str">
        <f t="shared" si="11319"/>
        <v>0.0070</v>
      </c>
      <c r="R6075" s="1" t="s">
        <v>25</v>
      </c>
      <c r="T6075" s="1" t="str">
        <f t="shared" si="11320"/>
        <v>0</v>
      </c>
      <c r="U6075" s="1" t="str">
        <f t="shared" si="11371"/>
        <v>0.0070</v>
      </c>
    </row>
    <row r="6076" s="1" customFormat="1" spans="1:21">
      <c r="A6076" s="1" t="str">
        <f>"4601992243887"</f>
        <v>4601992243887</v>
      </c>
      <c r="B6076" s="1" t="s">
        <v>6099</v>
      </c>
      <c r="C6076" s="1" t="s">
        <v>24</v>
      </c>
      <c r="D6076" s="1" t="str">
        <f t="shared" si="11316"/>
        <v>2021</v>
      </c>
      <c r="E6076" s="1" t="str">
        <f t="shared" ref="E6076:I6076" si="11420">"0"</f>
        <v>0</v>
      </c>
      <c r="F6076" s="1" t="str">
        <f t="shared" si="11420"/>
        <v>0</v>
      </c>
      <c r="G6076" s="1" t="str">
        <f t="shared" si="11420"/>
        <v>0</v>
      </c>
      <c r="H6076" s="1" t="str">
        <f t="shared" si="11420"/>
        <v>0</v>
      </c>
      <c r="I6076" s="1" t="str">
        <f t="shared" si="11420"/>
        <v>0</v>
      </c>
      <c r="J6076" s="1" t="str">
        <f t="shared" ref="J6076:J6080" si="11421">"1"</f>
        <v>1</v>
      </c>
      <c r="K6076" s="1" t="str">
        <f t="shared" ref="K6076:P6076" si="11422">"0"</f>
        <v>0</v>
      </c>
      <c r="L6076" s="1" t="str">
        <f t="shared" si="11422"/>
        <v>0</v>
      </c>
      <c r="M6076" s="1" t="str">
        <f t="shared" si="11422"/>
        <v>0</v>
      </c>
      <c r="N6076" s="1" t="str">
        <f t="shared" si="11422"/>
        <v>0</v>
      </c>
      <c r="O6076" s="1" t="str">
        <f t="shared" si="11422"/>
        <v>0</v>
      </c>
      <c r="P6076" s="1" t="str">
        <f t="shared" si="11422"/>
        <v>0</v>
      </c>
      <c r="Q6076" s="1" t="str">
        <f t="shared" si="11319"/>
        <v>0.0070</v>
      </c>
      <c r="R6076" s="1" t="s">
        <v>25</v>
      </c>
      <c r="T6076" s="1" t="str">
        <f t="shared" si="11320"/>
        <v>0</v>
      </c>
      <c r="U6076" s="1" t="str">
        <f t="shared" si="11371"/>
        <v>0.0070</v>
      </c>
    </row>
    <row r="6077" s="1" customFormat="1" spans="1:21">
      <c r="A6077" s="1" t="str">
        <f>"4601992244286"</f>
        <v>4601992244286</v>
      </c>
      <c r="B6077" s="1" t="s">
        <v>6100</v>
      </c>
      <c r="C6077" s="1" t="s">
        <v>24</v>
      </c>
      <c r="D6077" s="1" t="str">
        <f t="shared" si="11316"/>
        <v>2021</v>
      </c>
      <c r="E6077" s="1" t="str">
        <f t="shared" ref="E6077:P6077" si="11423">"0"</f>
        <v>0</v>
      </c>
      <c r="F6077" s="1" t="str">
        <f t="shared" si="11423"/>
        <v>0</v>
      </c>
      <c r="G6077" s="1" t="str">
        <f t="shared" si="11423"/>
        <v>0</v>
      </c>
      <c r="H6077" s="1" t="str">
        <f t="shared" si="11423"/>
        <v>0</v>
      </c>
      <c r="I6077" s="1" t="str">
        <f t="shared" si="11423"/>
        <v>0</v>
      </c>
      <c r="J6077" s="1" t="str">
        <f t="shared" si="11423"/>
        <v>0</v>
      </c>
      <c r="K6077" s="1" t="str">
        <f t="shared" si="11423"/>
        <v>0</v>
      </c>
      <c r="L6077" s="1" t="str">
        <f t="shared" si="11423"/>
        <v>0</v>
      </c>
      <c r="M6077" s="1" t="str">
        <f t="shared" si="11423"/>
        <v>0</v>
      </c>
      <c r="N6077" s="1" t="str">
        <f t="shared" si="11423"/>
        <v>0</v>
      </c>
      <c r="O6077" s="1" t="str">
        <f t="shared" si="11423"/>
        <v>0</v>
      </c>
      <c r="P6077" s="1" t="str">
        <f t="shared" si="11423"/>
        <v>0</v>
      </c>
      <c r="Q6077" s="1" t="str">
        <f t="shared" si="11319"/>
        <v>0.0070</v>
      </c>
      <c r="R6077" s="1" t="s">
        <v>25</v>
      </c>
      <c r="T6077" s="1" t="str">
        <f t="shared" si="11320"/>
        <v>0</v>
      </c>
      <c r="U6077" s="1" t="str">
        <f t="shared" si="11371"/>
        <v>0.0070</v>
      </c>
    </row>
    <row r="6078" s="1" customFormat="1" spans="1:21">
      <c r="A6078" s="1" t="str">
        <f>"4601992244044"</f>
        <v>4601992244044</v>
      </c>
      <c r="B6078" s="1" t="s">
        <v>6101</v>
      </c>
      <c r="C6078" s="1" t="s">
        <v>24</v>
      </c>
      <c r="D6078" s="1" t="str">
        <f t="shared" si="11316"/>
        <v>2021</v>
      </c>
      <c r="E6078" s="1" t="str">
        <f t="shared" ref="E6078:I6078" si="11424">"0"</f>
        <v>0</v>
      </c>
      <c r="F6078" s="1" t="str">
        <f t="shared" si="11424"/>
        <v>0</v>
      </c>
      <c r="G6078" s="1" t="str">
        <f t="shared" si="11424"/>
        <v>0</v>
      </c>
      <c r="H6078" s="1" t="str">
        <f t="shared" si="11424"/>
        <v>0</v>
      </c>
      <c r="I6078" s="1" t="str">
        <f t="shared" si="11424"/>
        <v>0</v>
      </c>
      <c r="J6078" s="1" t="str">
        <f t="shared" si="11421"/>
        <v>1</v>
      </c>
      <c r="K6078" s="1" t="str">
        <f t="shared" ref="K6078:P6078" si="11425">"0"</f>
        <v>0</v>
      </c>
      <c r="L6078" s="1" t="str">
        <f t="shared" si="11425"/>
        <v>0</v>
      </c>
      <c r="M6078" s="1" t="str">
        <f t="shared" si="11425"/>
        <v>0</v>
      </c>
      <c r="N6078" s="1" t="str">
        <f t="shared" si="11425"/>
        <v>0</v>
      </c>
      <c r="O6078" s="1" t="str">
        <f t="shared" si="11425"/>
        <v>0</v>
      </c>
      <c r="P6078" s="1" t="str">
        <f t="shared" si="11425"/>
        <v>0</v>
      </c>
      <c r="Q6078" s="1" t="str">
        <f t="shared" si="11319"/>
        <v>0.0070</v>
      </c>
      <c r="R6078" s="1" t="s">
        <v>25</v>
      </c>
      <c r="T6078" s="1" t="str">
        <f t="shared" si="11320"/>
        <v>0</v>
      </c>
      <c r="U6078" s="1" t="str">
        <f t="shared" si="11371"/>
        <v>0.0070</v>
      </c>
    </row>
    <row r="6079" s="1" customFormat="1" spans="1:21">
      <c r="A6079" s="1" t="str">
        <f>"4601992244276"</f>
        <v>4601992244276</v>
      </c>
      <c r="B6079" s="1" t="s">
        <v>6102</v>
      </c>
      <c r="C6079" s="1" t="s">
        <v>24</v>
      </c>
      <c r="D6079" s="1" t="str">
        <f t="shared" si="11316"/>
        <v>2021</v>
      </c>
      <c r="E6079" s="1" t="str">
        <f t="shared" ref="E6079:I6079" si="11426">"0"</f>
        <v>0</v>
      </c>
      <c r="F6079" s="1" t="str">
        <f t="shared" si="11426"/>
        <v>0</v>
      </c>
      <c r="G6079" s="1" t="str">
        <f t="shared" si="11426"/>
        <v>0</v>
      </c>
      <c r="H6079" s="1" t="str">
        <f t="shared" si="11426"/>
        <v>0</v>
      </c>
      <c r="I6079" s="1" t="str">
        <f t="shared" si="11426"/>
        <v>0</v>
      </c>
      <c r="J6079" s="1" t="str">
        <f t="shared" si="11421"/>
        <v>1</v>
      </c>
      <c r="K6079" s="1" t="str">
        <f t="shared" ref="K6079:P6079" si="11427">"0"</f>
        <v>0</v>
      </c>
      <c r="L6079" s="1" t="str">
        <f t="shared" si="11427"/>
        <v>0</v>
      </c>
      <c r="M6079" s="1" t="str">
        <f t="shared" si="11427"/>
        <v>0</v>
      </c>
      <c r="N6079" s="1" t="str">
        <f t="shared" si="11427"/>
        <v>0</v>
      </c>
      <c r="O6079" s="1" t="str">
        <f t="shared" si="11427"/>
        <v>0</v>
      </c>
      <c r="P6079" s="1" t="str">
        <f t="shared" si="11427"/>
        <v>0</v>
      </c>
      <c r="Q6079" s="1" t="str">
        <f t="shared" si="11319"/>
        <v>0.0070</v>
      </c>
      <c r="R6079" s="1" t="s">
        <v>25</v>
      </c>
      <c r="T6079" s="1" t="str">
        <f t="shared" si="11320"/>
        <v>0</v>
      </c>
      <c r="U6079" s="1" t="str">
        <f t="shared" si="11371"/>
        <v>0.0070</v>
      </c>
    </row>
    <row r="6080" s="1" customFormat="1" spans="1:21">
      <c r="A6080" s="1" t="str">
        <f>"4601992244274"</f>
        <v>4601992244274</v>
      </c>
      <c r="B6080" s="1" t="s">
        <v>6103</v>
      </c>
      <c r="C6080" s="1" t="s">
        <v>24</v>
      </c>
      <c r="D6080" s="1" t="str">
        <f t="shared" si="11316"/>
        <v>2021</v>
      </c>
      <c r="E6080" s="1" t="str">
        <f t="shared" ref="E6080:I6080" si="11428">"0"</f>
        <v>0</v>
      </c>
      <c r="F6080" s="1" t="str">
        <f t="shared" si="11428"/>
        <v>0</v>
      </c>
      <c r="G6080" s="1" t="str">
        <f t="shared" si="11428"/>
        <v>0</v>
      </c>
      <c r="H6080" s="1" t="str">
        <f t="shared" si="11428"/>
        <v>0</v>
      </c>
      <c r="I6080" s="1" t="str">
        <f t="shared" si="11428"/>
        <v>0</v>
      </c>
      <c r="J6080" s="1" t="str">
        <f t="shared" si="11421"/>
        <v>1</v>
      </c>
      <c r="K6080" s="1" t="str">
        <f t="shared" ref="K6080:P6080" si="11429">"0"</f>
        <v>0</v>
      </c>
      <c r="L6080" s="1" t="str">
        <f t="shared" si="11429"/>
        <v>0</v>
      </c>
      <c r="M6080" s="1" t="str">
        <f t="shared" si="11429"/>
        <v>0</v>
      </c>
      <c r="N6080" s="1" t="str">
        <f t="shared" si="11429"/>
        <v>0</v>
      </c>
      <c r="O6080" s="1" t="str">
        <f t="shared" si="11429"/>
        <v>0</v>
      </c>
      <c r="P6080" s="1" t="str">
        <f t="shared" si="11429"/>
        <v>0</v>
      </c>
      <c r="Q6080" s="1" t="str">
        <f t="shared" si="11319"/>
        <v>0.0070</v>
      </c>
      <c r="R6080" s="1" t="s">
        <v>25</v>
      </c>
      <c r="T6080" s="1" t="str">
        <f t="shared" si="11320"/>
        <v>0</v>
      </c>
      <c r="U6080" s="1" t="str">
        <f t="shared" si="11371"/>
        <v>0.0070</v>
      </c>
    </row>
    <row r="6081" s="1" customFormat="1" spans="1:21">
      <c r="A6081" s="1" t="str">
        <f>"4601992244295"</f>
        <v>4601992244295</v>
      </c>
      <c r="B6081" s="1" t="s">
        <v>6104</v>
      </c>
      <c r="C6081" s="1" t="s">
        <v>24</v>
      </c>
      <c r="D6081" s="1" t="str">
        <f t="shared" si="11316"/>
        <v>2021</v>
      </c>
      <c r="E6081" s="1" t="str">
        <f t="shared" ref="E6081:I6081" si="11430">"0"</f>
        <v>0</v>
      </c>
      <c r="F6081" s="1" t="str">
        <f t="shared" si="11430"/>
        <v>0</v>
      </c>
      <c r="G6081" s="1" t="str">
        <f t="shared" si="11430"/>
        <v>0</v>
      </c>
      <c r="H6081" s="1" t="str">
        <f t="shared" si="11430"/>
        <v>0</v>
      </c>
      <c r="I6081" s="1" t="str">
        <f t="shared" si="11430"/>
        <v>0</v>
      </c>
      <c r="J6081" s="1" t="str">
        <f>"3"</f>
        <v>3</v>
      </c>
      <c r="K6081" s="1" t="str">
        <f t="shared" ref="K6081:P6081" si="11431">"0"</f>
        <v>0</v>
      </c>
      <c r="L6081" s="1" t="str">
        <f t="shared" si="11431"/>
        <v>0</v>
      </c>
      <c r="M6081" s="1" t="str">
        <f t="shared" si="11431"/>
        <v>0</v>
      </c>
      <c r="N6081" s="1" t="str">
        <f t="shared" si="11431"/>
        <v>0</v>
      </c>
      <c r="O6081" s="1" t="str">
        <f t="shared" si="11431"/>
        <v>0</v>
      </c>
      <c r="P6081" s="1" t="str">
        <f t="shared" si="11431"/>
        <v>0</v>
      </c>
      <c r="Q6081" s="1" t="str">
        <f t="shared" si="11319"/>
        <v>0.0070</v>
      </c>
      <c r="R6081" s="1" t="s">
        <v>25</v>
      </c>
      <c r="T6081" s="1" t="str">
        <f t="shared" si="11320"/>
        <v>0</v>
      </c>
      <c r="U6081" s="1" t="str">
        <f t="shared" si="11371"/>
        <v>0.0070</v>
      </c>
    </row>
    <row r="6082" s="1" customFormat="1" spans="1:21">
      <c r="A6082" s="1" t="str">
        <f>"4601992244400"</f>
        <v>4601992244400</v>
      </c>
      <c r="B6082" s="1" t="s">
        <v>6105</v>
      </c>
      <c r="C6082" s="1" t="s">
        <v>24</v>
      </c>
      <c r="D6082" s="1" t="str">
        <f t="shared" si="11316"/>
        <v>2021</v>
      </c>
      <c r="E6082" s="1" t="str">
        <f t="shared" ref="E6082:P6082" si="11432">"0"</f>
        <v>0</v>
      </c>
      <c r="F6082" s="1" t="str">
        <f t="shared" si="11432"/>
        <v>0</v>
      </c>
      <c r="G6082" s="1" t="str">
        <f t="shared" si="11432"/>
        <v>0</v>
      </c>
      <c r="H6082" s="1" t="str">
        <f t="shared" si="11432"/>
        <v>0</v>
      </c>
      <c r="I6082" s="1" t="str">
        <f t="shared" si="11432"/>
        <v>0</v>
      </c>
      <c r="J6082" s="1" t="str">
        <f t="shared" si="11432"/>
        <v>0</v>
      </c>
      <c r="K6082" s="1" t="str">
        <f t="shared" si="11432"/>
        <v>0</v>
      </c>
      <c r="L6082" s="1" t="str">
        <f t="shared" si="11432"/>
        <v>0</v>
      </c>
      <c r="M6082" s="1" t="str">
        <f t="shared" si="11432"/>
        <v>0</v>
      </c>
      <c r="N6082" s="1" t="str">
        <f t="shared" si="11432"/>
        <v>0</v>
      </c>
      <c r="O6082" s="1" t="str">
        <f t="shared" si="11432"/>
        <v>0</v>
      </c>
      <c r="P6082" s="1" t="str">
        <f t="shared" si="11432"/>
        <v>0</v>
      </c>
      <c r="Q6082" s="1" t="str">
        <f t="shared" si="11319"/>
        <v>0.0070</v>
      </c>
      <c r="R6082" s="1" t="s">
        <v>25</v>
      </c>
      <c r="T6082" s="1" t="str">
        <f t="shared" si="11320"/>
        <v>0</v>
      </c>
      <c r="U6082" s="1" t="str">
        <f t="shared" si="11371"/>
        <v>0.0070</v>
      </c>
    </row>
    <row r="6083" s="1" customFormat="1" spans="1:21">
      <c r="A6083" s="1" t="str">
        <f>"4601992244374"</f>
        <v>4601992244374</v>
      </c>
      <c r="B6083" s="1" t="s">
        <v>6106</v>
      </c>
      <c r="C6083" s="1" t="s">
        <v>24</v>
      </c>
      <c r="D6083" s="1" t="str">
        <f t="shared" ref="D6083:D6146" si="11433">"2021"</f>
        <v>2021</v>
      </c>
      <c r="E6083" s="1" t="str">
        <f t="shared" ref="E6083:I6083" si="11434">"0"</f>
        <v>0</v>
      </c>
      <c r="F6083" s="1" t="str">
        <f t="shared" si="11434"/>
        <v>0</v>
      </c>
      <c r="G6083" s="1" t="str">
        <f t="shared" si="11434"/>
        <v>0</v>
      </c>
      <c r="H6083" s="1" t="str">
        <f t="shared" si="11434"/>
        <v>0</v>
      </c>
      <c r="I6083" s="1" t="str">
        <f t="shared" si="11434"/>
        <v>0</v>
      </c>
      <c r="J6083" s="1" t="str">
        <f>"1"</f>
        <v>1</v>
      </c>
      <c r="K6083" s="1" t="str">
        <f t="shared" ref="K6083:P6083" si="11435">"0"</f>
        <v>0</v>
      </c>
      <c r="L6083" s="1" t="str">
        <f t="shared" si="11435"/>
        <v>0</v>
      </c>
      <c r="M6083" s="1" t="str">
        <f t="shared" si="11435"/>
        <v>0</v>
      </c>
      <c r="N6083" s="1" t="str">
        <f t="shared" si="11435"/>
        <v>0</v>
      </c>
      <c r="O6083" s="1" t="str">
        <f t="shared" si="11435"/>
        <v>0</v>
      </c>
      <c r="P6083" s="1" t="str">
        <f t="shared" si="11435"/>
        <v>0</v>
      </c>
      <c r="Q6083" s="1" t="str">
        <f t="shared" ref="Q6083:Q6146" si="11436">"0.0070"</f>
        <v>0.0070</v>
      </c>
      <c r="R6083" s="1" t="s">
        <v>25</v>
      </c>
      <c r="T6083" s="1" t="str">
        <f t="shared" ref="T6083:T6146" si="11437">"0"</f>
        <v>0</v>
      </c>
      <c r="U6083" s="1" t="str">
        <f t="shared" si="11371"/>
        <v>0.0070</v>
      </c>
    </row>
    <row r="6084" s="1" customFormat="1" spans="1:21">
      <c r="A6084" s="1" t="str">
        <f>"4601992244407"</f>
        <v>4601992244407</v>
      </c>
      <c r="B6084" s="1" t="s">
        <v>6107</v>
      </c>
      <c r="C6084" s="1" t="s">
        <v>24</v>
      </c>
      <c r="D6084" s="1" t="str">
        <f t="shared" si="11433"/>
        <v>2021</v>
      </c>
      <c r="E6084" s="1" t="str">
        <f t="shared" ref="E6084:P6084" si="11438">"0"</f>
        <v>0</v>
      </c>
      <c r="F6084" s="1" t="str">
        <f t="shared" si="11438"/>
        <v>0</v>
      </c>
      <c r="G6084" s="1" t="str">
        <f t="shared" si="11438"/>
        <v>0</v>
      </c>
      <c r="H6084" s="1" t="str">
        <f t="shared" si="11438"/>
        <v>0</v>
      </c>
      <c r="I6084" s="1" t="str">
        <f t="shared" si="11438"/>
        <v>0</v>
      </c>
      <c r="J6084" s="1" t="str">
        <f t="shared" si="11438"/>
        <v>0</v>
      </c>
      <c r="K6084" s="1" t="str">
        <f t="shared" si="11438"/>
        <v>0</v>
      </c>
      <c r="L6084" s="1" t="str">
        <f t="shared" si="11438"/>
        <v>0</v>
      </c>
      <c r="M6084" s="1" t="str">
        <f t="shared" si="11438"/>
        <v>0</v>
      </c>
      <c r="N6084" s="1" t="str">
        <f t="shared" si="11438"/>
        <v>0</v>
      </c>
      <c r="O6084" s="1" t="str">
        <f t="shared" si="11438"/>
        <v>0</v>
      </c>
      <c r="P6084" s="1" t="str">
        <f t="shared" si="11438"/>
        <v>0</v>
      </c>
      <c r="Q6084" s="1" t="str">
        <f t="shared" si="11436"/>
        <v>0.0070</v>
      </c>
      <c r="R6084" s="1" t="s">
        <v>25</v>
      </c>
      <c r="T6084" s="1" t="str">
        <f t="shared" si="11437"/>
        <v>0</v>
      </c>
      <c r="U6084" s="1" t="str">
        <f t="shared" si="11371"/>
        <v>0.0070</v>
      </c>
    </row>
    <row r="6085" s="1" customFormat="1" spans="1:21">
      <c r="A6085" s="1" t="str">
        <f>"4601992244532"</f>
        <v>4601992244532</v>
      </c>
      <c r="B6085" s="1" t="s">
        <v>6108</v>
      </c>
      <c r="C6085" s="1" t="s">
        <v>24</v>
      </c>
      <c r="D6085" s="1" t="str">
        <f t="shared" si="11433"/>
        <v>2021</v>
      </c>
      <c r="E6085" s="1" t="str">
        <f t="shared" ref="E6085:P6085" si="11439">"0"</f>
        <v>0</v>
      </c>
      <c r="F6085" s="1" t="str">
        <f t="shared" si="11439"/>
        <v>0</v>
      </c>
      <c r="G6085" s="1" t="str">
        <f t="shared" si="11439"/>
        <v>0</v>
      </c>
      <c r="H6085" s="1" t="str">
        <f t="shared" si="11439"/>
        <v>0</v>
      </c>
      <c r="I6085" s="1" t="str">
        <f t="shared" si="11439"/>
        <v>0</v>
      </c>
      <c r="J6085" s="1" t="str">
        <f t="shared" si="11439"/>
        <v>0</v>
      </c>
      <c r="K6085" s="1" t="str">
        <f t="shared" si="11439"/>
        <v>0</v>
      </c>
      <c r="L6085" s="1" t="str">
        <f t="shared" si="11439"/>
        <v>0</v>
      </c>
      <c r="M6085" s="1" t="str">
        <f t="shared" si="11439"/>
        <v>0</v>
      </c>
      <c r="N6085" s="1" t="str">
        <f t="shared" si="11439"/>
        <v>0</v>
      </c>
      <c r="O6085" s="1" t="str">
        <f t="shared" si="11439"/>
        <v>0</v>
      </c>
      <c r="P6085" s="1" t="str">
        <f t="shared" si="11439"/>
        <v>0</v>
      </c>
      <c r="Q6085" s="1" t="str">
        <f t="shared" si="11436"/>
        <v>0.0070</v>
      </c>
      <c r="R6085" s="1" t="s">
        <v>25</v>
      </c>
      <c r="T6085" s="1" t="str">
        <f t="shared" si="11437"/>
        <v>0</v>
      </c>
      <c r="U6085" s="1" t="str">
        <f t="shared" si="11371"/>
        <v>0.0070</v>
      </c>
    </row>
    <row r="6086" s="1" customFormat="1" spans="1:21">
      <c r="A6086" s="1" t="str">
        <f>"4601992244647"</f>
        <v>4601992244647</v>
      </c>
      <c r="B6086" s="1" t="s">
        <v>6109</v>
      </c>
      <c r="C6086" s="1" t="s">
        <v>24</v>
      </c>
      <c r="D6086" s="1" t="str">
        <f t="shared" si="11433"/>
        <v>2021</v>
      </c>
      <c r="E6086" s="1" t="str">
        <f t="shared" ref="E6086:I6086" si="11440">"0"</f>
        <v>0</v>
      </c>
      <c r="F6086" s="1" t="str">
        <f t="shared" si="11440"/>
        <v>0</v>
      </c>
      <c r="G6086" s="1" t="str">
        <f t="shared" si="11440"/>
        <v>0</v>
      </c>
      <c r="H6086" s="1" t="str">
        <f t="shared" si="11440"/>
        <v>0</v>
      </c>
      <c r="I6086" s="1" t="str">
        <f t="shared" si="11440"/>
        <v>0</v>
      </c>
      <c r="J6086" s="1" t="str">
        <f>"1"</f>
        <v>1</v>
      </c>
      <c r="K6086" s="1" t="str">
        <f t="shared" ref="K6086:P6086" si="11441">"0"</f>
        <v>0</v>
      </c>
      <c r="L6086" s="1" t="str">
        <f t="shared" si="11441"/>
        <v>0</v>
      </c>
      <c r="M6086" s="1" t="str">
        <f t="shared" si="11441"/>
        <v>0</v>
      </c>
      <c r="N6086" s="1" t="str">
        <f t="shared" si="11441"/>
        <v>0</v>
      </c>
      <c r="O6086" s="1" t="str">
        <f t="shared" si="11441"/>
        <v>0</v>
      </c>
      <c r="P6086" s="1" t="str">
        <f t="shared" si="11441"/>
        <v>0</v>
      </c>
      <c r="Q6086" s="1" t="str">
        <f t="shared" si="11436"/>
        <v>0.0070</v>
      </c>
      <c r="R6086" s="1" t="s">
        <v>25</v>
      </c>
      <c r="T6086" s="1" t="str">
        <f t="shared" si="11437"/>
        <v>0</v>
      </c>
      <c r="U6086" s="1" t="str">
        <f t="shared" si="11371"/>
        <v>0.0070</v>
      </c>
    </row>
    <row r="6087" s="1" customFormat="1" spans="1:21">
      <c r="A6087" s="1" t="str">
        <f>"4601992244512"</f>
        <v>4601992244512</v>
      </c>
      <c r="B6087" s="1" t="s">
        <v>6110</v>
      </c>
      <c r="C6087" s="1" t="s">
        <v>24</v>
      </c>
      <c r="D6087" s="1" t="str">
        <f t="shared" si="11433"/>
        <v>2021</v>
      </c>
      <c r="E6087" s="1" t="str">
        <f t="shared" ref="E6087:I6087" si="11442">"0"</f>
        <v>0</v>
      </c>
      <c r="F6087" s="1" t="str">
        <f t="shared" si="11442"/>
        <v>0</v>
      </c>
      <c r="G6087" s="1" t="str">
        <f t="shared" si="11442"/>
        <v>0</v>
      </c>
      <c r="H6087" s="1" t="str">
        <f t="shared" si="11442"/>
        <v>0</v>
      </c>
      <c r="I6087" s="1" t="str">
        <f t="shared" si="11442"/>
        <v>0</v>
      </c>
      <c r="J6087" s="1" t="str">
        <f>"9"</f>
        <v>9</v>
      </c>
      <c r="K6087" s="1" t="str">
        <f t="shared" ref="K6087:P6087" si="11443">"0"</f>
        <v>0</v>
      </c>
      <c r="L6087" s="1" t="str">
        <f t="shared" si="11443"/>
        <v>0</v>
      </c>
      <c r="M6087" s="1" t="str">
        <f t="shared" si="11443"/>
        <v>0</v>
      </c>
      <c r="N6087" s="1" t="str">
        <f t="shared" si="11443"/>
        <v>0</v>
      </c>
      <c r="O6087" s="1" t="str">
        <f t="shared" si="11443"/>
        <v>0</v>
      </c>
      <c r="P6087" s="1" t="str">
        <f t="shared" si="11443"/>
        <v>0</v>
      </c>
      <c r="Q6087" s="1" t="str">
        <f t="shared" si="11436"/>
        <v>0.0070</v>
      </c>
      <c r="R6087" s="1" t="s">
        <v>25</v>
      </c>
      <c r="T6087" s="1" t="str">
        <f t="shared" si="11437"/>
        <v>0</v>
      </c>
      <c r="U6087" s="1" t="str">
        <f t="shared" si="11371"/>
        <v>0.0070</v>
      </c>
    </row>
    <row r="6088" s="1" customFormat="1" spans="1:21">
      <c r="A6088" s="1" t="str">
        <f>"4601992244876"</f>
        <v>4601992244876</v>
      </c>
      <c r="B6088" s="1" t="s">
        <v>6111</v>
      </c>
      <c r="C6088" s="1" t="s">
        <v>24</v>
      </c>
      <c r="D6088" s="1" t="str">
        <f t="shared" si="11433"/>
        <v>2021</v>
      </c>
      <c r="E6088" s="1" t="str">
        <f t="shared" ref="E6088:I6088" si="11444">"0"</f>
        <v>0</v>
      </c>
      <c r="F6088" s="1" t="str">
        <f t="shared" si="11444"/>
        <v>0</v>
      </c>
      <c r="G6088" s="1" t="str">
        <f t="shared" si="11444"/>
        <v>0</v>
      </c>
      <c r="H6088" s="1" t="str">
        <f t="shared" si="11444"/>
        <v>0</v>
      </c>
      <c r="I6088" s="1" t="str">
        <f t="shared" si="11444"/>
        <v>0</v>
      </c>
      <c r="J6088" s="1" t="str">
        <f>"2"</f>
        <v>2</v>
      </c>
      <c r="K6088" s="1" t="str">
        <f t="shared" ref="K6088:P6088" si="11445">"0"</f>
        <v>0</v>
      </c>
      <c r="L6088" s="1" t="str">
        <f t="shared" si="11445"/>
        <v>0</v>
      </c>
      <c r="M6088" s="1" t="str">
        <f t="shared" si="11445"/>
        <v>0</v>
      </c>
      <c r="N6088" s="1" t="str">
        <f t="shared" si="11445"/>
        <v>0</v>
      </c>
      <c r="O6088" s="1" t="str">
        <f t="shared" si="11445"/>
        <v>0</v>
      </c>
      <c r="P6088" s="1" t="str">
        <f t="shared" si="11445"/>
        <v>0</v>
      </c>
      <c r="Q6088" s="1" t="str">
        <f t="shared" si="11436"/>
        <v>0.0070</v>
      </c>
      <c r="R6088" s="1" t="s">
        <v>25</v>
      </c>
      <c r="T6088" s="1" t="str">
        <f t="shared" si="11437"/>
        <v>0</v>
      </c>
      <c r="U6088" s="1" t="str">
        <f t="shared" si="11371"/>
        <v>0.0070</v>
      </c>
    </row>
    <row r="6089" s="1" customFormat="1" spans="1:21">
      <c r="A6089" s="1" t="str">
        <f>"4601992244882"</f>
        <v>4601992244882</v>
      </c>
      <c r="B6089" s="1" t="s">
        <v>6112</v>
      </c>
      <c r="C6089" s="1" t="s">
        <v>24</v>
      </c>
      <c r="D6089" s="1" t="str">
        <f t="shared" si="11433"/>
        <v>2021</v>
      </c>
      <c r="E6089" s="1" t="str">
        <f t="shared" ref="E6089:I6089" si="11446">"0"</f>
        <v>0</v>
      </c>
      <c r="F6089" s="1" t="str">
        <f t="shared" si="11446"/>
        <v>0</v>
      </c>
      <c r="G6089" s="1" t="str">
        <f t="shared" si="11446"/>
        <v>0</v>
      </c>
      <c r="H6089" s="1" t="str">
        <f t="shared" si="11446"/>
        <v>0</v>
      </c>
      <c r="I6089" s="1" t="str">
        <f t="shared" si="11446"/>
        <v>0</v>
      </c>
      <c r="J6089" s="1" t="str">
        <f>"1"</f>
        <v>1</v>
      </c>
      <c r="K6089" s="1" t="str">
        <f t="shared" ref="K6089:P6089" si="11447">"0"</f>
        <v>0</v>
      </c>
      <c r="L6089" s="1" t="str">
        <f t="shared" si="11447"/>
        <v>0</v>
      </c>
      <c r="M6089" s="1" t="str">
        <f t="shared" si="11447"/>
        <v>0</v>
      </c>
      <c r="N6089" s="1" t="str">
        <f t="shared" si="11447"/>
        <v>0</v>
      </c>
      <c r="O6089" s="1" t="str">
        <f t="shared" si="11447"/>
        <v>0</v>
      </c>
      <c r="P6089" s="1" t="str">
        <f t="shared" si="11447"/>
        <v>0</v>
      </c>
      <c r="Q6089" s="1" t="str">
        <f t="shared" si="11436"/>
        <v>0.0070</v>
      </c>
      <c r="R6089" s="1" t="s">
        <v>25</v>
      </c>
      <c r="T6089" s="1" t="str">
        <f t="shared" si="11437"/>
        <v>0</v>
      </c>
      <c r="U6089" s="1" t="str">
        <f t="shared" si="11371"/>
        <v>0.0070</v>
      </c>
    </row>
    <row r="6090" s="1" customFormat="1" spans="1:21">
      <c r="A6090" s="1" t="str">
        <f>"4601992244946"</f>
        <v>4601992244946</v>
      </c>
      <c r="B6090" s="1" t="s">
        <v>6113</v>
      </c>
      <c r="C6090" s="1" t="s">
        <v>24</v>
      </c>
      <c r="D6090" s="1" t="str">
        <f t="shared" si="11433"/>
        <v>2021</v>
      </c>
      <c r="E6090" s="1" t="str">
        <f t="shared" ref="E6090:P6090" si="11448">"0"</f>
        <v>0</v>
      </c>
      <c r="F6090" s="1" t="str">
        <f t="shared" si="11448"/>
        <v>0</v>
      </c>
      <c r="G6090" s="1" t="str">
        <f t="shared" si="11448"/>
        <v>0</v>
      </c>
      <c r="H6090" s="1" t="str">
        <f t="shared" si="11448"/>
        <v>0</v>
      </c>
      <c r="I6090" s="1" t="str">
        <f t="shared" si="11448"/>
        <v>0</v>
      </c>
      <c r="J6090" s="1" t="str">
        <f t="shared" si="11448"/>
        <v>0</v>
      </c>
      <c r="K6090" s="1" t="str">
        <f t="shared" si="11448"/>
        <v>0</v>
      </c>
      <c r="L6090" s="1" t="str">
        <f t="shared" si="11448"/>
        <v>0</v>
      </c>
      <c r="M6090" s="1" t="str">
        <f t="shared" si="11448"/>
        <v>0</v>
      </c>
      <c r="N6090" s="1" t="str">
        <f t="shared" si="11448"/>
        <v>0</v>
      </c>
      <c r="O6090" s="1" t="str">
        <f t="shared" si="11448"/>
        <v>0</v>
      </c>
      <c r="P6090" s="1" t="str">
        <f t="shared" si="11448"/>
        <v>0</v>
      </c>
      <c r="Q6090" s="1" t="str">
        <f t="shared" si="11436"/>
        <v>0.0070</v>
      </c>
      <c r="R6090" s="1" t="s">
        <v>25</v>
      </c>
      <c r="T6090" s="1" t="str">
        <f t="shared" si="11437"/>
        <v>0</v>
      </c>
      <c r="U6090" s="1" t="str">
        <f t="shared" si="11371"/>
        <v>0.0070</v>
      </c>
    </row>
    <row r="6091" s="1" customFormat="1" spans="1:21">
      <c r="A6091" s="1" t="str">
        <f>"4601992244977"</f>
        <v>4601992244977</v>
      </c>
      <c r="B6091" s="1" t="s">
        <v>6114</v>
      </c>
      <c r="C6091" s="1" t="s">
        <v>24</v>
      </c>
      <c r="D6091" s="1" t="str">
        <f t="shared" si="11433"/>
        <v>2021</v>
      </c>
      <c r="E6091" s="1" t="str">
        <f t="shared" ref="E6091:P6091" si="11449">"0"</f>
        <v>0</v>
      </c>
      <c r="F6091" s="1" t="str">
        <f t="shared" si="11449"/>
        <v>0</v>
      </c>
      <c r="G6091" s="1" t="str">
        <f t="shared" si="11449"/>
        <v>0</v>
      </c>
      <c r="H6091" s="1" t="str">
        <f t="shared" si="11449"/>
        <v>0</v>
      </c>
      <c r="I6091" s="1" t="str">
        <f t="shared" si="11449"/>
        <v>0</v>
      </c>
      <c r="J6091" s="1" t="str">
        <f t="shared" si="11449"/>
        <v>0</v>
      </c>
      <c r="K6091" s="1" t="str">
        <f t="shared" si="11449"/>
        <v>0</v>
      </c>
      <c r="L6091" s="1" t="str">
        <f t="shared" si="11449"/>
        <v>0</v>
      </c>
      <c r="M6091" s="1" t="str">
        <f t="shared" si="11449"/>
        <v>0</v>
      </c>
      <c r="N6091" s="1" t="str">
        <f t="shared" si="11449"/>
        <v>0</v>
      </c>
      <c r="O6091" s="1" t="str">
        <f t="shared" si="11449"/>
        <v>0</v>
      </c>
      <c r="P6091" s="1" t="str">
        <f t="shared" si="11449"/>
        <v>0</v>
      </c>
      <c r="Q6091" s="1" t="str">
        <f t="shared" si="11436"/>
        <v>0.0070</v>
      </c>
      <c r="R6091" s="1" t="s">
        <v>25</v>
      </c>
      <c r="T6091" s="1" t="str">
        <f t="shared" si="11437"/>
        <v>0</v>
      </c>
      <c r="U6091" s="1" t="str">
        <f t="shared" si="11371"/>
        <v>0.0070</v>
      </c>
    </row>
    <row r="6092" s="1" customFormat="1" spans="1:21">
      <c r="A6092" s="1" t="str">
        <f>"4601992244907"</f>
        <v>4601992244907</v>
      </c>
      <c r="B6092" s="1" t="s">
        <v>6115</v>
      </c>
      <c r="C6092" s="1" t="s">
        <v>24</v>
      </c>
      <c r="D6092" s="1" t="str">
        <f t="shared" si="11433"/>
        <v>2021</v>
      </c>
      <c r="E6092" s="1" t="str">
        <f t="shared" ref="E6092:I6092" si="11450">"0"</f>
        <v>0</v>
      </c>
      <c r="F6092" s="1" t="str">
        <f t="shared" si="11450"/>
        <v>0</v>
      </c>
      <c r="G6092" s="1" t="str">
        <f t="shared" si="11450"/>
        <v>0</v>
      </c>
      <c r="H6092" s="1" t="str">
        <f t="shared" si="11450"/>
        <v>0</v>
      </c>
      <c r="I6092" s="1" t="str">
        <f t="shared" si="11450"/>
        <v>0</v>
      </c>
      <c r="J6092" s="1" t="str">
        <f>"15"</f>
        <v>15</v>
      </c>
      <c r="K6092" s="1" t="str">
        <f t="shared" ref="K6092:P6092" si="11451">"0"</f>
        <v>0</v>
      </c>
      <c r="L6092" s="1" t="str">
        <f t="shared" si="11451"/>
        <v>0</v>
      </c>
      <c r="M6092" s="1" t="str">
        <f t="shared" si="11451"/>
        <v>0</v>
      </c>
      <c r="N6092" s="1" t="str">
        <f t="shared" si="11451"/>
        <v>0</v>
      </c>
      <c r="O6092" s="1" t="str">
        <f t="shared" si="11451"/>
        <v>0</v>
      </c>
      <c r="P6092" s="1" t="str">
        <f t="shared" si="11451"/>
        <v>0</v>
      </c>
      <c r="Q6092" s="1" t="str">
        <f t="shared" si="11436"/>
        <v>0.0070</v>
      </c>
      <c r="R6092" s="1" t="s">
        <v>25</v>
      </c>
      <c r="T6092" s="1" t="str">
        <f t="shared" si="11437"/>
        <v>0</v>
      </c>
      <c r="U6092" s="1" t="str">
        <f t="shared" si="11371"/>
        <v>0.0070</v>
      </c>
    </row>
    <row r="6093" s="1" customFormat="1" spans="1:21">
      <c r="A6093" s="1" t="str">
        <f>"4601992245033"</f>
        <v>4601992245033</v>
      </c>
      <c r="B6093" s="1" t="s">
        <v>6116</v>
      </c>
      <c r="C6093" s="1" t="s">
        <v>24</v>
      </c>
      <c r="D6093" s="1" t="str">
        <f t="shared" si="11433"/>
        <v>2021</v>
      </c>
      <c r="E6093" s="1" t="str">
        <f t="shared" ref="E6093:I6093" si="11452">"0"</f>
        <v>0</v>
      </c>
      <c r="F6093" s="1" t="str">
        <f t="shared" si="11452"/>
        <v>0</v>
      </c>
      <c r="G6093" s="1" t="str">
        <f t="shared" si="11452"/>
        <v>0</v>
      </c>
      <c r="H6093" s="1" t="str">
        <f t="shared" si="11452"/>
        <v>0</v>
      </c>
      <c r="I6093" s="1" t="str">
        <f t="shared" si="11452"/>
        <v>0</v>
      </c>
      <c r="J6093" s="1" t="str">
        <f>"5"</f>
        <v>5</v>
      </c>
      <c r="K6093" s="1" t="str">
        <f t="shared" ref="K6093:P6093" si="11453">"0"</f>
        <v>0</v>
      </c>
      <c r="L6093" s="1" t="str">
        <f t="shared" si="11453"/>
        <v>0</v>
      </c>
      <c r="M6093" s="1" t="str">
        <f t="shared" si="11453"/>
        <v>0</v>
      </c>
      <c r="N6093" s="1" t="str">
        <f t="shared" si="11453"/>
        <v>0</v>
      </c>
      <c r="O6093" s="1" t="str">
        <f t="shared" si="11453"/>
        <v>0</v>
      </c>
      <c r="P6093" s="1" t="str">
        <f t="shared" si="11453"/>
        <v>0</v>
      </c>
      <c r="Q6093" s="1" t="str">
        <f t="shared" si="11436"/>
        <v>0.0070</v>
      </c>
      <c r="R6093" s="1" t="s">
        <v>25</v>
      </c>
      <c r="T6093" s="1" t="str">
        <f t="shared" si="11437"/>
        <v>0</v>
      </c>
      <c r="U6093" s="1" t="str">
        <f t="shared" si="11371"/>
        <v>0.0070</v>
      </c>
    </row>
    <row r="6094" s="1" customFormat="1" spans="1:21">
      <c r="A6094" s="1" t="str">
        <f>"4601992245038"</f>
        <v>4601992245038</v>
      </c>
      <c r="B6094" s="1" t="s">
        <v>6117</v>
      </c>
      <c r="C6094" s="1" t="s">
        <v>24</v>
      </c>
      <c r="D6094" s="1" t="str">
        <f t="shared" si="11433"/>
        <v>2021</v>
      </c>
      <c r="E6094" s="1" t="str">
        <f t="shared" ref="E6094:I6094" si="11454">"0"</f>
        <v>0</v>
      </c>
      <c r="F6094" s="1" t="str">
        <f t="shared" si="11454"/>
        <v>0</v>
      </c>
      <c r="G6094" s="1" t="str">
        <f t="shared" si="11454"/>
        <v>0</v>
      </c>
      <c r="H6094" s="1" t="str">
        <f t="shared" si="11454"/>
        <v>0</v>
      </c>
      <c r="I6094" s="1" t="str">
        <f t="shared" si="11454"/>
        <v>0</v>
      </c>
      <c r="J6094" s="1" t="str">
        <f t="shared" ref="J6094:J6099" si="11455">"1"</f>
        <v>1</v>
      </c>
      <c r="K6094" s="1" t="str">
        <f t="shared" ref="K6094:P6094" si="11456">"0"</f>
        <v>0</v>
      </c>
      <c r="L6094" s="1" t="str">
        <f t="shared" si="11456"/>
        <v>0</v>
      </c>
      <c r="M6094" s="1" t="str">
        <f t="shared" si="11456"/>
        <v>0</v>
      </c>
      <c r="N6094" s="1" t="str">
        <f t="shared" si="11456"/>
        <v>0</v>
      </c>
      <c r="O6094" s="1" t="str">
        <f t="shared" si="11456"/>
        <v>0</v>
      </c>
      <c r="P6094" s="1" t="str">
        <f t="shared" si="11456"/>
        <v>0</v>
      </c>
      <c r="Q6094" s="1" t="str">
        <f t="shared" si="11436"/>
        <v>0.0070</v>
      </c>
      <c r="R6094" s="1" t="s">
        <v>25</v>
      </c>
      <c r="T6094" s="1" t="str">
        <f t="shared" si="11437"/>
        <v>0</v>
      </c>
      <c r="U6094" s="1" t="str">
        <f t="shared" si="11371"/>
        <v>0.0070</v>
      </c>
    </row>
    <row r="6095" s="1" customFormat="1" spans="1:21">
      <c r="A6095" s="1" t="str">
        <f>"4601992245107"</f>
        <v>4601992245107</v>
      </c>
      <c r="B6095" s="1" t="s">
        <v>6118</v>
      </c>
      <c r="C6095" s="1" t="s">
        <v>24</v>
      </c>
      <c r="D6095" s="1" t="str">
        <f t="shared" si="11433"/>
        <v>2021</v>
      </c>
      <c r="E6095" s="1" t="str">
        <f t="shared" ref="E6095:I6095" si="11457">"0"</f>
        <v>0</v>
      </c>
      <c r="F6095" s="1" t="str">
        <f t="shared" si="11457"/>
        <v>0</v>
      </c>
      <c r="G6095" s="1" t="str">
        <f t="shared" si="11457"/>
        <v>0</v>
      </c>
      <c r="H6095" s="1" t="str">
        <f t="shared" si="11457"/>
        <v>0</v>
      </c>
      <c r="I6095" s="1" t="str">
        <f t="shared" si="11457"/>
        <v>0</v>
      </c>
      <c r="J6095" s="1" t="str">
        <f t="shared" si="11455"/>
        <v>1</v>
      </c>
      <c r="K6095" s="1" t="str">
        <f t="shared" ref="K6095:P6095" si="11458">"0"</f>
        <v>0</v>
      </c>
      <c r="L6095" s="1" t="str">
        <f t="shared" si="11458"/>
        <v>0</v>
      </c>
      <c r="M6095" s="1" t="str">
        <f t="shared" si="11458"/>
        <v>0</v>
      </c>
      <c r="N6095" s="1" t="str">
        <f t="shared" si="11458"/>
        <v>0</v>
      </c>
      <c r="O6095" s="1" t="str">
        <f t="shared" si="11458"/>
        <v>0</v>
      </c>
      <c r="P6095" s="1" t="str">
        <f t="shared" si="11458"/>
        <v>0</v>
      </c>
      <c r="Q6095" s="1" t="str">
        <f t="shared" si="11436"/>
        <v>0.0070</v>
      </c>
      <c r="R6095" s="1" t="s">
        <v>25</v>
      </c>
      <c r="T6095" s="1" t="str">
        <f t="shared" si="11437"/>
        <v>0</v>
      </c>
      <c r="U6095" s="1" t="str">
        <f t="shared" si="11371"/>
        <v>0.0070</v>
      </c>
    </row>
    <row r="6096" s="1" customFormat="1" spans="1:21">
      <c r="A6096" s="1" t="str">
        <f>"4601992245114"</f>
        <v>4601992245114</v>
      </c>
      <c r="B6096" s="1" t="s">
        <v>6119</v>
      </c>
      <c r="C6096" s="1" t="s">
        <v>24</v>
      </c>
      <c r="D6096" s="1" t="str">
        <f t="shared" si="11433"/>
        <v>2021</v>
      </c>
      <c r="E6096" s="1" t="str">
        <f t="shared" ref="E6096:I6096" si="11459">"0"</f>
        <v>0</v>
      </c>
      <c r="F6096" s="1" t="str">
        <f t="shared" si="11459"/>
        <v>0</v>
      </c>
      <c r="G6096" s="1" t="str">
        <f t="shared" si="11459"/>
        <v>0</v>
      </c>
      <c r="H6096" s="1" t="str">
        <f t="shared" si="11459"/>
        <v>0</v>
      </c>
      <c r="I6096" s="1" t="str">
        <f t="shared" si="11459"/>
        <v>0</v>
      </c>
      <c r="J6096" s="1" t="str">
        <f>"2"</f>
        <v>2</v>
      </c>
      <c r="K6096" s="1" t="str">
        <f t="shared" ref="K6096:P6096" si="11460">"0"</f>
        <v>0</v>
      </c>
      <c r="L6096" s="1" t="str">
        <f t="shared" si="11460"/>
        <v>0</v>
      </c>
      <c r="M6096" s="1" t="str">
        <f t="shared" si="11460"/>
        <v>0</v>
      </c>
      <c r="N6096" s="1" t="str">
        <f t="shared" si="11460"/>
        <v>0</v>
      </c>
      <c r="O6096" s="1" t="str">
        <f t="shared" si="11460"/>
        <v>0</v>
      </c>
      <c r="P6096" s="1" t="str">
        <f t="shared" si="11460"/>
        <v>0</v>
      </c>
      <c r="Q6096" s="1" t="str">
        <f t="shared" si="11436"/>
        <v>0.0070</v>
      </c>
      <c r="R6096" s="1" t="s">
        <v>25</v>
      </c>
      <c r="T6096" s="1" t="str">
        <f t="shared" si="11437"/>
        <v>0</v>
      </c>
      <c r="U6096" s="1" t="str">
        <f t="shared" si="11371"/>
        <v>0.0070</v>
      </c>
    </row>
    <row r="6097" s="1" customFormat="1" spans="1:21">
      <c r="A6097" s="1" t="str">
        <f>"4601992245122"</f>
        <v>4601992245122</v>
      </c>
      <c r="B6097" s="1" t="s">
        <v>6120</v>
      </c>
      <c r="C6097" s="1" t="s">
        <v>24</v>
      </c>
      <c r="D6097" s="1" t="str">
        <f t="shared" si="11433"/>
        <v>2021</v>
      </c>
      <c r="E6097" s="1" t="str">
        <f>"12.43"</f>
        <v>12.43</v>
      </c>
      <c r="F6097" s="1" t="str">
        <f t="shared" ref="F6097:I6097" si="11461">"0"</f>
        <v>0</v>
      </c>
      <c r="G6097" s="1" t="str">
        <f t="shared" si="11461"/>
        <v>0</v>
      </c>
      <c r="H6097" s="1" t="str">
        <f t="shared" si="11461"/>
        <v>0</v>
      </c>
      <c r="I6097" s="1" t="str">
        <f t="shared" si="11461"/>
        <v>0</v>
      </c>
      <c r="J6097" s="1" t="str">
        <f>"2"</f>
        <v>2</v>
      </c>
      <c r="K6097" s="1" t="str">
        <f t="shared" ref="K6097:P6097" si="11462">"0"</f>
        <v>0</v>
      </c>
      <c r="L6097" s="1" t="str">
        <f t="shared" si="11462"/>
        <v>0</v>
      </c>
      <c r="M6097" s="1" t="str">
        <f t="shared" si="11462"/>
        <v>0</v>
      </c>
      <c r="N6097" s="1" t="str">
        <f t="shared" si="11462"/>
        <v>0</v>
      </c>
      <c r="O6097" s="1" t="str">
        <f t="shared" si="11462"/>
        <v>0</v>
      </c>
      <c r="P6097" s="1" t="str">
        <f t="shared" si="11462"/>
        <v>0</v>
      </c>
      <c r="Q6097" s="1" t="str">
        <f t="shared" si="11436"/>
        <v>0.0070</v>
      </c>
      <c r="R6097" s="1" t="s">
        <v>25</v>
      </c>
      <c r="T6097" s="1" t="str">
        <f t="shared" si="11437"/>
        <v>0</v>
      </c>
      <c r="U6097" s="1" t="str">
        <f t="shared" si="11371"/>
        <v>0.0070</v>
      </c>
    </row>
    <row r="6098" s="1" customFormat="1" spans="1:21">
      <c r="A6098" s="1" t="str">
        <f>"4601992245250"</f>
        <v>4601992245250</v>
      </c>
      <c r="B6098" s="1" t="s">
        <v>6121</v>
      </c>
      <c r="C6098" s="1" t="s">
        <v>24</v>
      </c>
      <c r="D6098" s="1" t="str">
        <f t="shared" si="11433"/>
        <v>2021</v>
      </c>
      <c r="E6098" s="1" t="str">
        <f t="shared" ref="E6098:I6098" si="11463">"0"</f>
        <v>0</v>
      </c>
      <c r="F6098" s="1" t="str">
        <f t="shared" si="11463"/>
        <v>0</v>
      </c>
      <c r="G6098" s="1" t="str">
        <f t="shared" si="11463"/>
        <v>0</v>
      </c>
      <c r="H6098" s="1" t="str">
        <f t="shared" si="11463"/>
        <v>0</v>
      </c>
      <c r="I6098" s="1" t="str">
        <f t="shared" si="11463"/>
        <v>0</v>
      </c>
      <c r="J6098" s="1" t="str">
        <f t="shared" si="11455"/>
        <v>1</v>
      </c>
      <c r="K6098" s="1" t="str">
        <f t="shared" ref="K6098:P6098" si="11464">"0"</f>
        <v>0</v>
      </c>
      <c r="L6098" s="1" t="str">
        <f t="shared" si="11464"/>
        <v>0</v>
      </c>
      <c r="M6098" s="1" t="str">
        <f t="shared" si="11464"/>
        <v>0</v>
      </c>
      <c r="N6098" s="1" t="str">
        <f t="shared" si="11464"/>
        <v>0</v>
      </c>
      <c r="O6098" s="1" t="str">
        <f t="shared" si="11464"/>
        <v>0</v>
      </c>
      <c r="P6098" s="1" t="str">
        <f t="shared" si="11464"/>
        <v>0</v>
      </c>
      <c r="Q6098" s="1" t="str">
        <f t="shared" si="11436"/>
        <v>0.0070</v>
      </c>
      <c r="R6098" s="1" t="s">
        <v>25</v>
      </c>
      <c r="T6098" s="1" t="str">
        <f t="shared" si="11437"/>
        <v>0</v>
      </c>
      <c r="U6098" s="1" t="str">
        <f t="shared" si="11371"/>
        <v>0.0070</v>
      </c>
    </row>
    <row r="6099" s="1" customFormat="1" spans="1:21">
      <c r="A6099" s="1" t="str">
        <f>"4601992245256"</f>
        <v>4601992245256</v>
      </c>
      <c r="B6099" s="1" t="s">
        <v>6122</v>
      </c>
      <c r="C6099" s="1" t="s">
        <v>24</v>
      </c>
      <c r="D6099" s="1" t="str">
        <f t="shared" si="11433"/>
        <v>2021</v>
      </c>
      <c r="E6099" s="1" t="str">
        <f t="shared" ref="E6099:I6099" si="11465">"0"</f>
        <v>0</v>
      </c>
      <c r="F6099" s="1" t="str">
        <f t="shared" si="11465"/>
        <v>0</v>
      </c>
      <c r="G6099" s="1" t="str">
        <f t="shared" si="11465"/>
        <v>0</v>
      </c>
      <c r="H6099" s="1" t="str">
        <f t="shared" si="11465"/>
        <v>0</v>
      </c>
      <c r="I6099" s="1" t="str">
        <f t="shared" si="11465"/>
        <v>0</v>
      </c>
      <c r="J6099" s="1" t="str">
        <f t="shared" si="11455"/>
        <v>1</v>
      </c>
      <c r="K6099" s="1" t="str">
        <f t="shared" ref="K6099:P6099" si="11466">"0"</f>
        <v>0</v>
      </c>
      <c r="L6099" s="1" t="str">
        <f t="shared" si="11466"/>
        <v>0</v>
      </c>
      <c r="M6099" s="1" t="str">
        <f t="shared" si="11466"/>
        <v>0</v>
      </c>
      <c r="N6099" s="1" t="str">
        <f t="shared" si="11466"/>
        <v>0</v>
      </c>
      <c r="O6099" s="1" t="str">
        <f t="shared" si="11466"/>
        <v>0</v>
      </c>
      <c r="P6099" s="1" t="str">
        <f t="shared" si="11466"/>
        <v>0</v>
      </c>
      <c r="Q6099" s="1" t="str">
        <f t="shared" si="11436"/>
        <v>0.0070</v>
      </c>
      <c r="R6099" s="1" t="s">
        <v>25</v>
      </c>
      <c r="T6099" s="1" t="str">
        <f t="shared" si="11437"/>
        <v>0</v>
      </c>
      <c r="U6099" s="1" t="str">
        <f t="shared" si="11371"/>
        <v>0.0070</v>
      </c>
    </row>
    <row r="6100" s="1" customFormat="1" spans="1:21">
      <c r="A6100" s="1" t="str">
        <f>"4601992245377"</f>
        <v>4601992245377</v>
      </c>
      <c r="B6100" s="1" t="s">
        <v>6123</v>
      </c>
      <c r="C6100" s="1" t="s">
        <v>24</v>
      </c>
      <c r="D6100" s="1" t="str">
        <f t="shared" si="11433"/>
        <v>2021</v>
      </c>
      <c r="E6100" s="1" t="str">
        <f t="shared" ref="E6100:P6100" si="11467">"0"</f>
        <v>0</v>
      </c>
      <c r="F6100" s="1" t="str">
        <f t="shared" si="11467"/>
        <v>0</v>
      </c>
      <c r="G6100" s="1" t="str">
        <f t="shared" si="11467"/>
        <v>0</v>
      </c>
      <c r="H6100" s="1" t="str">
        <f t="shared" si="11467"/>
        <v>0</v>
      </c>
      <c r="I6100" s="1" t="str">
        <f t="shared" si="11467"/>
        <v>0</v>
      </c>
      <c r="J6100" s="1" t="str">
        <f t="shared" si="11467"/>
        <v>0</v>
      </c>
      <c r="K6100" s="1" t="str">
        <f t="shared" si="11467"/>
        <v>0</v>
      </c>
      <c r="L6100" s="1" t="str">
        <f t="shared" si="11467"/>
        <v>0</v>
      </c>
      <c r="M6100" s="1" t="str">
        <f t="shared" si="11467"/>
        <v>0</v>
      </c>
      <c r="N6100" s="1" t="str">
        <f t="shared" si="11467"/>
        <v>0</v>
      </c>
      <c r="O6100" s="1" t="str">
        <f t="shared" si="11467"/>
        <v>0</v>
      </c>
      <c r="P6100" s="1" t="str">
        <f t="shared" si="11467"/>
        <v>0</v>
      </c>
      <c r="Q6100" s="1" t="str">
        <f t="shared" si="11436"/>
        <v>0.0070</v>
      </c>
      <c r="R6100" s="1" t="s">
        <v>25</v>
      </c>
      <c r="T6100" s="1" t="str">
        <f t="shared" si="11437"/>
        <v>0</v>
      </c>
      <c r="U6100" s="1" t="str">
        <f t="shared" si="11371"/>
        <v>0.0070</v>
      </c>
    </row>
    <row r="6101" s="1" customFormat="1" spans="1:21">
      <c r="A6101" s="1" t="str">
        <f>"4601992245408"</f>
        <v>4601992245408</v>
      </c>
      <c r="B6101" s="1" t="s">
        <v>6124</v>
      </c>
      <c r="C6101" s="1" t="s">
        <v>24</v>
      </c>
      <c r="D6101" s="1" t="str">
        <f t="shared" si="11433"/>
        <v>2021</v>
      </c>
      <c r="E6101" s="1" t="str">
        <f t="shared" ref="E6101:P6101" si="11468">"0"</f>
        <v>0</v>
      </c>
      <c r="F6101" s="1" t="str">
        <f t="shared" si="11468"/>
        <v>0</v>
      </c>
      <c r="G6101" s="1" t="str">
        <f t="shared" si="11468"/>
        <v>0</v>
      </c>
      <c r="H6101" s="1" t="str">
        <f t="shared" si="11468"/>
        <v>0</v>
      </c>
      <c r="I6101" s="1" t="str">
        <f t="shared" si="11468"/>
        <v>0</v>
      </c>
      <c r="J6101" s="1" t="str">
        <f t="shared" si="11468"/>
        <v>0</v>
      </c>
      <c r="K6101" s="1" t="str">
        <f t="shared" si="11468"/>
        <v>0</v>
      </c>
      <c r="L6101" s="1" t="str">
        <f t="shared" si="11468"/>
        <v>0</v>
      </c>
      <c r="M6101" s="1" t="str">
        <f t="shared" si="11468"/>
        <v>0</v>
      </c>
      <c r="N6101" s="1" t="str">
        <f t="shared" si="11468"/>
        <v>0</v>
      </c>
      <c r="O6101" s="1" t="str">
        <f t="shared" si="11468"/>
        <v>0</v>
      </c>
      <c r="P6101" s="1" t="str">
        <f t="shared" si="11468"/>
        <v>0</v>
      </c>
      <c r="Q6101" s="1" t="str">
        <f t="shared" si="11436"/>
        <v>0.0070</v>
      </c>
      <c r="R6101" s="1" t="s">
        <v>25</v>
      </c>
      <c r="T6101" s="1" t="str">
        <f t="shared" si="11437"/>
        <v>0</v>
      </c>
      <c r="U6101" s="1" t="str">
        <f t="shared" si="11371"/>
        <v>0.0070</v>
      </c>
    </row>
    <row r="6102" s="1" customFormat="1" spans="1:21">
      <c r="A6102" s="1" t="str">
        <f>"4601992245289"</f>
        <v>4601992245289</v>
      </c>
      <c r="B6102" s="1" t="s">
        <v>6125</v>
      </c>
      <c r="C6102" s="1" t="s">
        <v>24</v>
      </c>
      <c r="D6102" s="1" t="str">
        <f t="shared" si="11433"/>
        <v>2021</v>
      </c>
      <c r="E6102" s="1" t="str">
        <f t="shared" ref="E6102:I6102" si="11469">"0"</f>
        <v>0</v>
      </c>
      <c r="F6102" s="1" t="str">
        <f t="shared" si="11469"/>
        <v>0</v>
      </c>
      <c r="G6102" s="1" t="str">
        <f t="shared" si="11469"/>
        <v>0</v>
      </c>
      <c r="H6102" s="1" t="str">
        <f t="shared" si="11469"/>
        <v>0</v>
      </c>
      <c r="I6102" s="1" t="str">
        <f t="shared" si="11469"/>
        <v>0</v>
      </c>
      <c r="J6102" s="1" t="str">
        <f>"5"</f>
        <v>5</v>
      </c>
      <c r="K6102" s="1" t="str">
        <f t="shared" ref="K6102:P6102" si="11470">"0"</f>
        <v>0</v>
      </c>
      <c r="L6102" s="1" t="str">
        <f t="shared" si="11470"/>
        <v>0</v>
      </c>
      <c r="M6102" s="1" t="str">
        <f t="shared" si="11470"/>
        <v>0</v>
      </c>
      <c r="N6102" s="1" t="str">
        <f t="shared" si="11470"/>
        <v>0</v>
      </c>
      <c r="O6102" s="1" t="str">
        <f t="shared" si="11470"/>
        <v>0</v>
      </c>
      <c r="P6102" s="1" t="str">
        <f t="shared" si="11470"/>
        <v>0</v>
      </c>
      <c r="Q6102" s="1" t="str">
        <f t="shared" si="11436"/>
        <v>0.0070</v>
      </c>
      <c r="R6102" s="1" t="s">
        <v>25</v>
      </c>
      <c r="T6102" s="1" t="str">
        <f t="shared" si="11437"/>
        <v>0</v>
      </c>
      <c r="U6102" s="1" t="str">
        <f t="shared" si="11371"/>
        <v>0.0070</v>
      </c>
    </row>
    <row r="6103" s="1" customFormat="1" spans="1:21">
      <c r="A6103" s="1" t="str">
        <f>"4601992245278"</f>
        <v>4601992245278</v>
      </c>
      <c r="B6103" s="1" t="s">
        <v>6126</v>
      </c>
      <c r="C6103" s="1" t="s">
        <v>24</v>
      </c>
      <c r="D6103" s="1" t="str">
        <f t="shared" si="11433"/>
        <v>2021</v>
      </c>
      <c r="E6103" s="1" t="str">
        <f t="shared" ref="E6103:I6103" si="11471">"0"</f>
        <v>0</v>
      </c>
      <c r="F6103" s="1" t="str">
        <f t="shared" si="11471"/>
        <v>0</v>
      </c>
      <c r="G6103" s="1" t="str">
        <f t="shared" si="11471"/>
        <v>0</v>
      </c>
      <c r="H6103" s="1" t="str">
        <f t="shared" si="11471"/>
        <v>0</v>
      </c>
      <c r="I6103" s="1" t="str">
        <f t="shared" si="11471"/>
        <v>0</v>
      </c>
      <c r="J6103" s="1" t="str">
        <f>"2"</f>
        <v>2</v>
      </c>
      <c r="K6103" s="1" t="str">
        <f t="shared" ref="K6103:P6103" si="11472">"0"</f>
        <v>0</v>
      </c>
      <c r="L6103" s="1" t="str">
        <f t="shared" si="11472"/>
        <v>0</v>
      </c>
      <c r="M6103" s="1" t="str">
        <f t="shared" si="11472"/>
        <v>0</v>
      </c>
      <c r="N6103" s="1" t="str">
        <f t="shared" si="11472"/>
        <v>0</v>
      </c>
      <c r="O6103" s="1" t="str">
        <f t="shared" si="11472"/>
        <v>0</v>
      </c>
      <c r="P6103" s="1" t="str">
        <f t="shared" si="11472"/>
        <v>0</v>
      </c>
      <c r="Q6103" s="1" t="str">
        <f t="shared" si="11436"/>
        <v>0.0070</v>
      </c>
      <c r="R6103" s="1" t="s">
        <v>25</v>
      </c>
      <c r="T6103" s="1" t="str">
        <f t="shared" si="11437"/>
        <v>0</v>
      </c>
      <c r="U6103" s="1" t="str">
        <f t="shared" si="11371"/>
        <v>0.0070</v>
      </c>
    </row>
    <row r="6104" s="1" customFormat="1" spans="1:21">
      <c r="A6104" s="1" t="str">
        <f>"4601992246348"</f>
        <v>4601992246348</v>
      </c>
      <c r="B6104" s="1" t="s">
        <v>6127</v>
      </c>
      <c r="C6104" s="1" t="s">
        <v>24</v>
      </c>
      <c r="D6104" s="1" t="str">
        <f t="shared" si="11433"/>
        <v>2021</v>
      </c>
      <c r="E6104" s="1" t="str">
        <f t="shared" ref="E6104:P6104" si="11473">"0"</f>
        <v>0</v>
      </c>
      <c r="F6104" s="1" t="str">
        <f t="shared" si="11473"/>
        <v>0</v>
      </c>
      <c r="G6104" s="1" t="str">
        <f t="shared" si="11473"/>
        <v>0</v>
      </c>
      <c r="H6104" s="1" t="str">
        <f t="shared" si="11473"/>
        <v>0</v>
      </c>
      <c r="I6104" s="1" t="str">
        <f t="shared" si="11473"/>
        <v>0</v>
      </c>
      <c r="J6104" s="1" t="str">
        <f t="shared" si="11473"/>
        <v>0</v>
      </c>
      <c r="K6104" s="1" t="str">
        <f t="shared" si="11473"/>
        <v>0</v>
      </c>
      <c r="L6104" s="1" t="str">
        <f t="shared" si="11473"/>
        <v>0</v>
      </c>
      <c r="M6104" s="1" t="str">
        <f t="shared" si="11473"/>
        <v>0</v>
      </c>
      <c r="N6104" s="1" t="str">
        <f t="shared" si="11473"/>
        <v>0</v>
      </c>
      <c r="O6104" s="1" t="str">
        <f t="shared" si="11473"/>
        <v>0</v>
      </c>
      <c r="P6104" s="1" t="str">
        <f t="shared" si="11473"/>
        <v>0</v>
      </c>
      <c r="Q6104" s="1" t="str">
        <f t="shared" si="11436"/>
        <v>0.0070</v>
      </c>
      <c r="R6104" s="1" t="s">
        <v>25</v>
      </c>
      <c r="T6104" s="1" t="str">
        <f t="shared" si="11437"/>
        <v>0</v>
      </c>
      <c r="U6104" s="1" t="str">
        <f t="shared" si="11371"/>
        <v>0.0070</v>
      </c>
    </row>
    <row r="6105" s="1" customFormat="1" spans="1:21">
      <c r="A6105" s="1" t="str">
        <f>"4601992246387"</f>
        <v>4601992246387</v>
      </c>
      <c r="B6105" s="1" t="s">
        <v>6128</v>
      </c>
      <c r="C6105" s="1" t="s">
        <v>24</v>
      </c>
      <c r="D6105" s="1" t="str">
        <f t="shared" si="11433"/>
        <v>2021</v>
      </c>
      <c r="E6105" s="1" t="str">
        <f t="shared" ref="E6105:P6105" si="11474">"0"</f>
        <v>0</v>
      </c>
      <c r="F6105" s="1" t="str">
        <f t="shared" si="11474"/>
        <v>0</v>
      </c>
      <c r="G6105" s="1" t="str">
        <f t="shared" si="11474"/>
        <v>0</v>
      </c>
      <c r="H6105" s="1" t="str">
        <f t="shared" si="11474"/>
        <v>0</v>
      </c>
      <c r="I6105" s="1" t="str">
        <f t="shared" si="11474"/>
        <v>0</v>
      </c>
      <c r="J6105" s="1" t="str">
        <f t="shared" si="11474"/>
        <v>0</v>
      </c>
      <c r="K6105" s="1" t="str">
        <f t="shared" si="11474"/>
        <v>0</v>
      </c>
      <c r="L6105" s="1" t="str">
        <f t="shared" si="11474"/>
        <v>0</v>
      </c>
      <c r="M6105" s="1" t="str">
        <f t="shared" si="11474"/>
        <v>0</v>
      </c>
      <c r="N6105" s="1" t="str">
        <f t="shared" si="11474"/>
        <v>0</v>
      </c>
      <c r="O6105" s="1" t="str">
        <f t="shared" si="11474"/>
        <v>0</v>
      </c>
      <c r="P6105" s="1" t="str">
        <f t="shared" si="11474"/>
        <v>0</v>
      </c>
      <c r="Q6105" s="1" t="str">
        <f t="shared" si="11436"/>
        <v>0.0070</v>
      </c>
      <c r="R6105" s="1" t="s">
        <v>25</v>
      </c>
      <c r="T6105" s="1" t="str">
        <f t="shared" si="11437"/>
        <v>0</v>
      </c>
      <c r="U6105" s="1" t="str">
        <f t="shared" si="11371"/>
        <v>0.0070</v>
      </c>
    </row>
    <row r="6106" s="1" customFormat="1" spans="1:21">
      <c r="A6106" s="1" t="str">
        <f>"4601992246663"</f>
        <v>4601992246663</v>
      </c>
      <c r="B6106" s="1" t="s">
        <v>6129</v>
      </c>
      <c r="C6106" s="1" t="s">
        <v>24</v>
      </c>
      <c r="D6106" s="1" t="str">
        <f t="shared" si="11433"/>
        <v>2021</v>
      </c>
      <c r="E6106" s="1" t="str">
        <f t="shared" ref="E6106:P6106" si="11475">"0"</f>
        <v>0</v>
      </c>
      <c r="F6106" s="1" t="str">
        <f t="shared" si="11475"/>
        <v>0</v>
      </c>
      <c r="G6106" s="1" t="str">
        <f t="shared" si="11475"/>
        <v>0</v>
      </c>
      <c r="H6106" s="1" t="str">
        <f t="shared" si="11475"/>
        <v>0</v>
      </c>
      <c r="I6106" s="1" t="str">
        <f t="shared" si="11475"/>
        <v>0</v>
      </c>
      <c r="J6106" s="1" t="str">
        <f t="shared" si="11475"/>
        <v>0</v>
      </c>
      <c r="K6106" s="1" t="str">
        <f t="shared" si="11475"/>
        <v>0</v>
      </c>
      <c r="L6106" s="1" t="str">
        <f t="shared" si="11475"/>
        <v>0</v>
      </c>
      <c r="M6106" s="1" t="str">
        <f t="shared" si="11475"/>
        <v>0</v>
      </c>
      <c r="N6106" s="1" t="str">
        <f t="shared" si="11475"/>
        <v>0</v>
      </c>
      <c r="O6106" s="1" t="str">
        <f t="shared" si="11475"/>
        <v>0</v>
      </c>
      <c r="P6106" s="1" t="str">
        <f t="shared" si="11475"/>
        <v>0</v>
      </c>
      <c r="Q6106" s="1" t="str">
        <f t="shared" si="11436"/>
        <v>0.0070</v>
      </c>
      <c r="R6106" s="1" t="s">
        <v>25</v>
      </c>
      <c r="T6106" s="1" t="str">
        <f t="shared" si="11437"/>
        <v>0</v>
      </c>
      <c r="U6106" s="1" t="str">
        <f t="shared" si="11371"/>
        <v>0.0070</v>
      </c>
    </row>
    <row r="6107" s="1" customFormat="1" spans="1:21">
      <c r="A6107" s="1" t="str">
        <f>"4601992225233"</f>
        <v>4601992225233</v>
      </c>
      <c r="B6107" s="1" t="s">
        <v>6130</v>
      </c>
      <c r="C6107" s="1" t="s">
        <v>24</v>
      </c>
      <c r="D6107" s="1" t="str">
        <f t="shared" si="11433"/>
        <v>2021</v>
      </c>
      <c r="E6107" s="1" t="str">
        <f>"15.95"</f>
        <v>15.95</v>
      </c>
      <c r="F6107" s="1" t="str">
        <f t="shared" ref="F6107:I6107" si="11476">"0"</f>
        <v>0</v>
      </c>
      <c r="G6107" s="1" t="str">
        <f t="shared" si="11476"/>
        <v>0</v>
      </c>
      <c r="H6107" s="1" t="str">
        <f t="shared" si="11476"/>
        <v>0</v>
      </c>
      <c r="I6107" s="1" t="str">
        <f t="shared" si="11476"/>
        <v>0</v>
      </c>
      <c r="J6107" s="1" t="str">
        <f>"2"</f>
        <v>2</v>
      </c>
      <c r="K6107" s="1" t="str">
        <f t="shared" ref="K6107:P6107" si="11477">"0"</f>
        <v>0</v>
      </c>
      <c r="L6107" s="1" t="str">
        <f t="shared" si="11477"/>
        <v>0</v>
      </c>
      <c r="M6107" s="1" t="str">
        <f t="shared" si="11477"/>
        <v>0</v>
      </c>
      <c r="N6107" s="1" t="str">
        <f t="shared" si="11477"/>
        <v>0</v>
      </c>
      <c r="O6107" s="1" t="str">
        <f t="shared" si="11477"/>
        <v>0</v>
      </c>
      <c r="P6107" s="1" t="str">
        <f t="shared" si="11477"/>
        <v>0</v>
      </c>
      <c r="Q6107" s="1" t="str">
        <f t="shared" si="11436"/>
        <v>0.0070</v>
      </c>
      <c r="R6107" s="1" t="s">
        <v>29</v>
      </c>
      <c r="S6107" s="1">
        <v>-0.0014</v>
      </c>
      <c r="T6107" s="1" t="str">
        <f t="shared" si="11437"/>
        <v>0</v>
      </c>
      <c r="U6107" s="1" t="str">
        <f>"0.0056"</f>
        <v>0.0056</v>
      </c>
    </row>
    <row r="6108" s="1" customFormat="1" spans="1:21">
      <c r="A6108" s="1" t="str">
        <f>"4601992246675"</f>
        <v>4601992246675</v>
      </c>
      <c r="B6108" s="1" t="s">
        <v>6131</v>
      </c>
      <c r="C6108" s="1" t="s">
        <v>24</v>
      </c>
      <c r="D6108" s="1" t="str">
        <f t="shared" si="11433"/>
        <v>2021</v>
      </c>
      <c r="E6108" s="1" t="str">
        <f t="shared" ref="E6108:P6108" si="11478">"0"</f>
        <v>0</v>
      </c>
      <c r="F6108" s="1" t="str">
        <f t="shared" si="11478"/>
        <v>0</v>
      </c>
      <c r="G6108" s="1" t="str">
        <f t="shared" si="11478"/>
        <v>0</v>
      </c>
      <c r="H6108" s="1" t="str">
        <f t="shared" si="11478"/>
        <v>0</v>
      </c>
      <c r="I6108" s="1" t="str">
        <f t="shared" si="11478"/>
        <v>0</v>
      </c>
      <c r="J6108" s="1" t="str">
        <f t="shared" si="11478"/>
        <v>0</v>
      </c>
      <c r="K6108" s="1" t="str">
        <f t="shared" si="11478"/>
        <v>0</v>
      </c>
      <c r="L6108" s="1" t="str">
        <f t="shared" si="11478"/>
        <v>0</v>
      </c>
      <c r="M6108" s="1" t="str">
        <f t="shared" si="11478"/>
        <v>0</v>
      </c>
      <c r="N6108" s="1" t="str">
        <f t="shared" si="11478"/>
        <v>0</v>
      </c>
      <c r="O6108" s="1" t="str">
        <f t="shared" si="11478"/>
        <v>0</v>
      </c>
      <c r="P6108" s="1" t="str">
        <f t="shared" si="11478"/>
        <v>0</v>
      </c>
      <c r="Q6108" s="1" t="str">
        <f t="shared" si="11436"/>
        <v>0.0070</v>
      </c>
      <c r="R6108" s="1" t="s">
        <v>25</v>
      </c>
      <c r="T6108" s="1" t="str">
        <f t="shared" si="11437"/>
        <v>0</v>
      </c>
      <c r="U6108" s="1" t="str">
        <f t="shared" ref="U6108:U6120" si="11479">"0.0070"</f>
        <v>0.0070</v>
      </c>
    </row>
    <row r="6109" s="1" customFormat="1" spans="1:21">
      <c r="A6109" s="1" t="str">
        <f>"4601992246749"</f>
        <v>4601992246749</v>
      </c>
      <c r="B6109" s="1" t="s">
        <v>6132</v>
      </c>
      <c r="C6109" s="1" t="s">
        <v>24</v>
      </c>
      <c r="D6109" s="1" t="str">
        <f t="shared" si="11433"/>
        <v>2021</v>
      </c>
      <c r="E6109" s="1" t="str">
        <f t="shared" ref="E6109:P6109" si="11480">"0"</f>
        <v>0</v>
      </c>
      <c r="F6109" s="1" t="str">
        <f t="shared" si="11480"/>
        <v>0</v>
      </c>
      <c r="G6109" s="1" t="str">
        <f t="shared" si="11480"/>
        <v>0</v>
      </c>
      <c r="H6109" s="1" t="str">
        <f t="shared" si="11480"/>
        <v>0</v>
      </c>
      <c r="I6109" s="1" t="str">
        <f t="shared" si="11480"/>
        <v>0</v>
      </c>
      <c r="J6109" s="1" t="str">
        <f t="shared" si="11480"/>
        <v>0</v>
      </c>
      <c r="K6109" s="1" t="str">
        <f t="shared" si="11480"/>
        <v>0</v>
      </c>
      <c r="L6109" s="1" t="str">
        <f t="shared" si="11480"/>
        <v>0</v>
      </c>
      <c r="M6109" s="1" t="str">
        <f t="shared" si="11480"/>
        <v>0</v>
      </c>
      <c r="N6109" s="1" t="str">
        <f t="shared" si="11480"/>
        <v>0</v>
      </c>
      <c r="O6109" s="1" t="str">
        <f t="shared" si="11480"/>
        <v>0</v>
      </c>
      <c r="P6109" s="1" t="str">
        <f t="shared" si="11480"/>
        <v>0</v>
      </c>
      <c r="Q6109" s="1" t="str">
        <f t="shared" si="11436"/>
        <v>0.0070</v>
      </c>
      <c r="R6109" s="1" t="s">
        <v>25</v>
      </c>
      <c r="T6109" s="1" t="str">
        <f t="shared" si="11437"/>
        <v>0</v>
      </c>
      <c r="U6109" s="1" t="str">
        <f t="shared" si="11479"/>
        <v>0.0070</v>
      </c>
    </row>
    <row r="6110" s="1" customFormat="1" spans="1:21">
      <c r="A6110" s="1" t="str">
        <f>"4601992246892"</f>
        <v>4601992246892</v>
      </c>
      <c r="B6110" s="1" t="s">
        <v>6133</v>
      </c>
      <c r="C6110" s="1" t="s">
        <v>24</v>
      </c>
      <c r="D6110" s="1" t="str">
        <f t="shared" si="11433"/>
        <v>2021</v>
      </c>
      <c r="E6110" s="1" t="str">
        <f t="shared" ref="E6110:P6110" si="11481">"0"</f>
        <v>0</v>
      </c>
      <c r="F6110" s="1" t="str">
        <f t="shared" si="11481"/>
        <v>0</v>
      </c>
      <c r="G6110" s="1" t="str">
        <f t="shared" si="11481"/>
        <v>0</v>
      </c>
      <c r="H6110" s="1" t="str">
        <f t="shared" si="11481"/>
        <v>0</v>
      </c>
      <c r="I6110" s="1" t="str">
        <f t="shared" si="11481"/>
        <v>0</v>
      </c>
      <c r="J6110" s="1" t="str">
        <f t="shared" si="11481"/>
        <v>0</v>
      </c>
      <c r="K6110" s="1" t="str">
        <f t="shared" si="11481"/>
        <v>0</v>
      </c>
      <c r="L6110" s="1" t="str">
        <f t="shared" si="11481"/>
        <v>0</v>
      </c>
      <c r="M6110" s="1" t="str">
        <f t="shared" si="11481"/>
        <v>0</v>
      </c>
      <c r="N6110" s="1" t="str">
        <f t="shared" si="11481"/>
        <v>0</v>
      </c>
      <c r="O6110" s="1" t="str">
        <f t="shared" si="11481"/>
        <v>0</v>
      </c>
      <c r="P6110" s="1" t="str">
        <f t="shared" si="11481"/>
        <v>0</v>
      </c>
      <c r="Q6110" s="1" t="str">
        <f t="shared" si="11436"/>
        <v>0.0070</v>
      </c>
      <c r="R6110" s="1" t="s">
        <v>25</v>
      </c>
      <c r="T6110" s="1" t="str">
        <f t="shared" si="11437"/>
        <v>0</v>
      </c>
      <c r="U6110" s="1" t="str">
        <f t="shared" si="11479"/>
        <v>0.0070</v>
      </c>
    </row>
    <row r="6111" s="1" customFormat="1" spans="1:21">
      <c r="A6111" s="1" t="str">
        <f>"4601992246975"</f>
        <v>4601992246975</v>
      </c>
      <c r="B6111" s="1" t="s">
        <v>6134</v>
      </c>
      <c r="C6111" s="1" t="s">
        <v>24</v>
      </c>
      <c r="D6111" s="1" t="str">
        <f t="shared" si="11433"/>
        <v>2021</v>
      </c>
      <c r="E6111" s="1" t="str">
        <f t="shared" ref="E6111:P6111" si="11482">"0"</f>
        <v>0</v>
      </c>
      <c r="F6111" s="1" t="str">
        <f t="shared" si="11482"/>
        <v>0</v>
      </c>
      <c r="G6111" s="1" t="str">
        <f t="shared" si="11482"/>
        <v>0</v>
      </c>
      <c r="H6111" s="1" t="str">
        <f t="shared" si="11482"/>
        <v>0</v>
      </c>
      <c r="I6111" s="1" t="str">
        <f t="shared" si="11482"/>
        <v>0</v>
      </c>
      <c r="J6111" s="1" t="str">
        <f t="shared" si="11482"/>
        <v>0</v>
      </c>
      <c r="K6111" s="1" t="str">
        <f t="shared" si="11482"/>
        <v>0</v>
      </c>
      <c r="L6111" s="1" t="str">
        <f t="shared" si="11482"/>
        <v>0</v>
      </c>
      <c r="M6111" s="1" t="str">
        <f t="shared" si="11482"/>
        <v>0</v>
      </c>
      <c r="N6111" s="1" t="str">
        <f t="shared" si="11482"/>
        <v>0</v>
      </c>
      <c r="O6111" s="1" t="str">
        <f t="shared" si="11482"/>
        <v>0</v>
      </c>
      <c r="P6111" s="1" t="str">
        <f t="shared" si="11482"/>
        <v>0</v>
      </c>
      <c r="Q6111" s="1" t="str">
        <f t="shared" si="11436"/>
        <v>0.0070</v>
      </c>
      <c r="R6111" s="1" t="s">
        <v>25</v>
      </c>
      <c r="T6111" s="1" t="str">
        <f t="shared" si="11437"/>
        <v>0</v>
      </c>
      <c r="U6111" s="1" t="str">
        <f t="shared" si="11479"/>
        <v>0.0070</v>
      </c>
    </row>
    <row r="6112" s="1" customFormat="1" spans="1:21">
      <c r="A6112" s="1" t="str">
        <f>"4601992247366"</f>
        <v>4601992247366</v>
      </c>
      <c r="B6112" s="1" t="s">
        <v>6135</v>
      </c>
      <c r="C6112" s="1" t="s">
        <v>24</v>
      </c>
      <c r="D6112" s="1" t="str">
        <f t="shared" si="11433"/>
        <v>2021</v>
      </c>
      <c r="E6112" s="1" t="str">
        <f t="shared" ref="E6112:P6112" si="11483">"0"</f>
        <v>0</v>
      </c>
      <c r="F6112" s="1" t="str">
        <f t="shared" si="11483"/>
        <v>0</v>
      </c>
      <c r="G6112" s="1" t="str">
        <f t="shared" si="11483"/>
        <v>0</v>
      </c>
      <c r="H6112" s="1" t="str">
        <f t="shared" si="11483"/>
        <v>0</v>
      </c>
      <c r="I6112" s="1" t="str">
        <f t="shared" si="11483"/>
        <v>0</v>
      </c>
      <c r="J6112" s="1" t="str">
        <f t="shared" si="11483"/>
        <v>0</v>
      </c>
      <c r="K6112" s="1" t="str">
        <f t="shared" si="11483"/>
        <v>0</v>
      </c>
      <c r="L6112" s="1" t="str">
        <f t="shared" si="11483"/>
        <v>0</v>
      </c>
      <c r="M6112" s="1" t="str">
        <f t="shared" si="11483"/>
        <v>0</v>
      </c>
      <c r="N6112" s="1" t="str">
        <f t="shared" si="11483"/>
        <v>0</v>
      </c>
      <c r="O6112" s="1" t="str">
        <f t="shared" si="11483"/>
        <v>0</v>
      </c>
      <c r="P6112" s="1" t="str">
        <f t="shared" si="11483"/>
        <v>0</v>
      </c>
      <c r="Q6112" s="1" t="str">
        <f t="shared" si="11436"/>
        <v>0.0070</v>
      </c>
      <c r="R6112" s="1" t="s">
        <v>25</v>
      </c>
      <c r="T6112" s="1" t="str">
        <f t="shared" si="11437"/>
        <v>0</v>
      </c>
      <c r="U6112" s="1" t="str">
        <f t="shared" si="11479"/>
        <v>0.0070</v>
      </c>
    </row>
    <row r="6113" s="1" customFormat="1" spans="1:21">
      <c r="A6113" s="1" t="str">
        <f>"4601992247182"</f>
        <v>4601992247182</v>
      </c>
      <c r="B6113" s="1" t="s">
        <v>6136</v>
      </c>
      <c r="C6113" s="1" t="s">
        <v>24</v>
      </c>
      <c r="D6113" s="1" t="str">
        <f t="shared" si="11433"/>
        <v>2021</v>
      </c>
      <c r="E6113" s="1" t="str">
        <f t="shared" ref="E6113:P6113" si="11484">"0"</f>
        <v>0</v>
      </c>
      <c r="F6113" s="1" t="str">
        <f t="shared" si="11484"/>
        <v>0</v>
      </c>
      <c r="G6113" s="1" t="str">
        <f t="shared" si="11484"/>
        <v>0</v>
      </c>
      <c r="H6113" s="1" t="str">
        <f t="shared" si="11484"/>
        <v>0</v>
      </c>
      <c r="I6113" s="1" t="str">
        <f t="shared" si="11484"/>
        <v>0</v>
      </c>
      <c r="J6113" s="1" t="str">
        <f t="shared" si="11484"/>
        <v>0</v>
      </c>
      <c r="K6113" s="1" t="str">
        <f t="shared" si="11484"/>
        <v>0</v>
      </c>
      <c r="L6113" s="1" t="str">
        <f t="shared" si="11484"/>
        <v>0</v>
      </c>
      <c r="M6113" s="1" t="str">
        <f t="shared" si="11484"/>
        <v>0</v>
      </c>
      <c r="N6113" s="1" t="str">
        <f t="shared" si="11484"/>
        <v>0</v>
      </c>
      <c r="O6113" s="1" t="str">
        <f t="shared" si="11484"/>
        <v>0</v>
      </c>
      <c r="P6113" s="1" t="str">
        <f t="shared" si="11484"/>
        <v>0</v>
      </c>
      <c r="Q6113" s="1" t="str">
        <f t="shared" si="11436"/>
        <v>0.0070</v>
      </c>
      <c r="R6113" s="1" t="s">
        <v>25</v>
      </c>
      <c r="T6113" s="1" t="str">
        <f t="shared" si="11437"/>
        <v>0</v>
      </c>
      <c r="U6113" s="1" t="str">
        <f t="shared" si="11479"/>
        <v>0.0070</v>
      </c>
    </row>
    <row r="6114" s="1" customFormat="1" spans="1:21">
      <c r="A6114" s="1" t="str">
        <f>"4601992247689"</f>
        <v>4601992247689</v>
      </c>
      <c r="B6114" s="1" t="s">
        <v>6137</v>
      </c>
      <c r="C6114" s="1" t="s">
        <v>24</v>
      </c>
      <c r="D6114" s="1" t="str">
        <f t="shared" si="11433"/>
        <v>2021</v>
      </c>
      <c r="E6114" s="1" t="str">
        <f t="shared" ref="E6114:P6114" si="11485">"0"</f>
        <v>0</v>
      </c>
      <c r="F6114" s="1" t="str">
        <f t="shared" si="11485"/>
        <v>0</v>
      </c>
      <c r="G6114" s="1" t="str">
        <f t="shared" si="11485"/>
        <v>0</v>
      </c>
      <c r="H6114" s="1" t="str">
        <f t="shared" si="11485"/>
        <v>0</v>
      </c>
      <c r="I6114" s="1" t="str">
        <f t="shared" si="11485"/>
        <v>0</v>
      </c>
      <c r="J6114" s="1" t="str">
        <f t="shared" si="11485"/>
        <v>0</v>
      </c>
      <c r="K6114" s="1" t="str">
        <f t="shared" si="11485"/>
        <v>0</v>
      </c>
      <c r="L6114" s="1" t="str">
        <f t="shared" si="11485"/>
        <v>0</v>
      </c>
      <c r="M6114" s="1" t="str">
        <f t="shared" si="11485"/>
        <v>0</v>
      </c>
      <c r="N6114" s="1" t="str">
        <f t="shared" si="11485"/>
        <v>0</v>
      </c>
      <c r="O6114" s="1" t="str">
        <f t="shared" si="11485"/>
        <v>0</v>
      </c>
      <c r="P6114" s="1" t="str">
        <f t="shared" si="11485"/>
        <v>0</v>
      </c>
      <c r="Q6114" s="1" t="str">
        <f t="shared" si="11436"/>
        <v>0.0070</v>
      </c>
      <c r="R6114" s="1" t="s">
        <v>25</v>
      </c>
      <c r="T6114" s="1" t="str">
        <f t="shared" si="11437"/>
        <v>0</v>
      </c>
      <c r="U6114" s="1" t="str">
        <f t="shared" si="11479"/>
        <v>0.0070</v>
      </c>
    </row>
    <row r="6115" s="1" customFormat="1" spans="1:21">
      <c r="A6115" s="1" t="str">
        <f>"4601992247761"</f>
        <v>4601992247761</v>
      </c>
      <c r="B6115" s="1" t="s">
        <v>6138</v>
      </c>
      <c r="C6115" s="1" t="s">
        <v>24</v>
      </c>
      <c r="D6115" s="1" t="str">
        <f t="shared" si="11433"/>
        <v>2021</v>
      </c>
      <c r="E6115" s="1" t="str">
        <f t="shared" ref="E6115:P6115" si="11486">"0"</f>
        <v>0</v>
      </c>
      <c r="F6115" s="1" t="str">
        <f t="shared" si="11486"/>
        <v>0</v>
      </c>
      <c r="G6115" s="1" t="str">
        <f t="shared" si="11486"/>
        <v>0</v>
      </c>
      <c r="H6115" s="1" t="str">
        <f t="shared" si="11486"/>
        <v>0</v>
      </c>
      <c r="I6115" s="1" t="str">
        <f t="shared" si="11486"/>
        <v>0</v>
      </c>
      <c r="J6115" s="1" t="str">
        <f t="shared" si="11486"/>
        <v>0</v>
      </c>
      <c r="K6115" s="1" t="str">
        <f t="shared" si="11486"/>
        <v>0</v>
      </c>
      <c r="L6115" s="1" t="str">
        <f t="shared" si="11486"/>
        <v>0</v>
      </c>
      <c r="M6115" s="1" t="str">
        <f t="shared" si="11486"/>
        <v>0</v>
      </c>
      <c r="N6115" s="1" t="str">
        <f t="shared" si="11486"/>
        <v>0</v>
      </c>
      <c r="O6115" s="1" t="str">
        <f t="shared" si="11486"/>
        <v>0</v>
      </c>
      <c r="P6115" s="1" t="str">
        <f t="shared" si="11486"/>
        <v>0</v>
      </c>
      <c r="Q6115" s="1" t="str">
        <f t="shared" si="11436"/>
        <v>0.0070</v>
      </c>
      <c r="R6115" s="1" t="s">
        <v>25</v>
      </c>
      <c r="T6115" s="1" t="str">
        <f t="shared" si="11437"/>
        <v>0</v>
      </c>
      <c r="U6115" s="1" t="str">
        <f t="shared" si="11479"/>
        <v>0.0070</v>
      </c>
    </row>
    <row r="6116" s="1" customFormat="1" spans="1:21">
      <c r="A6116" s="1" t="str">
        <f>"4601992247706"</f>
        <v>4601992247706</v>
      </c>
      <c r="B6116" s="1" t="s">
        <v>6139</v>
      </c>
      <c r="C6116" s="1" t="s">
        <v>24</v>
      </c>
      <c r="D6116" s="1" t="str">
        <f t="shared" si="11433"/>
        <v>2021</v>
      </c>
      <c r="E6116" s="1" t="str">
        <f t="shared" ref="E6116:P6116" si="11487">"0"</f>
        <v>0</v>
      </c>
      <c r="F6116" s="1" t="str">
        <f t="shared" si="11487"/>
        <v>0</v>
      </c>
      <c r="G6116" s="1" t="str">
        <f t="shared" si="11487"/>
        <v>0</v>
      </c>
      <c r="H6116" s="1" t="str">
        <f t="shared" si="11487"/>
        <v>0</v>
      </c>
      <c r="I6116" s="1" t="str">
        <f t="shared" si="11487"/>
        <v>0</v>
      </c>
      <c r="J6116" s="1" t="str">
        <f t="shared" si="11487"/>
        <v>0</v>
      </c>
      <c r="K6116" s="1" t="str">
        <f t="shared" si="11487"/>
        <v>0</v>
      </c>
      <c r="L6116" s="1" t="str">
        <f t="shared" si="11487"/>
        <v>0</v>
      </c>
      <c r="M6116" s="1" t="str">
        <f t="shared" si="11487"/>
        <v>0</v>
      </c>
      <c r="N6116" s="1" t="str">
        <f t="shared" si="11487"/>
        <v>0</v>
      </c>
      <c r="O6116" s="1" t="str">
        <f t="shared" si="11487"/>
        <v>0</v>
      </c>
      <c r="P6116" s="1" t="str">
        <f t="shared" si="11487"/>
        <v>0</v>
      </c>
      <c r="Q6116" s="1" t="str">
        <f t="shared" si="11436"/>
        <v>0.0070</v>
      </c>
      <c r="R6116" s="1" t="s">
        <v>25</v>
      </c>
      <c r="T6116" s="1" t="str">
        <f t="shared" si="11437"/>
        <v>0</v>
      </c>
      <c r="U6116" s="1" t="str">
        <f t="shared" si="11479"/>
        <v>0.0070</v>
      </c>
    </row>
    <row r="6117" s="1" customFormat="1" spans="1:21">
      <c r="A6117" s="1" t="str">
        <f>"4601992247822"</f>
        <v>4601992247822</v>
      </c>
      <c r="B6117" s="1" t="s">
        <v>6140</v>
      </c>
      <c r="C6117" s="1" t="s">
        <v>24</v>
      </c>
      <c r="D6117" s="1" t="str">
        <f t="shared" si="11433"/>
        <v>2021</v>
      </c>
      <c r="E6117" s="1" t="str">
        <f t="shared" ref="E6117:I6117" si="11488">"0"</f>
        <v>0</v>
      </c>
      <c r="F6117" s="1" t="str">
        <f t="shared" si="11488"/>
        <v>0</v>
      </c>
      <c r="G6117" s="1" t="str">
        <f t="shared" si="11488"/>
        <v>0</v>
      </c>
      <c r="H6117" s="1" t="str">
        <f t="shared" si="11488"/>
        <v>0</v>
      </c>
      <c r="I6117" s="1" t="str">
        <f t="shared" si="11488"/>
        <v>0</v>
      </c>
      <c r="J6117" s="1" t="str">
        <f t="shared" ref="J6117:J6119" si="11489">"1"</f>
        <v>1</v>
      </c>
      <c r="K6117" s="1" t="str">
        <f t="shared" ref="K6117:P6117" si="11490">"0"</f>
        <v>0</v>
      </c>
      <c r="L6117" s="1" t="str">
        <f t="shared" si="11490"/>
        <v>0</v>
      </c>
      <c r="M6117" s="1" t="str">
        <f t="shared" si="11490"/>
        <v>0</v>
      </c>
      <c r="N6117" s="1" t="str">
        <f t="shared" si="11490"/>
        <v>0</v>
      </c>
      <c r="O6117" s="1" t="str">
        <f t="shared" si="11490"/>
        <v>0</v>
      </c>
      <c r="P6117" s="1" t="str">
        <f t="shared" si="11490"/>
        <v>0</v>
      </c>
      <c r="Q6117" s="1" t="str">
        <f t="shared" si="11436"/>
        <v>0.0070</v>
      </c>
      <c r="R6117" s="1" t="s">
        <v>25</v>
      </c>
      <c r="T6117" s="1" t="str">
        <f t="shared" si="11437"/>
        <v>0</v>
      </c>
      <c r="U6117" s="1" t="str">
        <f t="shared" si="11479"/>
        <v>0.0070</v>
      </c>
    </row>
    <row r="6118" s="1" customFormat="1" spans="1:21">
      <c r="A6118" s="1" t="str">
        <f>"4601992038112"</f>
        <v>4601992038112</v>
      </c>
      <c r="B6118" s="1" t="s">
        <v>6141</v>
      </c>
      <c r="C6118" s="1" t="s">
        <v>24</v>
      </c>
      <c r="D6118" s="1" t="str">
        <f t="shared" si="11433"/>
        <v>2021</v>
      </c>
      <c r="E6118" s="1" t="str">
        <f>"6.91"</f>
        <v>6.91</v>
      </c>
      <c r="F6118" s="1" t="str">
        <f t="shared" ref="F6118:I6118" si="11491">"0"</f>
        <v>0</v>
      </c>
      <c r="G6118" s="1" t="str">
        <f t="shared" si="11491"/>
        <v>0</v>
      </c>
      <c r="H6118" s="1" t="str">
        <f t="shared" si="11491"/>
        <v>0</v>
      </c>
      <c r="I6118" s="1" t="str">
        <f t="shared" si="11491"/>
        <v>0</v>
      </c>
      <c r="J6118" s="1" t="str">
        <f t="shared" si="11489"/>
        <v>1</v>
      </c>
      <c r="K6118" s="1" t="str">
        <f t="shared" ref="K6118:P6118" si="11492">"0"</f>
        <v>0</v>
      </c>
      <c r="L6118" s="1" t="str">
        <f t="shared" si="11492"/>
        <v>0</v>
      </c>
      <c r="M6118" s="1" t="str">
        <f t="shared" si="11492"/>
        <v>0</v>
      </c>
      <c r="N6118" s="1" t="str">
        <f t="shared" si="11492"/>
        <v>0</v>
      </c>
      <c r="O6118" s="1" t="str">
        <f t="shared" si="11492"/>
        <v>0</v>
      </c>
      <c r="P6118" s="1" t="str">
        <f t="shared" si="11492"/>
        <v>0</v>
      </c>
      <c r="Q6118" s="1" t="str">
        <f t="shared" si="11436"/>
        <v>0.0070</v>
      </c>
      <c r="R6118" s="1" t="s">
        <v>25</v>
      </c>
      <c r="T6118" s="1" t="str">
        <f t="shared" si="11437"/>
        <v>0</v>
      </c>
      <c r="U6118" s="1" t="str">
        <f t="shared" si="11479"/>
        <v>0.0070</v>
      </c>
    </row>
    <row r="6119" s="1" customFormat="1" spans="1:21">
      <c r="A6119" s="1" t="str">
        <f>"4601992248334"</f>
        <v>4601992248334</v>
      </c>
      <c r="B6119" s="1" t="s">
        <v>6142</v>
      </c>
      <c r="C6119" s="1" t="s">
        <v>24</v>
      </c>
      <c r="D6119" s="1" t="str">
        <f t="shared" si="11433"/>
        <v>2021</v>
      </c>
      <c r="E6119" s="1" t="str">
        <f t="shared" ref="E6119:I6119" si="11493">"0"</f>
        <v>0</v>
      </c>
      <c r="F6119" s="1" t="str">
        <f t="shared" si="11493"/>
        <v>0</v>
      </c>
      <c r="G6119" s="1" t="str">
        <f t="shared" si="11493"/>
        <v>0</v>
      </c>
      <c r="H6119" s="1" t="str">
        <f t="shared" si="11493"/>
        <v>0</v>
      </c>
      <c r="I6119" s="1" t="str">
        <f t="shared" si="11493"/>
        <v>0</v>
      </c>
      <c r="J6119" s="1" t="str">
        <f t="shared" si="11489"/>
        <v>1</v>
      </c>
      <c r="K6119" s="1" t="str">
        <f t="shared" ref="K6119:P6119" si="11494">"0"</f>
        <v>0</v>
      </c>
      <c r="L6119" s="1" t="str">
        <f t="shared" si="11494"/>
        <v>0</v>
      </c>
      <c r="M6119" s="1" t="str">
        <f t="shared" si="11494"/>
        <v>0</v>
      </c>
      <c r="N6119" s="1" t="str">
        <f t="shared" si="11494"/>
        <v>0</v>
      </c>
      <c r="O6119" s="1" t="str">
        <f t="shared" si="11494"/>
        <v>0</v>
      </c>
      <c r="P6119" s="1" t="str">
        <f t="shared" si="11494"/>
        <v>0</v>
      </c>
      <c r="Q6119" s="1" t="str">
        <f t="shared" si="11436"/>
        <v>0.0070</v>
      </c>
      <c r="R6119" s="1" t="s">
        <v>25</v>
      </c>
      <c r="T6119" s="1" t="str">
        <f t="shared" si="11437"/>
        <v>0</v>
      </c>
      <c r="U6119" s="1" t="str">
        <f t="shared" si="11479"/>
        <v>0.0070</v>
      </c>
    </row>
    <row r="6120" s="1" customFormat="1" spans="1:21">
      <c r="A6120" s="1" t="str">
        <f>"4601992248500"</f>
        <v>4601992248500</v>
      </c>
      <c r="B6120" s="1" t="s">
        <v>6143</v>
      </c>
      <c r="C6120" s="1" t="s">
        <v>24</v>
      </c>
      <c r="D6120" s="1" t="str">
        <f t="shared" si="11433"/>
        <v>2021</v>
      </c>
      <c r="E6120" s="1" t="str">
        <f t="shared" ref="E6120:P6120" si="11495">"0"</f>
        <v>0</v>
      </c>
      <c r="F6120" s="1" t="str">
        <f t="shared" si="11495"/>
        <v>0</v>
      </c>
      <c r="G6120" s="1" t="str">
        <f t="shared" si="11495"/>
        <v>0</v>
      </c>
      <c r="H6120" s="1" t="str">
        <f t="shared" si="11495"/>
        <v>0</v>
      </c>
      <c r="I6120" s="1" t="str">
        <f t="shared" si="11495"/>
        <v>0</v>
      </c>
      <c r="J6120" s="1" t="str">
        <f t="shared" si="11495"/>
        <v>0</v>
      </c>
      <c r="K6120" s="1" t="str">
        <f t="shared" si="11495"/>
        <v>0</v>
      </c>
      <c r="L6120" s="1" t="str">
        <f t="shared" si="11495"/>
        <v>0</v>
      </c>
      <c r="M6120" s="1" t="str">
        <f t="shared" si="11495"/>
        <v>0</v>
      </c>
      <c r="N6120" s="1" t="str">
        <f t="shared" si="11495"/>
        <v>0</v>
      </c>
      <c r="O6120" s="1" t="str">
        <f t="shared" si="11495"/>
        <v>0</v>
      </c>
      <c r="P6120" s="1" t="str">
        <f t="shared" si="11495"/>
        <v>0</v>
      </c>
      <c r="Q6120" s="1" t="str">
        <f t="shared" si="11436"/>
        <v>0.0070</v>
      </c>
      <c r="R6120" s="1" t="s">
        <v>25</v>
      </c>
      <c r="T6120" s="1" t="str">
        <f t="shared" si="11437"/>
        <v>0</v>
      </c>
      <c r="U6120" s="1" t="str">
        <f t="shared" si="11479"/>
        <v>0.0070</v>
      </c>
    </row>
    <row r="6121" s="1" customFormat="1" spans="1:21">
      <c r="A6121" s="1" t="str">
        <f>"4601992248409"</f>
        <v>4601992248409</v>
      </c>
      <c r="B6121" s="1" t="s">
        <v>6144</v>
      </c>
      <c r="C6121" s="1" t="s">
        <v>24</v>
      </c>
      <c r="D6121" s="1" t="str">
        <f t="shared" si="11433"/>
        <v>2021</v>
      </c>
      <c r="E6121" s="1" t="str">
        <f>"12.45"</f>
        <v>12.45</v>
      </c>
      <c r="F6121" s="1" t="str">
        <f t="shared" ref="F6121:I6121" si="11496">"0"</f>
        <v>0</v>
      </c>
      <c r="G6121" s="1" t="str">
        <f t="shared" si="11496"/>
        <v>0</v>
      </c>
      <c r="H6121" s="1" t="str">
        <f t="shared" si="11496"/>
        <v>0</v>
      </c>
      <c r="I6121" s="1" t="str">
        <f t="shared" si="11496"/>
        <v>0</v>
      </c>
      <c r="J6121" s="1" t="str">
        <f>"1"</f>
        <v>1</v>
      </c>
      <c r="K6121" s="1" t="str">
        <f t="shared" ref="K6121:P6121" si="11497">"0"</f>
        <v>0</v>
      </c>
      <c r="L6121" s="1" t="str">
        <f t="shared" si="11497"/>
        <v>0</v>
      </c>
      <c r="M6121" s="1" t="str">
        <f t="shared" si="11497"/>
        <v>0</v>
      </c>
      <c r="N6121" s="1" t="str">
        <f t="shared" si="11497"/>
        <v>0</v>
      </c>
      <c r="O6121" s="1" t="str">
        <f t="shared" si="11497"/>
        <v>0</v>
      </c>
      <c r="P6121" s="1" t="str">
        <f t="shared" si="11497"/>
        <v>0</v>
      </c>
      <c r="Q6121" s="1" t="str">
        <f t="shared" si="11436"/>
        <v>0.0070</v>
      </c>
      <c r="R6121" s="1" t="s">
        <v>29</v>
      </c>
      <c r="S6121" s="1">
        <v>-0.0014</v>
      </c>
      <c r="T6121" s="1" t="str">
        <f t="shared" si="11437"/>
        <v>0</v>
      </c>
      <c r="U6121" s="1" t="str">
        <f>"0.0056"</f>
        <v>0.0056</v>
      </c>
    </row>
    <row r="6122" s="1" customFormat="1" spans="1:21">
      <c r="A6122" s="1" t="str">
        <f>"4601992248503"</f>
        <v>4601992248503</v>
      </c>
      <c r="B6122" s="1" t="s">
        <v>6145</v>
      </c>
      <c r="C6122" s="1" t="s">
        <v>24</v>
      </c>
      <c r="D6122" s="1" t="str">
        <f t="shared" si="11433"/>
        <v>2021</v>
      </c>
      <c r="E6122" s="1" t="str">
        <f t="shared" ref="E6122:P6122" si="11498">"0"</f>
        <v>0</v>
      </c>
      <c r="F6122" s="1" t="str">
        <f t="shared" si="11498"/>
        <v>0</v>
      </c>
      <c r="G6122" s="1" t="str">
        <f t="shared" si="11498"/>
        <v>0</v>
      </c>
      <c r="H6122" s="1" t="str">
        <f t="shared" si="11498"/>
        <v>0</v>
      </c>
      <c r="I6122" s="1" t="str">
        <f t="shared" si="11498"/>
        <v>0</v>
      </c>
      <c r="J6122" s="1" t="str">
        <f t="shared" si="11498"/>
        <v>0</v>
      </c>
      <c r="K6122" s="1" t="str">
        <f t="shared" si="11498"/>
        <v>0</v>
      </c>
      <c r="L6122" s="1" t="str">
        <f t="shared" si="11498"/>
        <v>0</v>
      </c>
      <c r="M6122" s="1" t="str">
        <f t="shared" si="11498"/>
        <v>0</v>
      </c>
      <c r="N6122" s="1" t="str">
        <f t="shared" si="11498"/>
        <v>0</v>
      </c>
      <c r="O6122" s="1" t="str">
        <f t="shared" si="11498"/>
        <v>0</v>
      </c>
      <c r="P6122" s="1" t="str">
        <f t="shared" si="11498"/>
        <v>0</v>
      </c>
      <c r="Q6122" s="1" t="str">
        <f t="shared" si="11436"/>
        <v>0.0070</v>
      </c>
      <c r="R6122" s="1" t="s">
        <v>25</v>
      </c>
      <c r="T6122" s="1" t="str">
        <f t="shared" si="11437"/>
        <v>0</v>
      </c>
      <c r="U6122" s="1" t="str">
        <f t="shared" ref="U6122:U6125" si="11499">"0.0070"</f>
        <v>0.0070</v>
      </c>
    </row>
    <row r="6123" s="1" customFormat="1" spans="1:21">
      <c r="A6123" s="1" t="str">
        <f>"4601992248514"</f>
        <v>4601992248514</v>
      </c>
      <c r="B6123" s="1" t="s">
        <v>6146</v>
      </c>
      <c r="C6123" s="1" t="s">
        <v>24</v>
      </c>
      <c r="D6123" s="1" t="str">
        <f t="shared" si="11433"/>
        <v>2021</v>
      </c>
      <c r="E6123" s="1" t="str">
        <f t="shared" ref="E6123:P6123" si="11500">"0"</f>
        <v>0</v>
      </c>
      <c r="F6123" s="1" t="str">
        <f t="shared" si="11500"/>
        <v>0</v>
      </c>
      <c r="G6123" s="1" t="str">
        <f t="shared" si="11500"/>
        <v>0</v>
      </c>
      <c r="H6123" s="1" t="str">
        <f t="shared" si="11500"/>
        <v>0</v>
      </c>
      <c r="I6123" s="1" t="str">
        <f t="shared" si="11500"/>
        <v>0</v>
      </c>
      <c r="J6123" s="1" t="str">
        <f t="shared" si="11500"/>
        <v>0</v>
      </c>
      <c r="K6123" s="1" t="str">
        <f t="shared" si="11500"/>
        <v>0</v>
      </c>
      <c r="L6123" s="1" t="str">
        <f t="shared" si="11500"/>
        <v>0</v>
      </c>
      <c r="M6123" s="1" t="str">
        <f t="shared" si="11500"/>
        <v>0</v>
      </c>
      <c r="N6123" s="1" t="str">
        <f t="shared" si="11500"/>
        <v>0</v>
      </c>
      <c r="O6123" s="1" t="str">
        <f t="shared" si="11500"/>
        <v>0</v>
      </c>
      <c r="P6123" s="1" t="str">
        <f t="shared" si="11500"/>
        <v>0</v>
      </c>
      <c r="Q6123" s="1" t="str">
        <f t="shared" si="11436"/>
        <v>0.0070</v>
      </c>
      <c r="R6123" s="1" t="s">
        <v>25</v>
      </c>
      <c r="T6123" s="1" t="str">
        <f t="shared" si="11437"/>
        <v>0</v>
      </c>
      <c r="U6123" s="1" t="str">
        <f t="shared" si="11499"/>
        <v>0.0070</v>
      </c>
    </row>
    <row r="6124" s="1" customFormat="1" spans="1:21">
      <c r="A6124" s="1" t="str">
        <f>"4601992248550"</f>
        <v>4601992248550</v>
      </c>
      <c r="B6124" s="1" t="s">
        <v>6147</v>
      </c>
      <c r="C6124" s="1" t="s">
        <v>24</v>
      </c>
      <c r="D6124" s="1" t="str">
        <f t="shared" si="11433"/>
        <v>2021</v>
      </c>
      <c r="E6124" s="1" t="str">
        <f t="shared" ref="E6124:P6124" si="11501">"0"</f>
        <v>0</v>
      </c>
      <c r="F6124" s="1" t="str">
        <f t="shared" si="11501"/>
        <v>0</v>
      </c>
      <c r="G6124" s="1" t="str">
        <f t="shared" si="11501"/>
        <v>0</v>
      </c>
      <c r="H6124" s="1" t="str">
        <f t="shared" si="11501"/>
        <v>0</v>
      </c>
      <c r="I6124" s="1" t="str">
        <f t="shared" si="11501"/>
        <v>0</v>
      </c>
      <c r="J6124" s="1" t="str">
        <f t="shared" si="11501"/>
        <v>0</v>
      </c>
      <c r="K6124" s="1" t="str">
        <f t="shared" si="11501"/>
        <v>0</v>
      </c>
      <c r="L6124" s="1" t="str">
        <f t="shared" si="11501"/>
        <v>0</v>
      </c>
      <c r="M6124" s="1" t="str">
        <f t="shared" si="11501"/>
        <v>0</v>
      </c>
      <c r="N6124" s="1" t="str">
        <f t="shared" si="11501"/>
        <v>0</v>
      </c>
      <c r="O6124" s="1" t="str">
        <f t="shared" si="11501"/>
        <v>0</v>
      </c>
      <c r="P6124" s="1" t="str">
        <f t="shared" si="11501"/>
        <v>0</v>
      </c>
      <c r="Q6124" s="1" t="str">
        <f t="shared" si="11436"/>
        <v>0.0070</v>
      </c>
      <c r="R6124" s="1" t="s">
        <v>25</v>
      </c>
      <c r="T6124" s="1" t="str">
        <f t="shared" si="11437"/>
        <v>0</v>
      </c>
      <c r="U6124" s="1" t="str">
        <f t="shared" si="11499"/>
        <v>0.0070</v>
      </c>
    </row>
    <row r="6125" s="1" customFormat="1" spans="1:21">
      <c r="A6125" s="1" t="str">
        <f>"4601992248773"</f>
        <v>4601992248773</v>
      </c>
      <c r="B6125" s="1" t="s">
        <v>6148</v>
      </c>
      <c r="C6125" s="1" t="s">
        <v>24</v>
      </c>
      <c r="D6125" s="1" t="str">
        <f t="shared" si="11433"/>
        <v>2021</v>
      </c>
      <c r="E6125" s="1" t="str">
        <f t="shared" ref="E6125:P6125" si="11502">"0"</f>
        <v>0</v>
      </c>
      <c r="F6125" s="1" t="str">
        <f t="shared" si="11502"/>
        <v>0</v>
      </c>
      <c r="G6125" s="1" t="str">
        <f t="shared" si="11502"/>
        <v>0</v>
      </c>
      <c r="H6125" s="1" t="str">
        <f t="shared" si="11502"/>
        <v>0</v>
      </c>
      <c r="I6125" s="1" t="str">
        <f t="shared" si="11502"/>
        <v>0</v>
      </c>
      <c r="J6125" s="1" t="str">
        <f t="shared" si="11502"/>
        <v>0</v>
      </c>
      <c r="K6125" s="1" t="str">
        <f t="shared" si="11502"/>
        <v>0</v>
      </c>
      <c r="L6125" s="1" t="str">
        <f t="shared" si="11502"/>
        <v>0</v>
      </c>
      <c r="M6125" s="1" t="str">
        <f t="shared" si="11502"/>
        <v>0</v>
      </c>
      <c r="N6125" s="1" t="str">
        <f t="shared" si="11502"/>
        <v>0</v>
      </c>
      <c r="O6125" s="1" t="str">
        <f t="shared" si="11502"/>
        <v>0</v>
      </c>
      <c r="P6125" s="1" t="str">
        <f t="shared" si="11502"/>
        <v>0</v>
      </c>
      <c r="Q6125" s="1" t="str">
        <f t="shared" si="11436"/>
        <v>0.0070</v>
      </c>
      <c r="R6125" s="1" t="s">
        <v>25</v>
      </c>
      <c r="T6125" s="1" t="str">
        <f t="shared" si="11437"/>
        <v>0</v>
      </c>
      <c r="U6125" s="1" t="str">
        <f t="shared" si="11499"/>
        <v>0.0070</v>
      </c>
    </row>
    <row r="6126" s="1" customFormat="1" spans="1:21">
      <c r="A6126" s="1" t="str">
        <f>"4601992098109"</f>
        <v>4601992098109</v>
      </c>
      <c r="B6126" s="1" t="s">
        <v>6149</v>
      </c>
      <c r="C6126" s="1" t="s">
        <v>24</v>
      </c>
      <c r="D6126" s="1" t="str">
        <f t="shared" si="11433"/>
        <v>2021</v>
      </c>
      <c r="E6126" s="1" t="str">
        <f>"6.90"</f>
        <v>6.90</v>
      </c>
      <c r="F6126" s="1" t="str">
        <f t="shared" ref="F6126:I6126" si="11503">"0"</f>
        <v>0</v>
      </c>
      <c r="G6126" s="1" t="str">
        <f t="shared" si="11503"/>
        <v>0</v>
      </c>
      <c r="H6126" s="1" t="str">
        <f t="shared" si="11503"/>
        <v>0</v>
      </c>
      <c r="I6126" s="1" t="str">
        <f t="shared" si="11503"/>
        <v>0</v>
      </c>
      <c r="J6126" s="1" t="str">
        <f>"1"</f>
        <v>1</v>
      </c>
      <c r="K6126" s="1" t="str">
        <f t="shared" ref="K6126:P6126" si="11504">"0"</f>
        <v>0</v>
      </c>
      <c r="L6126" s="1" t="str">
        <f t="shared" si="11504"/>
        <v>0</v>
      </c>
      <c r="M6126" s="1" t="str">
        <f t="shared" si="11504"/>
        <v>0</v>
      </c>
      <c r="N6126" s="1" t="str">
        <f t="shared" si="11504"/>
        <v>0</v>
      </c>
      <c r="O6126" s="1" t="str">
        <f t="shared" si="11504"/>
        <v>0</v>
      </c>
      <c r="P6126" s="1" t="str">
        <f t="shared" si="11504"/>
        <v>0</v>
      </c>
      <c r="Q6126" s="1" t="str">
        <f t="shared" si="11436"/>
        <v>0.0070</v>
      </c>
      <c r="R6126" s="1" t="s">
        <v>29</v>
      </c>
      <c r="S6126" s="1">
        <v>-0.0014</v>
      </c>
      <c r="T6126" s="1" t="str">
        <f t="shared" si="11437"/>
        <v>0</v>
      </c>
      <c r="U6126" s="1" t="str">
        <f>"0.0056"</f>
        <v>0.0056</v>
      </c>
    </row>
    <row r="6127" s="1" customFormat="1" spans="1:21">
      <c r="A6127" s="1" t="str">
        <f>"4601992248803"</f>
        <v>4601992248803</v>
      </c>
      <c r="B6127" s="1" t="s">
        <v>6150</v>
      </c>
      <c r="C6127" s="1" t="s">
        <v>24</v>
      </c>
      <c r="D6127" s="1" t="str">
        <f t="shared" si="11433"/>
        <v>2021</v>
      </c>
      <c r="E6127" s="1" t="str">
        <f t="shared" ref="E6127:I6127" si="11505">"0"</f>
        <v>0</v>
      </c>
      <c r="F6127" s="1" t="str">
        <f t="shared" si="11505"/>
        <v>0</v>
      </c>
      <c r="G6127" s="1" t="str">
        <f t="shared" si="11505"/>
        <v>0</v>
      </c>
      <c r="H6127" s="1" t="str">
        <f t="shared" si="11505"/>
        <v>0</v>
      </c>
      <c r="I6127" s="1" t="str">
        <f t="shared" si="11505"/>
        <v>0</v>
      </c>
      <c r="J6127" s="1" t="str">
        <f>"2"</f>
        <v>2</v>
      </c>
      <c r="K6127" s="1" t="str">
        <f t="shared" ref="K6127:P6127" si="11506">"0"</f>
        <v>0</v>
      </c>
      <c r="L6127" s="1" t="str">
        <f t="shared" si="11506"/>
        <v>0</v>
      </c>
      <c r="M6127" s="1" t="str">
        <f t="shared" si="11506"/>
        <v>0</v>
      </c>
      <c r="N6127" s="1" t="str">
        <f t="shared" si="11506"/>
        <v>0</v>
      </c>
      <c r="O6127" s="1" t="str">
        <f t="shared" si="11506"/>
        <v>0</v>
      </c>
      <c r="P6127" s="1" t="str">
        <f t="shared" si="11506"/>
        <v>0</v>
      </c>
      <c r="Q6127" s="1" t="str">
        <f t="shared" si="11436"/>
        <v>0.0070</v>
      </c>
      <c r="R6127" s="1" t="s">
        <v>25</v>
      </c>
      <c r="T6127" s="1" t="str">
        <f t="shared" si="11437"/>
        <v>0</v>
      </c>
      <c r="U6127" s="1" t="str">
        <f t="shared" ref="U6127:U6167" si="11507">"0.0070"</f>
        <v>0.0070</v>
      </c>
    </row>
    <row r="6128" s="1" customFormat="1" spans="1:21">
      <c r="A6128" s="1" t="str">
        <f>"4601992248806"</f>
        <v>4601992248806</v>
      </c>
      <c r="B6128" s="1" t="s">
        <v>6151</v>
      </c>
      <c r="C6128" s="1" t="s">
        <v>24</v>
      </c>
      <c r="D6128" s="1" t="str">
        <f t="shared" si="11433"/>
        <v>2021</v>
      </c>
      <c r="E6128" s="1" t="str">
        <f>"37.57"</f>
        <v>37.57</v>
      </c>
      <c r="F6128" s="1" t="str">
        <f t="shared" ref="F6128:I6128" si="11508">"0"</f>
        <v>0</v>
      </c>
      <c r="G6128" s="1" t="str">
        <f t="shared" si="11508"/>
        <v>0</v>
      </c>
      <c r="H6128" s="1" t="str">
        <f t="shared" si="11508"/>
        <v>0</v>
      </c>
      <c r="I6128" s="1" t="str">
        <f t="shared" si="11508"/>
        <v>0</v>
      </c>
      <c r="J6128" s="1" t="str">
        <f>"3"</f>
        <v>3</v>
      </c>
      <c r="K6128" s="1" t="str">
        <f t="shared" ref="K6128:P6128" si="11509">"0"</f>
        <v>0</v>
      </c>
      <c r="L6128" s="1" t="str">
        <f t="shared" si="11509"/>
        <v>0</v>
      </c>
      <c r="M6128" s="1" t="str">
        <f t="shared" si="11509"/>
        <v>0</v>
      </c>
      <c r="N6128" s="1" t="str">
        <f t="shared" si="11509"/>
        <v>0</v>
      </c>
      <c r="O6128" s="1" t="str">
        <f t="shared" si="11509"/>
        <v>0</v>
      </c>
      <c r="P6128" s="1" t="str">
        <f t="shared" si="11509"/>
        <v>0</v>
      </c>
      <c r="Q6128" s="1" t="str">
        <f t="shared" si="11436"/>
        <v>0.0070</v>
      </c>
      <c r="R6128" s="1" t="s">
        <v>29</v>
      </c>
      <c r="S6128" s="1">
        <v>-0.0014</v>
      </c>
      <c r="T6128" s="1" t="str">
        <f t="shared" si="11437"/>
        <v>0</v>
      </c>
      <c r="U6128" s="1" t="str">
        <f>"0.0056"</f>
        <v>0.0056</v>
      </c>
    </row>
    <row r="6129" s="1" customFormat="1" spans="1:21">
      <c r="A6129" s="1" t="str">
        <f>"4601992248819"</f>
        <v>4601992248819</v>
      </c>
      <c r="B6129" s="1" t="s">
        <v>6152</v>
      </c>
      <c r="C6129" s="1" t="s">
        <v>24</v>
      </c>
      <c r="D6129" s="1" t="str">
        <f t="shared" si="11433"/>
        <v>2021</v>
      </c>
      <c r="E6129" s="1" t="str">
        <f t="shared" ref="E6129:I6129" si="11510">"0"</f>
        <v>0</v>
      </c>
      <c r="F6129" s="1" t="str">
        <f t="shared" si="11510"/>
        <v>0</v>
      </c>
      <c r="G6129" s="1" t="str">
        <f t="shared" si="11510"/>
        <v>0</v>
      </c>
      <c r="H6129" s="1" t="str">
        <f t="shared" si="11510"/>
        <v>0</v>
      </c>
      <c r="I6129" s="1" t="str">
        <f t="shared" si="11510"/>
        <v>0</v>
      </c>
      <c r="J6129" s="1" t="str">
        <f>"8"</f>
        <v>8</v>
      </c>
      <c r="K6129" s="1" t="str">
        <f t="shared" ref="K6129:P6129" si="11511">"0"</f>
        <v>0</v>
      </c>
      <c r="L6129" s="1" t="str">
        <f t="shared" si="11511"/>
        <v>0</v>
      </c>
      <c r="M6129" s="1" t="str">
        <f t="shared" si="11511"/>
        <v>0</v>
      </c>
      <c r="N6129" s="1" t="str">
        <f t="shared" si="11511"/>
        <v>0</v>
      </c>
      <c r="O6129" s="1" t="str">
        <f t="shared" si="11511"/>
        <v>0</v>
      </c>
      <c r="P6129" s="1" t="str">
        <f t="shared" si="11511"/>
        <v>0</v>
      </c>
      <c r="Q6129" s="1" t="str">
        <f t="shared" si="11436"/>
        <v>0.0070</v>
      </c>
      <c r="R6129" s="1" t="s">
        <v>25</v>
      </c>
      <c r="T6129" s="1" t="str">
        <f t="shared" si="11437"/>
        <v>0</v>
      </c>
      <c r="U6129" s="1" t="str">
        <f t="shared" si="11507"/>
        <v>0.0070</v>
      </c>
    </row>
    <row r="6130" s="1" customFormat="1" spans="1:21">
      <c r="A6130" s="1" t="str">
        <f>"4601992248826"</f>
        <v>4601992248826</v>
      </c>
      <c r="B6130" s="1" t="s">
        <v>6153</v>
      </c>
      <c r="C6130" s="1" t="s">
        <v>24</v>
      </c>
      <c r="D6130" s="1" t="str">
        <f t="shared" si="11433"/>
        <v>2021</v>
      </c>
      <c r="E6130" s="1" t="str">
        <f t="shared" ref="E6130:I6130" si="11512">"0"</f>
        <v>0</v>
      </c>
      <c r="F6130" s="1" t="str">
        <f t="shared" si="11512"/>
        <v>0</v>
      </c>
      <c r="G6130" s="1" t="str">
        <f t="shared" si="11512"/>
        <v>0</v>
      </c>
      <c r="H6130" s="1" t="str">
        <f t="shared" si="11512"/>
        <v>0</v>
      </c>
      <c r="I6130" s="1" t="str">
        <f t="shared" si="11512"/>
        <v>0</v>
      </c>
      <c r="J6130" s="1" t="str">
        <f>"1"</f>
        <v>1</v>
      </c>
      <c r="K6130" s="1" t="str">
        <f t="shared" ref="K6130:P6130" si="11513">"0"</f>
        <v>0</v>
      </c>
      <c r="L6130" s="1" t="str">
        <f t="shared" si="11513"/>
        <v>0</v>
      </c>
      <c r="M6130" s="1" t="str">
        <f t="shared" si="11513"/>
        <v>0</v>
      </c>
      <c r="N6130" s="1" t="str">
        <f t="shared" si="11513"/>
        <v>0</v>
      </c>
      <c r="O6130" s="1" t="str">
        <f t="shared" si="11513"/>
        <v>0</v>
      </c>
      <c r="P6130" s="1" t="str">
        <f t="shared" si="11513"/>
        <v>0</v>
      </c>
      <c r="Q6130" s="1" t="str">
        <f t="shared" si="11436"/>
        <v>0.0070</v>
      </c>
      <c r="R6130" s="1" t="s">
        <v>25</v>
      </c>
      <c r="T6130" s="1" t="str">
        <f t="shared" si="11437"/>
        <v>0</v>
      </c>
      <c r="U6130" s="1" t="str">
        <f t="shared" si="11507"/>
        <v>0.0070</v>
      </c>
    </row>
    <row r="6131" s="1" customFormat="1" spans="1:21">
      <c r="A6131" s="1" t="str">
        <f>"4601992248822"</f>
        <v>4601992248822</v>
      </c>
      <c r="B6131" s="1" t="s">
        <v>6154</v>
      </c>
      <c r="C6131" s="1" t="s">
        <v>24</v>
      </c>
      <c r="D6131" s="1" t="str">
        <f t="shared" si="11433"/>
        <v>2021</v>
      </c>
      <c r="E6131" s="1" t="str">
        <f t="shared" ref="E6131:I6131" si="11514">"0"</f>
        <v>0</v>
      </c>
      <c r="F6131" s="1" t="str">
        <f t="shared" si="11514"/>
        <v>0</v>
      </c>
      <c r="G6131" s="1" t="str">
        <f t="shared" si="11514"/>
        <v>0</v>
      </c>
      <c r="H6131" s="1" t="str">
        <f t="shared" si="11514"/>
        <v>0</v>
      </c>
      <c r="I6131" s="1" t="str">
        <f t="shared" si="11514"/>
        <v>0</v>
      </c>
      <c r="J6131" s="1" t="str">
        <f>"4"</f>
        <v>4</v>
      </c>
      <c r="K6131" s="1" t="str">
        <f t="shared" ref="K6131:P6131" si="11515">"0"</f>
        <v>0</v>
      </c>
      <c r="L6131" s="1" t="str">
        <f t="shared" si="11515"/>
        <v>0</v>
      </c>
      <c r="M6131" s="1" t="str">
        <f t="shared" si="11515"/>
        <v>0</v>
      </c>
      <c r="N6131" s="1" t="str">
        <f t="shared" si="11515"/>
        <v>0</v>
      </c>
      <c r="O6131" s="1" t="str">
        <f t="shared" si="11515"/>
        <v>0</v>
      </c>
      <c r="P6131" s="1" t="str">
        <f t="shared" si="11515"/>
        <v>0</v>
      </c>
      <c r="Q6131" s="1" t="str">
        <f t="shared" si="11436"/>
        <v>0.0070</v>
      </c>
      <c r="R6131" s="1" t="s">
        <v>25</v>
      </c>
      <c r="T6131" s="1" t="str">
        <f t="shared" si="11437"/>
        <v>0</v>
      </c>
      <c r="U6131" s="1" t="str">
        <f t="shared" si="11507"/>
        <v>0.0070</v>
      </c>
    </row>
    <row r="6132" s="1" customFormat="1" spans="1:21">
      <c r="A6132" s="1" t="str">
        <f>"4601992248836"</f>
        <v>4601992248836</v>
      </c>
      <c r="B6132" s="1" t="s">
        <v>6155</v>
      </c>
      <c r="C6132" s="1" t="s">
        <v>24</v>
      </c>
      <c r="D6132" s="1" t="str">
        <f t="shared" si="11433"/>
        <v>2021</v>
      </c>
      <c r="E6132" s="1" t="str">
        <f t="shared" ref="E6132:I6132" si="11516">"0"</f>
        <v>0</v>
      </c>
      <c r="F6132" s="1" t="str">
        <f t="shared" si="11516"/>
        <v>0</v>
      </c>
      <c r="G6132" s="1" t="str">
        <f t="shared" si="11516"/>
        <v>0</v>
      </c>
      <c r="H6132" s="1" t="str">
        <f t="shared" si="11516"/>
        <v>0</v>
      </c>
      <c r="I6132" s="1" t="str">
        <f t="shared" si="11516"/>
        <v>0</v>
      </c>
      <c r="J6132" s="1" t="str">
        <f>"6"</f>
        <v>6</v>
      </c>
      <c r="K6132" s="1" t="str">
        <f t="shared" ref="K6132:P6132" si="11517">"0"</f>
        <v>0</v>
      </c>
      <c r="L6132" s="1" t="str">
        <f t="shared" si="11517"/>
        <v>0</v>
      </c>
      <c r="M6132" s="1" t="str">
        <f t="shared" si="11517"/>
        <v>0</v>
      </c>
      <c r="N6132" s="1" t="str">
        <f t="shared" si="11517"/>
        <v>0</v>
      </c>
      <c r="O6132" s="1" t="str">
        <f t="shared" si="11517"/>
        <v>0</v>
      </c>
      <c r="P6132" s="1" t="str">
        <f t="shared" si="11517"/>
        <v>0</v>
      </c>
      <c r="Q6132" s="1" t="str">
        <f t="shared" si="11436"/>
        <v>0.0070</v>
      </c>
      <c r="R6132" s="1" t="s">
        <v>25</v>
      </c>
      <c r="T6132" s="1" t="str">
        <f t="shared" si="11437"/>
        <v>0</v>
      </c>
      <c r="U6132" s="1" t="str">
        <f t="shared" si="11507"/>
        <v>0.0070</v>
      </c>
    </row>
    <row r="6133" s="1" customFormat="1" spans="1:21">
      <c r="A6133" s="1" t="str">
        <f>"4601992248847"</f>
        <v>4601992248847</v>
      </c>
      <c r="B6133" s="1" t="s">
        <v>6156</v>
      </c>
      <c r="C6133" s="1" t="s">
        <v>24</v>
      </c>
      <c r="D6133" s="1" t="str">
        <f t="shared" si="11433"/>
        <v>2021</v>
      </c>
      <c r="E6133" s="1" t="str">
        <f t="shared" ref="E6133:I6133" si="11518">"0"</f>
        <v>0</v>
      </c>
      <c r="F6133" s="1" t="str">
        <f t="shared" si="11518"/>
        <v>0</v>
      </c>
      <c r="G6133" s="1" t="str">
        <f t="shared" si="11518"/>
        <v>0</v>
      </c>
      <c r="H6133" s="1" t="str">
        <f t="shared" si="11518"/>
        <v>0</v>
      </c>
      <c r="I6133" s="1" t="str">
        <f t="shared" si="11518"/>
        <v>0</v>
      </c>
      <c r="J6133" s="1" t="str">
        <f>"1"</f>
        <v>1</v>
      </c>
      <c r="K6133" s="1" t="str">
        <f t="shared" ref="K6133:P6133" si="11519">"0"</f>
        <v>0</v>
      </c>
      <c r="L6133" s="1" t="str">
        <f t="shared" si="11519"/>
        <v>0</v>
      </c>
      <c r="M6133" s="1" t="str">
        <f t="shared" si="11519"/>
        <v>0</v>
      </c>
      <c r="N6133" s="1" t="str">
        <f t="shared" si="11519"/>
        <v>0</v>
      </c>
      <c r="O6133" s="1" t="str">
        <f t="shared" si="11519"/>
        <v>0</v>
      </c>
      <c r="P6133" s="1" t="str">
        <f t="shared" si="11519"/>
        <v>0</v>
      </c>
      <c r="Q6133" s="1" t="str">
        <f t="shared" si="11436"/>
        <v>0.0070</v>
      </c>
      <c r="R6133" s="1" t="s">
        <v>25</v>
      </c>
      <c r="T6133" s="1" t="str">
        <f t="shared" si="11437"/>
        <v>0</v>
      </c>
      <c r="U6133" s="1" t="str">
        <f t="shared" si="11507"/>
        <v>0.0070</v>
      </c>
    </row>
    <row r="6134" s="1" customFormat="1" spans="1:21">
      <c r="A6134" s="1" t="str">
        <f>"4601992248864"</f>
        <v>4601992248864</v>
      </c>
      <c r="B6134" s="1" t="s">
        <v>6157</v>
      </c>
      <c r="C6134" s="1" t="s">
        <v>24</v>
      </c>
      <c r="D6134" s="1" t="str">
        <f t="shared" si="11433"/>
        <v>2021</v>
      </c>
      <c r="E6134" s="1" t="str">
        <f t="shared" ref="E6134:I6134" si="11520">"0"</f>
        <v>0</v>
      </c>
      <c r="F6134" s="1" t="str">
        <f t="shared" si="11520"/>
        <v>0</v>
      </c>
      <c r="G6134" s="1" t="str">
        <f t="shared" si="11520"/>
        <v>0</v>
      </c>
      <c r="H6134" s="1" t="str">
        <f t="shared" si="11520"/>
        <v>0</v>
      </c>
      <c r="I6134" s="1" t="str">
        <f t="shared" si="11520"/>
        <v>0</v>
      </c>
      <c r="J6134" s="1" t="str">
        <f>"3"</f>
        <v>3</v>
      </c>
      <c r="K6134" s="1" t="str">
        <f t="shared" ref="K6134:P6134" si="11521">"0"</f>
        <v>0</v>
      </c>
      <c r="L6134" s="1" t="str">
        <f t="shared" si="11521"/>
        <v>0</v>
      </c>
      <c r="M6134" s="1" t="str">
        <f t="shared" si="11521"/>
        <v>0</v>
      </c>
      <c r="N6134" s="1" t="str">
        <f t="shared" si="11521"/>
        <v>0</v>
      </c>
      <c r="O6134" s="1" t="str">
        <f t="shared" si="11521"/>
        <v>0</v>
      </c>
      <c r="P6134" s="1" t="str">
        <f t="shared" si="11521"/>
        <v>0</v>
      </c>
      <c r="Q6134" s="1" t="str">
        <f t="shared" si="11436"/>
        <v>0.0070</v>
      </c>
      <c r="R6134" s="1" t="s">
        <v>25</v>
      </c>
      <c r="T6134" s="1" t="str">
        <f t="shared" si="11437"/>
        <v>0</v>
      </c>
      <c r="U6134" s="1" t="str">
        <f t="shared" si="11507"/>
        <v>0.0070</v>
      </c>
    </row>
    <row r="6135" s="1" customFormat="1" spans="1:21">
      <c r="A6135" s="1" t="str">
        <f>"4601992248886"</f>
        <v>4601992248886</v>
      </c>
      <c r="B6135" s="1" t="s">
        <v>6158</v>
      </c>
      <c r="C6135" s="1" t="s">
        <v>24</v>
      </c>
      <c r="D6135" s="1" t="str">
        <f t="shared" si="11433"/>
        <v>2021</v>
      </c>
      <c r="E6135" s="1" t="str">
        <f t="shared" ref="E6135:P6135" si="11522">"0"</f>
        <v>0</v>
      </c>
      <c r="F6135" s="1" t="str">
        <f t="shared" si="11522"/>
        <v>0</v>
      </c>
      <c r="G6135" s="1" t="str">
        <f t="shared" si="11522"/>
        <v>0</v>
      </c>
      <c r="H6135" s="1" t="str">
        <f t="shared" si="11522"/>
        <v>0</v>
      </c>
      <c r="I6135" s="1" t="str">
        <f t="shared" si="11522"/>
        <v>0</v>
      </c>
      <c r="J6135" s="1" t="str">
        <f t="shared" si="11522"/>
        <v>0</v>
      </c>
      <c r="K6135" s="1" t="str">
        <f t="shared" si="11522"/>
        <v>0</v>
      </c>
      <c r="L6135" s="1" t="str">
        <f t="shared" si="11522"/>
        <v>0</v>
      </c>
      <c r="M6135" s="1" t="str">
        <f t="shared" si="11522"/>
        <v>0</v>
      </c>
      <c r="N6135" s="1" t="str">
        <f t="shared" si="11522"/>
        <v>0</v>
      </c>
      <c r="O6135" s="1" t="str">
        <f t="shared" si="11522"/>
        <v>0</v>
      </c>
      <c r="P6135" s="1" t="str">
        <f t="shared" si="11522"/>
        <v>0</v>
      </c>
      <c r="Q6135" s="1" t="str">
        <f t="shared" si="11436"/>
        <v>0.0070</v>
      </c>
      <c r="R6135" s="1" t="s">
        <v>25</v>
      </c>
      <c r="T6135" s="1" t="str">
        <f t="shared" si="11437"/>
        <v>0</v>
      </c>
      <c r="U6135" s="1" t="str">
        <f t="shared" si="11507"/>
        <v>0.0070</v>
      </c>
    </row>
    <row r="6136" s="1" customFormat="1" spans="1:21">
      <c r="A6136" s="1" t="str">
        <f>"4601992248872"</f>
        <v>4601992248872</v>
      </c>
      <c r="B6136" s="1" t="s">
        <v>6159</v>
      </c>
      <c r="C6136" s="1" t="s">
        <v>24</v>
      </c>
      <c r="D6136" s="1" t="str">
        <f t="shared" si="11433"/>
        <v>2021</v>
      </c>
      <c r="E6136" s="1" t="str">
        <f t="shared" ref="E6136:I6136" si="11523">"0"</f>
        <v>0</v>
      </c>
      <c r="F6136" s="1" t="str">
        <f t="shared" si="11523"/>
        <v>0</v>
      </c>
      <c r="G6136" s="1" t="str">
        <f t="shared" si="11523"/>
        <v>0</v>
      </c>
      <c r="H6136" s="1" t="str">
        <f t="shared" si="11523"/>
        <v>0</v>
      </c>
      <c r="I6136" s="1" t="str">
        <f t="shared" si="11523"/>
        <v>0</v>
      </c>
      <c r="J6136" s="1" t="str">
        <f t="shared" ref="J6136:J6138" si="11524">"2"</f>
        <v>2</v>
      </c>
      <c r="K6136" s="1" t="str">
        <f t="shared" ref="K6136:P6136" si="11525">"0"</f>
        <v>0</v>
      </c>
      <c r="L6136" s="1" t="str">
        <f t="shared" si="11525"/>
        <v>0</v>
      </c>
      <c r="M6136" s="1" t="str">
        <f t="shared" si="11525"/>
        <v>0</v>
      </c>
      <c r="N6136" s="1" t="str">
        <f t="shared" si="11525"/>
        <v>0</v>
      </c>
      <c r="O6136" s="1" t="str">
        <f t="shared" si="11525"/>
        <v>0</v>
      </c>
      <c r="P6136" s="1" t="str">
        <f t="shared" si="11525"/>
        <v>0</v>
      </c>
      <c r="Q6136" s="1" t="str">
        <f t="shared" si="11436"/>
        <v>0.0070</v>
      </c>
      <c r="R6136" s="1" t="s">
        <v>25</v>
      </c>
      <c r="T6136" s="1" t="str">
        <f t="shared" si="11437"/>
        <v>0</v>
      </c>
      <c r="U6136" s="1" t="str">
        <f t="shared" si="11507"/>
        <v>0.0070</v>
      </c>
    </row>
    <row r="6137" s="1" customFormat="1" spans="1:21">
      <c r="A6137" s="1" t="str">
        <f>"4601992248929"</f>
        <v>4601992248929</v>
      </c>
      <c r="B6137" s="1" t="s">
        <v>6160</v>
      </c>
      <c r="C6137" s="1" t="s">
        <v>24</v>
      </c>
      <c r="D6137" s="1" t="str">
        <f t="shared" si="11433"/>
        <v>2021</v>
      </c>
      <c r="E6137" s="1" t="str">
        <f t="shared" ref="E6137:I6137" si="11526">"0"</f>
        <v>0</v>
      </c>
      <c r="F6137" s="1" t="str">
        <f t="shared" si="11526"/>
        <v>0</v>
      </c>
      <c r="G6137" s="1" t="str">
        <f t="shared" si="11526"/>
        <v>0</v>
      </c>
      <c r="H6137" s="1" t="str">
        <f t="shared" si="11526"/>
        <v>0</v>
      </c>
      <c r="I6137" s="1" t="str">
        <f t="shared" si="11526"/>
        <v>0</v>
      </c>
      <c r="J6137" s="1" t="str">
        <f t="shared" si="11524"/>
        <v>2</v>
      </c>
      <c r="K6137" s="1" t="str">
        <f t="shared" ref="K6137:P6137" si="11527">"0"</f>
        <v>0</v>
      </c>
      <c r="L6137" s="1" t="str">
        <f t="shared" si="11527"/>
        <v>0</v>
      </c>
      <c r="M6137" s="1" t="str">
        <f t="shared" si="11527"/>
        <v>0</v>
      </c>
      <c r="N6137" s="1" t="str">
        <f t="shared" si="11527"/>
        <v>0</v>
      </c>
      <c r="O6137" s="1" t="str">
        <f t="shared" si="11527"/>
        <v>0</v>
      </c>
      <c r="P6137" s="1" t="str">
        <f t="shared" si="11527"/>
        <v>0</v>
      </c>
      <c r="Q6137" s="1" t="str">
        <f t="shared" si="11436"/>
        <v>0.0070</v>
      </c>
      <c r="R6137" s="1" t="s">
        <v>25</v>
      </c>
      <c r="T6137" s="1" t="str">
        <f t="shared" si="11437"/>
        <v>0</v>
      </c>
      <c r="U6137" s="1" t="str">
        <f t="shared" si="11507"/>
        <v>0.0070</v>
      </c>
    </row>
    <row r="6138" s="1" customFormat="1" spans="1:21">
      <c r="A6138" s="1" t="str">
        <f>"4601992248933"</f>
        <v>4601992248933</v>
      </c>
      <c r="B6138" s="1" t="s">
        <v>6161</v>
      </c>
      <c r="C6138" s="1" t="s">
        <v>24</v>
      </c>
      <c r="D6138" s="1" t="str">
        <f t="shared" si="11433"/>
        <v>2021</v>
      </c>
      <c r="E6138" s="1" t="str">
        <f t="shared" ref="E6138:I6138" si="11528">"0"</f>
        <v>0</v>
      </c>
      <c r="F6138" s="1" t="str">
        <f t="shared" si="11528"/>
        <v>0</v>
      </c>
      <c r="G6138" s="1" t="str">
        <f t="shared" si="11528"/>
        <v>0</v>
      </c>
      <c r="H6138" s="1" t="str">
        <f t="shared" si="11528"/>
        <v>0</v>
      </c>
      <c r="I6138" s="1" t="str">
        <f t="shared" si="11528"/>
        <v>0</v>
      </c>
      <c r="J6138" s="1" t="str">
        <f t="shared" si="11524"/>
        <v>2</v>
      </c>
      <c r="K6138" s="1" t="str">
        <f t="shared" ref="K6138:P6138" si="11529">"0"</f>
        <v>0</v>
      </c>
      <c r="L6138" s="1" t="str">
        <f t="shared" si="11529"/>
        <v>0</v>
      </c>
      <c r="M6138" s="1" t="str">
        <f t="shared" si="11529"/>
        <v>0</v>
      </c>
      <c r="N6138" s="1" t="str">
        <f t="shared" si="11529"/>
        <v>0</v>
      </c>
      <c r="O6138" s="1" t="str">
        <f t="shared" si="11529"/>
        <v>0</v>
      </c>
      <c r="P6138" s="1" t="str">
        <f t="shared" si="11529"/>
        <v>0</v>
      </c>
      <c r="Q6138" s="1" t="str">
        <f t="shared" si="11436"/>
        <v>0.0070</v>
      </c>
      <c r="R6138" s="1" t="s">
        <v>25</v>
      </c>
      <c r="T6138" s="1" t="str">
        <f t="shared" si="11437"/>
        <v>0</v>
      </c>
      <c r="U6138" s="1" t="str">
        <f t="shared" si="11507"/>
        <v>0.0070</v>
      </c>
    </row>
    <row r="6139" s="1" customFormat="1" spans="1:21">
      <c r="A6139" s="1" t="str">
        <f>"4601992249007"</f>
        <v>4601992249007</v>
      </c>
      <c r="B6139" s="1" t="s">
        <v>6162</v>
      </c>
      <c r="C6139" s="1" t="s">
        <v>24</v>
      </c>
      <c r="D6139" s="1" t="str">
        <f t="shared" si="11433"/>
        <v>2021</v>
      </c>
      <c r="E6139" s="1" t="str">
        <f t="shared" ref="E6139:I6139" si="11530">"0"</f>
        <v>0</v>
      </c>
      <c r="F6139" s="1" t="str">
        <f t="shared" si="11530"/>
        <v>0</v>
      </c>
      <c r="G6139" s="1" t="str">
        <f t="shared" si="11530"/>
        <v>0</v>
      </c>
      <c r="H6139" s="1" t="str">
        <f t="shared" si="11530"/>
        <v>0</v>
      </c>
      <c r="I6139" s="1" t="str">
        <f t="shared" si="11530"/>
        <v>0</v>
      </c>
      <c r="J6139" s="1" t="str">
        <f>"3"</f>
        <v>3</v>
      </c>
      <c r="K6139" s="1" t="str">
        <f t="shared" ref="K6139:P6139" si="11531">"0"</f>
        <v>0</v>
      </c>
      <c r="L6139" s="1" t="str">
        <f t="shared" si="11531"/>
        <v>0</v>
      </c>
      <c r="M6139" s="1" t="str">
        <f t="shared" si="11531"/>
        <v>0</v>
      </c>
      <c r="N6139" s="1" t="str">
        <f t="shared" si="11531"/>
        <v>0</v>
      </c>
      <c r="O6139" s="1" t="str">
        <f t="shared" si="11531"/>
        <v>0</v>
      </c>
      <c r="P6139" s="1" t="str">
        <f t="shared" si="11531"/>
        <v>0</v>
      </c>
      <c r="Q6139" s="1" t="str">
        <f t="shared" si="11436"/>
        <v>0.0070</v>
      </c>
      <c r="R6139" s="1" t="s">
        <v>25</v>
      </c>
      <c r="T6139" s="1" t="str">
        <f t="shared" si="11437"/>
        <v>0</v>
      </c>
      <c r="U6139" s="1" t="str">
        <f t="shared" si="11507"/>
        <v>0.0070</v>
      </c>
    </row>
    <row r="6140" s="1" customFormat="1" spans="1:21">
      <c r="A6140" s="1" t="str">
        <f>"4601992249021"</f>
        <v>4601992249021</v>
      </c>
      <c r="B6140" s="1" t="s">
        <v>6163</v>
      </c>
      <c r="C6140" s="1" t="s">
        <v>24</v>
      </c>
      <c r="D6140" s="1" t="str">
        <f t="shared" si="11433"/>
        <v>2021</v>
      </c>
      <c r="E6140" s="1" t="str">
        <f t="shared" ref="E6140:I6140" si="11532">"0"</f>
        <v>0</v>
      </c>
      <c r="F6140" s="1" t="str">
        <f t="shared" si="11532"/>
        <v>0</v>
      </c>
      <c r="G6140" s="1" t="str">
        <f t="shared" si="11532"/>
        <v>0</v>
      </c>
      <c r="H6140" s="1" t="str">
        <f t="shared" si="11532"/>
        <v>0</v>
      </c>
      <c r="I6140" s="1" t="str">
        <f t="shared" si="11532"/>
        <v>0</v>
      </c>
      <c r="J6140" s="1" t="str">
        <f t="shared" ref="J6140:J6145" si="11533">"2"</f>
        <v>2</v>
      </c>
      <c r="K6140" s="1" t="str">
        <f t="shared" ref="K6140:P6140" si="11534">"0"</f>
        <v>0</v>
      </c>
      <c r="L6140" s="1" t="str">
        <f t="shared" si="11534"/>
        <v>0</v>
      </c>
      <c r="M6140" s="1" t="str">
        <f t="shared" si="11534"/>
        <v>0</v>
      </c>
      <c r="N6140" s="1" t="str">
        <f t="shared" si="11534"/>
        <v>0</v>
      </c>
      <c r="O6140" s="1" t="str">
        <f t="shared" si="11534"/>
        <v>0</v>
      </c>
      <c r="P6140" s="1" t="str">
        <f t="shared" si="11534"/>
        <v>0</v>
      </c>
      <c r="Q6140" s="1" t="str">
        <f t="shared" si="11436"/>
        <v>0.0070</v>
      </c>
      <c r="R6140" s="1" t="s">
        <v>25</v>
      </c>
      <c r="T6140" s="1" t="str">
        <f t="shared" si="11437"/>
        <v>0</v>
      </c>
      <c r="U6140" s="1" t="str">
        <f t="shared" si="11507"/>
        <v>0.0070</v>
      </c>
    </row>
    <row r="6141" s="1" customFormat="1" spans="1:21">
      <c r="A6141" s="1" t="str">
        <f>"4601992249038"</f>
        <v>4601992249038</v>
      </c>
      <c r="B6141" s="1" t="s">
        <v>6164</v>
      </c>
      <c r="C6141" s="1" t="s">
        <v>24</v>
      </c>
      <c r="D6141" s="1" t="str">
        <f t="shared" si="11433"/>
        <v>2021</v>
      </c>
      <c r="E6141" s="1" t="str">
        <f t="shared" ref="E6141:P6141" si="11535">"0"</f>
        <v>0</v>
      </c>
      <c r="F6141" s="1" t="str">
        <f t="shared" si="11535"/>
        <v>0</v>
      </c>
      <c r="G6141" s="1" t="str">
        <f t="shared" si="11535"/>
        <v>0</v>
      </c>
      <c r="H6141" s="1" t="str">
        <f t="shared" si="11535"/>
        <v>0</v>
      </c>
      <c r="I6141" s="1" t="str">
        <f t="shared" si="11535"/>
        <v>0</v>
      </c>
      <c r="J6141" s="1" t="str">
        <f t="shared" si="11535"/>
        <v>0</v>
      </c>
      <c r="K6141" s="1" t="str">
        <f t="shared" si="11535"/>
        <v>0</v>
      </c>
      <c r="L6141" s="1" t="str">
        <f t="shared" si="11535"/>
        <v>0</v>
      </c>
      <c r="M6141" s="1" t="str">
        <f t="shared" si="11535"/>
        <v>0</v>
      </c>
      <c r="N6141" s="1" t="str">
        <f t="shared" si="11535"/>
        <v>0</v>
      </c>
      <c r="O6141" s="1" t="str">
        <f t="shared" si="11535"/>
        <v>0</v>
      </c>
      <c r="P6141" s="1" t="str">
        <f t="shared" si="11535"/>
        <v>0</v>
      </c>
      <c r="Q6141" s="1" t="str">
        <f t="shared" si="11436"/>
        <v>0.0070</v>
      </c>
      <c r="R6141" s="1" t="s">
        <v>25</v>
      </c>
      <c r="T6141" s="1" t="str">
        <f t="shared" si="11437"/>
        <v>0</v>
      </c>
      <c r="U6141" s="1" t="str">
        <f t="shared" si="11507"/>
        <v>0.0070</v>
      </c>
    </row>
    <row r="6142" s="1" customFormat="1" spans="1:21">
      <c r="A6142" s="1" t="str">
        <f>"4601992249043"</f>
        <v>4601992249043</v>
      </c>
      <c r="B6142" s="1" t="s">
        <v>6165</v>
      </c>
      <c r="C6142" s="1" t="s">
        <v>24</v>
      </c>
      <c r="D6142" s="1" t="str">
        <f t="shared" si="11433"/>
        <v>2021</v>
      </c>
      <c r="E6142" s="1" t="str">
        <f t="shared" ref="E6142:P6142" si="11536">"0"</f>
        <v>0</v>
      </c>
      <c r="F6142" s="1" t="str">
        <f t="shared" si="11536"/>
        <v>0</v>
      </c>
      <c r="G6142" s="1" t="str">
        <f t="shared" si="11536"/>
        <v>0</v>
      </c>
      <c r="H6142" s="1" t="str">
        <f t="shared" si="11536"/>
        <v>0</v>
      </c>
      <c r="I6142" s="1" t="str">
        <f t="shared" si="11536"/>
        <v>0</v>
      </c>
      <c r="J6142" s="1" t="str">
        <f t="shared" si="11536"/>
        <v>0</v>
      </c>
      <c r="K6142" s="1" t="str">
        <f t="shared" si="11536"/>
        <v>0</v>
      </c>
      <c r="L6142" s="1" t="str">
        <f t="shared" si="11536"/>
        <v>0</v>
      </c>
      <c r="M6142" s="1" t="str">
        <f t="shared" si="11536"/>
        <v>0</v>
      </c>
      <c r="N6142" s="1" t="str">
        <f t="shared" si="11536"/>
        <v>0</v>
      </c>
      <c r="O6142" s="1" t="str">
        <f t="shared" si="11536"/>
        <v>0</v>
      </c>
      <c r="P6142" s="1" t="str">
        <f t="shared" si="11536"/>
        <v>0</v>
      </c>
      <c r="Q6142" s="1" t="str">
        <f t="shared" si="11436"/>
        <v>0.0070</v>
      </c>
      <c r="R6142" s="1" t="s">
        <v>25</v>
      </c>
      <c r="T6142" s="1" t="str">
        <f t="shared" si="11437"/>
        <v>0</v>
      </c>
      <c r="U6142" s="1" t="str">
        <f t="shared" si="11507"/>
        <v>0.0070</v>
      </c>
    </row>
    <row r="6143" s="1" customFormat="1" spans="1:21">
      <c r="A6143" s="1" t="str">
        <f>"4601992249080"</f>
        <v>4601992249080</v>
      </c>
      <c r="B6143" s="1" t="s">
        <v>6166</v>
      </c>
      <c r="C6143" s="1" t="s">
        <v>24</v>
      </c>
      <c r="D6143" s="1" t="str">
        <f t="shared" si="11433"/>
        <v>2021</v>
      </c>
      <c r="E6143" s="1" t="str">
        <f t="shared" ref="E6143:I6143" si="11537">"0"</f>
        <v>0</v>
      </c>
      <c r="F6143" s="1" t="str">
        <f t="shared" si="11537"/>
        <v>0</v>
      </c>
      <c r="G6143" s="1" t="str">
        <f t="shared" si="11537"/>
        <v>0</v>
      </c>
      <c r="H6143" s="1" t="str">
        <f t="shared" si="11537"/>
        <v>0</v>
      </c>
      <c r="I6143" s="1" t="str">
        <f t="shared" si="11537"/>
        <v>0</v>
      </c>
      <c r="J6143" s="1" t="str">
        <f t="shared" ref="J6143:J6148" si="11538">"1"</f>
        <v>1</v>
      </c>
      <c r="K6143" s="1" t="str">
        <f t="shared" ref="K6143:P6143" si="11539">"0"</f>
        <v>0</v>
      </c>
      <c r="L6143" s="1" t="str">
        <f t="shared" si="11539"/>
        <v>0</v>
      </c>
      <c r="M6143" s="1" t="str">
        <f t="shared" si="11539"/>
        <v>0</v>
      </c>
      <c r="N6143" s="1" t="str">
        <f t="shared" si="11539"/>
        <v>0</v>
      </c>
      <c r="O6143" s="1" t="str">
        <f t="shared" si="11539"/>
        <v>0</v>
      </c>
      <c r="P6143" s="1" t="str">
        <f t="shared" si="11539"/>
        <v>0</v>
      </c>
      <c r="Q6143" s="1" t="str">
        <f t="shared" si="11436"/>
        <v>0.0070</v>
      </c>
      <c r="R6143" s="1" t="s">
        <v>25</v>
      </c>
      <c r="T6143" s="1" t="str">
        <f t="shared" si="11437"/>
        <v>0</v>
      </c>
      <c r="U6143" s="1" t="str">
        <f t="shared" si="11507"/>
        <v>0.0070</v>
      </c>
    </row>
    <row r="6144" s="1" customFormat="1" spans="1:21">
      <c r="A6144" s="1" t="str">
        <f>"4601992249049"</f>
        <v>4601992249049</v>
      </c>
      <c r="B6144" s="1" t="s">
        <v>6167</v>
      </c>
      <c r="C6144" s="1" t="s">
        <v>24</v>
      </c>
      <c r="D6144" s="1" t="str">
        <f t="shared" si="11433"/>
        <v>2021</v>
      </c>
      <c r="E6144" s="1" t="str">
        <f t="shared" ref="E6144:I6144" si="11540">"0"</f>
        <v>0</v>
      </c>
      <c r="F6144" s="1" t="str">
        <f t="shared" si="11540"/>
        <v>0</v>
      </c>
      <c r="G6144" s="1" t="str">
        <f t="shared" si="11540"/>
        <v>0</v>
      </c>
      <c r="H6144" s="1" t="str">
        <f t="shared" si="11540"/>
        <v>0</v>
      </c>
      <c r="I6144" s="1" t="str">
        <f t="shared" si="11540"/>
        <v>0</v>
      </c>
      <c r="J6144" s="1" t="str">
        <f t="shared" si="11533"/>
        <v>2</v>
      </c>
      <c r="K6144" s="1" t="str">
        <f t="shared" ref="K6144:P6144" si="11541">"0"</f>
        <v>0</v>
      </c>
      <c r="L6144" s="1" t="str">
        <f t="shared" si="11541"/>
        <v>0</v>
      </c>
      <c r="M6144" s="1" t="str">
        <f t="shared" si="11541"/>
        <v>0</v>
      </c>
      <c r="N6144" s="1" t="str">
        <f t="shared" si="11541"/>
        <v>0</v>
      </c>
      <c r="O6144" s="1" t="str">
        <f t="shared" si="11541"/>
        <v>0</v>
      </c>
      <c r="P6144" s="1" t="str">
        <f t="shared" si="11541"/>
        <v>0</v>
      </c>
      <c r="Q6144" s="1" t="str">
        <f t="shared" si="11436"/>
        <v>0.0070</v>
      </c>
      <c r="R6144" s="1" t="s">
        <v>25</v>
      </c>
      <c r="T6144" s="1" t="str">
        <f t="shared" si="11437"/>
        <v>0</v>
      </c>
      <c r="U6144" s="1" t="str">
        <f t="shared" si="11507"/>
        <v>0.0070</v>
      </c>
    </row>
    <row r="6145" s="1" customFormat="1" spans="1:21">
      <c r="A6145" s="1" t="str">
        <f>"4601992249097"</f>
        <v>4601992249097</v>
      </c>
      <c r="B6145" s="1" t="s">
        <v>6168</v>
      </c>
      <c r="C6145" s="1" t="s">
        <v>24</v>
      </c>
      <c r="D6145" s="1" t="str">
        <f t="shared" si="11433"/>
        <v>2021</v>
      </c>
      <c r="E6145" s="1" t="str">
        <f t="shared" ref="E6145:I6145" si="11542">"0"</f>
        <v>0</v>
      </c>
      <c r="F6145" s="1" t="str">
        <f t="shared" si="11542"/>
        <v>0</v>
      </c>
      <c r="G6145" s="1" t="str">
        <f t="shared" si="11542"/>
        <v>0</v>
      </c>
      <c r="H6145" s="1" t="str">
        <f t="shared" si="11542"/>
        <v>0</v>
      </c>
      <c r="I6145" s="1" t="str">
        <f t="shared" si="11542"/>
        <v>0</v>
      </c>
      <c r="J6145" s="1" t="str">
        <f t="shared" si="11533"/>
        <v>2</v>
      </c>
      <c r="K6145" s="1" t="str">
        <f t="shared" ref="K6145:P6145" si="11543">"0"</f>
        <v>0</v>
      </c>
      <c r="L6145" s="1" t="str">
        <f t="shared" si="11543"/>
        <v>0</v>
      </c>
      <c r="M6145" s="1" t="str">
        <f t="shared" si="11543"/>
        <v>0</v>
      </c>
      <c r="N6145" s="1" t="str">
        <f t="shared" si="11543"/>
        <v>0</v>
      </c>
      <c r="O6145" s="1" t="str">
        <f t="shared" si="11543"/>
        <v>0</v>
      </c>
      <c r="P6145" s="1" t="str">
        <f t="shared" si="11543"/>
        <v>0</v>
      </c>
      <c r="Q6145" s="1" t="str">
        <f t="shared" si="11436"/>
        <v>0.0070</v>
      </c>
      <c r="R6145" s="1" t="s">
        <v>25</v>
      </c>
      <c r="T6145" s="1" t="str">
        <f t="shared" si="11437"/>
        <v>0</v>
      </c>
      <c r="U6145" s="1" t="str">
        <f t="shared" si="11507"/>
        <v>0.0070</v>
      </c>
    </row>
    <row r="6146" s="1" customFormat="1" spans="1:21">
      <c r="A6146" s="1" t="str">
        <f>"4601992249109"</f>
        <v>4601992249109</v>
      </c>
      <c r="B6146" s="1" t="s">
        <v>6169</v>
      </c>
      <c r="C6146" s="1" t="s">
        <v>24</v>
      </c>
      <c r="D6146" s="1" t="str">
        <f t="shared" si="11433"/>
        <v>2021</v>
      </c>
      <c r="E6146" s="1" t="str">
        <f t="shared" ref="E6146:I6146" si="11544">"0"</f>
        <v>0</v>
      </c>
      <c r="F6146" s="1" t="str">
        <f t="shared" si="11544"/>
        <v>0</v>
      </c>
      <c r="G6146" s="1" t="str">
        <f t="shared" si="11544"/>
        <v>0</v>
      </c>
      <c r="H6146" s="1" t="str">
        <f t="shared" si="11544"/>
        <v>0</v>
      </c>
      <c r="I6146" s="1" t="str">
        <f t="shared" si="11544"/>
        <v>0</v>
      </c>
      <c r="J6146" s="1" t="str">
        <f t="shared" si="11538"/>
        <v>1</v>
      </c>
      <c r="K6146" s="1" t="str">
        <f t="shared" ref="K6146:P6146" si="11545">"0"</f>
        <v>0</v>
      </c>
      <c r="L6146" s="1" t="str">
        <f t="shared" si="11545"/>
        <v>0</v>
      </c>
      <c r="M6146" s="1" t="str">
        <f t="shared" si="11545"/>
        <v>0</v>
      </c>
      <c r="N6146" s="1" t="str">
        <f t="shared" si="11545"/>
        <v>0</v>
      </c>
      <c r="O6146" s="1" t="str">
        <f t="shared" si="11545"/>
        <v>0</v>
      </c>
      <c r="P6146" s="1" t="str">
        <f t="shared" si="11545"/>
        <v>0</v>
      </c>
      <c r="Q6146" s="1" t="str">
        <f t="shared" si="11436"/>
        <v>0.0070</v>
      </c>
      <c r="R6146" s="1" t="s">
        <v>25</v>
      </c>
      <c r="T6146" s="1" t="str">
        <f t="shared" si="11437"/>
        <v>0</v>
      </c>
      <c r="U6146" s="1" t="str">
        <f t="shared" si="11507"/>
        <v>0.0070</v>
      </c>
    </row>
    <row r="6147" s="1" customFormat="1" spans="1:21">
      <c r="A6147" s="1" t="str">
        <f>"4601992249116"</f>
        <v>4601992249116</v>
      </c>
      <c r="B6147" s="1" t="s">
        <v>6170</v>
      </c>
      <c r="C6147" s="1" t="s">
        <v>24</v>
      </c>
      <c r="D6147" s="1" t="str">
        <f t="shared" ref="D6147:D6210" si="11546">"2021"</f>
        <v>2021</v>
      </c>
      <c r="E6147" s="1" t="str">
        <f t="shared" ref="E6147:I6147" si="11547">"0"</f>
        <v>0</v>
      </c>
      <c r="F6147" s="1" t="str">
        <f t="shared" si="11547"/>
        <v>0</v>
      </c>
      <c r="G6147" s="1" t="str">
        <f t="shared" si="11547"/>
        <v>0</v>
      </c>
      <c r="H6147" s="1" t="str">
        <f t="shared" si="11547"/>
        <v>0</v>
      </c>
      <c r="I6147" s="1" t="str">
        <f t="shared" si="11547"/>
        <v>0</v>
      </c>
      <c r="J6147" s="1" t="str">
        <f>"2"</f>
        <v>2</v>
      </c>
      <c r="K6147" s="1" t="str">
        <f t="shared" ref="K6147:P6147" si="11548">"0"</f>
        <v>0</v>
      </c>
      <c r="L6147" s="1" t="str">
        <f t="shared" si="11548"/>
        <v>0</v>
      </c>
      <c r="M6147" s="1" t="str">
        <f t="shared" si="11548"/>
        <v>0</v>
      </c>
      <c r="N6147" s="1" t="str">
        <f t="shared" si="11548"/>
        <v>0</v>
      </c>
      <c r="O6147" s="1" t="str">
        <f t="shared" si="11548"/>
        <v>0</v>
      </c>
      <c r="P6147" s="1" t="str">
        <f t="shared" si="11548"/>
        <v>0</v>
      </c>
      <c r="Q6147" s="1" t="str">
        <f t="shared" ref="Q6147:Q6210" si="11549">"0.0070"</f>
        <v>0.0070</v>
      </c>
      <c r="R6147" s="1" t="s">
        <v>25</v>
      </c>
      <c r="T6147" s="1" t="str">
        <f t="shared" ref="T6147:T6210" si="11550">"0"</f>
        <v>0</v>
      </c>
      <c r="U6147" s="1" t="str">
        <f t="shared" si="11507"/>
        <v>0.0070</v>
      </c>
    </row>
    <row r="6148" s="1" customFormat="1" spans="1:21">
      <c r="A6148" s="1" t="str">
        <f>"4601992249118"</f>
        <v>4601992249118</v>
      </c>
      <c r="B6148" s="1" t="s">
        <v>6171</v>
      </c>
      <c r="C6148" s="1" t="s">
        <v>24</v>
      </c>
      <c r="D6148" s="1" t="str">
        <f t="shared" si="11546"/>
        <v>2021</v>
      </c>
      <c r="E6148" s="1" t="str">
        <f t="shared" ref="E6148:I6148" si="11551">"0"</f>
        <v>0</v>
      </c>
      <c r="F6148" s="1" t="str">
        <f t="shared" si="11551"/>
        <v>0</v>
      </c>
      <c r="G6148" s="1" t="str">
        <f t="shared" si="11551"/>
        <v>0</v>
      </c>
      <c r="H6148" s="1" t="str">
        <f t="shared" si="11551"/>
        <v>0</v>
      </c>
      <c r="I6148" s="1" t="str">
        <f t="shared" si="11551"/>
        <v>0</v>
      </c>
      <c r="J6148" s="1" t="str">
        <f t="shared" si="11538"/>
        <v>1</v>
      </c>
      <c r="K6148" s="1" t="str">
        <f t="shared" ref="K6148:P6148" si="11552">"0"</f>
        <v>0</v>
      </c>
      <c r="L6148" s="1" t="str">
        <f t="shared" si="11552"/>
        <v>0</v>
      </c>
      <c r="M6148" s="1" t="str">
        <f t="shared" si="11552"/>
        <v>0</v>
      </c>
      <c r="N6148" s="1" t="str">
        <f t="shared" si="11552"/>
        <v>0</v>
      </c>
      <c r="O6148" s="1" t="str">
        <f t="shared" si="11552"/>
        <v>0</v>
      </c>
      <c r="P6148" s="1" t="str">
        <f t="shared" si="11552"/>
        <v>0</v>
      </c>
      <c r="Q6148" s="1" t="str">
        <f t="shared" si="11549"/>
        <v>0.0070</v>
      </c>
      <c r="R6148" s="1" t="s">
        <v>25</v>
      </c>
      <c r="T6148" s="1" t="str">
        <f t="shared" si="11550"/>
        <v>0</v>
      </c>
      <c r="U6148" s="1" t="str">
        <f t="shared" si="11507"/>
        <v>0.0070</v>
      </c>
    </row>
    <row r="6149" s="1" customFormat="1" spans="1:21">
      <c r="A6149" s="1" t="str">
        <f>"4601992249177"</f>
        <v>4601992249177</v>
      </c>
      <c r="B6149" s="1" t="s">
        <v>6172</v>
      </c>
      <c r="C6149" s="1" t="s">
        <v>24</v>
      </c>
      <c r="D6149" s="1" t="str">
        <f t="shared" si="11546"/>
        <v>2021</v>
      </c>
      <c r="E6149" s="1" t="str">
        <f t="shared" ref="E6149:I6149" si="11553">"0"</f>
        <v>0</v>
      </c>
      <c r="F6149" s="1" t="str">
        <f t="shared" si="11553"/>
        <v>0</v>
      </c>
      <c r="G6149" s="1" t="str">
        <f t="shared" si="11553"/>
        <v>0</v>
      </c>
      <c r="H6149" s="1" t="str">
        <f t="shared" si="11553"/>
        <v>0</v>
      </c>
      <c r="I6149" s="1" t="str">
        <f t="shared" si="11553"/>
        <v>0</v>
      </c>
      <c r="J6149" s="1" t="str">
        <f>"2"</f>
        <v>2</v>
      </c>
      <c r="K6149" s="1" t="str">
        <f t="shared" ref="K6149:P6149" si="11554">"0"</f>
        <v>0</v>
      </c>
      <c r="L6149" s="1" t="str">
        <f t="shared" si="11554"/>
        <v>0</v>
      </c>
      <c r="M6149" s="1" t="str">
        <f t="shared" si="11554"/>
        <v>0</v>
      </c>
      <c r="N6149" s="1" t="str">
        <f t="shared" si="11554"/>
        <v>0</v>
      </c>
      <c r="O6149" s="1" t="str">
        <f t="shared" si="11554"/>
        <v>0</v>
      </c>
      <c r="P6149" s="1" t="str">
        <f t="shared" si="11554"/>
        <v>0</v>
      </c>
      <c r="Q6149" s="1" t="str">
        <f t="shared" si="11549"/>
        <v>0.0070</v>
      </c>
      <c r="R6149" s="1" t="s">
        <v>25</v>
      </c>
      <c r="T6149" s="1" t="str">
        <f t="shared" si="11550"/>
        <v>0</v>
      </c>
      <c r="U6149" s="1" t="str">
        <f t="shared" si="11507"/>
        <v>0.0070</v>
      </c>
    </row>
    <row r="6150" s="1" customFormat="1" spans="1:21">
      <c r="A6150" s="1" t="str">
        <f>"4601992249200"</f>
        <v>4601992249200</v>
      </c>
      <c r="B6150" s="1" t="s">
        <v>6173</v>
      </c>
      <c r="C6150" s="1" t="s">
        <v>24</v>
      </c>
      <c r="D6150" s="1" t="str">
        <f t="shared" si="11546"/>
        <v>2021</v>
      </c>
      <c r="E6150" s="1" t="str">
        <f t="shared" ref="E6150:I6150" si="11555">"0"</f>
        <v>0</v>
      </c>
      <c r="F6150" s="1" t="str">
        <f t="shared" si="11555"/>
        <v>0</v>
      </c>
      <c r="G6150" s="1" t="str">
        <f t="shared" si="11555"/>
        <v>0</v>
      </c>
      <c r="H6150" s="1" t="str">
        <f t="shared" si="11555"/>
        <v>0</v>
      </c>
      <c r="I6150" s="1" t="str">
        <f t="shared" si="11555"/>
        <v>0</v>
      </c>
      <c r="J6150" s="1" t="str">
        <f>"6"</f>
        <v>6</v>
      </c>
      <c r="K6150" s="1" t="str">
        <f t="shared" ref="K6150:P6150" si="11556">"0"</f>
        <v>0</v>
      </c>
      <c r="L6150" s="1" t="str">
        <f t="shared" si="11556"/>
        <v>0</v>
      </c>
      <c r="M6150" s="1" t="str">
        <f t="shared" si="11556"/>
        <v>0</v>
      </c>
      <c r="N6150" s="1" t="str">
        <f t="shared" si="11556"/>
        <v>0</v>
      </c>
      <c r="O6150" s="1" t="str">
        <f t="shared" si="11556"/>
        <v>0</v>
      </c>
      <c r="P6150" s="1" t="str">
        <f t="shared" si="11556"/>
        <v>0</v>
      </c>
      <c r="Q6150" s="1" t="str">
        <f t="shared" si="11549"/>
        <v>0.0070</v>
      </c>
      <c r="R6150" s="1" t="s">
        <v>25</v>
      </c>
      <c r="T6150" s="1" t="str">
        <f t="shared" si="11550"/>
        <v>0</v>
      </c>
      <c r="U6150" s="1" t="str">
        <f t="shared" si="11507"/>
        <v>0.0070</v>
      </c>
    </row>
    <row r="6151" s="1" customFormat="1" spans="1:21">
      <c r="A6151" s="1" t="str">
        <f>"4601992249216"</f>
        <v>4601992249216</v>
      </c>
      <c r="B6151" s="1" t="s">
        <v>6174</v>
      </c>
      <c r="C6151" s="1" t="s">
        <v>24</v>
      </c>
      <c r="D6151" s="1" t="str">
        <f t="shared" si="11546"/>
        <v>2021</v>
      </c>
      <c r="E6151" s="1" t="str">
        <f t="shared" ref="E6151:I6151" si="11557">"0"</f>
        <v>0</v>
      </c>
      <c r="F6151" s="1" t="str">
        <f t="shared" si="11557"/>
        <v>0</v>
      </c>
      <c r="G6151" s="1" t="str">
        <f t="shared" si="11557"/>
        <v>0</v>
      </c>
      <c r="H6151" s="1" t="str">
        <f t="shared" si="11557"/>
        <v>0</v>
      </c>
      <c r="I6151" s="1" t="str">
        <f t="shared" si="11557"/>
        <v>0</v>
      </c>
      <c r="J6151" s="1" t="str">
        <f>"1"</f>
        <v>1</v>
      </c>
      <c r="K6151" s="1" t="str">
        <f t="shared" ref="K6151:P6151" si="11558">"0"</f>
        <v>0</v>
      </c>
      <c r="L6151" s="1" t="str">
        <f t="shared" si="11558"/>
        <v>0</v>
      </c>
      <c r="M6151" s="1" t="str">
        <f t="shared" si="11558"/>
        <v>0</v>
      </c>
      <c r="N6151" s="1" t="str">
        <f t="shared" si="11558"/>
        <v>0</v>
      </c>
      <c r="O6151" s="1" t="str">
        <f t="shared" si="11558"/>
        <v>0</v>
      </c>
      <c r="P6151" s="1" t="str">
        <f t="shared" si="11558"/>
        <v>0</v>
      </c>
      <c r="Q6151" s="1" t="str">
        <f t="shared" si="11549"/>
        <v>0.0070</v>
      </c>
      <c r="R6151" s="1" t="s">
        <v>25</v>
      </c>
      <c r="T6151" s="1" t="str">
        <f t="shared" si="11550"/>
        <v>0</v>
      </c>
      <c r="U6151" s="1" t="str">
        <f t="shared" si="11507"/>
        <v>0.0070</v>
      </c>
    </row>
    <row r="6152" s="1" customFormat="1" spans="1:21">
      <c r="A6152" s="1" t="str">
        <f>"4601992249231"</f>
        <v>4601992249231</v>
      </c>
      <c r="B6152" s="1" t="s">
        <v>6175</v>
      </c>
      <c r="C6152" s="1" t="s">
        <v>24</v>
      </c>
      <c r="D6152" s="1" t="str">
        <f t="shared" si="11546"/>
        <v>2021</v>
      </c>
      <c r="E6152" s="1" t="str">
        <f t="shared" ref="E6152:I6152" si="11559">"0"</f>
        <v>0</v>
      </c>
      <c r="F6152" s="1" t="str">
        <f t="shared" si="11559"/>
        <v>0</v>
      </c>
      <c r="G6152" s="1" t="str">
        <f t="shared" si="11559"/>
        <v>0</v>
      </c>
      <c r="H6152" s="1" t="str">
        <f t="shared" si="11559"/>
        <v>0</v>
      </c>
      <c r="I6152" s="1" t="str">
        <f t="shared" si="11559"/>
        <v>0</v>
      </c>
      <c r="J6152" s="1" t="str">
        <f t="shared" ref="J6152:J6156" si="11560">"3"</f>
        <v>3</v>
      </c>
      <c r="K6152" s="1" t="str">
        <f t="shared" ref="K6152:P6152" si="11561">"0"</f>
        <v>0</v>
      </c>
      <c r="L6152" s="1" t="str">
        <f t="shared" si="11561"/>
        <v>0</v>
      </c>
      <c r="M6152" s="1" t="str">
        <f t="shared" si="11561"/>
        <v>0</v>
      </c>
      <c r="N6152" s="1" t="str">
        <f t="shared" si="11561"/>
        <v>0</v>
      </c>
      <c r="O6152" s="1" t="str">
        <f t="shared" si="11561"/>
        <v>0</v>
      </c>
      <c r="P6152" s="1" t="str">
        <f t="shared" si="11561"/>
        <v>0</v>
      </c>
      <c r="Q6152" s="1" t="str">
        <f t="shared" si="11549"/>
        <v>0.0070</v>
      </c>
      <c r="R6152" s="1" t="s">
        <v>25</v>
      </c>
      <c r="T6152" s="1" t="str">
        <f t="shared" si="11550"/>
        <v>0</v>
      </c>
      <c r="U6152" s="1" t="str">
        <f t="shared" si="11507"/>
        <v>0.0070</v>
      </c>
    </row>
    <row r="6153" s="1" customFormat="1" spans="1:21">
      <c r="A6153" s="1" t="str">
        <f>"4601992249240"</f>
        <v>4601992249240</v>
      </c>
      <c r="B6153" s="1" t="s">
        <v>6176</v>
      </c>
      <c r="C6153" s="1" t="s">
        <v>24</v>
      </c>
      <c r="D6153" s="1" t="str">
        <f t="shared" si="11546"/>
        <v>2021</v>
      </c>
      <c r="E6153" s="1" t="str">
        <f t="shared" ref="E6153:I6153" si="11562">"0"</f>
        <v>0</v>
      </c>
      <c r="F6153" s="1" t="str">
        <f t="shared" si="11562"/>
        <v>0</v>
      </c>
      <c r="G6153" s="1" t="str">
        <f t="shared" si="11562"/>
        <v>0</v>
      </c>
      <c r="H6153" s="1" t="str">
        <f t="shared" si="11562"/>
        <v>0</v>
      </c>
      <c r="I6153" s="1" t="str">
        <f t="shared" si="11562"/>
        <v>0</v>
      </c>
      <c r="J6153" s="1" t="str">
        <f t="shared" si="11560"/>
        <v>3</v>
      </c>
      <c r="K6153" s="1" t="str">
        <f t="shared" ref="K6153:P6153" si="11563">"0"</f>
        <v>0</v>
      </c>
      <c r="L6153" s="1" t="str">
        <f t="shared" si="11563"/>
        <v>0</v>
      </c>
      <c r="M6153" s="1" t="str">
        <f t="shared" si="11563"/>
        <v>0</v>
      </c>
      <c r="N6153" s="1" t="str">
        <f t="shared" si="11563"/>
        <v>0</v>
      </c>
      <c r="O6153" s="1" t="str">
        <f t="shared" si="11563"/>
        <v>0</v>
      </c>
      <c r="P6153" s="1" t="str">
        <f t="shared" si="11563"/>
        <v>0</v>
      </c>
      <c r="Q6153" s="1" t="str">
        <f t="shared" si="11549"/>
        <v>0.0070</v>
      </c>
      <c r="R6153" s="1" t="s">
        <v>25</v>
      </c>
      <c r="T6153" s="1" t="str">
        <f t="shared" si="11550"/>
        <v>0</v>
      </c>
      <c r="U6153" s="1" t="str">
        <f t="shared" si="11507"/>
        <v>0.0070</v>
      </c>
    </row>
    <row r="6154" s="1" customFormat="1" spans="1:21">
      <c r="A6154" s="1" t="str">
        <f>"4601992249256"</f>
        <v>4601992249256</v>
      </c>
      <c r="B6154" s="1" t="s">
        <v>6177</v>
      </c>
      <c r="C6154" s="1" t="s">
        <v>24</v>
      </c>
      <c r="D6154" s="1" t="str">
        <f t="shared" si="11546"/>
        <v>2021</v>
      </c>
      <c r="E6154" s="1" t="str">
        <f t="shared" ref="E6154:I6154" si="11564">"0"</f>
        <v>0</v>
      </c>
      <c r="F6154" s="1" t="str">
        <f t="shared" si="11564"/>
        <v>0</v>
      </c>
      <c r="G6154" s="1" t="str">
        <f t="shared" si="11564"/>
        <v>0</v>
      </c>
      <c r="H6154" s="1" t="str">
        <f t="shared" si="11564"/>
        <v>0</v>
      </c>
      <c r="I6154" s="1" t="str">
        <f t="shared" si="11564"/>
        <v>0</v>
      </c>
      <c r="J6154" s="1" t="str">
        <f>"2"</f>
        <v>2</v>
      </c>
      <c r="K6154" s="1" t="str">
        <f t="shared" ref="K6154:P6154" si="11565">"0"</f>
        <v>0</v>
      </c>
      <c r="L6154" s="1" t="str">
        <f t="shared" si="11565"/>
        <v>0</v>
      </c>
      <c r="M6154" s="1" t="str">
        <f t="shared" si="11565"/>
        <v>0</v>
      </c>
      <c r="N6154" s="1" t="str">
        <f t="shared" si="11565"/>
        <v>0</v>
      </c>
      <c r="O6154" s="1" t="str">
        <f t="shared" si="11565"/>
        <v>0</v>
      </c>
      <c r="P6154" s="1" t="str">
        <f t="shared" si="11565"/>
        <v>0</v>
      </c>
      <c r="Q6154" s="1" t="str">
        <f t="shared" si="11549"/>
        <v>0.0070</v>
      </c>
      <c r="R6154" s="1" t="s">
        <v>25</v>
      </c>
      <c r="T6154" s="1" t="str">
        <f t="shared" si="11550"/>
        <v>0</v>
      </c>
      <c r="U6154" s="1" t="str">
        <f t="shared" si="11507"/>
        <v>0.0070</v>
      </c>
    </row>
    <row r="6155" s="1" customFormat="1" spans="1:21">
      <c r="A6155" s="1" t="str">
        <f>"4601992249285"</f>
        <v>4601992249285</v>
      </c>
      <c r="B6155" s="1" t="s">
        <v>6178</v>
      </c>
      <c r="C6155" s="1" t="s">
        <v>24</v>
      </c>
      <c r="D6155" s="1" t="str">
        <f t="shared" si="11546"/>
        <v>2021</v>
      </c>
      <c r="E6155" s="1" t="str">
        <f t="shared" ref="E6155:P6155" si="11566">"0"</f>
        <v>0</v>
      </c>
      <c r="F6155" s="1" t="str">
        <f t="shared" si="11566"/>
        <v>0</v>
      </c>
      <c r="G6155" s="1" t="str">
        <f t="shared" si="11566"/>
        <v>0</v>
      </c>
      <c r="H6155" s="1" t="str">
        <f t="shared" si="11566"/>
        <v>0</v>
      </c>
      <c r="I6155" s="1" t="str">
        <f t="shared" si="11566"/>
        <v>0</v>
      </c>
      <c r="J6155" s="1" t="str">
        <f t="shared" si="11566"/>
        <v>0</v>
      </c>
      <c r="K6155" s="1" t="str">
        <f t="shared" si="11566"/>
        <v>0</v>
      </c>
      <c r="L6155" s="1" t="str">
        <f t="shared" si="11566"/>
        <v>0</v>
      </c>
      <c r="M6155" s="1" t="str">
        <f t="shared" si="11566"/>
        <v>0</v>
      </c>
      <c r="N6155" s="1" t="str">
        <f t="shared" si="11566"/>
        <v>0</v>
      </c>
      <c r="O6155" s="1" t="str">
        <f t="shared" si="11566"/>
        <v>0</v>
      </c>
      <c r="P6155" s="1" t="str">
        <f t="shared" si="11566"/>
        <v>0</v>
      </c>
      <c r="Q6155" s="1" t="str">
        <f t="shared" si="11549"/>
        <v>0.0070</v>
      </c>
      <c r="R6155" s="1" t="s">
        <v>25</v>
      </c>
      <c r="T6155" s="1" t="str">
        <f t="shared" si="11550"/>
        <v>0</v>
      </c>
      <c r="U6155" s="1" t="str">
        <f t="shared" si="11507"/>
        <v>0.0070</v>
      </c>
    </row>
    <row r="6156" s="1" customFormat="1" spans="1:21">
      <c r="A6156" s="1" t="str">
        <f>"4601992249261"</f>
        <v>4601992249261</v>
      </c>
      <c r="B6156" s="1" t="s">
        <v>6179</v>
      </c>
      <c r="C6156" s="1" t="s">
        <v>24</v>
      </c>
      <c r="D6156" s="1" t="str">
        <f t="shared" si="11546"/>
        <v>2021</v>
      </c>
      <c r="E6156" s="1" t="str">
        <f>"37.65"</f>
        <v>37.65</v>
      </c>
      <c r="F6156" s="1" t="str">
        <f t="shared" ref="F6156:I6156" si="11567">"0"</f>
        <v>0</v>
      </c>
      <c r="G6156" s="1" t="str">
        <f t="shared" si="11567"/>
        <v>0</v>
      </c>
      <c r="H6156" s="1" t="str">
        <f>"12.58"</f>
        <v>12.58</v>
      </c>
      <c r="I6156" s="1" t="str">
        <f t="shared" si="11567"/>
        <v>0</v>
      </c>
      <c r="J6156" s="1" t="str">
        <f t="shared" si="11560"/>
        <v>3</v>
      </c>
      <c r="K6156" s="1" t="str">
        <f t="shared" ref="K6156:P6156" si="11568">"0"</f>
        <v>0</v>
      </c>
      <c r="L6156" s="1" t="str">
        <f t="shared" si="11568"/>
        <v>0</v>
      </c>
      <c r="M6156" s="1" t="str">
        <f t="shared" si="11568"/>
        <v>0</v>
      </c>
      <c r="N6156" s="1" t="str">
        <f t="shared" si="11568"/>
        <v>0</v>
      </c>
      <c r="O6156" s="1" t="str">
        <f t="shared" si="11568"/>
        <v>0</v>
      </c>
      <c r="P6156" s="1" t="str">
        <f t="shared" si="11568"/>
        <v>0</v>
      </c>
      <c r="Q6156" s="1" t="str">
        <f t="shared" si="11549"/>
        <v>0.0070</v>
      </c>
      <c r="R6156" s="1" t="s">
        <v>25</v>
      </c>
      <c r="T6156" s="1" t="str">
        <f t="shared" si="11550"/>
        <v>0</v>
      </c>
      <c r="U6156" s="1" t="str">
        <f t="shared" si="11507"/>
        <v>0.0070</v>
      </c>
    </row>
    <row r="6157" s="1" customFormat="1" spans="1:21">
      <c r="A6157" s="1" t="str">
        <f>"4601992249288"</f>
        <v>4601992249288</v>
      </c>
      <c r="B6157" s="1" t="s">
        <v>6180</v>
      </c>
      <c r="C6157" s="1" t="s">
        <v>24</v>
      </c>
      <c r="D6157" s="1" t="str">
        <f t="shared" si="11546"/>
        <v>2021</v>
      </c>
      <c r="E6157" s="1" t="str">
        <f t="shared" ref="E6157:I6157" si="11569">"0"</f>
        <v>0</v>
      </c>
      <c r="F6157" s="1" t="str">
        <f t="shared" si="11569"/>
        <v>0</v>
      </c>
      <c r="G6157" s="1" t="str">
        <f t="shared" si="11569"/>
        <v>0</v>
      </c>
      <c r="H6157" s="1" t="str">
        <f t="shared" si="11569"/>
        <v>0</v>
      </c>
      <c r="I6157" s="1" t="str">
        <f t="shared" si="11569"/>
        <v>0</v>
      </c>
      <c r="J6157" s="1" t="str">
        <f t="shared" ref="J6157:J6161" si="11570">"1"</f>
        <v>1</v>
      </c>
      <c r="K6157" s="1" t="str">
        <f t="shared" ref="K6157:P6157" si="11571">"0"</f>
        <v>0</v>
      </c>
      <c r="L6157" s="1" t="str">
        <f t="shared" si="11571"/>
        <v>0</v>
      </c>
      <c r="M6157" s="1" t="str">
        <f t="shared" si="11571"/>
        <v>0</v>
      </c>
      <c r="N6157" s="1" t="str">
        <f t="shared" si="11571"/>
        <v>0</v>
      </c>
      <c r="O6157" s="1" t="str">
        <f t="shared" si="11571"/>
        <v>0</v>
      </c>
      <c r="P6157" s="1" t="str">
        <f t="shared" si="11571"/>
        <v>0</v>
      </c>
      <c r="Q6157" s="1" t="str">
        <f t="shared" si="11549"/>
        <v>0.0070</v>
      </c>
      <c r="R6157" s="1" t="s">
        <v>25</v>
      </c>
      <c r="T6157" s="1" t="str">
        <f t="shared" si="11550"/>
        <v>0</v>
      </c>
      <c r="U6157" s="1" t="str">
        <f t="shared" si="11507"/>
        <v>0.0070</v>
      </c>
    </row>
    <row r="6158" s="1" customFormat="1" spans="1:21">
      <c r="A6158" s="1" t="str">
        <f>"4601992249350"</f>
        <v>4601992249350</v>
      </c>
      <c r="B6158" s="1" t="s">
        <v>6181</v>
      </c>
      <c r="C6158" s="1" t="s">
        <v>24</v>
      </c>
      <c r="D6158" s="1" t="str">
        <f t="shared" si="11546"/>
        <v>2021</v>
      </c>
      <c r="E6158" s="1" t="str">
        <f t="shared" ref="E6158:I6158" si="11572">"0"</f>
        <v>0</v>
      </c>
      <c r="F6158" s="1" t="str">
        <f t="shared" si="11572"/>
        <v>0</v>
      </c>
      <c r="G6158" s="1" t="str">
        <f t="shared" si="11572"/>
        <v>0</v>
      </c>
      <c r="H6158" s="1" t="str">
        <f t="shared" si="11572"/>
        <v>0</v>
      </c>
      <c r="I6158" s="1" t="str">
        <f t="shared" si="11572"/>
        <v>0</v>
      </c>
      <c r="J6158" s="1" t="str">
        <f t="shared" si="11570"/>
        <v>1</v>
      </c>
      <c r="K6158" s="1" t="str">
        <f t="shared" ref="K6158:P6158" si="11573">"0"</f>
        <v>0</v>
      </c>
      <c r="L6158" s="1" t="str">
        <f t="shared" si="11573"/>
        <v>0</v>
      </c>
      <c r="M6158" s="1" t="str">
        <f t="shared" si="11573"/>
        <v>0</v>
      </c>
      <c r="N6158" s="1" t="str">
        <f t="shared" si="11573"/>
        <v>0</v>
      </c>
      <c r="O6158" s="1" t="str">
        <f t="shared" si="11573"/>
        <v>0</v>
      </c>
      <c r="P6158" s="1" t="str">
        <f t="shared" si="11573"/>
        <v>0</v>
      </c>
      <c r="Q6158" s="1" t="str">
        <f t="shared" si="11549"/>
        <v>0.0070</v>
      </c>
      <c r="R6158" s="1" t="s">
        <v>25</v>
      </c>
      <c r="T6158" s="1" t="str">
        <f t="shared" si="11550"/>
        <v>0</v>
      </c>
      <c r="U6158" s="1" t="str">
        <f t="shared" si="11507"/>
        <v>0.0070</v>
      </c>
    </row>
    <row r="6159" s="1" customFormat="1" spans="1:21">
      <c r="A6159" s="1" t="str">
        <f>"4601992249333"</f>
        <v>4601992249333</v>
      </c>
      <c r="B6159" s="1" t="s">
        <v>6182</v>
      </c>
      <c r="C6159" s="1" t="s">
        <v>24</v>
      </c>
      <c r="D6159" s="1" t="str">
        <f t="shared" si="11546"/>
        <v>2021</v>
      </c>
      <c r="E6159" s="1" t="str">
        <f t="shared" ref="E6159:I6159" si="11574">"0"</f>
        <v>0</v>
      </c>
      <c r="F6159" s="1" t="str">
        <f t="shared" si="11574"/>
        <v>0</v>
      </c>
      <c r="G6159" s="1" t="str">
        <f t="shared" si="11574"/>
        <v>0</v>
      </c>
      <c r="H6159" s="1" t="str">
        <f t="shared" si="11574"/>
        <v>0</v>
      </c>
      <c r="I6159" s="1" t="str">
        <f t="shared" si="11574"/>
        <v>0</v>
      </c>
      <c r="J6159" s="1" t="str">
        <f>"2"</f>
        <v>2</v>
      </c>
      <c r="K6159" s="1" t="str">
        <f t="shared" ref="K6159:P6159" si="11575">"0"</f>
        <v>0</v>
      </c>
      <c r="L6159" s="1" t="str">
        <f t="shared" si="11575"/>
        <v>0</v>
      </c>
      <c r="M6159" s="1" t="str">
        <f t="shared" si="11575"/>
        <v>0</v>
      </c>
      <c r="N6159" s="1" t="str">
        <f t="shared" si="11575"/>
        <v>0</v>
      </c>
      <c r="O6159" s="1" t="str">
        <f t="shared" si="11575"/>
        <v>0</v>
      </c>
      <c r="P6159" s="1" t="str">
        <f t="shared" si="11575"/>
        <v>0</v>
      </c>
      <c r="Q6159" s="1" t="str">
        <f t="shared" si="11549"/>
        <v>0.0070</v>
      </c>
      <c r="R6159" s="1" t="s">
        <v>25</v>
      </c>
      <c r="T6159" s="1" t="str">
        <f t="shared" si="11550"/>
        <v>0</v>
      </c>
      <c r="U6159" s="1" t="str">
        <f t="shared" si="11507"/>
        <v>0.0070</v>
      </c>
    </row>
    <row r="6160" s="1" customFormat="1" spans="1:21">
      <c r="A6160" s="1" t="str">
        <f>"4601992249376"</f>
        <v>4601992249376</v>
      </c>
      <c r="B6160" s="1" t="s">
        <v>6183</v>
      </c>
      <c r="C6160" s="1" t="s">
        <v>24</v>
      </c>
      <c r="D6160" s="1" t="str">
        <f t="shared" si="11546"/>
        <v>2021</v>
      </c>
      <c r="E6160" s="1" t="str">
        <f t="shared" ref="E6160:I6160" si="11576">"0"</f>
        <v>0</v>
      </c>
      <c r="F6160" s="1" t="str">
        <f t="shared" si="11576"/>
        <v>0</v>
      </c>
      <c r="G6160" s="1" t="str">
        <f t="shared" si="11576"/>
        <v>0</v>
      </c>
      <c r="H6160" s="1" t="str">
        <f t="shared" si="11576"/>
        <v>0</v>
      </c>
      <c r="I6160" s="1" t="str">
        <f t="shared" si="11576"/>
        <v>0</v>
      </c>
      <c r="J6160" s="1" t="str">
        <f>"3"</f>
        <v>3</v>
      </c>
      <c r="K6160" s="1" t="str">
        <f t="shared" ref="K6160:P6160" si="11577">"0"</f>
        <v>0</v>
      </c>
      <c r="L6160" s="1" t="str">
        <f t="shared" si="11577"/>
        <v>0</v>
      </c>
      <c r="M6160" s="1" t="str">
        <f t="shared" si="11577"/>
        <v>0</v>
      </c>
      <c r="N6160" s="1" t="str">
        <f t="shared" si="11577"/>
        <v>0</v>
      </c>
      <c r="O6160" s="1" t="str">
        <f t="shared" si="11577"/>
        <v>0</v>
      </c>
      <c r="P6160" s="1" t="str">
        <f t="shared" si="11577"/>
        <v>0</v>
      </c>
      <c r="Q6160" s="1" t="str">
        <f t="shared" si="11549"/>
        <v>0.0070</v>
      </c>
      <c r="R6160" s="1" t="s">
        <v>25</v>
      </c>
      <c r="T6160" s="1" t="str">
        <f t="shared" si="11550"/>
        <v>0</v>
      </c>
      <c r="U6160" s="1" t="str">
        <f t="shared" si="11507"/>
        <v>0.0070</v>
      </c>
    </row>
    <row r="6161" s="1" customFormat="1" spans="1:21">
      <c r="A6161" s="1" t="str">
        <f>"4601992249399"</f>
        <v>4601992249399</v>
      </c>
      <c r="B6161" s="1" t="s">
        <v>6184</v>
      </c>
      <c r="C6161" s="1" t="s">
        <v>24</v>
      </c>
      <c r="D6161" s="1" t="str">
        <f t="shared" si="11546"/>
        <v>2021</v>
      </c>
      <c r="E6161" s="1" t="str">
        <f t="shared" ref="E6161:I6161" si="11578">"0"</f>
        <v>0</v>
      </c>
      <c r="F6161" s="1" t="str">
        <f t="shared" si="11578"/>
        <v>0</v>
      </c>
      <c r="G6161" s="1" t="str">
        <f t="shared" si="11578"/>
        <v>0</v>
      </c>
      <c r="H6161" s="1" t="str">
        <f t="shared" si="11578"/>
        <v>0</v>
      </c>
      <c r="I6161" s="1" t="str">
        <f t="shared" si="11578"/>
        <v>0</v>
      </c>
      <c r="J6161" s="1" t="str">
        <f t="shared" si="11570"/>
        <v>1</v>
      </c>
      <c r="K6161" s="1" t="str">
        <f t="shared" ref="K6161:P6161" si="11579">"0"</f>
        <v>0</v>
      </c>
      <c r="L6161" s="1" t="str">
        <f t="shared" si="11579"/>
        <v>0</v>
      </c>
      <c r="M6161" s="1" t="str">
        <f t="shared" si="11579"/>
        <v>0</v>
      </c>
      <c r="N6161" s="1" t="str">
        <f t="shared" si="11579"/>
        <v>0</v>
      </c>
      <c r="O6161" s="1" t="str">
        <f t="shared" si="11579"/>
        <v>0</v>
      </c>
      <c r="P6161" s="1" t="str">
        <f t="shared" si="11579"/>
        <v>0</v>
      </c>
      <c r="Q6161" s="1" t="str">
        <f t="shared" si="11549"/>
        <v>0.0070</v>
      </c>
      <c r="R6161" s="1" t="s">
        <v>25</v>
      </c>
      <c r="T6161" s="1" t="str">
        <f t="shared" si="11550"/>
        <v>0</v>
      </c>
      <c r="U6161" s="1" t="str">
        <f t="shared" si="11507"/>
        <v>0.0070</v>
      </c>
    </row>
    <row r="6162" s="1" customFormat="1" spans="1:21">
      <c r="A6162" s="1" t="str">
        <f>"4601992249407"</f>
        <v>4601992249407</v>
      </c>
      <c r="B6162" s="1" t="s">
        <v>6185</v>
      </c>
      <c r="C6162" s="1" t="s">
        <v>24</v>
      </c>
      <c r="D6162" s="1" t="str">
        <f t="shared" si="11546"/>
        <v>2021</v>
      </c>
      <c r="E6162" s="1" t="str">
        <f t="shared" ref="E6162:I6162" si="11580">"0"</f>
        <v>0</v>
      </c>
      <c r="F6162" s="1" t="str">
        <f t="shared" si="11580"/>
        <v>0</v>
      </c>
      <c r="G6162" s="1" t="str">
        <f t="shared" si="11580"/>
        <v>0</v>
      </c>
      <c r="H6162" s="1" t="str">
        <f t="shared" si="11580"/>
        <v>0</v>
      </c>
      <c r="I6162" s="1" t="str">
        <f t="shared" si="11580"/>
        <v>0</v>
      </c>
      <c r="J6162" s="1" t="str">
        <f>"5"</f>
        <v>5</v>
      </c>
      <c r="K6162" s="1" t="str">
        <f t="shared" ref="K6162:P6162" si="11581">"0"</f>
        <v>0</v>
      </c>
      <c r="L6162" s="1" t="str">
        <f t="shared" si="11581"/>
        <v>0</v>
      </c>
      <c r="M6162" s="1" t="str">
        <f t="shared" si="11581"/>
        <v>0</v>
      </c>
      <c r="N6162" s="1" t="str">
        <f t="shared" si="11581"/>
        <v>0</v>
      </c>
      <c r="O6162" s="1" t="str">
        <f t="shared" si="11581"/>
        <v>0</v>
      </c>
      <c r="P6162" s="1" t="str">
        <f t="shared" si="11581"/>
        <v>0</v>
      </c>
      <c r="Q6162" s="1" t="str">
        <f t="shared" si="11549"/>
        <v>0.0070</v>
      </c>
      <c r="R6162" s="1" t="s">
        <v>25</v>
      </c>
      <c r="T6162" s="1" t="str">
        <f t="shared" si="11550"/>
        <v>0</v>
      </c>
      <c r="U6162" s="1" t="str">
        <f t="shared" si="11507"/>
        <v>0.0070</v>
      </c>
    </row>
    <row r="6163" s="1" customFormat="1" spans="1:21">
      <c r="A6163" s="1" t="str">
        <f>"4601992249437"</f>
        <v>4601992249437</v>
      </c>
      <c r="B6163" s="1" t="s">
        <v>6186</v>
      </c>
      <c r="C6163" s="1" t="s">
        <v>24</v>
      </c>
      <c r="D6163" s="1" t="str">
        <f t="shared" si="11546"/>
        <v>2021</v>
      </c>
      <c r="E6163" s="1" t="str">
        <f t="shared" ref="E6163:I6163" si="11582">"0"</f>
        <v>0</v>
      </c>
      <c r="F6163" s="1" t="str">
        <f t="shared" si="11582"/>
        <v>0</v>
      </c>
      <c r="G6163" s="1" t="str">
        <f t="shared" si="11582"/>
        <v>0</v>
      </c>
      <c r="H6163" s="1" t="str">
        <f t="shared" si="11582"/>
        <v>0</v>
      </c>
      <c r="I6163" s="1" t="str">
        <f t="shared" si="11582"/>
        <v>0</v>
      </c>
      <c r="J6163" s="1" t="str">
        <f t="shared" ref="J6163:J6166" si="11583">"1"</f>
        <v>1</v>
      </c>
      <c r="K6163" s="1" t="str">
        <f t="shared" ref="K6163:P6163" si="11584">"0"</f>
        <v>0</v>
      </c>
      <c r="L6163" s="1" t="str">
        <f t="shared" si="11584"/>
        <v>0</v>
      </c>
      <c r="M6163" s="1" t="str">
        <f t="shared" si="11584"/>
        <v>0</v>
      </c>
      <c r="N6163" s="1" t="str">
        <f t="shared" si="11584"/>
        <v>0</v>
      </c>
      <c r="O6163" s="1" t="str">
        <f t="shared" si="11584"/>
        <v>0</v>
      </c>
      <c r="P6163" s="1" t="str">
        <f t="shared" si="11584"/>
        <v>0</v>
      </c>
      <c r="Q6163" s="1" t="str">
        <f t="shared" si="11549"/>
        <v>0.0070</v>
      </c>
      <c r="R6163" s="1" t="s">
        <v>25</v>
      </c>
      <c r="T6163" s="1" t="str">
        <f t="shared" si="11550"/>
        <v>0</v>
      </c>
      <c r="U6163" s="1" t="str">
        <f t="shared" si="11507"/>
        <v>0.0070</v>
      </c>
    </row>
    <row r="6164" s="1" customFormat="1" spans="1:21">
      <c r="A6164" s="1" t="str">
        <f>"4601992249442"</f>
        <v>4601992249442</v>
      </c>
      <c r="B6164" s="1" t="s">
        <v>6187</v>
      </c>
      <c r="C6164" s="1" t="s">
        <v>24</v>
      </c>
      <c r="D6164" s="1" t="str">
        <f t="shared" si="11546"/>
        <v>2021</v>
      </c>
      <c r="E6164" s="1" t="str">
        <f t="shared" ref="E6164:I6164" si="11585">"0"</f>
        <v>0</v>
      </c>
      <c r="F6164" s="1" t="str">
        <f t="shared" si="11585"/>
        <v>0</v>
      </c>
      <c r="G6164" s="1" t="str">
        <f t="shared" si="11585"/>
        <v>0</v>
      </c>
      <c r="H6164" s="1" t="str">
        <f t="shared" si="11585"/>
        <v>0</v>
      </c>
      <c r="I6164" s="1" t="str">
        <f t="shared" si="11585"/>
        <v>0</v>
      </c>
      <c r="J6164" s="1" t="str">
        <f t="shared" si="11583"/>
        <v>1</v>
      </c>
      <c r="K6164" s="1" t="str">
        <f t="shared" ref="K6164:P6164" si="11586">"0"</f>
        <v>0</v>
      </c>
      <c r="L6164" s="1" t="str">
        <f t="shared" si="11586"/>
        <v>0</v>
      </c>
      <c r="M6164" s="1" t="str">
        <f t="shared" si="11586"/>
        <v>0</v>
      </c>
      <c r="N6164" s="1" t="str">
        <f t="shared" si="11586"/>
        <v>0</v>
      </c>
      <c r="O6164" s="1" t="str">
        <f t="shared" si="11586"/>
        <v>0</v>
      </c>
      <c r="P6164" s="1" t="str">
        <f t="shared" si="11586"/>
        <v>0</v>
      </c>
      <c r="Q6164" s="1" t="str">
        <f t="shared" si="11549"/>
        <v>0.0070</v>
      </c>
      <c r="R6164" s="1" t="s">
        <v>25</v>
      </c>
      <c r="T6164" s="1" t="str">
        <f t="shared" si="11550"/>
        <v>0</v>
      </c>
      <c r="U6164" s="1" t="str">
        <f t="shared" si="11507"/>
        <v>0.0070</v>
      </c>
    </row>
    <row r="6165" s="1" customFormat="1" spans="1:21">
      <c r="A6165" s="1" t="str">
        <f>"4601992249474"</f>
        <v>4601992249474</v>
      </c>
      <c r="B6165" s="1" t="s">
        <v>6188</v>
      </c>
      <c r="C6165" s="1" t="s">
        <v>24</v>
      </c>
      <c r="D6165" s="1" t="str">
        <f t="shared" si="11546"/>
        <v>2021</v>
      </c>
      <c r="E6165" s="1" t="str">
        <f t="shared" ref="E6165:I6165" si="11587">"0"</f>
        <v>0</v>
      </c>
      <c r="F6165" s="1" t="str">
        <f t="shared" si="11587"/>
        <v>0</v>
      </c>
      <c r="G6165" s="1" t="str">
        <f t="shared" si="11587"/>
        <v>0</v>
      </c>
      <c r="H6165" s="1" t="str">
        <f t="shared" si="11587"/>
        <v>0</v>
      </c>
      <c r="I6165" s="1" t="str">
        <f t="shared" si="11587"/>
        <v>0</v>
      </c>
      <c r="J6165" s="1" t="str">
        <f>"2"</f>
        <v>2</v>
      </c>
      <c r="K6165" s="1" t="str">
        <f t="shared" ref="K6165:P6165" si="11588">"0"</f>
        <v>0</v>
      </c>
      <c r="L6165" s="1" t="str">
        <f t="shared" si="11588"/>
        <v>0</v>
      </c>
      <c r="M6165" s="1" t="str">
        <f t="shared" si="11588"/>
        <v>0</v>
      </c>
      <c r="N6165" s="1" t="str">
        <f t="shared" si="11588"/>
        <v>0</v>
      </c>
      <c r="O6165" s="1" t="str">
        <f t="shared" si="11588"/>
        <v>0</v>
      </c>
      <c r="P6165" s="1" t="str">
        <f t="shared" si="11588"/>
        <v>0</v>
      </c>
      <c r="Q6165" s="1" t="str">
        <f t="shared" si="11549"/>
        <v>0.0070</v>
      </c>
      <c r="R6165" s="1" t="s">
        <v>25</v>
      </c>
      <c r="T6165" s="1" t="str">
        <f t="shared" si="11550"/>
        <v>0</v>
      </c>
      <c r="U6165" s="1" t="str">
        <f t="shared" si="11507"/>
        <v>0.0070</v>
      </c>
    </row>
    <row r="6166" s="1" customFormat="1" spans="1:21">
      <c r="A6166" s="1" t="str">
        <f>"4601992249492"</f>
        <v>4601992249492</v>
      </c>
      <c r="B6166" s="1" t="s">
        <v>6189</v>
      </c>
      <c r="C6166" s="1" t="s">
        <v>24</v>
      </c>
      <c r="D6166" s="1" t="str">
        <f t="shared" si="11546"/>
        <v>2021</v>
      </c>
      <c r="E6166" s="1" t="str">
        <f t="shared" ref="E6166:I6166" si="11589">"0"</f>
        <v>0</v>
      </c>
      <c r="F6166" s="1" t="str">
        <f t="shared" si="11589"/>
        <v>0</v>
      </c>
      <c r="G6166" s="1" t="str">
        <f t="shared" si="11589"/>
        <v>0</v>
      </c>
      <c r="H6166" s="1" t="str">
        <f t="shared" si="11589"/>
        <v>0</v>
      </c>
      <c r="I6166" s="1" t="str">
        <f t="shared" si="11589"/>
        <v>0</v>
      </c>
      <c r="J6166" s="1" t="str">
        <f t="shared" si="11583"/>
        <v>1</v>
      </c>
      <c r="K6166" s="1" t="str">
        <f t="shared" ref="K6166:P6166" si="11590">"0"</f>
        <v>0</v>
      </c>
      <c r="L6166" s="1" t="str">
        <f t="shared" si="11590"/>
        <v>0</v>
      </c>
      <c r="M6166" s="1" t="str">
        <f t="shared" si="11590"/>
        <v>0</v>
      </c>
      <c r="N6166" s="1" t="str">
        <f t="shared" si="11590"/>
        <v>0</v>
      </c>
      <c r="O6166" s="1" t="str">
        <f t="shared" si="11590"/>
        <v>0</v>
      </c>
      <c r="P6166" s="1" t="str">
        <f t="shared" si="11590"/>
        <v>0</v>
      </c>
      <c r="Q6166" s="1" t="str">
        <f t="shared" si="11549"/>
        <v>0.0070</v>
      </c>
      <c r="R6166" s="1" t="s">
        <v>25</v>
      </c>
      <c r="T6166" s="1" t="str">
        <f t="shared" si="11550"/>
        <v>0</v>
      </c>
      <c r="U6166" s="1" t="str">
        <f t="shared" si="11507"/>
        <v>0.0070</v>
      </c>
    </row>
    <row r="6167" s="1" customFormat="1" spans="1:21">
      <c r="A6167" s="1" t="str">
        <f>"4601992249484"</f>
        <v>4601992249484</v>
      </c>
      <c r="B6167" s="1" t="s">
        <v>6190</v>
      </c>
      <c r="C6167" s="1" t="s">
        <v>24</v>
      </c>
      <c r="D6167" s="1" t="str">
        <f t="shared" si="11546"/>
        <v>2021</v>
      </c>
      <c r="E6167" s="1" t="str">
        <f t="shared" ref="E6167:I6167" si="11591">"0"</f>
        <v>0</v>
      </c>
      <c r="F6167" s="1" t="str">
        <f t="shared" si="11591"/>
        <v>0</v>
      </c>
      <c r="G6167" s="1" t="str">
        <f t="shared" si="11591"/>
        <v>0</v>
      </c>
      <c r="H6167" s="1" t="str">
        <f t="shared" si="11591"/>
        <v>0</v>
      </c>
      <c r="I6167" s="1" t="str">
        <f t="shared" si="11591"/>
        <v>0</v>
      </c>
      <c r="J6167" s="1" t="str">
        <f>"6"</f>
        <v>6</v>
      </c>
      <c r="K6167" s="1" t="str">
        <f t="shared" ref="K6167:P6167" si="11592">"0"</f>
        <v>0</v>
      </c>
      <c r="L6167" s="1" t="str">
        <f t="shared" si="11592"/>
        <v>0</v>
      </c>
      <c r="M6167" s="1" t="str">
        <f t="shared" si="11592"/>
        <v>0</v>
      </c>
      <c r="N6167" s="1" t="str">
        <f t="shared" si="11592"/>
        <v>0</v>
      </c>
      <c r="O6167" s="1" t="str">
        <f t="shared" si="11592"/>
        <v>0</v>
      </c>
      <c r="P6167" s="1" t="str">
        <f t="shared" si="11592"/>
        <v>0</v>
      </c>
      <c r="Q6167" s="1" t="str">
        <f t="shared" si="11549"/>
        <v>0.0070</v>
      </c>
      <c r="R6167" s="1" t="s">
        <v>25</v>
      </c>
      <c r="T6167" s="1" t="str">
        <f t="shared" si="11550"/>
        <v>0</v>
      </c>
      <c r="U6167" s="1" t="str">
        <f t="shared" si="11507"/>
        <v>0.0070</v>
      </c>
    </row>
    <row r="6168" s="1" customFormat="1" spans="1:21">
      <c r="A6168" s="1" t="str">
        <f>"4601992053661"</f>
        <v>4601992053661</v>
      </c>
      <c r="B6168" s="1" t="s">
        <v>6191</v>
      </c>
      <c r="C6168" s="1" t="s">
        <v>24</v>
      </c>
      <c r="D6168" s="1" t="str">
        <f t="shared" si="11546"/>
        <v>2021</v>
      </c>
      <c r="E6168" s="1" t="str">
        <f>"43.59"</f>
        <v>43.59</v>
      </c>
      <c r="F6168" s="1" t="str">
        <f t="shared" ref="F6168:I6168" si="11593">"0"</f>
        <v>0</v>
      </c>
      <c r="G6168" s="1" t="str">
        <f t="shared" si="11593"/>
        <v>0</v>
      </c>
      <c r="H6168" s="1" t="str">
        <f t="shared" si="11593"/>
        <v>0</v>
      </c>
      <c r="I6168" s="1" t="str">
        <f t="shared" si="11593"/>
        <v>0</v>
      </c>
      <c r="J6168" s="1" t="str">
        <f t="shared" ref="J6168:J6171" si="11594">"3"</f>
        <v>3</v>
      </c>
      <c r="K6168" s="1" t="str">
        <f t="shared" ref="K6168:P6168" si="11595">"0"</f>
        <v>0</v>
      </c>
      <c r="L6168" s="1" t="str">
        <f t="shared" si="11595"/>
        <v>0</v>
      </c>
      <c r="M6168" s="1" t="str">
        <f t="shared" si="11595"/>
        <v>0</v>
      </c>
      <c r="N6168" s="1" t="str">
        <f t="shared" si="11595"/>
        <v>0</v>
      </c>
      <c r="O6168" s="1" t="str">
        <f t="shared" si="11595"/>
        <v>0</v>
      </c>
      <c r="P6168" s="1" t="str">
        <f t="shared" si="11595"/>
        <v>0</v>
      </c>
      <c r="Q6168" s="1" t="str">
        <f t="shared" si="11549"/>
        <v>0.0070</v>
      </c>
      <c r="R6168" s="1" t="s">
        <v>29</v>
      </c>
      <c r="S6168" s="1">
        <v>-0.0014</v>
      </c>
      <c r="T6168" s="1" t="str">
        <f t="shared" si="11550"/>
        <v>0</v>
      </c>
      <c r="U6168" s="1" t="str">
        <f>"0.0056"</f>
        <v>0.0056</v>
      </c>
    </row>
    <row r="6169" s="1" customFormat="1" spans="1:21">
      <c r="A6169" s="1" t="str">
        <f>"4601992249524"</f>
        <v>4601992249524</v>
      </c>
      <c r="B6169" s="1" t="s">
        <v>6192</v>
      </c>
      <c r="C6169" s="1" t="s">
        <v>24</v>
      </c>
      <c r="D6169" s="1" t="str">
        <f t="shared" si="11546"/>
        <v>2021</v>
      </c>
      <c r="E6169" s="1" t="str">
        <f t="shared" ref="E6169:I6169" si="11596">"0"</f>
        <v>0</v>
      </c>
      <c r="F6169" s="1" t="str">
        <f t="shared" si="11596"/>
        <v>0</v>
      </c>
      <c r="G6169" s="1" t="str">
        <f t="shared" si="11596"/>
        <v>0</v>
      </c>
      <c r="H6169" s="1" t="str">
        <f t="shared" si="11596"/>
        <v>0</v>
      </c>
      <c r="I6169" s="1" t="str">
        <f t="shared" si="11596"/>
        <v>0</v>
      </c>
      <c r="J6169" s="1" t="str">
        <f t="shared" si="11594"/>
        <v>3</v>
      </c>
      <c r="K6169" s="1" t="str">
        <f t="shared" ref="K6169:P6169" si="11597">"0"</f>
        <v>0</v>
      </c>
      <c r="L6169" s="1" t="str">
        <f t="shared" si="11597"/>
        <v>0</v>
      </c>
      <c r="M6169" s="1" t="str">
        <f t="shared" si="11597"/>
        <v>0</v>
      </c>
      <c r="N6169" s="1" t="str">
        <f t="shared" si="11597"/>
        <v>0</v>
      </c>
      <c r="O6169" s="1" t="str">
        <f t="shared" si="11597"/>
        <v>0</v>
      </c>
      <c r="P6169" s="1" t="str">
        <f t="shared" si="11597"/>
        <v>0</v>
      </c>
      <c r="Q6169" s="1" t="str">
        <f t="shared" si="11549"/>
        <v>0.0070</v>
      </c>
      <c r="R6169" s="1" t="s">
        <v>25</v>
      </c>
      <c r="T6169" s="1" t="str">
        <f t="shared" si="11550"/>
        <v>0</v>
      </c>
      <c r="U6169" s="1" t="str">
        <f t="shared" ref="U6169:U6173" si="11598">"0.0070"</f>
        <v>0.0070</v>
      </c>
    </row>
    <row r="6170" s="1" customFormat="1" spans="1:21">
      <c r="A6170" s="1" t="str">
        <f>"4601992249543"</f>
        <v>4601992249543</v>
      </c>
      <c r="B6170" s="1" t="s">
        <v>6193</v>
      </c>
      <c r="C6170" s="1" t="s">
        <v>24</v>
      </c>
      <c r="D6170" s="1" t="str">
        <f t="shared" si="11546"/>
        <v>2021</v>
      </c>
      <c r="E6170" s="1" t="str">
        <f t="shared" ref="E6170:I6170" si="11599">"0"</f>
        <v>0</v>
      </c>
      <c r="F6170" s="1" t="str">
        <f t="shared" si="11599"/>
        <v>0</v>
      </c>
      <c r="G6170" s="1" t="str">
        <f t="shared" si="11599"/>
        <v>0</v>
      </c>
      <c r="H6170" s="1" t="str">
        <f t="shared" si="11599"/>
        <v>0</v>
      </c>
      <c r="I6170" s="1" t="str">
        <f t="shared" si="11599"/>
        <v>0</v>
      </c>
      <c r="J6170" s="1" t="str">
        <f t="shared" ref="J6170:J6174" si="11600">"1"</f>
        <v>1</v>
      </c>
      <c r="K6170" s="1" t="str">
        <f t="shared" ref="K6170:P6170" si="11601">"0"</f>
        <v>0</v>
      </c>
      <c r="L6170" s="1" t="str">
        <f t="shared" si="11601"/>
        <v>0</v>
      </c>
      <c r="M6170" s="1" t="str">
        <f t="shared" si="11601"/>
        <v>0</v>
      </c>
      <c r="N6170" s="1" t="str">
        <f t="shared" si="11601"/>
        <v>0</v>
      </c>
      <c r="O6170" s="1" t="str">
        <f t="shared" si="11601"/>
        <v>0</v>
      </c>
      <c r="P6170" s="1" t="str">
        <f t="shared" si="11601"/>
        <v>0</v>
      </c>
      <c r="Q6170" s="1" t="str">
        <f t="shared" si="11549"/>
        <v>0.0070</v>
      </c>
      <c r="R6170" s="1" t="s">
        <v>25</v>
      </c>
      <c r="T6170" s="1" t="str">
        <f t="shared" si="11550"/>
        <v>0</v>
      </c>
      <c r="U6170" s="1" t="str">
        <f t="shared" si="11598"/>
        <v>0.0070</v>
      </c>
    </row>
    <row r="6171" s="1" customFormat="1" spans="1:21">
      <c r="A6171" s="1" t="str">
        <f>"4601992249551"</f>
        <v>4601992249551</v>
      </c>
      <c r="B6171" s="1" t="s">
        <v>6194</v>
      </c>
      <c r="C6171" s="1" t="s">
        <v>24</v>
      </c>
      <c r="D6171" s="1" t="str">
        <f t="shared" si="11546"/>
        <v>2021</v>
      </c>
      <c r="E6171" s="1" t="str">
        <f t="shared" ref="E6171:I6171" si="11602">"0"</f>
        <v>0</v>
      </c>
      <c r="F6171" s="1" t="str">
        <f t="shared" si="11602"/>
        <v>0</v>
      </c>
      <c r="G6171" s="1" t="str">
        <f t="shared" si="11602"/>
        <v>0</v>
      </c>
      <c r="H6171" s="1" t="str">
        <f t="shared" si="11602"/>
        <v>0</v>
      </c>
      <c r="I6171" s="1" t="str">
        <f t="shared" si="11602"/>
        <v>0</v>
      </c>
      <c r="J6171" s="1" t="str">
        <f t="shared" si="11594"/>
        <v>3</v>
      </c>
      <c r="K6171" s="1" t="str">
        <f t="shared" ref="K6171:P6171" si="11603">"0"</f>
        <v>0</v>
      </c>
      <c r="L6171" s="1" t="str">
        <f t="shared" si="11603"/>
        <v>0</v>
      </c>
      <c r="M6171" s="1" t="str">
        <f t="shared" si="11603"/>
        <v>0</v>
      </c>
      <c r="N6171" s="1" t="str">
        <f t="shared" si="11603"/>
        <v>0</v>
      </c>
      <c r="O6171" s="1" t="str">
        <f t="shared" si="11603"/>
        <v>0</v>
      </c>
      <c r="P6171" s="1" t="str">
        <f t="shared" si="11603"/>
        <v>0</v>
      </c>
      <c r="Q6171" s="1" t="str">
        <f t="shared" si="11549"/>
        <v>0.0070</v>
      </c>
      <c r="R6171" s="1" t="s">
        <v>25</v>
      </c>
      <c r="T6171" s="1" t="str">
        <f t="shared" si="11550"/>
        <v>0</v>
      </c>
      <c r="U6171" s="1" t="str">
        <f t="shared" si="11598"/>
        <v>0.0070</v>
      </c>
    </row>
    <row r="6172" s="1" customFormat="1" spans="1:21">
      <c r="A6172" s="1" t="str">
        <f>"4601992249608"</f>
        <v>4601992249608</v>
      </c>
      <c r="B6172" s="1" t="s">
        <v>6195</v>
      </c>
      <c r="C6172" s="1" t="s">
        <v>24</v>
      </c>
      <c r="D6172" s="1" t="str">
        <f t="shared" si="11546"/>
        <v>2021</v>
      </c>
      <c r="E6172" s="1" t="str">
        <f t="shared" ref="E6172:I6172" si="11604">"0"</f>
        <v>0</v>
      </c>
      <c r="F6172" s="1" t="str">
        <f t="shared" si="11604"/>
        <v>0</v>
      </c>
      <c r="G6172" s="1" t="str">
        <f t="shared" si="11604"/>
        <v>0</v>
      </c>
      <c r="H6172" s="1" t="str">
        <f t="shared" si="11604"/>
        <v>0</v>
      </c>
      <c r="I6172" s="1" t="str">
        <f t="shared" si="11604"/>
        <v>0</v>
      </c>
      <c r="J6172" s="1" t="str">
        <f>"2"</f>
        <v>2</v>
      </c>
      <c r="K6172" s="1" t="str">
        <f t="shared" ref="K6172:P6172" si="11605">"0"</f>
        <v>0</v>
      </c>
      <c r="L6172" s="1" t="str">
        <f t="shared" si="11605"/>
        <v>0</v>
      </c>
      <c r="M6172" s="1" t="str">
        <f t="shared" si="11605"/>
        <v>0</v>
      </c>
      <c r="N6172" s="1" t="str">
        <f t="shared" si="11605"/>
        <v>0</v>
      </c>
      <c r="O6172" s="1" t="str">
        <f t="shared" si="11605"/>
        <v>0</v>
      </c>
      <c r="P6172" s="1" t="str">
        <f t="shared" si="11605"/>
        <v>0</v>
      </c>
      <c r="Q6172" s="1" t="str">
        <f t="shared" si="11549"/>
        <v>0.0070</v>
      </c>
      <c r="R6172" s="1" t="s">
        <v>25</v>
      </c>
      <c r="T6172" s="1" t="str">
        <f t="shared" si="11550"/>
        <v>0</v>
      </c>
      <c r="U6172" s="1" t="str">
        <f t="shared" si="11598"/>
        <v>0.0070</v>
      </c>
    </row>
    <row r="6173" s="1" customFormat="1" spans="1:21">
      <c r="A6173" s="1" t="str">
        <f>"4601992249624"</f>
        <v>4601992249624</v>
      </c>
      <c r="B6173" s="1" t="s">
        <v>6196</v>
      </c>
      <c r="C6173" s="1" t="s">
        <v>24</v>
      </c>
      <c r="D6173" s="1" t="str">
        <f t="shared" si="11546"/>
        <v>2021</v>
      </c>
      <c r="E6173" s="1" t="str">
        <f t="shared" ref="E6173:I6173" si="11606">"0"</f>
        <v>0</v>
      </c>
      <c r="F6173" s="1" t="str">
        <f t="shared" si="11606"/>
        <v>0</v>
      </c>
      <c r="G6173" s="1" t="str">
        <f t="shared" si="11606"/>
        <v>0</v>
      </c>
      <c r="H6173" s="1" t="str">
        <f t="shared" si="11606"/>
        <v>0</v>
      </c>
      <c r="I6173" s="1" t="str">
        <f t="shared" si="11606"/>
        <v>0</v>
      </c>
      <c r="J6173" s="1" t="str">
        <f t="shared" si="11600"/>
        <v>1</v>
      </c>
      <c r="K6173" s="1" t="str">
        <f t="shared" ref="K6173:P6173" si="11607">"0"</f>
        <v>0</v>
      </c>
      <c r="L6173" s="1" t="str">
        <f t="shared" si="11607"/>
        <v>0</v>
      </c>
      <c r="M6173" s="1" t="str">
        <f t="shared" si="11607"/>
        <v>0</v>
      </c>
      <c r="N6173" s="1" t="str">
        <f t="shared" si="11607"/>
        <v>0</v>
      </c>
      <c r="O6173" s="1" t="str">
        <f t="shared" si="11607"/>
        <v>0</v>
      </c>
      <c r="P6173" s="1" t="str">
        <f t="shared" si="11607"/>
        <v>0</v>
      </c>
      <c r="Q6173" s="1" t="str">
        <f t="shared" si="11549"/>
        <v>0.0070</v>
      </c>
      <c r="R6173" s="1" t="s">
        <v>25</v>
      </c>
      <c r="T6173" s="1" t="str">
        <f t="shared" si="11550"/>
        <v>0</v>
      </c>
      <c r="U6173" s="1" t="str">
        <f t="shared" si="11598"/>
        <v>0.0070</v>
      </c>
    </row>
    <row r="6174" s="1" customFormat="1" spans="1:21">
      <c r="A6174" s="1" t="str">
        <f>"4601991400039"</f>
        <v>4601991400039</v>
      </c>
      <c r="B6174" s="1" t="s">
        <v>6197</v>
      </c>
      <c r="C6174" s="1" t="s">
        <v>24</v>
      </c>
      <c r="D6174" s="1" t="str">
        <f t="shared" si="11546"/>
        <v>2021</v>
      </c>
      <c r="E6174" s="1" t="str">
        <f>"6.84"</f>
        <v>6.84</v>
      </c>
      <c r="F6174" s="1" t="str">
        <f t="shared" ref="F6174:I6174" si="11608">"0"</f>
        <v>0</v>
      </c>
      <c r="G6174" s="1" t="str">
        <f t="shared" si="11608"/>
        <v>0</v>
      </c>
      <c r="H6174" s="1" t="str">
        <f t="shared" si="11608"/>
        <v>0</v>
      </c>
      <c r="I6174" s="1" t="str">
        <f t="shared" si="11608"/>
        <v>0</v>
      </c>
      <c r="J6174" s="1" t="str">
        <f t="shared" si="11600"/>
        <v>1</v>
      </c>
      <c r="K6174" s="1" t="str">
        <f t="shared" ref="K6174:P6174" si="11609">"0"</f>
        <v>0</v>
      </c>
      <c r="L6174" s="1" t="str">
        <f t="shared" si="11609"/>
        <v>0</v>
      </c>
      <c r="M6174" s="1" t="str">
        <f t="shared" si="11609"/>
        <v>0</v>
      </c>
      <c r="N6174" s="1" t="str">
        <f t="shared" si="11609"/>
        <v>0</v>
      </c>
      <c r="O6174" s="1" t="str">
        <f t="shared" si="11609"/>
        <v>0</v>
      </c>
      <c r="P6174" s="1" t="str">
        <f t="shared" si="11609"/>
        <v>0</v>
      </c>
      <c r="Q6174" s="1" t="str">
        <f t="shared" si="11549"/>
        <v>0.0070</v>
      </c>
      <c r="R6174" s="1" t="s">
        <v>29</v>
      </c>
      <c r="S6174" s="1">
        <v>-0.0014</v>
      </c>
      <c r="T6174" s="1" t="str">
        <f t="shared" si="11550"/>
        <v>0</v>
      </c>
      <c r="U6174" s="1" t="str">
        <f>"0.0056"</f>
        <v>0.0056</v>
      </c>
    </row>
    <row r="6175" s="1" customFormat="1" spans="1:21">
      <c r="A6175" s="1" t="str">
        <f>"4601992249621"</f>
        <v>4601992249621</v>
      </c>
      <c r="B6175" s="1" t="s">
        <v>6198</v>
      </c>
      <c r="C6175" s="1" t="s">
        <v>24</v>
      </c>
      <c r="D6175" s="1" t="str">
        <f t="shared" si="11546"/>
        <v>2021</v>
      </c>
      <c r="E6175" s="1" t="str">
        <f t="shared" ref="E6175:I6175" si="11610">"0"</f>
        <v>0</v>
      </c>
      <c r="F6175" s="1" t="str">
        <f t="shared" si="11610"/>
        <v>0</v>
      </c>
      <c r="G6175" s="1" t="str">
        <f t="shared" si="11610"/>
        <v>0</v>
      </c>
      <c r="H6175" s="1" t="str">
        <f t="shared" si="11610"/>
        <v>0</v>
      </c>
      <c r="I6175" s="1" t="str">
        <f t="shared" si="11610"/>
        <v>0</v>
      </c>
      <c r="J6175" s="1" t="str">
        <f>"2"</f>
        <v>2</v>
      </c>
      <c r="K6175" s="1" t="str">
        <f t="shared" ref="K6175:P6175" si="11611">"0"</f>
        <v>0</v>
      </c>
      <c r="L6175" s="1" t="str">
        <f t="shared" si="11611"/>
        <v>0</v>
      </c>
      <c r="M6175" s="1" t="str">
        <f t="shared" si="11611"/>
        <v>0</v>
      </c>
      <c r="N6175" s="1" t="str">
        <f t="shared" si="11611"/>
        <v>0</v>
      </c>
      <c r="O6175" s="1" t="str">
        <f t="shared" si="11611"/>
        <v>0</v>
      </c>
      <c r="P6175" s="1" t="str">
        <f t="shared" si="11611"/>
        <v>0</v>
      </c>
      <c r="Q6175" s="1" t="str">
        <f t="shared" si="11549"/>
        <v>0.0070</v>
      </c>
      <c r="R6175" s="1" t="s">
        <v>25</v>
      </c>
      <c r="T6175" s="1" t="str">
        <f t="shared" si="11550"/>
        <v>0</v>
      </c>
      <c r="U6175" s="1" t="str">
        <f t="shared" ref="U6175:U6238" si="11612">"0.0070"</f>
        <v>0.0070</v>
      </c>
    </row>
    <row r="6176" s="1" customFormat="1" spans="1:21">
      <c r="A6176" s="1" t="str">
        <f>"4601992249634"</f>
        <v>4601992249634</v>
      </c>
      <c r="B6176" s="1" t="s">
        <v>6199</v>
      </c>
      <c r="C6176" s="1" t="s">
        <v>24</v>
      </c>
      <c r="D6176" s="1" t="str">
        <f t="shared" si="11546"/>
        <v>2021</v>
      </c>
      <c r="E6176" s="1" t="str">
        <f t="shared" ref="E6176:I6176" si="11613">"0"</f>
        <v>0</v>
      </c>
      <c r="F6176" s="1" t="str">
        <f t="shared" si="11613"/>
        <v>0</v>
      </c>
      <c r="G6176" s="1" t="str">
        <f t="shared" si="11613"/>
        <v>0</v>
      </c>
      <c r="H6176" s="1" t="str">
        <f t="shared" si="11613"/>
        <v>0</v>
      </c>
      <c r="I6176" s="1" t="str">
        <f t="shared" si="11613"/>
        <v>0</v>
      </c>
      <c r="J6176" s="1" t="str">
        <f t="shared" ref="J6176:J6181" si="11614">"1"</f>
        <v>1</v>
      </c>
      <c r="K6176" s="1" t="str">
        <f t="shared" ref="K6176:P6176" si="11615">"0"</f>
        <v>0</v>
      </c>
      <c r="L6176" s="1" t="str">
        <f t="shared" si="11615"/>
        <v>0</v>
      </c>
      <c r="M6176" s="1" t="str">
        <f t="shared" si="11615"/>
        <v>0</v>
      </c>
      <c r="N6176" s="1" t="str">
        <f t="shared" si="11615"/>
        <v>0</v>
      </c>
      <c r="O6176" s="1" t="str">
        <f t="shared" si="11615"/>
        <v>0</v>
      </c>
      <c r="P6176" s="1" t="str">
        <f t="shared" si="11615"/>
        <v>0</v>
      </c>
      <c r="Q6176" s="1" t="str">
        <f t="shared" si="11549"/>
        <v>0.0070</v>
      </c>
      <c r="R6176" s="1" t="s">
        <v>25</v>
      </c>
      <c r="T6176" s="1" t="str">
        <f t="shared" si="11550"/>
        <v>0</v>
      </c>
      <c r="U6176" s="1" t="str">
        <f t="shared" si="11612"/>
        <v>0.0070</v>
      </c>
    </row>
    <row r="6177" s="1" customFormat="1" spans="1:21">
      <c r="A6177" s="1" t="str">
        <f>"4601992249645"</f>
        <v>4601992249645</v>
      </c>
      <c r="B6177" s="1" t="s">
        <v>6200</v>
      </c>
      <c r="C6177" s="1" t="s">
        <v>24</v>
      </c>
      <c r="D6177" s="1" t="str">
        <f t="shared" si="11546"/>
        <v>2021</v>
      </c>
      <c r="E6177" s="1" t="str">
        <f t="shared" ref="E6177:I6177" si="11616">"0"</f>
        <v>0</v>
      </c>
      <c r="F6177" s="1" t="str">
        <f t="shared" si="11616"/>
        <v>0</v>
      </c>
      <c r="G6177" s="1" t="str">
        <f t="shared" si="11616"/>
        <v>0</v>
      </c>
      <c r="H6177" s="1" t="str">
        <f t="shared" si="11616"/>
        <v>0</v>
      </c>
      <c r="I6177" s="1" t="str">
        <f t="shared" si="11616"/>
        <v>0</v>
      </c>
      <c r="J6177" s="1" t="str">
        <f>"3"</f>
        <v>3</v>
      </c>
      <c r="K6177" s="1" t="str">
        <f t="shared" ref="K6177:P6177" si="11617">"0"</f>
        <v>0</v>
      </c>
      <c r="L6177" s="1" t="str">
        <f t="shared" si="11617"/>
        <v>0</v>
      </c>
      <c r="M6177" s="1" t="str">
        <f t="shared" si="11617"/>
        <v>0</v>
      </c>
      <c r="N6177" s="1" t="str">
        <f t="shared" si="11617"/>
        <v>0</v>
      </c>
      <c r="O6177" s="1" t="str">
        <f t="shared" si="11617"/>
        <v>0</v>
      </c>
      <c r="P6177" s="1" t="str">
        <f t="shared" si="11617"/>
        <v>0</v>
      </c>
      <c r="Q6177" s="1" t="str">
        <f t="shared" si="11549"/>
        <v>0.0070</v>
      </c>
      <c r="R6177" s="1" t="s">
        <v>25</v>
      </c>
      <c r="T6177" s="1" t="str">
        <f t="shared" si="11550"/>
        <v>0</v>
      </c>
      <c r="U6177" s="1" t="str">
        <f t="shared" si="11612"/>
        <v>0.0070</v>
      </c>
    </row>
    <row r="6178" s="1" customFormat="1" spans="1:21">
      <c r="A6178" s="1" t="str">
        <f>"4601992249648"</f>
        <v>4601992249648</v>
      </c>
      <c r="B6178" s="1" t="s">
        <v>6201</v>
      </c>
      <c r="C6178" s="1" t="s">
        <v>24</v>
      </c>
      <c r="D6178" s="1" t="str">
        <f t="shared" si="11546"/>
        <v>2021</v>
      </c>
      <c r="E6178" s="1" t="str">
        <f t="shared" ref="E6178:I6178" si="11618">"0"</f>
        <v>0</v>
      </c>
      <c r="F6178" s="1" t="str">
        <f t="shared" si="11618"/>
        <v>0</v>
      </c>
      <c r="G6178" s="1" t="str">
        <f t="shared" si="11618"/>
        <v>0</v>
      </c>
      <c r="H6178" s="1" t="str">
        <f t="shared" si="11618"/>
        <v>0</v>
      </c>
      <c r="I6178" s="1" t="str">
        <f t="shared" si="11618"/>
        <v>0</v>
      </c>
      <c r="J6178" s="1" t="str">
        <f>"2"</f>
        <v>2</v>
      </c>
      <c r="K6178" s="1" t="str">
        <f t="shared" ref="K6178:P6178" si="11619">"0"</f>
        <v>0</v>
      </c>
      <c r="L6178" s="1" t="str">
        <f t="shared" si="11619"/>
        <v>0</v>
      </c>
      <c r="M6178" s="1" t="str">
        <f t="shared" si="11619"/>
        <v>0</v>
      </c>
      <c r="N6178" s="1" t="str">
        <f t="shared" si="11619"/>
        <v>0</v>
      </c>
      <c r="O6178" s="1" t="str">
        <f t="shared" si="11619"/>
        <v>0</v>
      </c>
      <c r="P6178" s="1" t="str">
        <f t="shared" si="11619"/>
        <v>0</v>
      </c>
      <c r="Q6178" s="1" t="str">
        <f t="shared" si="11549"/>
        <v>0.0070</v>
      </c>
      <c r="R6178" s="1" t="s">
        <v>25</v>
      </c>
      <c r="T6178" s="1" t="str">
        <f t="shared" si="11550"/>
        <v>0</v>
      </c>
      <c r="U6178" s="1" t="str">
        <f t="shared" si="11612"/>
        <v>0.0070</v>
      </c>
    </row>
    <row r="6179" s="1" customFormat="1" spans="1:21">
      <c r="A6179" s="1" t="str">
        <f>"4601992249659"</f>
        <v>4601992249659</v>
      </c>
      <c r="B6179" s="1" t="s">
        <v>6202</v>
      </c>
      <c r="C6179" s="1" t="s">
        <v>24</v>
      </c>
      <c r="D6179" s="1" t="str">
        <f t="shared" si="11546"/>
        <v>2021</v>
      </c>
      <c r="E6179" s="1" t="str">
        <f t="shared" ref="E6179:I6179" si="11620">"0"</f>
        <v>0</v>
      </c>
      <c r="F6179" s="1" t="str">
        <f t="shared" si="11620"/>
        <v>0</v>
      </c>
      <c r="G6179" s="1" t="str">
        <f t="shared" si="11620"/>
        <v>0</v>
      </c>
      <c r="H6179" s="1" t="str">
        <f t="shared" si="11620"/>
        <v>0</v>
      </c>
      <c r="I6179" s="1" t="str">
        <f t="shared" si="11620"/>
        <v>0</v>
      </c>
      <c r="J6179" s="1" t="str">
        <f t="shared" si="11614"/>
        <v>1</v>
      </c>
      <c r="K6179" s="1" t="str">
        <f t="shared" ref="K6179:P6179" si="11621">"0"</f>
        <v>0</v>
      </c>
      <c r="L6179" s="1" t="str">
        <f t="shared" si="11621"/>
        <v>0</v>
      </c>
      <c r="M6179" s="1" t="str">
        <f t="shared" si="11621"/>
        <v>0</v>
      </c>
      <c r="N6179" s="1" t="str">
        <f t="shared" si="11621"/>
        <v>0</v>
      </c>
      <c r="O6179" s="1" t="str">
        <f t="shared" si="11621"/>
        <v>0</v>
      </c>
      <c r="P6179" s="1" t="str">
        <f t="shared" si="11621"/>
        <v>0</v>
      </c>
      <c r="Q6179" s="1" t="str">
        <f t="shared" si="11549"/>
        <v>0.0070</v>
      </c>
      <c r="R6179" s="1" t="s">
        <v>25</v>
      </c>
      <c r="T6179" s="1" t="str">
        <f t="shared" si="11550"/>
        <v>0</v>
      </c>
      <c r="U6179" s="1" t="str">
        <f t="shared" si="11612"/>
        <v>0.0070</v>
      </c>
    </row>
    <row r="6180" s="1" customFormat="1" spans="1:21">
      <c r="A6180" s="1" t="str">
        <f>"4601992249693"</f>
        <v>4601992249693</v>
      </c>
      <c r="B6180" s="1" t="s">
        <v>6203</v>
      </c>
      <c r="C6180" s="1" t="s">
        <v>24</v>
      </c>
      <c r="D6180" s="1" t="str">
        <f t="shared" si="11546"/>
        <v>2021</v>
      </c>
      <c r="E6180" s="1" t="str">
        <f t="shared" ref="E6180:I6180" si="11622">"0"</f>
        <v>0</v>
      </c>
      <c r="F6180" s="1" t="str">
        <f t="shared" si="11622"/>
        <v>0</v>
      </c>
      <c r="G6180" s="1" t="str">
        <f t="shared" si="11622"/>
        <v>0</v>
      </c>
      <c r="H6180" s="1" t="str">
        <f t="shared" si="11622"/>
        <v>0</v>
      </c>
      <c r="I6180" s="1" t="str">
        <f t="shared" si="11622"/>
        <v>0</v>
      </c>
      <c r="J6180" s="1" t="str">
        <f t="shared" si="11614"/>
        <v>1</v>
      </c>
      <c r="K6180" s="1" t="str">
        <f t="shared" ref="K6180:P6180" si="11623">"0"</f>
        <v>0</v>
      </c>
      <c r="L6180" s="1" t="str">
        <f t="shared" si="11623"/>
        <v>0</v>
      </c>
      <c r="M6180" s="1" t="str">
        <f t="shared" si="11623"/>
        <v>0</v>
      </c>
      <c r="N6180" s="1" t="str">
        <f t="shared" si="11623"/>
        <v>0</v>
      </c>
      <c r="O6180" s="1" t="str">
        <f t="shared" si="11623"/>
        <v>0</v>
      </c>
      <c r="P6180" s="1" t="str">
        <f t="shared" si="11623"/>
        <v>0</v>
      </c>
      <c r="Q6180" s="1" t="str">
        <f t="shared" si="11549"/>
        <v>0.0070</v>
      </c>
      <c r="R6180" s="1" t="s">
        <v>25</v>
      </c>
      <c r="T6180" s="1" t="str">
        <f t="shared" si="11550"/>
        <v>0</v>
      </c>
      <c r="U6180" s="1" t="str">
        <f t="shared" si="11612"/>
        <v>0.0070</v>
      </c>
    </row>
    <row r="6181" s="1" customFormat="1" spans="1:21">
      <c r="A6181" s="1" t="str">
        <f>"4601992249655"</f>
        <v>4601992249655</v>
      </c>
      <c r="B6181" s="1" t="s">
        <v>6204</v>
      </c>
      <c r="C6181" s="1" t="s">
        <v>24</v>
      </c>
      <c r="D6181" s="1" t="str">
        <f t="shared" si="11546"/>
        <v>2021</v>
      </c>
      <c r="E6181" s="1" t="str">
        <f t="shared" ref="E6181:I6181" si="11624">"0"</f>
        <v>0</v>
      </c>
      <c r="F6181" s="1" t="str">
        <f t="shared" si="11624"/>
        <v>0</v>
      </c>
      <c r="G6181" s="1" t="str">
        <f t="shared" si="11624"/>
        <v>0</v>
      </c>
      <c r="H6181" s="1" t="str">
        <f t="shared" si="11624"/>
        <v>0</v>
      </c>
      <c r="I6181" s="1" t="str">
        <f t="shared" si="11624"/>
        <v>0</v>
      </c>
      <c r="J6181" s="1" t="str">
        <f t="shared" si="11614"/>
        <v>1</v>
      </c>
      <c r="K6181" s="1" t="str">
        <f t="shared" ref="K6181:P6181" si="11625">"0"</f>
        <v>0</v>
      </c>
      <c r="L6181" s="1" t="str">
        <f t="shared" si="11625"/>
        <v>0</v>
      </c>
      <c r="M6181" s="1" t="str">
        <f t="shared" si="11625"/>
        <v>0</v>
      </c>
      <c r="N6181" s="1" t="str">
        <f t="shared" si="11625"/>
        <v>0</v>
      </c>
      <c r="O6181" s="1" t="str">
        <f t="shared" si="11625"/>
        <v>0</v>
      </c>
      <c r="P6181" s="1" t="str">
        <f t="shared" si="11625"/>
        <v>0</v>
      </c>
      <c r="Q6181" s="1" t="str">
        <f t="shared" si="11549"/>
        <v>0.0070</v>
      </c>
      <c r="R6181" s="1" t="s">
        <v>25</v>
      </c>
      <c r="T6181" s="1" t="str">
        <f t="shared" si="11550"/>
        <v>0</v>
      </c>
      <c r="U6181" s="1" t="str">
        <f t="shared" si="11612"/>
        <v>0.0070</v>
      </c>
    </row>
    <row r="6182" s="1" customFormat="1" spans="1:21">
      <c r="A6182" s="1" t="str">
        <f>"4601992249623"</f>
        <v>4601992249623</v>
      </c>
      <c r="B6182" s="1" t="s">
        <v>6205</v>
      </c>
      <c r="C6182" s="1" t="s">
        <v>24</v>
      </c>
      <c r="D6182" s="1" t="str">
        <f t="shared" si="11546"/>
        <v>2021</v>
      </c>
      <c r="E6182" s="1" t="str">
        <f t="shared" ref="E6182:I6182" si="11626">"0"</f>
        <v>0</v>
      </c>
      <c r="F6182" s="1" t="str">
        <f t="shared" si="11626"/>
        <v>0</v>
      </c>
      <c r="G6182" s="1" t="str">
        <f t="shared" si="11626"/>
        <v>0</v>
      </c>
      <c r="H6182" s="1" t="str">
        <f t="shared" si="11626"/>
        <v>0</v>
      </c>
      <c r="I6182" s="1" t="str">
        <f t="shared" si="11626"/>
        <v>0</v>
      </c>
      <c r="J6182" s="1" t="str">
        <f>"3"</f>
        <v>3</v>
      </c>
      <c r="K6182" s="1" t="str">
        <f t="shared" ref="K6182:P6182" si="11627">"0"</f>
        <v>0</v>
      </c>
      <c r="L6182" s="1" t="str">
        <f t="shared" si="11627"/>
        <v>0</v>
      </c>
      <c r="M6182" s="1" t="str">
        <f t="shared" si="11627"/>
        <v>0</v>
      </c>
      <c r="N6182" s="1" t="str">
        <f t="shared" si="11627"/>
        <v>0</v>
      </c>
      <c r="O6182" s="1" t="str">
        <f t="shared" si="11627"/>
        <v>0</v>
      </c>
      <c r="P6182" s="1" t="str">
        <f t="shared" si="11627"/>
        <v>0</v>
      </c>
      <c r="Q6182" s="1" t="str">
        <f t="shared" si="11549"/>
        <v>0.0070</v>
      </c>
      <c r="R6182" s="1" t="s">
        <v>25</v>
      </c>
      <c r="T6182" s="1" t="str">
        <f t="shared" si="11550"/>
        <v>0</v>
      </c>
      <c r="U6182" s="1" t="str">
        <f t="shared" si="11612"/>
        <v>0.0070</v>
      </c>
    </row>
    <row r="6183" s="1" customFormat="1" spans="1:21">
      <c r="A6183" s="1" t="str">
        <f>"4601992249698"</f>
        <v>4601992249698</v>
      </c>
      <c r="B6183" s="1" t="s">
        <v>6206</v>
      </c>
      <c r="C6183" s="1" t="s">
        <v>24</v>
      </c>
      <c r="D6183" s="1" t="str">
        <f t="shared" si="11546"/>
        <v>2021</v>
      </c>
      <c r="E6183" s="1" t="str">
        <f t="shared" ref="E6183:I6183" si="11628">"0"</f>
        <v>0</v>
      </c>
      <c r="F6183" s="1" t="str">
        <f t="shared" si="11628"/>
        <v>0</v>
      </c>
      <c r="G6183" s="1" t="str">
        <f t="shared" si="11628"/>
        <v>0</v>
      </c>
      <c r="H6183" s="1" t="str">
        <f t="shared" si="11628"/>
        <v>0</v>
      </c>
      <c r="I6183" s="1" t="str">
        <f t="shared" si="11628"/>
        <v>0</v>
      </c>
      <c r="J6183" s="1" t="str">
        <f>"3"</f>
        <v>3</v>
      </c>
      <c r="K6183" s="1" t="str">
        <f t="shared" ref="K6183:P6183" si="11629">"0"</f>
        <v>0</v>
      </c>
      <c r="L6183" s="1" t="str">
        <f t="shared" si="11629"/>
        <v>0</v>
      </c>
      <c r="M6183" s="1" t="str">
        <f t="shared" si="11629"/>
        <v>0</v>
      </c>
      <c r="N6183" s="1" t="str">
        <f t="shared" si="11629"/>
        <v>0</v>
      </c>
      <c r="O6183" s="1" t="str">
        <f t="shared" si="11629"/>
        <v>0</v>
      </c>
      <c r="P6183" s="1" t="str">
        <f t="shared" si="11629"/>
        <v>0</v>
      </c>
      <c r="Q6183" s="1" t="str">
        <f t="shared" si="11549"/>
        <v>0.0070</v>
      </c>
      <c r="R6183" s="1" t="s">
        <v>25</v>
      </c>
      <c r="T6183" s="1" t="str">
        <f t="shared" si="11550"/>
        <v>0</v>
      </c>
      <c r="U6183" s="1" t="str">
        <f t="shared" si="11612"/>
        <v>0.0070</v>
      </c>
    </row>
    <row r="6184" s="1" customFormat="1" spans="1:21">
      <c r="A6184" s="1" t="str">
        <f>"4601992249765"</f>
        <v>4601992249765</v>
      </c>
      <c r="B6184" s="1" t="s">
        <v>6207</v>
      </c>
      <c r="C6184" s="1" t="s">
        <v>24</v>
      </c>
      <c r="D6184" s="1" t="str">
        <f t="shared" si="11546"/>
        <v>2021</v>
      </c>
      <c r="E6184" s="1" t="str">
        <f t="shared" ref="E6184:P6184" si="11630">"0"</f>
        <v>0</v>
      </c>
      <c r="F6184" s="1" t="str">
        <f t="shared" si="11630"/>
        <v>0</v>
      </c>
      <c r="G6184" s="1" t="str">
        <f t="shared" si="11630"/>
        <v>0</v>
      </c>
      <c r="H6184" s="1" t="str">
        <f t="shared" si="11630"/>
        <v>0</v>
      </c>
      <c r="I6184" s="1" t="str">
        <f t="shared" si="11630"/>
        <v>0</v>
      </c>
      <c r="J6184" s="1" t="str">
        <f t="shared" si="11630"/>
        <v>0</v>
      </c>
      <c r="K6184" s="1" t="str">
        <f t="shared" si="11630"/>
        <v>0</v>
      </c>
      <c r="L6184" s="1" t="str">
        <f t="shared" si="11630"/>
        <v>0</v>
      </c>
      <c r="M6184" s="1" t="str">
        <f t="shared" si="11630"/>
        <v>0</v>
      </c>
      <c r="N6184" s="1" t="str">
        <f t="shared" si="11630"/>
        <v>0</v>
      </c>
      <c r="O6184" s="1" t="str">
        <f t="shared" si="11630"/>
        <v>0</v>
      </c>
      <c r="P6184" s="1" t="str">
        <f t="shared" si="11630"/>
        <v>0</v>
      </c>
      <c r="Q6184" s="1" t="str">
        <f t="shared" si="11549"/>
        <v>0.0070</v>
      </c>
      <c r="R6184" s="1" t="s">
        <v>25</v>
      </c>
      <c r="T6184" s="1" t="str">
        <f t="shared" si="11550"/>
        <v>0</v>
      </c>
      <c r="U6184" s="1" t="str">
        <f t="shared" si="11612"/>
        <v>0.0070</v>
      </c>
    </row>
    <row r="6185" s="1" customFormat="1" spans="1:21">
      <c r="A6185" s="1" t="str">
        <f>"4601992250100"</f>
        <v>4601992250100</v>
      </c>
      <c r="B6185" s="1" t="s">
        <v>6208</v>
      </c>
      <c r="C6185" s="1" t="s">
        <v>24</v>
      </c>
      <c r="D6185" s="1" t="str">
        <f t="shared" si="11546"/>
        <v>2021</v>
      </c>
      <c r="E6185" s="1" t="str">
        <f t="shared" ref="E6185:P6185" si="11631">"0"</f>
        <v>0</v>
      </c>
      <c r="F6185" s="1" t="str">
        <f t="shared" si="11631"/>
        <v>0</v>
      </c>
      <c r="G6185" s="1" t="str">
        <f t="shared" si="11631"/>
        <v>0</v>
      </c>
      <c r="H6185" s="1" t="str">
        <f t="shared" si="11631"/>
        <v>0</v>
      </c>
      <c r="I6185" s="1" t="str">
        <f t="shared" si="11631"/>
        <v>0</v>
      </c>
      <c r="J6185" s="1" t="str">
        <f t="shared" si="11631"/>
        <v>0</v>
      </c>
      <c r="K6185" s="1" t="str">
        <f t="shared" si="11631"/>
        <v>0</v>
      </c>
      <c r="L6185" s="1" t="str">
        <f t="shared" si="11631"/>
        <v>0</v>
      </c>
      <c r="M6185" s="1" t="str">
        <f t="shared" si="11631"/>
        <v>0</v>
      </c>
      <c r="N6185" s="1" t="str">
        <f t="shared" si="11631"/>
        <v>0</v>
      </c>
      <c r="O6185" s="1" t="str">
        <f t="shared" si="11631"/>
        <v>0</v>
      </c>
      <c r="P6185" s="1" t="str">
        <f t="shared" si="11631"/>
        <v>0</v>
      </c>
      <c r="Q6185" s="1" t="str">
        <f t="shared" si="11549"/>
        <v>0.0070</v>
      </c>
      <c r="R6185" s="1" t="s">
        <v>25</v>
      </c>
      <c r="T6185" s="1" t="str">
        <f t="shared" si="11550"/>
        <v>0</v>
      </c>
      <c r="U6185" s="1" t="str">
        <f t="shared" si="11612"/>
        <v>0.0070</v>
      </c>
    </row>
    <row r="6186" s="1" customFormat="1" spans="1:21">
      <c r="A6186" s="1" t="str">
        <f>"4601992249704"</f>
        <v>4601992249704</v>
      </c>
      <c r="B6186" s="1" t="s">
        <v>6209</v>
      </c>
      <c r="C6186" s="1" t="s">
        <v>24</v>
      </c>
      <c r="D6186" s="1" t="str">
        <f t="shared" si="11546"/>
        <v>2021</v>
      </c>
      <c r="E6186" s="1" t="str">
        <f t="shared" ref="E6186:I6186" si="11632">"0"</f>
        <v>0</v>
      </c>
      <c r="F6186" s="1" t="str">
        <f t="shared" si="11632"/>
        <v>0</v>
      </c>
      <c r="G6186" s="1" t="str">
        <f t="shared" si="11632"/>
        <v>0</v>
      </c>
      <c r="H6186" s="1" t="str">
        <f t="shared" si="11632"/>
        <v>0</v>
      </c>
      <c r="I6186" s="1" t="str">
        <f t="shared" si="11632"/>
        <v>0</v>
      </c>
      <c r="J6186" s="1" t="str">
        <f>"1"</f>
        <v>1</v>
      </c>
      <c r="K6186" s="1" t="str">
        <f t="shared" ref="K6186:P6186" si="11633">"0"</f>
        <v>0</v>
      </c>
      <c r="L6186" s="1" t="str">
        <f t="shared" si="11633"/>
        <v>0</v>
      </c>
      <c r="M6186" s="1" t="str">
        <f t="shared" si="11633"/>
        <v>0</v>
      </c>
      <c r="N6186" s="1" t="str">
        <f t="shared" si="11633"/>
        <v>0</v>
      </c>
      <c r="O6186" s="1" t="str">
        <f t="shared" si="11633"/>
        <v>0</v>
      </c>
      <c r="P6186" s="1" t="str">
        <f t="shared" si="11633"/>
        <v>0</v>
      </c>
      <c r="Q6186" s="1" t="str">
        <f t="shared" si="11549"/>
        <v>0.0070</v>
      </c>
      <c r="R6186" s="1" t="s">
        <v>25</v>
      </c>
      <c r="T6186" s="1" t="str">
        <f t="shared" si="11550"/>
        <v>0</v>
      </c>
      <c r="U6186" s="1" t="str">
        <f t="shared" si="11612"/>
        <v>0.0070</v>
      </c>
    </row>
    <row r="6187" s="1" customFormat="1" spans="1:21">
      <c r="A6187" s="1" t="str">
        <f>"4601992249721"</f>
        <v>4601992249721</v>
      </c>
      <c r="B6187" s="1" t="s">
        <v>6210</v>
      </c>
      <c r="C6187" s="1" t="s">
        <v>24</v>
      </c>
      <c r="D6187" s="1" t="str">
        <f t="shared" si="11546"/>
        <v>2021</v>
      </c>
      <c r="E6187" s="1" t="str">
        <f t="shared" ref="E6187:I6187" si="11634">"0"</f>
        <v>0</v>
      </c>
      <c r="F6187" s="1" t="str">
        <f t="shared" si="11634"/>
        <v>0</v>
      </c>
      <c r="G6187" s="1" t="str">
        <f t="shared" si="11634"/>
        <v>0</v>
      </c>
      <c r="H6187" s="1" t="str">
        <f t="shared" si="11634"/>
        <v>0</v>
      </c>
      <c r="I6187" s="1" t="str">
        <f t="shared" si="11634"/>
        <v>0</v>
      </c>
      <c r="J6187" s="1" t="str">
        <f>"2"</f>
        <v>2</v>
      </c>
      <c r="K6187" s="1" t="str">
        <f t="shared" ref="K6187:P6187" si="11635">"0"</f>
        <v>0</v>
      </c>
      <c r="L6187" s="1" t="str">
        <f t="shared" si="11635"/>
        <v>0</v>
      </c>
      <c r="M6187" s="1" t="str">
        <f t="shared" si="11635"/>
        <v>0</v>
      </c>
      <c r="N6187" s="1" t="str">
        <f t="shared" si="11635"/>
        <v>0</v>
      </c>
      <c r="O6187" s="1" t="str">
        <f t="shared" si="11635"/>
        <v>0</v>
      </c>
      <c r="P6187" s="1" t="str">
        <f t="shared" si="11635"/>
        <v>0</v>
      </c>
      <c r="Q6187" s="1" t="str">
        <f t="shared" si="11549"/>
        <v>0.0070</v>
      </c>
      <c r="R6187" s="1" t="s">
        <v>25</v>
      </c>
      <c r="T6187" s="1" t="str">
        <f t="shared" si="11550"/>
        <v>0</v>
      </c>
      <c r="U6187" s="1" t="str">
        <f t="shared" si="11612"/>
        <v>0.0070</v>
      </c>
    </row>
    <row r="6188" s="1" customFormat="1" spans="1:21">
      <c r="A6188" s="1" t="str">
        <f>"4601992250195"</f>
        <v>4601992250195</v>
      </c>
      <c r="B6188" s="1" t="s">
        <v>6211</v>
      </c>
      <c r="C6188" s="1" t="s">
        <v>24</v>
      </c>
      <c r="D6188" s="1" t="str">
        <f t="shared" si="11546"/>
        <v>2021</v>
      </c>
      <c r="E6188" s="1" t="str">
        <f t="shared" ref="E6188:P6188" si="11636">"0"</f>
        <v>0</v>
      </c>
      <c r="F6188" s="1" t="str">
        <f t="shared" si="11636"/>
        <v>0</v>
      </c>
      <c r="G6188" s="1" t="str">
        <f t="shared" si="11636"/>
        <v>0</v>
      </c>
      <c r="H6188" s="1" t="str">
        <f t="shared" si="11636"/>
        <v>0</v>
      </c>
      <c r="I6188" s="1" t="str">
        <f t="shared" si="11636"/>
        <v>0</v>
      </c>
      <c r="J6188" s="1" t="str">
        <f t="shared" si="11636"/>
        <v>0</v>
      </c>
      <c r="K6188" s="1" t="str">
        <f t="shared" si="11636"/>
        <v>0</v>
      </c>
      <c r="L6188" s="1" t="str">
        <f t="shared" si="11636"/>
        <v>0</v>
      </c>
      <c r="M6188" s="1" t="str">
        <f t="shared" si="11636"/>
        <v>0</v>
      </c>
      <c r="N6188" s="1" t="str">
        <f t="shared" si="11636"/>
        <v>0</v>
      </c>
      <c r="O6188" s="1" t="str">
        <f t="shared" si="11636"/>
        <v>0</v>
      </c>
      <c r="P6188" s="1" t="str">
        <f t="shared" si="11636"/>
        <v>0</v>
      </c>
      <c r="Q6188" s="1" t="str">
        <f t="shared" si="11549"/>
        <v>0.0070</v>
      </c>
      <c r="R6188" s="1" t="s">
        <v>25</v>
      </c>
      <c r="T6188" s="1" t="str">
        <f t="shared" si="11550"/>
        <v>0</v>
      </c>
      <c r="U6188" s="1" t="str">
        <f t="shared" si="11612"/>
        <v>0.0070</v>
      </c>
    </row>
    <row r="6189" s="1" customFormat="1" spans="1:21">
      <c r="A6189" s="1" t="str">
        <f>"4601992250282"</f>
        <v>4601992250282</v>
      </c>
      <c r="B6189" s="1" t="s">
        <v>6212</v>
      </c>
      <c r="C6189" s="1" t="s">
        <v>24</v>
      </c>
      <c r="D6189" s="1" t="str">
        <f t="shared" si="11546"/>
        <v>2021</v>
      </c>
      <c r="E6189" s="1" t="str">
        <f t="shared" ref="E6189:P6189" si="11637">"0"</f>
        <v>0</v>
      </c>
      <c r="F6189" s="1" t="str">
        <f t="shared" si="11637"/>
        <v>0</v>
      </c>
      <c r="G6189" s="1" t="str">
        <f t="shared" si="11637"/>
        <v>0</v>
      </c>
      <c r="H6189" s="1" t="str">
        <f t="shared" si="11637"/>
        <v>0</v>
      </c>
      <c r="I6189" s="1" t="str">
        <f t="shared" si="11637"/>
        <v>0</v>
      </c>
      <c r="J6189" s="1" t="str">
        <f t="shared" si="11637"/>
        <v>0</v>
      </c>
      <c r="K6189" s="1" t="str">
        <f t="shared" si="11637"/>
        <v>0</v>
      </c>
      <c r="L6189" s="1" t="str">
        <f t="shared" si="11637"/>
        <v>0</v>
      </c>
      <c r="M6189" s="1" t="str">
        <f t="shared" si="11637"/>
        <v>0</v>
      </c>
      <c r="N6189" s="1" t="str">
        <f t="shared" si="11637"/>
        <v>0</v>
      </c>
      <c r="O6189" s="1" t="str">
        <f t="shared" si="11637"/>
        <v>0</v>
      </c>
      <c r="P6189" s="1" t="str">
        <f t="shared" si="11637"/>
        <v>0</v>
      </c>
      <c r="Q6189" s="1" t="str">
        <f t="shared" si="11549"/>
        <v>0.0070</v>
      </c>
      <c r="R6189" s="1" t="s">
        <v>25</v>
      </c>
      <c r="T6189" s="1" t="str">
        <f t="shared" si="11550"/>
        <v>0</v>
      </c>
      <c r="U6189" s="1" t="str">
        <f t="shared" si="11612"/>
        <v>0.0070</v>
      </c>
    </row>
    <row r="6190" s="1" customFormat="1" spans="1:21">
      <c r="A6190" s="1" t="str">
        <f>"4601992250420"</f>
        <v>4601992250420</v>
      </c>
      <c r="B6190" s="1" t="s">
        <v>6213</v>
      </c>
      <c r="C6190" s="1" t="s">
        <v>24</v>
      </c>
      <c r="D6190" s="1" t="str">
        <f t="shared" si="11546"/>
        <v>2021</v>
      </c>
      <c r="E6190" s="1" t="str">
        <f t="shared" ref="E6190:P6190" si="11638">"0"</f>
        <v>0</v>
      </c>
      <c r="F6190" s="1" t="str">
        <f t="shared" si="11638"/>
        <v>0</v>
      </c>
      <c r="G6190" s="1" t="str">
        <f t="shared" si="11638"/>
        <v>0</v>
      </c>
      <c r="H6190" s="1" t="str">
        <f t="shared" si="11638"/>
        <v>0</v>
      </c>
      <c r="I6190" s="1" t="str">
        <f t="shared" si="11638"/>
        <v>0</v>
      </c>
      <c r="J6190" s="1" t="str">
        <f t="shared" si="11638"/>
        <v>0</v>
      </c>
      <c r="K6190" s="1" t="str">
        <f t="shared" si="11638"/>
        <v>0</v>
      </c>
      <c r="L6190" s="1" t="str">
        <f t="shared" si="11638"/>
        <v>0</v>
      </c>
      <c r="M6190" s="1" t="str">
        <f t="shared" si="11638"/>
        <v>0</v>
      </c>
      <c r="N6190" s="1" t="str">
        <f t="shared" si="11638"/>
        <v>0</v>
      </c>
      <c r="O6190" s="1" t="str">
        <f t="shared" si="11638"/>
        <v>0</v>
      </c>
      <c r="P6190" s="1" t="str">
        <f t="shared" si="11638"/>
        <v>0</v>
      </c>
      <c r="Q6190" s="1" t="str">
        <f t="shared" si="11549"/>
        <v>0.0070</v>
      </c>
      <c r="R6190" s="1" t="s">
        <v>25</v>
      </c>
      <c r="T6190" s="1" t="str">
        <f t="shared" si="11550"/>
        <v>0</v>
      </c>
      <c r="U6190" s="1" t="str">
        <f t="shared" si="11612"/>
        <v>0.0070</v>
      </c>
    </row>
    <row r="6191" s="1" customFormat="1" spans="1:21">
      <c r="A6191" s="1" t="str">
        <f>"4601992250274"</f>
        <v>4601992250274</v>
      </c>
      <c r="B6191" s="1" t="s">
        <v>6214</v>
      </c>
      <c r="C6191" s="1" t="s">
        <v>24</v>
      </c>
      <c r="D6191" s="1" t="str">
        <f t="shared" si="11546"/>
        <v>2021</v>
      </c>
      <c r="E6191" s="1" t="str">
        <f t="shared" ref="E6191:I6191" si="11639">"0"</f>
        <v>0</v>
      </c>
      <c r="F6191" s="1" t="str">
        <f t="shared" si="11639"/>
        <v>0</v>
      </c>
      <c r="G6191" s="1" t="str">
        <f t="shared" si="11639"/>
        <v>0</v>
      </c>
      <c r="H6191" s="1" t="str">
        <f t="shared" si="11639"/>
        <v>0</v>
      </c>
      <c r="I6191" s="1" t="str">
        <f t="shared" si="11639"/>
        <v>0</v>
      </c>
      <c r="J6191" s="1" t="str">
        <f>"1"</f>
        <v>1</v>
      </c>
      <c r="K6191" s="1" t="str">
        <f t="shared" ref="K6191:P6191" si="11640">"0"</f>
        <v>0</v>
      </c>
      <c r="L6191" s="1" t="str">
        <f t="shared" si="11640"/>
        <v>0</v>
      </c>
      <c r="M6191" s="1" t="str">
        <f t="shared" si="11640"/>
        <v>0</v>
      </c>
      <c r="N6191" s="1" t="str">
        <f t="shared" si="11640"/>
        <v>0</v>
      </c>
      <c r="O6191" s="1" t="str">
        <f t="shared" si="11640"/>
        <v>0</v>
      </c>
      <c r="P6191" s="1" t="str">
        <f t="shared" si="11640"/>
        <v>0</v>
      </c>
      <c r="Q6191" s="1" t="str">
        <f t="shared" si="11549"/>
        <v>0.0070</v>
      </c>
      <c r="R6191" s="1" t="s">
        <v>25</v>
      </c>
      <c r="T6191" s="1" t="str">
        <f t="shared" si="11550"/>
        <v>0</v>
      </c>
      <c r="U6191" s="1" t="str">
        <f t="shared" si="11612"/>
        <v>0.0070</v>
      </c>
    </row>
    <row r="6192" s="1" customFormat="1" spans="1:21">
      <c r="A6192" s="1" t="str">
        <f>"4601992250326"</f>
        <v>4601992250326</v>
      </c>
      <c r="B6192" s="1" t="s">
        <v>6215</v>
      </c>
      <c r="C6192" s="1" t="s">
        <v>24</v>
      </c>
      <c r="D6192" s="1" t="str">
        <f t="shared" si="11546"/>
        <v>2021</v>
      </c>
      <c r="E6192" s="1" t="str">
        <f t="shared" ref="E6192:I6192" si="11641">"0"</f>
        <v>0</v>
      </c>
      <c r="F6192" s="1" t="str">
        <f t="shared" si="11641"/>
        <v>0</v>
      </c>
      <c r="G6192" s="1" t="str">
        <f t="shared" si="11641"/>
        <v>0</v>
      </c>
      <c r="H6192" s="1" t="str">
        <f t="shared" si="11641"/>
        <v>0</v>
      </c>
      <c r="I6192" s="1" t="str">
        <f t="shared" si="11641"/>
        <v>0</v>
      </c>
      <c r="J6192" s="1" t="str">
        <f>"2"</f>
        <v>2</v>
      </c>
      <c r="K6192" s="1" t="str">
        <f t="shared" ref="K6192:P6192" si="11642">"0"</f>
        <v>0</v>
      </c>
      <c r="L6192" s="1" t="str">
        <f t="shared" si="11642"/>
        <v>0</v>
      </c>
      <c r="M6192" s="1" t="str">
        <f t="shared" si="11642"/>
        <v>0</v>
      </c>
      <c r="N6192" s="1" t="str">
        <f t="shared" si="11642"/>
        <v>0</v>
      </c>
      <c r="O6192" s="1" t="str">
        <f t="shared" si="11642"/>
        <v>0</v>
      </c>
      <c r="P6192" s="1" t="str">
        <f t="shared" si="11642"/>
        <v>0</v>
      </c>
      <c r="Q6192" s="1" t="str">
        <f t="shared" si="11549"/>
        <v>0.0070</v>
      </c>
      <c r="R6192" s="1" t="s">
        <v>25</v>
      </c>
      <c r="T6192" s="1" t="str">
        <f t="shared" si="11550"/>
        <v>0</v>
      </c>
      <c r="U6192" s="1" t="str">
        <f t="shared" si="11612"/>
        <v>0.0070</v>
      </c>
    </row>
    <row r="6193" s="1" customFormat="1" spans="1:21">
      <c r="A6193" s="1" t="str">
        <f>"4601992250419"</f>
        <v>4601992250419</v>
      </c>
      <c r="B6193" s="1" t="s">
        <v>6216</v>
      </c>
      <c r="C6193" s="1" t="s">
        <v>24</v>
      </c>
      <c r="D6193" s="1" t="str">
        <f t="shared" si="11546"/>
        <v>2021</v>
      </c>
      <c r="E6193" s="1" t="str">
        <f t="shared" ref="E6193:I6193" si="11643">"0"</f>
        <v>0</v>
      </c>
      <c r="F6193" s="1" t="str">
        <f t="shared" si="11643"/>
        <v>0</v>
      </c>
      <c r="G6193" s="1" t="str">
        <f t="shared" si="11643"/>
        <v>0</v>
      </c>
      <c r="H6193" s="1" t="str">
        <f t="shared" si="11643"/>
        <v>0</v>
      </c>
      <c r="I6193" s="1" t="str">
        <f t="shared" si="11643"/>
        <v>0</v>
      </c>
      <c r="J6193" s="1" t="str">
        <f>"2"</f>
        <v>2</v>
      </c>
      <c r="K6193" s="1" t="str">
        <f t="shared" ref="K6193:P6193" si="11644">"0"</f>
        <v>0</v>
      </c>
      <c r="L6193" s="1" t="str">
        <f t="shared" si="11644"/>
        <v>0</v>
      </c>
      <c r="M6193" s="1" t="str">
        <f t="shared" si="11644"/>
        <v>0</v>
      </c>
      <c r="N6193" s="1" t="str">
        <f t="shared" si="11644"/>
        <v>0</v>
      </c>
      <c r="O6193" s="1" t="str">
        <f t="shared" si="11644"/>
        <v>0</v>
      </c>
      <c r="P6193" s="1" t="str">
        <f t="shared" si="11644"/>
        <v>0</v>
      </c>
      <c r="Q6193" s="1" t="str">
        <f t="shared" si="11549"/>
        <v>0.0070</v>
      </c>
      <c r="R6193" s="1" t="s">
        <v>25</v>
      </c>
      <c r="T6193" s="1" t="str">
        <f t="shared" si="11550"/>
        <v>0</v>
      </c>
      <c r="U6193" s="1" t="str">
        <f t="shared" si="11612"/>
        <v>0.0070</v>
      </c>
    </row>
    <row r="6194" s="1" customFormat="1" spans="1:21">
      <c r="A6194" s="1" t="str">
        <f>"4601992250498"</f>
        <v>4601992250498</v>
      </c>
      <c r="B6194" s="1" t="s">
        <v>6217</v>
      </c>
      <c r="C6194" s="1" t="s">
        <v>24</v>
      </c>
      <c r="D6194" s="1" t="str">
        <f t="shared" si="11546"/>
        <v>2021</v>
      </c>
      <c r="E6194" s="1" t="str">
        <f t="shared" ref="E6194:P6194" si="11645">"0"</f>
        <v>0</v>
      </c>
      <c r="F6194" s="1" t="str">
        <f t="shared" si="11645"/>
        <v>0</v>
      </c>
      <c r="G6194" s="1" t="str">
        <f t="shared" si="11645"/>
        <v>0</v>
      </c>
      <c r="H6194" s="1" t="str">
        <f t="shared" si="11645"/>
        <v>0</v>
      </c>
      <c r="I6194" s="1" t="str">
        <f t="shared" si="11645"/>
        <v>0</v>
      </c>
      <c r="J6194" s="1" t="str">
        <f t="shared" si="11645"/>
        <v>0</v>
      </c>
      <c r="K6194" s="1" t="str">
        <f t="shared" si="11645"/>
        <v>0</v>
      </c>
      <c r="L6194" s="1" t="str">
        <f t="shared" si="11645"/>
        <v>0</v>
      </c>
      <c r="M6194" s="1" t="str">
        <f t="shared" si="11645"/>
        <v>0</v>
      </c>
      <c r="N6194" s="1" t="str">
        <f t="shared" si="11645"/>
        <v>0</v>
      </c>
      <c r="O6194" s="1" t="str">
        <f t="shared" si="11645"/>
        <v>0</v>
      </c>
      <c r="P6194" s="1" t="str">
        <f t="shared" si="11645"/>
        <v>0</v>
      </c>
      <c r="Q6194" s="1" t="str">
        <f t="shared" si="11549"/>
        <v>0.0070</v>
      </c>
      <c r="R6194" s="1" t="s">
        <v>25</v>
      </c>
      <c r="T6194" s="1" t="str">
        <f t="shared" si="11550"/>
        <v>0</v>
      </c>
      <c r="U6194" s="1" t="str">
        <f t="shared" si="11612"/>
        <v>0.0070</v>
      </c>
    </row>
    <row r="6195" s="1" customFormat="1" spans="1:21">
      <c r="A6195" s="1" t="str">
        <f>"4601992250484"</f>
        <v>4601992250484</v>
      </c>
      <c r="B6195" s="1" t="s">
        <v>6218</v>
      </c>
      <c r="C6195" s="1" t="s">
        <v>24</v>
      </c>
      <c r="D6195" s="1" t="str">
        <f t="shared" si="11546"/>
        <v>2021</v>
      </c>
      <c r="E6195" s="1" t="str">
        <f t="shared" ref="E6195:P6195" si="11646">"0"</f>
        <v>0</v>
      </c>
      <c r="F6195" s="1" t="str">
        <f t="shared" si="11646"/>
        <v>0</v>
      </c>
      <c r="G6195" s="1" t="str">
        <f t="shared" si="11646"/>
        <v>0</v>
      </c>
      <c r="H6195" s="1" t="str">
        <f t="shared" si="11646"/>
        <v>0</v>
      </c>
      <c r="I6195" s="1" t="str">
        <f t="shared" si="11646"/>
        <v>0</v>
      </c>
      <c r="J6195" s="1" t="str">
        <f t="shared" si="11646"/>
        <v>0</v>
      </c>
      <c r="K6195" s="1" t="str">
        <f t="shared" si="11646"/>
        <v>0</v>
      </c>
      <c r="L6195" s="1" t="str">
        <f t="shared" si="11646"/>
        <v>0</v>
      </c>
      <c r="M6195" s="1" t="str">
        <f t="shared" si="11646"/>
        <v>0</v>
      </c>
      <c r="N6195" s="1" t="str">
        <f t="shared" si="11646"/>
        <v>0</v>
      </c>
      <c r="O6195" s="1" t="str">
        <f t="shared" si="11646"/>
        <v>0</v>
      </c>
      <c r="P6195" s="1" t="str">
        <f t="shared" si="11646"/>
        <v>0</v>
      </c>
      <c r="Q6195" s="1" t="str">
        <f t="shared" si="11549"/>
        <v>0.0070</v>
      </c>
      <c r="R6195" s="1" t="s">
        <v>25</v>
      </c>
      <c r="T6195" s="1" t="str">
        <f t="shared" si="11550"/>
        <v>0</v>
      </c>
      <c r="U6195" s="1" t="str">
        <f t="shared" si="11612"/>
        <v>0.0070</v>
      </c>
    </row>
    <row r="6196" s="1" customFormat="1" spans="1:21">
      <c r="A6196" s="1" t="str">
        <f>"4601992250668"</f>
        <v>4601992250668</v>
      </c>
      <c r="B6196" s="1" t="s">
        <v>6219</v>
      </c>
      <c r="C6196" s="1" t="s">
        <v>24</v>
      </c>
      <c r="D6196" s="1" t="str">
        <f t="shared" si="11546"/>
        <v>2021</v>
      </c>
      <c r="E6196" s="1" t="str">
        <f t="shared" ref="E6196:P6196" si="11647">"0"</f>
        <v>0</v>
      </c>
      <c r="F6196" s="1" t="str">
        <f t="shared" si="11647"/>
        <v>0</v>
      </c>
      <c r="G6196" s="1" t="str">
        <f t="shared" si="11647"/>
        <v>0</v>
      </c>
      <c r="H6196" s="1" t="str">
        <f t="shared" si="11647"/>
        <v>0</v>
      </c>
      <c r="I6196" s="1" t="str">
        <f t="shared" si="11647"/>
        <v>0</v>
      </c>
      <c r="J6196" s="1" t="str">
        <f t="shared" si="11647"/>
        <v>0</v>
      </c>
      <c r="K6196" s="1" t="str">
        <f t="shared" si="11647"/>
        <v>0</v>
      </c>
      <c r="L6196" s="1" t="str">
        <f t="shared" si="11647"/>
        <v>0</v>
      </c>
      <c r="M6196" s="1" t="str">
        <f t="shared" si="11647"/>
        <v>0</v>
      </c>
      <c r="N6196" s="1" t="str">
        <f t="shared" si="11647"/>
        <v>0</v>
      </c>
      <c r="O6196" s="1" t="str">
        <f t="shared" si="11647"/>
        <v>0</v>
      </c>
      <c r="P6196" s="1" t="str">
        <f t="shared" si="11647"/>
        <v>0</v>
      </c>
      <c r="Q6196" s="1" t="str">
        <f t="shared" si="11549"/>
        <v>0.0070</v>
      </c>
      <c r="R6196" s="1" t="s">
        <v>25</v>
      </c>
      <c r="T6196" s="1" t="str">
        <f t="shared" si="11550"/>
        <v>0</v>
      </c>
      <c r="U6196" s="1" t="str">
        <f t="shared" si="11612"/>
        <v>0.0070</v>
      </c>
    </row>
    <row r="6197" s="1" customFormat="1" spans="1:21">
      <c r="A6197" s="1" t="str">
        <f>"4601992250936"</f>
        <v>4601992250936</v>
      </c>
      <c r="B6197" s="1" t="s">
        <v>6220</v>
      </c>
      <c r="C6197" s="1" t="s">
        <v>24</v>
      </c>
      <c r="D6197" s="1" t="str">
        <f t="shared" si="11546"/>
        <v>2021</v>
      </c>
      <c r="E6197" s="1" t="str">
        <f t="shared" ref="E6197:P6197" si="11648">"0"</f>
        <v>0</v>
      </c>
      <c r="F6197" s="1" t="str">
        <f t="shared" si="11648"/>
        <v>0</v>
      </c>
      <c r="G6197" s="1" t="str">
        <f t="shared" si="11648"/>
        <v>0</v>
      </c>
      <c r="H6197" s="1" t="str">
        <f t="shared" si="11648"/>
        <v>0</v>
      </c>
      <c r="I6197" s="1" t="str">
        <f t="shared" si="11648"/>
        <v>0</v>
      </c>
      <c r="J6197" s="1" t="str">
        <f t="shared" si="11648"/>
        <v>0</v>
      </c>
      <c r="K6197" s="1" t="str">
        <f t="shared" si="11648"/>
        <v>0</v>
      </c>
      <c r="L6197" s="1" t="str">
        <f t="shared" si="11648"/>
        <v>0</v>
      </c>
      <c r="M6197" s="1" t="str">
        <f t="shared" si="11648"/>
        <v>0</v>
      </c>
      <c r="N6197" s="1" t="str">
        <f t="shared" si="11648"/>
        <v>0</v>
      </c>
      <c r="O6197" s="1" t="str">
        <f t="shared" si="11648"/>
        <v>0</v>
      </c>
      <c r="P6197" s="1" t="str">
        <f t="shared" si="11648"/>
        <v>0</v>
      </c>
      <c r="Q6197" s="1" t="str">
        <f t="shared" si="11549"/>
        <v>0.0070</v>
      </c>
      <c r="R6197" s="1" t="s">
        <v>25</v>
      </c>
      <c r="T6197" s="1" t="str">
        <f t="shared" si="11550"/>
        <v>0</v>
      </c>
      <c r="U6197" s="1" t="str">
        <f t="shared" si="11612"/>
        <v>0.0070</v>
      </c>
    </row>
    <row r="6198" s="1" customFormat="1" spans="1:21">
      <c r="A6198" s="1" t="str">
        <f>"4601992251364"</f>
        <v>4601992251364</v>
      </c>
      <c r="B6198" s="1" t="s">
        <v>6221</v>
      </c>
      <c r="C6198" s="1" t="s">
        <v>24</v>
      </c>
      <c r="D6198" s="1" t="str">
        <f t="shared" si="11546"/>
        <v>2021</v>
      </c>
      <c r="E6198" s="1" t="str">
        <f t="shared" ref="E6198:P6198" si="11649">"0"</f>
        <v>0</v>
      </c>
      <c r="F6198" s="1" t="str">
        <f t="shared" si="11649"/>
        <v>0</v>
      </c>
      <c r="G6198" s="1" t="str">
        <f t="shared" si="11649"/>
        <v>0</v>
      </c>
      <c r="H6198" s="1" t="str">
        <f t="shared" si="11649"/>
        <v>0</v>
      </c>
      <c r="I6198" s="1" t="str">
        <f t="shared" si="11649"/>
        <v>0</v>
      </c>
      <c r="J6198" s="1" t="str">
        <f t="shared" si="11649"/>
        <v>0</v>
      </c>
      <c r="K6198" s="1" t="str">
        <f t="shared" si="11649"/>
        <v>0</v>
      </c>
      <c r="L6198" s="1" t="str">
        <f t="shared" si="11649"/>
        <v>0</v>
      </c>
      <c r="M6198" s="1" t="str">
        <f t="shared" si="11649"/>
        <v>0</v>
      </c>
      <c r="N6198" s="1" t="str">
        <f t="shared" si="11649"/>
        <v>0</v>
      </c>
      <c r="O6198" s="1" t="str">
        <f t="shared" si="11649"/>
        <v>0</v>
      </c>
      <c r="P6198" s="1" t="str">
        <f t="shared" si="11649"/>
        <v>0</v>
      </c>
      <c r="Q6198" s="1" t="str">
        <f t="shared" si="11549"/>
        <v>0.0070</v>
      </c>
      <c r="R6198" s="1" t="s">
        <v>25</v>
      </c>
      <c r="T6198" s="1" t="str">
        <f t="shared" si="11550"/>
        <v>0</v>
      </c>
      <c r="U6198" s="1" t="str">
        <f t="shared" si="11612"/>
        <v>0.0070</v>
      </c>
    </row>
    <row r="6199" s="1" customFormat="1" spans="1:21">
      <c r="A6199" s="1" t="str">
        <f>"4601992251596"</f>
        <v>4601992251596</v>
      </c>
      <c r="B6199" s="1" t="s">
        <v>6222</v>
      </c>
      <c r="C6199" s="1" t="s">
        <v>24</v>
      </c>
      <c r="D6199" s="1" t="str">
        <f t="shared" si="11546"/>
        <v>2021</v>
      </c>
      <c r="E6199" s="1" t="str">
        <f t="shared" ref="E6199:P6199" si="11650">"0"</f>
        <v>0</v>
      </c>
      <c r="F6199" s="1" t="str">
        <f t="shared" si="11650"/>
        <v>0</v>
      </c>
      <c r="G6199" s="1" t="str">
        <f t="shared" si="11650"/>
        <v>0</v>
      </c>
      <c r="H6199" s="1" t="str">
        <f t="shared" si="11650"/>
        <v>0</v>
      </c>
      <c r="I6199" s="1" t="str">
        <f t="shared" si="11650"/>
        <v>0</v>
      </c>
      <c r="J6199" s="1" t="str">
        <f t="shared" si="11650"/>
        <v>0</v>
      </c>
      <c r="K6199" s="1" t="str">
        <f t="shared" si="11650"/>
        <v>0</v>
      </c>
      <c r="L6199" s="1" t="str">
        <f t="shared" si="11650"/>
        <v>0</v>
      </c>
      <c r="M6199" s="1" t="str">
        <f t="shared" si="11650"/>
        <v>0</v>
      </c>
      <c r="N6199" s="1" t="str">
        <f t="shared" si="11650"/>
        <v>0</v>
      </c>
      <c r="O6199" s="1" t="str">
        <f t="shared" si="11650"/>
        <v>0</v>
      </c>
      <c r="P6199" s="1" t="str">
        <f t="shared" si="11650"/>
        <v>0</v>
      </c>
      <c r="Q6199" s="1" t="str">
        <f t="shared" si="11549"/>
        <v>0.0070</v>
      </c>
      <c r="R6199" s="1" t="s">
        <v>25</v>
      </c>
      <c r="T6199" s="1" t="str">
        <f t="shared" si="11550"/>
        <v>0</v>
      </c>
      <c r="U6199" s="1" t="str">
        <f t="shared" si="11612"/>
        <v>0.0070</v>
      </c>
    </row>
    <row r="6200" s="1" customFormat="1" spans="1:21">
      <c r="A6200" s="1" t="str">
        <f>"4601992251679"</f>
        <v>4601992251679</v>
      </c>
      <c r="B6200" s="1" t="s">
        <v>6223</v>
      </c>
      <c r="C6200" s="1" t="s">
        <v>24</v>
      </c>
      <c r="D6200" s="1" t="str">
        <f t="shared" si="11546"/>
        <v>2021</v>
      </c>
      <c r="E6200" s="1" t="str">
        <f t="shared" ref="E6200:P6200" si="11651">"0"</f>
        <v>0</v>
      </c>
      <c r="F6200" s="1" t="str">
        <f t="shared" si="11651"/>
        <v>0</v>
      </c>
      <c r="G6200" s="1" t="str">
        <f t="shared" si="11651"/>
        <v>0</v>
      </c>
      <c r="H6200" s="1" t="str">
        <f t="shared" si="11651"/>
        <v>0</v>
      </c>
      <c r="I6200" s="1" t="str">
        <f t="shared" si="11651"/>
        <v>0</v>
      </c>
      <c r="J6200" s="1" t="str">
        <f t="shared" si="11651"/>
        <v>0</v>
      </c>
      <c r="K6200" s="1" t="str">
        <f t="shared" si="11651"/>
        <v>0</v>
      </c>
      <c r="L6200" s="1" t="str">
        <f t="shared" si="11651"/>
        <v>0</v>
      </c>
      <c r="M6200" s="1" t="str">
        <f t="shared" si="11651"/>
        <v>0</v>
      </c>
      <c r="N6200" s="1" t="str">
        <f t="shared" si="11651"/>
        <v>0</v>
      </c>
      <c r="O6200" s="1" t="str">
        <f t="shared" si="11651"/>
        <v>0</v>
      </c>
      <c r="P6200" s="1" t="str">
        <f t="shared" si="11651"/>
        <v>0</v>
      </c>
      <c r="Q6200" s="1" t="str">
        <f t="shared" si="11549"/>
        <v>0.0070</v>
      </c>
      <c r="R6200" s="1" t="s">
        <v>25</v>
      </c>
      <c r="T6200" s="1" t="str">
        <f t="shared" si="11550"/>
        <v>0</v>
      </c>
      <c r="U6200" s="1" t="str">
        <f t="shared" si="11612"/>
        <v>0.0070</v>
      </c>
    </row>
    <row r="6201" s="1" customFormat="1" spans="1:21">
      <c r="A6201" s="1" t="str">
        <f>"4601992251788"</f>
        <v>4601992251788</v>
      </c>
      <c r="B6201" s="1" t="s">
        <v>6224</v>
      </c>
      <c r="C6201" s="1" t="s">
        <v>24</v>
      </c>
      <c r="D6201" s="1" t="str">
        <f t="shared" si="11546"/>
        <v>2021</v>
      </c>
      <c r="E6201" s="1" t="str">
        <f t="shared" ref="E6201:P6201" si="11652">"0"</f>
        <v>0</v>
      </c>
      <c r="F6201" s="1" t="str">
        <f t="shared" si="11652"/>
        <v>0</v>
      </c>
      <c r="G6201" s="1" t="str">
        <f t="shared" si="11652"/>
        <v>0</v>
      </c>
      <c r="H6201" s="1" t="str">
        <f t="shared" si="11652"/>
        <v>0</v>
      </c>
      <c r="I6201" s="1" t="str">
        <f t="shared" si="11652"/>
        <v>0</v>
      </c>
      <c r="J6201" s="1" t="str">
        <f t="shared" si="11652"/>
        <v>0</v>
      </c>
      <c r="K6201" s="1" t="str">
        <f t="shared" si="11652"/>
        <v>0</v>
      </c>
      <c r="L6201" s="1" t="str">
        <f t="shared" si="11652"/>
        <v>0</v>
      </c>
      <c r="M6201" s="1" t="str">
        <f t="shared" si="11652"/>
        <v>0</v>
      </c>
      <c r="N6201" s="1" t="str">
        <f t="shared" si="11652"/>
        <v>0</v>
      </c>
      <c r="O6201" s="1" t="str">
        <f t="shared" si="11652"/>
        <v>0</v>
      </c>
      <c r="P6201" s="1" t="str">
        <f t="shared" si="11652"/>
        <v>0</v>
      </c>
      <c r="Q6201" s="1" t="str">
        <f t="shared" si="11549"/>
        <v>0.0070</v>
      </c>
      <c r="R6201" s="1" t="s">
        <v>25</v>
      </c>
      <c r="T6201" s="1" t="str">
        <f t="shared" si="11550"/>
        <v>0</v>
      </c>
      <c r="U6201" s="1" t="str">
        <f t="shared" si="11612"/>
        <v>0.0070</v>
      </c>
    </row>
    <row r="6202" s="1" customFormat="1" spans="1:21">
      <c r="A6202" s="1" t="str">
        <f>"4601992251789"</f>
        <v>4601992251789</v>
      </c>
      <c r="B6202" s="1" t="s">
        <v>6225</v>
      </c>
      <c r="C6202" s="1" t="s">
        <v>24</v>
      </c>
      <c r="D6202" s="1" t="str">
        <f t="shared" si="11546"/>
        <v>2021</v>
      </c>
      <c r="E6202" s="1" t="str">
        <f t="shared" ref="E6202:P6202" si="11653">"0"</f>
        <v>0</v>
      </c>
      <c r="F6202" s="1" t="str">
        <f t="shared" si="11653"/>
        <v>0</v>
      </c>
      <c r="G6202" s="1" t="str">
        <f t="shared" si="11653"/>
        <v>0</v>
      </c>
      <c r="H6202" s="1" t="str">
        <f t="shared" si="11653"/>
        <v>0</v>
      </c>
      <c r="I6202" s="1" t="str">
        <f t="shared" si="11653"/>
        <v>0</v>
      </c>
      <c r="J6202" s="1" t="str">
        <f t="shared" si="11653"/>
        <v>0</v>
      </c>
      <c r="K6202" s="1" t="str">
        <f t="shared" si="11653"/>
        <v>0</v>
      </c>
      <c r="L6202" s="1" t="str">
        <f t="shared" si="11653"/>
        <v>0</v>
      </c>
      <c r="M6202" s="1" t="str">
        <f t="shared" si="11653"/>
        <v>0</v>
      </c>
      <c r="N6202" s="1" t="str">
        <f t="shared" si="11653"/>
        <v>0</v>
      </c>
      <c r="O6202" s="1" t="str">
        <f t="shared" si="11653"/>
        <v>0</v>
      </c>
      <c r="P6202" s="1" t="str">
        <f t="shared" si="11653"/>
        <v>0</v>
      </c>
      <c r="Q6202" s="1" t="str">
        <f t="shared" si="11549"/>
        <v>0.0070</v>
      </c>
      <c r="R6202" s="1" t="s">
        <v>25</v>
      </c>
      <c r="T6202" s="1" t="str">
        <f t="shared" si="11550"/>
        <v>0</v>
      </c>
      <c r="U6202" s="1" t="str">
        <f t="shared" si="11612"/>
        <v>0.0070</v>
      </c>
    </row>
    <row r="6203" s="1" customFormat="1" spans="1:21">
      <c r="A6203" s="1" t="str">
        <f>"4601992251850"</f>
        <v>4601992251850</v>
      </c>
      <c r="B6203" s="1" t="s">
        <v>6226</v>
      </c>
      <c r="C6203" s="1" t="s">
        <v>24</v>
      </c>
      <c r="D6203" s="1" t="str">
        <f t="shared" si="11546"/>
        <v>2021</v>
      </c>
      <c r="E6203" s="1" t="str">
        <f t="shared" ref="E6203:P6203" si="11654">"0"</f>
        <v>0</v>
      </c>
      <c r="F6203" s="1" t="str">
        <f t="shared" si="11654"/>
        <v>0</v>
      </c>
      <c r="G6203" s="1" t="str">
        <f t="shared" si="11654"/>
        <v>0</v>
      </c>
      <c r="H6203" s="1" t="str">
        <f t="shared" si="11654"/>
        <v>0</v>
      </c>
      <c r="I6203" s="1" t="str">
        <f t="shared" si="11654"/>
        <v>0</v>
      </c>
      <c r="J6203" s="1" t="str">
        <f t="shared" si="11654"/>
        <v>0</v>
      </c>
      <c r="K6203" s="1" t="str">
        <f t="shared" si="11654"/>
        <v>0</v>
      </c>
      <c r="L6203" s="1" t="str">
        <f t="shared" si="11654"/>
        <v>0</v>
      </c>
      <c r="M6203" s="1" t="str">
        <f t="shared" si="11654"/>
        <v>0</v>
      </c>
      <c r="N6203" s="1" t="str">
        <f t="shared" si="11654"/>
        <v>0</v>
      </c>
      <c r="O6203" s="1" t="str">
        <f t="shared" si="11654"/>
        <v>0</v>
      </c>
      <c r="P6203" s="1" t="str">
        <f t="shared" si="11654"/>
        <v>0</v>
      </c>
      <c r="Q6203" s="1" t="str">
        <f t="shared" si="11549"/>
        <v>0.0070</v>
      </c>
      <c r="R6203" s="1" t="s">
        <v>25</v>
      </c>
      <c r="T6203" s="1" t="str">
        <f t="shared" si="11550"/>
        <v>0</v>
      </c>
      <c r="U6203" s="1" t="str">
        <f t="shared" si="11612"/>
        <v>0.0070</v>
      </c>
    </row>
    <row r="6204" s="1" customFormat="1" spans="1:21">
      <c r="A6204" s="1" t="str">
        <f>"4601992251945"</f>
        <v>4601992251945</v>
      </c>
      <c r="B6204" s="1" t="s">
        <v>6227</v>
      </c>
      <c r="C6204" s="1" t="s">
        <v>24</v>
      </c>
      <c r="D6204" s="1" t="str">
        <f t="shared" si="11546"/>
        <v>2021</v>
      </c>
      <c r="E6204" s="1" t="str">
        <f t="shared" ref="E6204:P6204" si="11655">"0"</f>
        <v>0</v>
      </c>
      <c r="F6204" s="1" t="str">
        <f t="shared" si="11655"/>
        <v>0</v>
      </c>
      <c r="G6204" s="1" t="str">
        <f t="shared" si="11655"/>
        <v>0</v>
      </c>
      <c r="H6204" s="1" t="str">
        <f t="shared" si="11655"/>
        <v>0</v>
      </c>
      <c r="I6204" s="1" t="str">
        <f t="shared" si="11655"/>
        <v>0</v>
      </c>
      <c r="J6204" s="1" t="str">
        <f t="shared" si="11655"/>
        <v>0</v>
      </c>
      <c r="K6204" s="1" t="str">
        <f t="shared" si="11655"/>
        <v>0</v>
      </c>
      <c r="L6204" s="1" t="str">
        <f t="shared" si="11655"/>
        <v>0</v>
      </c>
      <c r="M6204" s="1" t="str">
        <f t="shared" si="11655"/>
        <v>0</v>
      </c>
      <c r="N6204" s="1" t="str">
        <f t="shared" si="11655"/>
        <v>0</v>
      </c>
      <c r="O6204" s="1" t="str">
        <f t="shared" si="11655"/>
        <v>0</v>
      </c>
      <c r="P6204" s="1" t="str">
        <f t="shared" si="11655"/>
        <v>0</v>
      </c>
      <c r="Q6204" s="1" t="str">
        <f t="shared" si="11549"/>
        <v>0.0070</v>
      </c>
      <c r="R6204" s="1" t="s">
        <v>25</v>
      </c>
      <c r="T6204" s="1" t="str">
        <f t="shared" si="11550"/>
        <v>0</v>
      </c>
      <c r="U6204" s="1" t="str">
        <f t="shared" si="11612"/>
        <v>0.0070</v>
      </c>
    </row>
    <row r="6205" s="1" customFormat="1" spans="1:21">
      <c r="A6205" s="1" t="str">
        <f>"4601992252218"</f>
        <v>4601992252218</v>
      </c>
      <c r="B6205" s="1" t="s">
        <v>6228</v>
      </c>
      <c r="C6205" s="1" t="s">
        <v>24</v>
      </c>
      <c r="D6205" s="1" t="str">
        <f t="shared" si="11546"/>
        <v>2021</v>
      </c>
      <c r="E6205" s="1" t="str">
        <f t="shared" ref="E6205:P6205" si="11656">"0"</f>
        <v>0</v>
      </c>
      <c r="F6205" s="1" t="str">
        <f t="shared" si="11656"/>
        <v>0</v>
      </c>
      <c r="G6205" s="1" t="str">
        <f t="shared" si="11656"/>
        <v>0</v>
      </c>
      <c r="H6205" s="1" t="str">
        <f t="shared" si="11656"/>
        <v>0</v>
      </c>
      <c r="I6205" s="1" t="str">
        <f t="shared" si="11656"/>
        <v>0</v>
      </c>
      <c r="J6205" s="1" t="str">
        <f t="shared" si="11656"/>
        <v>0</v>
      </c>
      <c r="K6205" s="1" t="str">
        <f t="shared" si="11656"/>
        <v>0</v>
      </c>
      <c r="L6205" s="1" t="str">
        <f t="shared" si="11656"/>
        <v>0</v>
      </c>
      <c r="M6205" s="1" t="str">
        <f t="shared" si="11656"/>
        <v>0</v>
      </c>
      <c r="N6205" s="1" t="str">
        <f t="shared" si="11656"/>
        <v>0</v>
      </c>
      <c r="O6205" s="1" t="str">
        <f t="shared" si="11656"/>
        <v>0</v>
      </c>
      <c r="P6205" s="1" t="str">
        <f t="shared" si="11656"/>
        <v>0</v>
      </c>
      <c r="Q6205" s="1" t="str">
        <f t="shared" si="11549"/>
        <v>0.0070</v>
      </c>
      <c r="R6205" s="1" t="s">
        <v>25</v>
      </c>
      <c r="T6205" s="1" t="str">
        <f t="shared" si="11550"/>
        <v>0</v>
      </c>
      <c r="U6205" s="1" t="str">
        <f t="shared" si="11612"/>
        <v>0.0070</v>
      </c>
    </row>
    <row r="6206" s="1" customFormat="1" spans="1:21">
      <c r="A6206" s="1" t="str">
        <f>"4601992252331"</f>
        <v>4601992252331</v>
      </c>
      <c r="B6206" s="1" t="s">
        <v>6229</v>
      </c>
      <c r="C6206" s="1" t="s">
        <v>24</v>
      </c>
      <c r="D6206" s="1" t="str">
        <f t="shared" si="11546"/>
        <v>2021</v>
      </c>
      <c r="E6206" s="1" t="str">
        <f t="shared" ref="E6206:P6206" si="11657">"0"</f>
        <v>0</v>
      </c>
      <c r="F6206" s="1" t="str">
        <f t="shared" si="11657"/>
        <v>0</v>
      </c>
      <c r="G6206" s="1" t="str">
        <f t="shared" si="11657"/>
        <v>0</v>
      </c>
      <c r="H6206" s="1" t="str">
        <f t="shared" si="11657"/>
        <v>0</v>
      </c>
      <c r="I6206" s="1" t="str">
        <f t="shared" si="11657"/>
        <v>0</v>
      </c>
      <c r="J6206" s="1" t="str">
        <f t="shared" si="11657"/>
        <v>0</v>
      </c>
      <c r="K6206" s="1" t="str">
        <f t="shared" si="11657"/>
        <v>0</v>
      </c>
      <c r="L6206" s="1" t="str">
        <f t="shared" si="11657"/>
        <v>0</v>
      </c>
      <c r="M6206" s="1" t="str">
        <f t="shared" si="11657"/>
        <v>0</v>
      </c>
      <c r="N6206" s="1" t="str">
        <f t="shared" si="11657"/>
        <v>0</v>
      </c>
      <c r="O6206" s="1" t="str">
        <f t="shared" si="11657"/>
        <v>0</v>
      </c>
      <c r="P6206" s="1" t="str">
        <f t="shared" si="11657"/>
        <v>0</v>
      </c>
      <c r="Q6206" s="1" t="str">
        <f t="shared" si="11549"/>
        <v>0.0070</v>
      </c>
      <c r="R6206" s="1" t="s">
        <v>25</v>
      </c>
      <c r="T6206" s="1" t="str">
        <f t="shared" si="11550"/>
        <v>0</v>
      </c>
      <c r="U6206" s="1" t="str">
        <f t="shared" si="11612"/>
        <v>0.0070</v>
      </c>
    </row>
    <row r="6207" s="1" customFormat="1" spans="1:21">
      <c r="A6207" s="1" t="str">
        <f>"4601992252392"</f>
        <v>4601992252392</v>
      </c>
      <c r="B6207" s="1" t="s">
        <v>6230</v>
      </c>
      <c r="C6207" s="1" t="s">
        <v>24</v>
      </c>
      <c r="D6207" s="1" t="str">
        <f t="shared" si="11546"/>
        <v>2021</v>
      </c>
      <c r="E6207" s="1" t="str">
        <f t="shared" ref="E6207:P6207" si="11658">"0"</f>
        <v>0</v>
      </c>
      <c r="F6207" s="1" t="str">
        <f t="shared" si="11658"/>
        <v>0</v>
      </c>
      <c r="G6207" s="1" t="str">
        <f t="shared" si="11658"/>
        <v>0</v>
      </c>
      <c r="H6207" s="1" t="str">
        <f t="shared" si="11658"/>
        <v>0</v>
      </c>
      <c r="I6207" s="1" t="str">
        <f t="shared" si="11658"/>
        <v>0</v>
      </c>
      <c r="J6207" s="1" t="str">
        <f t="shared" si="11658"/>
        <v>0</v>
      </c>
      <c r="K6207" s="1" t="str">
        <f t="shared" si="11658"/>
        <v>0</v>
      </c>
      <c r="L6207" s="1" t="str">
        <f t="shared" si="11658"/>
        <v>0</v>
      </c>
      <c r="M6207" s="1" t="str">
        <f t="shared" si="11658"/>
        <v>0</v>
      </c>
      <c r="N6207" s="1" t="str">
        <f t="shared" si="11658"/>
        <v>0</v>
      </c>
      <c r="O6207" s="1" t="str">
        <f t="shared" si="11658"/>
        <v>0</v>
      </c>
      <c r="P6207" s="1" t="str">
        <f t="shared" si="11658"/>
        <v>0</v>
      </c>
      <c r="Q6207" s="1" t="str">
        <f t="shared" si="11549"/>
        <v>0.0070</v>
      </c>
      <c r="R6207" s="1" t="s">
        <v>25</v>
      </c>
      <c r="T6207" s="1" t="str">
        <f t="shared" si="11550"/>
        <v>0</v>
      </c>
      <c r="U6207" s="1" t="str">
        <f t="shared" si="11612"/>
        <v>0.0070</v>
      </c>
    </row>
    <row r="6208" s="1" customFormat="1" spans="1:21">
      <c r="A6208" s="1" t="str">
        <f>"4601992252415"</f>
        <v>4601992252415</v>
      </c>
      <c r="B6208" s="1" t="s">
        <v>6231</v>
      </c>
      <c r="C6208" s="1" t="s">
        <v>24</v>
      </c>
      <c r="D6208" s="1" t="str">
        <f t="shared" si="11546"/>
        <v>2021</v>
      </c>
      <c r="E6208" s="1" t="str">
        <f t="shared" ref="E6208:P6208" si="11659">"0"</f>
        <v>0</v>
      </c>
      <c r="F6208" s="1" t="str">
        <f t="shared" si="11659"/>
        <v>0</v>
      </c>
      <c r="G6208" s="1" t="str">
        <f t="shared" si="11659"/>
        <v>0</v>
      </c>
      <c r="H6208" s="1" t="str">
        <f t="shared" si="11659"/>
        <v>0</v>
      </c>
      <c r="I6208" s="1" t="str">
        <f t="shared" si="11659"/>
        <v>0</v>
      </c>
      <c r="J6208" s="1" t="str">
        <f t="shared" si="11659"/>
        <v>0</v>
      </c>
      <c r="K6208" s="1" t="str">
        <f t="shared" si="11659"/>
        <v>0</v>
      </c>
      <c r="L6208" s="1" t="str">
        <f t="shared" si="11659"/>
        <v>0</v>
      </c>
      <c r="M6208" s="1" t="str">
        <f t="shared" si="11659"/>
        <v>0</v>
      </c>
      <c r="N6208" s="1" t="str">
        <f t="shared" si="11659"/>
        <v>0</v>
      </c>
      <c r="O6208" s="1" t="str">
        <f t="shared" si="11659"/>
        <v>0</v>
      </c>
      <c r="P6208" s="1" t="str">
        <f t="shared" si="11659"/>
        <v>0</v>
      </c>
      <c r="Q6208" s="1" t="str">
        <f t="shared" si="11549"/>
        <v>0.0070</v>
      </c>
      <c r="R6208" s="1" t="s">
        <v>25</v>
      </c>
      <c r="T6208" s="1" t="str">
        <f t="shared" si="11550"/>
        <v>0</v>
      </c>
      <c r="U6208" s="1" t="str">
        <f t="shared" si="11612"/>
        <v>0.0070</v>
      </c>
    </row>
    <row r="6209" s="1" customFormat="1" spans="1:21">
      <c r="A6209" s="1" t="str">
        <f>"4601992252489"</f>
        <v>4601992252489</v>
      </c>
      <c r="B6209" s="1" t="s">
        <v>6232</v>
      </c>
      <c r="C6209" s="1" t="s">
        <v>24</v>
      </c>
      <c r="D6209" s="1" t="str">
        <f t="shared" si="11546"/>
        <v>2021</v>
      </c>
      <c r="E6209" s="1" t="str">
        <f t="shared" ref="E6209:P6209" si="11660">"0"</f>
        <v>0</v>
      </c>
      <c r="F6209" s="1" t="str">
        <f t="shared" si="11660"/>
        <v>0</v>
      </c>
      <c r="G6209" s="1" t="str">
        <f t="shared" si="11660"/>
        <v>0</v>
      </c>
      <c r="H6209" s="1" t="str">
        <f t="shared" si="11660"/>
        <v>0</v>
      </c>
      <c r="I6209" s="1" t="str">
        <f t="shared" si="11660"/>
        <v>0</v>
      </c>
      <c r="J6209" s="1" t="str">
        <f t="shared" si="11660"/>
        <v>0</v>
      </c>
      <c r="K6209" s="1" t="str">
        <f t="shared" si="11660"/>
        <v>0</v>
      </c>
      <c r="L6209" s="1" t="str">
        <f t="shared" si="11660"/>
        <v>0</v>
      </c>
      <c r="M6209" s="1" t="str">
        <f t="shared" si="11660"/>
        <v>0</v>
      </c>
      <c r="N6209" s="1" t="str">
        <f t="shared" si="11660"/>
        <v>0</v>
      </c>
      <c r="O6209" s="1" t="str">
        <f t="shared" si="11660"/>
        <v>0</v>
      </c>
      <c r="P6209" s="1" t="str">
        <f t="shared" si="11660"/>
        <v>0</v>
      </c>
      <c r="Q6209" s="1" t="str">
        <f t="shared" si="11549"/>
        <v>0.0070</v>
      </c>
      <c r="R6209" s="1" t="s">
        <v>25</v>
      </c>
      <c r="T6209" s="1" t="str">
        <f t="shared" si="11550"/>
        <v>0</v>
      </c>
      <c r="U6209" s="1" t="str">
        <f t="shared" si="11612"/>
        <v>0.0070</v>
      </c>
    </row>
    <row r="6210" s="1" customFormat="1" spans="1:21">
      <c r="A6210" s="1" t="str">
        <f>"4601992252487"</f>
        <v>4601992252487</v>
      </c>
      <c r="B6210" s="1" t="s">
        <v>6233</v>
      </c>
      <c r="C6210" s="1" t="s">
        <v>24</v>
      </c>
      <c r="D6210" s="1" t="str">
        <f t="shared" si="11546"/>
        <v>2021</v>
      </c>
      <c r="E6210" s="1" t="str">
        <f t="shared" ref="E6210:I6210" si="11661">"0"</f>
        <v>0</v>
      </c>
      <c r="F6210" s="1" t="str">
        <f t="shared" si="11661"/>
        <v>0</v>
      </c>
      <c r="G6210" s="1" t="str">
        <f t="shared" si="11661"/>
        <v>0</v>
      </c>
      <c r="H6210" s="1" t="str">
        <f t="shared" si="11661"/>
        <v>0</v>
      </c>
      <c r="I6210" s="1" t="str">
        <f t="shared" si="11661"/>
        <v>0</v>
      </c>
      <c r="J6210" s="1" t="str">
        <f>"1"</f>
        <v>1</v>
      </c>
      <c r="K6210" s="1" t="str">
        <f t="shared" ref="K6210:P6210" si="11662">"0"</f>
        <v>0</v>
      </c>
      <c r="L6210" s="1" t="str">
        <f t="shared" si="11662"/>
        <v>0</v>
      </c>
      <c r="M6210" s="1" t="str">
        <f t="shared" si="11662"/>
        <v>0</v>
      </c>
      <c r="N6210" s="1" t="str">
        <f t="shared" si="11662"/>
        <v>0</v>
      </c>
      <c r="O6210" s="1" t="str">
        <f t="shared" si="11662"/>
        <v>0</v>
      </c>
      <c r="P6210" s="1" t="str">
        <f t="shared" si="11662"/>
        <v>0</v>
      </c>
      <c r="Q6210" s="1" t="str">
        <f t="shared" si="11549"/>
        <v>0.0070</v>
      </c>
      <c r="R6210" s="1" t="s">
        <v>25</v>
      </c>
      <c r="T6210" s="1" t="str">
        <f t="shared" si="11550"/>
        <v>0</v>
      </c>
      <c r="U6210" s="1" t="str">
        <f t="shared" si="11612"/>
        <v>0.0070</v>
      </c>
    </row>
    <row r="6211" s="1" customFormat="1" spans="1:21">
      <c r="A6211" s="1" t="str">
        <f>"4601992252500"</f>
        <v>4601992252500</v>
      </c>
      <c r="B6211" s="1" t="s">
        <v>6234</v>
      </c>
      <c r="C6211" s="1" t="s">
        <v>24</v>
      </c>
      <c r="D6211" s="1" t="str">
        <f t="shared" ref="D6211:D6274" si="11663">"2021"</f>
        <v>2021</v>
      </c>
      <c r="E6211" s="1" t="str">
        <f t="shared" ref="E6211:I6211" si="11664">"0"</f>
        <v>0</v>
      </c>
      <c r="F6211" s="1" t="str">
        <f t="shared" si="11664"/>
        <v>0</v>
      </c>
      <c r="G6211" s="1" t="str">
        <f t="shared" si="11664"/>
        <v>0</v>
      </c>
      <c r="H6211" s="1" t="str">
        <f t="shared" si="11664"/>
        <v>0</v>
      </c>
      <c r="I6211" s="1" t="str">
        <f t="shared" si="11664"/>
        <v>0</v>
      </c>
      <c r="J6211" s="1" t="str">
        <f>"1"</f>
        <v>1</v>
      </c>
      <c r="K6211" s="1" t="str">
        <f t="shared" ref="K6211:P6211" si="11665">"0"</f>
        <v>0</v>
      </c>
      <c r="L6211" s="1" t="str">
        <f t="shared" si="11665"/>
        <v>0</v>
      </c>
      <c r="M6211" s="1" t="str">
        <f t="shared" si="11665"/>
        <v>0</v>
      </c>
      <c r="N6211" s="1" t="str">
        <f t="shared" si="11665"/>
        <v>0</v>
      </c>
      <c r="O6211" s="1" t="str">
        <f t="shared" si="11665"/>
        <v>0</v>
      </c>
      <c r="P6211" s="1" t="str">
        <f t="shared" si="11665"/>
        <v>0</v>
      </c>
      <c r="Q6211" s="1" t="str">
        <f t="shared" ref="Q6211:Q6274" si="11666">"0.0070"</f>
        <v>0.0070</v>
      </c>
      <c r="R6211" s="1" t="s">
        <v>25</v>
      </c>
      <c r="T6211" s="1" t="str">
        <f t="shared" ref="T6211:T6274" si="11667">"0"</f>
        <v>0</v>
      </c>
      <c r="U6211" s="1" t="str">
        <f t="shared" si="11612"/>
        <v>0.0070</v>
      </c>
    </row>
    <row r="6212" s="1" customFormat="1" spans="1:21">
      <c r="A6212" s="1" t="str">
        <f>"4601992252507"</f>
        <v>4601992252507</v>
      </c>
      <c r="B6212" s="1" t="s">
        <v>6235</v>
      </c>
      <c r="C6212" s="1" t="s">
        <v>24</v>
      </c>
      <c r="D6212" s="1" t="str">
        <f t="shared" si="11663"/>
        <v>2021</v>
      </c>
      <c r="E6212" s="1" t="str">
        <f t="shared" ref="E6212:I6212" si="11668">"0"</f>
        <v>0</v>
      </c>
      <c r="F6212" s="1" t="str">
        <f t="shared" si="11668"/>
        <v>0</v>
      </c>
      <c r="G6212" s="1" t="str">
        <f t="shared" si="11668"/>
        <v>0</v>
      </c>
      <c r="H6212" s="1" t="str">
        <f t="shared" si="11668"/>
        <v>0</v>
      </c>
      <c r="I6212" s="1" t="str">
        <f t="shared" si="11668"/>
        <v>0</v>
      </c>
      <c r="J6212" s="1" t="str">
        <f>"12"</f>
        <v>12</v>
      </c>
      <c r="K6212" s="1" t="str">
        <f t="shared" ref="K6212:P6212" si="11669">"0"</f>
        <v>0</v>
      </c>
      <c r="L6212" s="1" t="str">
        <f t="shared" si="11669"/>
        <v>0</v>
      </c>
      <c r="M6212" s="1" t="str">
        <f t="shared" si="11669"/>
        <v>0</v>
      </c>
      <c r="N6212" s="1" t="str">
        <f t="shared" si="11669"/>
        <v>0</v>
      </c>
      <c r="O6212" s="1" t="str">
        <f t="shared" si="11669"/>
        <v>0</v>
      </c>
      <c r="P6212" s="1" t="str">
        <f t="shared" si="11669"/>
        <v>0</v>
      </c>
      <c r="Q6212" s="1" t="str">
        <f t="shared" si="11666"/>
        <v>0.0070</v>
      </c>
      <c r="R6212" s="1" t="s">
        <v>25</v>
      </c>
      <c r="T6212" s="1" t="str">
        <f t="shared" si="11667"/>
        <v>0</v>
      </c>
      <c r="U6212" s="1" t="str">
        <f t="shared" si="11612"/>
        <v>0.0070</v>
      </c>
    </row>
    <row r="6213" s="1" customFormat="1" spans="1:21">
      <c r="A6213" s="1" t="str">
        <f>"4601992252792"</f>
        <v>4601992252792</v>
      </c>
      <c r="B6213" s="1" t="s">
        <v>6236</v>
      </c>
      <c r="C6213" s="1" t="s">
        <v>24</v>
      </c>
      <c r="D6213" s="1" t="str">
        <f t="shared" si="11663"/>
        <v>2021</v>
      </c>
      <c r="E6213" s="1" t="str">
        <f t="shared" ref="E6213:P6213" si="11670">"0"</f>
        <v>0</v>
      </c>
      <c r="F6213" s="1" t="str">
        <f t="shared" si="11670"/>
        <v>0</v>
      </c>
      <c r="G6213" s="1" t="str">
        <f t="shared" si="11670"/>
        <v>0</v>
      </c>
      <c r="H6213" s="1" t="str">
        <f t="shared" si="11670"/>
        <v>0</v>
      </c>
      <c r="I6213" s="1" t="str">
        <f t="shared" si="11670"/>
        <v>0</v>
      </c>
      <c r="J6213" s="1" t="str">
        <f t="shared" si="11670"/>
        <v>0</v>
      </c>
      <c r="K6213" s="1" t="str">
        <f t="shared" si="11670"/>
        <v>0</v>
      </c>
      <c r="L6213" s="1" t="str">
        <f t="shared" si="11670"/>
        <v>0</v>
      </c>
      <c r="M6213" s="1" t="str">
        <f t="shared" si="11670"/>
        <v>0</v>
      </c>
      <c r="N6213" s="1" t="str">
        <f t="shared" si="11670"/>
        <v>0</v>
      </c>
      <c r="O6213" s="1" t="str">
        <f t="shared" si="11670"/>
        <v>0</v>
      </c>
      <c r="P6213" s="1" t="str">
        <f t="shared" si="11670"/>
        <v>0</v>
      </c>
      <c r="Q6213" s="1" t="str">
        <f t="shared" si="11666"/>
        <v>0.0070</v>
      </c>
      <c r="R6213" s="1" t="s">
        <v>25</v>
      </c>
      <c r="T6213" s="1" t="str">
        <f t="shared" si="11667"/>
        <v>0</v>
      </c>
      <c r="U6213" s="1" t="str">
        <f t="shared" si="11612"/>
        <v>0.0070</v>
      </c>
    </row>
    <row r="6214" s="1" customFormat="1" spans="1:21">
      <c r="A6214" s="1" t="str">
        <f>"4601992252718"</f>
        <v>4601992252718</v>
      </c>
      <c r="B6214" s="1" t="s">
        <v>6237</v>
      </c>
      <c r="C6214" s="1" t="s">
        <v>24</v>
      </c>
      <c r="D6214" s="1" t="str">
        <f t="shared" si="11663"/>
        <v>2021</v>
      </c>
      <c r="E6214" s="1" t="str">
        <f t="shared" ref="E6214:I6214" si="11671">"0"</f>
        <v>0</v>
      </c>
      <c r="F6214" s="1" t="str">
        <f t="shared" si="11671"/>
        <v>0</v>
      </c>
      <c r="G6214" s="1" t="str">
        <f t="shared" si="11671"/>
        <v>0</v>
      </c>
      <c r="H6214" s="1" t="str">
        <f t="shared" si="11671"/>
        <v>0</v>
      </c>
      <c r="I6214" s="1" t="str">
        <f t="shared" si="11671"/>
        <v>0</v>
      </c>
      <c r="J6214" s="1" t="str">
        <f>"2"</f>
        <v>2</v>
      </c>
      <c r="K6214" s="1" t="str">
        <f t="shared" ref="K6214:P6214" si="11672">"0"</f>
        <v>0</v>
      </c>
      <c r="L6214" s="1" t="str">
        <f t="shared" si="11672"/>
        <v>0</v>
      </c>
      <c r="M6214" s="1" t="str">
        <f t="shared" si="11672"/>
        <v>0</v>
      </c>
      <c r="N6214" s="1" t="str">
        <f t="shared" si="11672"/>
        <v>0</v>
      </c>
      <c r="O6214" s="1" t="str">
        <f t="shared" si="11672"/>
        <v>0</v>
      </c>
      <c r="P6214" s="1" t="str">
        <f t="shared" si="11672"/>
        <v>0</v>
      </c>
      <c r="Q6214" s="1" t="str">
        <f t="shared" si="11666"/>
        <v>0.0070</v>
      </c>
      <c r="R6214" s="1" t="s">
        <v>25</v>
      </c>
      <c r="T6214" s="1" t="str">
        <f t="shared" si="11667"/>
        <v>0</v>
      </c>
      <c r="U6214" s="1" t="str">
        <f t="shared" si="11612"/>
        <v>0.0070</v>
      </c>
    </row>
    <row r="6215" s="1" customFormat="1" spans="1:21">
      <c r="A6215" s="1" t="str">
        <f>"4601992252909"</f>
        <v>4601992252909</v>
      </c>
      <c r="B6215" s="1" t="s">
        <v>6238</v>
      </c>
      <c r="C6215" s="1" t="s">
        <v>24</v>
      </c>
      <c r="D6215" s="1" t="str">
        <f t="shared" si="11663"/>
        <v>2021</v>
      </c>
      <c r="E6215" s="1" t="str">
        <f t="shared" ref="E6215:P6215" si="11673">"0"</f>
        <v>0</v>
      </c>
      <c r="F6215" s="1" t="str">
        <f t="shared" si="11673"/>
        <v>0</v>
      </c>
      <c r="G6215" s="1" t="str">
        <f t="shared" si="11673"/>
        <v>0</v>
      </c>
      <c r="H6215" s="1" t="str">
        <f t="shared" si="11673"/>
        <v>0</v>
      </c>
      <c r="I6215" s="1" t="str">
        <f t="shared" si="11673"/>
        <v>0</v>
      </c>
      <c r="J6215" s="1" t="str">
        <f t="shared" si="11673"/>
        <v>0</v>
      </c>
      <c r="K6215" s="1" t="str">
        <f t="shared" si="11673"/>
        <v>0</v>
      </c>
      <c r="L6215" s="1" t="str">
        <f t="shared" si="11673"/>
        <v>0</v>
      </c>
      <c r="M6215" s="1" t="str">
        <f t="shared" si="11673"/>
        <v>0</v>
      </c>
      <c r="N6215" s="1" t="str">
        <f t="shared" si="11673"/>
        <v>0</v>
      </c>
      <c r="O6215" s="1" t="str">
        <f t="shared" si="11673"/>
        <v>0</v>
      </c>
      <c r="P6215" s="1" t="str">
        <f t="shared" si="11673"/>
        <v>0</v>
      </c>
      <c r="Q6215" s="1" t="str">
        <f t="shared" si="11666"/>
        <v>0.0070</v>
      </c>
      <c r="R6215" s="1" t="s">
        <v>25</v>
      </c>
      <c r="T6215" s="1" t="str">
        <f t="shared" si="11667"/>
        <v>0</v>
      </c>
      <c r="U6215" s="1" t="str">
        <f t="shared" si="11612"/>
        <v>0.0070</v>
      </c>
    </row>
    <row r="6216" s="1" customFormat="1" spans="1:21">
      <c r="A6216" s="1" t="str">
        <f>"4601992252940"</f>
        <v>4601992252940</v>
      </c>
      <c r="B6216" s="1" t="s">
        <v>6239</v>
      </c>
      <c r="C6216" s="1" t="s">
        <v>24</v>
      </c>
      <c r="D6216" s="1" t="str">
        <f t="shared" si="11663"/>
        <v>2021</v>
      </c>
      <c r="E6216" s="1" t="str">
        <f t="shared" ref="E6216:P6216" si="11674">"0"</f>
        <v>0</v>
      </c>
      <c r="F6216" s="1" t="str">
        <f t="shared" si="11674"/>
        <v>0</v>
      </c>
      <c r="G6216" s="1" t="str">
        <f t="shared" si="11674"/>
        <v>0</v>
      </c>
      <c r="H6216" s="1" t="str">
        <f t="shared" si="11674"/>
        <v>0</v>
      </c>
      <c r="I6216" s="1" t="str">
        <f t="shared" si="11674"/>
        <v>0</v>
      </c>
      <c r="J6216" s="1" t="str">
        <f t="shared" si="11674"/>
        <v>0</v>
      </c>
      <c r="K6216" s="1" t="str">
        <f t="shared" si="11674"/>
        <v>0</v>
      </c>
      <c r="L6216" s="1" t="str">
        <f t="shared" si="11674"/>
        <v>0</v>
      </c>
      <c r="M6216" s="1" t="str">
        <f t="shared" si="11674"/>
        <v>0</v>
      </c>
      <c r="N6216" s="1" t="str">
        <f t="shared" si="11674"/>
        <v>0</v>
      </c>
      <c r="O6216" s="1" t="str">
        <f t="shared" si="11674"/>
        <v>0</v>
      </c>
      <c r="P6216" s="1" t="str">
        <f t="shared" si="11674"/>
        <v>0</v>
      </c>
      <c r="Q6216" s="1" t="str">
        <f t="shared" si="11666"/>
        <v>0.0070</v>
      </c>
      <c r="R6216" s="1" t="s">
        <v>25</v>
      </c>
      <c r="T6216" s="1" t="str">
        <f t="shared" si="11667"/>
        <v>0</v>
      </c>
      <c r="U6216" s="1" t="str">
        <f t="shared" si="11612"/>
        <v>0.0070</v>
      </c>
    </row>
    <row r="6217" s="1" customFormat="1" spans="1:21">
      <c r="A6217" s="1" t="str">
        <f>"4601992252849"</f>
        <v>4601992252849</v>
      </c>
      <c r="B6217" s="1" t="s">
        <v>6240</v>
      </c>
      <c r="C6217" s="1" t="s">
        <v>24</v>
      </c>
      <c r="D6217" s="1" t="str">
        <f t="shared" si="11663"/>
        <v>2021</v>
      </c>
      <c r="E6217" s="1" t="str">
        <f t="shared" ref="E6217:I6217" si="11675">"0"</f>
        <v>0</v>
      </c>
      <c r="F6217" s="1" t="str">
        <f t="shared" si="11675"/>
        <v>0</v>
      </c>
      <c r="G6217" s="1" t="str">
        <f t="shared" si="11675"/>
        <v>0</v>
      </c>
      <c r="H6217" s="1" t="str">
        <f t="shared" si="11675"/>
        <v>0</v>
      </c>
      <c r="I6217" s="1" t="str">
        <f t="shared" si="11675"/>
        <v>0</v>
      </c>
      <c r="J6217" s="1" t="str">
        <f>"1"</f>
        <v>1</v>
      </c>
      <c r="K6217" s="1" t="str">
        <f t="shared" ref="K6217:P6217" si="11676">"0"</f>
        <v>0</v>
      </c>
      <c r="L6217" s="1" t="str">
        <f t="shared" si="11676"/>
        <v>0</v>
      </c>
      <c r="M6217" s="1" t="str">
        <f t="shared" si="11676"/>
        <v>0</v>
      </c>
      <c r="N6217" s="1" t="str">
        <f t="shared" si="11676"/>
        <v>0</v>
      </c>
      <c r="O6217" s="1" t="str">
        <f t="shared" si="11676"/>
        <v>0</v>
      </c>
      <c r="P6217" s="1" t="str">
        <f t="shared" si="11676"/>
        <v>0</v>
      </c>
      <c r="Q6217" s="1" t="str">
        <f t="shared" si="11666"/>
        <v>0.0070</v>
      </c>
      <c r="R6217" s="1" t="s">
        <v>25</v>
      </c>
      <c r="T6217" s="1" t="str">
        <f t="shared" si="11667"/>
        <v>0</v>
      </c>
      <c r="U6217" s="1" t="str">
        <f t="shared" si="11612"/>
        <v>0.0070</v>
      </c>
    </row>
    <row r="6218" s="1" customFormat="1" spans="1:21">
      <c r="A6218" s="1" t="str">
        <f>"4601992253054"</f>
        <v>4601992253054</v>
      </c>
      <c r="B6218" s="1" t="s">
        <v>6241</v>
      </c>
      <c r="C6218" s="1" t="s">
        <v>24</v>
      </c>
      <c r="D6218" s="1" t="str">
        <f t="shared" si="11663"/>
        <v>2021</v>
      </c>
      <c r="E6218" s="1" t="str">
        <f t="shared" ref="E6218:P6218" si="11677">"0"</f>
        <v>0</v>
      </c>
      <c r="F6218" s="1" t="str">
        <f t="shared" si="11677"/>
        <v>0</v>
      </c>
      <c r="G6218" s="1" t="str">
        <f t="shared" si="11677"/>
        <v>0</v>
      </c>
      <c r="H6218" s="1" t="str">
        <f t="shared" si="11677"/>
        <v>0</v>
      </c>
      <c r="I6218" s="1" t="str">
        <f t="shared" si="11677"/>
        <v>0</v>
      </c>
      <c r="J6218" s="1" t="str">
        <f t="shared" si="11677"/>
        <v>0</v>
      </c>
      <c r="K6218" s="1" t="str">
        <f t="shared" si="11677"/>
        <v>0</v>
      </c>
      <c r="L6218" s="1" t="str">
        <f t="shared" si="11677"/>
        <v>0</v>
      </c>
      <c r="M6218" s="1" t="str">
        <f t="shared" si="11677"/>
        <v>0</v>
      </c>
      <c r="N6218" s="1" t="str">
        <f t="shared" si="11677"/>
        <v>0</v>
      </c>
      <c r="O6218" s="1" t="str">
        <f t="shared" si="11677"/>
        <v>0</v>
      </c>
      <c r="P6218" s="1" t="str">
        <f t="shared" si="11677"/>
        <v>0</v>
      </c>
      <c r="Q6218" s="1" t="str">
        <f t="shared" si="11666"/>
        <v>0.0070</v>
      </c>
      <c r="R6218" s="1" t="s">
        <v>25</v>
      </c>
      <c r="T6218" s="1" t="str">
        <f t="shared" si="11667"/>
        <v>0</v>
      </c>
      <c r="U6218" s="1" t="str">
        <f t="shared" si="11612"/>
        <v>0.0070</v>
      </c>
    </row>
    <row r="6219" s="1" customFormat="1" spans="1:21">
      <c r="A6219" s="1" t="str">
        <f>"4601992253175"</f>
        <v>4601992253175</v>
      </c>
      <c r="B6219" s="1" t="s">
        <v>6242</v>
      </c>
      <c r="C6219" s="1" t="s">
        <v>24</v>
      </c>
      <c r="D6219" s="1" t="str">
        <f t="shared" si="11663"/>
        <v>2021</v>
      </c>
      <c r="E6219" s="1" t="str">
        <f t="shared" ref="E6219:P6219" si="11678">"0"</f>
        <v>0</v>
      </c>
      <c r="F6219" s="1" t="str">
        <f t="shared" si="11678"/>
        <v>0</v>
      </c>
      <c r="G6219" s="1" t="str">
        <f t="shared" si="11678"/>
        <v>0</v>
      </c>
      <c r="H6219" s="1" t="str">
        <f t="shared" si="11678"/>
        <v>0</v>
      </c>
      <c r="I6219" s="1" t="str">
        <f t="shared" si="11678"/>
        <v>0</v>
      </c>
      <c r="J6219" s="1" t="str">
        <f t="shared" si="11678"/>
        <v>0</v>
      </c>
      <c r="K6219" s="1" t="str">
        <f t="shared" si="11678"/>
        <v>0</v>
      </c>
      <c r="L6219" s="1" t="str">
        <f t="shared" si="11678"/>
        <v>0</v>
      </c>
      <c r="M6219" s="1" t="str">
        <f t="shared" si="11678"/>
        <v>0</v>
      </c>
      <c r="N6219" s="1" t="str">
        <f t="shared" si="11678"/>
        <v>0</v>
      </c>
      <c r="O6219" s="1" t="str">
        <f t="shared" si="11678"/>
        <v>0</v>
      </c>
      <c r="P6219" s="1" t="str">
        <f t="shared" si="11678"/>
        <v>0</v>
      </c>
      <c r="Q6219" s="1" t="str">
        <f t="shared" si="11666"/>
        <v>0.0070</v>
      </c>
      <c r="R6219" s="1" t="s">
        <v>25</v>
      </c>
      <c r="T6219" s="1" t="str">
        <f t="shared" si="11667"/>
        <v>0</v>
      </c>
      <c r="U6219" s="1" t="str">
        <f t="shared" si="11612"/>
        <v>0.0070</v>
      </c>
    </row>
    <row r="6220" s="1" customFormat="1" spans="1:21">
      <c r="A6220" s="1" t="str">
        <f>"4601992253309"</f>
        <v>4601992253309</v>
      </c>
      <c r="B6220" s="1" t="s">
        <v>6243</v>
      </c>
      <c r="C6220" s="1" t="s">
        <v>24</v>
      </c>
      <c r="D6220" s="1" t="str">
        <f t="shared" si="11663"/>
        <v>2021</v>
      </c>
      <c r="E6220" s="1" t="str">
        <f t="shared" ref="E6220:P6220" si="11679">"0"</f>
        <v>0</v>
      </c>
      <c r="F6220" s="1" t="str">
        <f t="shared" si="11679"/>
        <v>0</v>
      </c>
      <c r="G6220" s="1" t="str">
        <f t="shared" si="11679"/>
        <v>0</v>
      </c>
      <c r="H6220" s="1" t="str">
        <f t="shared" si="11679"/>
        <v>0</v>
      </c>
      <c r="I6220" s="1" t="str">
        <f t="shared" si="11679"/>
        <v>0</v>
      </c>
      <c r="J6220" s="1" t="str">
        <f t="shared" si="11679"/>
        <v>0</v>
      </c>
      <c r="K6220" s="1" t="str">
        <f t="shared" si="11679"/>
        <v>0</v>
      </c>
      <c r="L6220" s="1" t="str">
        <f t="shared" si="11679"/>
        <v>0</v>
      </c>
      <c r="M6220" s="1" t="str">
        <f t="shared" si="11679"/>
        <v>0</v>
      </c>
      <c r="N6220" s="1" t="str">
        <f t="shared" si="11679"/>
        <v>0</v>
      </c>
      <c r="O6220" s="1" t="str">
        <f t="shared" si="11679"/>
        <v>0</v>
      </c>
      <c r="P6220" s="1" t="str">
        <f t="shared" si="11679"/>
        <v>0</v>
      </c>
      <c r="Q6220" s="1" t="str">
        <f t="shared" si="11666"/>
        <v>0.0070</v>
      </c>
      <c r="R6220" s="1" t="s">
        <v>25</v>
      </c>
      <c r="T6220" s="1" t="str">
        <f t="shared" si="11667"/>
        <v>0</v>
      </c>
      <c r="U6220" s="1" t="str">
        <f t="shared" si="11612"/>
        <v>0.0070</v>
      </c>
    </row>
    <row r="6221" s="1" customFormat="1" spans="1:21">
      <c r="A6221" s="1" t="str">
        <f>"4601992253411"</f>
        <v>4601992253411</v>
      </c>
      <c r="B6221" s="1" t="s">
        <v>6244</v>
      </c>
      <c r="C6221" s="1" t="s">
        <v>24</v>
      </c>
      <c r="D6221" s="1" t="str">
        <f t="shared" si="11663"/>
        <v>2021</v>
      </c>
      <c r="E6221" s="1" t="str">
        <f t="shared" ref="E6221:P6221" si="11680">"0"</f>
        <v>0</v>
      </c>
      <c r="F6221" s="1" t="str">
        <f t="shared" si="11680"/>
        <v>0</v>
      </c>
      <c r="G6221" s="1" t="str">
        <f t="shared" si="11680"/>
        <v>0</v>
      </c>
      <c r="H6221" s="1" t="str">
        <f t="shared" si="11680"/>
        <v>0</v>
      </c>
      <c r="I6221" s="1" t="str">
        <f t="shared" si="11680"/>
        <v>0</v>
      </c>
      <c r="J6221" s="1" t="str">
        <f t="shared" si="11680"/>
        <v>0</v>
      </c>
      <c r="K6221" s="1" t="str">
        <f t="shared" si="11680"/>
        <v>0</v>
      </c>
      <c r="L6221" s="1" t="str">
        <f t="shared" si="11680"/>
        <v>0</v>
      </c>
      <c r="M6221" s="1" t="str">
        <f t="shared" si="11680"/>
        <v>0</v>
      </c>
      <c r="N6221" s="1" t="str">
        <f t="shared" si="11680"/>
        <v>0</v>
      </c>
      <c r="O6221" s="1" t="str">
        <f t="shared" si="11680"/>
        <v>0</v>
      </c>
      <c r="P6221" s="1" t="str">
        <f t="shared" si="11680"/>
        <v>0</v>
      </c>
      <c r="Q6221" s="1" t="str">
        <f t="shared" si="11666"/>
        <v>0.0070</v>
      </c>
      <c r="R6221" s="1" t="s">
        <v>25</v>
      </c>
      <c r="T6221" s="1" t="str">
        <f t="shared" si="11667"/>
        <v>0</v>
      </c>
      <c r="U6221" s="1" t="str">
        <f t="shared" si="11612"/>
        <v>0.0070</v>
      </c>
    </row>
    <row r="6222" s="1" customFormat="1" spans="1:21">
      <c r="A6222" s="1" t="str">
        <f>"4601992253422"</f>
        <v>4601992253422</v>
      </c>
      <c r="B6222" s="1" t="s">
        <v>6245</v>
      </c>
      <c r="C6222" s="1" t="s">
        <v>24</v>
      </c>
      <c r="D6222" s="1" t="str">
        <f t="shared" si="11663"/>
        <v>2021</v>
      </c>
      <c r="E6222" s="1" t="str">
        <f t="shared" ref="E6222:P6222" si="11681">"0"</f>
        <v>0</v>
      </c>
      <c r="F6222" s="1" t="str">
        <f t="shared" si="11681"/>
        <v>0</v>
      </c>
      <c r="G6222" s="1" t="str">
        <f t="shared" si="11681"/>
        <v>0</v>
      </c>
      <c r="H6222" s="1" t="str">
        <f t="shared" si="11681"/>
        <v>0</v>
      </c>
      <c r="I6222" s="1" t="str">
        <f t="shared" si="11681"/>
        <v>0</v>
      </c>
      <c r="J6222" s="1" t="str">
        <f t="shared" si="11681"/>
        <v>0</v>
      </c>
      <c r="K6222" s="1" t="str">
        <f t="shared" si="11681"/>
        <v>0</v>
      </c>
      <c r="L6222" s="1" t="str">
        <f t="shared" si="11681"/>
        <v>0</v>
      </c>
      <c r="M6222" s="1" t="str">
        <f t="shared" si="11681"/>
        <v>0</v>
      </c>
      <c r="N6222" s="1" t="str">
        <f t="shared" si="11681"/>
        <v>0</v>
      </c>
      <c r="O6222" s="1" t="str">
        <f t="shared" si="11681"/>
        <v>0</v>
      </c>
      <c r="P6222" s="1" t="str">
        <f t="shared" si="11681"/>
        <v>0</v>
      </c>
      <c r="Q6222" s="1" t="str">
        <f t="shared" si="11666"/>
        <v>0.0070</v>
      </c>
      <c r="R6222" s="1" t="s">
        <v>25</v>
      </c>
      <c r="T6222" s="1" t="str">
        <f t="shared" si="11667"/>
        <v>0</v>
      </c>
      <c r="U6222" s="1" t="str">
        <f t="shared" si="11612"/>
        <v>0.0070</v>
      </c>
    </row>
    <row r="6223" s="1" customFormat="1" spans="1:21">
      <c r="A6223" s="1" t="str">
        <f>"4601992253756"</f>
        <v>4601992253756</v>
      </c>
      <c r="B6223" s="1" t="s">
        <v>6246</v>
      </c>
      <c r="C6223" s="1" t="s">
        <v>24</v>
      </c>
      <c r="D6223" s="1" t="str">
        <f t="shared" si="11663"/>
        <v>2021</v>
      </c>
      <c r="E6223" s="1" t="str">
        <f t="shared" ref="E6223:P6223" si="11682">"0"</f>
        <v>0</v>
      </c>
      <c r="F6223" s="1" t="str">
        <f t="shared" si="11682"/>
        <v>0</v>
      </c>
      <c r="G6223" s="1" t="str">
        <f t="shared" si="11682"/>
        <v>0</v>
      </c>
      <c r="H6223" s="1" t="str">
        <f t="shared" si="11682"/>
        <v>0</v>
      </c>
      <c r="I6223" s="1" t="str">
        <f t="shared" si="11682"/>
        <v>0</v>
      </c>
      <c r="J6223" s="1" t="str">
        <f t="shared" si="11682"/>
        <v>0</v>
      </c>
      <c r="K6223" s="1" t="str">
        <f t="shared" si="11682"/>
        <v>0</v>
      </c>
      <c r="L6223" s="1" t="str">
        <f t="shared" si="11682"/>
        <v>0</v>
      </c>
      <c r="M6223" s="1" t="str">
        <f t="shared" si="11682"/>
        <v>0</v>
      </c>
      <c r="N6223" s="1" t="str">
        <f t="shared" si="11682"/>
        <v>0</v>
      </c>
      <c r="O6223" s="1" t="str">
        <f t="shared" si="11682"/>
        <v>0</v>
      </c>
      <c r="P6223" s="1" t="str">
        <f t="shared" si="11682"/>
        <v>0</v>
      </c>
      <c r="Q6223" s="1" t="str">
        <f t="shared" si="11666"/>
        <v>0.0070</v>
      </c>
      <c r="R6223" s="1" t="s">
        <v>25</v>
      </c>
      <c r="T6223" s="1" t="str">
        <f t="shared" si="11667"/>
        <v>0</v>
      </c>
      <c r="U6223" s="1" t="str">
        <f t="shared" si="11612"/>
        <v>0.0070</v>
      </c>
    </row>
    <row r="6224" s="1" customFormat="1" spans="1:21">
      <c r="A6224" s="1" t="str">
        <f>"4601992253663"</f>
        <v>4601992253663</v>
      </c>
      <c r="B6224" s="1" t="s">
        <v>6247</v>
      </c>
      <c r="C6224" s="1" t="s">
        <v>24</v>
      </c>
      <c r="D6224" s="1" t="str">
        <f t="shared" si="11663"/>
        <v>2021</v>
      </c>
      <c r="E6224" s="1" t="str">
        <f t="shared" ref="E6224:I6224" si="11683">"0"</f>
        <v>0</v>
      </c>
      <c r="F6224" s="1" t="str">
        <f t="shared" si="11683"/>
        <v>0</v>
      </c>
      <c r="G6224" s="1" t="str">
        <f t="shared" si="11683"/>
        <v>0</v>
      </c>
      <c r="H6224" s="1" t="str">
        <f t="shared" si="11683"/>
        <v>0</v>
      </c>
      <c r="I6224" s="1" t="str">
        <f t="shared" si="11683"/>
        <v>0</v>
      </c>
      <c r="J6224" s="1" t="str">
        <f>"3"</f>
        <v>3</v>
      </c>
      <c r="K6224" s="1" t="str">
        <f t="shared" ref="K6224:P6224" si="11684">"0"</f>
        <v>0</v>
      </c>
      <c r="L6224" s="1" t="str">
        <f t="shared" si="11684"/>
        <v>0</v>
      </c>
      <c r="M6224" s="1" t="str">
        <f t="shared" si="11684"/>
        <v>0</v>
      </c>
      <c r="N6224" s="1" t="str">
        <f t="shared" si="11684"/>
        <v>0</v>
      </c>
      <c r="O6224" s="1" t="str">
        <f t="shared" si="11684"/>
        <v>0</v>
      </c>
      <c r="P6224" s="1" t="str">
        <f t="shared" si="11684"/>
        <v>0</v>
      </c>
      <c r="Q6224" s="1" t="str">
        <f t="shared" si="11666"/>
        <v>0.0070</v>
      </c>
      <c r="R6224" s="1" t="s">
        <v>25</v>
      </c>
      <c r="T6224" s="1" t="str">
        <f t="shared" si="11667"/>
        <v>0</v>
      </c>
      <c r="U6224" s="1" t="str">
        <f t="shared" si="11612"/>
        <v>0.0070</v>
      </c>
    </row>
    <row r="6225" s="1" customFormat="1" spans="1:21">
      <c r="A6225" s="1" t="str">
        <f>"4601992253716"</f>
        <v>4601992253716</v>
      </c>
      <c r="B6225" s="1" t="s">
        <v>6248</v>
      </c>
      <c r="C6225" s="1" t="s">
        <v>24</v>
      </c>
      <c r="D6225" s="1" t="str">
        <f t="shared" si="11663"/>
        <v>2021</v>
      </c>
      <c r="E6225" s="1" t="str">
        <f t="shared" ref="E6225:P6225" si="11685">"0"</f>
        <v>0</v>
      </c>
      <c r="F6225" s="1" t="str">
        <f t="shared" si="11685"/>
        <v>0</v>
      </c>
      <c r="G6225" s="1" t="str">
        <f t="shared" si="11685"/>
        <v>0</v>
      </c>
      <c r="H6225" s="1" t="str">
        <f t="shared" si="11685"/>
        <v>0</v>
      </c>
      <c r="I6225" s="1" t="str">
        <f t="shared" si="11685"/>
        <v>0</v>
      </c>
      <c r="J6225" s="1" t="str">
        <f t="shared" si="11685"/>
        <v>0</v>
      </c>
      <c r="K6225" s="1" t="str">
        <f t="shared" si="11685"/>
        <v>0</v>
      </c>
      <c r="L6225" s="1" t="str">
        <f t="shared" si="11685"/>
        <v>0</v>
      </c>
      <c r="M6225" s="1" t="str">
        <f t="shared" si="11685"/>
        <v>0</v>
      </c>
      <c r="N6225" s="1" t="str">
        <f t="shared" si="11685"/>
        <v>0</v>
      </c>
      <c r="O6225" s="1" t="str">
        <f t="shared" si="11685"/>
        <v>0</v>
      </c>
      <c r="P6225" s="1" t="str">
        <f t="shared" si="11685"/>
        <v>0</v>
      </c>
      <c r="Q6225" s="1" t="str">
        <f t="shared" si="11666"/>
        <v>0.0070</v>
      </c>
      <c r="R6225" s="1" t="s">
        <v>25</v>
      </c>
      <c r="T6225" s="1" t="str">
        <f t="shared" si="11667"/>
        <v>0</v>
      </c>
      <c r="U6225" s="1" t="str">
        <f t="shared" si="11612"/>
        <v>0.0070</v>
      </c>
    </row>
    <row r="6226" s="1" customFormat="1" spans="1:21">
      <c r="A6226" s="1" t="str">
        <f>"4601992253701"</f>
        <v>4601992253701</v>
      </c>
      <c r="B6226" s="1" t="s">
        <v>6249</v>
      </c>
      <c r="C6226" s="1" t="s">
        <v>24</v>
      </c>
      <c r="D6226" s="1" t="str">
        <f t="shared" si="11663"/>
        <v>2021</v>
      </c>
      <c r="E6226" s="1" t="str">
        <f t="shared" ref="E6226:I6226" si="11686">"0"</f>
        <v>0</v>
      </c>
      <c r="F6226" s="1" t="str">
        <f t="shared" si="11686"/>
        <v>0</v>
      </c>
      <c r="G6226" s="1" t="str">
        <f t="shared" si="11686"/>
        <v>0</v>
      </c>
      <c r="H6226" s="1" t="str">
        <f t="shared" si="11686"/>
        <v>0</v>
      </c>
      <c r="I6226" s="1" t="str">
        <f t="shared" si="11686"/>
        <v>0</v>
      </c>
      <c r="J6226" s="1" t="str">
        <f>"1"</f>
        <v>1</v>
      </c>
      <c r="K6226" s="1" t="str">
        <f t="shared" ref="K6226:P6226" si="11687">"0"</f>
        <v>0</v>
      </c>
      <c r="L6226" s="1" t="str">
        <f t="shared" si="11687"/>
        <v>0</v>
      </c>
      <c r="M6226" s="1" t="str">
        <f t="shared" si="11687"/>
        <v>0</v>
      </c>
      <c r="N6226" s="1" t="str">
        <f t="shared" si="11687"/>
        <v>0</v>
      </c>
      <c r="O6226" s="1" t="str">
        <f t="shared" si="11687"/>
        <v>0</v>
      </c>
      <c r="P6226" s="1" t="str">
        <f t="shared" si="11687"/>
        <v>0</v>
      </c>
      <c r="Q6226" s="1" t="str">
        <f t="shared" si="11666"/>
        <v>0.0070</v>
      </c>
      <c r="R6226" s="1" t="s">
        <v>25</v>
      </c>
      <c r="T6226" s="1" t="str">
        <f t="shared" si="11667"/>
        <v>0</v>
      </c>
      <c r="U6226" s="1" t="str">
        <f t="shared" si="11612"/>
        <v>0.0070</v>
      </c>
    </row>
    <row r="6227" s="1" customFormat="1" spans="1:21">
      <c r="A6227" s="1" t="str">
        <f>"4601992253859"</f>
        <v>4601992253859</v>
      </c>
      <c r="B6227" s="1" t="s">
        <v>6250</v>
      </c>
      <c r="C6227" s="1" t="s">
        <v>24</v>
      </c>
      <c r="D6227" s="1" t="str">
        <f t="shared" si="11663"/>
        <v>2021</v>
      </c>
      <c r="E6227" s="1" t="str">
        <f t="shared" ref="E6227:P6227" si="11688">"0"</f>
        <v>0</v>
      </c>
      <c r="F6227" s="1" t="str">
        <f t="shared" si="11688"/>
        <v>0</v>
      </c>
      <c r="G6227" s="1" t="str">
        <f t="shared" si="11688"/>
        <v>0</v>
      </c>
      <c r="H6227" s="1" t="str">
        <f t="shared" si="11688"/>
        <v>0</v>
      </c>
      <c r="I6227" s="1" t="str">
        <f t="shared" si="11688"/>
        <v>0</v>
      </c>
      <c r="J6227" s="1" t="str">
        <f t="shared" si="11688"/>
        <v>0</v>
      </c>
      <c r="K6227" s="1" t="str">
        <f t="shared" si="11688"/>
        <v>0</v>
      </c>
      <c r="L6227" s="1" t="str">
        <f t="shared" si="11688"/>
        <v>0</v>
      </c>
      <c r="M6227" s="1" t="str">
        <f t="shared" si="11688"/>
        <v>0</v>
      </c>
      <c r="N6227" s="1" t="str">
        <f t="shared" si="11688"/>
        <v>0</v>
      </c>
      <c r="O6227" s="1" t="str">
        <f t="shared" si="11688"/>
        <v>0</v>
      </c>
      <c r="P6227" s="1" t="str">
        <f t="shared" si="11688"/>
        <v>0</v>
      </c>
      <c r="Q6227" s="1" t="str">
        <f t="shared" si="11666"/>
        <v>0.0070</v>
      </c>
      <c r="R6227" s="1" t="s">
        <v>25</v>
      </c>
      <c r="T6227" s="1" t="str">
        <f t="shared" si="11667"/>
        <v>0</v>
      </c>
      <c r="U6227" s="1" t="str">
        <f t="shared" si="11612"/>
        <v>0.0070</v>
      </c>
    </row>
    <row r="6228" s="1" customFormat="1" spans="1:21">
      <c r="A6228" s="1" t="str">
        <f>"4601992253927"</f>
        <v>4601992253927</v>
      </c>
      <c r="B6228" s="1" t="s">
        <v>6251</v>
      </c>
      <c r="C6228" s="1" t="s">
        <v>24</v>
      </c>
      <c r="D6228" s="1" t="str">
        <f t="shared" si="11663"/>
        <v>2021</v>
      </c>
      <c r="E6228" s="1" t="str">
        <f t="shared" ref="E6228:P6228" si="11689">"0"</f>
        <v>0</v>
      </c>
      <c r="F6228" s="1" t="str">
        <f t="shared" si="11689"/>
        <v>0</v>
      </c>
      <c r="G6228" s="1" t="str">
        <f t="shared" si="11689"/>
        <v>0</v>
      </c>
      <c r="H6228" s="1" t="str">
        <f t="shared" si="11689"/>
        <v>0</v>
      </c>
      <c r="I6228" s="1" t="str">
        <f t="shared" si="11689"/>
        <v>0</v>
      </c>
      <c r="J6228" s="1" t="str">
        <f t="shared" si="11689"/>
        <v>0</v>
      </c>
      <c r="K6228" s="1" t="str">
        <f t="shared" si="11689"/>
        <v>0</v>
      </c>
      <c r="L6228" s="1" t="str">
        <f t="shared" si="11689"/>
        <v>0</v>
      </c>
      <c r="M6228" s="1" t="str">
        <f t="shared" si="11689"/>
        <v>0</v>
      </c>
      <c r="N6228" s="1" t="str">
        <f t="shared" si="11689"/>
        <v>0</v>
      </c>
      <c r="O6228" s="1" t="str">
        <f t="shared" si="11689"/>
        <v>0</v>
      </c>
      <c r="P6228" s="1" t="str">
        <f t="shared" si="11689"/>
        <v>0</v>
      </c>
      <c r="Q6228" s="1" t="str">
        <f t="shared" si="11666"/>
        <v>0.0070</v>
      </c>
      <c r="R6228" s="1" t="s">
        <v>25</v>
      </c>
      <c r="T6228" s="1" t="str">
        <f t="shared" si="11667"/>
        <v>0</v>
      </c>
      <c r="U6228" s="1" t="str">
        <f t="shared" si="11612"/>
        <v>0.0070</v>
      </c>
    </row>
    <row r="6229" s="1" customFormat="1" spans="1:21">
      <c r="A6229" s="1" t="str">
        <f>"4601992253913"</f>
        <v>4601992253913</v>
      </c>
      <c r="B6229" s="1" t="s">
        <v>6252</v>
      </c>
      <c r="C6229" s="1" t="s">
        <v>24</v>
      </c>
      <c r="D6229" s="1" t="str">
        <f t="shared" si="11663"/>
        <v>2021</v>
      </c>
      <c r="E6229" s="1" t="str">
        <f t="shared" ref="E6229:P6229" si="11690">"0"</f>
        <v>0</v>
      </c>
      <c r="F6229" s="1" t="str">
        <f t="shared" si="11690"/>
        <v>0</v>
      </c>
      <c r="G6229" s="1" t="str">
        <f t="shared" si="11690"/>
        <v>0</v>
      </c>
      <c r="H6229" s="1" t="str">
        <f t="shared" si="11690"/>
        <v>0</v>
      </c>
      <c r="I6229" s="1" t="str">
        <f t="shared" si="11690"/>
        <v>0</v>
      </c>
      <c r="J6229" s="1" t="str">
        <f t="shared" si="11690"/>
        <v>0</v>
      </c>
      <c r="K6229" s="1" t="str">
        <f t="shared" si="11690"/>
        <v>0</v>
      </c>
      <c r="L6229" s="1" t="str">
        <f t="shared" si="11690"/>
        <v>0</v>
      </c>
      <c r="M6229" s="1" t="str">
        <f t="shared" si="11690"/>
        <v>0</v>
      </c>
      <c r="N6229" s="1" t="str">
        <f t="shared" si="11690"/>
        <v>0</v>
      </c>
      <c r="O6229" s="1" t="str">
        <f t="shared" si="11690"/>
        <v>0</v>
      </c>
      <c r="P6229" s="1" t="str">
        <f t="shared" si="11690"/>
        <v>0</v>
      </c>
      <c r="Q6229" s="1" t="str">
        <f t="shared" si="11666"/>
        <v>0.0070</v>
      </c>
      <c r="R6229" s="1" t="s">
        <v>25</v>
      </c>
      <c r="T6229" s="1" t="str">
        <f t="shared" si="11667"/>
        <v>0</v>
      </c>
      <c r="U6229" s="1" t="str">
        <f t="shared" si="11612"/>
        <v>0.0070</v>
      </c>
    </row>
    <row r="6230" s="1" customFormat="1" spans="1:21">
      <c r="A6230" s="1" t="str">
        <f>"4601992254044"</f>
        <v>4601992254044</v>
      </c>
      <c r="B6230" s="1" t="s">
        <v>6253</v>
      </c>
      <c r="C6230" s="1" t="s">
        <v>24</v>
      </c>
      <c r="D6230" s="1" t="str">
        <f t="shared" si="11663"/>
        <v>2021</v>
      </c>
      <c r="E6230" s="1" t="str">
        <f t="shared" ref="E6230:P6230" si="11691">"0"</f>
        <v>0</v>
      </c>
      <c r="F6230" s="1" t="str">
        <f t="shared" si="11691"/>
        <v>0</v>
      </c>
      <c r="G6230" s="1" t="str">
        <f t="shared" si="11691"/>
        <v>0</v>
      </c>
      <c r="H6230" s="1" t="str">
        <f t="shared" si="11691"/>
        <v>0</v>
      </c>
      <c r="I6230" s="1" t="str">
        <f t="shared" si="11691"/>
        <v>0</v>
      </c>
      <c r="J6230" s="1" t="str">
        <f t="shared" si="11691"/>
        <v>0</v>
      </c>
      <c r="K6230" s="1" t="str">
        <f t="shared" si="11691"/>
        <v>0</v>
      </c>
      <c r="L6230" s="1" t="str">
        <f t="shared" si="11691"/>
        <v>0</v>
      </c>
      <c r="M6230" s="1" t="str">
        <f t="shared" si="11691"/>
        <v>0</v>
      </c>
      <c r="N6230" s="1" t="str">
        <f t="shared" si="11691"/>
        <v>0</v>
      </c>
      <c r="O6230" s="1" t="str">
        <f t="shared" si="11691"/>
        <v>0</v>
      </c>
      <c r="P6230" s="1" t="str">
        <f t="shared" si="11691"/>
        <v>0</v>
      </c>
      <c r="Q6230" s="1" t="str">
        <f t="shared" si="11666"/>
        <v>0.0070</v>
      </c>
      <c r="R6230" s="1" t="s">
        <v>25</v>
      </c>
      <c r="T6230" s="1" t="str">
        <f t="shared" si="11667"/>
        <v>0</v>
      </c>
      <c r="U6230" s="1" t="str">
        <f t="shared" si="11612"/>
        <v>0.0070</v>
      </c>
    </row>
    <row r="6231" s="1" customFormat="1" spans="1:21">
      <c r="A6231" s="1" t="str">
        <f>"4601992254083"</f>
        <v>4601992254083</v>
      </c>
      <c r="B6231" s="1" t="s">
        <v>6254</v>
      </c>
      <c r="C6231" s="1" t="s">
        <v>24</v>
      </c>
      <c r="D6231" s="1" t="str">
        <f t="shared" si="11663"/>
        <v>2021</v>
      </c>
      <c r="E6231" s="1" t="str">
        <f t="shared" ref="E6231:P6231" si="11692">"0"</f>
        <v>0</v>
      </c>
      <c r="F6231" s="1" t="str">
        <f t="shared" si="11692"/>
        <v>0</v>
      </c>
      <c r="G6231" s="1" t="str">
        <f t="shared" si="11692"/>
        <v>0</v>
      </c>
      <c r="H6231" s="1" t="str">
        <f t="shared" si="11692"/>
        <v>0</v>
      </c>
      <c r="I6231" s="1" t="str">
        <f t="shared" si="11692"/>
        <v>0</v>
      </c>
      <c r="J6231" s="1" t="str">
        <f t="shared" si="11692"/>
        <v>0</v>
      </c>
      <c r="K6231" s="1" t="str">
        <f t="shared" si="11692"/>
        <v>0</v>
      </c>
      <c r="L6231" s="1" t="str">
        <f t="shared" si="11692"/>
        <v>0</v>
      </c>
      <c r="M6231" s="1" t="str">
        <f t="shared" si="11692"/>
        <v>0</v>
      </c>
      <c r="N6231" s="1" t="str">
        <f t="shared" si="11692"/>
        <v>0</v>
      </c>
      <c r="O6231" s="1" t="str">
        <f t="shared" si="11692"/>
        <v>0</v>
      </c>
      <c r="P6231" s="1" t="str">
        <f t="shared" si="11692"/>
        <v>0</v>
      </c>
      <c r="Q6231" s="1" t="str">
        <f t="shared" si="11666"/>
        <v>0.0070</v>
      </c>
      <c r="R6231" s="1" t="s">
        <v>25</v>
      </c>
      <c r="T6231" s="1" t="str">
        <f t="shared" si="11667"/>
        <v>0</v>
      </c>
      <c r="U6231" s="1" t="str">
        <f t="shared" si="11612"/>
        <v>0.0070</v>
      </c>
    </row>
    <row r="6232" s="1" customFormat="1" spans="1:21">
      <c r="A6232" s="1" t="str">
        <f>"4601992254179"</f>
        <v>4601992254179</v>
      </c>
      <c r="B6232" s="1" t="s">
        <v>6255</v>
      </c>
      <c r="C6232" s="1" t="s">
        <v>24</v>
      </c>
      <c r="D6232" s="1" t="str">
        <f t="shared" si="11663"/>
        <v>2021</v>
      </c>
      <c r="E6232" s="1" t="str">
        <f t="shared" ref="E6232:P6232" si="11693">"0"</f>
        <v>0</v>
      </c>
      <c r="F6232" s="1" t="str">
        <f t="shared" si="11693"/>
        <v>0</v>
      </c>
      <c r="G6232" s="1" t="str">
        <f t="shared" si="11693"/>
        <v>0</v>
      </c>
      <c r="H6232" s="1" t="str">
        <f t="shared" si="11693"/>
        <v>0</v>
      </c>
      <c r="I6232" s="1" t="str">
        <f t="shared" si="11693"/>
        <v>0</v>
      </c>
      <c r="J6232" s="1" t="str">
        <f t="shared" si="11693"/>
        <v>0</v>
      </c>
      <c r="K6232" s="1" t="str">
        <f t="shared" si="11693"/>
        <v>0</v>
      </c>
      <c r="L6232" s="1" t="str">
        <f t="shared" si="11693"/>
        <v>0</v>
      </c>
      <c r="M6232" s="1" t="str">
        <f t="shared" si="11693"/>
        <v>0</v>
      </c>
      <c r="N6232" s="1" t="str">
        <f t="shared" si="11693"/>
        <v>0</v>
      </c>
      <c r="O6232" s="1" t="str">
        <f t="shared" si="11693"/>
        <v>0</v>
      </c>
      <c r="P6232" s="1" t="str">
        <f t="shared" si="11693"/>
        <v>0</v>
      </c>
      <c r="Q6232" s="1" t="str">
        <f t="shared" si="11666"/>
        <v>0.0070</v>
      </c>
      <c r="R6232" s="1" t="s">
        <v>25</v>
      </c>
      <c r="T6232" s="1" t="str">
        <f t="shared" si="11667"/>
        <v>0</v>
      </c>
      <c r="U6232" s="1" t="str">
        <f t="shared" si="11612"/>
        <v>0.0070</v>
      </c>
    </row>
    <row r="6233" s="1" customFormat="1" spans="1:21">
      <c r="A6233" s="1" t="str">
        <f>"4601992254027"</f>
        <v>4601992254027</v>
      </c>
      <c r="B6233" s="1" t="s">
        <v>6256</v>
      </c>
      <c r="C6233" s="1" t="s">
        <v>24</v>
      </c>
      <c r="D6233" s="1" t="str">
        <f t="shared" si="11663"/>
        <v>2021</v>
      </c>
      <c r="E6233" s="1" t="str">
        <f t="shared" ref="E6233:P6233" si="11694">"0"</f>
        <v>0</v>
      </c>
      <c r="F6233" s="1" t="str">
        <f t="shared" si="11694"/>
        <v>0</v>
      </c>
      <c r="G6233" s="1" t="str">
        <f t="shared" si="11694"/>
        <v>0</v>
      </c>
      <c r="H6233" s="1" t="str">
        <f t="shared" si="11694"/>
        <v>0</v>
      </c>
      <c r="I6233" s="1" t="str">
        <f t="shared" si="11694"/>
        <v>0</v>
      </c>
      <c r="J6233" s="1" t="str">
        <f t="shared" si="11694"/>
        <v>0</v>
      </c>
      <c r="K6233" s="1" t="str">
        <f t="shared" si="11694"/>
        <v>0</v>
      </c>
      <c r="L6233" s="1" t="str">
        <f t="shared" si="11694"/>
        <v>0</v>
      </c>
      <c r="M6233" s="1" t="str">
        <f t="shared" si="11694"/>
        <v>0</v>
      </c>
      <c r="N6233" s="1" t="str">
        <f t="shared" si="11694"/>
        <v>0</v>
      </c>
      <c r="O6233" s="1" t="str">
        <f t="shared" si="11694"/>
        <v>0</v>
      </c>
      <c r="P6233" s="1" t="str">
        <f t="shared" si="11694"/>
        <v>0</v>
      </c>
      <c r="Q6233" s="1" t="str">
        <f t="shared" si="11666"/>
        <v>0.0070</v>
      </c>
      <c r="R6233" s="1" t="s">
        <v>25</v>
      </c>
      <c r="T6233" s="1" t="str">
        <f t="shared" si="11667"/>
        <v>0</v>
      </c>
      <c r="U6233" s="1" t="str">
        <f t="shared" si="11612"/>
        <v>0.0070</v>
      </c>
    </row>
    <row r="6234" s="1" customFormat="1" spans="1:21">
      <c r="A6234" s="1" t="str">
        <f>"4601992254218"</f>
        <v>4601992254218</v>
      </c>
      <c r="B6234" s="1" t="s">
        <v>6257</v>
      </c>
      <c r="C6234" s="1" t="s">
        <v>24</v>
      </c>
      <c r="D6234" s="1" t="str">
        <f t="shared" si="11663"/>
        <v>2021</v>
      </c>
      <c r="E6234" s="1" t="str">
        <f t="shared" ref="E6234:P6234" si="11695">"0"</f>
        <v>0</v>
      </c>
      <c r="F6234" s="1" t="str">
        <f t="shared" si="11695"/>
        <v>0</v>
      </c>
      <c r="G6234" s="1" t="str">
        <f t="shared" si="11695"/>
        <v>0</v>
      </c>
      <c r="H6234" s="1" t="str">
        <f t="shared" si="11695"/>
        <v>0</v>
      </c>
      <c r="I6234" s="1" t="str">
        <f t="shared" si="11695"/>
        <v>0</v>
      </c>
      <c r="J6234" s="1" t="str">
        <f t="shared" si="11695"/>
        <v>0</v>
      </c>
      <c r="K6234" s="1" t="str">
        <f t="shared" si="11695"/>
        <v>0</v>
      </c>
      <c r="L6234" s="1" t="str">
        <f t="shared" si="11695"/>
        <v>0</v>
      </c>
      <c r="M6234" s="1" t="str">
        <f t="shared" si="11695"/>
        <v>0</v>
      </c>
      <c r="N6234" s="1" t="str">
        <f t="shared" si="11695"/>
        <v>0</v>
      </c>
      <c r="O6234" s="1" t="str">
        <f t="shared" si="11695"/>
        <v>0</v>
      </c>
      <c r="P6234" s="1" t="str">
        <f t="shared" si="11695"/>
        <v>0</v>
      </c>
      <c r="Q6234" s="1" t="str">
        <f t="shared" si="11666"/>
        <v>0.0070</v>
      </c>
      <c r="R6234" s="1" t="s">
        <v>25</v>
      </c>
      <c r="T6234" s="1" t="str">
        <f t="shared" si="11667"/>
        <v>0</v>
      </c>
      <c r="U6234" s="1" t="str">
        <f t="shared" si="11612"/>
        <v>0.0070</v>
      </c>
    </row>
    <row r="6235" s="1" customFormat="1" spans="1:21">
      <c r="A6235" s="1" t="str">
        <f>"4601992254217"</f>
        <v>4601992254217</v>
      </c>
      <c r="B6235" s="1" t="s">
        <v>6258</v>
      </c>
      <c r="C6235" s="1" t="s">
        <v>24</v>
      </c>
      <c r="D6235" s="1" t="str">
        <f t="shared" si="11663"/>
        <v>2021</v>
      </c>
      <c r="E6235" s="1" t="str">
        <f t="shared" ref="E6235:P6235" si="11696">"0"</f>
        <v>0</v>
      </c>
      <c r="F6235" s="1" t="str">
        <f t="shared" si="11696"/>
        <v>0</v>
      </c>
      <c r="G6235" s="1" t="str">
        <f t="shared" si="11696"/>
        <v>0</v>
      </c>
      <c r="H6235" s="1" t="str">
        <f t="shared" si="11696"/>
        <v>0</v>
      </c>
      <c r="I6235" s="1" t="str">
        <f t="shared" si="11696"/>
        <v>0</v>
      </c>
      <c r="J6235" s="1" t="str">
        <f t="shared" si="11696"/>
        <v>0</v>
      </c>
      <c r="K6235" s="1" t="str">
        <f t="shared" si="11696"/>
        <v>0</v>
      </c>
      <c r="L6235" s="1" t="str">
        <f t="shared" si="11696"/>
        <v>0</v>
      </c>
      <c r="M6235" s="1" t="str">
        <f t="shared" si="11696"/>
        <v>0</v>
      </c>
      <c r="N6235" s="1" t="str">
        <f t="shared" si="11696"/>
        <v>0</v>
      </c>
      <c r="O6235" s="1" t="str">
        <f t="shared" si="11696"/>
        <v>0</v>
      </c>
      <c r="P6235" s="1" t="str">
        <f t="shared" si="11696"/>
        <v>0</v>
      </c>
      <c r="Q6235" s="1" t="str">
        <f t="shared" si="11666"/>
        <v>0.0070</v>
      </c>
      <c r="R6235" s="1" t="s">
        <v>25</v>
      </c>
      <c r="T6235" s="1" t="str">
        <f t="shared" si="11667"/>
        <v>0</v>
      </c>
      <c r="U6235" s="1" t="str">
        <f t="shared" si="11612"/>
        <v>0.0070</v>
      </c>
    </row>
    <row r="6236" s="1" customFormat="1" spans="1:21">
      <c r="A6236" s="1" t="str">
        <f>"4601992254236"</f>
        <v>4601992254236</v>
      </c>
      <c r="B6236" s="1" t="s">
        <v>6259</v>
      </c>
      <c r="C6236" s="1" t="s">
        <v>24</v>
      </c>
      <c r="D6236" s="1" t="str">
        <f t="shared" si="11663"/>
        <v>2021</v>
      </c>
      <c r="E6236" s="1" t="str">
        <f t="shared" ref="E6236:P6236" si="11697">"0"</f>
        <v>0</v>
      </c>
      <c r="F6236" s="1" t="str">
        <f t="shared" si="11697"/>
        <v>0</v>
      </c>
      <c r="G6236" s="1" t="str">
        <f t="shared" si="11697"/>
        <v>0</v>
      </c>
      <c r="H6236" s="1" t="str">
        <f t="shared" si="11697"/>
        <v>0</v>
      </c>
      <c r="I6236" s="1" t="str">
        <f t="shared" si="11697"/>
        <v>0</v>
      </c>
      <c r="J6236" s="1" t="str">
        <f t="shared" si="11697"/>
        <v>0</v>
      </c>
      <c r="K6236" s="1" t="str">
        <f t="shared" si="11697"/>
        <v>0</v>
      </c>
      <c r="L6236" s="1" t="str">
        <f t="shared" si="11697"/>
        <v>0</v>
      </c>
      <c r="M6236" s="1" t="str">
        <f t="shared" si="11697"/>
        <v>0</v>
      </c>
      <c r="N6236" s="1" t="str">
        <f t="shared" si="11697"/>
        <v>0</v>
      </c>
      <c r="O6236" s="1" t="str">
        <f t="shared" si="11697"/>
        <v>0</v>
      </c>
      <c r="P6236" s="1" t="str">
        <f t="shared" si="11697"/>
        <v>0</v>
      </c>
      <c r="Q6236" s="1" t="str">
        <f t="shared" si="11666"/>
        <v>0.0070</v>
      </c>
      <c r="R6236" s="1" t="s">
        <v>25</v>
      </c>
      <c r="T6236" s="1" t="str">
        <f t="shared" si="11667"/>
        <v>0</v>
      </c>
      <c r="U6236" s="1" t="str">
        <f t="shared" si="11612"/>
        <v>0.0070</v>
      </c>
    </row>
    <row r="6237" s="1" customFormat="1" spans="1:21">
      <c r="A6237" s="1" t="str">
        <f>"4601992254381"</f>
        <v>4601992254381</v>
      </c>
      <c r="B6237" s="1" t="s">
        <v>6260</v>
      </c>
      <c r="C6237" s="1" t="s">
        <v>24</v>
      </c>
      <c r="D6237" s="1" t="str">
        <f t="shared" si="11663"/>
        <v>2021</v>
      </c>
      <c r="E6237" s="1" t="str">
        <f t="shared" ref="E6237:P6237" si="11698">"0"</f>
        <v>0</v>
      </c>
      <c r="F6237" s="1" t="str">
        <f t="shared" si="11698"/>
        <v>0</v>
      </c>
      <c r="G6237" s="1" t="str">
        <f t="shared" si="11698"/>
        <v>0</v>
      </c>
      <c r="H6237" s="1" t="str">
        <f t="shared" si="11698"/>
        <v>0</v>
      </c>
      <c r="I6237" s="1" t="str">
        <f t="shared" si="11698"/>
        <v>0</v>
      </c>
      <c r="J6237" s="1" t="str">
        <f t="shared" si="11698"/>
        <v>0</v>
      </c>
      <c r="K6237" s="1" t="str">
        <f t="shared" si="11698"/>
        <v>0</v>
      </c>
      <c r="L6237" s="1" t="str">
        <f t="shared" si="11698"/>
        <v>0</v>
      </c>
      <c r="M6237" s="1" t="str">
        <f t="shared" si="11698"/>
        <v>0</v>
      </c>
      <c r="N6237" s="1" t="str">
        <f t="shared" si="11698"/>
        <v>0</v>
      </c>
      <c r="O6237" s="1" t="str">
        <f t="shared" si="11698"/>
        <v>0</v>
      </c>
      <c r="P6237" s="1" t="str">
        <f t="shared" si="11698"/>
        <v>0</v>
      </c>
      <c r="Q6237" s="1" t="str">
        <f t="shared" si="11666"/>
        <v>0.0070</v>
      </c>
      <c r="R6237" s="1" t="s">
        <v>25</v>
      </c>
      <c r="T6237" s="1" t="str">
        <f t="shared" si="11667"/>
        <v>0</v>
      </c>
      <c r="U6237" s="1" t="str">
        <f t="shared" si="11612"/>
        <v>0.0070</v>
      </c>
    </row>
    <row r="6238" s="1" customFormat="1" spans="1:21">
      <c r="A6238" s="1" t="str">
        <f>"4601992254329"</f>
        <v>4601992254329</v>
      </c>
      <c r="B6238" s="1" t="s">
        <v>6261</v>
      </c>
      <c r="C6238" s="1" t="s">
        <v>24</v>
      </c>
      <c r="D6238" s="1" t="str">
        <f t="shared" si="11663"/>
        <v>2021</v>
      </c>
      <c r="E6238" s="1" t="str">
        <f t="shared" ref="E6238:P6238" si="11699">"0"</f>
        <v>0</v>
      </c>
      <c r="F6238" s="1" t="str">
        <f t="shared" si="11699"/>
        <v>0</v>
      </c>
      <c r="G6238" s="1" t="str">
        <f t="shared" si="11699"/>
        <v>0</v>
      </c>
      <c r="H6238" s="1" t="str">
        <f t="shared" si="11699"/>
        <v>0</v>
      </c>
      <c r="I6238" s="1" t="str">
        <f t="shared" si="11699"/>
        <v>0</v>
      </c>
      <c r="J6238" s="1" t="str">
        <f t="shared" si="11699"/>
        <v>0</v>
      </c>
      <c r="K6238" s="1" t="str">
        <f t="shared" si="11699"/>
        <v>0</v>
      </c>
      <c r="L6238" s="1" t="str">
        <f t="shared" si="11699"/>
        <v>0</v>
      </c>
      <c r="M6238" s="1" t="str">
        <f t="shared" si="11699"/>
        <v>0</v>
      </c>
      <c r="N6238" s="1" t="str">
        <f t="shared" si="11699"/>
        <v>0</v>
      </c>
      <c r="O6238" s="1" t="str">
        <f t="shared" si="11699"/>
        <v>0</v>
      </c>
      <c r="P6238" s="1" t="str">
        <f t="shared" si="11699"/>
        <v>0</v>
      </c>
      <c r="Q6238" s="1" t="str">
        <f t="shared" si="11666"/>
        <v>0.0070</v>
      </c>
      <c r="R6238" s="1" t="s">
        <v>25</v>
      </c>
      <c r="T6238" s="1" t="str">
        <f t="shared" si="11667"/>
        <v>0</v>
      </c>
      <c r="U6238" s="1" t="str">
        <f t="shared" si="11612"/>
        <v>0.0070</v>
      </c>
    </row>
    <row r="6239" s="1" customFormat="1" spans="1:21">
      <c r="A6239" s="1" t="str">
        <f>"4601992254242"</f>
        <v>4601992254242</v>
      </c>
      <c r="B6239" s="1" t="s">
        <v>6262</v>
      </c>
      <c r="C6239" s="1" t="s">
        <v>24</v>
      </c>
      <c r="D6239" s="1" t="str">
        <f t="shared" si="11663"/>
        <v>2021</v>
      </c>
      <c r="E6239" s="1" t="str">
        <f t="shared" ref="E6239:I6239" si="11700">"0"</f>
        <v>0</v>
      </c>
      <c r="F6239" s="1" t="str">
        <f t="shared" si="11700"/>
        <v>0</v>
      </c>
      <c r="G6239" s="1" t="str">
        <f t="shared" si="11700"/>
        <v>0</v>
      </c>
      <c r="H6239" s="1" t="str">
        <f t="shared" si="11700"/>
        <v>0</v>
      </c>
      <c r="I6239" s="1" t="str">
        <f t="shared" si="11700"/>
        <v>0</v>
      </c>
      <c r="J6239" s="1" t="str">
        <f>"1"</f>
        <v>1</v>
      </c>
      <c r="K6239" s="1" t="str">
        <f t="shared" ref="K6239:P6239" si="11701">"0"</f>
        <v>0</v>
      </c>
      <c r="L6239" s="1" t="str">
        <f t="shared" si="11701"/>
        <v>0</v>
      </c>
      <c r="M6239" s="1" t="str">
        <f t="shared" si="11701"/>
        <v>0</v>
      </c>
      <c r="N6239" s="1" t="str">
        <f t="shared" si="11701"/>
        <v>0</v>
      </c>
      <c r="O6239" s="1" t="str">
        <f t="shared" si="11701"/>
        <v>0</v>
      </c>
      <c r="P6239" s="1" t="str">
        <f t="shared" si="11701"/>
        <v>0</v>
      </c>
      <c r="Q6239" s="1" t="str">
        <f t="shared" si="11666"/>
        <v>0.0070</v>
      </c>
      <c r="R6239" s="1" t="s">
        <v>25</v>
      </c>
      <c r="T6239" s="1" t="str">
        <f t="shared" si="11667"/>
        <v>0</v>
      </c>
      <c r="U6239" s="1" t="str">
        <f t="shared" ref="U6239:U6302" si="11702">"0.0070"</f>
        <v>0.0070</v>
      </c>
    </row>
    <row r="6240" s="1" customFormat="1" spans="1:21">
      <c r="A6240" s="1" t="str">
        <f>"4601992254477"</f>
        <v>4601992254477</v>
      </c>
      <c r="B6240" s="1" t="s">
        <v>6263</v>
      </c>
      <c r="C6240" s="1" t="s">
        <v>24</v>
      </c>
      <c r="D6240" s="1" t="str">
        <f t="shared" si="11663"/>
        <v>2021</v>
      </c>
      <c r="E6240" s="1" t="str">
        <f t="shared" ref="E6240:P6240" si="11703">"0"</f>
        <v>0</v>
      </c>
      <c r="F6240" s="1" t="str">
        <f t="shared" si="11703"/>
        <v>0</v>
      </c>
      <c r="G6240" s="1" t="str">
        <f t="shared" si="11703"/>
        <v>0</v>
      </c>
      <c r="H6240" s="1" t="str">
        <f t="shared" si="11703"/>
        <v>0</v>
      </c>
      <c r="I6240" s="1" t="str">
        <f t="shared" si="11703"/>
        <v>0</v>
      </c>
      <c r="J6240" s="1" t="str">
        <f t="shared" si="11703"/>
        <v>0</v>
      </c>
      <c r="K6240" s="1" t="str">
        <f t="shared" si="11703"/>
        <v>0</v>
      </c>
      <c r="L6240" s="1" t="str">
        <f t="shared" si="11703"/>
        <v>0</v>
      </c>
      <c r="M6240" s="1" t="str">
        <f t="shared" si="11703"/>
        <v>0</v>
      </c>
      <c r="N6240" s="1" t="str">
        <f t="shared" si="11703"/>
        <v>0</v>
      </c>
      <c r="O6240" s="1" t="str">
        <f t="shared" si="11703"/>
        <v>0</v>
      </c>
      <c r="P6240" s="1" t="str">
        <f t="shared" si="11703"/>
        <v>0</v>
      </c>
      <c r="Q6240" s="1" t="str">
        <f t="shared" si="11666"/>
        <v>0.0070</v>
      </c>
      <c r="R6240" s="1" t="s">
        <v>25</v>
      </c>
      <c r="T6240" s="1" t="str">
        <f t="shared" si="11667"/>
        <v>0</v>
      </c>
      <c r="U6240" s="1" t="str">
        <f t="shared" si="11702"/>
        <v>0.0070</v>
      </c>
    </row>
    <row r="6241" s="1" customFormat="1" spans="1:21">
      <c r="A6241" s="1" t="str">
        <f>"4601992254657"</f>
        <v>4601992254657</v>
      </c>
      <c r="B6241" s="1" t="s">
        <v>6264</v>
      </c>
      <c r="C6241" s="1" t="s">
        <v>24</v>
      </c>
      <c r="D6241" s="1" t="str">
        <f t="shared" si="11663"/>
        <v>2021</v>
      </c>
      <c r="E6241" s="1" t="str">
        <f t="shared" ref="E6241:P6241" si="11704">"0"</f>
        <v>0</v>
      </c>
      <c r="F6241" s="1" t="str">
        <f t="shared" si="11704"/>
        <v>0</v>
      </c>
      <c r="G6241" s="1" t="str">
        <f t="shared" si="11704"/>
        <v>0</v>
      </c>
      <c r="H6241" s="1" t="str">
        <f t="shared" si="11704"/>
        <v>0</v>
      </c>
      <c r="I6241" s="1" t="str">
        <f t="shared" si="11704"/>
        <v>0</v>
      </c>
      <c r="J6241" s="1" t="str">
        <f t="shared" si="11704"/>
        <v>0</v>
      </c>
      <c r="K6241" s="1" t="str">
        <f t="shared" si="11704"/>
        <v>0</v>
      </c>
      <c r="L6241" s="1" t="str">
        <f t="shared" si="11704"/>
        <v>0</v>
      </c>
      <c r="M6241" s="1" t="str">
        <f t="shared" si="11704"/>
        <v>0</v>
      </c>
      <c r="N6241" s="1" t="str">
        <f t="shared" si="11704"/>
        <v>0</v>
      </c>
      <c r="O6241" s="1" t="str">
        <f t="shared" si="11704"/>
        <v>0</v>
      </c>
      <c r="P6241" s="1" t="str">
        <f t="shared" si="11704"/>
        <v>0</v>
      </c>
      <c r="Q6241" s="1" t="str">
        <f t="shared" si="11666"/>
        <v>0.0070</v>
      </c>
      <c r="R6241" s="1" t="s">
        <v>25</v>
      </c>
      <c r="T6241" s="1" t="str">
        <f t="shared" si="11667"/>
        <v>0</v>
      </c>
      <c r="U6241" s="1" t="str">
        <f t="shared" si="11702"/>
        <v>0.0070</v>
      </c>
    </row>
    <row r="6242" s="1" customFormat="1" spans="1:21">
      <c r="A6242" s="1" t="str">
        <f>"4601992254453"</f>
        <v>4601992254453</v>
      </c>
      <c r="B6242" s="1" t="s">
        <v>6265</v>
      </c>
      <c r="C6242" s="1" t="s">
        <v>24</v>
      </c>
      <c r="D6242" s="1" t="str">
        <f t="shared" si="11663"/>
        <v>2021</v>
      </c>
      <c r="E6242" s="1" t="str">
        <f t="shared" ref="E6242:I6242" si="11705">"0"</f>
        <v>0</v>
      </c>
      <c r="F6242" s="1" t="str">
        <f t="shared" si="11705"/>
        <v>0</v>
      </c>
      <c r="G6242" s="1" t="str">
        <f t="shared" si="11705"/>
        <v>0</v>
      </c>
      <c r="H6242" s="1" t="str">
        <f t="shared" si="11705"/>
        <v>0</v>
      </c>
      <c r="I6242" s="1" t="str">
        <f t="shared" si="11705"/>
        <v>0</v>
      </c>
      <c r="J6242" s="1" t="str">
        <f>"1"</f>
        <v>1</v>
      </c>
      <c r="K6242" s="1" t="str">
        <f t="shared" ref="K6242:P6242" si="11706">"0"</f>
        <v>0</v>
      </c>
      <c r="L6242" s="1" t="str">
        <f t="shared" si="11706"/>
        <v>0</v>
      </c>
      <c r="M6242" s="1" t="str">
        <f t="shared" si="11706"/>
        <v>0</v>
      </c>
      <c r="N6242" s="1" t="str">
        <f t="shared" si="11706"/>
        <v>0</v>
      </c>
      <c r="O6242" s="1" t="str">
        <f t="shared" si="11706"/>
        <v>0</v>
      </c>
      <c r="P6242" s="1" t="str">
        <f t="shared" si="11706"/>
        <v>0</v>
      </c>
      <c r="Q6242" s="1" t="str">
        <f t="shared" si="11666"/>
        <v>0.0070</v>
      </c>
      <c r="R6242" s="1" t="s">
        <v>25</v>
      </c>
      <c r="T6242" s="1" t="str">
        <f t="shared" si="11667"/>
        <v>0</v>
      </c>
      <c r="U6242" s="1" t="str">
        <f t="shared" si="11702"/>
        <v>0.0070</v>
      </c>
    </row>
    <row r="6243" s="1" customFormat="1" spans="1:21">
      <c r="A6243" s="1" t="str">
        <f>"4601992254767"</f>
        <v>4601992254767</v>
      </c>
      <c r="B6243" s="1" t="s">
        <v>6266</v>
      </c>
      <c r="C6243" s="1" t="s">
        <v>24</v>
      </c>
      <c r="D6243" s="1" t="str">
        <f t="shared" si="11663"/>
        <v>2021</v>
      </c>
      <c r="E6243" s="1" t="str">
        <f t="shared" ref="E6243:P6243" si="11707">"0"</f>
        <v>0</v>
      </c>
      <c r="F6243" s="1" t="str">
        <f t="shared" si="11707"/>
        <v>0</v>
      </c>
      <c r="G6243" s="1" t="str">
        <f t="shared" si="11707"/>
        <v>0</v>
      </c>
      <c r="H6243" s="1" t="str">
        <f t="shared" si="11707"/>
        <v>0</v>
      </c>
      <c r="I6243" s="1" t="str">
        <f t="shared" si="11707"/>
        <v>0</v>
      </c>
      <c r="J6243" s="1" t="str">
        <f t="shared" si="11707"/>
        <v>0</v>
      </c>
      <c r="K6243" s="1" t="str">
        <f t="shared" si="11707"/>
        <v>0</v>
      </c>
      <c r="L6243" s="1" t="str">
        <f t="shared" si="11707"/>
        <v>0</v>
      </c>
      <c r="M6243" s="1" t="str">
        <f t="shared" si="11707"/>
        <v>0</v>
      </c>
      <c r="N6243" s="1" t="str">
        <f t="shared" si="11707"/>
        <v>0</v>
      </c>
      <c r="O6243" s="1" t="str">
        <f t="shared" si="11707"/>
        <v>0</v>
      </c>
      <c r="P6243" s="1" t="str">
        <f t="shared" si="11707"/>
        <v>0</v>
      </c>
      <c r="Q6243" s="1" t="str">
        <f t="shared" si="11666"/>
        <v>0.0070</v>
      </c>
      <c r="R6243" s="1" t="s">
        <v>25</v>
      </c>
      <c r="T6243" s="1" t="str">
        <f t="shared" si="11667"/>
        <v>0</v>
      </c>
      <c r="U6243" s="1" t="str">
        <f t="shared" si="11702"/>
        <v>0.0070</v>
      </c>
    </row>
    <row r="6244" s="1" customFormat="1" spans="1:21">
      <c r="A6244" s="1" t="str">
        <f>"4601992254790"</f>
        <v>4601992254790</v>
      </c>
      <c r="B6244" s="1" t="s">
        <v>6267</v>
      </c>
      <c r="C6244" s="1" t="s">
        <v>24</v>
      </c>
      <c r="D6244" s="1" t="str">
        <f t="shared" si="11663"/>
        <v>2021</v>
      </c>
      <c r="E6244" s="1" t="str">
        <f t="shared" ref="E6244:P6244" si="11708">"0"</f>
        <v>0</v>
      </c>
      <c r="F6244" s="1" t="str">
        <f t="shared" si="11708"/>
        <v>0</v>
      </c>
      <c r="G6244" s="1" t="str">
        <f t="shared" si="11708"/>
        <v>0</v>
      </c>
      <c r="H6244" s="1" t="str">
        <f t="shared" si="11708"/>
        <v>0</v>
      </c>
      <c r="I6244" s="1" t="str">
        <f t="shared" si="11708"/>
        <v>0</v>
      </c>
      <c r="J6244" s="1" t="str">
        <f t="shared" si="11708"/>
        <v>0</v>
      </c>
      <c r="K6244" s="1" t="str">
        <f t="shared" si="11708"/>
        <v>0</v>
      </c>
      <c r="L6244" s="1" t="str">
        <f t="shared" si="11708"/>
        <v>0</v>
      </c>
      <c r="M6244" s="1" t="str">
        <f t="shared" si="11708"/>
        <v>0</v>
      </c>
      <c r="N6244" s="1" t="str">
        <f t="shared" si="11708"/>
        <v>0</v>
      </c>
      <c r="O6244" s="1" t="str">
        <f t="shared" si="11708"/>
        <v>0</v>
      </c>
      <c r="P6244" s="1" t="str">
        <f t="shared" si="11708"/>
        <v>0</v>
      </c>
      <c r="Q6244" s="1" t="str">
        <f t="shared" si="11666"/>
        <v>0.0070</v>
      </c>
      <c r="R6244" s="1" t="s">
        <v>25</v>
      </c>
      <c r="T6244" s="1" t="str">
        <f t="shared" si="11667"/>
        <v>0</v>
      </c>
      <c r="U6244" s="1" t="str">
        <f t="shared" si="11702"/>
        <v>0.0070</v>
      </c>
    </row>
    <row r="6245" s="1" customFormat="1" spans="1:21">
      <c r="A6245" s="1" t="str">
        <f>"4601992254859"</f>
        <v>4601992254859</v>
      </c>
      <c r="B6245" s="1" t="s">
        <v>6268</v>
      </c>
      <c r="C6245" s="1" t="s">
        <v>24</v>
      </c>
      <c r="D6245" s="1" t="str">
        <f t="shared" si="11663"/>
        <v>2021</v>
      </c>
      <c r="E6245" s="1" t="str">
        <f t="shared" ref="E6245:P6245" si="11709">"0"</f>
        <v>0</v>
      </c>
      <c r="F6245" s="1" t="str">
        <f t="shared" si="11709"/>
        <v>0</v>
      </c>
      <c r="G6245" s="1" t="str">
        <f t="shared" si="11709"/>
        <v>0</v>
      </c>
      <c r="H6245" s="1" t="str">
        <f t="shared" si="11709"/>
        <v>0</v>
      </c>
      <c r="I6245" s="1" t="str">
        <f t="shared" si="11709"/>
        <v>0</v>
      </c>
      <c r="J6245" s="1" t="str">
        <f t="shared" si="11709"/>
        <v>0</v>
      </c>
      <c r="K6245" s="1" t="str">
        <f t="shared" si="11709"/>
        <v>0</v>
      </c>
      <c r="L6245" s="1" t="str">
        <f t="shared" si="11709"/>
        <v>0</v>
      </c>
      <c r="M6245" s="1" t="str">
        <f t="shared" si="11709"/>
        <v>0</v>
      </c>
      <c r="N6245" s="1" t="str">
        <f t="shared" si="11709"/>
        <v>0</v>
      </c>
      <c r="O6245" s="1" t="str">
        <f t="shared" si="11709"/>
        <v>0</v>
      </c>
      <c r="P6245" s="1" t="str">
        <f t="shared" si="11709"/>
        <v>0</v>
      </c>
      <c r="Q6245" s="1" t="str">
        <f t="shared" si="11666"/>
        <v>0.0070</v>
      </c>
      <c r="R6245" s="1" t="s">
        <v>25</v>
      </c>
      <c r="T6245" s="1" t="str">
        <f t="shared" si="11667"/>
        <v>0</v>
      </c>
      <c r="U6245" s="1" t="str">
        <f t="shared" si="11702"/>
        <v>0.0070</v>
      </c>
    </row>
    <row r="6246" s="1" customFormat="1" spans="1:21">
      <c r="A6246" s="1" t="str">
        <f>"4601992254874"</f>
        <v>4601992254874</v>
      </c>
      <c r="B6246" s="1" t="s">
        <v>6269</v>
      </c>
      <c r="C6246" s="1" t="s">
        <v>24</v>
      </c>
      <c r="D6246" s="1" t="str">
        <f t="shared" si="11663"/>
        <v>2021</v>
      </c>
      <c r="E6246" s="1" t="str">
        <f t="shared" ref="E6246:P6246" si="11710">"0"</f>
        <v>0</v>
      </c>
      <c r="F6246" s="1" t="str">
        <f t="shared" si="11710"/>
        <v>0</v>
      </c>
      <c r="G6246" s="1" t="str">
        <f t="shared" si="11710"/>
        <v>0</v>
      </c>
      <c r="H6246" s="1" t="str">
        <f t="shared" si="11710"/>
        <v>0</v>
      </c>
      <c r="I6246" s="1" t="str">
        <f t="shared" si="11710"/>
        <v>0</v>
      </c>
      <c r="J6246" s="1" t="str">
        <f t="shared" si="11710"/>
        <v>0</v>
      </c>
      <c r="K6246" s="1" t="str">
        <f t="shared" si="11710"/>
        <v>0</v>
      </c>
      <c r="L6246" s="1" t="str">
        <f t="shared" si="11710"/>
        <v>0</v>
      </c>
      <c r="M6246" s="1" t="str">
        <f t="shared" si="11710"/>
        <v>0</v>
      </c>
      <c r="N6246" s="1" t="str">
        <f t="shared" si="11710"/>
        <v>0</v>
      </c>
      <c r="O6246" s="1" t="str">
        <f t="shared" si="11710"/>
        <v>0</v>
      </c>
      <c r="P6246" s="1" t="str">
        <f t="shared" si="11710"/>
        <v>0</v>
      </c>
      <c r="Q6246" s="1" t="str">
        <f t="shared" si="11666"/>
        <v>0.0070</v>
      </c>
      <c r="R6246" s="1" t="s">
        <v>25</v>
      </c>
      <c r="T6246" s="1" t="str">
        <f t="shared" si="11667"/>
        <v>0</v>
      </c>
      <c r="U6246" s="1" t="str">
        <f t="shared" si="11702"/>
        <v>0.0070</v>
      </c>
    </row>
    <row r="6247" s="1" customFormat="1" spans="1:21">
      <c r="A6247" s="1" t="str">
        <f>"4601992254935"</f>
        <v>4601992254935</v>
      </c>
      <c r="B6247" s="1" t="s">
        <v>6270</v>
      </c>
      <c r="C6247" s="1" t="s">
        <v>24</v>
      </c>
      <c r="D6247" s="1" t="str">
        <f t="shared" si="11663"/>
        <v>2021</v>
      </c>
      <c r="E6247" s="1" t="str">
        <f t="shared" ref="E6247:P6247" si="11711">"0"</f>
        <v>0</v>
      </c>
      <c r="F6247" s="1" t="str">
        <f t="shared" si="11711"/>
        <v>0</v>
      </c>
      <c r="G6247" s="1" t="str">
        <f t="shared" si="11711"/>
        <v>0</v>
      </c>
      <c r="H6247" s="1" t="str">
        <f t="shared" si="11711"/>
        <v>0</v>
      </c>
      <c r="I6247" s="1" t="str">
        <f t="shared" si="11711"/>
        <v>0</v>
      </c>
      <c r="J6247" s="1" t="str">
        <f t="shared" si="11711"/>
        <v>0</v>
      </c>
      <c r="K6247" s="1" t="str">
        <f t="shared" si="11711"/>
        <v>0</v>
      </c>
      <c r="L6247" s="1" t="str">
        <f t="shared" si="11711"/>
        <v>0</v>
      </c>
      <c r="M6247" s="1" t="str">
        <f t="shared" si="11711"/>
        <v>0</v>
      </c>
      <c r="N6247" s="1" t="str">
        <f t="shared" si="11711"/>
        <v>0</v>
      </c>
      <c r="O6247" s="1" t="str">
        <f t="shared" si="11711"/>
        <v>0</v>
      </c>
      <c r="P6247" s="1" t="str">
        <f t="shared" si="11711"/>
        <v>0</v>
      </c>
      <c r="Q6247" s="1" t="str">
        <f t="shared" si="11666"/>
        <v>0.0070</v>
      </c>
      <c r="R6247" s="1" t="s">
        <v>25</v>
      </c>
      <c r="T6247" s="1" t="str">
        <f t="shared" si="11667"/>
        <v>0</v>
      </c>
      <c r="U6247" s="1" t="str">
        <f t="shared" si="11702"/>
        <v>0.0070</v>
      </c>
    </row>
    <row r="6248" s="1" customFormat="1" spans="1:21">
      <c r="A6248" s="1" t="str">
        <f>"4601992254965"</f>
        <v>4601992254965</v>
      </c>
      <c r="B6248" s="1" t="s">
        <v>6271</v>
      </c>
      <c r="C6248" s="1" t="s">
        <v>24</v>
      </c>
      <c r="D6248" s="1" t="str">
        <f t="shared" si="11663"/>
        <v>2021</v>
      </c>
      <c r="E6248" s="1" t="str">
        <f t="shared" ref="E6248:P6248" si="11712">"0"</f>
        <v>0</v>
      </c>
      <c r="F6248" s="1" t="str">
        <f t="shared" si="11712"/>
        <v>0</v>
      </c>
      <c r="G6248" s="1" t="str">
        <f t="shared" si="11712"/>
        <v>0</v>
      </c>
      <c r="H6248" s="1" t="str">
        <f t="shared" si="11712"/>
        <v>0</v>
      </c>
      <c r="I6248" s="1" t="str">
        <f t="shared" si="11712"/>
        <v>0</v>
      </c>
      <c r="J6248" s="1" t="str">
        <f t="shared" si="11712"/>
        <v>0</v>
      </c>
      <c r="K6248" s="1" t="str">
        <f t="shared" si="11712"/>
        <v>0</v>
      </c>
      <c r="L6248" s="1" t="str">
        <f t="shared" si="11712"/>
        <v>0</v>
      </c>
      <c r="M6248" s="1" t="str">
        <f t="shared" si="11712"/>
        <v>0</v>
      </c>
      <c r="N6248" s="1" t="str">
        <f t="shared" si="11712"/>
        <v>0</v>
      </c>
      <c r="O6248" s="1" t="str">
        <f t="shared" si="11712"/>
        <v>0</v>
      </c>
      <c r="P6248" s="1" t="str">
        <f t="shared" si="11712"/>
        <v>0</v>
      </c>
      <c r="Q6248" s="1" t="str">
        <f t="shared" si="11666"/>
        <v>0.0070</v>
      </c>
      <c r="R6248" s="1" t="s">
        <v>25</v>
      </c>
      <c r="T6248" s="1" t="str">
        <f t="shared" si="11667"/>
        <v>0</v>
      </c>
      <c r="U6248" s="1" t="str">
        <f t="shared" si="11702"/>
        <v>0.0070</v>
      </c>
    </row>
    <row r="6249" s="1" customFormat="1" spans="1:21">
      <c r="A6249" s="1" t="str">
        <f>"4601992254979"</f>
        <v>4601992254979</v>
      </c>
      <c r="B6249" s="1" t="s">
        <v>6272</v>
      </c>
      <c r="C6249" s="1" t="s">
        <v>24</v>
      </c>
      <c r="D6249" s="1" t="str">
        <f t="shared" si="11663"/>
        <v>2021</v>
      </c>
      <c r="E6249" s="1" t="str">
        <f t="shared" ref="E6249:P6249" si="11713">"0"</f>
        <v>0</v>
      </c>
      <c r="F6249" s="1" t="str">
        <f t="shared" si="11713"/>
        <v>0</v>
      </c>
      <c r="G6249" s="1" t="str">
        <f t="shared" si="11713"/>
        <v>0</v>
      </c>
      <c r="H6249" s="1" t="str">
        <f t="shared" si="11713"/>
        <v>0</v>
      </c>
      <c r="I6249" s="1" t="str">
        <f t="shared" si="11713"/>
        <v>0</v>
      </c>
      <c r="J6249" s="1" t="str">
        <f t="shared" si="11713"/>
        <v>0</v>
      </c>
      <c r="K6249" s="1" t="str">
        <f t="shared" si="11713"/>
        <v>0</v>
      </c>
      <c r="L6249" s="1" t="str">
        <f t="shared" si="11713"/>
        <v>0</v>
      </c>
      <c r="M6249" s="1" t="str">
        <f t="shared" si="11713"/>
        <v>0</v>
      </c>
      <c r="N6249" s="1" t="str">
        <f t="shared" si="11713"/>
        <v>0</v>
      </c>
      <c r="O6249" s="1" t="str">
        <f t="shared" si="11713"/>
        <v>0</v>
      </c>
      <c r="P6249" s="1" t="str">
        <f t="shared" si="11713"/>
        <v>0</v>
      </c>
      <c r="Q6249" s="1" t="str">
        <f t="shared" si="11666"/>
        <v>0.0070</v>
      </c>
      <c r="R6249" s="1" t="s">
        <v>25</v>
      </c>
      <c r="T6249" s="1" t="str">
        <f t="shared" si="11667"/>
        <v>0</v>
      </c>
      <c r="U6249" s="1" t="str">
        <f t="shared" si="11702"/>
        <v>0.0070</v>
      </c>
    </row>
    <row r="6250" s="1" customFormat="1" spans="1:21">
      <c r="A6250" s="1" t="str">
        <f>"4601992255226"</f>
        <v>4601992255226</v>
      </c>
      <c r="B6250" s="1" t="s">
        <v>6273</v>
      </c>
      <c r="C6250" s="1" t="s">
        <v>24</v>
      </c>
      <c r="D6250" s="1" t="str">
        <f t="shared" si="11663"/>
        <v>2021</v>
      </c>
      <c r="E6250" s="1" t="str">
        <f t="shared" ref="E6250:P6250" si="11714">"0"</f>
        <v>0</v>
      </c>
      <c r="F6250" s="1" t="str">
        <f t="shared" si="11714"/>
        <v>0</v>
      </c>
      <c r="G6250" s="1" t="str">
        <f t="shared" si="11714"/>
        <v>0</v>
      </c>
      <c r="H6250" s="1" t="str">
        <f t="shared" si="11714"/>
        <v>0</v>
      </c>
      <c r="I6250" s="1" t="str">
        <f t="shared" si="11714"/>
        <v>0</v>
      </c>
      <c r="J6250" s="1" t="str">
        <f t="shared" si="11714"/>
        <v>0</v>
      </c>
      <c r="K6250" s="1" t="str">
        <f t="shared" si="11714"/>
        <v>0</v>
      </c>
      <c r="L6250" s="1" t="str">
        <f t="shared" si="11714"/>
        <v>0</v>
      </c>
      <c r="M6250" s="1" t="str">
        <f t="shared" si="11714"/>
        <v>0</v>
      </c>
      <c r="N6250" s="1" t="str">
        <f t="shared" si="11714"/>
        <v>0</v>
      </c>
      <c r="O6250" s="1" t="str">
        <f t="shared" si="11714"/>
        <v>0</v>
      </c>
      <c r="P6250" s="1" t="str">
        <f t="shared" si="11714"/>
        <v>0</v>
      </c>
      <c r="Q6250" s="1" t="str">
        <f t="shared" si="11666"/>
        <v>0.0070</v>
      </c>
      <c r="R6250" s="1" t="s">
        <v>25</v>
      </c>
      <c r="T6250" s="1" t="str">
        <f t="shared" si="11667"/>
        <v>0</v>
      </c>
      <c r="U6250" s="1" t="str">
        <f t="shared" si="11702"/>
        <v>0.0070</v>
      </c>
    </row>
    <row r="6251" s="1" customFormat="1" spans="1:21">
      <c r="A6251" s="1" t="str">
        <f>"4601992255586"</f>
        <v>4601992255586</v>
      </c>
      <c r="B6251" s="1" t="s">
        <v>6274</v>
      </c>
      <c r="C6251" s="1" t="s">
        <v>24</v>
      </c>
      <c r="D6251" s="1" t="str">
        <f t="shared" si="11663"/>
        <v>2021</v>
      </c>
      <c r="E6251" s="1" t="str">
        <f t="shared" ref="E6251:P6251" si="11715">"0"</f>
        <v>0</v>
      </c>
      <c r="F6251" s="1" t="str">
        <f t="shared" si="11715"/>
        <v>0</v>
      </c>
      <c r="G6251" s="1" t="str">
        <f t="shared" si="11715"/>
        <v>0</v>
      </c>
      <c r="H6251" s="1" t="str">
        <f t="shared" si="11715"/>
        <v>0</v>
      </c>
      <c r="I6251" s="1" t="str">
        <f t="shared" si="11715"/>
        <v>0</v>
      </c>
      <c r="J6251" s="1" t="str">
        <f t="shared" si="11715"/>
        <v>0</v>
      </c>
      <c r="K6251" s="1" t="str">
        <f t="shared" si="11715"/>
        <v>0</v>
      </c>
      <c r="L6251" s="1" t="str">
        <f t="shared" si="11715"/>
        <v>0</v>
      </c>
      <c r="M6251" s="1" t="str">
        <f t="shared" si="11715"/>
        <v>0</v>
      </c>
      <c r="N6251" s="1" t="str">
        <f t="shared" si="11715"/>
        <v>0</v>
      </c>
      <c r="O6251" s="1" t="str">
        <f t="shared" si="11715"/>
        <v>0</v>
      </c>
      <c r="P6251" s="1" t="str">
        <f t="shared" si="11715"/>
        <v>0</v>
      </c>
      <c r="Q6251" s="1" t="str">
        <f t="shared" si="11666"/>
        <v>0.0070</v>
      </c>
      <c r="R6251" s="1" t="s">
        <v>25</v>
      </c>
      <c r="T6251" s="1" t="str">
        <f t="shared" si="11667"/>
        <v>0</v>
      </c>
      <c r="U6251" s="1" t="str">
        <f t="shared" si="11702"/>
        <v>0.0070</v>
      </c>
    </row>
    <row r="6252" s="1" customFormat="1" spans="1:21">
      <c r="A6252" s="1" t="str">
        <f>"4601992255684"</f>
        <v>4601992255684</v>
      </c>
      <c r="B6252" s="1" t="s">
        <v>6275</v>
      </c>
      <c r="C6252" s="1" t="s">
        <v>24</v>
      </c>
      <c r="D6252" s="1" t="str">
        <f t="shared" si="11663"/>
        <v>2021</v>
      </c>
      <c r="E6252" s="1" t="str">
        <f t="shared" ref="E6252:P6252" si="11716">"0"</f>
        <v>0</v>
      </c>
      <c r="F6252" s="1" t="str">
        <f t="shared" si="11716"/>
        <v>0</v>
      </c>
      <c r="G6252" s="1" t="str">
        <f t="shared" si="11716"/>
        <v>0</v>
      </c>
      <c r="H6252" s="1" t="str">
        <f t="shared" si="11716"/>
        <v>0</v>
      </c>
      <c r="I6252" s="1" t="str">
        <f t="shared" si="11716"/>
        <v>0</v>
      </c>
      <c r="J6252" s="1" t="str">
        <f t="shared" si="11716"/>
        <v>0</v>
      </c>
      <c r="K6252" s="1" t="str">
        <f t="shared" si="11716"/>
        <v>0</v>
      </c>
      <c r="L6252" s="1" t="str">
        <f t="shared" si="11716"/>
        <v>0</v>
      </c>
      <c r="M6252" s="1" t="str">
        <f t="shared" si="11716"/>
        <v>0</v>
      </c>
      <c r="N6252" s="1" t="str">
        <f t="shared" si="11716"/>
        <v>0</v>
      </c>
      <c r="O6252" s="1" t="str">
        <f t="shared" si="11716"/>
        <v>0</v>
      </c>
      <c r="P6252" s="1" t="str">
        <f t="shared" si="11716"/>
        <v>0</v>
      </c>
      <c r="Q6252" s="1" t="str">
        <f t="shared" si="11666"/>
        <v>0.0070</v>
      </c>
      <c r="R6252" s="1" t="s">
        <v>25</v>
      </c>
      <c r="T6252" s="1" t="str">
        <f t="shared" si="11667"/>
        <v>0</v>
      </c>
      <c r="U6252" s="1" t="str">
        <f t="shared" si="11702"/>
        <v>0.0070</v>
      </c>
    </row>
    <row r="6253" s="1" customFormat="1" spans="1:21">
      <c r="A6253" s="1" t="str">
        <f>"4601992255747"</f>
        <v>4601992255747</v>
      </c>
      <c r="B6253" s="1" t="s">
        <v>6276</v>
      </c>
      <c r="C6253" s="1" t="s">
        <v>24</v>
      </c>
      <c r="D6253" s="1" t="str">
        <f t="shared" si="11663"/>
        <v>2021</v>
      </c>
      <c r="E6253" s="1" t="str">
        <f t="shared" ref="E6253:P6253" si="11717">"0"</f>
        <v>0</v>
      </c>
      <c r="F6253" s="1" t="str">
        <f t="shared" si="11717"/>
        <v>0</v>
      </c>
      <c r="G6253" s="1" t="str">
        <f t="shared" si="11717"/>
        <v>0</v>
      </c>
      <c r="H6253" s="1" t="str">
        <f t="shared" si="11717"/>
        <v>0</v>
      </c>
      <c r="I6253" s="1" t="str">
        <f t="shared" si="11717"/>
        <v>0</v>
      </c>
      <c r="J6253" s="1" t="str">
        <f t="shared" si="11717"/>
        <v>0</v>
      </c>
      <c r="K6253" s="1" t="str">
        <f t="shared" si="11717"/>
        <v>0</v>
      </c>
      <c r="L6253" s="1" t="str">
        <f t="shared" si="11717"/>
        <v>0</v>
      </c>
      <c r="M6253" s="1" t="str">
        <f t="shared" si="11717"/>
        <v>0</v>
      </c>
      <c r="N6253" s="1" t="str">
        <f t="shared" si="11717"/>
        <v>0</v>
      </c>
      <c r="O6253" s="1" t="str">
        <f t="shared" si="11717"/>
        <v>0</v>
      </c>
      <c r="P6253" s="1" t="str">
        <f t="shared" si="11717"/>
        <v>0</v>
      </c>
      <c r="Q6253" s="1" t="str">
        <f t="shared" si="11666"/>
        <v>0.0070</v>
      </c>
      <c r="R6253" s="1" t="s">
        <v>25</v>
      </c>
      <c r="T6253" s="1" t="str">
        <f t="shared" si="11667"/>
        <v>0</v>
      </c>
      <c r="U6253" s="1" t="str">
        <f t="shared" si="11702"/>
        <v>0.0070</v>
      </c>
    </row>
    <row r="6254" s="1" customFormat="1" spans="1:21">
      <c r="A6254" s="1" t="str">
        <f>"4601992255232"</f>
        <v>4601992255232</v>
      </c>
      <c r="B6254" s="1" t="s">
        <v>6277</v>
      </c>
      <c r="C6254" s="1" t="s">
        <v>24</v>
      </c>
      <c r="D6254" s="1" t="str">
        <f t="shared" si="11663"/>
        <v>2021</v>
      </c>
      <c r="E6254" s="1" t="str">
        <f t="shared" ref="E6254:I6254" si="11718">"0"</f>
        <v>0</v>
      </c>
      <c r="F6254" s="1" t="str">
        <f t="shared" si="11718"/>
        <v>0</v>
      </c>
      <c r="G6254" s="1" t="str">
        <f t="shared" si="11718"/>
        <v>0</v>
      </c>
      <c r="H6254" s="1" t="str">
        <f t="shared" si="11718"/>
        <v>0</v>
      </c>
      <c r="I6254" s="1" t="str">
        <f t="shared" si="11718"/>
        <v>0</v>
      </c>
      <c r="J6254" s="1" t="str">
        <f>"1"</f>
        <v>1</v>
      </c>
      <c r="K6254" s="1" t="str">
        <f t="shared" ref="K6254:P6254" si="11719">"0"</f>
        <v>0</v>
      </c>
      <c r="L6254" s="1" t="str">
        <f t="shared" si="11719"/>
        <v>0</v>
      </c>
      <c r="M6254" s="1" t="str">
        <f t="shared" si="11719"/>
        <v>0</v>
      </c>
      <c r="N6254" s="1" t="str">
        <f t="shared" si="11719"/>
        <v>0</v>
      </c>
      <c r="O6254" s="1" t="str">
        <f t="shared" si="11719"/>
        <v>0</v>
      </c>
      <c r="P6254" s="1" t="str">
        <f t="shared" si="11719"/>
        <v>0</v>
      </c>
      <c r="Q6254" s="1" t="str">
        <f t="shared" si="11666"/>
        <v>0.0070</v>
      </c>
      <c r="R6254" s="1" t="s">
        <v>25</v>
      </c>
      <c r="T6254" s="1" t="str">
        <f t="shared" si="11667"/>
        <v>0</v>
      </c>
      <c r="U6254" s="1" t="str">
        <f t="shared" si="11702"/>
        <v>0.0070</v>
      </c>
    </row>
    <row r="6255" s="1" customFormat="1" spans="1:21">
      <c r="A6255" s="1" t="str">
        <f>"4601992255950"</f>
        <v>4601992255950</v>
      </c>
      <c r="B6255" s="1" t="s">
        <v>6278</v>
      </c>
      <c r="C6255" s="1" t="s">
        <v>24</v>
      </c>
      <c r="D6255" s="1" t="str">
        <f t="shared" si="11663"/>
        <v>2021</v>
      </c>
      <c r="E6255" s="1" t="str">
        <f t="shared" ref="E6255:P6255" si="11720">"0"</f>
        <v>0</v>
      </c>
      <c r="F6255" s="1" t="str">
        <f t="shared" si="11720"/>
        <v>0</v>
      </c>
      <c r="G6255" s="1" t="str">
        <f t="shared" si="11720"/>
        <v>0</v>
      </c>
      <c r="H6255" s="1" t="str">
        <f t="shared" si="11720"/>
        <v>0</v>
      </c>
      <c r="I6255" s="1" t="str">
        <f t="shared" si="11720"/>
        <v>0</v>
      </c>
      <c r="J6255" s="1" t="str">
        <f t="shared" si="11720"/>
        <v>0</v>
      </c>
      <c r="K6255" s="1" t="str">
        <f t="shared" si="11720"/>
        <v>0</v>
      </c>
      <c r="L6255" s="1" t="str">
        <f t="shared" si="11720"/>
        <v>0</v>
      </c>
      <c r="M6255" s="1" t="str">
        <f t="shared" si="11720"/>
        <v>0</v>
      </c>
      <c r="N6255" s="1" t="str">
        <f t="shared" si="11720"/>
        <v>0</v>
      </c>
      <c r="O6255" s="1" t="str">
        <f t="shared" si="11720"/>
        <v>0</v>
      </c>
      <c r="P6255" s="1" t="str">
        <f t="shared" si="11720"/>
        <v>0</v>
      </c>
      <c r="Q6255" s="1" t="str">
        <f t="shared" si="11666"/>
        <v>0.0070</v>
      </c>
      <c r="R6255" s="1" t="s">
        <v>25</v>
      </c>
      <c r="T6255" s="1" t="str">
        <f t="shared" si="11667"/>
        <v>0</v>
      </c>
      <c r="U6255" s="1" t="str">
        <f t="shared" si="11702"/>
        <v>0.0070</v>
      </c>
    </row>
    <row r="6256" s="1" customFormat="1" spans="1:21">
      <c r="A6256" s="1" t="str">
        <f>"4601992256504"</f>
        <v>4601992256504</v>
      </c>
      <c r="B6256" s="1" t="s">
        <v>6279</v>
      </c>
      <c r="C6256" s="1" t="s">
        <v>24</v>
      </c>
      <c r="D6256" s="1" t="str">
        <f t="shared" si="11663"/>
        <v>2021</v>
      </c>
      <c r="E6256" s="1" t="str">
        <f t="shared" ref="E6256:P6256" si="11721">"0"</f>
        <v>0</v>
      </c>
      <c r="F6256" s="1" t="str">
        <f t="shared" si="11721"/>
        <v>0</v>
      </c>
      <c r="G6256" s="1" t="str">
        <f t="shared" si="11721"/>
        <v>0</v>
      </c>
      <c r="H6256" s="1" t="str">
        <f t="shared" si="11721"/>
        <v>0</v>
      </c>
      <c r="I6256" s="1" t="str">
        <f t="shared" si="11721"/>
        <v>0</v>
      </c>
      <c r="J6256" s="1" t="str">
        <f t="shared" si="11721"/>
        <v>0</v>
      </c>
      <c r="K6256" s="1" t="str">
        <f t="shared" si="11721"/>
        <v>0</v>
      </c>
      <c r="L6256" s="1" t="str">
        <f t="shared" si="11721"/>
        <v>0</v>
      </c>
      <c r="M6256" s="1" t="str">
        <f t="shared" si="11721"/>
        <v>0</v>
      </c>
      <c r="N6256" s="1" t="str">
        <f t="shared" si="11721"/>
        <v>0</v>
      </c>
      <c r="O6256" s="1" t="str">
        <f t="shared" si="11721"/>
        <v>0</v>
      </c>
      <c r="P6256" s="1" t="str">
        <f t="shared" si="11721"/>
        <v>0</v>
      </c>
      <c r="Q6256" s="1" t="str">
        <f t="shared" si="11666"/>
        <v>0.0070</v>
      </c>
      <c r="R6256" s="1" t="s">
        <v>25</v>
      </c>
      <c r="T6256" s="1" t="str">
        <f t="shared" si="11667"/>
        <v>0</v>
      </c>
      <c r="U6256" s="1" t="str">
        <f t="shared" si="11702"/>
        <v>0.0070</v>
      </c>
    </row>
    <row r="6257" s="1" customFormat="1" spans="1:21">
      <c r="A6257" s="1" t="str">
        <f>"4601992256034"</f>
        <v>4601992256034</v>
      </c>
      <c r="B6257" s="1" t="s">
        <v>6280</v>
      </c>
      <c r="C6257" s="1" t="s">
        <v>24</v>
      </c>
      <c r="D6257" s="1" t="str">
        <f t="shared" si="11663"/>
        <v>2021</v>
      </c>
      <c r="E6257" s="1" t="str">
        <f t="shared" ref="E6257:P6257" si="11722">"0"</f>
        <v>0</v>
      </c>
      <c r="F6257" s="1" t="str">
        <f t="shared" si="11722"/>
        <v>0</v>
      </c>
      <c r="G6257" s="1" t="str">
        <f t="shared" si="11722"/>
        <v>0</v>
      </c>
      <c r="H6257" s="1" t="str">
        <f t="shared" si="11722"/>
        <v>0</v>
      </c>
      <c r="I6257" s="1" t="str">
        <f t="shared" si="11722"/>
        <v>0</v>
      </c>
      <c r="J6257" s="1" t="str">
        <f t="shared" si="11722"/>
        <v>0</v>
      </c>
      <c r="K6257" s="1" t="str">
        <f t="shared" si="11722"/>
        <v>0</v>
      </c>
      <c r="L6257" s="1" t="str">
        <f t="shared" si="11722"/>
        <v>0</v>
      </c>
      <c r="M6257" s="1" t="str">
        <f t="shared" si="11722"/>
        <v>0</v>
      </c>
      <c r="N6257" s="1" t="str">
        <f t="shared" si="11722"/>
        <v>0</v>
      </c>
      <c r="O6257" s="1" t="str">
        <f t="shared" si="11722"/>
        <v>0</v>
      </c>
      <c r="P6257" s="1" t="str">
        <f t="shared" si="11722"/>
        <v>0</v>
      </c>
      <c r="Q6257" s="1" t="str">
        <f t="shared" si="11666"/>
        <v>0.0070</v>
      </c>
      <c r="R6257" s="1" t="s">
        <v>25</v>
      </c>
      <c r="T6257" s="1" t="str">
        <f t="shared" si="11667"/>
        <v>0</v>
      </c>
      <c r="U6257" s="1" t="str">
        <f t="shared" si="11702"/>
        <v>0.0070</v>
      </c>
    </row>
    <row r="6258" s="1" customFormat="1" spans="1:21">
      <c r="A6258" s="1" t="str">
        <f>"4601992256519"</f>
        <v>4601992256519</v>
      </c>
      <c r="B6258" s="1" t="s">
        <v>6281</v>
      </c>
      <c r="C6258" s="1" t="s">
        <v>24</v>
      </c>
      <c r="D6258" s="1" t="str">
        <f t="shared" si="11663"/>
        <v>2021</v>
      </c>
      <c r="E6258" s="1" t="str">
        <f t="shared" ref="E6258:P6258" si="11723">"0"</f>
        <v>0</v>
      </c>
      <c r="F6258" s="1" t="str">
        <f t="shared" si="11723"/>
        <v>0</v>
      </c>
      <c r="G6258" s="1" t="str">
        <f t="shared" si="11723"/>
        <v>0</v>
      </c>
      <c r="H6258" s="1" t="str">
        <f t="shared" si="11723"/>
        <v>0</v>
      </c>
      <c r="I6258" s="1" t="str">
        <f t="shared" si="11723"/>
        <v>0</v>
      </c>
      <c r="J6258" s="1" t="str">
        <f t="shared" si="11723"/>
        <v>0</v>
      </c>
      <c r="K6258" s="1" t="str">
        <f t="shared" si="11723"/>
        <v>0</v>
      </c>
      <c r="L6258" s="1" t="str">
        <f t="shared" si="11723"/>
        <v>0</v>
      </c>
      <c r="M6258" s="1" t="str">
        <f t="shared" si="11723"/>
        <v>0</v>
      </c>
      <c r="N6258" s="1" t="str">
        <f t="shared" si="11723"/>
        <v>0</v>
      </c>
      <c r="O6258" s="1" t="str">
        <f t="shared" si="11723"/>
        <v>0</v>
      </c>
      <c r="P6258" s="1" t="str">
        <f t="shared" si="11723"/>
        <v>0</v>
      </c>
      <c r="Q6258" s="1" t="str">
        <f t="shared" si="11666"/>
        <v>0.0070</v>
      </c>
      <c r="R6258" s="1" t="s">
        <v>25</v>
      </c>
      <c r="T6258" s="1" t="str">
        <f t="shared" si="11667"/>
        <v>0</v>
      </c>
      <c r="U6258" s="1" t="str">
        <f t="shared" si="11702"/>
        <v>0.0070</v>
      </c>
    </row>
    <row r="6259" s="1" customFormat="1" spans="1:21">
      <c r="A6259" s="1" t="str">
        <f>"4601992256631"</f>
        <v>4601992256631</v>
      </c>
      <c r="B6259" s="1" t="s">
        <v>6282</v>
      </c>
      <c r="C6259" s="1" t="s">
        <v>24</v>
      </c>
      <c r="D6259" s="1" t="str">
        <f t="shared" si="11663"/>
        <v>2021</v>
      </c>
      <c r="E6259" s="1" t="str">
        <f t="shared" ref="E6259:P6259" si="11724">"0"</f>
        <v>0</v>
      </c>
      <c r="F6259" s="1" t="str">
        <f t="shared" si="11724"/>
        <v>0</v>
      </c>
      <c r="G6259" s="1" t="str">
        <f t="shared" si="11724"/>
        <v>0</v>
      </c>
      <c r="H6259" s="1" t="str">
        <f t="shared" si="11724"/>
        <v>0</v>
      </c>
      <c r="I6259" s="1" t="str">
        <f t="shared" si="11724"/>
        <v>0</v>
      </c>
      <c r="J6259" s="1" t="str">
        <f t="shared" si="11724"/>
        <v>0</v>
      </c>
      <c r="K6259" s="1" t="str">
        <f t="shared" si="11724"/>
        <v>0</v>
      </c>
      <c r="L6259" s="1" t="str">
        <f t="shared" si="11724"/>
        <v>0</v>
      </c>
      <c r="M6259" s="1" t="str">
        <f t="shared" si="11724"/>
        <v>0</v>
      </c>
      <c r="N6259" s="1" t="str">
        <f t="shared" si="11724"/>
        <v>0</v>
      </c>
      <c r="O6259" s="1" t="str">
        <f t="shared" si="11724"/>
        <v>0</v>
      </c>
      <c r="P6259" s="1" t="str">
        <f t="shared" si="11724"/>
        <v>0</v>
      </c>
      <c r="Q6259" s="1" t="str">
        <f t="shared" si="11666"/>
        <v>0.0070</v>
      </c>
      <c r="R6259" s="1" t="s">
        <v>25</v>
      </c>
      <c r="T6259" s="1" t="str">
        <f t="shared" si="11667"/>
        <v>0</v>
      </c>
      <c r="U6259" s="1" t="str">
        <f t="shared" si="11702"/>
        <v>0.0070</v>
      </c>
    </row>
    <row r="6260" s="1" customFormat="1" spans="1:21">
      <c r="A6260" s="1" t="str">
        <f>"4601992256714"</f>
        <v>4601992256714</v>
      </c>
      <c r="B6260" s="1" t="s">
        <v>6283</v>
      </c>
      <c r="C6260" s="1" t="s">
        <v>24</v>
      </c>
      <c r="D6260" s="1" t="str">
        <f t="shared" si="11663"/>
        <v>2021</v>
      </c>
      <c r="E6260" s="1" t="str">
        <f t="shared" ref="E6260:P6260" si="11725">"0"</f>
        <v>0</v>
      </c>
      <c r="F6260" s="1" t="str">
        <f t="shared" si="11725"/>
        <v>0</v>
      </c>
      <c r="G6260" s="1" t="str">
        <f t="shared" si="11725"/>
        <v>0</v>
      </c>
      <c r="H6260" s="1" t="str">
        <f t="shared" si="11725"/>
        <v>0</v>
      </c>
      <c r="I6260" s="1" t="str">
        <f t="shared" si="11725"/>
        <v>0</v>
      </c>
      <c r="J6260" s="1" t="str">
        <f t="shared" si="11725"/>
        <v>0</v>
      </c>
      <c r="K6260" s="1" t="str">
        <f t="shared" si="11725"/>
        <v>0</v>
      </c>
      <c r="L6260" s="1" t="str">
        <f t="shared" si="11725"/>
        <v>0</v>
      </c>
      <c r="M6260" s="1" t="str">
        <f t="shared" si="11725"/>
        <v>0</v>
      </c>
      <c r="N6260" s="1" t="str">
        <f t="shared" si="11725"/>
        <v>0</v>
      </c>
      <c r="O6260" s="1" t="str">
        <f t="shared" si="11725"/>
        <v>0</v>
      </c>
      <c r="P6260" s="1" t="str">
        <f t="shared" si="11725"/>
        <v>0</v>
      </c>
      <c r="Q6260" s="1" t="str">
        <f t="shared" si="11666"/>
        <v>0.0070</v>
      </c>
      <c r="R6260" s="1" t="s">
        <v>25</v>
      </c>
      <c r="T6260" s="1" t="str">
        <f t="shared" si="11667"/>
        <v>0</v>
      </c>
      <c r="U6260" s="1" t="str">
        <f t="shared" si="11702"/>
        <v>0.0070</v>
      </c>
    </row>
    <row r="6261" s="1" customFormat="1" spans="1:21">
      <c r="A6261" s="1" t="str">
        <f>"4601992256660"</f>
        <v>4601992256660</v>
      </c>
      <c r="B6261" s="1" t="s">
        <v>6284</v>
      </c>
      <c r="C6261" s="1" t="s">
        <v>24</v>
      </c>
      <c r="D6261" s="1" t="str">
        <f t="shared" si="11663"/>
        <v>2021</v>
      </c>
      <c r="E6261" s="1" t="str">
        <f t="shared" ref="E6261:P6261" si="11726">"0"</f>
        <v>0</v>
      </c>
      <c r="F6261" s="1" t="str">
        <f t="shared" si="11726"/>
        <v>0</v>
      </c>
      <c r="G6261" s="1" t="str">
        <f t="shared" si="11726"/>
        <v>0</v>
      </c>
      <c r="H6261" s="1" t="str">
        <f t="shared" si="11726"/>
        <v>0</v>
      </c>
      <c r="I6261" s="1" t="str">
        <f t="shared" si="11726"/>
        <v>0</v>
      </c>
      <c r="J6261" s="1" t="str">
        <f t="shared" si="11726"/>
        <v>0</v>
      </c>
      <c r="K6261" s="1" t="str">
        <f t="shared" si="11726"/>
        <v>0</v>
      </c>
      <c r="L6261" s="1" t="str">
        <f t="shared" si="11726"/>
        <v>0</v>
      </c>
      <c r="M6261" s="1" t="str">
        <f t="shared" si="11726"/>
        <v>0</v>
      </c>
      <c r="N6261" s="1" t="str">
        <f t="shared" si="11726"/>
        <v>0</v>
      </c>
      <c r="O6261" s="1" t="str">
        <f t="shared" si="11726"/>
        <v>0</v>
      </c>
      <c r="P6261" s="1" t="str">
        <f t="shared" si="11726"/>
        <v>0</v>
      </c>
      <c r="Q6261" s="1" t="str">
        <f t="shared" si="11666"/>
        <v>0.0070</v>
      </c>
      <c r="R6261" s="1" t="s">
        <v>25</v>
      </c>
      <c r="T6261" s="1" t="str">
        <f t="shared" si="11667"/>
        <v>0</v>
      </c>
      <c r="U6261" s="1" t="str">
        <f t="shared" si="11702"/>
        <v>0.0070</v>
      </c>
    </row>
    <row r="6262" s="1" customFormat="1" spans="1:21">
      <c r="A6262" s="1" t="str">
        <f>"4601992256880"</f>
        <v>4601992256880</v>
      </c>
      <c r="B6262" s="1" t="s">
        <v>6285</v>
      </c>
      <c r="C6262" s="1" t="s">
        <v>24</v>
      </c>
      <c r="D6262" s="1" t="str">
        <f t="shared" si="11663"/>
        <v>2021</v>
      </c>
      <c r="E6262" s="1" t="str">
        <f t="shared" ref="E6262:P6262" si="11727">"0"</f>
        <v>0</v>
      </c>
      <c r="F6262" s="1" t="str">
        <f t="shared" si="11727"/>
        <v>0</v>
      </c>
      <c r="G6262" s="1" t="str">
        <f t="shared" si="11727"/>
        <v>0</v>
      </c>
      <c r="H6262" s="1" t="str">
        <f t="shared" si="11727"/>
        <v>0</v>
      </c>
      <c r="I6262" s="1" t="str">
        <f t="shared" si="11727"/>
        <v>0</v>
      </c>
      <c r="J6262" s="1" t="str">
        <f t="shared" si="11727"/>
        <v>0</v>
      </c>
      <c r="K6262" s="1" t="str">
        <f t="shared" si="11727"/>
        <v>0</v>
      </c>
      <c r="L6262" s="1" t="str">
        <f t="shared" si="11727"/>
        <v>0</v>
      </c>
      <c r="M6262" s="1" t="str">
        <f t="shared" si="11727"/>
        <v>0</v>
      </c>
      <c r="N6262" s="1" t="str">
        <f t="shared" si="11727"/>
        <v>0</v>
      </c>
      <c r="O6262" s="1" t="str">
        <f t="shared" si="11727"/>
        <v>0</v>
      </c>
      <c r="P6262" s="1" t="str">
        <f t="shared" si="11727"/>
        <v>0</v>
      </c>
      <c r="Q6262" s="1" t="str">
        <f t="shared" si="11666"/>
        <v>0.0070</v>
      </c>
      <c r="R6262" s="1" t="s">
        <v>25</v>
      </c>
      <c r="T6262" s="1" t="str">
        <f t="shared" si="11667"/>
        <v>0</v>
      </c>
      <c r="U6262" s="1" t="str">
        <f t="shared" si="11702"/>
        <v>0.0070</v>
      </c>
    </row>
    <row r="6263" s="1" customFormat="1" spans="1:21">
      <c r="A6263" s="1" t="str">
        <f>"4601992257017"</f>
        <v>4601992257017</v>
      </c>
      <c r="B6263" s="1" t="s">
        <v>6286</v>
      </c>
      <c r="C6263" s="1" t="s">
        <v>24</v>
      </c>
      <c r="D6263" s="1" t="str">
        <f t="shared" si="11663"/>
        <v>2021</v>
      </c>
      <c r="E6263" s="1" t="str">
        <f t="shared" ref="E6263:P6263" si="11728">"0"</f>
        <v>0</v>
      </c>
      <c r="F6263" s="1" t="str">
        <f t="shared" si="11728"/>
        <v>0</v>
      </c>
      <c r="G6263" s="1" t="str">
        <f t="shared" si="11728"/>
        <v>0</v>
      </c>
      <c r="H6263" s="1" t="str">
        <f t="shared" si="11728"/>
        <v>0</v>
      </c>
      <c r="I6263" s="1" t="str">
        <f t="shared" si="11728"/>
        <v>0</v>
      </c>
      <c r="J6263" s="1" t="str">
        <f t="shared" si="11728"/>
        <v>0</v>
      </c>
      <c r="K6263" s="1" t="str">
        <f t="shared" si="11728"/>
        <v>0</v>
      </c>
      <c r="L6263" s="1" t="str">
        <f t="shared" si="11728"/>
        <v>0</v>
      </c>
      <c r="M6263" s="1" t="str">
        <f t="shared" si="11728"/>
        <v>0</v>
      </c>
      <c r="N6263" s="1" t="str">
        <f t="shared" si="11728"/>
        <v>0</v>
      </c>
      <c r="O6263" s="1" t="str">
        <f t="shared" si="11728"/>
        <v>0</v>
      </c>
      <c r="P6263" s="1" t="str">
        <f t="shared" si="11728"/>
        <v>0</v>
      </c>
      <c r="Q6263" s="1" t="str">
        <f t="shared" si="11666"/>
        <v>0.0070</v>
      </c>
      <c r="R6263" s="1" t="s">
        <v>25</v>
      </c>
      <c r="T6263" s="1" t="str">
        <f t="shared" si="11667"/>
        <v>0</v>
      </c>
      <c r="U6263" s="1" t="str">
        <f t="shared" si="11702"/>
        <v>0.0070</v>
      </c>
    </row>
    <row r="6264" s="1" customFormat="1" spans="1:21">
      <c r="A6264" s="1" t="str">
        <f>"4601992257083"</f>
        <v>4601992257083</v>
      </c>
      <c r="B6264" s="1" t="s">
        <v>6287</v>
      </c>
      <c r="C6264" s="1" t="s">
        <v>24</v>
      </c>
      <c r="D6264" s="1" t="str">
        <f t="shared" si="11663"/>
        <v>2021</v>
      </c>
      <c r="E6264" s="1" t="str">
        <f t="shared" ref="E6264:P6264" si="11729">"0"</f>
        <v>0</v>
      </c>
      <c r="F6264" s="1" t="str">
        <f t="shared" si="11729"/>
        <v>0</v>
      </c>
      <c r="G6264" s="1" t="str">
        <f t="shared" si="11729"/>
        <v>0</v>
      </c>
      <c r="H6264" s="1" t="str">
        <f t="shared" si="11729"/>
        <v>0</v>
      </c>
      <c r="I6264" s="1" t="str">
        <f t="shared" si="11729"/>
        <v>0</v>
      </c>
      <c r="J6264" s="1" t="str">
        <f t="shared" si="11729"/>
        <v>0</v>
      </c>
      <c r="K6264" s="1" t="str">
        <f t="shared" si="11729"/>
        <v>0</v>
      </c>
      <c r="L6264" s="1" t="str">
        <f t="shared" si="11729"/>
        <v>0</v>
      </c>
      <c r="M6264" s="1" t="str">
        <f t="shared" si="11729"/>
        <v>0</v>
      </c>
      <c r="N6264" s="1" t="str">
        <f t="shared" si="11729"/>
        <v>0</v>
      </c>
      <c r="O6264" s="1" t="str">
        <f t="shared" si="11729"/>
        <v>0</v>
      </c>
      <c r="P6264" s="1" t="str">
        <f t="shared" si="11729"/>
        <v>0</v>
      </c>
      <c r="Q6264" s="1" t="str">
        <f t="shared" si="11666"/>
        <v>0.0070</v>
      </c>
      <c r="R6264" s="1" t="s">
        <v>25</v>
      </c>
      <c r="T6264" s="1" t="str">
        <f t="shared" si="11667"/>
        <v>0</v>
      </c>
      <c r="U6264" s="1" t="str">
        <f t="shared" si="11702"/>
        <v>0.0070</v>
      </c>
    </row>
    <row r="6265" s="1" customFormat="1" spans="1:21">
      <c r="A6265" s="1" t="str">
        <f>"4601992257243"</f>
        <v>4601992257243</v>
      </c>
      <c r="B6265" s="1" t="s">
        <v>6288</v>
      </c>
      <c r="C6265" s="1" t="s">
        <v>24</v>
      </c>
      <c r="D6265" s="1" t="str">
        <f t="shared" si="11663"/>
        <v>2021</v>
      </c>
      <c r="E6265" s="1" t="str">
        <f t="shared" ref="E6265:P6265" si="11730">"0"</f>
        <v>0</v>
      </c>
      <c r="F6265" s="1" t="str">
        <f t="shared" si="11730"/>
        <v>0</v>
      </c>
      <c r="G6265" s="1" t="str">
        <f t="shared" si="11730"/>
        <v>0</v>
      </c>
      <c r="H6265" s="1" t="str">
        <f t="shared" si="11730"/>
        <v>0</v>
      </c>
      <c r="I6265" s="1" t="str">
        <f t="shared" si="11730"/>
        <v>0</v>
      </c>
      <c r="J6265" s="1" t="str">
        <f t="shared" si="11730"/>
        <v>0</v>
      </c>
      <c r="K6265" s="1" t="str">
        <f t="shared" si="11730"/>
        <v>0</v>
      </c>
      <c r="L6265" s="1" t="str">
        <f t="shared" si="11730"/>
        <v>0</v>
      </c>
      <c r="M6265" s="1" t="str">
        <f t="shared" si="11730"/>
        <v>0</v>
      </c>
      <c r="N6265" s="1" t="str">
        <f t="shared" si="11730"/>
        <v>0</v>
      </c>
      <c r="O6265" s="1" t="str">
        <f t="shared" si="11730"/>
        <v>0</v>
      </c>
      <c r="P6265" s="1" t="str">
        <f t="shared" si="11730"/>
        <v>0</v>
      </c>
      <c r="Q6265" s="1" t="str">
        <f t="shared" si="11666"/>
        <v>0.0070</v>
      </c>
      <c r="R6265" s="1" t="s">
        <v>25</v>
      </c>
      <c r="T6265" s="1" t="str">
        <f t="shared" si="11667"/>
        <v>0</v>
      </c>
      <c r="U6265" s="1" t="str">
        <f t="shared" si="11702"/>
        <v>0.0070</v>
      </c>
    </row>
    <row r="6266" s="1" customFormat="1" spans="1:21">
      <c r="A6266" s="1" t="str">
        <f>"4601992257320"</f>
        <v>4601992257320</v>
      </c>
      <c r="B6266" s="1" t="s">
        <v>6289</v>
      </c>
      <c r="C6266" s="1" t="s">
        <v>24</v>
      </c>
      <c r="D6266" s="1" t="str">
        <f t="shared" si="11663"/>
        <v>2021</v>
      </c>
      <c r="E6266" s="1" t="str">
        <f t="shared" ref="E6266:P6266" si="11731">"0"</f>
        <v>0</v>
      </c>
      <c r="F6266" s="1" t="str">
        <f t="shared" si="11731"/>
        <v>0</v>
      </c>
      <c r="G6266" s="1" t="str">
        <f t="shared" si="11731"/>
        <v>0</v>
      </c>
      <c r="H6266" s="1" t="str">
        <f t="shared" si="11731"/>
        <v>0</v>
      </c>
      <c r="I6266" s="1" t="str">
        <f t="shared" si="11731"/>
        <v>0</v>
      </c>
      <c r="J6266" s="1" t="str">
        <f t="shared" si="11731"/>
        <v>0</v>
      </c>
      <c r="K6266" s="1" t="str">
        <f t="shared" si="11731"/>
        <v>0</v>
      </c>
      <c r="L6266" s="1" t="str">
        <f t="shared" si="11731"/>
        <v>0</v>
      </c>
      <c r="M6266" s="1" t="str">
        <f t="shared" si="11731"/>
        <v>0</v>
      </c>
      <c r="N6266" s="1" t="str">
        <f t="shared" si="11731"/>
        <v>0</v>
      </c>
      <c r="O6266" s="1" t="str">
        <f t="shared" si="11731"/>
        <v>0</v>
      </c>
      <c r="P6266" s="1" t="str">
        <f t="shared" si="11731"/>
        <v>0</v>
      </c>
      <c r="Q6266" s="1" t="str">
        <f t="shared" si="11666"/>
        <v>0.0070</v>
      </c>
      <c r="R6266" s="1" t="s">
        <v>25</v>
      </c>
      <c r="T6266" s="1" t="str">
        <f t="shared" si="11667"/>
        <v>0</v>
      </c>
      <c r="U6266" s="1" t="str">
        <f t="shared" si="11702"/>
        <v>0.0070</v>
      </c>
    </row>
    <row r="6267" s="1" customFormat="1" spans="1:21">
      <c r="A6267" s="1" t="str">
        <f>"4601992257507"</f>
        <v>4601992257507</v>
      </c>
      <c r="B6267" s="1" t="s">
        <v>6290</v>
      </c>
      <c r="C6267" s="1" t="s">
        <v>24</v>
      </c>
      <c r="D6267" s="1" t="str">
        <f t="shared" si="11663"/>
        <v>2021</v>
      </c>
      <c r="E6267" s="1" t="str">
        <f t="shared" ref="E6267:P6267" si="11732">"0"</f>
        <v>0</v>
      </c>
      <c r="F6267" s="1" t="str">
        <f t="shared" si="11732"/>
        <v>0</v>
      </c>
      <c r="G6267" s="1" t="str">
        <f t="shared" si="11732"/>
        <v>0</v>
      </c>
      <c r="H6267" s="1" t="str">
        <f t="shared" si="11732"/>
        <v>0</v>
      </c>
      <c r="I6267" s="1" t="str">
        <f t="shared" si="11732"/>
        <v>0</v>
      </c>
      <c r="J6267" s="1" t="str">
        <f t="shared" si="11732"/>
        <v>0</v>
      </c>
      <c r="K6267" s="1" t="str">
        <f t="shared" si="11732"/>
        <v>0</v>
      </c>
      <c r="L6267" s="1" t="str">
        <f t="shared" si="11732"/>
        <v>0</v>
      </c>
      <c r="M6267" s="1" t="str">
        <f t="shared" si="11732"/>
        <v>0</v>
      </c>
      <c r="N6267" s="1" t="str">
        <f t="shared" si="11732"/>
        <v>0</v>
      </c>
      <c r="O6267" s="1" t="str">
        <f t="shared" si="11732"/>
        <v>0</v>
      </c>
      <c r="P6267" s="1" t="str">
        <f t="shared" si="11732"/>
        <v>0</v>
      </c>
      <c r="Q6267" s="1" t="str">
        <f t="shared" si="11666"/>
        <v>0.0070</v>
      </c>
      <c r="R6267" s="1" t="s">
        <v>25</v>
      </c>
      <c r="T6267" s="1" t="str">
        <f t="shared" si="11667"/>
        <v>0</v>
      </c>
      <c r="U6267" s="1" t="str">
        <f t="shared" si="11702"/>
        <v>0.0070</v>
      </c>
    </row>
    <row r="6268" s="1" customFormat="1" spans="1:21">
      <c r="A6268" s="1" t="str">
        <f>"4601992257668"</f>
        <v>4601992257668</v>
      </c>
      <c r="B6268" s="1" t="s">
        <v>6291</v>
      </c>
      <c r="C6268" s="1" t="s">
        <v>24</v>
      </c>
      <c r="D6268" s="1" t="str">
        <f t="shared" si="11663"/>
        <v>2021</v>
      </c>
      <c r="E6268" s="1" t="str">
        <f t="shared" ref="E6268:P6268" si="11733">"0"</f>
        <v>0</v>
      </c>
      <c r="F6268" s="1" t="str">
        <f t="shared" si="11733"/>
        <v>0</v>
      </c>
      <c r="G6268" s="1" t="str">
        <f t="shared" si="11733"/>
        <v>0</v>
      </c>
      <c r="H6268" s="1" t="str">
        <f t="shared" si="11733"/>
        <v>0</v>
      </c>
      <c r="I6268" s="1" t="str">
        <f t="shared" si="11733"/>
        <v>0</v>
      </c>
      <c r="J6268" s="1" t="str">
        <f t="shared" si="11733"/>
        <v>0</v>
      </c>
      <c r="K6268" s="1" t="str">
        <f t="shared" si="11733"/>
        <v>0</v>
      </c>
      <c r="L6268" s="1" t="str">
        <f t="shared" si="11733"/>
        <v>0</v>
      </c>
      <c r="M6268" s="1" t="str">
        <f t="shared" si="11733"/>
        <v>0</v>
      </c>
      <c r="N6268" s="1" t="str">
        <f t="shared" si="11733"/>
        <v>0</v>
      </c>
      <c r="O6268" s="1" t="str">
        <f t="shared" si="11733"/>
        <v>0</v>
      </c>
      <c r="P6268" s="1" t="str">
        <f t="shared" si="11733"/>
        <v>0</v>
      </c>
      <c r="Q6268" s="1" t="str">
        <f t="shared" si="11666"/>
        <v>0.0070</v>
      </c>
      <c r="R6268" s="1" t="s">
        <v>25</v>
      </c>
      <c r="T6268" s="1" t="str">
        <f t="shared" si="11667"/>
        <v>0</v>
      </c>
      <c r="U6268" s="1" t="str">
        <f t="shared" si="11702"/>
        <v>0.0070</v>
      </c>
    </row>
    <row r="6269" s="1" customFormat="1" spans="1:21">
      <c r="A6269" s="1" t="str">
        <f>"4601992257331"</f>
        <v>4601992257331</v>
      </c>
      <c r="B6269" s="1" t="s">
        <v>6292</v>
      </c>
      <c r="C6269" s="1" t="s">
        <v>24</v>
      </c>
      <c r="D6269" s="1" t="str">
        <f t="shared" si="11663"/>
        <v>2021</v>
      </c>
      <c r="E6269" s="1" t="str">
        <f t="shared" ref="E6269:P6269" si="11734">"0"</f>
        <v>0</v>
      </c>
      <c r="F6269" s="1" t="str">
        <f t="shared" si="11734"/>
        <v>0</v>
      </c>
      <c r="G6269" s="1" t="str">
        <f t="shared" si="11734"/>
        <v>0</v>
      </c>
      <c r="H6269" s="1" t="str">
        <f t="shared" si="11734"/>
        <v>0</v>
      </c>
      <c r="I6269" s="1" t="str">
        <f t="shared" si="11734"/>
        <v>0</v>
      </c>
      <c r="J6269" s="1" t="str">
        <f t="shared" si="11734"/>
        <v>0</v>
      </c>
      <c r="K6269" s="1" t="str">
        <f t="shared" si="11734"/>
        <v>0</v>
      </c>
      <c r="L6269" s="1" t="str">
        <f t="shared" si="11734"/>
        <v>0</v>
      </c>
      <c r="M6269" s="1" t="str">
        <f t="shared" si="11734"/>
        <v>0</v>
      </c>
      <c r="N6269" s="1" t="str">
        <f t="shared" si="11734"/>
        <v>0</v>
      </c>
      <c r="O6269" s="1" t="str">
        <f t="shared" si="11734"/>
        <v>0</v>
      </c>
      <c r="P6269" s="1" t="str">
        <f t="shared" si="11734"/>
        <v>0</v>
      </c>
      <c r="Q6269" s="1" t="str">
        <f t="shared" si="11666"/>
        <v>0.0070</v>
      </c>
      <c r="R6269" s="1" t="s">
        <v>25</v>
      </c>
      <c r="T6269" s="1" t="str">
        <f t="shared" si="11667"/>
        <v>0</v>
      </c>
      <c r="U6269" s="1" t="str">
        <f t="shared" si="11702"/>
        <v>0.0070</v>
      </c>
    </row>
    <row r="6270" s="1" customFormat="1" spans="1:21">
      <c r="A6270" s="1" t="str">
        <f>"4601992257753"</f>
        <v>4601992257753</v>
      </c>
      <c r="B6270" s="1" t="s">
        <v>6293</v>
      </c>
      <c r="C6270" s="1" t="s">
        <v>24</v>
      </c>
      <c r="D6270" s="1" t="str">
        <f t="shared" si="11663"/>
        <v>2021</v>
      </c>
      <c r="E6270" s="1" t="str">
        <f t="shared" ref="E6270:P6270" si="11735">"0"</f>
        <v>0</v>
      </c>
      <c r="F6270" s="1" t="str">
        <f t="shared" si="11735"/>
        <v>0</v>
      </c>
      <c r="G6270" s="1" t="str">
        <f t="shared" si="11735"/>
        <v>0</v>
      </c>
      <c r="H6270" s="1" t="str">
        <f t="shared" si="11735"/>
        <v>0</v>
      </c>
      <c r="I6270" s="1" t="str">
        <f t="shared" si="11735"/>
        <v>0</v>
      </c>
      <c r="J6270" s="1" t="str">
        <f t="shared" si="11735"/>
        <v>0</v>
      </c>
      <c r="K6270" s="1" t="str">
        <f t="shared" si="11735"/>
        <v>0</v>
      </c>
      <c r="L6270" s="1" t="str">
        <f t="shared" si="11735"/>
        <v>0</v>
      </c>
      <c r="M6270" s="1" t="str">
        <f t="shared" si="11735"/>
        <v>0</v>
      </c>
      <c r="N6270" s="1" t="str">
        <f t="shared" si="11735"/>
        <v>0</v>
      </c>
      <c r="O6270" s="1" t="str">
        <f t="shared" si="11735"/>
        <v>0</v>
      </c>
      <c r="P6270" s="1" t="str">
        <f t="shared" si="11735"/>
        <v>0</v>
      </c>
      <c r="Q6270" s="1" t="str">
        <f t="shared" si="11666"/>
        <v>0.0070</v>
      </c>
      <c r="R6270" s="1" t="s">
        <v>25</v>
      </c>
      <c r="T6270" s="1" t="str">
        <f t="shared" si="11667"/>
        <v>0</v>
      </c>
      <c r="U6270" s="1" t="str">
        <f t="shared" si="11702"/>
        <v>0.0070</v>
      </c>
    </row>
    <row r="6271" s="1" customFormat="1" spans="1:21">
      <c r="A6271" s="1" t="str">
        <f>"4601992257875"</f>
        <v>4601992257875</v>
      </c>
      <c r="B6271" s="1" t="s">
        <v>6294</v>
      </c>
      <c r="C6271" s="1" t="s">
        <v>24</v>
      </c>
      <c r="D6271" s="1" t="str">
        <f t="shared" si="11663"/>
        <v>2021</v>
      </c>
      <c r="E6271" s="1" t="str">
        <f t="shared" ref="E6271:P6271" si="11736">"0"</f>
        <v>0</v>
      </c>
      <c r="F6271" s="1" t="str">
        <f t="shared" si="11736"/>
        <v>0</v>
      </c>
      <c r="G6271" s="1" t="str">
        <f t="shared" si="11736"/>
        <v>0</v>
      </c>
      <c r="H6271" s="1" t="str">
        <f t="shared" si="11736"/>
        <v>0</v>
      </c>
      <c r="I6271" s="1" t="str">
        <f t="shared" si="11736"/>
        <v>0</v>
      </c>
      <c r="J6271" s="1" t="str">
        <f t="shared" si="11736"/>
        <v>0</v>
      </c>
      <c r="K6271" s="1" t="str">
        <f t="shared" si="11736"/>
        <v>0</v>
      </c>
      <c r="L6271" s="1" t="str">
        <f t="shared" si="11736"/>
        <v>0</v>
      </c>
      <c r="M6271" s="1" t="str">
        <f t="shared" si="11736"/>
        <v>0</v>
      </c>
      <c r="N6271" s="1" t="str">
        <f t="shared" si="11736"/>
        <v>0</v>
      </c>
      <c r="O6271" s="1" t="str">
        <f t="shared" si="11736"/>
        <v>0</v>
      </c>
      <c r="P6271" s="1" t="str">
        <f t="shared" si="11736"/>
        <v>0</v>
      </c>
      <c r="Q6271" s="1" t="str">
        <f t="shared" si="11666"/>
        <v>0.0070</v>
      </c>
      <c r="R6271" s="1" t="s">
        <v>25</v>
      </c>
      <c r="T6271" s="1" t="str">
        <f t="shared" si="11667"/>
        <v>0</v>
      </c>
      <c r="U6271" s="1" t="str">
        <f t="shared" si="11702"/>
        <v>0.0070</v>
      </c>
    </row>
    <row r="6272" s="1" customFormat="1" spans="1:21">
      <c r="A6272" s="1" t="str">
        <f>"4601992257816"</f>
        <v>4601992257816</v>
      </c>
      <c r="B6272" s="1" t="s">
        <v>6295</v>
      </c>
      <c r="C6272" s="1" t="s">
        <v>24</v>
      </c>
      <c r="D6272" s="1" t="str">
        <f t="shared" si="11663"/>
        <v>2021</v>
      </c>
      <c r="E6272" s="1" t="str">
        <f t="shared" ref="E6272:I6272" si="11737">"0"</f>
        <v>0</v>
      </c>
      <c r="F6272" s="1" t="str">
        <f t="shared" si="11737"/>
        <v>0</v>
      </c>
      <c r="G6272" s="1" t="str">
        <f t="shared" si="11737"/>
        <v>0</v>
      </c>
      <c r="H6272" s="1" t="str">
        <f t="shared" si="11737"/>
        <v>0</v>
      </c>
      <c r="I6272" s="1" t="str">
        <f t="shared" si="11737"/>
        <v>0</v>
      </c>
      <c r="J6272" s="1" t="str">
        <f>"1"</f>
        <v>1</v>
      </c>
      <c r="K6272" s="1" t="str">
        <f t="shared" ref="K6272:P6272" si="11738">"0"</f>
        <v>0</v>
      </c>
      <c r="L6272" s="1" t="str">
        <f t="shared" si="11738"/>
        <v>0</v>
      </c>
      <c r="M6272" s="1" t="str">
        <f t="shared" si="11738"/>
        <v>0</v>
      </c>
      <c r="N6272" s="1" t="str">
        <f t="shared" si="11738"/>
        <v>0</v>
      </c>
      <c r="O6272" s="1" t="str">
        <f t="shared" si="11738"/>
        <v>0</v>
      </c>
      <c r="P6272" s="1" t="str">
        <f t="shared" si="11738"/>
        <v>0</v>
      </c>
      <c r="Q6272" s="1" t="str">
        <f t="shared" si="11666"/>
        <v>0.0070</v>
      </c>
      <c r="R6272" s="1" t="s">
        <v>25</v>
      </c>
      <c r="T6272" s="1" t="str">
        <f t="shared" si="11667"/>
        <v>0</v>
      </c>
      <c r="U6272" s="1" t="str">
        <f t="shared" si="11702"/>
        <v>0.0070</v>
      </c>
    </row>
    <row r="6273" s="1" customFormat="1" spans="1:21">
      <c r="A6273" s="1" t="str">
        <f>"4601992257953"</f>
        <v>4601992257953</v>
      </c>
      <c r="B6273" s="1" t="s">
        <v>6296</v>
      </c>
      <c r="C6273" s="1" t="s">
        <v>24</v>
      </c>
      <c r="D6273" s="1" t="str">
        <f t="shared" si="11663"/>
        <v>2021</v>
      </c>
      <c r="E6273" s="1" t="str">
        <f t="shared" ref="E6273:P6273" si="11739">"0"</f>
        <v>0</v>
      </c>
      <c r="F6273" s="1" t="str">
        <f t="shared" si="11739"/>
        <v>0</v>
      </c>
      <c r="G6273" s="1" t="str">
        <f t="shared" si="11739"/>
        <v>0</v>
      </c>
      <c r="H6273" s="1" t="str">
        <f t="shared" si="11739"/>
        <v>0</v>
      </c>
      <c r="I6273" s="1" t="str">
        <f t="shared" si="11739"/>
        <v>0</v>
      </c>
      <c r="J6273" s="1" t="str">
        <f t="shared" si="11739"/>
        <v>0</v>
      </c>
      <c r="K6273" s="1" t="str">
        <f t="shared" si="11739"/>
        <v>0</v>
      </c>
      <c r="L6273" s="1" t="str">
        <f t="shared" si="11739"/>
        <v>0</v>
      </c>
      <c r="M6273" s="1" t="str">
        <f t="shared" si="11739"/>
        <v>0</v>
      </c>
      <c r="N6273" s="1" t="str">
        <f t="shared" si="11739"/>
        <v>0</v>
      </c>
      <c r="O6273" s="1" t="str">
        <f t="shared" si="11739"/>
        <v>0</v>
      </c>
      <c r="P6273" s="1" t="str">
        <f t="shared" si="11739"/>
        <v>0</v>
      </c>
      <c r="Q6273" s="1" t="str">
        <f t="shared" si="11666"/>
        <v>0.0070</v>
      </c>
      <c r="R6273" s="1" t="s">
        <v>25</v>
      </c>
      <c r="T6273" s="1" t="str">
        <f t="shared" si="11667"/>
        <v>0</v>
      </c>
      <c r="U6273" s="1" t="str">
        <f t="shared" si="11702"/>
        <v>0.0070</v>
      </c>
    </row>
    <row r="6274" s="1" customFormat="1" spans="1:21">
      <c r="A6274" s="1" t="str">
        <f>"4601992257807"</f>
        <v>4601992257807</v>
      </c>
      <c r="B6274" s="1" t="s">
        <v>6297</v>
      </c>
      <c r="C6274" s="1" t="s">
        <v>24</v>
      </c>
      <c r="D6274" s="1" t="str">
        <f t="shared" si="11663"/>
        <v>2021</v>
      </c>
      <c r="E6274" s="1" t="str">
        <f t="shared" ref="E6274:I6274" si="11740">"0"</f>
        <v>0</v>
      </c>
      <c r="F6274" s="1" t="str">
        <f t="shared" si="11740"/>
        <v>0</v>
      </c>
      <c r="G6274" s="1" t="str">
        <f t="shared" si="11740"/>
        <v>0</v>
      </c>
      <c r="H6274" s="1" t="str">
        <f t="shared" si="11740"/>
        <v>0</v>
      </c>
      <c r="I6274" s="1" t="str">
        <f t="shared" si="11740"/>
        <v>0</v>
      </c>
      <c r="J6274" s="1" t="str">
        <f>"3"</f>
        <v>3</v>
      </c>
      <c r="K6274" s="1" t="str">
        <f t="shared" ref="K6274:P6274" si="11741">"0"</f>
        <v>0</v>
      </c>
      <c r="L6274" s="1" t="str">
        <f t="shared" si="11741"/>
        <v>0</v>
      </c>
      <c r="M6274" s="1" t="str">
        <f t="shared" si="11741"/>
        <v>0</v>
      </c>
      <c r="N6274" s="1" t="str">
        <f t="shared" si="11741"/>
        <v>0</v>
      </c>
      <c r="O6274" s="1" t="str">
        <f t="shared" si="11741"/>
        <v>0</v>
      </c>
      <c r="P6274" s="1" t="str">
        <f t="shared" si="11741"/>
        <v>0</v>
      </c>
      <c r="Q6274" s="1" t="str">
        <f t="shared" si="11666"/>
        <v>0.0070</v>
      </c>
      <c r="R6274" s="1" t="s">
        <v>25</v>
      </c>
      <c r="T6274" s="1" t="str">
        <f t="shared" si="11667"/>
        <v>0</v>
      </c>
      <c r="U6274" s="1" t="str">
        <f t="shared" si="11702"/>
        <v>0.0070</v>
      </c>
    </row>
    <row r="6275" s="1" customFormat="1" spans="1:21">
      <c r="A6275" s="1" t="str">
        <f>"4601992257907"</f>
        <v>4601992257907</v>
      </c>
      <c r="B6275" s="1" t="s">
        <v>6298</v>
      </c>
      <c r="C6275" s="1" t="s">
        <v>24</v>
      </c>
      <c r="D6275" s="1" t="str">
        <f t="shared" ref="D6275:D6338" si="11742">"2021"</f>
        <v>2021</v>
      </c>
      <c r="E6275" s="1" t="str">
        <f t="shared" ref="E6275:I6275" si="11743">"0"</f>
        <v>0</v>
      </c>
      <c r="F6275" s="1" t="str">
        <f t="shared" si="11743"/>
        <v>0</v>
      </c>
      <c r="G6275" s="1" t="str">
        <f t="shared" si="11743"/>
        <v>0</v>
      </c>
      <c r="H6275" s="1" t="str">
        <f t="shared" si="11743"/>
        <v>0</v>
      </c>
      <c r="I6275" s="1" t="str">
        <f t="shared" si="11743"/>
        <v>0</v>
      </c>
      <c r="J6275" s="1" t="str">
        <f>"1"</f>
        <v>1</v>
      </c>
      <c r="K6275" s="1" t="str">
        <f t="shared" ref="K6275:P6275" si="11744">"0"</f>
        <v>0</v>
      </c>
      <c r="L6275" s="1" t="str">
        <f t="shared" si="11744"/>
        <v>0</v>
      </c>
      <c r="M6275" s="1" t="str">
        <f t="shared" si="11744"/>
        <v>0</v>
      </c>
      <c r="N6275" s="1" t="str">
        <f t="shared" si="11744"/>
        <v>0</v>
      </c>
      <c r="O6275" s="1" t="str">
        <f t="shared" si="11744"/>
        <v>0</v>
      </c>
      <c r="P6275" s="1" t="str">
        <f t="shared" si="11744"/>
        <v>0</v>
      </c>
      <c r="Q6275" s="1" t="str">
        <f t="shared" ref="Q6275:Q6338" si="11745">"0.0070"</f>
        <v>0.0070</v>
      </c>
      <c r="R6275" s="1" t="s">
        <v>25</v>
      </c>
      <c r="T6275" s="1" t="str">
        <f t="shared" ref="T6275:T6338" si="11746">"0"</f>
        <v>0</v>
      </c>
      <c r="U6275" s="1" t="str">
        <f t="shared" si="11702"/>
        <v>0.0070</v>
      </c>
    </row>
    <row r="6276" s="1" customFormat="1" spans="1:21">
      <c r="A6276" s="1" t="str">
        <f>"4601992257955"</f>
        <v>4601992257955</v>
      </c>
      <c r="B6276" s="1" t="s">
        <v>6299</v>
      </c>
      <c r="C6276" s="1" t="s">
        <v>24</v>
      </c>
      <c r="D6276" s="1" t="str">
        <f t="shared" si="11742"/>
        <v>2021</v>
      </c>
      <c r="E6276" s="1" t="str">
        <f t="shared" ref="E6276:P6276" si="11747">"0"</f>
        <v>0</v>
      </c>
      <c r="F6276" s="1" t="str">
        <f t="shared" si="11747"/>
        <v>0</v>
      </c>
      <c r="G6276" s="1" t="str">
        <f t="shared" si="11747"/>
        <v>0</v>
      </c>
      <c r="H6276" s="1" t="str">
        <f t="shared" si="11747"/>
        <v>0</v>
      </c>
      <c r="I6276" s="1" t="str">
        <f t="shared" si="11747"/>
        <v>0</v>
      </c>
      <c r="J6276" s="1" t="str">
        <f t="shared" si="11747"/>
        <v>0</v>
      </c>
      <c r="K6276" s="1" t="str">
        <f t="shared" si="11747"/>
        <v>0</v>
      </c>
      <c r="L6276" s="1" t="str">
        <f t="shared" si="11747"/>
        <v>0</v>
      </c>
      <c r="M6276" s="1" t="str">
        <f t="shared" si="11747"/>
        <v>0</v>
      </c>
      <c r="N6276" s="1" t="str">
        <f t="shared" si="11747"/>
        <v>0</v>
      </c>
      <c r="O6276" s="1" t="str">
        <f t="shared" si="11747"/>
        <v>0</v>
      </c>
      <c r="P6276" s="1" t="str">
        <f t="shared" si="11747"/>
        <v>0</v>
      </c>
      <c r="Q6276" s="1" t="str">
        <f t="shared" si="11745"/>
        <v>0.0070</v>
      </c>
      <c r="R6276" s="1" t="s">
        <v>25</v>
      </c>
      <c r="T6276" s="1" t="str">
        <f t="shared" si="11746"/>
        <v>0</v>
      </c>
      <c r="U6276" s="1" t="str">
        <f t="shared" si="11702"/>
        <v>0.0070</v>
      </c>
    </row>
    <row r="6277" s="1" customFormat="1" spans="1:21">
      <c r="A6277" s="1" t="str">
        <f>"4601992258008"</f>
        <v>4601992258008</v>
      </c>
      <c r="B6277" s="1" t="s">
        <v>6300</v>
      </c>
      <c r="C6277" s="1" t="s">
        <v>24</v>
      </c>
      <c r="D6277" s="1" t="str">
        <f t="shared" si="11742"/>
        <v>2021</v>
      </c>
      <c r="E6277" s="1" t="str">
        <f t="shared" ref="E6277:P6277" si="11748">"0"</f>
        <v>0</v>
      </c>
      <c r="F6277" s="1" t="str">
        <f t="shared" si="11748"/>
        <v>0</v>
      </c>
      <c r="G6277" s="1" t="str">
        <f t="shared" si="11748"/>
        <v>0</v>
      </c>
      <c r="H6277" s="1" t="str">
        <f t="shared" si="11748"/>
        <v>0</v>
      </c>
      <c r="I6277" s="1" t="str">
        <f t="shared" si="11748"/>
        <v>0</v>
      </c>
      <c r="J6277" s="1" t="str">
        <f t="shared" si="11748"/>
        <v>0</v>
      </c>
      <c r="K6277" s="1" t="str">
        <f t="shared" si="11748"/>
        <v>0</v>
      </c>
      <c r="L6277" s="1" t="str">
        <f t="shared" si="11748"/>
        <v>0</v>
      </c>
      <c r="M6277" s="1" t="str">
        <f t="shared" si="11748"/>
        <v>0</v>
      </c>
      <c r="N6277" s="1" t="str">
        <f t="shared" si="11748"/>
        <v>0</v>
      </c>
      <c r="O6277" s="1" t="str">
        <f t="shared" si="11748"/>
        <v>0</v>
      </c>
      <c r="P6277" s="1" t="str">
        <f t="shared" si="11748"/>
        <v>0</v>
      </c>
      <c r="Q6277" s="1" t="str">
        <f t="shared" si="11745"/>
        <v>0.0070</v>
      </c>
      <c r="R6277" s="1" t="s">
        <v>25</v>
      </c>
      <c r="T6277" s="1" t="str">
        <f t="shared" si="11746"/>
        <v>0</v>
      </c>
      <c r="U6277" s="1" t="str">
        <f t="shared" si="11702"/>
        <v>0.0070</v>
      </c>
    </row>
    <row r="6278" s="1" customFormat="1" spans="1:21">
      <c r="A6278" s="1" t="str">
        <f>"4601992258069"</f>
        <v>4601992258069</v>
      </c>
      <c r="B6278" s="1" t="s">
        <v>6301</v>
      </c>
      <c r="C6278" s="1" t="s">
        <v>24</v>
      </c>
      <c r="D6278" s="1" t="str">
        <f t="shared" si="11742"/>
        <v>2021</v>
      </c>
      <c r="E6278" s="1" t="str">
        <f t="shared" ref="E6278:P6278" si="11749">"0"</f>
        <v>0</v>
      </c>
      <c r="F6278" s="1" t="str">
        <f t="shared" si="11749"/>
        <v>0</v>
      </c>
      <c r="G6278" s="1" t="str">
        <f t="shared" si="11749"/>
        <v>0</v>
      </c>
      <c r="H6278" s="1" t="str">
        <f t="shared" si="11749"/>
        <v>0</v>
      </c>
      <c r="I6278" s="1" t="str">
        <f t="shared" si="11749"/>
        <v>0</v>
      </c>
      <c r="J6278" s="1" t="str">
        <f t="shared" si="11749"/>
        <v>0</v>
      </c>
      <c r="K6278" s="1" t="str">
        <f t="shared" si="11749"/>
        <v>0</v>
      </c>
      <c r="L6278" s="1" t="str">
        <f t="shared" si="11749"/>
        <v>0</v>
      </c>
      <c r="M6278" s="1" t="str">
        <f t="shared" si="11749"/>
        <v>0</v>
      </c>
      <c r="N6278" s="1" t="str">
        <f t="shared" si="11749"/>
        <v>0</v>
      </c>
      <c r="O6278" s="1" t="str">
        <f t="shared" si="11749"/>
        <v>0</v>
      </c>
      <c r="P6278" s="1" t="str">
        <f t="shared" si="11749"/>
        <v>0</v>
      </c>
      <c r="Q6278" s="1" t="str">
        <f t="shared" si="11745"/>
        <v>0.0070</v>
      </c>
      <c r="R6278" s="1" t="s">
        <v>25</v>
      </c>
      <c r="T6278" s="1" t="str">
        <f t="shared" si="11746"/>
        <v>0</v>
      </c>
      <c r="U6278" s="1" t="str">
        <f t="shared" si="11702"/>
        <v>0.0070</v>
      </c>
    </row>
    <row r="6279" s="1" customFormat="1" spans="1:21">
      <c r="A6279" s="1" t="str">
        <f>"4601992258250"</f>
        <v>4601992258250</v>
      </c>
      <c r="B6279" s="1" t="s">
        <v>6302</v>
      </c>
      <c r="C6279" s="1" t="s">
        <v>24</v>
      </c>
      <c r="D6279" s="1" t="str">
        <f t="shared" si="11742"/>
        <v>2021</v>
      </c>
      <c r="E6279" s="1" t="str">
        <f t="shared" ref="E6279:P6279" si="11750">"0"</f>
        <v>0</v>
      </c>
      <c r="F6279" s="1" t="str">
        <f t="shared" si="11750"/>
        <v>0</v>
      </c>
      <c r="G6279" s="1" t="str">
        <f t="shared" si="11750"/>
        <v>0</v>
      </c>
      <c r="H6279" s="1" t="str">
        <f t="shared" si="11750"/>
        <v>0</v>
      </c>
      <c r="I6279" s="1" t="str">
        <f t="shared" si="11750"/>
        <v>0</v>
      </c>
      <c r="J6279" s="1" t="str">
        <f t="shared" si="11750"/>
        <v>0</v>
      </c>
      <c r="K6279" s="1" t="str">
        <f t="shared" si="11750"/>
        <v>0</v>
      </c>
      <c r="L6279" s="1" t="str">
        <f t="shared" si="11750"/>
        <v>0</v>
      </c>
      <c r="M6279" s="1" t="str">
        <f t="shared" si="11750"/>
        <v>0</v>
      </c>
      <c r="N6279" s="1" t="str">
        <f t="shared" si="11750"/>
        <v>0</v>
      </c>
      <c r="O6279" s="1" t="str">
        <f t="shared" si="11750"/>
        <v>0</v>
      </c>
      <c r="P6279" s="1" t="str">
        <f t="shared" si="11750"/>
        <v>0</v>
      </c>
      <c r="Q6279" s="1" t="str">
        <f t="shared" si="11745"/>
        <v>0.0070</v>
      </c>
      <c r="R6279" s="1" t="s">
        <v>25</v>
      </c>
      <c r="T6279" s="1" t="str">
        <f t="shared" si="11746"/>
        <v>0</v>
      </c>
      <c r="U6279" s="1" t="str">
        <f t="shared" si="11702"/>
        <v>0.0070</v>
      </c>
    </row>
    <row r="6280" s="1" customFormat="1" spans="1:21">
      <c r="A6280" s="1" t="str">
        <f>"4601992258279"</f>
        <v>4601992258279</v>
      </c>
      <c r="B6280" s="1" t="s">
        <v>6303</v>
      </c>
      <c r="C6280" s="1" t="s">
        <v>24</v>
      </c>
      <c r="D6280" s="1" t="str">
        <f t="shared" si="11742"/>
        <v>2021</v>
      </c>
      <c r="E6280" s="1" t="str">
        <f t="shared" ref="E6280:P6280" si="11751">"0"</f>
        <v>0</v>
      </c>
      <c r="F6280" s="1" t="str">
        <f t="shared" si="11751"/>
        <v>0</v>
      </c>
      <c r="G6280" s="1" t="str">
        <f t="shared" si="11751"/>
        <v>0</v>
      </c>
      <c r="H6280" s="1" t="str">
        <f t="shared" si="11751"/>
        <v>0</v>
      </c>
      <c r="I6280" s="1" t="str">
        <f t="shared" si="11751"/>
        <v>0</v>
      </c>
      <c r="J6280" s="1" t="str">
        <f t="shared" si="11751"/>
        <v>0</v>
      </c>
      <c r="K6280" s="1" t="str">
        <f t="shared" si="11751"/>
        <v>0</v>
      </c>
      <c r="L6280" s="1" t="str">
        <f t="shared" si="11751"/>
        <v>0</v>
      </c>
      <c r="M6280" s="1" t="str">
        <f t="shared" si="11751"/>
        <v>0</v>
      </c>
      <c r="N6280" s="1" t="str">
        <f t="shared" si="11751"/>
        <v>0</v>
      </c>
      <c r="O6280" s="1" t="str">
        <f t="shared" si="11751"/>
        <v>0</v>
      </c>
      <c r="P6280" s="1" t="str">
        <f t="shared" si="11751"/>
        <v>0</v>
      </c>
      <c r="Q6280" s="1" t="str">
        <f t="shared" si="11745"/>
        <v>0.0070</v>
      </c>
      <c r="R6280" s="1" t="s">
        <v>25</v>
      </c>
      <c r="T6280" s="1" t="str">
        <f t="shared" si="11746"/>
        <v>0</v>
      </c>
      <c r="U6280" s="1" t="str">
        <f t="shared" si="11702"/>
        <v>0.0070</v>
      </c>
    </row>
    <row r="6281" s="1" customFormat="1" spans="1:21">
      <c r="A6281" s="1" t="str">
        <f>"4601992258054"</f>
        <v>4601992258054</v>
      </c>
      <c r="B6281" s="1" t="s">
        <v>6304</v>
      </c>
      <c r="C6281" s="1" t="s">
        <v>24</v>
      </c>
      <c r="D6281" s="1" t="str">
        <f t="shared" si="11742"/>
        <v>2021</v>
      </c>
      <c r="E6281" s="1" t="str">
        <f t="shared" ref="E6281:I6281" si="11752">"0"</f>
        <v>0</v>
      </c>
      <c r="F6281" s="1" t="str">
        <f t="shared" si="11752"/>
        <v>0</v>
      </c>
      <c r="G6281" s="1" t="str">
        <f t="shared" si="11752"/>
        <v>0</v>
      </c>
      <c r="H6281" s="1" t="str">
        <f t="shared" si="11752"/>
        <v>0</v>
      </c>
      <c r="I6281" s="1" t="str">
        <f t="shared" si="11752"/>
        <v>0</v>
      </c>
      <c r="J6281" s="1" t="str">
        <f>"75"</f>
        <v>75</v>
      </c>
      <c r="K6281" s="1" t="str">
        <f t="shared" ref="K6281:P6281" si="11753">"0"</f>
        <v>0</v>
      </c>
      <c r="L6281" s="1" t="str">
        <f t="shared" si="11753"/>
        <v>0</v>
      </c>
      <c r="M6281" s="1" t="str">
        <f t="shared" si="11753"/>
        <v>0</v>
      </c>
      <c r="N6281" s="1" t="str">
        <f t="shared" si="11753"/>
        <v>0</v>
      </c>
      <c r="O6281" s="1" t="str">
        <f t="shared" si="11753"/>
        <v>0</v>
      </c>
      <c r="P6281" s="1" t="str">
        <f t="shared" si="11753"/>
        <v>0</v>
      </c>
      <c r="Q6281" s="1" t="str">
        <f t="shared" si="11745"/>
        <v>0.0070</v>
      </c>
      <c r="R6281" s="1" t="s">
        <v>25</v>
      </c>
      <c r="T6281" s="1" t="str">
        <f t="shared" si="11746"/>
        <v>0</v>
      </c>
      <c r="U6281" s="1" t="str">
        <f t="shared" si="11702"/>
        <v>0.0070</v>
      </c>
    </row>
    <row r="6282" s="1" customFormat="1" spans="1:21">
      <c r="A6282" s="1" t="str">
        <f>"4601992258311"</f>
        <v>4601992258311</v>
      </c>
      <c r="B6282" s="1" t="s">
        <v>6305</v>
      </c>
      <c r="C6282" s="1" t="s">
        <v>24</v>
      </c>
      <c r="D6282" s="1" t="str">
        <f t="shared" si="11742"/>
        <v>2021</v>
      </c>
      <c r="E6282" s="1" t="str">
        <f t="shared" ref="E6282:P6282" si="11754">"0"</f>
        <v>0</v>
      </c>
      <c r="F6282" s="1" t="str">
        <f t="shared" si="11754"/>
        <v>0</v>
      </c>
      <c r="G6282" s="1" t="str">
        <f t="shared" si="11754"/>
        <v>0</v>
      </c>
      <c r="H6282" s="1" t="str">
        <f t="shared" si="11754"/>
        <v>0</v>
      </c>
      <c r="I6282" s="1" t="str">
        <f t="shared" si="11754"/>
        <v>0</v>
      </c>
      <c r="J6282" s="1" t="str">
        <f t="shared" si="11754"/>
        <v>0</v>
      </c>
      <c r="K6282" s="1" t="str">
        <f t="shared" si="11754"/>
        <v>0</v>
      </c>
      <c r="L6282" s="1" t="str">
        <f t="shared" si="11754"/>
        <v>0</v>
      </c>
      <c r="M6282" s="1" t="str">
        <f t="shared" si="11754"/>
        <v>0</v>
      </c>
      <c r="N6282" s="1" t="str">
        <f t="shared" si="11754"/>
        <v>0</v>
      </c>
      <c r="O6282" s="1" t="str">
        <f t="shared" si="11754"/>
        <v>0</v>
      </c>
      <c r="P6282" s="1" t="str">
        <f t="shared" si="11754"/>
        <v>0</v>
      </c>
      <c r="Q6282" s="1" t="str">
        <f t="shared" si="11745"/>
        <v>0.0070</v>
      </c>
      <c r="R6282" s="1" t="s">
        <v>25</v>
      </c>
      <c r="T6282" s="1" t="str">
        <f t="shared" si="11746"/>
        <v>0</v>
      </c>
      <c r="U6282" s="1" t="str">
        <f t="shared" si="11702"/>
        <v>0.0070</v>
      </c>
    </row>
    <row r="6283" s="1" customFormat="1" spans="1:21">
      <c r="A6283" s="1" t="str">
        <f>"4601992258317"</f>
        <v>4601992258317</v>
      </c>
      <c r="B6283" s="1" t="s">
        <v>6306</v>
      </c>
      <c r="C6283" s="1" t="s">
        <v>24</v>
      </c>
      <c r="D6283" s="1" t="str">
        <f t="shared" si="11742"/>
        <v>2021</v>
      </c>
      <c r="E6283" s="1" t="str">
        <f t="shared" ref="E6283:P6283" si="11755">"0"</f>
        <v>0</v>
      </c>
      <c r="F6283" s="1" t="str">
        <f t="shared" si="11755"/>
        <v>0</v>
      </c>
      <c r="G6283" s="1" t="str">
        <f t="shared" si="11755"/>
        <v>0</v>
      </c>
      <c r="H6283" s="1" t="str">
        <f t="shared" si="11755"/>
        <v>0</v>
      </c>
      <c r="I6283" s="1" t="str">
        <f t="shared" si="11755"/>
        <v>0</v>
      </c>
      <c r="J6283" s="1" t="str">
        <f t="shared" si="11755"/>
        <v>0</v>
      </c>
      <c r="K6283" s="1" t="str">
        <f t="shared" si="11755"/>
        <v>0</v>
      </c>
      <c r="L6283" s="1" t="str">
        <f t="shared" si="11755"/>
        <v>0</v>
      </c>
      <c r="M6283" s="1" t="str">
        <f t="shared" si="11755"/>
        <v>0</v>
      </c>
      <c r="N6283" s="1" t="str">
        <f t="shared" si="11755"/>
        <v>0</v>
      </c>
      <c r="O6283" s="1" t="str">
        <f t="shared" si="11755"/>
        <v>0</v>
      </c>
      <c r="P6283" s="1" t="str">
        <f t="shared" si="11755"/>
        <v>0</v>
      </c>
      <c r="Q6283" s="1" t="str">
        <f t="shared" si="11745"/>
        <v>0.0070</v>
      </c>
      <c r="R6283" s="1" t="s">
        <v>25</v>
      </c>
      <c r="T6283" s="1" t="str">
        <f t="shared" si="11746"/>
        <v>0</v>
      </c>
      <c r="U6283" s="1" t="str">
        <f t="shared" si="11702"/>
        <v>0.0070</v>
      </c>
    </row>
    <row r="6284" s="1" customFormat="1" spans="1:21">
      <c r="A6284" s="1" t="str">
        <f>"4601992258351"</f>
        <v>4601992258351</v>
      </c>
      <c r="B6284" s="1" t="s">
        <v>6307</v>
      </c>
      <c r="C6284" s="1" t="s">
        <v>24</v>
      </c>
      <c r="D6284" s="1" t="str">
        <f t="shared" si="11742"/>
        <v>2021</v>
      </c>
      <c r="E6284" s="1" t="str">
        <f t="shared" ref="E6284:P6284" si="11756">"0"</f>
        <v>0</v>
      </c>
      <c r="F6284" s="1" t="str">
        <f t="shared" si="11756"/>
        <v>0</v>
      </c>
      <c r="G6284" s="1" t="str">
        <f t="shared" si="11756"/>
        <v>0</v>
      </c>
      <c r="H6284" s="1" t="str">
        <f t="shared" si="11756"/>
        <v>0</v>
      </c>
      <c r="I6284" s="1" t="str">
        <f t="shared" si="11756"/>
        <v>0</v>
      </c>
      <c r="J6284" s="1" t="str">
        <f t="shared" si="11756"/>
        <v>0</v>
      </c>
      <c r="K6284" s="1" t="str">
        <f t="shared" si="11756"/>
        <v>0</v>
      </c>
      <c r="L6284" s="1" t="str">
        <f t="shared" si="11756"/>
        <v>0</v>
      </c>
      <c r="M6284" s="1" t="str">
        <f t="shared" si="11756"/>
        <v>0</v>
      </c>
      <c r="N6284" s="1" t="str">
        <f t="shared" si="11756"/>
        <v>0</v>
      </c>
      <c r="O6284" s="1" t="str">
        <f t="shared" si="11756"/>
        <v>0</v>
      </c>
      <c r="P6284" s="1" t="str">
        <f t="shared" si="11756"/>
        <v>0</v>
      </c>
      <c r="Q6284" s="1" t="str">
        <f t="shared" si="11745"/>
        <v>0.0070</v>
      </c>
      <c r="R6284" s="1" t="s">
        <v>25</v>
      </c>
      <c r="T6284" s="1" t="str">
        <f t="shared" si="11746"/>
        <v>0</v>
      </c>
      <c r="U6284" s="1" t="str">
        <f t="shared" si="11702"/>
        <v>0.0070</v>
      </c>
    </row>
    <row r="6285" s="1" customFormat="1" spans="1:21">
      <c r="A6285" s="1" t="str">
        <f>"4601992258320"</f>
        <v>4601992258320</v>
      </c>
      <c r="B6285" s="1" t="s">
        <v>6308</v>
      </c>
      <c r="C6285" s="1" t="s">
        <v>24</v>
      </c>
      <c r="D6285" s="1" t="str">
        <f t="shared" si="11742"/>
        <v>2021</v>
      </c>
      <c r="E6285" s="1" t="str">
        <f t="shared" ref="E6285:I6285" si="11757">"0"</f>
        <v>0</v>
      </c>
      <c r="F6285" s="1" t="str">
        <f t="shared" si="11757"/>
        <v>0</v>
      </c>
      <c r="G6285" s="1" t="str">
        <f t="shared" si="11757"/>
        <v>0</v>
      </c>
      <c r="H6285" s="1" t="str">
        <f t="shared" si="11757"/>
        <v>0</v>
      </c>
      <c r="I6285" s="1" t="str">
        <f t="shared" si="11757"/>
        <v>0</v>
      </c>
      <c r="J6285" s="1" t="str">
        <f>"1"</f>
        <v>1</v>
      </c>
      <c r="K6285" s="1" t="str">
        <f t="shared" ref="K6285:P6285" si="11758">"0"</f>
        <v>0</v>
      </c>
      <c r="L6285" s="1" t="str">
        <f t="shared" si="11758"/>
        <v>0</v>
      </c>
      <c r="M6285" s="1" t="str">
        <f t="shared" si="11758"/>
        <v>0</v>
      </c>
      <c r="N6285" s="1" t="str">
        <f t="shared" si="11758"/>
        <v>0</v>
      </c>
      <c r="O6285" s="1" t="str">
        <f t="shared" si="11758"/>
        <v>0</v>
      </c>
      <c r="P6285" s="1" t="str">
        <f t="shared" si="11758"/>
        <v>0</v>
      </c>
      <c r="Q6285" s="1" t="str">
        <f t="shared" si="11745"/>
        <v>0.0070</v>
      </c>
      <c r="R6285" s="1" t="s">
        <v>25</v>
      </c>
      <c r="T6285" s="1" t="str">
        <f t="shared" si="11746"/>
        <v>0</v>
      </c>
      <c r="U6285" s="1" t="str">
        <f t="shared" si="11702"/>
        <v>0.0070</v>
      </c>
    </row>
    <row r="6286" s="1" customFormat="1" spans="1:21">
      <c r="A6286" s="1" t="str">
        <f>"4601992258408"</f>
        <v>4601992258408</v>
      </c>
      <c r="B6286" s="1" t="s">
        <v>6309</v>
      </c>
      <c r="C6286" s="1" t="s">
        <v>24</v>
      </c>
      <c r="D6286" s="1" t="str">
        <f t="shared" si="11742"/>
        <v>2021</v>
      </c>
      <c r="E6286" s="1" t="str">
        <f t="shared" ref="E6286:P6286" si="11759">"0"</f>
        <v>0</v>
      </c>
      <c r="F6286" s="1" t="str">
        <f t="shared" si="11759"/>
        <v>0</v>
      </c>
      <c r="G6286" s="1" t="str">
        <f t="shared" si="11759"/>
        <v>0</v>
      </c>
      <c r="H6286" s="1" t="str">
        <f t="shared" si="11759"/>
        <v>0</v>
      </c>
      <c r="I6286" s="1" t="str">
        <f t="shared" si="11759"/>
        <v>0</v>
      </c>
      <c r="J6286" s="1" t="str">
        <f t="shared" si="11759"/>
        <v>0</v>
      </c>
      <c r="K6286" s="1" t="str">
        <f t="shared" si="11759"/>
        <v>0</v>
      </c>
      <c r="L6286" s="1" t="str">
        <f t="shared" si="11759"/>
        <v>0</v>
      </c>
      <c r="M6286" s="1" t="str">
        <f t="shared" si="11759"/>
        <v>0</v>
      </c>
      <c r="N6286" s="1" t="str">
        <f t="shared" si="11759"/>
        <v>0</v>
      </c>
      <c r="O6286" s="1" t="str">
        <f t="shared" si="11759"/>
        <v>0</v>
      </c>
      <c r="P6286" s="1" t="str">
        <f t="shared" si="11759"/>
        <v>0</v>
      </c>
      <c r="Q6286" s="1" t="str">
        <f t="shared" si="11745"/>
        <v>0.0070</v>
      </c>
      <c r="R6286" s="1" t="s">
        <v>25</v>
      </c>
      <c r="T6286" s="1" t="str">
        <f t="shared" si="11746"/>
        <v>0</v>
      </c>
      <c r="U6286" s="1" t="str">
        <f t="shared" si="11702"/>
        <v>0.0070</v>
      </c>
    </row>
    <row r="6287" s="1" customFormat="1" spans="1:21">
      <c r="A6287" s="1" t="str">
        <f>"4601992258309"</f>
        <v>4601992258309</v>
      </c>
      <c r="B6287" s="1" t="s">
        <v>6310</v>
      </c>
      <c r="C6287" s="1" t="s">
        <v>24</v>
      </c>
      <c r="D6287" s="1" t="str">
        <f t="shared" si="11742"/>
        <v>2021</v>
      </c>
      <c r="E6287" s="1" t="str">
        <f t="shared" ref="E6287:I6287" si="11760">"0"</f>
        <v>0</v>
      </c>
      <c r="F6287" s="1" t="str">
        <f t="shared" si="11760"/>
        <v>0</v>
      </c>
      <c r="G6287" s="1" t="str">
        <f t="shared" si="11760"/>
        <v>0</v>
      </c>
      <c r="H6287" s="1" t="str">
        <f t="shared" si="11760"/>
        <v>0</v>
      </c>
      <c r="I6287" s="1" t="str">
        <f t="shared" si="11760"/>
        <v>0</v>
      </c>
      <c r="J6287" s="1" t="str">
        <f>"1"</f>
        <v>1</v>
      </c>
      <c r="K6287" s="1" t="str">
        <f t="shared" ref="K6287:P6287" si="11761">"0"</f>
        <v>0</v>
      </c>
      <c r="L6287" s="1" t="str">
        <f t="shared" si="11761"/>
        <v>0</v>
      </c>
      <c r="M6287" s="1" t="str">
        <f t="shared" si="11761"/>
        <v>0</v>
      </c>
      <c r="N6287" s="1" t="str">
        <f t="shared" si="11761"/>
        <v>0</v>
      </c>
      <c r="O6287" s="1" t="str">
        <f t="shared" si="11761"/>
        <v>0</v>
      </c>
      <c r="P6287" s="1" t="str">
        <f t="shared" si="11761"/>
        <v>0</v>
      </c>
      <c r="Q6287" s="1" t="str">
        <f t="shared" si="11745"/>
        <v>0.0070</v>
      </c>
      <c r="R6287" s="1" t="s">
        <v>25</v>
      </c>
      <c r="T6287" s="1" t="str">
        <f t="shared" si="11746"/>
        <v>0</v>
      </c>
      <c r="U6287" s="1" t="str">
        <f t="shared" si="11702"/>
        <v>0.0070</v>
      </c>
    </row>
    <row r="6288" s="1" customFormat="1" spans="1:21">
      <c r="A6288" s="1" t="str">
        <f>"4601992258409"</f>
        <v>4601992258409</v>
      </c>
      <c r="B6288" s="1" t="s">
        <v>6311</v>
      </c>
      <c r="C6288" s="1" t="s">
        <v>24</v>
      </c>
      <c r="D6288" s="1" t="str">
        <f t="shared" si="11742"/>
        <v>2021</v>
      </c>
      <c r="E6288" s="1" t="str">
        <f t="shared" ref="E6288:P6288" si="11762">"0"</f>
        <v>0</v>
      </c>
      <c r="F6288" s="1" t="str">
        <f t="shared" si="11762"/>
        <v>0</v>
      </c>
      <c r="G6288" s="1" t="str">
        <f t="shared" si="11762"/>
        <v>0</v>
      </c>
      <c r="H6288" s="1" t="str">
        <f t="shared" si="11762"/>
        <v>0</v>
      </c>
      <c r="I6288" s="1" t="str">
        <f t="shared" si="11762"/>
        <v>0</v>
      </c>
      <c r="J6288" s="1" t="str">
        <f t="shared" si="11762"/>
        <v>0</v>
      </c>
      <c r="K6288" s="1" t="str">
        <f t="shared" si="11762"/>
        <v>0</v>
      </c>
      <c r="L6288" s="1" t="str">
        <f t="shared" si="11762"/>
        <v>0</v>
      </c>
      <c r="M6288" s="1" t="str">
        <f t="shared" si="11762"/>
        <v>0</v>
      </c>
      <c r="N6288" s="1" t="str">
        <f t="shared" si="11762"/>
        <v>0</v>
      </c>
      <c r="O6288" s="1" t="str">
        <f t="shared" si="11762"/>
        <v>0</v>
      </c>
      <c r="P6288" s="1" t="str">
        <f t="shared" si="11762"/>
        <v>0</v>
      </c>
      <c r="Q6288" s="1" t="str">
        <f t="shared" si="11745"/>
        <v>0.0070</v>
      </c>
      <c r="R6288" s="1" t="s">
        <v>25</v>
      </c>
      <c r="T6288" s="1" t="str">
        <f t="shared" si="11746"/>
        <v>0</v>
      </c>
      <c r="U6288" s="1" t="str">
        <f t="shared" si="11702"/>
        <v>0.0070</v>
      </c>
    </row>
    <row r="6289" s="1" customFormat="1" spans="1:21">
      <c r="A6289" s="1" t="str">
        <f>"4601992258389"</f>
        <v>4601992258389</v>
      </c>
      <c r="B6289" s="1" t="s">
        <v>6312</v>
      </c>
      <c r="C6289" s="1" t="s">
        <v>24</v>
      </c>
      <c r="D6289" s="1" t="str">
        <f t="shared" si="11742"/>
        <v>2021</v>
      </c>
      <c r="E6289" s="1" t="str">
        <f t="shared" ref="E6289:I6289" si="11763">"0"</f>
        <v>0</v>
      </c>
      <c r="F6289" s="1" t="str">
        <f t="shared" si="11763"/>
        <v>0</v>
      </c>
      <c r="G6289" s="1" t="str">
        <f t="shared" si="11763"/>
        <v>0</v>
      </c>
      <c r="H6289" s="1" t="str">
        <f t="shared" si="11763"/>
        <v>0</v>
      </c>
      <c r="I6289" s="1" t="str">
        <f t="shared" si="11763"/>
        <v>0</v>
      </c>
      <c r="J6289" s="1" t="str">
        <f t="shared" ref="J6289:J6291" si="11764">"2"</f>
        <v>2</v>
      </c>
      <c r="K6289" s="1" t="str">
        <f t="shared" ref="K6289:P6289" si="11765">"0"</f>
        <v>0</v>
      </c>
      <c r="L6289" s="1" t="str">
        <f t="shared" si="11765"/>
        <v>0</v>
      </c>
      <c r="M6289" s="1" t="str">
        <f t="shared" si="11765"/>
        <v>0</v>
      </c>
      <c r="N6289" s="1" t="str">
        <f t="shared" si="11765"/>
        <v>0</v>
      </c>
      <c r="O6289" s="1" t="str">
        <f t="shared" si="11765"/>
        <v>0</v>
      </c>
      <c r="P6289" s="1" t="str">
        <f t="shared" si="11765"/>
        <v>0</v>
      </c>
      <c r="Q6289" s="1" t="str">
        <f t="shared" si="11745"/>
        <v>0.0070</v>
      </c>
      <c r="R6289" s="1" t="s">
        <v>25</v>
      </c>
      <c r="T6289" s="1" t="str">
        <f t="shared" si="11746"/>
        <v>0</v>
      </c>
      <c r="U6289" s="1" t="str">
        <f t="shared" si="11702"/>
        <v>0.0070</v>
      </c>
    </row>
    <row r="6290" s="1" customFormat="1" spans="1:21">
      <c r="A6290" s="1" t="str">
        <f>"4601992258445"</f>
        <v>4601992258445</v>
      </c>
      <c r="B6290" s="1" t="s">
        <v>6313</v>
      </c>
      <c r="C6290" s="1" t="s">
        <v>24</v>
      </c>
      <c r="D6290" s="1" t="str">
        <f t="shared" si="11742"/>
        <v>2021</v>
      </c>
      <c r="E6290" s="1" t="str">
        <f t="shared" ref="E6290:I6290" si="11766">"0"</f>
        <v>0</v>
      </c>
      <c r="F6290" s="1" t="str">
        <f t="shared" si="11766"/>
        <v>0</v>
      </c>
      <c r="G6290" s="1" t="str">
        <f t="shared" si="11766"/>
        <v>0</v>
      </c>
      <c r="H6290" s="1" t="str">
        <f t="shared" si="11766"/>
        <v>0</v>
      </c>
      <c r="I6290" s="1" t="str">
        <f t="shared" si="11766"/>
        <v>0</v>
      </c>
      <c r="J6290" s="1" t="str">
        <f t="shared" si="11764"/>
        <v>2</v>
      </c>
      <c r="K6290" s="1" t="str">
        <f t="shared" ref="K6290:P6290" si="11767">"0"</f>
        <v>0</v>
      </c>
      <c r="L6290" s="1" t="str">
        <f t="shared" si="11767"/>
        <v>0</v>
      </c>
      <c r="M6290" s="1" t="str">
        <f t="shared" si="11767"/>
        <v>0</v>
      </c>
      <c r="N6290" s="1" t="str">
        <f t="shared" si="11767"/>
        <v>0</v>
      </c>
      <c r="O6290" s="1" t="str">
        <f t="shared" si="11767"/>
        <v>0</v>
      </c>
      <c r="P6290" s="1" t="str">
        <f t="shared" si="11767"/>
        <v>0</v>
      </c>
      <c r="Q6290" s="1" t="str">
        <f t="shared" si="11745"/>
        <v>0.0070</v>
      </c>
      <c r="R6290" s="1" t="s">
        <v>25</v>
      </c>
      <c r="T6290" s="1" t="str">
        <f t="shared" si="11746"/>
        <v>0</v>
      </c>
      <c r="U6290" s="1" t="str">
        <f t="shared" si="11702"/>
        <v>0.0070</v>
      </c>
    </row>
    <row r="6291" s="1" customFormat="1" spans="1:21">
      <c r="A6291" s="1" t="str">
        <f>"4601992258469"</f>
        <v>4601992258469</v>
      </c>
      <c r="B6291" s="1" t="s">
        <v>6314</v>
      </c>
      <c r="C6291" s="1" t="s">
        <v>24</v>
      </c>
      <c r="D6291" s="1" t="str">
        <f t="shared" si="11742"/>
        <v>2021</v>
      </c>
      <c r="E6291" s="1" t="str">
        <f t="shared" ref="E6291:I6291" si="11768">"0"</f>
        <v>0</v>
      </c>
      <c r="F6291" s="1" t="str">
        <f t="shared" si="11768"/>
        <v>0</v>
      </c>
      <c r="G6291" s="1" t="str">
        <f t="shared" si="11768"/>
        <v>0</v>
      </c>
      <c r="H6291" s="1" t="str">
        <f t="shared" si="11768"/>
        <v>0</v>
      </c>
      <c r="I6291" s="1" t="str">
        <f t="shared" si="11768"/>
        <v>0</v>
      </c>
      <c r="J6291" s="1" t="str">
        <f t="shared" si="11764"/>
        <v>2</v>
      </c>
      <c r="K6291" s="1" t="str">
        <f t="shared" ref="K6291:P6291" si="11769">"0"</f>
        <v>0</v>
      </c>
      <c r="L6291" s="1" t="str">
        <f t="shared" si="11769"/>
        <v>0</v>
      </c>
      <c r="M6291" s="1" t="str">
        <f t="shared" si="11769"/>
        <v>0</v>
      </c>
      <c r="N6291" s="1" t="str">
        <f t="shared" si="11769"/>
        <v>0</v>
      </c>
      <c r="O6291" s="1" t="str">
        <f t="shared" si="11769"/>
        <v>0</v>
      </c>
      <c r="P6291" s="1" t="str">
        <f t="shared" si="11769"/>
        <v>0</v>
      </c>
      <c r="Q6291" s="1" t="str">
        <f t="shared" si="11745"/>
        <v>0.0070</v>
      </c>
      <c r="R6291" s="1" t="s">
        <v>25</v>
      </c>
      <c r="T6291" s="1" t="str">
        <f t="shared" si="11746"/>
        <v>0</v>
      </c>
      <c r="U6291" s="1" t="str">
        <f t="shared" si="11702"/>
        <v>0.0070</v>
      </c>
    </row>
    <row r="6292" s="1" customFormat="1" spans="1:21">
      <c r="A6292" s="1" t="str">
        <f>"4601992258425"</f>
        <v>4601992258425</v>
      </c>
      <c r="B6292" s="1" t="s">
        <v>6315</v>
      </c>
      <c r="C6292" s="1" t="s">
        <v>24</v>
      </c>
      <c r="D6292" s="1" t="str">
        <f t="shared" si="11742"/>
        <v>2021</v>
      </c>
      <c r="E6292" s="1" t="str">
        <f t="shared" ref="E6292:I6292" si="11770">"0"</f>
        <v>0</v>
      </c>
      <c r="F6292" s="1" t="str">
        <f t="shared" si="11770"/>
        <v>0</v>
      </c>
      <c r="G6292" s="1" t="str">
        <f t="shared" si="11770"/>
        <v>0</v>
      </c>
      <c r="H6292" s="1" t="str">
        <f t="shared" si="11770"/>
        <v>0</v>
      </c>
      <c r="I6292" s="1" t="str">
        <f t="shared" si="11770"/>
        <v>0</v>
      </c>
      <c r="J6292" s="1" t="str">
        <f>"3"</f>
        <v>3</v>
      </c>
      <c r="K6292" s="1" t="str">
        <f t="shared" ref="K6292:P6292" si="11771">"0"</f>
        <v>0</v>
      </c>
      <c r="L6292" s="1" t="str">
        <f t="shared" si="11771"/>
        <v>0</v>
      </c>
      <c r="M6292" s="1" t="str">
        <f t="shared" si="11771"/>
        <v>0</v>
      </c>
      <c r="N6292" s="1" t="str">
        <f t="shared" si="11771"/>
        <v>0</v>
      </c>
      <c r="O6292" s="1" t="str">
        <f t="shared" si="11771"/>
        <v>0</v>
      </c>
      <c r="P6292" s="1" t="str">
        <f t="shared" si="11771"/>
        <v>0</v>
      </c>
      <c r="Q6292" s="1" t="str">
        <f t="shared" si="11745"/>
        <v>0.0070</v>
      </c>
      <c r="R6292" s="1" t="s">
        <v>25</v>
      </c>
      <c r="T6292" s="1" t="str">
        <f t="shared" si="11746"/>
        <v>0</v>
      </c>
      <c r="U6292" s="1" t="str">
        <f t="shared" si="11702"/>
        <v>0.0070</v>
      </c>
    </row>
    <row r="6293" s="1" customFormat="1" spans="1:21">
      <c r="A6293" s="1" t="str">
        <f>"4601992258493"</f>
        <v>4601992258493</v>
      </c>
      <c r="B6293" s="1" t="s">
        <v>6316</v>
      </c>
      <c r="C6293" s="1" t="s">
        <v>24</v>
      </c>
      <c r="D6293" s="1" t="str">
        <f t="shared" si="11742"/>
        <v>2021</v>
      </c>
      <c r="E6293" s="1" t="str">
        <f t="shared" ref="E6293:I6293" si="11772">"0"</f>
        <v>0</v>
      </c>
      <c r="F6293" s="1" t="str">
        <f t="shared" si="11772"/>
        <v>0</v>
      </c>
      <c r="G6293" s="1" t="str">
        <f t="shared" si="11772"/>
        <v>0</v>
      </c>
      <c r="H6293" s="1" t="str">
        <f t="shared" si="11772"/>
        <v>0</v>
      </c>
      <c r="I6293" s="1" t="str">
        <f t="shared" si="11772"/>
        <v>0</v>
      </c>
      <c r="J6293" s="1" t="str">
        <f>"2"</f>
        <v>2</v>
      </c>
      <c r="K6293" s="1" t="str">
        <f t="shared" ref="K6293:P6293" si="11773">"0"</f>
        <v>0</v>
      </c>
      <c r="L6293" s="1" t="str">
        <f t="shared" si="11773"/>
        <v>0</v>
      </c>
      <c r="M6293" s="1" t="str">
        <f t="shared" si="11773"/>
        <v>0</v>
      </c>
      <c r="N6293" s="1" t="str">
        <f t="shared" si="11773"/>
        <v>0</v>
      </c>
      <c r="O6293" s="1" t="str">
        <f t="shared" si="11773"/>
        <v>0</v>
      </c>
      <c r="P6293" s="1" t="str">
        <f t="shared" si="11773"/>
        <v>0</v>
      </c>
      <c r="Q6293" s="1" t="str">
        <f t="shared" si="11745"/>
        <v>0.0070</v>
      </c>
      <c r="R6293" s="1" t="s">
        <v>25</v>
      </c>
      <c r="T6293" s="1" t="str">
        <f t="shared" si="11746"/>
        <v>0</v>
      </c>
      <c r="U6293" s="1" t="str">
        <f t="shared" si="11702"/>
        <v>0.0070</v>
      </c>
    </row>
    <row r="6294" s="1" customFormat="1" spans="1:21">
      <c r="A6294" s="1" t="str">
        <f>"4601992258519"</f>
        <v>4601992258519</v>
      </c>
      <c r="B6294" s="1" t="s">
        <v>6317</v>
      </c>
      <c r="C6294" s="1" t="s">
        <v>24</v>
      </c>
      <c r="D6294" s="1" t="str">
        <f t="shared" si="11742"/>
        <v>2021</v>
      </c>
      <c r="E6294" s="1" t="str">
        <f t="shared" ref="E6294:P6294" si="11774">"0"</f>
        <v>0</v>
      </c>
      <c r="F6294" s="1" t="str">
        <f t="shared" si="11774"/>
        <v>0</v>
      </c>
      <c r="G6294" s="1" t="str">
        <f t="shared" si="11774"/>
        <v>0</v>
      </c>
      <c r="H6294" s="1" t="str">
        <f t="shared" si="11774"/>
        <v>0</v>
      </c>
      <c r="I6294" s="1" t="str">
        <f t="shared" si="11774"/>
        <v>0</v>
      </c>
      <c r="J6294" s="1" t="str">
        <f t="shared" si="11774"/>
        <v>0</v>
      </c>
      <c r="K6294" s="1" t="str">
        <f t="shared" si="11774"/>
        <v>0</v>
      </c>
      <c r="L6294" s="1" t="str">
        <f t="shared" si="11774"/>
        <v>0</v>
      </c>
      <c r="M6294" s="1" t="str">
        <f t="shared" si="11774"/>
        <v>0</v>
      </c>
      <c r="N6294" s="1" t="str">
        <f t="shared" si="11774"/>
        <v>0</v>
      </c>
      <c r="O6294" s="1" t="str">
        <f t="shared" si="11774"/>
        <v>0</v>
      </c>
      <c r="P6294" s="1" t="str">
        <f t="shared" si="11774"/>
        <v>0</v>
      </c>
      <c r="Q6294" s="1" t="str">
        <f t="shared" si="11745"/>
        <v>0.0070</v>
      </c>
      <c r="R6294" s="1" t="s">
        <v>25</v>
      </c>
      <c r="T6294" s="1" t="str">
        <f t="shared" si="11746"/>
        <v>0</v>
      </c>
      <c r="U6294" s="1" t="str">
        <f t="shared" si="11702"/>
        <v>0.0070</v>
      </c>
    </row>
    <row r="6295" s="1" customFormat="1" spans="1:21">
      <c r="A6295" s="1" t="str">
        <f>"4601992258565"</f>
        <v>4601992258565</v>
      </c>
      <c r="B6295" s="1" t="s">
        <v>6318</v>
      </c>
      <c r="C6295" s="1" t="s">
        <v>24</v>
      </c>
      <c r="D6295" s="1" t="str">
        <f t="shared" si="11742"/>
        <v>2021</v>
      </c>
      <c r="E6295" s="1" t="str">
        <f t="shared" ref="E6295:P6295" si="11775">"0"</f>
        <v>0</v>
      </c>
      <c r="F6295" s="1" t="str">
        <f t="shared" si="11775"/>
        <v>0</v>
      </c>
      <c r="G6295" s="1" t="str">
        <f t="shared" si="11775"/>
        <v>0</v>
      </c>
      <c r="H6295" s="1" t="str">
        <f t="shared" si="11775"/>
        <v>0</v>
      </c>
      <c r="I6295" s="1" t="str">
        <f t="shared" si="11775"/>
        <v>0</v>
      </c>
      <c r="J6295" s="1" t="str">
        <f t="shared" si="11775"/>
        <v>0</v>
      </c>
      <c r="K6295" s="1" t="str">
        <f t="shared" si="11775"/>
        <v>0</v>
      </c>
      <c r="L6295" s="1" t="str">
        <f t="shared" si="11775"/>
        <v>0</v>
      </c>
      <c r="M6295" s="1" t="str">
        <f t="shared" si="11775"/>
        <v>0</v>
      </c>
      <c r="N6295" s="1" t="str">
        <f t="shared" si="11775"/>
        <v>0</v>
      </c>
      <c r="O6295" s="1" t="str">
        <f t="shared" si="11775"/>
        <v>0</v>
      </c>
      <c r="P6295" s="1" t="str">
        <f t="shared" si="11775"/>
        <v>0</v>
      </c>
      <c r="Q6295" s="1" t="str">
        <f t="shared" si="11745"/>
        <v>0.0070</v>
      </c>
      <c r="R6295" s="1" t="s">
        <v>25</v>
      </c>
      <c r="T6295" s="1" t="str">
        <f t="shared" si="11746"/>
        <v>0</v>
      </c>
      <c r="U6295" s="1" t="str">
        <f t="shared" si="11702"/>
        <v>0.0070</v>
      </c>
    </row>
    <row r="6296" s="1" customFormat="1" spans="1:21">
      <c r="A6296" s="1" t="str">
        <f>"4601992258549"</f>
        <v>4601992258549</v>
      </c>
      <c r="B6296" s="1" t="s">
        <v>6319</v>
      </c>
      <c r="C6296" s="1" t="s">
        <v>24</v>
      </c>
      <c r="D6296" s="1" t="str">
        <f t="shared" si="11742"/>
        <v>2021</v>
      </c>
      <c r="E6296" s="1" t="str">
        <f t="shared" ref="E6296:P6296" si="11776">"0"</f>
        <v>0</v>
      </c>
      <c r="F6296" s="1" t="str">
        <f t="shared" si="11776"/>
        <v>0</v>
      </c>
      <c r="G6296" s="1" t="str">
        <f t="shared" si="11776"/>
        <v>0</v>
      </c>
      <c r="H6296" s="1" t="str">
        <f t="shared" si="11776"/>
        <v>0</v>
      </c>
      <c r="I6296" s="1" t="str">
        <f t="shared" si="11776"/>
        <v>0</v>
      </c>
      <c r="J6296" s="1" t="str">
        <f t="shared" si="11776"/>
        <v>0</v>
      </c>
      <c r="K6296" s="1" t="str">
        <f t="shared" si="11776"/>
        <v>0</v>
      </c>
      <c r="L6296" s="1" t="str">
        <f t="shared" si="11776"/>
        <v>0</v>
      </c>
      <c r="M6296" s="1" t="str">
        <f t="shared" si="11776"/>
        <v>0</v>
      </c>
      <c r="N6296" s="1" t="str">
        <f t="shared" si="11776"/>
        <v>0</v>
      </c>
      <c r="O6296" s="1" t="str">
        <f t="shared" si="11776"/>
        <v>0</v>
      </c>
      <c r="P6296" s="1" t="str">
        <f t="shared" si="11776"/>
        <v>0</v>
      </c>
      <c r="Q6296" s="1" t="str">
        <f t="shared" si="11745"/>
        <v>0.0070</v>
      </c>
      <c r="R6296" s="1" t="s">
        <v>25</v>
      </c>
      <c r="T6296" s="1" t="str">
        <f t="shared" si="11746"/>
        <v>0</v>
      </c>
      <c r="U6296" s="1" t="str">
        <f t="shared" si="11702"/>
        <v>0.0070</v>
      </c>
    </row>
    <row r="6297" s="1" customFormat="1" spans="1:21">
      <c r="A6297" s="1" t="str">
        <f>"4601992258489"</f>
        <v>4601992258489</v>
      </c>
      <c r="B6297" s="1" t="s">
        <v>6320</v>
      </c>
      <c r="C6297" s="1" t="s">
        <v>24</v>
      </c>
      <c r="D6297" s="1" t="str">
        <f t="shared" si="11742"/>
        <v>2021</v>
      </c>
      <c r="E6297" s="1" t="str">
        <f t="shared" ref="E6297:I6297" si="11777">"0"</f>
        <v>0</v>
      </c>
      <c r="F6297" s="1" t="str">
        <f t="shared" si="11777"/>
        <v>0</v>
      </c>
      <c r="G6297" s="1" t="str">
        <f t="shared" si="11777"/>
        <v>0</v>
      </c>
      <c r="H6297" s="1" t="str">
        <f t="shared" si="11777"/>
        <v>0</v>
      </c>
      <c r="I6297" s="1" t="str">
        <f t="shared" si="11777"/>
        <v>0</v>
      </c>
      <c r="J6297" s="1" t="str">
        <f t="shared" ref="J6297:J6299" si="11778">"1"</f>
        <v>1</v>
      </c>
      <c r="K6297" s="1" t="str">
        <f t="shared" ref="K6297:P6297" si="11779">"0"</f>
        <v>0</v>
      </c>
      <c r="L6297" s="1" t="str">
        <f t="shared" si="11779"/>
        <v>0</v>
      </c>
      <c r="M6297" s="1" t="str">
        <f t="shared" si="11779"/>
        <v>0</v>
      </c>
      <c r="N6297" s="1" t="str">
        <f t="shared" si="11779"/>
        <v>0</v>
      </c>
      <c r="O6297" s="1" t="str">
        <f t="shared" si="11779"/>
        <v>0</v>
      </c>
      <c r="P6297" s="1" t="str">
        <f t="shared" si="11779"/>
        <v>0</v>
      </c>
      <c r="Q6297" s="1" t="str">
        <f t="shared" si="11745"/>
        <v>0.0070</v>
      </c>
      <c r="R6297" s="1" t="s">
        <v>25</v>
      </c>
      <c r="T6297" s="1" t="str">
        <f t="shared" si="11746"/>
        <v>0</v>
      </c>
      <c r="U6297" s="1" t="str">
        <f t="shared" si="11702"/>
        <v>0.0070</v>
      </c>
    </row>
    <row r="6298" s="1" customFormat="1" spans="1:21">
      <c r="A6298" s="1" t="str">
        <f>"4601992258594"</f>
        <v>4601992258594</v>
      </c>
      <c r="B6298" s="1" t="s">
        <v>6321</v>
      </c>
      <c r="C6298" s="1" t="s">
        <v>24</v>
      </c>
      <c r="D6298" s="1" t="str">
        <f t="shared" si="11742"/>
        <v>2021</v>
      </c>
      <c r="E6298" s="1" t="str">
        <f t="shared" ref="E6298:I6298" si="11780">"0"</f>
        <v>0</v>
      </c>
      <c r="F6298" s="1" t="str">
        <f t="shared" si="11780"/>
        <v>0</v>
      </c>
      <c r="G6298" s="1" t="str">
        <f t="shared" si="11780"/>
        <v>0</v>
      </c>
      <c r="H6298" s="1" t="str">
        <f t="shared" si="11780"/>
        <v>0</v>
      </c>
      <c r="I6298" s="1" t="str">
        <f t="shared" si="11780"/>
        <v>0</v>
      </c>
      <c r="J6298" s="1" t="str">
        <f t="shared" si="11778"/>
        <v>1</v>
      </c>
      <c r="K6298" s="1" t="str">
        <f t="shared" ref="K6298:P6298" si="11781">"0"</f>
        <v>0</v>
      </c>
      <c r="L6298" s="1" t="str">
        <f t="shared" si="11781"/>
        <v>0</v>
      </c>
      <c r="M6298" s="1" t="str">
        <f t="shared" si="11781"/>
        <v>0</v>
      </c>
      <c r="N6298" s="1" t="str">
        <f t="shared" si="11781"/>
        <v>0</v>
      </c>
      <c r="O6298" s="1" t="str">
        <f t="shared" si="11781"/>
        <v>0</v>
      </c>
      <c r="P6298" s="1" t="str">
        <f t="shared" si="11781"/>
        <v>0</v>
      </c>
      <c r="Q6298" s="1" t="str">
        <f t="shared" si="11745"/>
        <v>0.0070</v>
      </c>
      <c r="R6298" s="1" t="s">
        <v>25</v>
      </c>
      <c r="T6298" s="1" t="str">
        <f t="shared" si="11746"/>
        <v>0</v>
      </c>
      <c r="U6298" s="1" t="str">
        <f t="shared" si="11702"/>
        <v>0.0070</v>
      </c>
    </row>
    <row r="6299" s="1" customFormat="1" spans="1:21">
      <c r="A6299" s="1" t="str">
        <f>"4601992258729"</f>
        <v>4601992258729</v>
      </c>
      <c r="B6299" s="1" t="s">
        <v>6322</v>
      </c>
      <c r="C6299" s="1" t="s">
        <v>24</v>
      </c>
      <c r="D6299" s="1" t="str">
        <f t="shared" si="11742"/>
        <v>2021</v>
      </c>
      <c r="E6299" s="1" t="str">
        <f t="shared" ref="E6299:I6299" si="11782">"0"</f>
        <v>0</v>
      </c>
      <c r="F6299" s="1" t="str">
        <f t="shared" si="11782"/>
        <v>0</v>
      </c>
      <c r="G6299" s="1" t="str">
        <f t="shared" si="11782"/>
        <v>0</v>
      </c>
      <c r="H6299" s="1" t="str">
        <f t="shared" si="11782"/>
        <v>0</v>
      </c>
      <c r="I6299" s="1" t="str">
        <f t="shared" si="11782"/>
        <v>0</v>
      </c>
      <c r="J6299" s="1" t="str">
        <f t="shared" si="11778"/>
        <v>1</v>
      </c>
      <c r="K6299" s="1" t="str">
        <f t="shared" ref="K6299:P6299" si="11783">"0"</f>
        <v>0</v>
      </c>
      <c r="L6299" s="1" t="str">
        <f t="shared" si="11783"/>
        <v>0</v>
      </c>
      <c r="M6299" s="1" t="str">
        <f t="shared" si="11783"/>
        <v>0</v>
      </c>
      <c r="N6299" s="1" t="str">
        <f t="shared" si="11783"/>
        <v>0</v>
      </c>
      <c r="O6299" s="1" t="str">
        <f t="shared" si="11783"/>
        <v>0</v>
      </c>
      <c r="P6299" s="1" t="str">
        <f t="shared" si="11783"/>
        <v>0</v>
      </c>
      <c r="Q6299" s="1" t="str">
        <f t="shared" si="11745"/>
        <v>0.0070</v>
      </c>
      <c r="R6299" s="1" t="s">
        <v>25</v>
      </c>
      <c r="T6299" s="1" t="str">
        <f t="shared" si="11746"/>
        <v>0</v>
      </c>
      <c r="U6299" s="1" t="str">
        <f t="shared" si="11702"/>
        <v>0.0070</v>
      </c>
    </row>
    <row r="6300" s="1" customFormat="1" spans="1:21">
      <c r="A6300" s="1" t="str">
        <f>"4601992258791"</f>
        <v>4601992258791</v>
      </c>
      <c r="B6300" s="1" t="s">
        <v>6323</v>
      </c>
      <c r="C6300" s="1" t="s">
        <v>24</v>
      </c>
      <c r="D6300" s="1" t="str">
        <f t="shared" si="11742"/>
        <v>2021</v>
      </c>
      <c r="E6300" s="1" t="str">
        <f t="shared" ref="E6300:P6300" si="11784">"0"</f>
        <v>0</v>
      </c>
      <c r="F6300" s="1" t="str">
        <f t="shared" si="11784"/>
        <v>0</v>
      </c>
      <c r="G6300" s="1" t="str">
        <f t="shared" si="11784"/>
        <v>0</v>
      </c>
      <c r="H6300" s="1" t="str">
        <f t="shared" si="11784"/>
        <v>0</v>
      </c>
      <c r="I6300" s="1" t="str">
        <f t="shared" si="11784"/>
        <v>0</v>
      </c>
      <c r="J6300" s="1" t="str">
        <f t="shared" si="11784"/>
        <v>0</v>
      </c>
      <c r="K6300" s="1" t="str">
        <f t="shared" si="11784"/>
        <v>0</v>
      </c>
      <c r="L6300" s="1" t="str">
        <f t="shared" si="11784"/>
        <v>0</v>
      </c>
      <c r="M6300" s="1" t="str">
        <f t="shared" si="11784"/>
        <v>0</v>
      </c>
      <c r="N6300" s="1" t="str">
        <f t="shared" si="11784"/>
        <v>0</v>
      </c>
      <c r="O6300" s="1" t="str">
        <f t="shared" si="11784"/>
        <v>0</v>
      </c>
      <c r="P6300" s="1" t="str">
        <f t="shared" si="11784"/>
        <v>0</v>
      </c>
      <c r="Q6300" s="1" t="str">
        <f t="shared" si="11745"/>
        <v>0.0070</v>
      </c>
      <c r="R6300" s="1" t="s">
        <v>25</v>
      </c>
      <c r="T6300" s="1" t="str">
        <f t="shared" si="11746"/>
        <v>0</v>
      </c>
      <c r="U6300" s="1" t="str">
        <f t="shared" si="11702"/>
        <v>0.0070</v>
      </c>
    </row>
    <row r="6301" s="1" customFormat="1" spans="1:21">
      <c r="A6301" s="1" t="str">
        <f>"4601992258910"</f>
        <v>4601992258910</v>
      </c>
      <c r="B6301" s="1" t="s">
        <v>6324</v>
      </c>
      <c r="C6301" s="1" t="s">
        <v>24</v>
      </c>
      <c r="D6301" s="1" t="str">
        <f t="shared" si="11742"/>
        <v>2021</v>
      </c>
      <c r="E6301" s="1" t="str">
        <f t="shared" ref="E6301:P6301" si="11785">"0"</f>
        <v>0</v>
      </c>
      <c r="F6301" s="1" t="str">
        <f t="shared" si="11785"/>
        <v>0</v>
      </c>
      <c r="G6301" s="1" t="str">
        <f t="shared" si="11785"/>
        <v>0</v>
      </c>
      <c r="H6301" s="1" t="str">
        <f t="shared" si="11785"/>
        <v>0</v>
      </c>
      <c r="I6301" s="1" t="str">
        <f t="shared" si="11785"/>
        <v>0</v>
      </c>
      <c r="J6301" s="1" t="str">
        <f t="shared" si="11785"/>
        <v>0</v>
      </c>
      <c r="K6301" s="1" t="str">
        <f t="shared" si="11785"/>
        <v>0</v>
      </c>
      <c r="L6301" s="1" t="str">
        <f t="shared" si="11785"/>
        <v>0</v>
      </c>
      <c r="M6301" s="1" t="str">
        <f t="shared" si="11785"/>
        <v>0</v>
      </c>
      <c r="N6301" s="1" t="str">
        <f t="shared" si="11785"/>
        <v>0</v>
      </c>
      <c r="O6301" s="1" t="str">
        <f t="shared" si="11785"/>
        <v>0</v>
      </c>
      <c r="P6301" s="1" t="str">
        <f t="shared" si="11785"/>
        <v>0</v>
      </c>
      <c r="Q6301" s="1" t="str">
        <f t="shared" si="11745"/>
        <v>0.0070</v>
      </c>
      <c r="R6301" s="1" t="s">
        <v>25</v>
      </c>
      <c r="T6301" s="1" t="str">
        <f t="shared" si="11746"/>
        <v>0</v>
      </c>
      <c r="U6301" s="1" t="str">
        <f t="shared" si="11702"/>
        <v>0.0070</v>
      </c>
    </row>
    <row r="6302" s="1" customFormat="1" spans="1:21">
      <c r="A6302" s="1" t="str">
        <f>"4601992259202"</f>
        <v>4601992259202</v>
      </c>
      <c r="B6302" s="1" t="s">
        <v>6325</v>
      </c>
      <c r="C6302" s="1" t="s">
        <v>24</v>
      </c>
      <c r="D6302" s="1" t="str">
        <f t="shared" si="11742"/>
        <v>2021</v>
      </c>
      <c r="E6302" s="1" t="str">
        <f t="shared" ref="E6302:P6302" si="11786">"0"</f>
        <v>0</v>
      </c>
      <c r="F6302" s="1" t="str">
        <f t="shared" si="11786"/>
        <v>0</v>
      </c>
      <c r="G6302" s="1" t="str">
        <f t="shared" si="11786"/>
        <v>0</v>
      </c>
      <c r="H6302" s="1" t="str">
        <f t="shared" si="11786"/>
        <v>0</v>
      </c>
      <c r="I6302" s="1" t="str">
        <f t="shared" si="11786"/>
        <v>0</v>
      </c>
      <c r="J6302" s="1" t="str">
        <f t="shared" si="11786"/>
        <v>0</v>
      </c>
      <c r="K6302" s="1" t="str">
        <f t="shared" si="11786"/>
        <v>0</v>
      </c>
      <c r="L6302" s="1" t="str">
        <f t="shared" si="11786"/>
        <v>0</v>
      </c>
      <c r="M6302" s="1" t="str">
        <f t="shared" si="11786"/>
        <v>0</v>
      </c>
      <c r="N6302" s="1" t="str">
        <f t="shared" si="11786"/>
        <v>0</v>
      </c>
      <c r="O6302" s="1" t="str">
        <f t="shared" si="11786"/>
        <v>0</v>
      </c>
      <c r="P6302" s="1" t="str">
        <f t="shared" si="11786"/>
        <v>0</v>
      </c>
      <c r="Q6302" s="1" t="str">
        <f t="shared" si="11745"/>
        <v>0.0070</v>
      </c>
      <c r="R6302" s="1" t="s">
        <v>25</v>
      </c>
      <c r="T6302" s="1" t="str">
        <f t="shared" si="11746"/>
        <v>0</v>
      </c>
      <c r="U6302" s="1" t="str">
        <f t="shared" si="11702"/>
        <v>0.0070</v>
      </c>
    </row>
    <row r="6303" s="1" customFormat="1" spans="1:21">
      <c r="A6303" s="1" t="str">
        <f>"4601992259282"</f>
        <v>4601992259282</v>
      </c>
      <c r="B6303" s="1" t="s">
        <v>6326</v>
      </c>
      <c r="C6303" s="1" t="s">
        <v>24</v>
      </c>
      <c r="D6303" s="1" t="str">
        <f t="shared" si="11742"/>
        <v>2021</v>
      </c>
      <c r="E6303" s="1" t="str">
        <f t="shared" ref="E6303:P6303" si="11787">"0"</f>
        <v>0</v>
      </c>
      <c r="F6303" s="1" t="str">
        <f t="shared" si="11787"/>
        <v>0</v>
      </c>
      <c r="G6303" s="1" t="str">
        <f t="shared" si="11787"/>
        <v>0</v>
      </c>
      <c r="H6303" s="1" t="str">
        <f t="shared" si="11787"/>
        <v>0</v>
      </c>
      <c r="I6303" s="1" t="str">
        <f t="shared" si="11787"/>
        <v>0</v>
      </c>
      <c r="J6303" s="1" t="str">
        <f t="shared" si="11787"/>
        <v>0</v>
      </c>
      <c r="K6303" s="1" t="str">
        <f t="shared" si="11787"/>
        <v>0</v>
      </c>
      <c r="L6303" s="1" t="str">
        <f t="shared" si="11787"/>
        <v>0</v>
      </c>
      <c r="M6303" s="1" t="str">
        <f t="shared" si="11787"/>
        <v>0</v>
      </c>
      <c r="N6303" s="1" t="str">
        <f t="shared" si="11787"/>
        <v>0</v>
      </c>
      <c r="O6303" s="1" t="str">
        <f t="shared" si="11787"/>
        <v>0</v>
      </c>
      <c r="P6303" s="1" t="str">
        <f t="shared" si="11787"/>
        <v>0</v>
      </c>
      <c r="Q6303" s="1" t="str">
        <f t="shared" si="11745"/>
        <v>0.0070</v>
      </c>
      <c r="R6303" s="1" t="s">
        <v>25</v>
      </c>
      <c r="T6303" s="1" t="str">
        <f t="shared" si="11746"/>
        <v>0</v>
      </c>
      <c r="U6303" s="1" t="str">
        <f t="shared" ref="U6303:U6315" si="11788">"0.0070"</f>
        <v>0.0070</v>
      </c>
    </row>
    <row r="6304" s="1" customFormat="1" spans="1:21">
      <c r="A6304" s="1" t="str">
        <f>"4601992028833"</f>
        <v>4601992028833</v>
      </c>
      <c r="B6304" s="1" t="s">
        <v>6327</v>
      </c>
      <c r="C6304" s="1" t="s">
        <v>24</v>
      </c>
      <c r="D6304" s="1" t="str">
        <f t="shared" si="11742"/>
        <v>2021</v>
      </c>
      <c r="E6304" s="1" t="str">
        <f>"1262.29"</f>
        <v>1262.29</v>
      </c>
      <c r="F6304" s="1" t="str">
        <f t="shared" ref="F6304:I6304" si="11789">"0"</f>
        <v>0</v>
      </c>
      <c r="G6304" s="1" t="str">
        <f t="shared" si="11789"/>
        <v>0</v>
      </c>
      <c r="H6304" s="1" t="str">
        <f t="shared" si="11789"/>
        <v>0</v>
      </c>
      <c r="I6304" s="1" t="str">
        <f t="shared" si="11789"/>
        <v>0</v>
      </c>
      <c r="J6304" s="1" t="str">
        <f>"109"</f>
        <v>109</v>
      </c>
      <c r="K6304" s="1" t="str">
        <f t="shared" ref="K6304:P6304" si="11790">"0"</f>
        <v>0</v>
      </c>
      <c r="L6304" s="1" t="str">
        <f t="shared" si="11790"/>
        <v>0</v>
      </c>
      <c r="M6304" s="1" t="str">
        <f t="shared" si="11790"/>
        <v>0</v>
      </c>
      <c r="N6304" s="1" t="str">
        <f t="shared" si="11790"/>
        <v>0</v>
      </c>
      <c r="O6304" s="1" t="str">
        <f t="shared" si="11790"/>
        <v>0</v>
      </c>
      <c r="P6304" s="1" t="str">
        <f t="shared" si="11790"/>
        <v>0</v>
      </c>
      <c r="Q6304" s="1" t="str">
        <f t="shared" si="11745"/>
        <v>0.0070</v>
      </c>
      <c r="R6304" s="1" t="s">
        <v>29</v>
      </c>
      <c r="S6304" s="1">
        <v>-0.0014</v>
      </c>
      <c r="T6304" s="1" t="str">
        <f t="shared" si="11746"/>
        <v>0</v>
      </c>
      <c r="U6304" s="1" t="str">
        <f>"0.0056"</f>
        <v>0.0056</v>
      </c>
    </row>
    <row r="6305" s="1" customFormat="1" spans="1:21">
      <c r="A6305" s="1" t="str">
        <f>"4601992259351"</f>
        <v>4601992259351</v>
      </c>
      <c r="B6305" s="1" t="s">
        <v>6328</v>
      </c>
      <c r="C6305" s="1" t="s">
        <v>24</v>
      </c>
      <c r="D6305" s="1" t="str">
        <f t="shared" si="11742"/>
        <v>2021</v>
      </c>
      <c r="E6305" s="1" t="str">
        <f t="shared" ref="E6305:P6305" si="11791">"0"</f>
        <v>0</v>
      </c>
      <c r="F6305" s="1" t="str">
        <f t="shared" si="11791"/>
        <v>0</v>
      </c>
      <c r="G6305" s="1" t="str">
        <f t="shared" si="11791"/>
        <v>0</v>
      </c>
      <c r="H6305" s="1" t="str">
        <f t="shared" si="11791"/>
        <v>0</v>
      </c>
      <c r="I6305" s="1" t="str">
        <f t="shared" si="11791"/>
        <v>0</v>
      </c>
      <c r="J6305" s="1" t="str">
        <f t="shared" si="11791"/>
        <v>0</v>
      </c>
      <c r="K6305" s="1" t="str">
        <f t="shared" si="11791"/>
        <v>0</v>
      </c>
      <c r="L6305" s="1" t="str">
        <f t="shared" si="11791"/>
        <v>0</v>
      </c>
      <c r="M6305" s="1" t="str">
        <f t="shared" si="11791"/>
        <v>0</v>
      </c>
      <c r="N6305" s="1" t="str">
        <f t="shared" si="11791"/>
        <v>0</v>
      </c>
      <c r="O6305" s="1" t="str">
        <f t="shared" si="11791"/>
        <v>0</v>
      </c>
      <c r="P6305" s="1" t="str">
        <f t="shared" si="11791"/>
        <v>0</v>
      </c>
      <c r="Q6305" s="1" t="str">
        <f t="shared" si="11745"/>
        <v>0.0070</v>
      </c>
      <c r="R6305" s="1" t="s">
        <v>25</v>
      </c>
      <c r="T6305" s="1" t="str">
        <f t="shared" si="11746"/>
        <v>0</v>
      </c>
      <c r="U6305" s="1" t="str">
        <f t="shared" si="11788"/>
        <v>0.0070</v>
      </c>
    </row>
    <row r="6306" s="1" customFormat="1" spans="1:21">
      <c r="A6306" s="1" t="str">
        <f>"4601992259442"</f>
        <v>4601992259442</v>
      </c>
      <c r="B6306" s="1" t="s">
        <v>6329</v>
      </c>
      <c r="C6306" s="1" t="s">
        <v>24</v>
      </c>
      <c r="D6306" s="1" t="str">
        <f t="shared" si="11742"/>
        <v>2021</v>
      </c>
      <c r="E6306" s="1" t="str">
        <f t="shared" ref="E6306:P6306" si="11792">"0"</f>
        <v>0</v>
      </c>
      <c r="F6306" s="1" t="str">
        <f t="shared" si="11792"/>
        <v>0</v>
      </c>
      <c r="G6306" s="1" t="str">
        <f t="shared" si="11792"/>
        <v>0</v>
      </c>
      <c r="H6306" s="1" t="str">
        <f t="shared" si="11792"/>
        <v>0</v>
      </c>
      <c r="I6306" s="1" t="str">
        <f t="shared" si="11792"/>
        <v>0</v>
      </c>
      <c r="J6306" s="1" t="str">
        <f t="shared" si="11792"/>
        <v>0</v>
      </c>
      <c r="K6306" s="1" t="str">
        <f t="shared" si="11792"/>
        <v>0</v>
      </c>
      <c r="L6306" s="1" t="str">
        <f t="shared" si="11792"/>
        <v>0</v>
      </c>
      <c r="M6306" s="1" t="str">
        <f t="shared" si="11792"/>
        <v>0</v>
      </c>
      <c r="N6306" s="1" t="str">
        <f t="shared" si="11792"/>
        <v>0</v>
      </c>
      <c r="O6306" s="1" t="str">
        <f t="shared" si="11792"/>
        <v>0</v>
      </c>
      <c r="P6306" s="1" t="str">
        <f t="shared" si="11792"/>
        <v>0</v>
      </c>
      <c r="Q6306" s="1" t="str">
        <f t="shared" si="11745"/>
        <v>0.0070</v>
      </c>
      <c r="R6306" s="1" t="s">
        <v>25</v>
      </c>
      <c r="T6306" s="1" t="str">
        <f t="shared" si="11746"/>
        <v>0</v>
      </c>
      <c r="U6306" s="1" t="str">
        <f t="shared" si="11788"/>
        <v>0.0070</v>
      </c>
    </row>
    <row r="6307" s="1" customFormat="1" spans="1:21">
      <c r="A6307" s="1" t="str">
        <f>"4601992258332"</f>
        <v>4601992258332</v>
      </c>
      <c r="B6307" s="1" t="s">
        <v>6330</v>
      </c>
      <c r="C6307" s="1" t="s">
        <v>24</v>
      </c>
      <c r="D6307" s="1" t="str">
        <f t="shared" si="11742"/>
        <v>2021</v>
      </c>
      <c r="E6307" s="1" t="str">
        <f t="shared" ref="E6307:I6307" si="11793">"0"</f>
        <v>0</v>
      </c>
      <c r="F6307" s="1" t="str">
        <f t="shared" si="11793"/>
        <v>0</v>
      </c>
      <c r="G6307" s="1" t="str">
        <f t="shared" si="11793"/>
        <v>0</v>
      </c>
      <c r="H6307" s="1" t="str">
        <f t="shared" si="11793"/>
        <v>0</v>
      </c>
      <c r="I6307" s="1" t="str">
        <f t="shared" si="11793"/>
        <v>0</v>
      </c>
      <c r="J6307" s="1" t="str">
        <f>"2"</f>
        <v>2</v>
      </c>
      <c r="K6307" s="1" t="str">
        <f t="shared" ref="K6307:P6307" si="11794">"0"</f>
        <v>0</v>
      </c>
      <c r="L6307" s="1" t="str">
        <f t="shared" si="11794"/>
        <v>0</v>
      </c>
      <c r="M6307" s="1" t="str">
        <f t="shared" si="11794"/>
        <v>0</v>
      </c>
      <c r="N6307" s="1" t="str">
        <f t="shared" si="11794"/>
        <v>0</v>
      </c>
      <c r="O6307" s="1" t="str">
        <f t="shared" si="11794"/>
        <v>0</v>
      </c>
      <c r="P6307" s="1" t="str">
        <f t="shared" si="11794"/>
        <v>0</v>
      </c>
      <c r="Q6307" s="1" t="str">
        <f t="shared" si="11745"/>
        <v>0.0070</v>
      </c>
      <c r="R6307" s="1" t="s">
        <v>25</v>
      </c>
      <c r="T6307" s="1" t="str">
        <f t="shared" si="11746"/>
        <v>0</v>
      </c>
      <c r="U6307" s="1" t="str">
        <f t="shared" si="11788"/>
        <v>0.0070</v>
      </c>
    </row>
    <row r="6308" s="1" customFormat="1" spans="1:21">
      <c r="A6308" s="1" t="str">
        <f>"4601992259528"</f>
        <v>4601992259528</v>
      </c>
      <c r="B6308" s="1" t="s">
        <v>6331</v>
      </c>
      <c r="C6308" s="1" t="s">
        <v>24</v>
      </c>
      <c r="D6308" s="1" t="str">
        <f t="shared" si="11742"/>
        <v>2021</v>
      </c>
      <c r="E6308" s="1" t="str">
        <f t="shared" ref="E6308:P6308" si="11795">"0"</f>
        <v>0</v>
      </c>
      <c r="F6308" s="1" t="str">
        <f t="shared" si="11795"/>
        <v>0</v>
      </c>
      <c r="G6308" s="1" t="str">
        <f t="shared" si="11795"/>
        <v>0</v>
      </c>
      <c r="H6308" s="1" t="str">
        <f t="shared" si="11795"/>
        <v>0</v>
      </c>
      <c r="I6308" s="1" t="str">
        <f t="shared" si="11795"/>
        <v>0</v>
      </c>
      <c r="J6308" s="1" t="str">
        <f t="shared" si="11795"/>
        <v>0</v>
      </c>
      <c r="K6308" s="1" t="str">
        <f t="shared" si="11795"/>
        <v>0</v>
      </c>
      <c r="L6308" s="1" t="str">
        <f t="shared" si="11795"/>
        <v>0</v>
      </c>
      <c r="M6308" s="1" t="str">
        <f t="shared" si="11795"/>
        <v>0</v>
      </c>
      <c r="N6308" s="1" t="str">
        <f t="shared" si="11795"/>
        <v>0</v>
      </c>
      <c r="O6308" s="1" t="str">
        <f t="shared" si="11795"/>
        <v>0</v>
      </c>
      <c r="P6308" s="1" t="str">
        <f t="shared" si="11795"/>
        <v>0</v>
      </c>
      <c r="Q6308" s="1" t="str">
        <f t="shared" si="11745"/>
        <v>0.0070</v>
      </c>
      <c r="R6308" s="1" t="s">
        <v>25</v>
      </c>
      <c r="T6308" s="1" t="str">
        <f t="shared" si="11746"/>
        <v>0</v>
      </c>
      <c r="U6308" s="1" t="str">
        <f t="shared" si="11788"/>
        <v>0.0070</v>
      </c>
    </row>
    <row r="6309" s="1" customFormat="1" spans="1:21">
      <c r="A6309" s="1" t="str">
        <f>"4601992259784"</f>
        <v>4601992259784</v>
      </c>
      <c r="B6309" s="1" t="s">
        <v>6332</v>
      </c>
      <c r="C6309" s="1" t="s">
        <v>24</v>
      </c>
      <c r="D6309" s="1" t="str">
        <f t="shared" si="11742"/>
        <v>2021</v>
      </c>
      <c r="E6309" s="1" t="str">
        <f t="shared" ref="E6309:P6309" si="11796">"0"</f>
        <v>0</v>
      </c>
      <c r="F6309" s="1" t="str">
        <f t="shared" si="11796"/>
        <v>0</v>
      </c>
      <c r="G6309" s="1" t="str">
        <f t="shared" si="11796"/>
        <v>0</v>
      </c>
      <c r="H6309" s="1" t="str">
        <f t="shared" si="11796"/>
        <v>0</v>
      </c>
      <c r="I6309" s="1" t="str">
        <f t="shared" si="11796"/>
        <v>0</v>
      </c>
      <c r="J6309" s="1" t="str">
        <f t="shared" si="11796"/>
        <v>0</v>
      </c>
      <c r="K6309" s="1" t="str">
        <f t="shared" si="11796"/>
        <v>0</v>
      </c>
      <c r="L6309" s="1" t="str">
        <f t="shared" si="11796"/>
        <v>0</v>
      </c>
      <c r="M6309" s="1" t="str">
        <f t="shared" si="11796"/>
        <v>0</v>
      </c>
      <c r="N6309" s="1" t="str">
        <f t="shared" si="11796"/>
        <v>0</v>
      </c>
      <c r="O6309" s="1" t="str">
        <f t="shared" si="11796"/>
        <v>0</v>
      </c>
      <c r="P6309" s="1" t="str">
        <f t="shared" si="11796"/>
        <v>0</v>
      </c>
      <c r="Q6309" s="1" t="str">
        <f t="shared" si="11745"/>
        <v>0.0070</v>
      </c>
      <c r="R6309" s="1" t="s">
        <v>25</v>
      </c>
      <c r="T6309" s="1" t="str">
        <f t="shared" si="11746"/>
        <v>0</v>
      </c>
      <c r="U6309" s="1" t="str">
        <f t="shared" si="11788"/>
        <v>0.0070</v>
      </c>
    </row>
    <row r="6310" s="1" customFormat="1" spans="1:21">
      <c r="A6310" s="1" t="str">
        <f>"4601992259818"</f>
        <v>4601992259818</v>
      </c>
      <c r="B6310" s="1" t="s">
        <v>6333</v>
      </c>
      <c r="C6310" s="1" t="s">
        <v>24</v>
      </c>
      <c r="D6310" s="1" t="str">
        <f t="shared" si="11742"/>
        <v>2021</v>
      </c>
      <c r="E6310" s="1" t="str">
        <f t="shared" ref="E6310:P6310" si="11797">"0"</f>
        <v>0</v>
      </c>
      <c r="F6310" s="1" t="str">
        <f t="shared" si="11797"/>
        <v>0</v>
      </c>
      <c r="G6310" s="1" t="str">
        <f t="shared" si="11797"/>
        <v>0</v>
      </c>
      <c r="H6310" s="1" t="str">
        <f t="shared" si="11797"/>
        <v>0</v>
      </c>
      <c r="I6310" s="1" t="str">
        <f t="shared" si="11797"/>
        <v>0</v>
      </c>
      <c r="J6310" s="1" t="str">
        <f t="shared" si="11797"/>
        <v>0</v>
      </c>
      <c r="K6310" s="1" t="str">
        <f t="shared" si="11797"/>
        <v>0</v>
      </c>
      <c r="L6310" s="1" t="str">
        <f t="shared" si="11797"/>
        <v>0</v>
      </c>
      <c r="M6310" s="1" t="str">
        <f t="shared" si="11797"/>
        <v>0</v>
      </c>
      <c r="N6310" s="1" t="str">
        <f t="shared" si="11797"/>
        <v>0</v>
      </c>
      <c r="O6310" s="1" t="str">
        <f t="shared" si="11797"/>
        <v>0</v>
      </c>
      <c r="P6310" s="1" t="str">
        <f t="shared" si="11797"/>
        <v>0</v>
      </c>
      <c r="Q6310" s="1" t="str">
        <f t="shared" si="11745"/>
        <v>0.0070</v>
      </c>
      <c r="R6310" s="1" t="s">
        <v>25</v>
      </c>
      <c r="T6310" s="1" t="str">
        <f t="shared" si="11746"/>
        <v>0</v>
      </c>
      <c r="U6310" s="1" t="str">
        <f t="shared" si="11788"/>
        <v>0.0070</v>
      </c>
    </row>
    <row r="6311" s="1" customFormat="1" spans="1:21">
      <c r="A6311" s="1" t="str">
        <f>"4601992259979"</f>
        <v>4601992259979</v>
      </c>
      <c r="B6311" s="1" t="s">
        <v>6334</v>
      </c>
      <c r="C6311" s="1" t="s">
        <v>24</v>
      </c>
      <c r="D6311" s="1" t="str">
        <f t="shared" si="11742"/>
        <v>2021</v>
      </c>
      <c r="E6311" s="1" t="str">
        <f t="shared" ref="E6311:P6311" si="11798">"0"</f>
        <v>0</v>
      </c>
      <c r="F6311" s="1" t="str">
        <f t="shared" si="11798"/>
        <v>0</v>
      </c>
      <c r="G6311" s="1" t="str">
        <f t="shared" si="11798"/>
        <v>0</v>
      </c>
      <c r="H6311" s="1" t="str">
        <f t="shared" si="11798"/>
        <v>0</v>
      </c>
      <c r="I6311" s="1" t="str">
        <f t="shared" si="11798"/>
        <v>0</v>
      </c>
      <c r="J6311" s="1" t="str">
        <f t="shared" si="11798"/>
        <v>0</v>
      </c>
      <c r="K6311" s="1" t="str">
        <f t="shared" si="11798"/>
        <v>0</v>
      </c>
      <c r="L6311" s="1" t="str">
        <f t="shared" si="11798"/>
        <v>0</v>
      </c>
      <c r="M6311" s="1" t="str">
        <f t="shared" si="11798"/>
        <v>0</v>
      </c>
      <c r="N6311" s="1" t="str">
        <f t="shared" si="11798"/>
        <v>0</v>
      </c>
      <c r="O6311" s="1" t="str">
        <f t="shared" si="11798"/>
        <v>0</v>
      </c>
      <c r="P6311" s="1" t="str">
        <f t="shared" si="11798"/>
        <v>0</v>
      </c>
      <c r="Q6311" s="1" t="str">
        <f t="shared" si="11745"/>
        <v>0.0070</v>
      </c>
      <c r="R6311" s="1" t="s">
        <v>25</v>
      </c>
      <c r="T6311" s="1" t="str">
        <f t="shared" si="11746"/>
        <v>0</v>
      </c>
      <c r="U6311" s="1" t="str">
        <f t="shared" si="11788"/>
        <v>0.0070</v>
      </c>
    </row>
    <row r="6312" s="1" customFormat="1" spans="1:21">
      <c r="A6312" s="1" t="str">
        <f>"4601992260188"</f>
        <v>4601992260188</v>
      </c>
      <c r="B6312" s="1" t="s">
        <v>6335</v>
      </c>
      <c r="C6312" s="1" t="s">
        <v>24</v>
      </c>
      <c r="D6312" s="1" t="str">
        <f t="shared" si="11742"/>
        <v>2021</v>
      </c>
      <c r="E6312" s="1" t="str">
        <f t="shared" ref="E6312:P6312" si="11799">"0"</f>
        <v>0</v>
      </c>
      <c r="F6312" s="1" t="str">
        <f t="shared" si="11799"/>
        <v>0</v>
      </c>
      <c r="G6312" s="1" t="str">
        <f t="shared" si="11799"/>
        <v>0</v>
      </c>
      <c r="H6312" s="1" t="str">
        <f t="shared" si="11799"/>
        <v>0</v>
      </c>
      <c r="I6312" s="1" t="str">
        <f t="shared" si="11799"/>
        <v>0</v>
      </c>
      <c r="J6312" s="1" t="str">
        <f t="shared" si="11799"/>
        <v>0</v>
      </c>
      <c r="K6312" s="1" t="str">
        <f t="shared" si="11799"/>
        <v>0</v>
      </c>
      <c r="L6312" s="1" t="str">
        <f t="shared" si="11799"/>
        <v>0</v>
      </c>
      <c r="M6312" s="1" t="str">
        <f t="shared" si="11799"/>
        <v>0</v>
      </c>
      <c r="N6312" s="1" t="str">
        <f t="shared" si="11799"/>
        <v>0</v>
      </c>
      <c r="O6312" s="1" t="str">
        <f t="shared" si="11799"/>
        <v>0</v>
      </c>
      <c r="P6312" s="1" t="str">
        <f t="shared" si="11799"/>
        <v>0</v>
      </c>
      <c r="Q6312" s="1" t="str">
        <f t="shared" si="11745"/>
        <v>0.0070</v>
      </c>
      <c r="R6312" s="1" t="s">
        <v>25</v>
      </c>
      <c r="T6312" s="1" t="str">
        <f t="shared" si="11746"/>
        <v>0</v>
      </c>
      <c r="U6312" s="1" t="str">
        <f t="shared" si="11788"/>
        <v>0.0070</v>
      </c>
    </row>
    <row r="6313" s="1" customFormat="1" spans="1:21">
      <c r="A6313" s="1" t="str">
        <f>"4601992260246"</f>
        <v>4601992260246</v>
      </c>
      <c r="B6313" s="1" t="s">
        <v>6336</v>
      </c>
      <c r="C6313" s="1" t="s">
        <v>24</v>
      </c>
      <c r="D6313" s="1" t="str">
        <f t="shared" si="11742"/>
        <v>2021</v>
      </c>
      <c r="E6313" s="1" t="str">
        <f t="shared" ref="E6313:P6313" si="11800">"0"</f>
        <v>0</v>
      </c>
      <c r="F6313" s="1" t="str">
        <f t="shared" si="11800"/>
        <v>0</v>
      </c>
      <c r="G6313" s="1" t="str">
        <f t="shared" si="11800"/>
        <v>0</v>
      </c>
      <c r="H6313" s="1" t="str">
        <f t="shared" si="11800"/>
        <v>0</v>
      </c>
      <c r="I6313" s="1" t="str">
        <f t="shared" si="11800"/>
        <v>0</v>
      </c>
      <c r="J6313" s="1" t="str">
        <f t="shared" si="11800"/>
        <v>0</v>
      </c>
      <c r="K6313" s="1" t="str">
        <f t="shared" si="11800"/>
        <v>0</v>
      </c>
      <c r="L6313" s="1" t="str">
        <f t="shared" si="11800"/>
        <v>0</v>
      </c>
      <c r="M6313" s="1" t="str">
        <f t="shared" si="11800"/>
        <v>0</v>
      </c>
      <c r="N6313" s="1" t="str">
        <f t="shared" si="11800"/>
        <v>0</v>
      </c>
      <c r="O6313" s="1" t="str">
        <f t="shared" si="11800"/>
        <v>0</v>
      </c>
      <c r="P6313" s="1" t="str">
        <f t="shared" si="11800"/>
        <v>0</v>
      </c>
      <c r="Q6313" s="1" t="str">
        <f t="shared" si="11745"/>
        <v>0.0070</v>
      </c>
      <c r="R6313" s="1" t="s">
        <v>25</v>
      </c>
      <c r="T6313" s="1" t="str">
        <f t="shared" si="11746"/>
        <v>0</v>
      </c>
      <c r="U6313" s="1" t="str">
        <f t="shared" si="11788"/>
        <v>0.0070</v>
      </c>
    </row>
    <row r="6314" s="1" customFormat="1" spans="1:21">
      <c r="A6314" s="1" t="str">
        <f>"4601992260059"</f>
        <v>4601992260059</v>
      </c>
      <c r="B6314" s="1" t="s">
        <v>6337</v>
      </c>
      <c r="C6314" s="1" t="s">
        <v>24</v>
      </c>
      <c r="D6314" s="1" t="str">
        <f t="shared" si="11742"/>
        <v>2021</v>
      </c>
      <c r="E6314" s="1" t="str">
        <f t="shared" ref="E6314:I6314" si="11801">"0"</f>
        <v>0</v>
      </c>
      <c r="F6314" s="1" t="str">
        <f t="shared" si="11801"/>
        <v>0</v>
      </c>
      <c r="G6314" s="1" t="str">
        <f t="shared" si="11801"/>
        <v>0</v>
      </c>
      <c r="H6314" s="1" t="str">
        <f t="shared" si="11801"/>
        <v>0</v>
      </c>
      <c r="I6314" s="1" t="str">
        <f t="shared" si="11801"/>
        <v>0</v>
      </c>
      <c r="J6314" s="1" t="str">
        <f>"1"</f>
        <v>1</v>
      </c>
      <c r="K6314" s="1" t="str">
        <f t="shared" ref="K6314:P6314" si="11802">"0"</f>
        <v>0</v>
      </c>
      <c r="L6314" s="1" t="str">
        <f t="shared" si="11802"/>
        <v>0</v>
      </c>
      <c r="M6314" s="1" t="str">
        <f t="shared" si="11802"/>
        <v>0</v>
      </c>
      <c r="N6314" s="1" t="str">
        <f t="shared" si="11802"/>
        <v>0</v>
      </c>
      <c r="O6314" s="1" t="str">
        <f t="shared" si="11802"/>
        <v>0</v>
      </c>
      <c r="P6314" s="1" t="str">
        <f t="shared" si="11802"/>
        <v>0</v>
      </c>
      <c r="Q6314" s="1" t="str">
        <f t="shared" si="11745"/>
        <v>0.0070</v>
      </c>
      <c r="R6314" s="1" t="s">
        <v>25</v>
      </c>
      <c r="T6314" s="1" t="str">
        <f t="shared" si="11746"/>
        <v>0</v>
      </c>
      <c r="U6314" s="1" t="str">
        <f t="shared" si="11788"/>
        <v>0.0070</v>
      </c>
    </row>
    <row r="6315" s="1" customFormat="1" spans="1:21">
      <c r="A6315" s="1" t="str">
        <f>"4601992260264"</f>
        <v>4601992260264</v>
      </c>
      <c r="B6315" s="1" t="s">
        <v>6338</v>
      </c>
      <c r="C6315" s="1" t="s">
        <v>24</v>
      </c>
      <c r="D6315" s="1" t="str">
        <f t="shared" si="11742"/>
        <v>2021</v>
      </c>
      <c r="E6315" s="1" t="str">
        <f t="shared" ref="E6315:P6315" si="11803">"0"</f>
        <v>0</v>
      </c>
      <c r="F6315" s="1" t="str">
        <f t="shared" si="11803"/>
        <v>0</v>
      </c>
      <c r="G6315" s="1" t="str">
        <f t="shared" si="11803"/>
        <v>0</v>
      </c>
      <c r="H6315" s="1" t="str">
        <f t="shared" si="11803"/>
        <v>0</v>
      </c>
      <c r="I6315" s="1" t="str">
        <f t="shared" si="11803"/>
        <v>0</v>
      </c>
      <c r="J6315" s="1" t="str">
        <f t="shared" si="11803"/>
        <v>0</v>
      </c>
      <c r="K6315" s="1" t="str">
        <f t="shared" si="11803"/>
        <v>0</v>
      </c>
      <c r="L6315" s="1" t="str">
        <f t="shared" si="11803"/>
        <v>0</v>
      </c>
      <c r="M6315" s="1" t="str">
        <f t="shared" si="11803"/>
        <v>0</v>
      </c>
      <c r="N6315" s="1" t="str">
        <f t="shared" si="11803"/>
        <v>0</v>
      </c>
      <c r="O6315" s="1" t="str">
        <f t="shared" si="11803"/>
        <v>0</v>
      </c>
      <c r="P6315" s="1" t="str">
        <f t="shared" si="11803"/>
        <v>0</v>
      </c>
      <c r="Q6315" s="1" t="str">
        <f t="shared" si="11745"/>
        <v>0.0070</v>
      </c>
      <c r="R6315" s="1" t="s">
        <v>25</v>
      </c>
      <c r="T6315" s="1" t="str">
        <f t="shared" si="11746"/>
        <v>0</v>
      </c>
      <c r="U6315" s="1" t="str">
        <f t="shared" si="11788"/>
        <v>0.0070</v>
      </c>
    </row>
    <row r="6316" s="1" customFormat="1" spans="1:21">
      <c r="A6316" s="1" t="str">
        <f>"4601991426599"</f>
        <v>4601991426599</v>
      </c>
      <c r="B6316" s="1" t="s">
        <v>6339</v>
      </c>
      <c r="C6316" s="1" t="s">
        <v>24</v>
      </c>
      <c r="D6316" s="1" t="str">
        <f t="shared" si="11742"/>
        <v>2021</v>
      </c>
      <c r="E6316" s="1" t="str">
        <f>"9.60"</f>
        <v>9.60</v>
      </c>
      <c r="F6316" s="1" t="str">
        <f t="shared" ref="F6316:I6316" si="11804">"0"</f>
        <v>0</v>
      </c>
      <c r="G6316" s="1" t="str">
        <f t="shared" si="11804"/>
        <v>0</v>
      </c>
      <c r="H6316" s="1" t="str">
        <f t="shared" si="11804"/>
        <v>0</v>
      </c>
      <c r="I6316" s="1" t="str">
        <f t="shared" si="11804"/>
        <v>0</v>
      </c>
      <c r="J6316" s="1" t="str">
        <f>"8"</f>
        <v>8</v>
      </c>
      <c r="K6316" s="1" t="str">
        <f t="shared" ref="K6316:P6316" si="11805">"0"</f>
        <v>0</v>
      </c>
      <c r="L6316" s="1" t="str">
        <f t="shared" si="11805"/>
        <v>0</v>
      </c>
      <c r="M6316" s="1" t="str">
        <f t="shared" si="11805"/>
        <v>0</v>
      </c>
      <c r="N6316" s="1" t="str">
        <f t="shared" si="11805"/>
        <v>0</v>
      </c>
      <c r="O6316" s="1" t="str">
        <f t="shared" si="11805"/>
        <v>0</v>
      </c>
      <c r="P6316" s="1" t="str">
        <f t="shared" si="11805"/>
        <v>0</v>
      </c>
      <c r="Q6316" s="1" t="str">
        <f t="shared" si="11745"/>
        <v>0.0070</v>
      </c>
      <c r="R6316" s="1" t="s">
        <v>29</v>
      </c>
      <c r="S6316" s="1">
        <v>-0.0014</v>
      </c>
      <c r="T6316" s="1" t="str">
        <f t="shared" si="11746"/>
        <v>0</v>
      </c>
      <c r="U6316" s="1" t="str">
        <f>"0.0056"</f>
        <v>0.0056</v>
      </c>
    </row>
    <row r="6317" s="1" customFormat="1" spans="1:21">
      <c r="A6317" s="1" t="str">
        <f>"4601992260685"</f>
        <v>4601992260685</v>
      </c>
      <c r="B6317" s="1" t="s">
        <v>6340</v>
      </c>
      <c r="C6317" s="1" t="s">
        <v>24</v>
      </c>
      <c r="D6317" s="1" t="str">
        <f t="shared" si="11742"/>
        <v>2021</v>
      </c>
      <c r="E6317" s="1" t="str">
        <f t="shared" ref="E6317:P6317" si="11806">"0"</f>
        <v>0</v>
      </c>
      <c r="F6317" s="1" t="str">
        <f t="shared" si="11806"/>
        <v>0</v>
      </c>
      <c r="G6317" s="1" t="str">
        <f t="shared" si="11806"/>
        <v>0</v>
      </c>
      <c r="H6317" s="1" t="str">
        <f t="shared" si="11806"/>
        <v>0</v>
      </c>
      <c r="I6317" s="1" t="str">
        <f t="shared" si="11806"/>
        <v>0</v>
      </c>
      <c r="J6317" s="1" t="str">
        <f t="shared" si="11806"/>
        <v>0</v>
      </c>
      <c r="K6317" s="1" t="str">
        <f t="shared" si="11806"/>
        <v>0</v>
      </c>
      <c r="L6317" s="1" t="str">
        <f t="shared" si="11806"/>
        <v>0</v>
      </c>
      <c r="M6317" s="1" t="str">
        <f t="shared" si="11806"/>
        <v>0</v>
      </c>
      <c r="N6317" s="1" t="str">
        <f t="shared" si="11806"/>
        <v>0</v>
      </c>
      <c r="O6317" s="1" t="str">
        <f t="shared" si="11806"/>
        <v>0</v>
      </c>
      <c r="P6317" s="1" t="str">
        <f t="shared" si="11806"/>
        <v>0</v>
      </c>
      <c r="Q6317" s="1" t="str">
        <f t="shared" si="11745"/>
        <v>0.0070</v>
      </c>
      <c r="R6317" s="1" t="s">
        <v>25</v>
      </c>
      <c r="T6317" s="1" t="str">
        <f t="shared" si="11746"/>
        <v>0</v>
      </c>
      <c r="U6317" s="1" t="str">
        <f t="shared" ref="U6317:U6380" si="11807">"0.0070"</f>
        <v>0.0070</v>
      </c>
    </row>
    <row r="6318" s="1" customFormat="1" spans="1:21">
      <c r="A6318" s="1" t="str">
        <f>"4601992260770"</f>
        <v>4601992260770</v>
      </c>
      <c r="B6318" s="1" t="s">
        <v>6341</v>
      </c>
      <c r="C6318" s="1" t="s">
        <v>24</v>
      </c>
      <c r="D6318" s="1" t="str">
        <f t="shared" si="11742"/>
        <v>2021</v>
      </c>
      <c r="E6318" s="1" t="str">
        <f t="shared" ref="E6318:P6318" si="11808">"0"</f>
        <v>0</v>
      </c>
      <c r="F6318" s="1" t="str">
        <f t="shared" si="11808"/>
        <v>0</v>
      </c>
      <c r="G6318" s="1" t="str">
        <f t="shared" si="11808"/>
        <v>0</v>
      </c>
      <c r="H6318" s="1" t="str">
        <f t="shared" si="11808"/>
        <v>0</v>
      </c>
      <c r="I6318" s="1" t="str">
        <f t="shared" si="11808"/>
        <v>0</v>
      </c>
      <c r="J6318" s="1" t="str">
        <f t="shared" si="11808"/>
        <v>0</v>
      </c>
      <c r="K6318" s="1" t="str">
        <f t="shared" si="11808"/>
        <v>0</v>
      </c>
      <c r="L6318" s="1" t="str">
        <f t="shared" si="11808"/>
        <v>0</v>
      </c>
      <c r="M6318" s="1" t="str">
        <f t="shared" si="11808"/>
        <v>0</v>
      </c>
      <c r="N6318" s="1" t="str">
        <f t="shared" si="11808"/>
        <v>0</v>
      </c>
      <c r="O6318" s="1" t="str">
        <f t="shared" si="11808"/>
        <v>0</v>
      </c>
      <c r="P6318" s="1" t="str">
        <f t="shared" si="11808"/>
        <v>0</v>
      </c>
      <c r="Q6318" s="1" t="str">
        <f t="shared" si="11745"/>
        <v>0.0070</v>
      </c>
      <c r="R6318" s="1" t="s">
        <v>25</v>
      </c>
      <c r="T6318" s="1" t="str">
        <f t="shared" si="11746"/>
        <v>0</v>
      </c>
      <c r="U6318" s="1" t="str">
        <f t="shared" si="11807"/>
        <v>0.0070</v>
      </c>
    </row>
    <row r="6319" s="1" customFormat="1" spans="1:21">
      <c r="A6319" s="1" t="str">
        <f>"4601992261039"</f>
        <v>4601992261039</v>
      </c>
      <c r="B6319" s="1" t="s">
        <v>6342</v>
      </c>
      <c r="C6319" s="1" t="s">
        <v>24</v>
      </c>
      <c r="D6319" s="1" t="str">
        <f t="shared" si="11742"/>
        <v>2021</v>
      </c>
      <c r="E6319" s="1" t="str">
        <f t="shared" ref="E6319:P6319" si="11809">"0"</f>
        <v>0</v>
      </c>
      <c r="F6319" s="1" t="str">
        <f t="shared" si="11809"/>
        <v>0</v>
      </c>
      <c r="G6319" s="1" t="str">
        <f t="shared" si="11809"/>
        <v>0</v>
      </c>
      <c r="H6319" s="1" t="str">
        <f t="shared" si="11809"/>
        <v>0</v>
      </c>
      <c r="I6319" s="1" t="str">
        <f t="shared" si="11809"/>
        <v>0</v>
      </c>
      <c r="J6319" s="1" t="str">
        <f t="shared" si="11809"/>
        <v>0</v>
      </c>
      <c r="K6319" s="1" t="str">
        <f t="shared" si="11809"/>
        <v>0</v>
      </c>
      <c r="L6319" s="1" t="str">
        <f t="shared" si="11809"/>
        <v>0</v>
      </c>
      <c r="M6319" s="1" t="str">
        <f t="shared" si="11809"/>
        <v>0</v>
      </c>
      <c r="N6319" s="1" t="str">
        <f t="shared" si="11809"/>
        <v>0</v>
      </c>
      <c r="O6319" s="1" t="str">
        <f t="shared" si="11809"/>
        <v>0</v>
      </c>
      <c r="P6319" s="1" t="str">
        <f t="shared" si="11809"/>
        <v>0</v>
      </c>
      <c r="Q6319" s="1" t="str">
        <f t="shared" si="11745"/>
        <v>0.0070</v>
      </c>
      <c r="R6319" s="1" t="s">
        <v>25</v>
      </c>
      <c r="T6319" s="1" t="str">
        <f t="shared" si="11746"/>
        <v>0</v>
      </c>
      <c r="U6319" s="1" t="str">
        <f t="shared" si="11807"/>
        <v>0.0070</v>
      </c>
    </row>
    <row r="6320" s="1" customFormat="1" spans="1:21">
      <c r="A6320" s="1" t="str">
        <f>"4601992261050"</f>
        <v>4601992261050</v>
      </c>
      <c r="B6320" s="1" t="s">
        <v>6343</v>
      </c>
      <c r="C6320" s="1" t="s">
        <v>24</v>
      </c>
      <c r="D6320" s="1" t="str">
        <f t="shared" si="11742"/>
        <v>2021</v>
      </c>
      <c r="E6320" s="1" t="str">
        <f t="shared" ref="E6320:P6320" si="11810">"0"</f>
        <v>0</v>
      </c>
      <c r="F6320" s="1" t="str">
        <f t="shared" si="11810"/>
        <v>0</v>
      </c>
      <c r="G6320" s="1" t="str">
        <f t="shared" si="11810"/>
        <v>0</v>
      </c>
      <c r="H6320" s="1" t="str">
        <f t="shared" si="11810"/>
        <v>0</v>
      </c>
      <c r="I6320" s="1" t="str">
        <f t="shared" si="11810"/>
        <v>0</v>
      </c>
      <c r="J6320" s="1" t="str">
        <f t="shared" si="11810"/>
        <v>0</v>
      </c>
      <c r="K6320" s="1" t="str">
        <f t="shared" si="11810"/>
        <v>0</v>
      </c>
      <c r="L6320" s="1" t="str">
        <f t="shared" si="11810"/>
        <v>0</v>
      </c>
      <c r="M6320" s="1" t="str">
        <f t="shared" si="11810"/>
        <v>0</v>
      </c>
      <c r="N6320" s="1" t="str">
        <f t="shared" si="11810"/>
        <v>0</v>
      </c>
      <c r="O6320" s="1" t="str">
        <f t="shared" si="11810"/>
        <v>0</v>
      </c>
      <c r="P6320" s="1" t="str">
        <f t="shared" si="11810"/>
        <v>0</v>
      </c>
      <c r="Q6320" s="1" t="str">
        <f t="shared" si="11745"/>
        <v>0.0070</v>
      </c>
      <c r="R6320" s="1" t="s">
        <v>25</v>
      </c>
      <c r="T6320" s="1" t="str">
        <f t="shared" si="11746"/>
        <v>0</v>
      </c>
      <c r="U6320" s="1" t="str">
        <f t="shared" si="11807"/>
        <v>0.0070</v>
      </c>
    </row>
    <row r="6321" s="1" customFormat="1" spans="1:21">
      <c r="A6321" s="1" t="str">
        <f>"4601992261114"</f>
        <v>4601992261114</v>
      </c>
      <c r="B6321" s="1" t="s">
        <v>6344</v>
      </c>
      <c r="C6321" s="1" t="s">
        <v>24</v>
      </c>
      <c r="D6321" s="1" t="str">
        <f t="shared" si="11742"/>
        <v>2021</v>
      </c>
      <c r="E6321" s="1" t="str">
        <f t="shared" ref="E6321:P6321" si="11811">"0"</f>
        <v>0</v>
      </c>
      <c r="F6321" s="1" t="str">
        <f t="shared" si="11811"/>
        <v>0</v>
      </c>
      <c r="G6321" s="1" t="str">
        <f t="shared" si="11811"/>
        <v>0</v>
      </c>
      <c r="H6321" s="1" t="str">
        <f t="shared" si="11811"/>
        <v>0</v>
      </c>
      <c r="I6321" s="1" t="str">
        <f t="shared" si="11811"/>
        <v>0</v>
      </c>
      <c r="J6321" s="1" t="str">
        <f t="shared" si="11811"/>
        <v>0</v>
      </c>
      <c r="K6321" s="1" t="str">
        <f t="shared" si="11811"/>
        <v>0</v>
      </c>
      <c r="L6321" s="1" t="str">
        <f t="shared" si="11811"/>
        <v>0</v>
      </c>
      <c r="M6321" s="1" t="str">
        <f t="shared" si="11811"/>
        <v>0</v>
      </c>
      <c r="N6321" s="1" t="str">
        <f t="shared" si="11811"/>
        <v>0</v>
      </c>
      <c r="O6321" s="1" t="str">
        <f t="shared" si="11811"/>
        <v>0</v>
      </c>
      <c r="P6321" s="1" t="str">
        <f t="shared" si="11811"/>
        <v>0</v>
      </c>
      <c r="Q6321" s="1" t="str">
        <f t="shared" si="11745"/>
        <v>0.0070</v>
      </c>
      <c r="R6321" s="1" t="s">
        <v>25</v>
      </c>
      <c r="T6321" s="1" t="str">
        <f t="shared" si="11746"/>
        <v>0</v>
      </c>
      <c r="U6321" s="1" t="str">
        <f t="shared" si="11807"/>
        <v>0.0070</v>
      </c>
    </row>
    <row r="6322" s="1" customFormat="1" spans="1:21">
      <c r="A6322" s="1" t="str">
        <f>"4601992261145"</f>
        <v>4601992261145</v>
      </c>
      <c r="B6322" s="1" t="s">
        <v>6345</v>
      </c>
      <c r="C6322" s="1" t="s">
        <v>24</v>
      </c>
      <c r="D6322" s="1" t="str">
        <f t="shared" si="11742"/>
        <v>2021</v>
      </c>
      <c r="E6322" s="1" t="str">
        <f t="shared" ref="E6322:P6322" si="11812">"0"</f>
        <v>0</v>
      </c>
      <c r="F6322" s="1" t="str">
        <f t="shared" si="11812"/>
        <v>0</v>
      </c>
      <c r="G6322" s="1" t="str">
        <f t="shared" si="11812"/>
        <v>0</v>
      </c>
      <c r="H6322" s="1" t="str">
        <f t="shared" si="11812"/>
        <v>0</v>
      </c>
      <c r="I6322" s="1" t="str">
        <f t="shared" si="11812"/>
        <v>0</v>
      </c>
      <c r="J6322" s="1" t="str">
        <f t="shared" si="11812"/>
        <v>0</v>
      </c>
      <c r="K6322" s="1" t="str">
        <f t="shared" si="11812"/>
        <v>0</v>
      </c>
      <c r="L6322" s="1" t="str">
        <f t="shared" si="11812"/>
        <v>0</v>
      </c>
      <c r="M6322" s="1" t="str">
        <f t="shared" si="11812"/>
        <v>0</v>
      </c>
      <c r="N6322" s="1" t="str">
        <f t="shared" si="11812"/>
        <v>0</v>
      </c>
      <c r="O6322" s="1" t="str">
        <f t="shared" si="11812"/>
        <v>0</v>
      </c>
      <c r="P6322" s="1" t="str">
        <f t="shared" si="11812"/>
        <v>0</v>
      </c>
      <c r="Q6322" s="1" t="str">
        <f t="shared" si="11745"/>
        <v>0.0070</v>
      </c>
      <c r="R6322" s="1" t="s">
        <v>25</v>
      </c>
      <c r="T6322" s="1" t="str">
        <f t="shared" si="11746"/>
        <v>0</v>
      </c>
      <c r="U6322" s="1" t="str">
        <f t="shared" si="11807"/>
        <v>0.0070</v>
      </c>
    </row>
    <row r="6323" s="1" customFormat="1" spans="1:21">
      <c r="A6323" s="1" t="str">
        <f>"4601992261412"</f>
        <v>4601992261412</v>
      </c>
      <c r="B6323" s="1" t="s">
        <v>6346</v>
      </c>
      <c r="C6323" s="1" t="s">
        <v>24</v>
      </c>
      <c r="D6323" s="1" t="str">
        <f t="shared" si="11742"/>
        <v>2021</v>
      </c>
      <c r="E6323" s="1" t="str">
        <f t="shared" ref="E6323:P6323" si="11813">"0"</f>
        <v>0</v>
      </c>
      <c r="F6323" s="1" t="str">
        <f t="shared" si="11813"/>
        <v>0</v>
      </c>
      <c r="G6323" s="1" t="str">
        <f t="shared" si="11813"/>
        <v>0</v>
      </c>
      <c r="H6323" s="1" t="str">
        <f t="shared" si="11813"/>
        <v>0</v>
      </c>
      <c r="I6323" s="1" t="str">
        <f t="shared" si="11813"/>
        <v>0</v>
      </c>
      <c r="J6323" s="1" t="str">
        <f t="shared" si="11813"/>
        <v>0</v>
      </c>
      <c r="K6323" s="1" t="str">
        <f t="shared" si="11813"/>
        <v>0</v>
      </c>
      <c r="L6323" s="1" t="str">
        <f t="shared" si="11813"/>
        <v>0</v>
      </c>
      <c r="M6323" s="1" t="str">
        <f t="shared" si="11813"/>
        <v>0</v>
      </c>
      <c r="N6323" s="1" t="str">
        <f t="shared" si="11813"/>
        <v>0</v>
      </c>
      <c r="O6323" s="1" t="str">
        <f t="shared" si="11813"/>
        <v>0</v>
      </c>
      <c r="P6323" s="1" t="str">
        <f t="shared" si="11813"/>
        <v>0</v>
      </c>
      <c r="Q6323" s="1" t="str">
        <f t="shared" si="11745"/>
        <v>0.0070</v>
      </c>
      <c r="R6323" s="1" t="s">
        <v>25</v>
      </c>
      <c r="T6323" s="1" t="str">
        <f t="shared" si="11746"/>
        <v>0</v>
      </c>
      <c r="U6323" s="1" t="str">
        <f t="shared" si="11807"/>
        <v>0.0070</v>
      </c>
    </row>
    <row r="6324" s="1" customFormat="1" spans="1:21">
      <c r="A6324" s="1" t="str">
        <f>"4601992075552"</f>
        <v>4601992075552</v>
      </c>
      <c r="B6324" s="1" t="s">
        <v>6347</v>
      </c>
      <c r="C6324" s="1" t="s">
        <v>24</v>
      </c>
      <c r="D6324" s="1" t="str">
        <f t="shared" si="11742"/>
        <v>2021</v>
      </c>
      <c r="E6324" s="1" t="str">
        <f t="shared" ref="E6324:P6324" si="11814">"0"</f>
        <v>0</v>
      </c>
      <c r="F6324" s="1" t="str">
        <f t="shared" si="11814"/>
        <v>0</v>
      </c>
      <c r="G6324" s="1" t="str">
        <f t="shared" si="11814"/>
        <v>0</v>
      </c>
      <c r="H6324" s="1" t="str">
        <f t="shared" si="11814"/>
        <v>0</v>
      </c>
      <c r="I6324" s="1" t="str">
        <f t="shared" si="11814"/>
        <v>0</v>
      </c>
      <c r="J6324" s="1" t="str">
        <f t="shared" si="11814"/>
        <v>0</v>
      </c>
      <c r="K6324" s="1" t="str">
        <f t="shared" si="11814"/>
        <v>0</v>
      </c>
      <c r="L6324" s="1" t="str">
        <f t="shared" si="11814"/>
        <v>0</v>
      </c>
      <c r="M6324" s="1" t="str">
        <f t="shared" si="11814"/>
        <v>0</v>
      </c>
      <c r="N6324" s="1" t="str">
        <f t="shared" si="11814"/>
        <v>0</v>
      </c>
      <c r="O6324" s="1" t="str">
        <f t="shared" si="11814"/>
        <v>0</v>
      </c>
      <c r="P6324" s="1" t="str">
        <f t="shared" si="11814"/>
        <v>0</v>
      </c>
      <c r="Q6324" s="1" t="str">
        <f t="shared" si="11745"/>
        <v>0.0070</v>
      </c>
      <c r="R6324" s="1" t="s">
        <v>25</v>
      </c>
      <c r="T6324" s="1" t="str">
        <f t="shared" si="11746"/>
        <v>0</v>
      </c>
      <c r="U6324" s="1" t="str">
        <f t="shared" si="11807"/>
        <v>0.0070</v>
      </c>
    </row>
    <row r="6325" s="1" customFormat="1" spans="1:21">
      <c r="A6325" s="1" t="str">
        <f>"4601992261846"</f>
        <v>4601992261846</v>
      </c>
      <c r="B6325" s="1" t="s">
        <v>6348</v>
      </c>
      <c r="C6325" s="1" t="s">
        <v>24</v>
      </c>
      <c r="D6325" s="1" t="str">
        <f t="shared" si="11742"/>
        <v>2021</v>
      </c>
      <c r="E6325" s="1" t="str">
        <f t="shared" ref="E6325:P6325" si="11815">"0"</f>
        <v>0</v>
      </c>
      <c r="F6325" s="1" t="str">
        <f t="shared" si="11815"/>
        <v>0</v>
      </c>
      <c r="G6325" s="1" t="str">
        <f t="shared" si="11815"/>
        <v>0</v>
      </c>
      <c r="H6325" s="1" t="str">
        <f t="shared" si="11815"/>
        <v>0</v>
      </c>
      <c r="I6325" s="1" t="str">
        <f t="shared" si="11815"/>
        <v>0</v>
      </c>
      <c r="J6325" s="1" t="str">
        <f t="shared" si="11815"/>
        <v>0</v>
      </c>
      <c r="K6325" s="1" t="str">
        <f t="shared" si="11815"/>
        <v>0</v>
      </c>
      <c r="L6325" s="1" t="str">
        <f t="shared" si="11815"/>
        <v>0</v>
      </c>
      <c r="M6325" s="1" t="str">
        <f t="shared" si="11815"/>
        <v>0</v>
      </c>
      <c r="N6325" s="1" t="str">
        <f t="shared" si="11815"/>
        <v>0</v>
      </c>
      <c r="O6325" s="1" t="str">
        <f t="shared" si="11815"/>
        <v>0</v>
      </c>
      <c r="P6325" s="1" t="str">
        <f t="shared" si="11815"/>
        <v>0</v>
      </c>
      <c r="Q6325" s="1" t="str">
        <f t="shared" si="11745"/>
        <v>0.0070</v>
      </c>
      <c r="R6325" s="1" t="s">
        <v>25</v>
      </c>
      <c r="T6325" s="1" t="str">
        <f t="shared" si="11746"/>
        <v>0</v>
      </c>
      <c r="U6325" s="1" t="str">
        <f t="shared" si="11807"/>
        <v>0.0070</v>
      </c>
    </row>
    <row r="6326" s="1" customFormat="1" spans="1:21">
      <c r="A6326" s="1" t="str">
        <f>"4601992261874"</f>
        <v>4601992261874</v>
      </c>
      <c r="B6326" s="1" t="s">
        <v>6349</v>
      </c>
      <c r="C6326" s="1" t="s">
        <v>24</v>
      </c>
      <c r="D6326" s="1" t="str">
        <f t="shared" si="11742"/>
        <v>2021</v>
      </c>
      <c r="E6326" s="1" t="str">
        <f t="shared" ref="E6326:P6326" si="11816">"0"</f>
        <v>0</v>
      </c>
      <c r="F6326" s="1" t="str">
        <f t="shared" si="11816"/>
        <v>0</v>
      </c>
      <c r="G6326" s="1" t="str">
        <f t="shared" si="11816"/>
        <v>0</v>
      </c>
      <c r="H6326" s="1" t="str">
        <f t="shared" si="11816"/>
        <v>0</v>
      </c>
      <c r="I6326" s="1" t="str">
        <f t="shared" si="11816"/>
        <v>0</v>
      </c>
      <c r="J6326" s="1" t="str">
        <f t="shared" si="11816"/>
        <v>0</v>
      </c>
      <c r="K6326" s="1" t="str">
        <f t="shared" si="11816"/>
        <v>0</v>
      </c>
      <c r="L6326" s="1" t="str">
        <f t="shared" si="11816"/>
        <v>0</v>
      </c>
      <c r="M6326" s="1" t="str">
        <f t="shared" si="11816"/>
        <v>0</v>
      </c>
      <c r="N6326" s="1" t="str">
        <f t="shared" si="11816"/>
        <v>0</v>
      </c>
      <c r="O6326" s="1" t="str">
        <f t="shared" si="11816"/>
        <v>0</v>
      </c>
      <c r="P6326" s="1" t="str">
        <f t="shared" si="11816"/>
        <v>0</v>
      </c>
      <c r="Q6326" s="1" t="str">
        <f t="shared" si="11745"/>
        <v>0.0070</v>
      </c>
      <c r="R6326" s="1" t="s">
        <v>25</v>
      </c>
      <c r="T6326" s="1" t="str">
        <f t="shared" si="11746"/>
        <v>0</v>
      </c>
      <c r="U6326" s="1" t="str">
        <f t="shared" si="11807"/>
        <v>0.0070</v>
      </c>
    </row>
    <row r="6327" s="1" customFormat="1" spans="1:21">
      <c r="A6327" s="1" t="str">
        <f>"4601992261908"</f>
        <v>4601992261908</v>
      </c>
      <c r="B6327" s="1" t="s">
        <v>6350</v>
      </c>
      <c r="C6327" s="1" t="s">
        <v>24</v>
      </c>
      <c r="D6327" s="1" t="str">
        <f t="shared" si="11742"/>
        <v>2021</v>
      </c>
      <c r="E6327" s="1" t="str">
        <f t="shared" ref="E6327:P6327" si="11817">"0"</f>
        <v>0</v>
      </c>
      <c r="F6327" s="1" t="str">
        <f t="shared" si="11817"/>
        <v>0</v>
      </c>
      <c r="G6327" s="1" t="str">
        <f t="shared" si="11817"/>
        <v>0</v>
      </c>
      <c r="H6327" s="1" t="str">
        <f t="shared" si="11817"/>
        <v>0</v>
      </c>
      <c r="I6327" s="1" t="str">
        <f t="shared" si="11817"/>
        <v>0</v>
      </c>
      <c r="J6327" s="1" t="str">
        <f t="shared" si="11817"/>
        <v>0</v>
      </c>
      <c r="K6327" s="1" t="str">
        <f t="shared" si="11817"/>
        <v>0</v>
      </c>
      <c r="L6327" s="1" t="str">
        <f t="shared" si="11817"/>
        <v>0</v>
      </c>
      <c r="M6327" s="1" t="str">
        <f t="shared" si="11817"/>
        <v>0</v>
      </c>
      <c r="N6327" s="1" t="str">
        <f t="shared" si="11817"/>
        <v>0</v>
      </c>
      <c r="O6327" s="1" t="str">
        <f t="shared" si="11817"/>
        <v>0</v>
      </c>
      <c r="P6327" s="1" t="str">
        <f t="shared" si="11817"/>
        <v>0</v>
      </c>
      <c r="Q6327" s="1" t="str">
        <f t="shared" si="11745"/>
        <v>0.0070</v>
      </c>
      <c r="R6327" s="1" t="s">
        <v>25</v>
      </c>
      <c r="T6327" s="1" t="str">
        <f t="shared" si="11746"/>
        <v>0</v>
      </c>
      <c r="U6327" s="1" t="str">
        <f t="shared" si="11807"/>
        <v>0.0070</v>
      </c>
    </row>
    <row r="6328" s="1" customFormat="1" spans="1:21">
      <c r="A6328" s="1" t="str">
        <f>"4601992261880"</f>
        <v>4601992261880</v>
      </c>
      <c r="B6328" s="1" t="s">
        <v>6351</v>
      </c>
      <c r="C6328" s="1" t="s">
        <v>24</v>
      </c>
      <c r="D6328" s="1" t="str">
        <f t="shared" si="11742"/>
        <v>2021</v>
      </c>
      <c r="E6328" s="1" t="str">
        <f t="shared" ref="E6328:I6328" si="11818">"0"</f>
        <v>0</v>
      </c>
      <c r="F6328" s="1" t="str">
        <f t="shared" si="11818"/>
        <v>0</v>
      </c>
      <c r="G6328" s="1" t="str">
        <f t="shared" si="11818"/>
        <v>0</v>
      </c>
      <c r="H6328" s="1" t="str">
        <f t="shared" si="11818"/>
        <v>0</v>
      </c>
      <c r="I6328" s="1" t="str">
        <f t="shared" si="11818"/>
        <v>0</v>
      </c>
      <c r="J6328" s="1" t="str">
        <f>"2"</f>
        <v>2</v>
      </c>
      <c r="K6328" s="1" t="str">
        <f t="shared" ref="K6328:P6328" si="11819">"0"</f>
        <v>0</v>
      </c>
      <c r="L6328" s="1" t="str">
        <f t="shared" si="11819"/>
        <v>0</v>
      </c>
      <c r="M6328" s="1" t="str">
        <f t="shared" si="11819"/>
        <v>0</v>
      </c>
      <c r="N6328" s="1" t="str">
        <f t="shared" si="11819"/>
        <v>0</v>
      </c>
      <c r="O6328" s="1" t="str">
        <f t="shared" si="11819"/>
        <v>0</v>
      </c>
      <c r="P6328" s="1" t="str">
        <f t="shared" si="11819"/>
        <v>0</v>
      </c>
      <c r="Q6328" s="1" t="str">
        <f t="shared" si="11745"/>
        <v>0.0070</v>
      </c>
      <c r="R6328" s="1" t="s">
        <v>25</v>
      </c>
      <c r="T6328" s="1" t="str">
        <f t="shared" si="11746"/>
        <v>0</v>
      </c>
      <c r="U6328" s="1" t="str">
        <f t="shared" si="11807"/>
        <v>0.0070</v>
      </c>
    </row>
    <row r="6329" s="1" customFormat="1" spans="1:21">
      <c r="A6329" s="1" t="str">
        <f>"4601992261877"</f>
        <v>4601992261877</v>
      </c>
      <c r="B6329" s="1" t="s">
        <v>6352</v>
      </c>
      <c r="C6329" s="1" t="s">
        <v>24</v>
      </c>
      <c r="D6329" s="1" t="str">
        <f t="shared" si="11742"/>
        <v>2021</v>
      </c>
      <c r="E6329" s="1" t="str">
        <f>"14.38"</f>
        <v>14.38</v>
      </c>
      <c r="F6329" s="1" t="str">
        <f t="shared" ref="F6329:I6329" si="11820">"0"</f>
        <v>0</v>
      </c>
      <c r="G6329" s="1" t="str">
        <f t="shared" si="11820"/>
        <v>0</v>
      </c>
      <c r="H6329" s="1" t="str">
        <f t="shared" si="11820"/>
        <v>0</v>
      </c>
      <c r="I6329" s="1" t="str">
        <f t="shared" si="11820"/>
        <v>0</v>
      </c>
      <c r="J6329" s="1" t="str">
        <f>"1"</f>
        <v>1</v>
      </c>
      <c r="K6329" s="1" t="str">
        <f t="shared" ref="K6329:P6329" si="11821">"0"</f>
        <v>0</v>
      </c>
      <c r="L6329" s="1" t="str">
        <f t="shared" si="11821"/>
        <v>0</v>
      </c>
      <c r="M6329" s="1" t="str">
        <f t="shared" si="11821"/>
        <v>0</v>
      </c>
      <c r="N6329" s="1" t="str">
        <f t="shared" si="11821"/>
        <v>0</v>
      </c>
      <c r="O6329" s="1" t="str">
        <f t="shared" si="11821"/>
        <v>0</v>
      </c>
      <c r="P6329" s="1" t="str">
        <f t="shared" si="11821"/>
        <v>0</v>
      </c>
      <c r="Q6329" s="1" t="str">
        <f t="shared" si="11745"/>
        <v>0.0070</v>
      </c>
      <c r="R6329" s="1" t="s">
        <v>25</v>
      </c>
      <c r="T6329" s="1" t="str">
        <f t="shared" si="11746"/>
        <v>0</v>
      </c>
      <c r="U6329" s="1" t="str">
        <f t="shared" si="11807"/>
        <v>0.0070</v>
      </c>
    </row>
    <row r="6330" s="1" customFormat="1" spans="1:21">
      <c r="A6330" s="1" t="str">
        <f>"4601992261957"</f>
        <v>4601992261957</v>
      </c>
      <c r="B6330" s="1" t="s">
        <v>6353</v>
      </c>
      <c r="C6330" s="1" t="s">
        <v>24</v>
      </c>
      <c r="D6330" s="1" t="str">
        <f t="shared" si="11742"/>
        <v>2021</v>
      </c>
      <c r="E6330" s="1" t="str">
        <f t="shared" ref="E6330:P6330" si="11822">"0"</f>
        <v>0</v>
      </c>
      <c r="F6330" s="1" t="str">
        <f t="shared" si="11822"/>
        <v>0</v>
      </c>
      <c r="G6330" s="1" t="str">
        <f t="shared" si="11822"/>
        <v>0</v>
      </c>
      <c r="H6330" s="1" t="str">
        <f t="shared" si="11822"/>
        <v>0</v>
      </c>
      <c r="I6330" s="1" t="str">
        <f t="shared" si="11822"/>
        <v>0</v>
      </c>
      <c r="J6330" s="1" t="str">
        <f t="shared" si="11822"/>
        <v>0</v>
      </c>
      <c r="K6330" s="1" t="str">
        <f t="shared" si="11822"/>
        <v>0</v>
      </c>
      <c r="L6330" s="1" t="str">
        <f t="shared" si="11822"/>
        <v>0</v>
      </c>
      <c r="M6330" s="1" t="str">
        <f t="shared" si="11822"/>
        <v>0</v>
      </c>
      <c r="N6330" s="1" t="str">
        <f t="shared" si="11822"/>
        <v>0</v>
      </c>
      <c r="O6330" s="1" t="str">
        <f t="shared" si="11822"/>
        <v>0</v>
      </c>
      <c r="P6330" s="1" t="str">
        <f t="shared" si="11822"/>
        <v>0</v>
      </c>
      <c r="Q6330" s="1" t="str">
        <f t="shared" si="11745"/>
        <v>0.0070</v>
      </c>
      <c r="R6330" s="1" t="s">
        <v>25</v>
      </c>
      <c r="T6330" s="1" t="str">
        <f t="shared" si="11746"/>
        <v>0</v>
      </c>
      <c r="U6330" s="1" t="str">
        <f t="shared" si="11807"/>
        <v>0.0070</v>
      </c>
    </row>
    <row r="6331" s="1" customFormat="1" spans="1:21">
      <c r="A6331" s="1" t="str">
        <f>"4601992261944"</f>
        <v>4601992261944</v>
      </c>
      <c r="B6331" s="1" t="s">
        <v>6354</v>
      </c>
      <c r="C6331" s="1" t="s">
        <v>24</v>
      </c>
      <c r="D6331" s="1" t="str">
        <f t="shared" si="11742"/>
        <v>2021</v>
      </c>
      <c r="E6331" s="1" t="str">
        <f t="shared" ref="E6331:I6331" si="11823">"0"</f>
        <v>0</v>
      </c>
      <c r="F6331" s="1" t="str">
        <f t="shared" si="11823"/>
        <v>0</v>
      </c>
      <c r="G6331" s="1" t="str">
        <f t="shared" si="11823"/>
        <v>0</v>
      </c>
      <c r="H6331" s="1" t="str">
        <f t="shared" si="11823"/>
        <v>0</v>
      </c>
      <c r="I6331" s="1" t="str">
        <f t="shared" si="11823"/>
        <v>0</v>
      </c>
      <c r="J6331" s="1" t="str">
        <f>"3"</f>
        <v>3</v>
      </c>
      <c r="K6331" s="1" t="str">
        <f t="shared" ref="K6331:P6331" si="11824">"0"</f>
        <v>0</v>
      </c>
      <c r="L6331" s="1" t="str">
        <f t="shared" si="11824"/>
        <v>0</v>
      </c>
      <c r="M6331" s="1" t="str">
        <f t="shared" si="11824"/>
        <v>0</v>
      </c>
      <c r="N6331" s="1" t="str">
        <f t="shared" si="11824"/>
        <v>0</v>
      </c>
      <c r="O6331" s="1" t="str">
        <f t="shared" si="11824"/>
        <v>0</v>
      </c>
      <c r="P6331" s="1" t="str">
        <f t="shared" si="11824"/>
        <v>0</v>
      </c>
      <c r="Q6331" s="1" t="str">
        <f t="shared" si="11745"/>
        <v>0.0070</v>
      </c>
      <c r="R6331" s="1" t="s">
        <v>25</v>
      </c>
      <c r="T6331" s="1" t="str">
        <f t="shared" si="11746"/>
        <v>0</v>
      </c>
      <c r="U6331" s="1" t="str">
        <f t="shared" si="11807"/>
        <v>0.0070</v>
      </c>
    </row>
    <row r="6332" s="1" customFormat="1" spans="1:21">
      <c r="A6332" s="1" t="str">
        <f>"4601992262073"</f>
        <v>4601992262073</v>
      </c>
      <c r="B6332" s="1" t="s">
        <v>6355</v>
      </c>
      <c r="C6332" s="1" t="s">
        <v>24</v>
      </c>
      <c r="D6332" s="1" t="str">
        <f t="shared" si="11742"/>
        <v>2021</v>
      </c>
      <c r="E6332" s="1" t="str">
        <f t="shared" ref="E6332:P6332" si="11825">"0"</f>
        <v>0</v>
      </c>
      <c r="F6332" s="1" t="str">
        <f t="shared" si="11825"/>
        <v>0</v>
      </c>
      <c r="G6332" s="1" t="str">
        <f t="shared" si="11825"/>
        <v>0</v>
      </c>
      <c r="H6332" s="1" t="str">
        <f t="shared" si="11825"/>
        <v>0</v>
      </c>
      <c r="I6332" s="1" t="str">
        <f t="shared" si="11825"/>
        <v>0</v>
      </c>
      <c r="J6332" s="1" t="str">
        <f t="shared" si="11825"/>
        <v>0</v>
      </c>
      <c r="K6332" s="1" t="str">
        <f t="shared" si="11825"/>
        <v>0</v>
      </c>
      <c r="L6332" s="1" t="str">
        <f t="shared" si="11825"/>
        <v>0</v>
      </c>
      <c r="M6332" s="1" t="str">
        <f t="shared" si="11825"/>
        <v>0</v>
      </c>
      <c r="N6332" s="1" t="str">
        <f t="shared" si="11825"/>
        <v>0</v>
      </c>
      <c r="O6332" s="1" t="str">
        <f t="shared" si="11825"/>
        <v>0</v>
      </c>
      <c r="P6332" s="1" t="str">
        <f t="shared" si="11825"/>
        <v>0</v>
      </c>
      <c r="Q6332" s="1" t="str">
        <f t="shared" si="11745"/>
        <v>0.0070</v>
      </c>
      <c r="R6332" s="1" t="s">
        <v>25</v>
      </c>
      <c r="T6332" s="1" t="str">
        <f t="shared" si="11746"/>
        <v>0</v>
      </c>
      <c r="U6332" s="1" t="str">
        <f t="shared" si="11807"/>
        <v>0.0070</v>
      </c>
    </row>
    <row r="6333" s="1" customFormat="1" spans="1:21">
      <c r="A6333" s="1" t="str">
        <f>"4601992262042"</f>
        <v>4601992262042</v>
      </c>
      <c r="B6333" s="1" t="s">
        <v>6356</v>
      </c>
      <c r="C6333" s="1" t="s">
        <v>24</v>
      </c>
      <c r="D6333" s="1" t="str">
        <f t="shared" si="11742"/>
        <v>2021</v>
      </c>
      <c r="E6333" s="1" t="str">
        <f t="shared" ref="E6333:P6333" si="11826">"0"</f>
        <v>0</v>
      </c>
      <c r="F6333" s="1" t="str">
        <f t="shared" si="11826"/>
        <v>0</v>
      </c>
      <c r="G6333" s="1" t="str">
        <f t="shared" si="11826"/>
        <v>0</v>
      </c>
      <c r="H6333" s="1" t="str">
        <f t="shared" si="11826"/>
        <v>0</v>
      </c>
      <c r="I6333" s="1" t="str">
        <f t="shared" si="11826"/>
        <v>0</v>
      </c>
      <c r="J6333" s="1" t="str">
        <f t="shared" si="11826"/>
        <v>0</v>
      </c>
      <c r="K6333" s="1" t="str">
        <f t="shared" si="11826"/>
        <v>0</v>
      </c>
      <c r="L6333" s="1" t="str">
        <f t="shared" si="11826"/>
        <v>0</v>
      </c>
      <c r="M6333" s="1" t="str">
        <f t="shared" si="11826"/>
        <v>0</v>
      </c>
      <c r="N6333" s="1" t="str">
        <f t="shared" si="11826"/>
        <v>0</v>
      </c>
      <c r="O6333" s="1" t="str">
        <f t="shared" si="11826"/>
        <v>0</v>
      </c>
      <c r="P6333" s="1" t="str">
        <f t="shared" si="11826"/>
        <v>0</v>
      </c>
      <c r="Q6333" s="1" t="str">
        <f t="shared" si="11745"/>
        <v>0.0070</v>
      </c>
      <c r="R6333" s="1" t="s">
        <v>25</v>
      </c>
      <c r="T6333" s="1" t="str">
        <f t="shared" si="11746"/>
        <v>0</v>
      </c>
      <c r="U6333" s="1" t="str">
        <f t="shared" si="11807"/>
        <v>0.0070</v>
      </c>
    </row>
    <row r="6334" s="1" customFormat="1" spans="1:21">
      <c r="A6334" s="1" t="str">
        <f>"4601992262127"</f>
        <v>4601992262127</v>
      </c>
      <c r="B6334" s="1" t="s">
        <v>6357</v>
      </c>
      <c r="C6334" s="1" t="s">
        <v>24</v>
      </c>
      <c r="D6334" s="1" t="str">
        <f t="shared" si="11742"/>
        <v>2021</v>
      </c>
      <c r="E6334" s="1" t="str">
        <f t="shared" ref="E6334:P6334" si="11827">"0"</f>
        <v>0</v>
      </c>
      <c r="F6334" s="1" t="str">
        <f t="shared" si="11827"/>
        <v>0</v>
      </c>
      <c r="G6334" s="1" t="str">
        <f t="shared" si="11827"/>
        <v>0</v>
      </c>
      <c r="H6334" s="1" t="str">
        <f t="shared" si="11827"/>
        <v>0</v>
      </c>
      <c r="I6334" s="1" t="str">
        <f t="shared" si="11827"/>
        <v>0</v>
      </c>
      <c r="J6334" s="1" t="str">
        <f t="shared" si="11827"/>
        <v>0</v>
      </c>
      <c r="K6334" s="1" t="str">
        <f t="shared" si="11827"/>
        <v>0</v>
      </c>
      <c r="L6334" s="1" t="str">
        <f t="shared" si="11827"/>
        <v>0</v>
      </c>
      <c r="M6334" s="1" t="str">
        <f t="shared" si="11827"/>
        <v>0</v>
      </c>
      <c r="N6334" s="1" t="str">
        <f t="shared" si="11827"/>
        <v>0</v>
      </c>
      <c r="O6334" s="1" t="str">
        <f t="shared" si="11827"/>
        <v>0</v>
      </c>
      <c r="P6334" s="1" t="str">
        <f t="shared" si="11827"/>
        <v>0</v>
      </c>
      <c r="Q6334" s="1" t="str">
        <f t="shared" si="11745"/>
        <v>0.0070</v>
      </c>
      <c r="R6334" s="1" t="s">
        <v>25</v>
      </c>
      <c r="T6334" s="1" t="str">
        <f t="shared" si="11746"/>
        <v>0</v>
      </c>
      <c r="U6334" s="1" t="str">
        <f t="shared" si="11807"/>
        <v>0.0070</v>
      </c>
    </row>
    <row r="6335" s="1" customFormat="1" spans="1:21">
      <c r="A6335" s="1" t="str">
        <f>"4601992262173"</f>
        <v>4601992262173</v>
      </c>
      <c r="B6335" s="1" t="s">
        <v>6358</v>
      </c>
      <c r="C6335" s="1" t="s">
        <v>24</v>
      </c>
      <c r="D6335" s="1" t="str">
        <f t="shared" si="11742"/>
        <v>2021</v>
      </c>
      <c r="E6335" s="1" t="str">
        <f t="shared" ref="E6335:P6335" si="11828">"0"</f>
        <v>0</v>
      </c>
      <c r="F6335" s="1" t="str">
        <f t="shared" si="11828"/>
        <v>0</v>
      </c>
      <c r="G6335" s="1" t="str">
        <f t="shared" si="11828"/>
        <v>0</v>
      </c>
      <c r="H6335" s="1" t="str">
        <f t="shared" si="11828"/>
        <v>0</v>
      </c>
      <c r="I6335" s="1" t="str">
        <f t="shared" si="11828"/>
        <v>0</v>
      </c>
      <c r="J6335" s="1" t="str">
        <f t="shared" si="11828"/>
        <v>0</v>
      </c>
      <c r="K6335" s="1" t="str">
        <f t="shared" si="11828"/>
        <v>0</v>
      </c>
      <c r="L6335" s="1" t="str">
        <f t="shared" si="11828"/>
        <v>0</v>
      </c>
      <c r="M6335" s="1" t="str">
        <f t="shared" si="11828"/>
        <v>0</v>
      </c>
      <c r="N6335" s="1" t="str">
        <f t="shared" si="11828"/>
        <v>0</v>
      </c>
      <c r="O6335" s="1" t="str">
        <f t="shared" si="11828"/>
        <v>0</v>
      </c>
      <c r="P6335" s="1" t="str">
        <f t="shared" si="11828"/>
        <v>0</v>
      </c>
      <c r="Q6335" s="1" t="str">
        <f t="shared" si="11745"/>
        <v>0.0070</v>
      </c>
      <c r="R6335" s="1" t="s">
        <v>25</v>
      </c>
      <c r="T6335" s="1" t="str">
        <f t="shared" si="11746"/>
        <v>0</v>
      </c>
      <c r="U6335" s="1" t="str">
        <f t="shared" si="11807"/>
        <v>0.0070</v>
      </c>
    </row>
    <row r="6336" s="1" customFormat="1" spans="1:21">
      <c r="A6336" s="1" t="str">
        <f>"4601992262203"</f>
        <v>4601992262203</v>
      </c>
      <c r="B6336" s="1" t="s">
        <v>6359</v>
      </c>
      <c r="C6336" s="1" t="s">
        <v>24</v>
      </c>
      <c r="D6336" s="1" t="str">
        <f t="shared" si="11742"/>
        <v>2021</v>
      </c>
      <c r="E6336" s="1" t="str">
        <f t="shared" ref="E6336:P6336" si="11829">"0"</f>
        <v>0</v>
      </c>
      <c r="F6336" s="1" t="str">
        <f t="shared" si="11829"/>
        <v>0</v>
      </c>
      <c r="G6336" s="1" t="str">
        <f t="shared" si="11829"/>
        <v>0</v>
      </c>
      <c r="H6336" s="1" t="str">
        <f t="shared" si="11829"/>
        <v>0</v>
      </c>
      <c r="I6336" s="1" t="str">
        <f t="shared" si="11829"/>
        <v>0</v>
      </c>
      <c r="J6336" s="1" t="str">
        <f t="shared" si="11829"/>
        <v>0</v>
      </c>
      <c r="K6336" s="1" t="str">
        <f t="shared" si="11829"/>
        <v>0</v>
      </c>
      <c r="L6336" s="1" t="str">
        <f t="shared" si="11829"/>
        <v>0</v>
      </c>
      <c r="M6336" s="1" t="str">
        <f t="shared" si="11829"/>
        <v>0</v>
      </c>
      <c r="N6336" s="1" t="str">
        <f t="shared" si="11829"/>
        <v>0</v>
      </c>
      <c r="O6336" s="1" t="str">
        <f t="shared" si="11829"/>
        <v>0</v>
      </c>
      <c r="P6336" s="1" t="str">
        <f t="shared" si="11829"/>
        <v>0</v>
      </c>
      <c r="Q6336" s="1" t="str">
        <f t="shared" si="11745"/>
        <v>0.0070</v>
      </c>
      <c r="R6336" s="1" t="s">
        <v>25</v>
      </c>
      <c r="T6336" s="1" t="str">
        <f t="shared" si="11746"/>
        <v>0</v>
      </c>
      <c r="U6336" s="1" t="str">
        <f t="shared" si="11807"/>
        <v>0.0070</v>
      </c>
    </row>
    <row r="6337" s="1" customFormat="1" spans="1:21">
      <c r="A6337" s="1" t="str">
        <f>"4601992262371"</f>
        <v>4601992262371</v>
      </c>
      <c r="B6337" s="1" t="s">
        <v>6360</v>
      </c>
      <c r="C6337" s="1" t="s">
        <v>24</v>
      </c>
      <c r="D6337" s="1" t="str">
        <f t="shared" si="11742"/>
        <v>2021</v>
      </c>
      <c r="E6337" s="1" t="str">
        <f t="shared" ref="E6337:P6337" si="11830">"0"</f>
        <v>0</v>
      </c>
      <c r="F6337" s="1" t="str">
        <f t="shared" si="11830"/>
        <v>0</v>
      </c>
      <c r="G6337" s="1" t="str">
        <f t="shared" si="11830"/>
        <v>0</v>
      </c>
      <c r="H6337" s="1" t="str">
        <f t="shared" si="11830"/>
        <v>0</v>
      </c>
      <c r="I6337" s="1" t="str">
        <f t="shared" si="11830"/>
        <v>0</v>
      </c>
      <c r="J6337" s="1" t="str">
        <f t="shared" si="11830"/>
        <v>0</v>
      </c>
      <c r="K6337" s="1" t="str">
        <f t="shared" si="11830"/>
        <v>0</v>
      </c>
      <c r="L6337" s="1" t="str">
        <f t="shared" si="11830"/>
        <v>0</v>
      </c>
      <c r="M6337" s="1" t="str">
        <f t="shared" si="11830"/>
        <v>0</v>
      </c>
      <c r="N6337" s="1" t="str">
        <f t="shared" si="11830"/>
        <v>0</v>
      </c>
      <c r="O6337" s="1" t="str">
        <f t="shared" si="11830"/>
        <v>0</v>
      </c>
      <c r="P6337" s="1" t="str">
        <f t="shared" si="11830"/>
        <v>0</v>
      </c>
      <c r="Q6337" s="1" t="str">
        <f t="shared" si="11745"/>
        <v>0.0070</v>
      </c>
      <c r="R6337" s="1" t="s">
        <v>25</v>
      </c>
      <c r="T6337" s="1" t="str">
        <f t="shared" si="11746"/>
        <v>0</v>
      </c>
      <c r="U6337" s="1" t="str">
        <f t="shared" si="11807"/>
        <v>0.0070</v>
      </c>
    </row>
    <row r="6338" s="1" customFormat="1" spans="1:21">
      <c r="A6338" s="1" t="str">
        <f>"4601992262229"</f>
        <v>4601992262229</v>
      </c>
      <c r="B6338" s="1" t="s">
        <v>6361</v>
      </c>
      <c r="C6338" s="1" t="s">
        <v>24</v>
      </c>
      <c r="D6338" s="1" t="str">
        <f t="shared" si="11742"/>
        <v>2021</v>
      </c>
      <c r="E6338" s="1" t="str">
        <f t="shared" ref="E6338:P6338" si="11831">"0"</f>
        <v>0</v>
      </c>
      <c r="F6338" s="1" t="str">
        <f t="shared" si="11831"/>
        <v>0</v>
      </c>
      <c r="G6338" s="1" t="str">
        <f t="shared" si="11831"/>
        <v>0</v>
      </c>
      <c r="H6338" s="1" t="str">
        <f t="shared" si="11831"/>
        <v>0</v>
      </c>
      <c r="I6338" s="1" t="str">
        <f t="shared" si="11831"/>
        <v>0</v>
      </c>
      <c r="J6338" s="1" t="str">
        <f t="shared" si="11831"/>
        <v>0</v>
      </c>
      <c r="K6338" s="1" t="str">
        <f t="shared" si="11831"/>
        <v>0</v>
      </c>
      <c r="L6338" s="1" t="str">
        <f t="shared" si="11831"/>
        <v>0</v>
      </c>
      <c r="M6338" s="1" t="str">
        <f t="shared" si="11831"/>
        <v>0</v>
      </c>
      <c r="N6338" s="1" t="str">
        <f t="shared" si="11831"/>
        <v>0</v>
      </c>
      <c r="O6338" s="1" t="str">
        <f t="shared" si="11831"/>
        <v>0</v>
      </c>
      <c r="P6338" s="1" t="str">
        <f t="shared" si="11831"/>
        <v>0</v>
      </c>
      <c r="Q6338" s="1" t="str">
        <f t="shared" si="11745"/>
        <v>0.0070</v>
      </c>
      <c r="R6338" s="1" t="s">
        <v>25</v>
      </c>
      <c r="T6338" s="1" t="str">
        <f t="shared" si="11746"/>
        <v>0</v>
      </c>
      <c r="U6338" s="1" t="str">
        <f t="shared" si="11807"/>
        <v>0.0070</v>
      </c>
    </row>
    <row r="6339" s="1" customFormat="1" spans="1:21">
      <c r="A6339" s="1" t="str">
        <f>"4601992262440"</f>
        <v>4601992262440</v>
      </c>
      <c r="B6339" s="1" t="s">
        <v>6362</v>
      </c>
      <c r="C6339" s="1" t="s">
        <v>24</v>
      </c>
      <c r="D6339" s="1" t="str">
        <f t="shared" ref="D6339:D6402" si="11832">"2021"</f>
        <v>2021</v>
      </c>
      <c r="E6339" s="1" t="str">
        <f t="shared" ref="E6339:P6339" si="11833">"0"</f>
        <v>0</v>
      </c>
      <c r="F6339" s="1" t="str">
        <f t="shared" si="11833"/>
        <v>0</v>
      </c>
      <c r="G6339" s="1" t="str">
        <f t="shared" si="11833"/>
        <v>0</v>
      </c>
      <c r="H6339" s="1" t="str">
        <f t="shared" si="11833"/>
        <v>0</v>
      </c>
      <c r="I6339" s="1" t="str">
        <f t="shared" si="11833"/>
        <v>0</v>
      </c>
      <c r="J6339" s="1" t="str">
        <f t="shared" si="11833"/>
        <v>0</v>
      </c>
      <c r="K6339" s="1" t="str">
        <f t="shared" si="11833"/>
        <v>0</v>
      </c>
      <c r="L6339" s="1" t="str">
        <f t="shared" si="11833"/>
        <v>0</v>
      </c>
      <c r="M6339" s="1" t="str">
        <f t="shared" si="11833"/>
        <v>0</v>
      </c>
      <c r="N6339" s="1" t="str">
        <f t="shared" si="11833"/>
        <v>0</v>
      </c>
      <c r="O6339" s="1" t="str">
        <f t="shared" si="11833"/>
        <v>0</v>
      </c>
      <c r="P6339" s="1" t="str">
        <f t="shared" si="11833"/>
        <v>0</v>
      </c>
      <c r="Q6339" s="1" t="str">
        <f t="shared" ref="Q6339:Q6402" si="11834">"0.0070"</f>
        <v>0.0070</v>
      </c>
      <c r="R6339" s="1" t="s">
        <v>25</v>
      </c>
      <c r="T6339" s="1" t="str">
        <f t="shared" ref="T6339:T6402" si="11835">"0"</f>
        <v>0</v>
      </c>
      <c r="U6339" s="1" t="str">
        <f t="shared" si="11807"/>
        <v>0.0070</v>
      </c>
    </row>
    <row r="6340" s="1" customFormat="1" spans="1:21">
      <c r="A6340" s="1" t="str">
        <f>"4601992262549"</f>
        <v>4601992262549</v>
      </c>
      <c r="B6340" s="1" t="s">
        <v>6363</v>
      </c>
      <c r="C6340" s="1" t="s">
        <v>24</v>
      </c>
      <c r="D6340" s="1" t="str">
        <f t="shared" si="11832"/>
        <v>2021</v>
      </c>
      <c r="E6340" s="1" t="str">
        <f t="shared" ref="E6340:P6340" si="11836">"0"</f>
        <v>0</v>
      </c>
      <c r="F6340" s="1" t="str">
        <f t="shared" si="11836"/>
        <v>0</v>
      </c>
      <c r="G6340" s="1" t="str">
        <f t="shared" si="11836"/>
        <v>0</v>
      </c>
      <c r="H6340" s="1" t="str">
        <f t="shared" si="11836"/>
        <v>0</v>
      </c>
      <c r="I6340" s="1" t="str">
        <f t="shared" si="11836"/>
        <v>0</v>
      </c>
      <c r="J6340" s="1" t="str">
        <f t="shared" si="11836"/>
        <v>0</v>
      </c>
      <c r="K6340" s="1" t="str">
        <f t="shared" si="11836"/>
        <v>0</v>
      </c>
      <c r="L6340" s="1" t="str">
        <f t="shared" si="11836"/>
        <v>0</v>
      </c>
      <c r="M6340" s="1" t="str">
        <f t="shared" si="11836"/>
        <v>0</v>
      </c>
      <c r="N6340" s="1" t="str">
        <f t="shared" si="11836"/>
        <v>0</v>
      </c>
      <c r="O6340" s="1" t="str">
        <f t="shared" si="11836"/>
        <v>0</v>
      </c>
      <c r="P6340" s="1" t="str">
        <f t="shared" si="11836"/>
        <v>0</v>
      </c>
      <c r="Q6340" s="1" t="str">
        <f t="shared" si="11834"/>
        <v>0.0070</v>
      </c>
      <c r="R6340" s="1" t="s">
        <v>25</v>
      </c>
      <c r="T6340" s="1" t="str">
        <f t="shared" si="11835"/>
        <v>0</v>
      </c>
      <c r="U6340" s="1" t="str">
        <f t="shared" si="11807"/>
        <v>0.0070</v>
      </c>
    </row>
    <row r="6341" s="1" customFormat="1" spans="1:21">
      <c r="A6341" s="1" t="str">
        <f>"4601992262569"</f>
        <v>4601992262569</v>
      </c>
      <c r="B6341" s="1" t="s">
        <v>6364</v>
      </c>
      <c r="C6341" s="1" t="s">
        <v>24</v>
      </c>
      <c r="D6341" s="1" t="str">
        <f t="shared" si="11832"/>
        <v>2021</v>
      </c>
      <c r="E6341" s="1" t="str">
        <f t="shared" ref="E6341:P6341" si="11837">"0"</f>
        <v>0</v>
      </c>
      <c r="F6341" s="1" t="str">
        <f t="shared" si="11837"/>
        <v>0</v>
      </c>
      <c r="G6341" s="1" t="str">
        <f t="shared" si="11837"/>
        <v>0</v>
      </c>
      <c r="H6341" s="1" t="str">
        <f t="shared" si="11837"/>
        <v>0</v>
      </c>
      <c r="I6341" s="1" t="str">
        <f t="shared" si="11837"/>
        <v>0</v>
      </c>
      <c r="J6341" s="1" t="str">
        <f t="shared" si="11837"/>
        <v>0</v>
      </c>
      <c r="K6341" s="1" t="str">
        <f t="shared" si="11837"/>
        <v>0</v>
      </c>
      <c r="L6341" s="1" t="str">
        <f t="shared" si="11837"/>
        <v>0</v>
      </c>
      <c r="M6341" s="1" t="str">
        <f t="shared" si="11837"/>
        <v>0</v>
      </c>
      <c r="N6341" s="1" t="str">
        <f t="shared" si="11837"/>
        <v>0</v>
      </c>
      <c r="O6341" s="1" t="str">
        <f t="shared" si="11837"/>
        <v>0</v>
      </c>
      <c r="P6341" s="1" t="str">
        <f t="shared" si="11837"/>
        <v>0</v>
      </c>
      <c r="Q6341" s="1" t="str">
        <f t="shared" si="11834"/>
        <v>0.0070</v>
      </c>
      <c r="R6341" s="1" t="s">
        <v>25</v>
      </c>
      <c r="T6341" s="1" t="str">
        <f t="shared" si="11835"/>
        <v>0</v>
      </c>
      <c r="U6341" s="1" t="str">
        <f t="shared" si="11807"/>
        <v>0.0070</v>
      </c>
    </row>
    <row r="6342" s="1" customFormat="1" spans="1:21">
      <c r="A6342" s="1" t="str">
        <f>"4601992262718"</f>
        <v>4601992262718</v>
      </c>
      <c r="B6342" s="1" t="s">
        <v>6365</v>
      </c>
      <c r="C6342" s="1" t="s">
        <v>24</v>
      </c>
      <c r="D6342" s="1" t="str">
        <f t="shared" si="11832"/>
        <v>2021</v>
      </c>
      <c r="E6342" s="1" t="str">
        <f t="shared" ref="E6342:P6342" si="11838">"0"</f>
        <v>0</v>
      </c>
      <c r="F6342" s="1" t="str">
        <f t="shared" si="11838"/>
        <v>0</v>
      </c>
      <c r="G6342" s="1" t="str">
        <f t="shared" si="11838"/>
        <v>0</v>
      </c>
      <c r="H6342" s="1" t="str">
        <f t="shared" si="11838"/>
        <v>0</v>
      </c>
      <c r="I6342" s="1" t="str">
        <f t="shared" si="11838"/>
        <v>0</v>
      </c>
      <c r="J6342" s="1" t="str">
        <f t="shared" si="11838"/>
        <v>0</v>
      </c>
      <c r="K6342" s="1" t="str">
        <f t="shared" si="11838"/>
        <v>0</v>
      </c>
      <c r="L6342" s="1" t="str">
        <f t="shared" si="11838"/>
        <v>0</v>
      </c>
      <c r="M6342" s="1" t="str">
        <f t="shared" si="11838"/>
        <v>0</v>
      </c>
      <c r="N6342" s="1" t="str">
        <f t="shared" si="11838"/>
        <v>0</v>
      </c>
      <c r="O6342" s="1" t="str">
        <f t="shared" si="11838"/>
        <v>0</v>
      </c>
      <c r="P6342" s="1" t="str">
        <f t="shared" si="11838"/>
        <v>0</v>
      </c>
      <c r="Q6342" s="1" t="str">
        <f t="shared" si="11834"/>
        <v>0.0070</v>
      </c>
      <c r="R6342" s="1" t="s">
        <v>25</v>
      </c>
      <c r="T6342" s="1" t="str">
        <f t="shared" si="11835"/>
        <v>0</v>
      </c>
      <c r="U6342" s="1" t="str">
        <f t="shared" si="11807"/>
        <v>0.0070</v>
      </c>
    </row>
    <row r="6343" s="1" customFormat="1" spans="1:21">
      <c r="A6343" s="1" t="str">
        <f>"4601992262736"</f>
        <v>4601992262736</v>
      </c>
      <c r="B6343" s="1" t="s">
        <v>6366</v>
      </c>
      <c r="C6343" s="1" t="s">
        <v>24</v>
      </c>
      <c r="D6343" s="1" t="str">
        <f t="shared" si="11832"/>
        <v>2021</v>
      </c>
      <c r="E6343" s="1" t="str">
        <f t="shared" ref="E6343:P6343" si="11839">"0"</f>
        <v>0</v>
      </c>
      <c r="F6343" s="1" t="str">
        <f t="shared" si="11839"/>
        <v>0</v>
      </c>
      <c r="G6343" s="1" t="str">
        <f t="shared" si="11839"/>
        <v>0</v>
      </c>
      <c r="H6343" s="1" t="str">
        <f t="shared" si="11839"/>
        <v>0</v>
      </c>
      <c r="I6343" s="1" t="str">
        <f t="shared" si="11839"/>
        <v>0</v>
      </c>
      <c r="J6343" s="1" t="str">
        <f t="shared" si="11839"/>
        <v>0</v>
      </c>
      <c r="K6343" s="1" t="str">
        <f t="shared" si="11839"/>
        <v>0</v>
      </c>
      <c r="L6343" s="1" t="str">
        <f t="shared" si="11839"/>
        <v>0</v>
      </c>
      <c r="M6343" s="1" t="str">
        <f t="shared" si="11839"/>
        <v>0</v>
      </c>
      <c r="N6343" s="1" t="str">
        <f t="shared" si="11839"/>
        <v>0</v>
      </c>
      <c r="O6343" s="1" t="str">
        <f t="shared" si="11839"/>
        <v>0</v>
      </c>
      <c r="P6343" s="1" t="str">
        <f t="shared" si="11839"/>
        <v>0</v>
      </c>
      <c r="Q6343" s="1" t="str">
        <f t="shared" si="11834"/>
        <v>0.0070</v>
      </c>
      <c r="R6343" s="1" t="s">
        <v>25</v>
      </c>
      <c r="T6343" s="1" t="str">
        <f t="shared" si="11835"/>
        <v>0</v>
      </c>
      <c r="U6343" s="1" t="str">
        <f t="shared" si="11807"/>
        <v>0.0070</v>
      </c>
    </row>
    <row r="6344" s="1" customFormat="1" spans="1:21">
      <c r="A6344" s="1" t="str">
        <f>"4601992262809"</f>
        <v>4601992262809</v>
      </c>
      <c r="B6344" s="1" t="s">
        <v>6367</v>
      </c>
      <c r="C6344" s="1" t="s">
        <v>24</v>
      </c>
      <c r="D6344" s="1" t="str">
        <f t="shared" si="11832"/>
        <v>2021</v>
      </c>
      <c r="E6344" s="1" t="str">
        <f t="shared" ref="E6344:P6344" si="11840">"0"</f>
        <v>0</v>
      </c>
      <c r="F6344" s="1" t="str">
        <f t="shared" si="11840"/>
        <v>0</v>
      </c>
      <c r="G6344" s="1" t="str">
        <f t="shared" si="11840"/>
        <v>0</v>
      </c>
      <c r="H6344" s="1" t="str">
        <f t="shared" si="11840"/>
        <v>0</v>
      </c>
      <c r="I6344" s="1" t="str">
        <f t="shared" si="11840"/>
        <v>0</v>
      </c>
      <c r="J6344" s="1" t="str">
        <f t="shared" si="11840"/>
        <v>0</v>
      </c>
      <c r="K6344" s="1" t="str">
        <f t="shared" si="11840"/>
        <v>0</v>
      </c>
      <c r="L6344" s="1" t="str">
        <f t="shared" si="11840"/>
        <v>0</v>
      </c>
      <c r="M6344" s="1" t="str">
        <f t="shared" si="11840"/>
        <v>0</v>
      </c>
      <c r="N6344" s="1" t="str">
        <f t="shared" si="11840"/>
        <v>0</v>
      </c>
      <c r="O6344" s="1" t="str">
        <f t="shared" si="11840"/>
        <v>0</v>
      </c>
      <c r="P6344" s="1" t="str">
        <f t="shared" si="11840"/>
        <v>0</v>
      </c>
      <c r="Q6344" s="1" t="str">
        <f t="shared" si="11834"/>
        <v>0.0070</v>
      </c>
      <c r="R6344" s="1" t="s">
        <v>25</v>
      </c>
      <c r="T6344" s="1" t="str">
        <f t="shared" si="11835"/>
        <v>0</v>
      </c>
      <c r="U6344" s="1" t="str">
        <f t="shared" si="11807"/>
        <v>0.0070</v>
      </c>
    </row>
    <row r="6345" s="1" customFormat="1" spans="1:21">
      <c r="A6345" s="1" t="str">
        <f>"4601992262917"</f>
        <v>4601992262917</v>
      </c>
      <c r="B6345" s="1" t="s">
        <v>6368</v>
      </c>
      <c r="C6345" s="1" t="s">
        <v>24</v>
      </c>
      <c r="D6345" s="1" t="str">
        <f t="shared" si="11832"/>
        <v>2021</v>
      </c>
      <c r="E6345" s="1" t="str">
        <f t="shared" ref="E6345:P6345" si="11841">"0"</f>
        <v>0</v>
      </c>
      <c r="F6345" s="1" t="str">
        <f t="shared" si="11841"/>
        <v>0</v>
      </c>
      <c r="G6345" s="1" t="str">
        <f t="shared" si="11841"/>
        <v>0</v>
      </c>
      <c r="H6345" s="1" t="str">
        <f t="shared" si="11841"/>
        <v>0</v>
      </c>
      <c r="I6345" s="1" t="str">
        <f t="shared" si="11841"/>
        <v>0</v>
      </c>
      <c r="J6345" s="1" t="str">
        <f t="shared" si="11841"/>
        <v>0</v>
      </c>
      <c r="K6345" s="1" t="str">
        <f t="shared" si="11841"/>
        <v>0</v>
      </c>
      <c r="L6345" s="1" t="str">
        <f t="shared" si="11841"/>
        <v>0</v>
      </c>
      <c r="M6345" s="1" t="str">
        <f t="shared" si="11841"/>
        <v>0</v>
      </c>
      <c r="N6345" s="1" t="str">
        <f t="shared" si="11841"/>
        <v>0</v>
      </c>
      <c r="O6345" s="1" t="str">
        <f t="shared" si="11841"/>
        <v>0</v>
      </c>
      <c r="P6345" s="1" t="str">
        <f t="shared" si="11841"/>
        <v>0</v>
      </c>
      <c r="Q6345" s="1" t="str">
        <f t="shared" si="11834"/>
        <v>0.0070</v>
      </c>
      <c r="R6345" s="1" t="s">
        <v>25</v>
      </c>
      <c r="T6345" s="1" t="str">
        <f t="shared" si="11835"/>
        <v>0</v>
      </c>
      <c r="U6345" s="1" t="str">
        <f t="shared" si="11807"/>
        <v>0.0070</v>
      </c>
    </row>
    <row r="6346" s="1" customFormat="1" spans="1:21">
      <c r="A6346" s="1" t="str">
        <f>"4601992263815"</f>
        <v>4601992263815</v>
      </c>
      <c r="B6346" s="1" t="s">
        <v>6369</v>
      </c>
      <c r="C6346" s="1" t="s">
        <v>24</v>
      </c>
      <c r="D6346" s="1" t="str">
        <f t="shared" si="11832"/>
        <v>2021</v>
      </c>
      <c r="E6346" s="1" t="str">
        <f t="shared" ref="E6346:P6346" si="11842">"0"</f>
        <v>0</v>
      </c>
      <c r="F6346" s="1" t="str">
        <f t="shared" si="11842"/>
        <v>0</v>
      </c>
      <c r="G6346" s="1" t="str">
        <f t="shared" si="11842"/>
        <v>0</v>
      </c>
      <c r="H6346" s="1" t="str">
        <f t="shared" si="11842"/>
        <v>0</v>
      </c>
      <c r="I6346" s="1" t="str">
        <f t="shared" si="11842"/>
        <v>0</v>
      </c>
      <c r="J6346" s="1" t="str">
        <f t="shared" si="11842"/>
        <v>0</v>
      </c>
      <c r="K6346" s="1" t="str">
        <f t="shared" si="11842"/>
        <v>0</v>
      </c>
      <c r="L6346" s="1" t="str">
        <f t="shared" si="11842"/>
        <v>0</v>
      </c>
      <c r="M6346" s="1" t="str">
        <f t="shared" si="11842"/>
        <v>0</v>
      </c>
      <c r="N6346" s="1" t="str">
        <f t="shared" si="11842"/>
        <v>0</v>
      </c>
      <c r="O6346" s="1" t="str">
        <f t="shared" si="11842"/>
        <v>0</v>
      </c>
      <c r="P6346" s="1" t="str">
        <f t="shared" si="11842"/>
        <v>0</v>
      </c>
      <c r="Q6346" s="1" t="str">
        <f t="shared" si="11834"/>
        <v>0.0070</v>
      </c>
      <c r="R6346" s="1" t="s">
        <v>25</v>
      </c>
      <c r="T6346" s="1" t="str">
        <f t="shared" si="11835"/>
        <v>0</v>
      </c>
      <c r="U6346" s="1" t="str">
        <f t="shared" si="11807"/>
        <v>0.0070</v>
      </c>
    </row>
    <row r="6347" s="1" customFormat="1" spans="1:21">
      <c r="A6347" s="1" t="str">
        <f>"4601992263827"</f>
        <v>4601992263827</v>
      </c>
      <c r="B6347" s="1" t="s">
        <v>6370</v>
      </c>
      <c r="C6347" s="1" t="s">
        <v>24</v>
      </c>
      <c r="D6347" s="1" t="str">
        <f t="shared" si="11832"/>
        <v>2021</v>
      </c>
      <c r="E6347" s="1" t="str">
        <f t="shared" ref="E6347:P6347" si="11843">"0"</f>
        <v>0</v>
      </c>
      <c r="F6347" s="1" t="str">
        <f t="shared" si="11843"/>
        <v>0</v>
      </c>
      <c r="G6347" s="1" t="str">
        <f t="shared" si="11843"/>
        <v>0</v>
      </c>
      <c r="H6347" s="1" t="str">
        <f t="shared" si="11843"/>
        <v>0</v>
      </c>
      <c r="I6347" s="1" t="str">
        <f t="shared" si="11843"/>
        <v>0</v>
      </c>
      <c r="J6347" s="1" t="str">
        <f t="shared" si="11843"/>
        <v>0</v>
      </c>
      <c r="K6347" s="1" t="str">
        <f t="shared" si="11843"/>
        <v>0</v>
      </c>
      <c r="L6347" s="1" t="str">
        <f t="shared" si="11843"/>
        <v>0</v>
      </c>
      <c r="M6347" s="1" t="str">
        <f t="shared" si="11843"/>
        <v>0</v>
      </c>
      <c r="N6347" s="1" t="str">
        <f t="shared" si="11843"/>
        <v>0</v>
      </c>
      <c r="O6347" s="1" t="str">
        <f t="shared" si="11843"/>
        <v>0</v>
      </c>
      <c r="P6347" s="1" t="str">
        <f t="shared" si="11843"/>
        <v>0</v>
      </c>
      <c r="Q6347" s="1" t="str">
        <f t="shared" si="11834"/>
        <v>0.0070</v>
      </c>
      <c r="R6347" s="1" t="s">
        <v>25</v>
      </c>
      <c r="T6347" s="1" t="str">
        <f t="shared" si="11835"/>
        <v>0</v>
      </c>
      <c r="U6347" s="1" t="str">
        <f t="shared" si="11807"/>
        <v>0.0070</v>
      </c>
    </row>
    <row r="6348" s="1" customFormat="1" spans="1:21">
      <c r="A6348" s="1" t="str">
        <f>"4601992263857"</f>
        <v>4601992263857</v>
      </c>
      <c r="B6348" s="1" t="s">
        <v>6371</v>
      </c>
      <c r="C6348" s="1" t="s">
        <v>24</v>
      </c>
      <c r="D6348" s="1" t="str">
        <f t="shared" si="11832"/>
        <v>2021</v>
      </c>
      <c r="E6348" s="1" t="str">
        <f t="shared" ref="E6348:P6348" si="11844">"0"</f>
        <v>0</v>
      </c>
      <c r="F6348" s="1" t="str">
        <f t="shared" si="11844"/>
        <v>0</v>
      </c>
      <c r="G6348" s="1" t="str">
        <f t="shared" si="11844"/>
        <v>0</v>
      </c>
      <c r="H6348" s="1" t="str">
        <f t="shared" si="11844"/>
        <v>0</v>
      </c>
      <c r="I6348" s="1" t="str">
        <f t="shared" si="11844"/>
        <v>0</v>
      </c>
      <c r="J6348" s="1" t="str">
        <f t="shared" si="11844"/>
        <v>0</v>
      </c>
      <c r="K6348" s="1" t="str">
        <f t="shared" si="11844"/>
        <v>0</v>
      </c>
      <c r="L6348" s="1" t="str">
        <f t="shared" si="11844"/>
        <v>0</v>
      </c>
      <c r="M6348" s="1" t="str">
        <f t="shared" si="11844"/>
        <v>0</v>
      </c>
      <c r="N6348" s="1" t="str">
        <f t="shared" si="11844"/>
        <v>0</v>
      </c>
      <c r="O6348" s="1" t="str">
        <f t="shared" si="11844"/>
        <v>0</v>
      </c>
      <c r="P6348" s="1" t="str">
        <f t="shared" si="11844"/>
        <v>0</v>
      </c>
      <c r="Q6348" s="1" t="str">
        <f t="shared" si="11834"/>
        <v>0.0070</v>
      </c>
      <c r="R6348" s="1" t="s">
        <v>25</v>
      </c>
      <c r="T6348" s="1" t="str">
        <f t="shared" si="11835"/>
        <v>0</v>
      </c>
      <c r="U6348" s="1" t="str">
        <f t="shared" si="11807"/>
        <v>0.0070</v>
      </c>
    </row>
    <row r="6349" s="1" customFormat="1" spans="1:21">
      <c r="A6349" s="1" t="str">
        <f>"4601992263922"</f>
        <v>4601992263922</v>
      </c>
      <c r="B6349" s="1" t="s">
        <v>6372</v>
      </c>
      <c r="C6349" s="1" t="s">
        <v>24</v>
      </c>
      <c r="D6349" s="1" t="str">
        <f t="shared" si="11832"/>
        <v>2021</v>
      </c>
      <c r="E6349" s="1" t="str">
        <f t="shared" ref="E6349:P6349" si="11845">"0"</f>
        <v>0</v>
      </c>
      <c r="F6349" s="1" t="str">
        <f t="shared" si="11845"/>
        <v>0</v>
      </c>
      <c r="G6349" s="1" t="str">
        <f t="shared" si="11845"/>
        <v>0</v>
      </c>
      <c r="H6349" s="1" t="str">
        <f t="shared" si="11845"/>
        <v>0</v>
      </c>
      <c r="I6349" s="1" t="str">
        <f t="shared" si="11845"/>
        <v>0</v>
      </c>
      <c r="J6349" s="1" t="str">
        <f t="shared" si="11845"/>
        <v>0</v>
      </c>
      <c r="K6349" s="1" t="str">
        <f t="shared" si="11845"/>
        <v>0</v>
      </c>
      <c r="L6349" s="1" t="str">
        <f t="shared" si="11845"/>
        <v>0</v>
      </c>
      <c r="M6349" s="1" t="str">
        <f t="shared" si="11845"/>
        <v>0</v>
      </c>
      <c r="N6349" s="1" t="str">
        <f t="shared" si="11845"/>
        <v>0</v>
      </c>
      <c r="O6349" s="1" t="str">
        <f t="shared" si="11845"/>
        <v>0</v>
      </c>
      <c r="P6349" s="1" t="str">
        <f t="shared" si="11845"/>
        <v>0</v>
      </c>
      <c r="Q6349" s="1" t="str">
        <f t="shared" si="11834"/>
        <v>0.0070</v>
      </c>
      <c r="R6349" s="1" t="s">
        <v>25</v>
      </c>
      <c r="T6349" s="1" t="str">
        <f t="shared" si="11835"/>
        <v>0</v>
      </c>
      <c r="U6349" s="1" t="str">
        <f t="shared" si="11807"/>
        <v>0.0070</v>
      </c>
    </row>
    <row r="6350" s="1" customFormat="1" spans="1:21">
      <c r="A6350" s="1" t="str">
        <f>"4601992264082"</f>
        <v>4601992264082</v>
      </c>
      <c r="B6350" s="1" t="s">
        <v>6373</v>
      </c>
      <c r="C6350" s="1" t="s">
        <v>24</v>
      </c>
      <c r="D6350" s="1" t="str">
        <f t="shared" si="11832"/>
        <v>2021</v>
      </c>
      <c r="E6350" s="1" t="str">
        <f t="shared" ref="E6350:P6350" si="11846">"0"</f>
        <v>0</v>
      </c>
      <c r="F6350" s="1" t="str">
        <f t="shared" si="11846"/>
        <v>0</v>
      </c>
      <c r="G6350" s="1" t="str">
        <f t="shared" si="11846"/>
        <v>0</v>
      </c>
      <c r="H6350" s="1" t="str">
        <f t="shared" si="11846"/>
        <v>0</v>
      </c>
      <c r="I6350" s="1" t="str">
        <f t="shared" si="11846"/>
        <v>0</v>
      </c>
      <c r="J6350" s="1" t="str">
        <f t="shared" si="11846"/>
        <v>0</v>
      </c>
      <c r="K6350" s="1" t="str">
        <f t="shared" si="11846"/>
        <v>0</v>
      </c>
      <c r="L6350" s="1" t="str">
        <f t="shared" si="11846"/>
        <v>0</v>
      </c>
      <c r="M6350" s="1" t="str">
        <f t="shared" si="11846"/>
        <v>0</v>
      </c>
      <c r="N6350" s="1" t="str">
        <f t="shared" si="11846"/>
        <v>0</v>
      </c>
      <c r="O6350" s="1" t="str">
        <f t="shared" si="11846"/>
        <v>0</v>
      </c>
      <c r="P6350" s="1" t="str">
        <f t="shared" si="11846"/>
        <v>0</v>
      </c>
      <c r="Q6350" s="1" t="str">
        <f t="shared" si="11834"/>
        <v>0.0070</v>
      </c>
      <c r="R6350" s="1" t="s">
        <v>25</v>
      </c>
      <c r="T6350" s="1" t="str">
        <f t="shared" si="11835"/>
        <v>0</v>
      </c>
      <c r="U6350" s="1" t="str">
        <f t="shared" si="11807"/>
        <v>0.0070</v>
      </c>
    </row>
    <row r="6351" s="1" customFormat="1" spans="1:21">
      <c r="A6351" s="1" t="str">
        <f>"4601992264219"</f>
        <v>4601992264219</v>
      </c>
      <c r="B6351" s="1" t="s">
        <v>6374</v>
      </c>
      <c r="C6351" s="1" t="s">
        <v>24</v>
      </c>
      <c r="D6351" s="1" t="str">
        <f t="shared" si="11832"/>
        <v>2021</v>
      </c>
      <c r="E6351" s="1" t="str">
        <f t="shared" ref="E6351:P6351" si="11847">"0"</f>
        <v>0</v>
      </c>
      <c r="F6351" s="1" t="str">
        <f t="shared" si="11847"/>
        <v>0</v>
      </c>
      <c r="G6351" s="1" t="str">
        <f t="shared" si="11847"/>
        <v>0</v>
      </c>
      <c r="H6351" s="1" t="str">
        <f t="shared" si="11847"/>
        <v>0</v>
      </c>
      <c r="I6351" s="1" t="str">
        <f t="shared" si="11847"/>
        <v>0</v>
      </c>
      <c r="J6351" s="1" t="str">
        <f t="shared" si="11847"/>
        <v>0</v>
      </c>
      <c r="K6351" s="1" t="str">
        <f t="shared" si="11847"/>
        <v>0</v>
      </c>
      <c r="L6351" s="1" t="str">
        <f t="shared" si="11847"/>
        <v>0</v>
      </c>
      <c r="M6351" s="1" t="str">
        <f t="shared" si="11847"/>
        <v>0</v>
      </c>
      <c r="N6351" s="1" t="str">
        <f t="shared" si="11847"/>
        <v>0</v>
      </c>
      <c r="O6351" s="1" t="str">
        <f t="shared" si="11847"/>
        <v>0</v>
      </c>
      <c r="P6351" s="1" t="str">
        <f t="shared" si="11847"/>
        <v>0</v>
      </c>
      <c r="Q6351" s="1" t="str">
        <f t="shared" si="11834"/>
        <v>0.0070</v>
      </c>
      <c r="R6351" s="1" t="s">
        <v>25</v>
      </c>
      <c r="T6351" s="1" t="str">
        <f t="shared" si="11835"/>
        <v>0</v>
      </c>
      <c r="U6351" s="1" t="str">
        <f t="shared" si="11807"/>
        <v>0.0070</v>
      </c>
    </row>
    <row r="6352" s="1" customFormat="1" spans="1:21">
      <c r="A6352" s="1" t="str">
        <f>"4601992264223"</f>
        <v>4601992264223</v>
      </c>
      <c r="B6352" s="1" t="s">
        <v>6375</v>
      </c>
      <c r="C6352" s="1" t="s">
        <v>24</v>
      </c>
      <c r="D6352" s="1" t="str">
        <f t="shared" si="11832"/>
        <v>2021</v>
      </c>
      <c r="E6352" s="1" t="str">
        <f t="shared" ref="E6352:P6352" si="11848">"0"</f>
        <v>0</v>
      </c>
      <c r="F6352" s="1" t="str">
        <f t="shared" si="11848"/>
        <v>0</v>
      </c>
      <c r="G6352" s="1" t="str">
        <f t="shared" si="11848"/>
        <v>0</v>
      </c>
      <c r="H6352" s="1" t="str">
        <f t="shared" si="11848"/>
        <v>0</v>
      </c>
      <c r="I6352" s="1" t="str">
        <f t="shared" si="11848"/>
        <v>0</v>
      </c>
      <c r="J6352" s="1" t="str">
        <f t="shared" si="11848"/>
        <v>0</v>
      </c>
      <c r="K6352" s="1" t="str">
        <f t="shared" si="11848"/>
        <v>0</v>
      </c>
      <c r="L6352" s="1" t="str">
        <f t="shared" si="11848"/>
        <v>0</v>
      </c>
      <c r="M6352" s="1" t="str">
        <f t="shared" si="11848"/>
        <v>0</v>
      </c>
      <c r="N6352" s="1" t="str">
        <f t="shared" si="11848"/>
        <v>0</v>
      </c>
      <c r="O6352" s="1" t="str">
        <f t="shared" si="11848"/>
        <v>0</v>
      </c>
      <c r="P6352" s="1" t="str">
        <f t="shared" si="11848"/>
        <v>0</v>
      </c>
      <c r="Q6352" s="1" t="str">
        <f t="shared" si="11834"/>
        <v>0.0070</v>
      </c>
      <c r="R6352" s="1" t="s">
        <v>25</v>
      </c>
      <c r="T6352" s="1" t="str">
        <f t="shared" si="11835"/>
        <v>0</v>
      </c>
      <c r="U6352" s="1" t="str">
        <f t="shared" si="11807"/>
        <v>0.0070</v>
      </c>
    </row>
    <row r="6353" s="1" customFormat="1" spans="1:21">
      <c r="A6353" s="1" t="str">
        <f>"4601992264318"</f>
        <v>4601992264318</v>
      </c>
      <c r="B6353" s="1" t="s">
        <v>6376</v>
      </c>
      <c r="C6353" s="1" t="s">
        <v>24</v>
      </c>
      <c r="D6353" s="1" t="str">
        <f t="shared" si="11832"/>
        <v>2021</v>
      </c>
      <c r="E6353" s="1" t="str">
        <f t="shared" ref="E6353:P6353" si="11849">"0"</f>
        <v>0</v>
      </c>
      <c r="F6353" s="1" t="str">
        <f t="shared" si="11849"/>
        <v>0</v>
      </c>
      <c r="G6353" s="1" t="str">
        <f t="shared" si="11849"/>
        <v>0</v>
      </c>
      <c r="H6353" s="1" t="str">
        <f t="shared" si="11849"/>
        <v>0</v>
      </c>
      <c r="I6353" s="1" t="str">
        <f t="shared" si="11849"/>
        <v>0</v>
      </c>
      <c r="J6353" s="1" t="str">
        <f t="shared" si="11849"/>
        <v>0</v>
      </c>
      <c r="K6353" s="1" t="str">
        <f t="shared" si="11849"/>
        <v>0</v>
      </c>
      <c r="L6353" s="1" t="str">
        <f t="shared" si="11849"/>
        <v>0</v>
      </c>
      <c r="M6353" s="1" t="str">
        <f t="shared" si="11849"/>
        <v>0</v>
      </c>
      <c r="N6353" s="1" t="str">
        <f t="shared" si="11849"/>
        <v>0</v>
      </c>
      <c r="O6353" s="1" t="str">
        <f t="shared" si="11849"/>
        <v>0</v>
      </c>
      <c r="P6353" s="1" t="str">
        <f t="shared" si="11849"/>
        <v>0</v>
      </c>
      <c r="Q6353" s="1" t="str">
        <f t="shared" si="11834"/>
        <v>0.0070</v>
      </c>
      <c r="R6353" s="1" t="s">
        <v>25</v>
      </c>
      <c r="T6353" s="1" t="str">
        <f t="shared" si="11835"/>
        <v>0</v>
      </c>
      <c r="U6353" s="1" t="str">
        <f t="shared" si="11807"/>
        <v>0.0070</v>
      </c>
    </row>
    <row r="6354" s="1" customFormat="1" spans="1:21">
      <c r="A6354" s="1" t="str">
        <f>"4601992264213"</f>
        <v>4601992264213</v>
      </c>
      <c r="B6354" s="1" t="s">
        <v>6377</v>
      </c>
      <c r="C6354" s="1" t="s">
        <v>24</v>
      </c>
      <c r="D6354" s="1" t="str">
        <f t="shared" si="11832"/>
        <v>2021</v>
      </c>
      <c r="E6354" s="1" t="str">
        <f t="shared" ref="E6354:I6354" si="11850">"0"</f>
        <v>0</v>
      </c>
      <c r="F6354" s="1" t="str">
        <f t="shared" si="11850"/>
        <v>0</v>
      </c>
      <c r="G6354" s="1" t="str">
        <f t="shared" si="11850"/>
        <v>0</v>
      </c>
      <c r="H6354" s="1" t="str">
        <f t="shared" si="11850"/>
        <v>0</v>
      </c>
      <c r="I6354" s="1" t="str">
        <f t="shared" si="11850"/>
        <v>0</v>
      </c>
      <c r="J6354" s="1" t="str">
        <f>"1"</f>
        <v>1</v>
      </c>
      <c r="K6354" s="1" t="str">
        <f t="shared" ref="K6354:P6354" si="11851">"0"</f>
        <v>0</v>
      </c>
      <c r="L6354" s="1" t="str">
        <f t="shared" si="11851"/>
        <v>0</v>
      </c>
      <c r="M6354" s="1" t="str">
        <f t="shared" si="11851"/>
        <v>0</v>
      </c>
      <c r="N6354" s="1" t="str">
        <f t="shared" si="11851"/>
        <v>0</v>
      </c>
      <c r="O6354" s="1" t="str">
        <f t="shared" si="11851"/>
        <v>0</v>
      </c>
      <c r="P6354" s="1" t="str">
        <f t="shared" si="11851"/>
        <v>0</v>
      </c>
      <c r="Q6354" s="1" t="str">
        <f t="shared" si="11834"/>
        <v>0.0070</v>
      </c>
      <c r="R6354" s="1" t="s">
        <v>25</v>
      </c>
      <c r="T6354" s="1" t="str">
        <f t="shared" si="11835"/>
        <v>0</v>
      </c>
      <c r="U6354" s="1" t="str">
        <f t="shared" si="11807"/>
        <v>0.0070</v>
      </c>
    </row>
    <row r="6355" s="1" customFormat="1" spans="1:21">
      <c r="A6355" s="1" t="str">
        <f>"4601992264473"</f>
        <v>4601992264473</v>
      </c>
      <c r="B6355" s="1" t="s">
        <v>6378</v>
      </c>
      <c r="C6355" s="1" t="s">
        <v>24</v>
      </c>
      <c r="D6355" s="1" t="str">
        <f t="shared" si="11832"/>
        <v>2021</v>
      </c>
      <c r="E6355" s="1" t="str">
        <f t="shared" ref="E6355:P6355" si="11852">"0"</f>
        <v>0</v>
      </c>
      <c r="F6355" s="1" t="str">
        <f t="shared" si="11852"/>
        <v>0</v>
      </c>
      <c r="G6355" s="1" t="str">
        <f t="shared" si="11852"/>
        <v>0</v>
      </c>
      <c r="H6355" s="1" t="str">
        <f t="shared" si="11852"/>
        <v>0</v>
      </c>
      <c r="I6355" s="1" t="str">
        <f t="shared" si="11852"/>
        <v>0</v>
      </c>
      <c r="J6355" s="1" t="str">
        <f t="shared" si="11852"/>
        <v>0</v>
      </c>
      <c r="K6355" s="1" t="str">
        <f t="shared" si="11852"/>
        <v>0</v>
      </c>
      <c r="L6355" s="1" t="str">
        <f t="shared" si="11852"/>
        <v>0</v>
      </c>
      <c r="M6355" s="1" t="str">
        <f t="shared" si="11852"/>
        <v>0</v>
      </c>
      <c r="N6355" s="1" t="str">
        <f t="shared" si="11852"/>
        <v>0</v>
      </c>
      <c r="O6355" s="1" t="str">
        <f t="shared" si="11852"/>
        <v>0</v>
      </c>
      <c r="P6355" s="1" t="str">
        <f t="shared" si="11852"/>
        <v>0</v>
      </c>
      <c r="Q6355" s="1" t="str">
        <f t="shared" si="11834"/>
        <v>0.0070</v>
      </c>
      <c r="R6355" s="1" t="s">
        <v>25</v>
      </c>
      <c r="T6355" s="1" t="str">
        <f t="shared" si="11835"/>
        <v>0</v>
      </c>
      <c r="U6355" s="1" t="str">
        <f t="shared" si="11807"/>
        <v>0.0070</v>
      </c>
    </row>
    <row r="6356" s="1" customFormat="1" spans="1:21">
      <c r="A6356" s="1" t="str">
        <f>"4601992264487"</f>
        <v>4601992264487</v>
      </c>
      <c r="B6356" s="1" t="s">
        <v>6379</v>
      </c>
      <c r="C6356" s="1" t="s">
        <v>24</v>
      </c>
      <c r="D6356" s="1" t="str">
        <f t="shared" si="11832"/>
        <v>2021</v>
      </c>
      <c r="E6356" s="1" t="str">
        <f t="shared" ref="E6356:P6356" si="11853">"0"</f>
        <v>0</v>
      </c>
      <c r="F6356" s="1" t="str">
        <f t="shared" si="11853"/>
        <v>0</v>
      </c>
      <c r="G6356" s="1" t="str">
        <f t="shared" si="11853"/>
        <v>0</v>
      </c>
      <c r="H6356" s="1" t="str">
        <f t="shared" si="11853"/>
        <v>0</v>
      </c>
      <c r="I6356" s="1" t="str">
        <f t="shared" si="11853"/>
        <v>0</v>
      </c>
      <c r="J6356" s="1" t="str">
        <f t="shared" si="11853"/>
        <v>0</v>
      </c>
      <c r="K6356" s="1" t="str">
        <f t="shared" si="11853"/>
        <v>0</v>
      </c>
      <c r="L6356" s="1" t="str">
        <f t="shared" si="11853"/>
        <v>0</v>
      </c>
      <c r="M6356" s="1" t="str">
        <f t="shared" si="11853"/>
        <v>0</v>
      </c>
      <c r="N6356" s="1" t="str">
        <f t="shared" si="11853"/>
        <v>0</v>
      </c>
      <c r="O6356" s="1" t="str">
        <f t="shared" si="11853"/>
        <v>0</v>
      </c>
      <c r="P6356" s="1" t="str">
        <f t="shared" si="11853"/>
        <v>0</v>
      </c>
      <c r="Q6356" s="1" t="str">
        <f t="shared" si="11834"/>
        <v>0.0070</v>
      </c>
      <c r="R6356" s="1" t="s">
        <v>25</v>
      </c>
      <c r="T6356" s="1" t="str">
        <f t="shared" si="11835"/>
        <v>0</v>
      </c>
      <c r="U6356" s="1" t="str">
        <f t="shared" si="11807"/>
        <v>0.0070</v>
      </c>
    </row>
    <row r="6357" s="1" customFormat="1" spans="1:21">
      <c r="A6357" s="1" t="str">
        <f>"4601992264552"</f>
        <v>4601992264552</v>
      </c>
      <c r="B6357" s="1" t="s">
        <v>6380</v>
      </c>
      <c r="C6357" s="1" t="s">
        <v>24</v>
      </c>
      <c r="D6357" s="1" t="str">
        <f t="shared" si="11832"/>
        <v>2021</v>
      </c>
      <c r="E6357" s="1" t="str">
        <f t="shared" ref="E6357:P6357" si="11854">"0"</f>
        <v>0</v>
      </c>
      <c r="F6357" s="1" t="str">
        <f t="shared" si="11854"/>
        <v>0</v>
      </c>
      <c r="G6357" s="1" t="str">
        <f t="shared" si="11854"/>
        <v>0</v>
      </c>
      <c r="H6357" s="1" t="str">
        <f t="shared" si="11854"/>
        <v>0</v>
      </c>
      <c r="I6357" s="1" t="str">
        <f t="shared" si="11854"/>
        <v>0</v>
      </c>
      <c r="J6357" s="1" t="str">
        <f t="shared" si="11854"/>
        <v>0</v>
      </c>
      <c r="K6357" s="1" t="str">
        <f t="shared" si="11854"/>
        <v>0</v>
      </c>
      <c r="L6357" s="1" t="str">
        <f t="shared" si="11854"/>
        <v>0</v>
      </c>
      <c r="M6357" s="1" t="str">
        <f t="shared" si="11854"/>
        <v>0</v>
      </c>
      <c r="N6357" s="1" t="str">
        <f t="shared" si="11854"/>
        <v>0</v>
      </c>
      <c r="O6357" s="1" t="str">
        <f t="shared" si="11854"/>
        <v>0</v>
      </c>
      <c r="P6357" s="1" t="str">
        <f t="shared" si="11854"/>
        <v>0</v>
      </c>
      <c r="Q6357" s="1" t="str">
        <f t="shared" si="11834"/>
        <v>0.0070</v>
      </c>
      <c r="R6357" s="1" t="s">
        <v>25</v>
      </c>
      <c r="T6357" s="1" t="str">
        <f t="shared" si="11835"/>
        <v>0</v>
      </c>
      <c r="U6357" s="1" t="str">
        <f t="shared" si="11807"/>
        <v>0.0070</v>
      </c>
    </row>
    <row r="6358" s="1" customFormat="1" spans="1:21">
      <c r="A6358" s="1" t="str">
        <f>"4601992264584"</f>
        <v>4601992264584</v>
      </c>
      <c r="B6358" s="1" t="s">
        <v>6381</v>
      </c>
      <c r="C6358" s="1" t="s">
        <v>24</v>
      </c>
      <c r="D6358" s="1" t="str">
        <f t="shared" si="11832"/>
        <v>2021</v>
      </c>
      <c r="E6358" s="1" t="str">
        <f t="shared" ref="E6358:P6358" si="11855">"0"</f>
        <v>0</v>
      </c>
      <c r="F6358" s="1" t="str">
        <f t="shared" si="11855"/>
        <v>0</v>
      </c>
      <c r="G6358" s="1" t="str">
        <f t="shared" si="11855"/>
        <v>0</v>
      </c>
      <c r="H6358" s="1" t="str">
        <f t="shared" si="11855"/>
        <v>0</v>
      </c>
      <c r="I6358" s="1" t="str">
        <f t="shared" si="11855"/>
        <v>0</v>
      </c>
      <c r="J6358" s="1" t="str">
        <f t="shared" si="11855"/>
        <v>0</v>
      </c>
      <c r="K6358" s="1" t="str">
        <f t="shared" si="11855"/>
        <v>0</v>
      </c>
      <c r="L6358" s="1" t="str">
        <f t="shared" si="11855"/>
        <v>0</v>
      </c>
      <c r="M6358" s="1" t="str">
        <f t="shared" si="11855"/>
        <v>0</v>
      </c>
      <c r="N6358" s="1" t="str">
        <f t="shared" si="11855"/>
        <v>0</v>
      </c>
      <c r="O6358" s="1" t="str">
        <f t="shared" si="11855"/>
        <v>0</v>
      </c>
      <c r="P6358" s="1" t="str">
        <f t="shared" si="11855"/>
        <v>0</v>
      </c>
      <c r="Q6358" s="1" t="str">
        <f t="shared" si="11834"/>
        <v>0.0070</v>
      </c>
      <c r="R6358" s="1" t="s">
        <v>25</v>
      </c>
      <c r="T6358" s="1" t="str">
        <f t="shared" si="11835"/>
        <v>0</v>
      </c>
      <c r="U6358" s="1" t="str">
        <f t="shared" si="11807"/>
        <v>0.0070</v>
      </c>
    </row>
    <row r="6359" s="1" customFormat="1" spans="1:21">
      <c r="A6359" s="1" t="str">
        <f>"4601992264557"</f>
        <v>4601992264557</v>
      </c>
      <c r="B6359" s="1" t="s">
        <v>6382</v>
      </c>
      <c r="C6359" s="1" t="s">
        <v>24</v>
      </c>
      <c r="D6359" s="1" t="str">
        <f t="shared" si="11832"/>
        <v>2021</v>
      </c>
      <c r="E6359" s="1" t="str">
        <f t="shared" ref="E6359:I6359" si="11856">"0"</f>
        <v>0</v>
      </c>
      <c r="F6359" s="1" t="str">
        <f t="shared" si="11856"/>
        <v>0</v>
      </c>
      <c r="G6359" s="1" t="str">
        <f t="shared" si="11856"/>
        <v>0</v>
      </c>
      <c r="H6359" s="1" t="str">
        <f t="shared" si="11856"/>
        <v>0</v>
      </c>
      <c r="I6359" s="1" t="str">
        <f t="shared" si="11856"/>
        <v>0</v>
      </c>
      <c r="J6359" s="1" t="str">
        <f>"1"</f>
        <v>1</v>
      </c>
      <c r="K6359" s="1" t="str">
        <f t="shared" ref="K6359:P6359" si="11857">"0"</f>
        <v>0</v>
      </c>
      <c r="L6359" s="1" t="str">
        <f t="shared" si="11857"/>
        <v>0</v>
      </c>
      <c r="M6359" s="1" t="str">
        <f t="shared" si="11857"/>
        <v>0</v>
      </c>
      <c r="N6359" s="1" t="str">
        <f t="shared" si="11857"/>
        <v>0</v>
      </c>
      <c r="O6359" s="1" t="str">
        <f t="shared" si="11857"/>
        <v>0</v>
      </c>
      <c r="P6359" s="1" t="str">
        <f t="shared" si="11857"/>
        <v>0</v>
      </c>
      <c r="Q6359" s="1" t="str">
        <f t="shared" si="11834"/>
        <v>0.0070</v>
      </c>
      <c r="R6359" s="1" t="s">
        <v>25</v>
      </c>
      <c r="T6359" s="1" t="str">
        <f t="shared" si="11835"/>
        <v>0</v>
      </c>
      <c r="U6359" s="1" t="str">
        <f t="shared" si="11807"/>
        <v>0.0070</v>
      </c>
    </row>
    <row r="6360" s="1" customFormat="1" spans="1:21">
      <c r="A6360" s="1" t="str">
        <f>"4601992264558"</f>
        <v>4601992264558</v>
      </c>
      <c r="B6360" s="1" t="s">
        <v>6383</v>
      </c>
      <c r="C6360" s="1" t="s">
        <v>24</v>
      </c>
      <c r="D6360" s="1" t="str">
        <f t="shared" si="11832"/>
        <v>2021</v>
      </c>
      <c r="E6360" s="1" t="str">
        <f t="shared" ref="E6360:I6360" si="11858">"0"</f>
        <v>0</v>
      </c>
      <c r="F6360" s="1" t="str">
        <f t="shared" si="11858"/>
        <v>0</v>
      </c>
      <c r="G6360" s="1" t="str">
        <f t="shared" si="11858"/>
        <v>0</v>
      </c>
      <c r="H6360" s="1" t="str">
        <f t="shared" si="11858"/>
        <v>0</v>
      </c>
      <c r="I6360" s="1" t="str">
        <f t="shared" si="11858"/>
        <v>0</v>
      </c>
      <c r="J6360" s="1" t="str">
        <f>"2"</f>
        <v>2</v>
      </c>
      <c r="K6360" s="1" t="str">
        <f t="shared" ref="K6360:P6360" si="11859">"0"</f>
        <v>0</v>
      </c>
      <c r="L6360" s="1" t="str">
        <f t="shared" si="11859"/>
        <v>0</v>
      </c>
      <c r="M6360" s="1" t="str">
        <f t="shared" si="11859"/>
        <v>0</v>
      </c>
      <c r="N6360" s="1" t="str">
        <f t="shared" si="11859"/>
        <v>0</v>
      </c>
      <c r="O6360" s="1" t="str">
        <f t="shared" si="11859"/>
        <v>0</v>
      </c>
      <c r="P6360" s="1" t="str">
        <f t="shared" si="11859"/>
        <v>0</v>
      </c>
      <c r="Q6360" s="1" t="str">
        <f t="shared" si="11834"/>
        <v>0.0070</v>
      </c>
      <c r="R6360" s="1" t="s">
        <v>25</v>
      </c>
      <c r="T6360" s="1" t="str">
        <f t="shared" si="11835"/>
        <v>0</v>
      </c>
      <c r="U6360" s="1" t="str">
        <f t="shared" si="11807"/>
        <v>0.0070</v>
      </c>
    </row>
    <row r="6361" s="1" customFormat="1" spans="1:21">
      <c r="A6361" s="1" t="str">
        <f>"4601992264591"</f>
        <v>4601992264591</v>
      </c>
      <c r="B6361" s="1" t="s">
        <v>6384</v>
      </c>
      <c r="C6361" s="1" t="s">
        <v>24</v>
      </c>
      <c r="D6361" s="1" t="str">
        <f t="shared" si="11832"/>
        <v>2021</v>
      </c>
      <c r="E6361" s="1" t="str">
        <f t="shared" ref="E6361:I6361" si="11860">"0"</f>
        <v>0</v>
      </c>
      <c r="F6361" s="1" t="str">
        <f t="shared" si="11860"/>
        <v>0</v>
      </c>
      <c r="G6361" s="1" t="str">
        <f t="shared" si="11860"/>
        <v>0</v>
      </c>
      <c r="H6361" s="1" t="str">
        <f t="shared" si="11860"/>
        <v>0</v>
      </c>
      <c r="I6361" s="1" t="str">
        <f t="shared" si="11860"/>
        <v>0</v>
      </c>
      <c r="J6361" s="1" t="str">
        <f>"1"</f>
        <v>1</v>
      </c>
      <c r="K6361" s="1" t="str">
        <f t="shared" ref="K6361:P6361" si="11861">"0"</f>
        <v>0</v>
      </c>
      <c r="L6361" s="1" t="str">
        <f t="shared" si="11861"/>
        <v>0</v>
      </c>
      <c r="M6361" s="1" t="str">
        <f t="shared" si="11861"/>
        <v>0</v>
      </c>
      <c r="N6361" s="1" t="str">
        <f t="shared" si="11861"/>
        <v>0</v>
      </c>
      <c r="O6361" s="1" t="str">
        <f t="shared" si="11861"/>
        <v>0</v>
      </c>
      <c r="P6361" s="1" t="str">
        <f t="shared" si="11861"/>
        <v>0</v>
      </c>
      <c r="Q6361" s="1" t="str">
        <f t="shared" si="11834"/>
        <v>0.0070</v>
      </c>
      <c r="R6361" s="1" t="s">
        <v>25</v>
      </c>
      <c r="T6361" s="1" t="str">
        <f t="shared" si="11835"/>
        <v>0</v>
      </c>
      <c r="U6361" s="1" t="str">
        <f t="shared" si="11807"/>
        <v>0.0070</v>
      </c>
    </row>
    <row r="6362" s="1" customFormat="1" spans="1:21">
      <c r="A6362" s="1" t="str">
        <f>"4601992264908"</f>
        <v>4601992264908</v>
      </c>
      <c r="B6362" s="1" t="s">
        <v>6385</v>
      </c>
      <c r="C6362" s="1" t="s">
        <v>24</v>
      </c>
      <c r="D6362" s="1" t="str">
        <f t="shared" si="11832"/>
        <v>2021</v>
      </c>
      <c r="E6362" s="1" t="str">
        <f t="shared" ref="E6362:P6362" si="11862">"0"</f>
        <v>0</v>
      </c>
      <c r="F6362" s="1" t="str">
        <f t="shared" si="11862"/>
        <v>0</v>
      </c>
      <c r="G6362" s="1" t="str">
        <f t="shared" si="11862"/>
        <v>0</v>
      </c>
      <c r="H6362" s="1" t="str">
        <f t="shared" si="11862"/>
        <v>0</v>
      </c>
      <c r="I6362" s="1" t="str">
        <f t="shared" si="11862"/>
        <v>0</v>
      </c>
      <c r="J6362" s="1" t="str">
        <f t="shared" si="11862"/>
        <v>0</v>
      </c>
      <c r="K6362" s="1" t="str">
        <f t="shared" si="11862"/>
        <v>0</v>
      </c>
      <c r="L6362" s="1" t="str">
        <f t="shared" si="11862"/>
        <v>0</v>
      </c>
      <c r="M6362" s="1" t="str">
        <f t="shared" si="11862"/>
        <v>0</v>
      </c>
      <c r="N6362" s="1" t="str">
        <f t="shared" si="11862"/>
        <v>0</v>
      </c>
      <c r="O6362" s="1" t="str">
        <f t="shared" si="11862"/>
        <v>0</v>
      </c>
      <c r="P6362" s="1" t="str">
        <f t="shared" si="11862"/>
        <v>0</v>
      </c>
      <c r="Q6362" s="1" t="str">
        <f t="shared" si="11834"/>
        <v>0.0070</v>
      </c>
      <c r="R6362" s="1" t="s">
        <v>25</v>
      </c>
      <c r="T6362" s="1" t="str">
        <f t="shared" si="11835"/>
        <v>0</v>
      </c>
      <c r="U6362" s="1" t="str">
        <f t="shared" si="11807"/>
        <v>0.0070</v>
      </c>
    </row>
    <row r="6363" s="1" customFormat="1" spans="1:21">
      <c r="A6363" s="1" t="str">
        <f>"4601992264601"</f>
        <v>4601992264601</v>
      </c>
      <c r="B6363" s="1" t="s">
        <v>6386</v>
      </c>
      <c r="C6363" s="1" t="s">
        <v>24</v>
      </c>
      <c r="D6363" s="1" t="str">
        <f t="shared" si="11832"/>
        <v>2021</v>
      </c>
      <c r="E6363" s="1" t="str">
        <f t="shared" ref="E6363:I6363" si="11863">"0"</f>
        <v>0</v>
      </c>
      <c r="F6363" s="1" t="str">
        <f t="shared" si="11863"/>
        <v>0</v>
      </c>
      <c r="G6363" s="1" t="str">
        <f t="shared" si="11863"/>
        <v>0</v>
      </c>
      <c r="H6363" s="1" t="str">
        <f t="shared" si="11863"/>
        <v>0</v>
      </c>
      <c r="I6363" s="1" t="str">
        <f t="shared" si="11863"/>
        <v>0</v>
      </c>
      <c r="J6363" s="1" t="str">
        <f>"6"</f>
        <v>6</v>
      </c>
      <c r="K6363" s="1" t="str">
        <f t="shared" ref="K6363:P6363" si="11864">"0"</f>
        <v>0</v>
      </c>
      <c r="L6363" s="1" t="str">
        <f t="shared" si="11864"/>
        <v>0</v>
      </c>
      <c r="M6363" s="1" t="str">
        <f t="shared" si="11864"/>
        <v>0</v>
      </c>
      <c r="N6363" s="1" t="str">
        <f t="shared" si="11864"/>
        <v>0</v>
      </c>
      <c r="O6363" s="1" t="str">
        <f t="shared" si="11864"/>
        <v>0</v>
      </c>
      <c r="P6363" s="1" t="str">
        <f t="shared" si="11864"/>
        <v>0</v>
      </c>
      <c r="Q6363" s="1" t="str">
        <f t="shared" si="11834"/>
        <v>0.0070</v>
      </c>
      <c r="R6363" s="1" t="s">
        <v>25</v>
      </c>
      <c r="T6363" s="1" t="str">
        <f t="shared" si="11835"/>
        <v>0</v>
      </c>
      <c r="U6363" s="1" t="str">
        <f t="shared" si="11807"/>
        <v>0.0070</v>
      </c>
    </row>
    <row r="6364" s="1" customFormat="1" spans="1:21">
      <c r="A6364" s="1" t="str">
        <f>"4601992265284"</f>
        <v>4601992265284</v>
      </c>
      <c r="B6364" s="1" t="s">
        <v>6387</v>
      </c>
      <c r="C6364" s="1" t="s">
        <v>24</v>
      </c>
      <c r="D6364" s="1" t="str">
        <f t="shared" si="11832"/>
        <v>2021</v>
      </c>
      <c r="E6364" s="1" t="str">
        <f t="shared" ref="E6364:P6364" si="11865">"0"</f>
        <v>0</v>
      </c>
      <c r="F6364" s="1" t="str">
        <f t="shared" si="11865"/>
        <v>0</v>
      </c>
      <c r="G6364" s="1" t="str">
        <f t="shared" si="11865"/>
        <v>0</v>
      </c>
      <c r="H6364" s="1" t="str">
        <f t="shared" si="11865"/>
        <v>0</v>
      </c>
      <c r="I6364" s="1" t="str">
        <f t="shared" si="11865"/>
        <v>0</v>
      </c>
      <c r="J6364" s="1" t="str">
        <f t="shared" si="11865"/>
        <v>0</v>
      </c>
      <c r="K6364" s="1" t="str">
        <f t="shared" si="11865"/>
        <v>0</v>
      </c>
      <c r="L6364" s="1" t="str">
        <f t="shared" si="11865"/>
        <v>0</v>
      </c>
      <c r="M6364" s="1" t="str">
        <f t="shared" si="11865"/>
        <v>0</v>
      </c>
      <c r="N6364" s="1" t="str">
        <f t="shared" si="11865"/>
        <v>0</v>
      </c>
      <c r="O6364" s="1" t="str">
        <f t="shared" si="11865"/>
        <v>0</v>
      </c>
      <c r="P6364" s="1" t="str">
        <f t="shared" si="11865"/>
        <v>0</v>
      </c>
      <c r="Q6364" s="1" t="str">
        <f t="shared" si="11834"/>
        <v>0.0070</v>
      </c>
      <c r="R6364" s="1" t="s">
        <v>25</v>
      </c>
      <c r="T6364" s="1" t="str">
        <f t="shared" si="11835"/>
        <v>0</v>
      </c>
      <c r="U6364" s="1" t="str">
        <f t="shared" si="11807"/>
        <v>0.0070</v>
      </c>
    </row>
    <row r="6365" s="1" customFormat="1" spans="1:21">
      <c r="A6365" s="1" t="str">
        <f>"4601992265322"</f>
        <v>4601992265322</v>
      </c>
      <c r="B6365" s="1" t="s">
        <v>6388</v>
      </c>
      <c r="C6365" s="1" t="s">
        <v>24</v>
      </c>
      <c r="D6365" s="1" t="str">
        <f t="shared" si="11832"/>
        <v>2021</v>
      </c>
      <c r="E6365" s="1" t="str">
        <f t="shared" ref="E6365:P6365" si="11866">"0"</f>
        <v>0</v>
      </c>
      <c r="F6365" s="1" t="str">
        <f t="shared" si="11866"/>
        <v>0</v>
      </c>
      <c r="G6365" s="1" t="str">
        <f t="shared" si="11866"/>
        <v>0</v>
      </c>
      <c r="H6365" s="1" t="str">
        <f t="shared" si="11866"/>
        <v>0</v>
      </c>
      <c r="I6365" s="1" t="str">
        <f t="shared" si="11866"/>
        <v>0</v>
      </c>
      <c r="J6365" s="1" t="str">
        <f t="shared" si="11866"/>
        <v>0</v>
      </c>
      <c r="K6365" s="1" t="str">
        <f t="shared" si="11866"/>
        <v>0</v>
      </c>
      <c r="L6365" s="1" t="str">
        <f t="shared" si="11866"/>
        <v>0</v>
      </c>
      <c r="M6365" s="1" t="str">
        <f t="shared" si="11866"/>
        <v>0</v>
      </c>
      <c r="N6365" s="1" t="str">
        <f t="shared" si="11866"/>
        <v>0</v>
      </c>
      <c r="O6365" s="1" t="str">
        <f t="shared" si="11866"/>
        <v>0</v>
      </c>
      <c r="P6365" s="1" t="str">
        <f t="shared" si="11866"/>
        <v>0</v>
      </c>
      <c r="Q6365" s="1" t="str">
        <f t="shared" si="11834"/>
        <v>0.0070</v>
      </c>
      <c r="R6365" s="1" t="s">
        <v>25</v>
      </c>
      <c r="T6365" s="1" t="str">
        <f t="shared" si="11835"/>
        <v>0</v>
      </c>
      <c r="U6365" s="1" t="str">
        <f t="shared" si="11807"/>
        <v>0.0070</v>
      </c>
    </row>
    <row r="6366" s="1" customFormat="1" spans="1:21">
      <c r="A6366" s="1" t="str">
        <f>"4601992265211"</f>
        <v>4601992265211</v>
      </c>
      <c r="B6366" s="1" t="s">
        <v>6389</v>
      </c>
      <c r="C6366" s="1" t="s">
        <v>24</v>
      </c>
      <c r="D6366" s="1" t="str">
        <f t="shared" si="11832"/>
        <v>2021</v>
      </c>
      <c r="E6366" s="1" t="str">
        <f t="shared" ref="E6366:I6366" si="11867">"0"</f>
        <v>0</v>
      </c>
      <c r="F6366" s="1" t="str">
        <f t="shared" si="11867"/>
        <v>0</v>
      </c>
      <c r="G6366" s="1" t="str">
        <f t="shared" si="11867"/>
        <v>0</v>
      </c>
      <c r="H6366" s="1" t="str">
        <f t="shared" si="11867"/>
        <v>0</v>
      </c>
      <c r="I6366" s="1" t="str">
        <f t="shared" si="11867"/>
        <v>0</v>
      </c>
      <c r="J6366" s="1" t="str">
        <f>"3"</f>
        <v>3</v>
      </c>
      <c r="K6366" s="1" t="str">
        <f t="shared" ref="K6366:P6366" si="11868">"0"</f>
        <v>0</v>
      </c>
      <c r="L6366" s="1" t="str">
        <f t="shared" si="11868"/>
        <v>0</v>
      </c>
      <c r="M6366" s="1" t="str">
        <f t="shared" si="11868"/>
        <v>0</v>
      </c>
      <c r="N6366" s="1" t="str">
        <f t="shared" si="11868"/>
        <v>0</v>
      </c>
      <c r="O6366" s="1" t="str">
        <f t="shared" si="11868"/>
        <v>0</v>
      </c>
      <c r="P6366" s="1" t="str">
        <f t="shared" si="11868"/>
        <v>0</v>
      </c>
      <c r="Q6366" s="1" t="str">
        <f t="shared" si="11834"/>
        <v>0.0070</v>
      </c>
      <c r="R6366" s="1" t="s">
        <v>25</v>
      </c>
      <c r="T6366" s="1" t="str">
        <f t="shared" si="11835"/>
        <v>0</v>
      </c>
      <c r="U6366" s="1" t="str">
        <f t="shared" si="11807"/>
        <v>0.0070</v>
      </c>
    </row>
    <row r="6367" s="1" customFormat="1" spans="1:21">
      <c r="A6367" s="1" t="str">
        <f>"4601992265440"</f>
        <v>4601992265440</v>
      </c>
      <c r="B6367" s="1" t="s">
        <v>6390</v>
      </c>
      <c r="C6367" s="1" t="s">
        <v>24</v>
      </c>
      <c r="D6367" s="1" t="str">
        <f t="shared" si="11832"/>
        <v>2021</v>
      </c>
      <c r="E6367" s="1" t="str">
        <f t="shared" ref="E6367:P6367" si="11869">"0"</f>
        <v>0</v>
      </c>
      <c r="F6367" s="1" t="str">
        <f t="shared" si="11869"/>
        <v>0</v>
      </c>
      <c r="G6367" s="1" t="str">
        <f t="shared" si="11869"/>
        <v>0</v>
      </c>
      <c r="H6367" s="1" t="str">
        <f t="shared" si="11869"/>
        <v>0</v>
      </c>
      <c r="I6367" s="1" t="str">
        <f t="shared" si="11869"/>
        <v>0</v>
      </c>
      <c r="J6367" s="1" t="str">
        <f t="shared" si="11869"/>
        <v>0</v>
      </c>
      <c r="K6367" s="1" t="str">
        <f t="shared" si="11869"/>
        <v>0</v>
      </c>
      <c r="L6367" s="1" t="str">
        <f t="shared" si="11869"/>
        <v>0</v>
      </c>
      <c r="M6367" s="1" t="str">
        <f t="shared" si="11869"/>
        <v>0</v>
      </c>
      <c r="N6367" s="1" t="str">
        <f t="shared" si="11869"/>
        <v>0</v>
      </c>
      <c r="O6367" s="1" t="str">
        <f t="shared" si="11869"/>
        <v>0</v>
      </c>
      <c r="P6367" s="1" t="str">
        <f t="shared" si="11869"/>
        <v>0</v>
      </c>
      <c r="Q6367" s="1" t="str">
        <f t="shared" si="11834"/>
        <v>0.0070</v>
      </c>
      <c r="R6367" s="1" t="s">
        <v>25</v>
      </c>
      <c r="T6367" s="1" t="str">
        <f t="shared" si="11835"/>
        <v>0</v>
      </c>
      <c r="U6367" s="1" t="str">
        <f t="shared" si="11807"/>
        <v>0.0070</v>
      </c>
    </row>
    <row r="6368" s="1" customFormat="1" spans="1:21">
      <c r="A6368" s="1" t="str">
        <f>"4601992265636"</f>
        <v>4601992265636</v>
      </c>
      <c r="B6368" s="1" t="s">
        <v>6391</v>
      </c>
      <c r="C6368" s="1" t="s">
        <v>24</v>
      </c>
      <c r="D6368" s="1" t="str">
        <f t="shared" si="11832"/>
        <v>2021</v>
      </c>
      <c r="E6368" s="1" t="str">
        <f t="shared" ref="E6368:P6368" si="11870">"0"</f>
        <v>0</v>
      </c>
      <c r="F6368" s="1" t="str">
        <f t="shared" si="11870"/>
        <v>0</v>
      </c>
      <c r="G6368" s="1" t="str">
        <f t="shared" si="11870"/>
        <v>0</v>
      </c>
      <c r="H6368" s="1" t="str">
        <f t="shared" si="11870"/>
        <v>0</v>
      </c>
      <c r="I6368" s="1" t="str">
        <f t="shared" si="11870"/>
        <v>0</v>
      </c>
      <c r="J6368" s="1" t="str">
        <f t="shared" si="11870"/>
        <v>0</v>
      </c>
      <c r="K6368" s="1" t="str">
        <f t="shared" si="11870"/>
        <v>0</v>
      </c>
      <c r="L6368" s="1" t="str">
        <f t="shared" si="11870"/>
        <v>0</v>
      </c>
      <c r="M6368" s="1" t="str">
        <f t="shared" si="11870"/>
        <v>0</v>
      </c>
      <c r="N6368" s="1" t="str">
        <f t="shared" si="11870"/>
        <v>0</v>
      </c>
      <c r="O6368" s="1" t="str">
        <f t="shared" si="11870"/>
        <v>0</v>
      </c>
      <c r="P6368" s="1" t="str">
        <f t="shared" si="11870"/>
        <v>0</v>
      </c>
      <c r="Q6368" s="1" t="str">
        <f t="shared" si="11834"/>
        <v>0.0070</v>
      </c>
      <c r="R6368" s="1" t="s">
        <v>25</v>
      </c>
      <c r="T6368" s="1" t="str">
        <f t="shared" si="11835"/>
        <v>0</v>
      </c>
      <c r="U6368" s="1" t="str">
        <f t="shared" si="11807"/>
        <v>0.0070</v>
      </c>
    </row>
    <row r="6369" s="1" customFormat="1" spans="1:21">
      <c r="A6369" s="1" t="str">
        <f>"4601992265709"</f>
        <v>4601992265709</v>
      </c>
      <c r="B6369" s="1" t="s">
        <v>6392</v>
      </c>
      <c r="C6369" s="1" t="s">
        <v>24</v>
      </c>
      <c r="D6369" s="1" t="str">
        <f t="shared" si="11832"/>
        <v>2021</v>
      </c>
      <c r="E6369" s="1" t="str">
        <f t="shared" ref="E6369:P6369" si="11871">"0"</f>
        <v>0</v>
      </c>
      <c r="F6369" s="1" t="str">
        <f t="shared" si="11871"/>
        <v>0</v>
      </c>
      <c r="G6369" s="1" t="str">
        <f t="shared" si="11871"/>
        <v>0</v>
      </c>
      <c r="H6369" s="1" t="str">
        <f t="shared" si="11871"/>
        <v>0</v>
      </c>
      <c r="I6369" s="1" t="str">
        <f t="shared" si="11871"/>
        <v>0</v>
      </c>
      <c r="J6369" s="1" t="str">
        <f t="shared" si="11871"/>
        <v>0</v>
      </c>
      <c r="K6369" s="1" t="str">
        <f t="shared" si="11871"/>
        <v>0</v>
      </c>
      <c r="L6369" s="1" t="str">
        <f t="shared" si="11871"/>
        <v>0</v>
      </c>
      <c r="M6369" s="1" t="str">
        <f t="shared" si="11871"/>
        <v>0</v>
      </c>
      <c r="N6369" s="1" t="str">
        <f t="shared" si="11871"/>
        <v>0</v>
      </c>
      <c r="O6369" s="1" t="str">
        <f t="shared" si="11871"/>
        <v>0</v>
      </c>
      <c r="P6369" s="1" t="str">
        <f t="shared" si="11871"/>
        <v>0</v>
      </c>
      <c r="Q6369" s="1" t="str">
        <f t="shared" si="11834"/>
        <v>0.0070</v>
      </c>
      <c r="R6369" s="1" t="s">
        <v>25</v>
      </c>
      <c r="T6369" s="1" t="str">
        <f t="shared" si="11835"/>
        <v>0</v>
      </c>
      <c r="U6369" s="1" t="str">
        <f t="shared" si="11807"/>
        <v>0.0070</v>
      </c>
    </row>
    <row r="6370" s="1" customFormat="1" spans="1:21">
      <c r="A6370" s="1" t="str">
        <f>"4601992265802"</f>
        <v>4601992265802</v>
      </c>
      <c r="B6370" s="1" t="s">
        <v>6393</v>
      </c>
      <c r="C6370" s="1" t="s">
        <v>24</v>
      </c>
      <c r="D6370" s="1" t="str">
        <f t="shared" si="11832"/>
        <v>2021</v>
      </c>
      <c r="E6370" s="1" t="str">
        <f t="shared" ref="E6370:P6370" si="11872">"0"</f>
        <v>0</v>
      </c>
      <c r="F6370" s="1" t="str">
        <f t="shared" si="11872"/>
        <v>0</v>
      </c>
      <c r="G6370" s="1" t="str">
        <f t="shared" si="11872"/>
        <v>0</v>
      </c>
      <c r="H6370" s="1" t="str">
        <f t="shared" si="11872"/>
        <v>0</v>
      </c>
      <c r="I6370" s="1" t="str">
        <f t="shared" si="11872"/>
        <v>0</v>
      </c>
      <c r="J6370" s="1" t="str">
        <f t="shared" si="11872"/>
        <v>0</v>
      </c>
      <c r="K6370" s="1" t="str">
        <f t="shared" si="11872"/>
        <v>0</v>
      </c>
      <c r="L6370" s="1" t="str">
        <f t="shared" si="11872"/>
        <v>0</v>
      </c>
      <c r="M6370" s="1" t="str">
        <f t="shared" si="11872"/>
        <v>0</v>
      </c>
      <c r="N6370" s="1" t="str">
        <f t="shared" si="11872"/>
        <v>0</v>
      </c>
      <c r="O6370" s="1" t="str">
        <f t="shared" si="11872"/>
        <v>0</v>
      </c>
      <c r="P6370" s="1" t="str">
        <f t="shared" si="11872"/>
        <v>0</v>
      </c>
      <c r="Q6370" s="1" t="str">
        <f t="shared" si="11834"/>
        <v>0.0070</v>
      </c>
      <c r="R6370" s="1" t="s">
        <v>25</v>
      </c>
      <c r="T6370" s="1" t="str">
        <f t="shared" si="11835"/>
        <v>0</v>
      </c>
      <c r="U6370" s="1" t="str">
        <f t="shared" si="11807"/>
        <v>0.0070</v>
      </c>
    </row>
    <row r="6371" s="1" customFormat="1" spans="1:21">
      <c r="A6371" s="1" t="str">
        <f>"4601992265822"</f>
        <v>4601992265822</v>
      </c>
      <c r="B6371" s="1" t="s">
        <v>6394</v>
      </c>
      <c r="C6371" s="1" t="s">
        <v>24</v>
      </c>
      <c r="D6371" s="1" t="str">
        <f t="shared" si="11832"/>
        <v>2021</v>
      </c>
      <c r="E6371" s="1" t="str">
        <f t="shared" ref="E6371:P6371" si="11873">"0"</f>
        <v>0</v>
      </c>
      <c r="F6371" s="1" t="str">
        <f t="shared" si="11873"/>
        <v>0</v>
      </c>
      <c r="G6371" s="1" t="str">
        <f t="shared" si="11873"/>
        <v>0</v>
      </c>
      <c r="H6371" s="1" t="str">
        <f t="shared" si="11873"/>
        <v>0</v>
      </c>
      <c r="I6371" s="1" t="str">
        <f t="shared" si="11873"/>
        <v>0</v>
      </c>
      <c r="J6371" s="1" t="str">
        <f t="shared" si="11873"/>
        <v>0</v>
      </c>
      <c r="K6371" s="1" t="str">
        <f t="shared" si="11873"/>
        <v>0</v>
      </c>
      <c r="L6371" s="1" t="str">
        <f t="shared" si="11873"/>
        <v>0</v>
      </c>
      <c r="M6371" s="1" t="str">
        <f t="shared" si="11873"/>
        <v>0</v>
      </c>
      <c r="N6371" s="1" t="str">
        <f t="shared" si="11873"/>
        <v>0</v>
      </c>
      <c r="O6371" s="1" t="str">
        <f t="shared" si="11873"/>
        <v>0</v>
      </c>
      <c r="P6371" s="1" t="str">
        <f t="shared" si="11873"/>
        <v>0</v>
      </c>
      <c r="Q6371" s="1" t="str">
        <f t="shared" si="11834"/>
        <v>0.0070</v>
      </c>
      <c r="R6371" s="1" t="s">
        <v>25</v>
      </c>
      <c r="T6371" s="1" t="str">
        <f t="shared" si="11835"/>
        <v>0</v>
      </c>
      <c r="U6371" s="1" t="str">
        <f t="shared" si="11807"/>
        <v>0.0070</v>
      </c>
    </row>
    <row r="6372" s="1" customFormat="1" spans="1:21">
      <c r="A6372" s="1" t="str">
        <f>"4601992265855"</f>
        <v>4601992265855</v>
      </c>
      <c r="B6372" s="1" t="s">
        <v>6395</v>
      </c>
      <c r="C6372" s="1" t="s">
        <v>24</v>
      </c>
      <c r="D6372" s="1" t="str">
        <f t="shared" si="11832"/>
        <v>2021</v>
      </c>
      <c r="E6372" s="1" t="str">
        <f t="shared" ref="E6372:P6372" si="11874">"0"</f>
        <v>0</v>
      </c>
      <c r="F6372" s="1" t="str">
        <f t="shared" si="11874"/>
        <v>0</v>
      </c>
      <c r="G6372" s="1" t="str">
        <f t="shared" si="11874"/>
        <v>0</v>
      </c>
      <c r="H6372" s="1" t="str">
        <f t="shared" si="11874"/>
        <v>0</v>
      </c>
      <c r="I6372" s="1" t="str">
        <f t="shared" si="11874"/>
        <v>0</v>
      </c>
      <c r="J6372" s="1" t="str">
        <f t="shared" si="11874"/>
        <v>0</v>
      </c>
      <c r="K6372" s="1" t="str">
        <f t="shared" si="11874"/>
        <v>0</v>
      </c>
      <c r="L6372" s="1" t="str">
        <f t="shared" si="11874"/>
        <v>0</v>
      </c>
      <c r="M6372" s="1" t="str">
        <f t="shared" si="11874"/>
        <v>0</v>
      </c>
      <c r="N6372" s="1" t="str">
        <f t="shared" si="11874"/>
        <v>0</v>
      </c>
      <c r="O6372" s="1" t="str">
        <f t="shared" si="11874"/>
        <v>0</v>
      </c>
      <c r="P6372" s="1" t="str">
        <f t="shared" si="11874"/>
        <v>0</v>
      </c>
      <c r="Q6372" s="1" t="str">
        <f t="shared" si="11834"/>
        <v>0.0070</v>
      </c>
      <c r="R6372" s="1" t="s">
        <v>25</v>
      </c>
      <c r="T6372" s="1" t="str">
        <f t="shared" si="11835"/>
        <v>0</v>
      </c>
      <c r="U6372" s="1" t="str">
        <f t="shared" si="11807"/>
        <v>0.0070</v>
      </c>
    </row>
    <row r="6373" s="1" customFormat="1" spans="1:21">
      <c r="A6373" s="1" t="str">
        <f>"4601992266050"</f>
        <v>4601992266050</v>
      </c>
      <c r="B6373" s="1" t="s">
        <v>6396</v>
      </c>
      <c r="C6373" s="1" t="s">
        <v>24</v>
      </c>
      <c r="D6373" s="1" t="str">
        <f t="shared" si="11832"/>
        <v>2021</v>
      </c>
      <c r="E6373" s="1" t="str">
        <f t="shared" ref="E6373:P6373" si="11875">"0"</f>
        <v>0</v>
      </c>
      <c r="F6373" s="1" t="str">
        <f t="shared" si="11875"/>
        <v>0</v>
      </c>
      <c r="G6373" s="1" t="str">
        <f t="shared" si="11875"/>
        <v>0</v>
      </c>
      <c r="H6373" s="1" t="str">
        <f t="shared" si="11875"/>
        <v>0</v>
      </c>
      <c r="I6373" s="1" t="str">
        <f t="shared" si="11875"/>
        <v>0</v>
      </c>
      <c r="J6373" s="1" t="str">
        <f t="shared" si="11875"/>
        <v>0</v>
      </c>
      <c r="K6373" s="1" t="str">
        <f t="shared" si="11875"/>
        <v>0</v>
      </c>
      <c r="L6373" s="1" t="str">
        <f t="shared" si="11875"/>
        <v>0</v>
      </c>
      <c r="M6373" s="1" t="str">
        <f t="shared" si="11875"/>
        <v>0</v>
      </c>
      <c r="N6373" s="1" t="str">
        <f t="shared" si="11875"/>
        <v>0</v>
      </c>
      <c r="O6373" s="1" t="str">
        <f t="shared" si="11875"/>
        <v>0</v>
      </c>
      <c r="P6373" s="1" t="str">
        <f t="shared" si="11875"/>
        <v>0</v>
      </c>
      <c r="Q6373" s="1" t="str">
        <f t="shared" si="11834"/>
        <v>0.0070</v>
      </c>
      <c r="R6373" s="1" t="s">
        <v>25</v>
      </c>
      <c r="T6373" s="1" t="str">
        <f t="shared" si="11835"/>
        <v>0</v>
      </c>
      <c r="U6373" s="1" t="str">
        <f t="shared" si="11807"/>
        <v>0.0070</v>
      </c>
    </row>
    <row r="6374" s="1" customFormat="1" spans="1:21">
      <c r="A6374" s="1" t="str">
        <f>"4601992266537"</f>
        <v>4601992266537</v>
      </c>
      <c r="B6374" s="1" t="s">
        <v>6397</v>
      </c>
      <c r="C6374" s="1" t="s">
        <v>24</v>
      </c>
      <c r="D6374" s="1" t="str">
        <f t="shared" si="11832"/>
        <v>2021</v>
      </c>
      <c r="E6374" s="1" t="str">
        <f t="shared" ref="E6374:P6374" si="11876">"0"</f>
        <v>0</v>
      </c>
      <c r="F6374" s="1" t="str">
        <f t="shared" si="11876"/>
        <v>0</v>
      </c>
      <c r="G6374" s="1" t="str">
        <f t="shared" si="11876"/>
        <v>0</v>
      </c>
      <c r="H6374" s="1" t="str">
        <f t="shared" si="11876"/>
        <v>0</v>
      </c>
      <c r="I6374" s="1" t="str">
        <f t="shared" si="11876"/>
        <v>0</v>
      </c>
      <c r="J6374" s="1" t="str">
        <f t="shared" si="11876"/>
        <v>0</v>
      </c>
      <c r="K6374" s="1" t="str">
        <f t="shared" si="11876"/>
        <v>0</v>
      </c>
      <c r="L6374" s="1" t="str">
        <f t="shared" si="11876"/>
        <v>0</v>
      </c>
      <c r="M6374" s="1" t="str">
        <f t="shared" si="11876"/>
        <v>0</v>
      </c>
      <c r="N6374" s="1" t="str">
        <f t="shared" si="11876"/>
        <v>0</v>
      </c>
      <c r="O6374" s="1" t="str">
        <f t="shared" si="11876"/>
        <v>0</v>
      </c>
      <c r="P6374" s="1" t="str">
        <f t="shared" si="11876"/>
        <v>0</v>
      </c>
      <c r="Q6374" s="1" t="str">
        <f t="shared" si="11834"/>
        <v>0.0070</v>
      </c>
      <c r="R6374" s="1" t="s">
        <v>25</v>
      </c>
      <c r="T6374" s="1" t="str">
        <f t="shared" si="11835"/>
        <v>0</v>
      </c>
      <c r="U6374" s="1" t="str">
        <f t="shared" si="11807"/>
        <v>0.0070</v>
      </c>
    </row>
    <row r="6375" s="1" customFormat="1" spans="1:21">
      <c r="A6375" s="1" t="str">
        <f>"4601992266626"</f>
        <v>4601992266626</v>
      </c>
      <c r="B6375" s="1" t="s">
        <v>6398</v>
      </c>
      <c r="C6375" s="1" t="s">
        <v>24</v>
      </c>
      <c r="D6375" s="1" t="str">
        <f t="shared" si="11832"/>
        <v>2021</v>
      </c>
      <c r="E6375" s="1" t="str">
        <f t="shared" ref="E6375:P6375" si="11877">"0"</f>
        <v>0</v>
      </c>
      <c r="F6375" s="1" t="str">
        <f t="shared" si="11877"/>
        <v>0</v>
      </c>
      <c r="G6375" s="1" t="str">
        <f t="shared" si="11877"/>
        <v>0</v>
      </c>
      <c r="H6375" s="1" t="str">
        <f t="shared" si="11877"/>
        <v>0</v>
      </c>
      <c r="I6375" s="1" t="str">
        <f t="shared" si="11877"/>
        <v>0</v>
      </c>
      <c r="J6375" s="1" t="str">
        <f t="shared" si="11877"/>
        <v>0</v>
      </c>
      <c r="K6375" s="1" t="str">
        <f t="shared" si="11877"/>
        <v>0</v>
      </c>
      <c r="L6375" s="1" t="str">
        <f t="shared" si="11877"/>
        <v>0</v>
      </c>
      <c r="M6375" s="1" t="str">
        <f t="shared" si="11877"/>
        <v>0</v>
      </c>
      <c r="N6375" s="1" t="str">
        <f t="shared" si="11877"/>
        <v>0</v>
      </c>
      <c r="O6375" s="1" t="str">
        <f t="shared" si="11877"/>
        <v>0</v>
      </c>
      <c r="P6375" s="1" t="str">
        <f t="shared" si="11877"/>
        <v>0</v>
      </c>
      <c r="Q6375" s="1" t="str">
        <f t="shared" si="11834"/>
        <v>0.0070</v>
      </c>
      <c r="R6375" s="1" t="s">
        <v>25</v>
      </c>
      <c r="T6375" s="1" t="str">
        <f t="shared" si="11835"/>
        <v>0</v>
      </c>
      <c r="U6375" s="1" t="str">
        <f t="shared" si="11807"/>
        <v>0.0070</v>
      </c>
    </row>
    <row r="6376" s="1" customFormat="1" spans="1:21">
      <c r="A6376" s="1" t="str">
        <f>"4601992266648"</f>
        <v>4601992266648</v>
      </c>
      <c r="B6376" s="1" t="s">
        <v>6399</v>
      </c>
      <c r="C6376" s="1" t="s">
        <v>24</v>
      </c>
      <c r="D6376" s="1" t="str">
        <f t="shared" si="11832"/>
        <v>2021</v>
      </c>
      <c r="E6376" s="1" t="str">
        <f t="shared" ref="E6376:P6376" si="11878">"0"</f>
        <v>0</v>
      </c>
      <c r="F6376" s="1" t="str">
        <f t="shared" si="11878"/>
        <v>0</v>
      </c>
      <c r="G6376" s="1" t="str">
        <f t="shared" si="11878"/>
        <v>0</v>
      </c>
      <c r="H6376" s="1" t="str">
        <f t="shared" si="11878"/>
        <v>0</v>
      </c>
      <c r="I6376" s="1" t="str">
        <f t="shared" si="11878"/>
        <v>0</v>
      </c>
      <c r="J6376" s="1" t="str">
        <f t="shared" si="11878"/>
        <v>0</v>
      </c>
      <c r="K6376" s="1" t="str">
        <f t="shared" si="11878"/>
        <v>0</v>
      </c>
      <c r="L6376" s="1" t="str">
        <f t="shared" si="11878"/>
        <v>0</v>
      </c>
      <c r="M6376" s="1" t="str">
        <f t="shared" si="11878"/>
        <v>0</v>
      </c>
      <c r="N6376" s="1" t="str">
        <f t="shared" si="11878"/>
        <v>0</v>
      </c>
      <c r="O6376" s="1" t="str">
        <f t="shared" si="11878"/>
        <v>0</v>
      </c>
      <c r="P6376" s="1" t="str">
        <f t="shared" si="11878"/>
        <v>0</v>
      </c>
      <c r="Q6376" s="1" t="str">
        <f t="shared" si="11834"/>
        <v>0.0070</v>
      </c>
      <c r="R6376" s="1" t="s">
        <v>25</v>
      </c>
      <c r="T6376" s="1" t="str">
        <f t="shared" si="11835"/>
        <v>0</v>
      </c>
      <c r="U6376" s="1" t="str">
        <f t="shared" si="11807"/>
        <v>0.0070</v>
      </c>
    </row>
    <row r="6377" s="1" customFormat="1" spans="1:21">
      <c r="A6377" s="1" t="str">
        <f>"4601992266671"</f>
        <v>4601992266671</v>
      </c>
      <c r="B6377" s="1" t="s">
        <v>6400</v>
      </c>
      <c r="C6377" s="1" t="s">
        <v>24</v>
      </c>
      <c r="D6377" s="1" t="str">
        <f t="shared" si="11832"/>
        <v>2021</v>
      </c>
      <c r="E6377" s="1" t="str">
        <f t="shared" ref="E6377:P6377" si="11879">"0"</f>
        <v>0</v>
      </c>
      <c r="F6377" s="1" t="str">
        <f t="shared" si="11879"/>
        <v>0</v>
      </c>
      <c r="G6377" s="1" t="str">
        <f t="shared" si="11879"/>
        <v>0</v>
      </c>
      <c r="H6377" s="1" t="str">
        <f t="shared" si="11879"/>
        <v>0</v>
      </c>
      <c r="I6377" s="1" t="str">
        <f t="shared" si="11879"/>
        <v>0</v>
      </c>
      <c r="J6377" s="1" t="str">
        <f t="shared" si="11879"/>
        <v>0</v>
      </c>
      <c r="K6377" s="1" t="str">
        <f t="shared" si="11879"/>
        <v>0</v>
      </c>
      <c r="L6377" s="1" t="str">
        <f t="shared" si="11879"/>
        <v>0</v>
      </c>
      <c r="M6377" s="1" t="str">
        <f t="shared" si="11879"/>
        <v>0</v>
      </c>
      <c r="N6377" s="1" t="str">
        <f t="shared" si="11879"/>
        <v>0</v>
      </c>
      <c r="O6377" s="1" t="str">
        <f t="shared" si="11879"/>
        <v>0</v>
      </c>
      <c r="P6377" s="1" t="str">
        <f t="shared" si="11879"/>
        <v>0</v>
      </c>
      <c r="Q6377" s="1" t="str">
        <f t="shared" si="11834"/>
        <v>0.0070</v>
      </c>
      <c r="R6377" s="1" t="s">
        <v>25</v>
      </c>
      <c r="T6377" s="1" t="str">
        <f t="shared" si="11835"/>
        <v>0</v>
      </c>
      <c r="U6377" s="1" t="str">
        <f t="shared" si="11807"/>
        <v>0.0070</v>
      </c>
    </row>
    <row r="6378" s="1" customFormat="1" spans="1:21">
      <c r="A6378" s="1" t="str">
        <f>"4601992266690"</f>
        <v>4601992266690</v>
      </c>
      <c r="B6378" s="1" t="s">
        <v>6401</v>
      </c>
      <c r="C6378" s="1" t="s">
        <v>24</v>
      </c>
      <c r="D6378" s="1" t="str">
        <f t="shared" si="11832"/>
        <v>2021</v>
      </c>
      <c r="E6378" s="1" t="str">
        <f t="shared" ref="E6378:P6378" si="11880">"0"</f>
        <v>0</v>
      </c>
      <c r="F6378" s="1" t="str">
        <f t="shared" si="11880"/>
        <v>0</v>
      </c>
      <c r="G6378" s="1" t="str">
        <f t="shared" si="11880"/>
        <v>0</v>
      </c>
      <c r="H6378" s="1" t="str">
        <f t="shared" si="11880"/>
        <v>0</v>
      </c>
      <c r="I6378" s="1" t="str">
        <f t="shared" si="11880"/>
        <v>0</v>
      </c>
      <c r="J6378" s="1" t="str">
        <f t="shared" si="11880"/>
        <v>0</v>
      </c>
      <c r="K6378" s="1" t="str">
        <f t="shared" si="11880"/>
        <v>0</v>
      </c>
      <c r="L6378" s="1" t="str">
        <f t="shared" si="11880"/>
        <v>0</v>
      </c>
      <c r="M6378" s="1" t="str">
        <f t="shared" si="11880"/>
        <v>0</v>
      </c>
      <c r="N6378" s="1" t="str">
        <f t="shared" si="11880"/>
        <v>0</v>
      </c>
      <c r="O6378" s="1" t="str">
        <f t="shared" si="11880"/>
        <v>0</v>
      </c>
      <c r="P6378" s="1" t="str">
        <f t="shared" si="11880"/>
        <v>0</v>
      </c>
      <c r="Q6378" s="1" t="str">
        <f t="shared" si="11834"/>
        <v>0.0070</v>
      </c>
      <c r="R6378" s="1" t="s">
        <v>25</v>
      </c>
      <c r="T6378" s="1" t="str">
        <f t="shared" si="11835"/>
        <v>0</v>
      </c>
      <c r="U6378" s="1" t="str">
        <f t="shared" si="11807"/>
        <v>0.0070</v>
      </c>
    </row>
    <row r="6379" s="1" customFormat="1" spans="1:21">
      <c r="A6379" s="1" t="str">
        <f>"4601992266766"</f>
        <v>4601992266766</v>
      </c>
      <c r="B6379" s="1" t="s">
        <v>6402</v>
      </c>
      <c r="C6379" s="1" t="s">
        <v>24</v>
      </c>
      <c r="D6379" s="1" t="str">
        <f t="shared" si="11832"/>
        <v>2021</v>
      </c>
      <c r="E6379" s="1" t="str">
        <f t="shared" ref="E6379:P6379" si="11881">"0"</f>
        <v>0</v>
      </c>
      <c r="F6379" s="1" t="str">
        <f t="shared" si="11881"/>
        <v>0</v>
      </c>
      <c r="G6379" s="1" t="str">
        <f t="shared" si="11881"/>
        <v>0</v>
      </c>
      <c r="H6379" s="1" t="str">
        <f t="shared" si="11881"/>
        <v>0</v>
      </c>
      <c r="I6379" s="1" t="str">
        <f t="shared" si="11881"/>
        <v>0</v>
      </c>
      <c r="J6379" s="1" t="str">
        <f t="shared" si="11881"/>
        <v>0</v>
      </c>
      <c r="K6379" s="1" t="str">
        <f t="shared" si="11881"/>
        <v>0</v>
      </c>
      <c r="L6379" s="1" t="str">
        <f t="shared" si="11881"/>
        <v>0</v>
      </c>
      <c r="M6379" s="1" t="str">
        <f t="shared" si="11881"/>
        <v>0</v>
      </c>
      <c r="N6379" s="1" t="str">
        <f t="shared" si="11881"/>
        <v>0</v>
      </c>
      <c r="O6379" s="1" t="str">
        <f t="shared" si="11881"/>
        <v>0</v>
      </c>
      <c r="P6379" s="1" t="str">
        <f t="shared" si="11881"/>
        <v>0</v>
      </c>
      <c r="Q6379" s="1" t="str">
        <f t="shared" si="11834"/>
        <v>0.0070</v>
      </c>
      <c r="R6379" s="1" t="s">
        <v>25</v>
      </c>
      <c r="T6379" s="1" t="str">
        <f t="shared" si="11835"/>
        <v>0</v>
      </c>
      <c r="U6379" s="1" t="str">
        <f t="shared" si="11807"/>
        <v>0.0070</v>
      </c>
    </row>
    <row r="6380" s="1" customFormat="1" spans="1:21">
      <c r="A6380" s="1" t="str">
        <f>"4601992266888"</f>
        <v>4601992266888</v>
      </c>
      <c r="B6380" s="1" t="s">
        <v>6403</v>
      </c>
      <c r="C6380" s="1" t="s">
        <v>24</v>
      </c>
      <c r="D6380" s="1" t="str">
        <f t="shared" si="11832"/>
        <v>2021</v>
      </c>
      <c r="E6380" s="1" t="str">
        <f t="shared" ref="E6380:P6380" si="11882">"0"</f>
        <v>0</v>
      </c>
      <c r="F6380" s="1" t="str">
        <f t="shared" si="11882"/>
        <v>0</v>
      </c>
      <c r="G6380" s="1" t="str">
        <f t="shared" si="11882"/>
        <v>0</v>
      </c>
      <c r="H6380" s="1" t="str">
        <f t="shared" si="11882"/>
        <v>0</v>
      </c>
      <c r="I6380" s="1" t="str">
        <f t="shared" si="11882"/>
        <v>0</v>
      </c>
      <c r="J6380" s="1" t="str">
        <f t="shared" si="11882"/>
        <v>0</v>
      </c>
      <c r="K6380" s="1" t="str">
        <f t="shared" si="11882"/>
        <v>0</v>
      </c>
      <c r="L6380" s="1" t="str">
        <f t="shared" si="11882"/>
        <v>0</v>
      </c>
      <c r="M6380" s="1" t="str">
        <f t="shared" si="11882"/>
        <v>0</v>
      </c>
      <c r="N6380" s="1" t="str">
        <f t="shared" si="11882"/>
        <v>0</v>
      </c>
      <c r="O6380" s="1" t="str">
        <f t="shared" si="11882"/>
        <v>0</v>
      </c>
      <c r="P6380" s="1" t="str">
        <f t="shared" si="11882"/>
        <v>0</v>
      </c>
      <c r="Q6380" s="1" t="str">
        <f t="shared" si="11834"/>
        <v>0.0070</v>
      </c>
      <c r="R6380" s="1" t="s">
        <v>25</v>
      </c>
      <c r="T6380" s="1" t="str">
        <f t="shared" si="11835"/>
        <v>0</v>
      </c>
      <c r="U6380" s="1" t="str">
        <f t="shared" si="11807"/>
        <v>0.0070</v>
      </c>
    </row>
    <row r="6381" s="1" customFormat="1" spans="1:21">
      <c r="A6381" s="1" t="str">
        <f>"4601992266915"</f>
        <v>4601992266915</v>
      </c>
      <c r="B6381" s="1" t="s">
        <v>6404</v>
      </c>
      <c r="C6381" s="1" t="s">
        <v>24</v>
      </c>
      <c r="D6381" s="1" t="str">
        <f t="shared" si="11832"/>
        <v>2021</v>
      </c>
      <c r="E6381" s="1" t="str">
        <f t="shared" ref="E6381:P6381" si="11883">"0"</f>
        <v>0</v>
      </c>
      <c r="F6381" s="1" t="str">
        <f t="shared" si="11883"/>
        <v>0</v>
      </c>
      <c r="G6381" s="1" t="str">
        <f t="shared" si="11883"/>
        <v>0</v>
      </c>
      <c r="H6381" s="1" t="str">
        <f t="shared" si="11883"/>
        <v>0</v>
      </c>
      <c r="I6381" s="1" t="str">
        <f t="shared" si="11883"/>
        <v>0</v>
      </c>
      <c r="J6381" s="1" t="str">
        <f t="shared" si="11883"/>
        <v>0</v>
      </c>
      <c r="K6381" s="1" t="str">
        <f t="shared" si="11883"/>
        <v>0</v>
      </c>
      <c r="L6381" s="1" t="str">
        <f t="shared" si="11883"/>
        <v>0</v>
      </c>
      <c r="M6381" s="1" t="str">
        <f t="shared" si="11883"/>
        <v>0</v>
      </c>
      <c r="N6381" s="1" t="str">
        <f t="shared" si="11883"/>
        <v>0</v>
      </c>
      <c r="O6381" s="1" t="str">
        <f t="shared" si="11883"/>
        <v>0</v>
      </c>
      <c r="P6381" s="1" t="str">
        <f t="shared" si="11883"/>
        <v>0</v>
      </c>
      <c r="Q6381" s="1" t="str">
        <f t="shared" si="11834"/>
        <v>0.0070</v>
      </c>
      <c r="R6381" s="1" t="s">
        <v>25</v>
      </c>
      <c r="T6381" s="1" t="str">
        <f t="shared" si="11835"/>
        <v>0</v>
      </c>
      <c r="U6381" s="1" t="str">
        <f t="shared" ref="U6381:U6444" si="11884">"0.0070"</f>
        <v>0.0070</v>
      </c>
    </row>
    <row r="6382" s="1" customFormat="1" spans="1:21">
      <c r="A6382" s="1" t="str">
        <f>"4601992267094"</f>
        <v>4601992267094</v>
      </c>
      <c r="B6382" s="1" t="s">
        <v>6405</v>
      </c>
      <c r="C6382" s="1" t="s">
        <v>24</v>
      </c>
      <c r="D6382" s="1" t="str">
        <f t="shared" si="11832"/>
        <v>2021</v>
      </c>
      <c r="E6382" s="1" t="str">
        <f t="shared" ref="E6382:P6382" si="11885">"0"</f>
        <v>0</v>
      </c>
      <c r="F6382" s="1" t="str">
        <f t="shared" si="11885"/>
        <v>0</v>
      </c>
      <c r="G6382" s="1" t="str">
        <f t="shared" si="11885"/>
        <v>0</v>
      </c>
      <c r="H6382" s="1" t="str">
        <f t="shared" si="11885"/>
        <v>0</v>
      </c>
      <c r="I6382" s="1" t="str">
        <f t="shared" si="11885"/>
        <v>0</v>
      </c>
      <c r="J6382" s="1" t="str">
        <f t="shared" si="11885"/>
        <v>0</v>
      </c>
      <c r="K6382" s="1" t="str">
        <f t="shared" si="11885"/>
        <v>0</v>
      </c>
      <c r="L6382" s="1" t="str">
        <f t="shared" si="11885"/>
        <v>0</v>
      </c>
      <c r="M6382" s="1" t="str">
        <f t="shared" si="11885"/>
        <v>0</v>
      </c>
      <c r="N6382" s="1" t="str">
        <f t="shared" si="11885"/>
        <v>0</v>
      </c>
      <c r="O6382" s="1" t="str">
        <f t="shared" si="11885"/>
        <v>0</v>
      </c>
      <c r="P6382" s="1" t="str">
        <f t="shared" si="11885"/>
        <v>0</v>
      </c>
      <c r="Q6382" s="1" t="str">
        <f t="shared" si="11834"/>
        <v>0.0070</v>
      </c>
      <c r="R6382" s="1" t="s">
        <v>25</v>
      </c>
      <c r="T6382" s="1" t="str">
        <f t="shared" si="11835"/>
        <v>0</v>
      </c>
      <c r="U6382" s="1" t="str">
        <f t="shared" si="11884"/>
        <v>0.0070</v>
      </c>
    </row>
    <row r="6383" s="1" customFormat="1" spans="1:21">
      <c r="A6383" s="1" t="str">
        <f>"4601992267249"</f>
        <v>4601992267249</v>
      </c>
      <c r="B6383" s="1" t="s">
        <v>6406</v>
      </c>
      <c r="C6383" s="1" t="s">
        <v>24</v>
      </c>
      <c r="D6383" s="1" t="str">
        <f t="shared" si="11832"/>
        <v>2021</v>
      </c>
      <c r="E6383" s="1" t="str">
        <f t="shared" ref="E6383:P6383" si="11886">"0"</f>
        <v>0</v>
      </c>
      <c r="F6383" s="1" t="str">
        <f t="shared" si="11886"/>
        <v>0</v>
      </c>
      <c r="G6383" s="1" t="str">
        <f t="shared" si="11886"/>
        <v>0</v>
      </c>
      <c r="H6383" s="1" t="str">
        <f t="shared" si="11886"/>
        <v>0</v>
      </c>
      <c r="I6383" s="1" t="str">
        <f t="shared" si="11886"/>
        <v>0</v>
      </c>
      <c r="J6383" s="1" t="str">
        <f t="shared" si="11886"/>
        <v>0</v>
      </c>
      <c r="K6383" s="1" t="str">
        <f t="shared" si="11886"/>
        <v>0</v>
      </c>
      <c r="L6383" s="1" t="str">
        <f t="shared" si="11886"/>
        <v>0</v>
      </c>
      <c r="M6383" s="1" t="str">
        <f t="shared" si="11886"/>
        <v>0</v>
      </c>
      <c r="N6383" s="1" t="str">
        <f t="shared" si="11886"/>
        <v>0</v>
      </c>
      <c r="O6383" s="1" t="str">
        <f t="shared" si="11886"/>
        <v>0</v>
      </c>
      <c r="P6383" s="1" t="str">
        <f t="shared" si="11886"/>
        <v>0</v>
      </c>
      <c r="Q6383" s="1" t="str">
        <f t="shared" si="11834"/>
        <v>0.0070</v>
      </c>
      <c r="R6383" s="1" t="s">
        <v>25</v>
      </c>
      <c r="T6383" s="1" t="str">
        <f t="shared" si="11835"/>
        <v>0</v>
      </c>
      <c r="U6383" s="1" t="str">
        <f t="shared" si="11884"/>
        <v>0.0070</v>
      </c>
    </row>
    <row r="6384" s="1" customFormat="1" spans="1:21">
      <c r="A6384" s="1" t="str">
        <f>"4601992267336"</f>
        <v>4601992267336</v>
      </c>
      <c r="B6384" s="1" t="s">
        <v>6407</v>
      </c>
      <c r="C6384" s="1" t="s">
        <v>24</v>
      </c>
      <c r="D6384" s="1" t="str">
        <f t="shared" si="11832"/>
        <v>2021</v>
      </c>
      <c r="E6384" s="1" t="str">
        <f t="shared" ref="E6384:P6384" si="11887">"0"</f>
        <v>0</v>
      </c>
      <c r="F6384" s="1" t="str">
        <f t="shared" si="11887"/>
        <v>0</v>
      </c>
      <c r="G6384" s="1" t="str">
        <f t="shared" si="11887"/>
        <v>0</v>
      </c>
      <c r="H6384" s="1" t="str">
        <f t="shared" si="11887"/>
        <v>0</v>
      </c>
      <c r="I6384" s="1" t="str">
        <f t="shared" si="11887"/>
        <v>0</v>
      </c>
      <c r="J6384" s="1" t="str">
        <f t="shared" si="11887"/>
        <v>0</v>
      </c>
      <c r="K6384" s="1" t="str">
        <f t="shared" si="11887"/>
        <v>0</v>
      </c>
      <c r="L6384" s="1" t="str">
        <f t="shared" si="11887"/>
        <v>0</v>
      </c>
      <c r="M6384" s="1" t="str">
        <f t="shared" si="11887"/>
        <v>0</v>
      </c>
      <c r="N6384" s="1" t="str">
        <f t="shared" si="11887"/>
        <v>0</v>
      </c>
      <c r="O6384" s="1" t="str">
        <f t="shared" si="11887"/>
        <v>0</v>
      </c>
      <c r="P6384" s="1" t="str">
        <f t="shared" si="11887"/>
        <v>0</v>
      </c>
      <c r="Q6384" s="1" t="str">
        <f t="shared" si="11834"/>
        <v>0.0070</v>
      </c>
      <c r="R6384" s="1" t="s">
        <v>25</v>
      </c>
      <c r="T6384" s="1" t="str">
        <f t="shared" si="11835"/>
        <v>0</v>
      </c>
      <c r="U6384" s="1" t="str">
        <f t="shared" si="11884"/>
        <v>0.0070</v>
      </c>
    </row>
    <row r="6385" s="1" customFormat="1" spans="1:21">
      <c r="A6385" s="1" t="str">
        <f>"4601992266982"</f>
        <v>4601992266982</v>
      </c>
      <c r="B6385" s="1" t="s">
        <v>6408</v>
      </c>
      <c r="C6385" s="1" t="s">
        <v>24</v>
      </c>
      <c r="D6385" s="1" t="str">
        <f t="shared" si="11832"/>
        <v>2021</v>
      </c>
      <c r="E6385" s="1" t="str">
        <f t="shared" ref="E6385:I6385" si="11888">"0"</f>
        <v>0</v>
      </c>
      <c r="F6385" s="1" t="str">
        <f t="shared" si="11888"/>
        <v>0</v>
      </c>
      <c r="G6385" s="1" t="str">
        <f t="shared" si="11888"/>
        <v>0</v>
      </c>
      <c r="H6385" s="1" t="str">
        <f t="shared" si="11888"/>
        <v>0</v>
      </c>
      <c r="I6385" s="1" t="str">
        <f t="shared" si="11888"/>
        <v>0</v>
      </c>
      <c r="J6385" s="1" t="str">
        <f>"1"</f>
        <v>1</v>
      </c>
      <c r="K6385" s="1" t="str">
        <f t="shared" ref="K6385:P6385" si="11889">"0"</f>
        <v>0</v>
      </c>
      <c r="L6385" s="1" t="str">
        <f t="shared" si="11889"/>
        <v>0</v>
      </c>
      <c r="M6385" s="1" t="str">
        <f t="shared" si="11889"/>
        <v>0</v>
      </c>
      <c r="N6385" s="1" t="str">
        <f t="shared" si="11889"/>
        <v>0</v>
      </c>
      <c r="O6385" s="1" t="str">
        <f t="shared" si="11889"/>
        <v>0</v>
      </c>
      <c r="P6385" s="1" t="str">
        <f t="shared" si="11889"/>
        <v>0</v>
      </c>
      <c r="Q6385" s="1" t="str">
        <f t="shared" si="11834"/>
        <v>0.0070</v>
      </c>
      <c r="R6385" s="1" t="s">
        <v>25</v>
      </c>
      <c r="T6385" s="1" t="str">
        <f t="shared" si="11835"/>
        <v>0</v>
      </c>
      <c r="U6385" s="1" t="str">
        <f t="shared" si="11884"/>
        <v>0.0070</v>
      </c>
    </row>
    <row r="6386" s="1" customFormat="1" spans="1:21">
      <c r="A6386" s="1" t="str">
        <f>"4601992267408"</f>
        <v>4601992267408</v>
      </c>
      <c r="B6386" s="1" t="s">
        <v>6409</v>
      </c>
      <c r="C6386" s="1" t="s">
        <v>24</v>
      </c>
      <c r="D6386" s="1" t="str">
        <f t="shared" si="11832"/>
        <v>2021</v>
      </c>
      <c r="E6386" s="1" t="str">
        <f t="shared" ref="E6386:P6386" si="11890">"0"</f>
        <v>0</v>
      </c>
      <c r="F6386" s="1" t="str">
        <f t="shared" si="11890"/>
        <v>0</v>
      </c>
      <c r="G6386" s="1" t="str">
        <f t="shared" si="11890"/>
        <v>0</v>
      </c>
      <c r="H6386" s="1" t="str">
        <f t="shared" si="11890"/>
        <v>0</v>
      </c>
      <c r="I6386" s="1" t="str">
        <f t="shared" si="11890"/>
        <v>0</v>
      </c>
      <c r="J6386" s="1" t="str">
        <f t="shared" si="11890"/>
        <v>0</v>
      </c>
      <c r="K6386" s="1" t="str">
        <f t="shared" si="11890"/>
        <v>0</v>
      </c>
      <c r="L6386" s="1" t="str">
        <f t="shared" si="11890"/>
        <v>0</v>
      </c>
      <c r="M6386" s="1" t="str">
        <f t="shared" si="11890"/>
        <v>0</v>
      </c>
      <c r="N6386" s="1" t="str">
        <f t="shared" si="11890"/>
        <v>0</v>
      </c>
      <c r="O6386" s="1" t="str">
        <f t="shared" si="11890"/>
        <v>0</v>
      </c>
      <c r="P6386" s="1" t="str">
        <f t="shared" si="11890"/>
        <v>0</v>
      </c>
      <c r="Q6386" s="1" t="str">
        <f t="shared" si="11834"/>
        <v>0.0070</v>
      </c>
      <c r="R6386" s="1" t="s">
        <v>25</v>
      </c>
      <c r="T6386" s="1" t="str">
        <f t="shared" si="11835"/>
        <v>0</v>
      </c>
      <c r="U6386" s="1" t="str">
        <f t="shared" si="11884"/>
        <v>0.0070</v>
      </c>
    </row>
    <row r="6387" s="1" customFormat="1" spans="1:21">
      <c r="A6387" s="1" t="str">
        <f>"4601992267442"</f>
        <v>4601992267442</v>
      </c>
      <c r="B6387" s="1" t="s">
        <v>6410</v>
      </c>
      <c r="C6387" s="1" t="s">
        <v>24</v>
      </c>
      <c r="D6387" s="1" t="str">
        <f t="shared" si="11832"/>
        <v>2021</v>
      </c>
      <c r="E6387" s="1" t="str">
        <f t="shared" ref="E6387:P6387" si="11891">"0"</f>
        <v>0</v>
      </c>
      <c r="F6387" s="1" t="str">
        <f t="shared" si="11891"/>
        <v>0</v>
      </c>
      <c r="G6387" s="1" t="str">
        <f t="shared" si="11891"/>
        <v>0</v>
      </c>
      <c r="H6387" s="1" t="str">
        <f t="shared" si="11891"/>
        <v>0</v>
      </c>
      <c r="I6387" s="1" t="str">
        <f t="shared" si="11891"/>
        <v>0</v>
      </c>
      <c r="J6387" s="1" t="str">
        <f t="shared" si="11891"/>
        <v>0</v>
      </c>
      <c r="K6387" s="1" t="str">
        <f t="shared" si="11891"/>
        <v>0</v>
      </c>
      <c r="L6387" s="1" t="str">
        <f t="shared" si="11891"/>
        <v>0</v>
      </c>
      <c r="M6387" s="1" t="str">
        <f t="shared" si="11891"/>
        <v>0</v>
      </c>
      <c r="N6387" s="1" t="str">
        <f t="shared" si="11891"/>
        <v>0</v>
      </c>
      <c r="O6387" s="1" t="str">
        <f t="shared" si="11891"/>
        <v>0</v>
      </c>
      <c r="P6387" s="1" t="str">
        <f t="shared" si="11891"/>
        <v>0</v>
      </c>
      <c r="Q6387" s="1" t="str">
        <f t="shared" si="11834"/>
        <v>0.0070</v>
      </c>
      <c r="R6387" s="1" t="s">
        <v>25</v>
      </c>
      <c r="T6387" s="1" t="str">
        <f t="shared" si="11835"/>
        <v>0</v>
      </c>
      <c r="U6387" s="1" t="str">
        <f t="shared" si="11884"/>
        <v>0.0070</v>
      </c>
    </row>
    <row r="6388" s="1" customFormat="1" spans="1:21">
      <c r="A6388" s="1" t="str">
        <f>"4601992267461"</f>
        <v>4601992267461</v>
      </c>
      <c r="B6388" s="1" t="s">
        <v>6411</v>
      </c>
      <c r="C6388" s="1" t="s">
        <v>24</v>
      </c>
      <c r="D6388" s="1" t="str">
        <f t="shared" si="11832"/>
        <v>2021</v>
      </c>
      <c r="E6388" s="1" t="str">
        <f t="shared" ref="E6388:P6388" si="11892">"0"</f>
        <v>0</v>
      </c>
      <c r="F6388" s="1" t="str">
        <f t="shared" si="11892"/>
        <v>0</v>
      </c>
      <c r="G6388" s="1" t="str">
        <f t="shared" si="11892"/>
        <v>0</v>
      </c>
      <c r="H6388" s="1" t="str">
        <f t="shared" si="11892"/>
        <v>0</v>
      </c>
      <c r="I6388" s="1" t="str">
        <f t="shared" si="11892"/>
        <v>0</v>
      </c>
      <c r="J6388" s="1" t="str">
        <f t="shared" si="11892"/>
        <v>0</v>
      </c>
      <c r="K6388" s="1" t="str">
        <f t="shared" si="11892"/>
        <v>0</v>
      </c>
      <c r="L6388" s="1" t="str">
        <f t="shared" si="11892"/>
        <v>0</v>
      </c>
      <c r="M6388" s="1" t="str">
        <f t="shared" si="11892"/>
        <v>0</v>
      </c>
      <c r="N6388" s="1" t="str">
        <f t="shared" si="11892"/>
        <v>0</v>
      </c>
      <c r="O6388" s="1" t="str">
        <f t="shared" si="11892"/>
        <v>0</v>
      </c>
      <c r="P6388" s="1" t="str">
        <f t="shared" si="11892"/>
        <v>0</v>
      </c>
      <c r="Q6388" s="1" t="str">
        <f t="shared" si="11834"/>
        <v>0.0070</v>
      </c>
      <c r="R6388" s="1" t="s">
        <v>25</v>
      </c>
      <c r="T6388" s="1" t="str">
        <f t="shared" si="11835"/>
        <v>0</v>
      </c>
      <c r="U6388" s="1" t="str">
        <f t="shared" si="11884"/>
        <v>0.0070</v>
      </c>
    </row>
    <row r="6389" s="1" customFormat="1" spans="1:21">
      <c r="A6389" s="1" t="str">
        <f>"4601992267722"</f>
        <v>4601992267722</v>
      </c>
      <c r="B6389" s="1" t="s">
        <v>6412</v>
      </c>
      <c r="C6389" s="1" t="s">
        <v>24</v>
      </c>
      <c r="D6389" s="1" t="str">
        <f t="shared" si="11832"/>
        <v>2021</v>
      </c>
      <c r="E6389" s="1" t="str">
        <f t="shared" ref="E6389:P6389" si="11893">"0"</f>
        <v>0</v>
      </c>
      <c r="F6389" s="1" t="str">
        <f t="shared" si="11893"/>
        <v>0</v>
      </c>
      <c r="G6389" s="1" t="str">
        <f t="shared" si="11893"/>
        <v>0</v>
      </c>
      <c r="H6389" s="1" t="str">
        <f t="shared" si="11893"/>
        <v>0</v>
      </c>
      <c r="I6389" s="1" t="str">
        <f t="shared" si="11893"/>
        <v>0</v>
      </c>
      <c r="J6389" s="1" t="str">
        <f t="shared" si="11893"/>
        <v>0</v>
      </c>
      <c r="K6389" s="1" t="str">
        <f t="shared" si="11893"/>
        <v>0</v>
      </c>
      <c r="L6389" s="1" t="str">
        <f t="shared" si="11893"/>
        <v>0</v>
      </c>
      <c r="M6389" s="1" t="str">
        <f t="shared" si="11893"/>
        <v>0</v>
      </c>
      <c r="N6389" s="1" t="str">
        <f t="shared" si="11893"/>
        <v>0</v>
      </c>
      <c r="O6389" s="1" t="str">
        <f t="shared" si="11893"/>
        <v>0</v>
      </c>
      <c r="P6389" s="1" t="str">
        <f t="shared" si="11893"/>
        <v>0</v>
      </c>
      <c r="Q6389" s="1" t="str">
        <f t="shared" si="11834"/>
        <v>0.0070</v>
      </c>
      <c r="R6389" s="1" t="s">
        <v>25</v>
      </c>
      <c r="T6389" s="1" t="str">
        <f t="shared" si="11835"/>
        <v>0</v>
      </c>
      <c r="U6389" s="1" t="str">
        <f t="shared" si="11884"/>
        <v>0.0070</v>
      </c>
    </row>
    <row r="6390" s="1" customFormat="1" spans="1:21">
      <c r="A6390" s="1" t="str">
        <f>"4601992267433"</f>
        <v>4601992267433</v>
      </c>
      <c r="B6390" s="1" t="s">
        <v>6413</v>
      </c>
      <c r="C6390" s="1" t="s">
        <v>24</v>
      </c>
      <c r="D6390" s="1" t="str">
        <f t="shared" si="11832"/>
        <v>2021</v>
      </c>
      <c r="E6390" s="1" t="str">
        <f t="shared" ref="E6390:I6390" si="11894">"0"</f>
        <v>0</v>
      </c>
      <c r="F6390" s="1" t="str">
        <f t="shared" si="11894"/>
        <v>0</v>
      </c>
      <c r="G6390" s="1" t="str">
        <f t="shared" si="11894"/>
        <v>0</v>
      </c>
      <c r="H6390" s="1" t="str">
        <f t="shared" si="11894"/>
        <v>0</v>
      </c>
      <c r="I6390" s="1" t="str">
        <f t="shared" si="11894"/>
        <v>0</v>
      </c>
      <c r="J6390" s="1" t="str">
        <f>"5"</f>
        <v>5</v>
      </c>
      <c r="K6390" s="1" t="str">
        <f t="shared" ref="K6390:P6390" si="11895">"0"</f>
        <v>0</v>
      </c>
      <c r="L6390" s="1" t="str">
        <f t="shared" si="11895"/>
        <v>0</v>
      </c>
      <c r="M6390" s="1" t="str">
        <f t="shared" si="11895"/>
        <v>0</v>
      </c>
      <c r="N6390" s="1" t="str">
        <f t="shared" si="11895"/>
        <v>0</v>
      </c>
      <c r="O6390" s="1" t="str">
        <f t="shared" si="11895"/>
        <v>0</v>
      </c>
      <c r="P6390" s="1" t="str">
        <f t="shared" si="11895"/>
        <v>0</v>
      </c>
      <c r="Q6390" s="1" t="str">
        <f t="shared" si="11834"/>
        <v>0.0070</v>
      </c>
      <c r="R6390" s="1" t="s">
        <v>25</v>
      </c>
      <c r="T6390" s="1" t="str">
        <f t="shared" si="11835"/>
        <v>0</v>
      </c>
      <c r="U6390" s="1" t="str">
        <f t="shared" si="11884"/>
        <v>0.0070</v>
      </c>
    </row>
    <row r="6391" s="1" customFormat="1" spans="1:21">
      <c r="A6391" s="1" t="str">
        <f>"4601992268564"</f>
        <v>4601992268564</v>
      </c>
      <c r="B6391" s="1" t="s">
        <v>6414</v>
      </c>
      <c r="C6391" s="1" t="s">
        <v>24</v>
      </c>
      <c r="D6391" s="1" t="str">
        <f t="shared" si="11832"/>
        <v>2021</v>
      </c>
      <c r="E6391" s="1" t="str">
        <f t="shared" ref="E6391:P6391" si="11896">"0"</f>
        <v>0</v>
      </c>
      <c r="F6391" s="1" t="str">
        <f t="shared" si="11896"/>
        <v>0</v>
      </c>
      <c r="G6391" s="1" t="str">
        <f t="shared" si="11896"/>
        <v>0</v>
      </c>
      <c r="H6391" s="1" t="str">
        <f t="shared" si="11896"/>
        <v>0</v>
      </c>
      <c r="I6391" s="1" t="str">
        <f t="shared" si="11896"/>
        <v>0</v>
      </c>
      <c r="J6391" s="1" t="str">
        <f t="shared" si="11896"/>
        <v>0</v>
      </c>
      <c r="K6391" s="1" t="str">
        <f t="shared" si="11896"/>
        <v>0</v>
      </c>
      <c r="L6391" s="1" t="str">
        <f t="shared" si="11896"/>
        <v>0</v>
      </c>
      <c r="M6391" s="1" t="str">
        <f t="shared" si="11896"/>
        <v>0</v>
      </c>
      <c r="N6391" s="1" t="str">
        <f t="shared" si="11896"/>
        <v>0</v>
      </c>
      <c r="O6391" s="1" t="str">
        <f t="shared" si="11896"/>
        <v>0</v>
      </c>
      <c r="P6391" s="1" t="str">
        <f t="shared" si="11896"/>
        <v>0</v>
      </c>
      <c r="Q6391" s="1" t="str">
        <f t="shared" si="11834"/>
        <v>0.0070</v>
      </c>
      <c r="R6391" s="1" t="s">
        <v>25</v>
      </c>
      <c r="T6391" s="1" t="str">
        <f t="shared" si="11835"/>
        <v>0</v>
      </c>
      <c r="U6391" s="1" t="str">
        <f t="shared" si="11884"/>
        <v>0.0070</v>
      </c>
    </row>
    <row r="6392" s="1" customFormat="1" spans="1:21">
      <c r="A6392" s="1" t="str">
        <f>"4601992268619"</f>
        <v>4601992268619</v>
      </c>
      <c r="B6392" s="1" t="s">
        <v>6415</v>
      </c>
      <c r="C6392" s="1" t="s">
        <v>24</v>
      </c>
      <c r="D6392" s="1" t="str">
        <f t="shared" si="11832"/>
        <v>2021</v>
      </c>
      <c r="E6392" s="1" t="str">
        <f t="shared" ref="E6392:P6392" si="11897">"0"</f>
        <v>0</v>
      </c>
      <c r="F6392" s="1" t="str">
        <f t="shared" si="11897"/>
        <v>0</v>
      </c>
      <c r="G6392" s="1" t="str">
        <f t="shared" si="11897"/>
        <v>0</v>
      </c>
      <c r="H6392" s="1" t="str">
        <f t="shared" si="11897"/>
        <v>0</v>
      </c>
      <c r="I6392" s="1" t="str">
        <f t="shared" si="11897"/>
        <v>0</v>
      </c>
      <c r="J6392" s="1" t="str">
        <f t="shared" si="11897"/>
        <v>0</v>
      </c>
      <c r="K6392" s="1" t="str">
        <f t="shared" si="11897"/>
        <v>0</v>
      </c>
      <c r="L6392" s="1" t="str">
        <f t="shared" si="11897"/>
        <v>0</v>
      </c>
      <c r="M6392" s="1" t="str">
        <f t="shared" si="11897"/>
        <v>0</v>
      </c>
      <c r="N6392" s="1" t="str">
        <f t="shared" si="11897"/>
        <v>0</v>
      </c>
      <c r="O6392" s="1" t="str">
        <f t="shared" si="11897"/>
        <v>0</v>
      </c>
      <c r="P6392" s="1" t="str">
        <f t="shared" si="11897"/>
        <v>0</v>
      </c>
      <c r="Q6392" s="1" t="str">
        <f t="shared" si="11834"/>
        <v>0.0070</v>
      </c>
      <c r="R6392" s="1" t="s">
        <v>25</v>
      </c>
      <c r="T6392" s="1" t="str">
        <f t="shared" si="11835"/>
        <v>0</v>
      </c>
      <c r="U6392" s="1" t="str">
        <f t="shared" si="11884"/>
        <v>0.0070</v>
      </c>
    </row>
    <row r="6393" s="1" customFormat="1" spans="1:21">
      <c r="A6393" s="1" t="str">
        <f>"4601992268703"</f>
        <v>4601992268703</v>
      </c>
      <c r="B6393" s="1" t="s">
        <v>6416</v>
      </c>
      <c r="C6393" s="1" t="s">
        <v>24</v>
      </c>
      <c r="D6393" s="1" t="str">
        <f t="shared" si="11832"/>
        <v>2021</v>
      </c>
      <c r="E6393" s="1" t="str">
        <f t="shared" ref="E6393:P6393" si="11898">"0"</f>
        <v>0</v>
      </c>
      <c r="F6393" s="1" t="str">
        <f t="shared" si="11898"/>
        <v>0</v>
      </c>
      <c r="G6393" s="1" t="str">
        <f t="shared" si="11898"/>
        <v>0</v>
      </c>
      <c r="H6393" s="1" t="str">
        <f t="shared" si="11898"/>
        <v>0</v>
      </c>
      <c r="I6393" s="1" t="str">
        <f t="shared" si="11898"/>
        <v>0</v>
      </c>
      <c r="J6393" s="1" t="str">
        <f t="shared" si="11898"/>
        <v>0</v>
      </c>
      <c r="K6393" s="1" t="str">
        <f t="shared" si="11898"/>
        <v>0</v>
      </c>
      <c r="L6393" s="1" t="str">
        <f t="shared" si="11898"/>
        <v>0</v>
      </c>
      <c r="M6393" s="1" t="str">
        <f t="shared" si="11898"/>
        <v>0</v>
      </c>
      <c r="N6393" s="1" t="str">
        <f t="shared" si="11898"/>
        <v>0</v>
      </c>
      <c r="O6393" s="1" t="str">
        <f t="shared" si="11898"/>
        <v>0</v>
      </c>
      <c r="P6393" s="1" t="str">
        <f t="shared" si="11898"/>
        <v>0</v>
      </c>
      <c r="Q6393" s="1" t="str">
        <f t="shared" si="11834"/>
        <v>0.0070</v>
      </c>
      <c r="R6393" s="1" t="s">
        <v>25</v>
      </c>
      <c r="T6393" s="1" t="str">
        <f t="shared" si="11835"/>
        <v>0</v>
      </c>
      <c r="U6393" s="1" t="str">
        <f t="shared" si="11884"/>
        <v>0.0070</v>
      </c>
    </row>
    <row r="6394" s="1" customFormat="1" spans="1:21">
      <c r="A6394" s="1" t="str">
        <f>"4601992268669"</f>
        <v>4601992268669</v>
      </c>
      <c r="B6394" s="1" t="s">
        <v>6417</v>
      </c>
      <c r="C6394" s="1" t="s">
        <v>24</v>
      </c>
      <c r="D6394" s="1" t="str">
        <f t="shared" si="11832"/>
        <v>2021</v>
      </c>
      <c r="E6394" s="1" t="str">
        <f t="shared" ref="E6394:I6394" si="11899">"0"</f>
        <v>0</v>
      </c>
      <c r="F6394" s="1" t="str">
        <f t="shared" si="11899"/>
        <v>0</v>
      </c>
      <c r="G6394" s="1" t="str">
        <f t="shared" si="11899"/>
        <v>0</v>
      </c>
      <c r="H6394" s="1" t="str">
        <f t="shared" si="11899"/>
        <v>0</v>
      </c>
      <c r="I6394" s="1" t="str">
        <f t="shared" si="11899"/>
        <v>0</v>
      </c>
      <c r="J6394" s="1" t="str">
        <f>"6"</f>
        <v>6</v>
      </c>
      <c r="K6394" s="1" t="str">
        <f t="shared" ref="K6394:P6394" si="11900">"0"</f>
        <v>0</v>
      </c>
      <c r="L6394" s="1" t="str">
        <f t="shared" si="11900"/>
        <v>0</v>
      </c>
      <c r="M6394" s="1" t="str">
        <f t="shared" si="11900"/>
        <v>0</v>
      </c>
      <c r="N6394" s="1" t="str">
        <f t="shared" si="11900"/>
        <v>0</v>
      </c>
      <c r="O6394" s="1" t="str">
        <f t="shared" si="11900"/>
        <v>0</v>
      </c>
      <c r="P6394" s="1" t="str">
        <f t="shared" si="11900"/>
        <v>0</v>
      </c>
      <c r="Q6394" s="1" t="str">
        <f t="shared" si="11834"/>
        <v>0.0070</v>
      </c>
      <c r="R6394" s="1" t="s">
        <v>25</v>
      </c>
      <c r="T6394" s="1" t="str">
        <f t="shared" si="11835"/>
        <v>0</v>
      </c>
      <c r="U6394" s="1" t="str">
        <f t="shared" si="11884"/>
        <v>0.0070</v>
      </c>
    </row>
    <row r="6395" s="1" customFormat="1" spans="1:21">
      <c r="A6395" s="1" t="str">
        <f>"4601992268796"</f>
        <v>4601992268796</v>
      </c>
      <c r="B6395" s="1" t="s">
        <v>6418</v>
      </c>
      <c r="C6395" s="1" t="s">
        <v>24</v>
      </c>
      <c r="D6395" s="1" t="str">
        <f t="shared" si="11832"/>
        <v>2021</v>
      </c>
      <c r="E6395" s="1" t="str">
        <f t="shared" ref="E6395:P6395" si="11901">"0"</f>
        <v>0</v>
      </c>
      <c r="F6395" s="1" t="str">
        <f t="shared" si="11901"/>
        <v>0</v>
      </c>
      <c r="G6395" s="1" t="str">
        <f t="shared" si="11901"/>
        <v>0</v>
      </c>
      <c r="H6395" s="1" t="str">
        <f t="shared" si="11901"/>
        <v>0</v>
      </c>
      <c r="I6395" s="1" t="str">
        <f t="shared" si="11901"/>
        <v>0</v>
      </c>
      <c r="J6395" s="1" t="str">
        <f t="shared" si="11901"/>
        <v>0</v>
      </c>
      <c r="K6395" s="1" t="str">
        <f t="shared" si="11901"/>
        <v>0</v>
      </c>
      <c r="L6395" s="1" t="str">
        <f t="shared" si="11901"/>
        <v>0</v>
      </c>
      <c r="M6395" s="1" t="str">
        <f t="shared" si="11901"/>
        <v>0</v>
      </c>
      <c r="N6395" s="1" t="str">
        <f t="shared" si="11901"/>
        <v>0</v>
      </c>
      <c r="O6395" s="1" t="str">
        <f t="shared" si="11901"/>
        <v>0</v>
      </c>
      <c r="P6395" s="1" t="str">
        <f t="shared" si="11901"/>
        <v>0</v>
      </c>
      <c r="Q6395" s="1" t="str">
        <f t="shared" si="11834"/>
        <v>0.0070</v>
      </c>
      <c r="R6395" s="1" t="s">
        <v>25</v>
      </c>
      <c r="T6395" s="1" t="str">
        <f t="shared" si="11835"/>
        <v>0</v>
      </c>
      <c r="U6395" s="1" t="str">
        <f t="shared" si="11884"/>
        <v>0.0070</v>
      </c>
    </row>
    <row r="6396" s="1" customFormat="1" spans="1:21">
      <c r="A6396" s="1" t="str">
        <f>"4601992268672"</f>
        <v>4601992268672</v>
      </c>
      <c r="B6396" s="1" t="s">
        <v>6419</v>
      </c>
      <c r="C6396" s="1" t="s">
        <v>24</v>
      </c>
      <c r="D6396" s="1" t="str">
        <f t="shared" si="11832"/>
        <v>2021</v>
      </c>
      <c r="E6396" s="1" t="str">
        <f t="shared" ref="E6396:I6396" si="11902">"0"</f>
        <v>0</v>
      </c>
      <c r="F6396" s="1" t="str">
        <f t="shared" si="11902"/>
        <v>0</v>
      </c>
      <c r="G6396" s="1" t="str">
        <f t="shared" si="11902"/>
        <v>0</v>
      </c>
      <c r="H6396" s="1" t="str">
        <f t="shared" si="11902"/>
        <v>0</v>
      </c>
      <c r="I6396" s="1" t="str">
        <f t="shared" si="11902"/>
        <v>0</v>
      </c>
      <c r="J6396" s="1" t="str">
        <f>"3"</f>
        <v>3</v>
      </c>
      <c r="K6396" s="1" t="str">
        <f t="shared" ref="K6396:P6396" si="11903">"0"</f>
        <v>0</v>
      </c>
      <c r="L6396" s="1" t="str">
        <f t="shared" si="11903"/>
        <v>0</v>
      </c>
      <c r="M6396" s="1" t="str">
        <f t="shared" si="11903"/>
        <v>0</v>
      </c>
      <c r="N6396" s="1" t="str">
        <f t="shared" si="11903"/>
        <v>0</v>
      </c>
      <c r="O6396" s="1" t="str">
        <f t="shared" si="11903"/>
        <v>0</v>
      </c>
      <c r="P6396" s="1" t="str">
        <f t="shared" si="11903"/>
        <v>0</v>
      </c>
      <c r="Q6396" s="1" t="str">
        <f t="shared" si="11834"/>
        <v>0.0070</v>
      </c>
      <c r="R6396" s="1" t="s">
        <v>25</v>
      </c>
      <c r="T6396" s="1" t="str">
        <f t="shared" si="11835"/>
        <v>0</v>
      </c>
      <c r="U6396" s="1" t="str">
        <f t="shared" si="11884"/>
        <v>0.0070</v>
      </c>
    </row>
    <row r="6397" s="1" customFormat="1" spans="1:21">
      <c r="A6397" s="1" t="str">
        <f>"4601992268810"</f>
        <v>4601992268810</v>
      </c>
      <c r="B6397" s="1" t="s">
        <v>6420</v>
      </c>
      <c r="C6397" s="1" t="s">
        <v>24</v>
      </c>
      <c r="D6397" s="1" t="str">
        <f t="shared" si="11832"/>
        <v>2021</v>
      </c>
      <c r="E6397" s="1" t="str">
        <f t="shared" ref="E6397:P6397" si="11904">"0"</f>
        <v>0</v>
      </c>
      <c r="F6397" s="1" t="str">
        <f t="shared" si="11904"/>
        <v>0</v>
      </c>
      <c r="G6397" s="1" t="str">
        <f t="shared" si="11904"/>
        <v>0</v>
      </c>
      <c r="H6397" s="1" t="str">
        <f t="shared" si="11904"/>
        <v>0</v>
      </c>
      <c r="I6397" s="1" t="str">
        <f t="shared" si="11904"/>
        <v>0</v>
      </c>
      <c r="J6397" s="1" t="str">
        <f t="shared" si="11904"/>
        <v>0</v>
      </c>
      <c r="K6397" s="1" t="str">
        <f t="shared" si="11904"/>
        <v>0</v>
      </c>
      <c r="L6397" s="1" t="str">
        <f t="shared" si="11904"/>
        <v>0</v>
      </c>
      <c r="M6397" s="1" t="str">
        <f t="shared" si="11904"/>
        <v>0</v>
      </c>
      <c r="N6397" s="1" t="str">
        <f t="shared" si="11904"/>
        <v>0</v>
      </c>
      <c r="O6397" s="1" t="str">
        <f t="shared" si="11904"/>
        <v>0</v>
      </c>
      <c r="P6397" s="1" t="str">
        <f t="shared" si="11904"/>
        <v>0</v>
      </c>
      <c r="Q6397" s="1" t="str">
        <f t="shared" si="11834"/>
        <v>0.0070</v>
      </c>
      <c r="R6397" s="1" t="s">
        <v>25</v>
      </c>
      <c r="T6397" s="1" t="str">
        <f t="shared" si="11835"/>
        <v>0</v>
      </c>
      <c r="U6397" s="1" t="str">
        <f t="shared" si="11884"/>
        <v>0.0070</v>
      </c>
    </row>
    <row r="6398" s="1" customFormat="1" spans="1:21">
      <c r="A6398" s="1" t="str">
        <f>"4601992268782"</f>
        <v>4601992268782</v>
      </c>
      <c r="B6398" s="1" t="s">
        <v>6421</v>
      </c>
      <c r="C6398" s="1" t="s">
        <v>24</v>
      </c>
      <c r="D6398" s="1" t="str">
        <f t="shared" si="11832"/>
        <v>2021</v>
      </c>
      <c r="E6398" s="1" t="str">
        <f t="shared" ref="E6398:I6398" si="11905">"0"</f>
        <v>0</v>
      </c>
      <c r="F6398" s="1" t="str">
        <f t="shared" si="11905"/>
        <v>0</v>
      </c>
      <c r="G6398" s="1" t="str">
        <f t="shared" si="11905"/>
        <v>0</v>
      </c>
      <c r="H6398" s="1" t="str">
        <f t="shared" si="11905"/>
        <v>0</v>
      </c>
      <c r="I6398" s="1" t="str">
        <f t="shared" si="11905"/>
        <v>0</v>
      </c>
      <c r="J6398" s="1" t="str">
        <f>"19"</f>
        <v>19</v>
      </c>
      <c r="K6398" s="1" t="str">
        <f t="shared" ref="K6398:P6398" si="11906">"0"</f>
        <v>0</v>
      </c>
      <c r="L6398" s="1" t="str">
        <f t="shared" si="11906"/>
        <v>0</v>
      </c>
      <c r="M6398" s="1" t="str">
        <f t="shared" si="11906"/>
        <v>0</v>
      </c>
      <c r="N6398" s="1" t="str">
        <f t="shared" si="11906"/>
        <v>0</v>
      </c>
      <c r="O6398" s="1" t="str">
        <f t="shared" si="11906"/>
        <v>0</v>
      </c>
      <c r="P6398" s="1" t="str">
        <f t="shared" si="11906"/>
        <v>0</v>
      </c>
      <c r="Q6398" s="1" t="str">
        <f t="shared" si="11834"/>
        <v>0.0070</v>
      </c>
      <c r="R6398" s="1" t="s">
        <v>25</v>
      </c>
      <c r="T6398" s="1" t="str">
        <f t="shared" si="11835"/>
        <v>0</v>
      </c>
      <c r="U6398" s="1" t="str">
        <f t="shared" si="11884"/>
        <v>0.0070</v>
      </c>
    </row>
    <row r="6399" s="1" customFormat="1" spans="1:21">
      <c r="A6399" s="1" t="str">
        <f>"4601992268995"</f>
        <v>4601992268995</v>
      </c>
      <c r="B6399" s="1" t="s">
        <v>6422</v>
      </c>
      <c r="C6399" s="1" t="s">
        <v>24</v>
      </c>
      <c r="D6399" s="1" t="str">
        <f t="shared" si="11832"/>
        <v>2021</v>
      </c>
      <c r="E6399" s="1" t="str">
        <f t="shared" ref="E6399:P6399" si="11907">"0"</f>
        <v>0</v>
      </c>
      <c r="F6399" s="1" t="str">
        <f t="shared" si="11907"/>
        <v>0</v>
      </c>
      <c r="G6399" s="1" t="str">
        <f t="shared" si="11907"/>
        <v>0</v>
      </c>
      <c r="H6399" s="1" t="str">
        <f t="shared" si="11907"/>
        <v>0</v>
      </c>
      <c r="I6399" s="1" t="str">
        <f t="shared" si="11907"/>
        <v>0</v>
      </c>
      <c r="J6399" s="1" t="str">
        <f t="shared" si="11907"/>
        <v>0</v>
      </c>
      <c r="K6399" s="1" t="str">
        <f t="shared" si="11907"/>
        <v>0</v>
      </c>
      <c r="L6399" s="1" t="str">
        <f t="shared" si="11907"/>
        <v>0</v>
      </c>
      <c r="M6399" s="1" t="str">
        <f t="shared" si="11907"/>
        <v>0</v>
      </c>
      <c r="N6399" s="1" t="str">
        <f t="shared" si="11907"/>
        <v>0</v>
      </c>
      <c r="O6399" s="1" t="str">
        <f t="shared" si="11907"/>
        <v>0</v>
      </c>
      <c r="P6399" s="1" t="str">
        <f t="shared" si="11907"/>
        <v>0</v>
      </c>
      <c r="Q6399" s="1" t="str">
        <f t="shared" si="11834"/>
        <v>0.0070</v>
      </c>
      <c r="R6399" s="1" t="s">
        <v>25</v>
      </c>
      <c r="T6399" s="1" t="str">
        <f t="shared" si="11835"/>
        <v>0</v>
      </c>
      <c r="U6399" s="1" t="str">
        <f t="shared" si="11884"/>
        <v>0.0070</v>
      </c>
    </row>
    <row r="6400" s="1" customFormat="1" spans="1:21">
      <c r="A6400" s="1" t="str">
        <f>"4601992269177"</f>
        <v>4601992269177</v>
      </c>
      <c r="B6400" s="1" t="s">
        <v>6423</v>
      </c>
      <c r="C6400" s="1" t="s">
        <v>24</v>
      </c>
      <c r="D6400" s="1" t="str">
        <f t="shared" si="11832"/>
        <v>2021</v>
      </c>
      <c r="E6400" s="1" t="str">
        <f t="shared" ref="E6400:P6400" si="11908">"0"</f>
        <v>0</v>
      </c>
      <c r="F6400" s="1" t="str">
        <f t="shared" si="11908"/>
        <v>0</v>
      </c>
      <c r="G6400" s="1" t="str">
        <f t="shared" si="11908"/>
        <v>0</v>
      </c>
      <c r="H6400" s="1" t="str">
        <f t="shared" si="11908"/>
        <v>0</v>
      </c>
      <c r="I6400" s="1" t="str">
        <f t="shared" si="11908"/>
        <v>0</v>
      </c>
      <c r="J6400" s="1" t="str">
        <f t="shared" si="11908"/>
        <v>0</v>
      </c>
      <c r="K6400" s="1" t="str">
        <f t="shared" si="11908"/>
        <v>0</v>
      </c>
      <c r="L6400" s="1" t="str">
        <f t="shared" si="11908"/>
        <v>0</v>
      </c>
      <c r="M6400" s="1" t="str">
        <f t="shared" si="11908"/>
        <v>0</v>
      </c>
      <c r="N6400" s="1" t="str">
        <f t="shared" si="11908"/>
        <v>0</v>
      </c>
      <c r="O6400" s="1" t="str">
        <f t="shared" si="11908"/>
        <v>0</v>
      </c>
      <c r="P6400" s="1" t="str">
        <f t="shared" si="11908"/>
        <v>0</v>
      </c>
      <c r="Q6400" s="1" t="str">
        <f t="shared" si="11834"/>
        <v>0.0070</v>
      </c>
      <c r="R6400" s="1" t="s">
        <v>25</v>
      </c>
      <c r="T6400" s="1" t="str">
        <f t="shared" si="11835"/>
        <v>0</v>
      </c>
      <c r="U6400" s="1" t="str">
        <f t="shared" si="11884"/>
        <v>0.0070</v>
      </c>
    </row>
    <row r="6401" s="1" customFormat="1" spans="1:21">
      <c r="A6401" s="1" t="str">
        <f>"4601992269482"</f>
        <v>4601992269482</v>
      </c>
      <c r="B6401" s="1" t="s">
        <v>6424</v>
      </c>
      <c r="C6401" s="1" t="s">
        <v>24</v>
      </c>
      <c r="D6401" s="1" t="str">
        <f t="shared" si="11832"/>
        <v>2021</v>
      </c>
      <c r="E6401" s="1" t="str">
        <f t="shared" ref="E6401:P6401" si="11909">"0"</f>
        <v>0</v>
      </c>
      <c r="F6401" s="1" t="str">
        <f t="shared" si="11909"/>
        <v>0</v>
      </c>
      <c r="G6401" s="1" t="str">
        <f t="shared" si="11909"/>
        <v>0</v>
      </c>
      <c r="H6401" s="1" t="str">
        <f t="shared" si="11909"/>
        <v>0</v>
      </c>
      <c r="I6401" s="1" t="str">
        <f t="shared" si="11909"/>
        <v>0</v>
      </c>
      <c r="J6401" s="1" t="str">
        <f t="shared" si="11909"/>
        <v>0</v>
      </c>
      <c r="K6401" s="1" t="str">
        <f t="shared" si="11909"/>
        <v>0</v>
      </c>
      <c r="L6401" s="1" t="str">
        <f t="shared" si="11909"/>
        <v>0</v>
      </c>
      <c r="M6401" s="1" t="str">
        <f t="shared" si="11909"/>
        <v>0</v>
      </c>
      <c r="N6401" s="1" t="str">
        <f t="shared" si="11909"/>
        <v>0</v>
      </c>
      <c r="O6401" s="1" t="str">
        <f t="shared" si="11909"/>
        <v>0</v>
      </c>
      <c r="P6401" s="1" t="str">
        <f t="shared" si="11909"/>
        <v>0</v>
      </c>
      <c r="Q6401" s="1" t="str">
        <f t="shared" si="11834"/>
        <v>0.0070</v>
      </c>
      <c r="R6401" s="1" t="s">
        <v>25</v>
      </c>
      <c r="T6401" s="1" t="str">
        <f t="shared" si="11835"/>
        <v>0</v>
      </c>
      <c r="U6401" s="1" t="str">
        <f t="shared" si="11884"/>
        <v>0.0070</v>
      </c>
    </row>
    <row r="6402" s="1" customFormat="1" spans="1:21">
      <c r="A6402" s="1" t="str">
        <f>"4601992269548"</f>
        <v>4601992269548</v>
      </c>
      <c r="B6402" s="1" t="s">
        <v>6425</v>
      </c>
      <c r="C6402" s="1" t="s">
        <v>24</v>
      </c>
      <c r="D6402" s="1" t="str">
        <f t="shared" si="11832"/>
        <v>2021</v>
      </c>
      <c r="E6402" s="1" t="str">
        <f t="shared" ref="E6402:P6402" si="11910">"0"</f>
        <v>0</v>
      </c>
      <c r="F6402" s="1" t="str">
        <f t="shared" si="11910"/>
        <v>0</v>
      </c>
      <c r="G6402" s="1" t="str">
        <f t="shared" si="11910"/>
        <v>0</v>
      </c>
      <c r="H6402" s="1" t="str">
        <f t="shared" si="11910"/>
        <v>0</v>
      </c>
      <c r="I6402" s="1" t="str">
        <f t="shared" si="11910"/>
        <v>0</v>
      </c>
      <c r="J6402" s="1" t="str">
        <f t="shared" si="11910"/>
        <v>0</v>
      </c>
      <c r="K6402" s="1" t="str">
        <f t="shared" si="11910"/>
        <v>0</v>
      </c>
      <c r="L6402" s="1" t="str">
        <f t="shared" si="11910"/>
        <v>0</v>
      </c>
      <c r="M6402" s="1" t="str">
        <f t="shared" si="11910"/>
        <v>0</v>
      </c>
      <c r="N6402" s="1" t="str">
        <f t="shared" si="11910"/>
        <v>0</v>
      </c>
      <c r="O6402" s="1" t="str">
        <f t="shared" si="11910"/>
        <v>0</v>
      </c>
      <c r="P6402" s="1" t="str">
        <f t="shared" si="11910"/>
        <v>0</v>
      </c>
      <c r="Q6402" s="1" t="str">
        <f t="shared" si="11834"/>
        <v>0.0070</v>
      </c>
      <c r="R6402" s="1" t="s">
        <v>25</v>
      </c>
      <c r="T6402" s="1" t="str">
        <f t="shared" si="11835"/>
        <v>0</v>
      </c>
      <c r="U6402" s="1" t="str">
        <f t="shared" si="11884"/>
        <v>0.0070</v>
      </c>
    </row>
    <row r="6403" s="1" customFormat="1" spans="1:21">
      <c r="A6403" s="1" t="str">
        <f>"4601992269076"</f>
        <v>4601992269076</v>
      </c>
      <c r="B6403" s="1" t="s">
        <v>6426</v>
      </c>
      <c r="C6403" s="1" t="s">
        <v>24</v>
      </c>
      <c r="D6403" s="1" t="str">
        <f t="shared" ref="D6403:D6466" si="11911">"2021"</f>
        <v>2021</v>
      </c>
      <c r="E6403" s="1" t="str">
        <f t="shared" ref="E6403:I6403" si="11912">"0"</f>
        <v>0</v>
      </c>
      <c r="F6403" s="1" t="str">
        <f t="shared" si="11912"/>
        <v>0</v>
      </c>
      <c r="G6403" s="1" t="str">
        <f t="shared" si="11912"/>
        <v>0</v>
      </c>
      <c r="H6403" s="1" t="str">
        <f t="shared" si="11912"/>
        <v>0</v>
      </c>
      <c r="I6403" s="1" t="str">
        <f t="shared" si="11912"/>
        <v>0</v>
      </c>
      <c r="J6403" s="1" t="str">
        <f>"5"</f>
        <v>5</v>
      </c>
      <c r="K6403" s="1" t="str">
        <f t="shared" ref="K6403:P6403" si="11913">"0"</f>
        <v>0</v>
      </c>
      <c r="L6403" s="1" t="str">
        <f t="shared" si="11913"/>
        <v>0</v>
      </c>
      <c r="M6403" s="1" t="str">
        <f t="shared" si="11913"/>
        <v>0</v>
      </c>
      <c r="N6403" s="1" t="str">
        <f t="shared" si="11913"/>
        <v>0</v>
      </c>
      <c r="O6403" s="1" t="str">
        <f t="shared" si="11913"/>
        <v>0</v>
      </c>
      <c r="P6403" s="1" t="str">
        <f t="shared" si="11913"/>
        <v>0</v>
      </c>
      <c r="Q6403" s="1" t="str">
        <f t="shared" ref="Q6403:Q6466" si="11914">"0.0070"</f>
        <v>0.0070</v>
      </c>
      <c r="R6403" s="1" t="s">
        <v>25</v>
      </c>
      <c r="T6403" s="1" t="str">
        <f t="shared" ref="T6403:T6466" si="11915">"0"</f>
        <v>0</v>
      </c>
      <c r="U6403" s="1" t="str">
        <f t="shared" si="11884"/>
        <v>0.0070</v>
      </c>
    </row>
    <row r="6404" s="1" customFormat="1" spans="1:21">
      <c r="A6404" s="1" t="str">
        <f>"4601992269554"</f>
        <v>4601992269554</v>
      </c>
      <c r="B6404" s="1" t="s">
        <v>6427</v>
      </c>
      <c r="C6404" s="1" t="s">
        <v>24</v>
      </c>
      <c r="D6404" s="1" t="str">
        <f t="shared" si="11911"/>
        <v>2021</v>
      </c>
      <c r="E6404" s="1" t="str">
        <f t="shared" ref="E6404:P6404" si="11916">"0"</f>
        <v>0</v>
      </c>
      <c r="F6404" s="1" t="str">
        <f t="shared" si="11916"/>
        <v>0</v>
      </c>
      <c r="G6404" s="1" t="str">
        <f t="shared" si="11916"/>
        <v>0</v>
      </c>
      <c r="H6404" s="1" t="str">
        <f t="shared" si="11916"/>
        <v>0</v>
      </c>
      <c r="I6404" s="1" t="str">
        <f t="shared" si="11916"/>
        <v>0</v>
      </c>
      <c r="J6404" s="1" t="str">
        <f t="shared" si="11916"/>
        <v>0</v>
      </c>
      <c r="K6404" s="1" t="str">
        <f t="shared" si="11916"/>
        <v>0</v>
      </c>
      <c r="L6404" s="1" t="str">
        <f t="shared" si="11916"/>
        <v>0</v>
      </c>
      <c r="M6404" s="1" t="str">
        <f t="shared" si="11916"/>
        <v>0</v>
      </c>
      <c r="N6404" s="1" t="str">
        <f t="shared" si="11916"/>
        <v>0</v>
      </c>
      <c r="O6404" s="1" t="str">
        <f t="shared" si="11916"/>
        <v>0</v>
      </c>
      <c r="P6404" s="1" t="str">
        <f t="shared" si="11916"/>
        <v>0</v>
      </c>
      <c r="Q6404" s="1" t="str">
        <f t="shared" si="11914"/>
        <v>0.0070</v>
      </c>
      <c r="R6404" s="1" t="s">
        <v>25</v>
      </c>
      <c r="T6404" s="1" t="str">
        <f t="shared" si="11915"/>
        <v>0</v>
      </c>
      <c r="U6404" s="1" t="str">
        <f t="shared" si="11884"/>
        <v>0.0070</v>
      </c>
    </row>
    <row r="6405" s="1" customFormat="1" spans="1:21">
      <c r="A6405" s="1" t="str">
        <f>"4601992269691"</f>
        <v>4601992269691</v>
      </c>
      <c r="B6405" s="1" t="s">
        <v>6428</v>
      </c>
      <c r="C6405" s="1" t="s">
        <v>24</v>
      </c>
      <c r="D6405" s="1" t="str">
        <f t="shared" si="11911"/>
        <v>2021</v>
      </c>
      <c r="E6405" s="1" t="str">
        <f t="shared" ref="E6405:P6405" si="11917">"0"</f>
        <v>0</v>
      </c>
      <c r="F6405" s="1" t="str">
        <f t="shared" si="11917"/>
        <v>0</v>
      </c>
      <c r="G6405" s="1" t="str">
        <f t="shared" si="11917"/>
        <v>0</v>
      </c>
      <c r="H6405" s="1" t="str">
        <f t="shared" si="11917"/>
        <v>0</v>
      </c>
      <c r="I6405" s="1" t="str">
        <f t="shared" si="11917"/>
        <v>0</v>
      </c>
      <c r="J6405" s="1" t="str">
        <f t="shared" si="11917"/>
        <v>0</v>
      </c>
      <c r="K6405" s="1" t="str">
        <f t="shared" si="11917"/>
        <v>0</v>
      </c>
      <c r="L6405" s="1" t="str">
        <f t="shared" si="11917"/>
        <v>0</v>
      </c>
      <c r="M6405" s="1" t="str">
        <f t="shared" si="11917"/>
        <v>0</v>
      </c>
      <c r="N6405" s="1" t="str">
        <f t="shared" si="11917"/>
        <v>0</v>
      </c>
      <c r="O6405" s="1" t="str">
        <f t="shared" si="11917"/>
        <v>0</v>
      </c>
      <c r="P6405" s="1" t="str">
        <f t="shared" si="11917"/>
        <v>0</v>
      </c>
      <c r="Q6405" s="1" t="str">
        <f t="shared" si="11914"/>
        <v>0.0070</v>
      </c>
      <c r="R6405" s="1" t="s">
        <v>25</v>
      </c>
      <c r="T6405" s="1" t="str">
        <f t="shared" si="11915"/>
        <v>0</v>
      </c>
      <c r="U6405" s="1" t="str">
        <f t="shared" si="11884"/>
        <v>0.0070</v>
      </c>
    </row>
    <row r="6406" s="1" customFormat="1" spans="1:21">
      <c r="A6406" s="1" t="str">
        <f>"4601992269574"</f>
        <v>4601992269574</v>
      </c>
      <c r="B6406" s="1" t="s">
        <v>6429</v>
      </c>
      <c r="C6406" s="1" t="s">
        <v>24</v>
      </c>
      <c r="D6406" s="1" t="str">
        <f t="shared" si="11911"/>
        <v>2021</v>
      </c>
      <c r="E6406" s="1" t="str">
        <f t="shared" ref="E6406:I6406" si="11918">"0"</f>
        <v>0</v>
      </c>
      <c r="F6406" s="1" t="str">
        <f t="shared" si="11918"/>
        <v>0</v>
      </c>
      <c r="G6406" s="1" t="str">
        <f t="shared" si="11918"/>
        <v>0</v>
      </c>
      <c r="H6406" s="1" t="str">
        <f t="shared" si="11918"/>
        <v>0</v>
      </c>
      <c r="I6406" s="1" t="str">
        <f t="shared" si="11918"/>
        <v>0</v>
      </c>
      <c r="J6406" s="1" t="str">
        <f>"1"</f>
        <v>1</v>
      </c>
      <c r="K6406" s="1" t="str">
        <f t="shared" ref="K6406:P6406" si="11919">"0"</f>
        <v>0</v>
      </c>
      <c r="L6406" s="1" t="str">
        <f t="shared" si="11919"/>
        <v>0</v>
      </c>
      <c r="M6406" s="1" t="str">
        <f t="shared" si="11919"/>
        <v>0</v>
      </c>
      <c r="N6406" s="1" t="str">
        <f t="shared" si="11919"/>
        <v>0</v>
      </c>
      <c r="O6406" s="1" t="str">
        <f t="shared" si="11919"/>
        <v>0</v>
      </c>
      <c r="P6406" s="1" t="str">
        <f t="shared" si="11919"/>
        <v>0</v>
      </c>
      <c r="Q6406" s="1" t="str">
        <f t="shared" si="11914"/>
        <v>0.0070</v>
      </c>
      <c r="R6406" s="1" t="s">
        <v>25</v>
      </c>
      <c r="T6406" s="1" t="str">
        <f t="shared" si="11915"/>
        <v>0</v>
      </c>
      <c r="U6406" s="1" t="str">
        <f t="shared" si="11884"/>
        <v>0.0070</v>
      </c>
    </row>
    <row r="6407" s="1" customFormat="1" spans="1:21">
      <c r="A6407" s="1" t="str">
        <f>"4601992269742"</f>
        <v>4601992269742</v>
      </c>
      <c r="B6407" s="1" t="s">
        <v>6430</v>
      </c>
      <c r="C6407" s="1" t="s">
        <v>24</v>
      </c>
      <c r="D6407" s="1" t="str">
        <f t="shared" si="11911"/>
        <v>2021</v>
      </c>
      <c r="E6407" s="1" t="str">
        <f t="shared" ref="E6407:P6407" si="11920">"0"</f>
        <v>0</v>
      </c>
      <c r="F6407" s="1" t="str">
        <f t="shared" si="11920"/>
        <v>0</v>
      </c>
      <c r="G6407" s="1" t="str">
        <f t="shared" si="11920"/>
        <v>0</v>
      </c>
      <c r="H6407" s="1" t="str">
        <f t="shared" si="11920"/>
        <v>0</v>
      </c>
      <c r="I6407" s="1" t="str">
        <f t="shared" si="11920"/>
        <v>0</v>
      </c>
      <c r="J6407" s="1" t="str">
        <f t="shared" si="11920"/>
        <v>0</v>
      </c>
      <c r="K6407" s="1" t="str">
        <f t="shared" si="11920"/>
        <v>0</v>
      </c>
      <c r="L6407" s="1" t="str">
        <f t="shared" si="11920"/>
        <v>0</v>
      </c>
      <c r="M6407" s="1" t="str">
        <f t="shared" si="11920"/>
        <v>0</v>
      </c>
      <c r="N6407" s="1" t="str">
        <f t="shared" si="11920"/>
        <v>0</v>
      </c>
      <c r="O6407" s="1" t="str">
        <f t="shared" si="11920"/>
        <v>0</v>
      </c>
      <c r="P6407" s="1" t="str">
        <f t="shared" si="11920"/>
        <v>0</v>
      </c>
      <c r="Q6407" s="1" t="str">
        <f t="shared" si="11914"/>
        <v>0.0070</v>
      </c>
      <c r="R6407" s="1" t="s">
        <v>25</v>
      </c>
      <c r="T6407" s="1" t="str">
        <f t="shared" si="11915"/>
        <v>0</v>
      </c>
      <c r="U6407" s="1" t="str">
        <f t="shared" si="11884"/>
        <v>0.0070</v>
      </c>
    </row>
    <row r="6408" s="1" customFormat="1" spans="1:21">
      <c r="A6408" s="1" t="str">
        <f>"4601992269575"</f>
        <v>4601992269575</v>
      </c>
      <c r="B6408" s="1" t="s">
        <v>6431</v>
      </c>
      <c r="C6408" s="1" t="s">
        <v>24</v>
      </c>
      <c r="D6408" s="1" t="str">
        <f t="shared" si="11911"/>
        <v>2021</v>
      </c>
      <c r="E6408" s="1" t="str">
        <f t="shared" ref="E6408:I6408" si="11921">"0"</f>
        <v>0</v>
      </c>
      <c r="F6408" s="1" t="str">
        <f t="shared" si="11921"/>
        <v>0</v>
      </c>
      <c r="G6408" s="1" t="str">
        <f t="shared" si="11921"/>
        <v>0</v>
      </c>
      <c r="H6408" s="1" t="str">
        <f t="shared" si="11921"/>
        <v>0</v>
      </c>
      <c r="I6408" s="1" t="str">
        <f t="shared" si="11921"/>
        <v>0</v>
      </c>
      <c r="J6408" s="1" t="str">
        <f>"2"</f>
        <v>2</v>
      </c>
      <c r="K6408" s="1" t="str">
        <f t="shared" ref="K6408:P6408" si="11922">"0"</f>
        <v>0</v>
      </c>
      <c r="L6408" s="1" t="str">
        <f t="shared" si="11922"/>
        <v>0</v>
      </c>
      <c r="M6408" s="1" t="str">
        <f t="shared" si="11922"/>
        <v>0</v>
      </c>
      <c r="N6408" s="1" t="str">
        <f t="shared" si="11922"/>
        <v>0</v>
      </c>
      <c r="O6408" s="1" t="str">
        <f t="shared" si="11922"/>
        <v>0</v>
      </c>
      <c r="P6408" s="1" t="str">
        <f t="shared" si="11922"/>
        <v>0</v>
      </c>
      <c r="Q6408" s="1" t="str">
        <f t="shared" si="11914"/>
        <v>0.0070</v>
      </c>
      <c r="R6408" s="1" t="s">
        <v>25</v>
      </c>
      <c r="T6408" s="1" t="str">
        <f t="shared" si="11915"/>
        <v>0</v>
      </c>
      <c r="U6408" s="1" t="str">
        <f t="shared" si="11884"/>
        <v>0.0070</v>
      </c>
    </row>
    <row r="6409" s="1" customFormat="1" spans="1:21">
      <c r="A6409" s="1" t="str">
        <f>"4601992269991"</f>
        <v>4601992269991</v>
      </c>
      <c r="B6409" s="1" t="s">
        <v>6432</v>
      </c>
      <c r="C6409" s="1" t="s">
        <v>24</v>
      </c>
      <c r="D6409" s="1" t="str">
        <f t="shared" si="11911"/>
        <v>2021</v>
      </c>
      <c r="E6409" s="1" t="str">
        <f t="shared" ref="E6409:P6409" si="11923">"0"</f>
        <v>0</v>
      </c>
      <c r="F6409" s="1" t="str">
        <f t="shared" si="11923"/>
        <v>0</v>
      </c>
      <c r="G6409" s="1" t="str">
        <f t="shared" si="11923"/>
        <v>0</v>
      </c>
      <c r="H6409" s="1" t="str">
        <f t="shared" si="11923"/>
        <v>0</v>
      </c>
      <c r="I6409" s="1" t="str">
        <f t="shared" si="11923"/>
        <v>0</v>
      </c>
      <c r="J6409" s="1" t="str">
        <f t="shared" si="11923"/>
        <v>0</v>
      </c>
      <c r="K6409" s="1" t="str">
        <f t="shared" si="11923"/>
        <v>0</v>
      </c>
      <c r="L6409" s="1" t="str">
        <f t="shared" si="11923"/>
        <v>0</v>
      </c>
      <c r="M6409" s="1" t="str">
        <f t="shared" si="11923"/>
        <v>0</v>
      </c>
      <c r="N6409" s="1" t="str">
        <f t="shared" si="11923"/>
        <v>0</v>
      </c>
      <c r="O6409" s="1" t="str">
        <f t="shared" si="11923"/>
        <v>0</v>
      </c>
      <c r="P6409" s="1" t="str">
        <f t="shared" si="11923"/>
        <v>0</v>
      </c>
      <c r="Q6409" s="1" t="str">
        <f t="shared" si="11914"/>
        <v>0.0070</v>
      </c>
      <c r="R6409" s="1" t="s">
        <v>25</v>
      </c>
      <c r="T6409" s="1" t="str">
        <f t="shared" si="11915"/>
        <v>0</v>
      </c>
      <c r="U6409" s="1" t="str">
        <f t="shared" si="11884"/>
        <v>0.0070</v>
      </c>
    </row>
    <row r="6410" s="1" customFormat="1" spans="1:21">
      <c r="A6410" s="1" t="str">
        <f>"4601992270057"</f>
        <v>4601992270057</v>
      </c>
      <c r="B6410" s="1" t="s">
        <v>6433</v>
      </c>
      <c r="C6410" s="1" t="s">
        <v>24</v>
      </c>
      <c r="D6410" s="1" t="str">
        <f t="shared" si="11911"/>
        <v>2021</v>
      </c>
      <c r="E6410" s="1" t="str">
        <f t="shared" ref="E6410:P6410" si="11924">"0"</f>
        <v>0</v>
      </c>
      <c r="F6410" s="1" t="str">
        <f t="shared" si="11924"/>
        <v>0</v>
      </c>
      <c r="G6410" s="1" t="str">
        <f t="shared" si="11924"/>
        <v>0</v>
      </c>
      <c r="H6410" s="1" t="str">
        <f t="shared" si="11924"/>
        <v>0</v>
      </c>
      <c r="I6410" s="1" t="str">
        <f t="shared" si="11924"/>
        <v>0</v>
      </c>
      <c r="J6410" s="1" t="str">
        <f t="shared" si="11924"/>
        <v>0</v>
      </c>
      <c r="K6410" s="1" t="str">
        <f t="shared" si="11924"/>
        <v>0</v>
      </c>
      <c r="L6410" s="1" t="str">
        <f t="shared" si="11924"/>
        <v>0</v>
      </c>
      <c r="M6410" s="1" t="str">
        <f t="shared" si="11924"/>
        <v>0</v>
      </c>
      <c r="N6410" s="1" t="str">
        <f t="shared" si="11924"/>
        <v>0</v>
      </c>
      <c r="O6410" s="1" t="str">
        <f t="shared" si="11924"/>
        <v>0</v>
      </c>
      <c r="P6410" s="1" t="str">
        <f t="shared" si="11924"/>
        <v>0</v>
      </c>
      <c r="Q6410" s="1" t="str">
        <f t="shared" si="11914"/>
        <v>0.0070</v>
      </c>
      <c r="R6410" s="1" t="s">
        <v>25</v>
      </c>
      <c r="T6410" s="1" t="str">
        <f t="shared" si="11915"/>
        <v>0</v>
      </c>
      <c r="U6410" s="1" t="str">
        <f t="shared" si="11884"/>
        <v>0.0070</v>
      </c>
    </row>
    <row r="6411" s="1" customFormat="1" spans="1:21">
      <c r="A6411" s="1" t="str">
        <f>"4601992269715"</f>
        <v>4601992269715</v>
      </c>
      <c r="B6411" s="1" t="s">
        <v>6434</v>
      </c>
      <c r="C6411" s="1" t="s">
        <v>24</v>
      </c>
      <c r="D6411" s="1" t="str">
        <f t="shared" si="11911"/>
        <v>2021</v>
      </c>
      <c r="E6411" s="1" t="str">
        <f t="shared" ref="E6411:I6411" si="11925">"0"</f>
        <v>0</v>
      </c>
      <c r="F6411" s="1" t="str">
        <f t="shared" si="11925"/>
        <v>0</v>
      </c>
      <c r="G6411" s="1" t="str">
        <f t="shared" si="11925"/>
        <v>0</v>
      </c>
      <c r="H6411" s="1" t="str">
        <f t="shared" si="11925"/>
        <v>0</v>
      </c>
      <c r="I6411" s="1" t="str">
        <f t="shared" si="11925"/>
        <v>0</v>
      </c>
      <c r="J6411" s="1" t="str">
        <f t="shared" ref="J6411:J6415" si="11926">"1"</f>
        <v>1</v>
      </c>
      <c r="K6411" s="1" t="str">
        <f t="shared" ref="K6411:P6411" si="11927">"0"</f>
        <v>0</v>
      </c>
      <c r="L6411" s="1" t="str">
        <f t="shared" si="11927"/>
        <v>0</v>
      </c>
      <c r="M6411" s="1" t="str">
        <f t="shared" si="11927"/>
        <v>0</v>
      </c>
      <c r="N6411" s="1" t="str">
        <f t="shared" si="11927"/>
        <v>0</v>
      </c>
      <c r="O6411" s="1" t="str">
        <f t="shared" si="11927"/>
        <v>0</v>
      </c>
      <c r="P6411" s="1" t="str">
        <f t="shared" si="11927"/>
        <v>0</v>
      </c>
      <c r="Q6411" s="1" t="str">
        <f t="shared" si="11914"/>
        <v>0.0070</v>
      </c>
      <c r="R6411" s="1" t="s">
        <v>25</v>
      </c>
      <c r="T6411" s="1" t="str">
        <f t="shared" si="11915"/>
        <v>0</v>
      </c>
      <c r="U6411" s="1" t="str">
        <f t="shared" si="11884"/>
        <v>0.0070</v>
      </c>
    </row>
    <row r="6412" s="1" customFormat="1" spans="1:21">
      <c r="A6412" s="1" t="str">
        <f>"4601992269951"</f>
        <v>4601992269951</v>
      </c>
      <c r="B6412" s="1" t="s">
        <v>6435</v>
      </c>
      <c r="C6412" s="1" t="s">
        <v>24</v>
      </c>
      <c r="D6412" s="1" t="str">
        <f t="shared" si="11911"/>
        <v>2021</v>
      </c>
      <c r="E6412" s="1" t="str">
        <f t="shared" ref="E6412:I6412" si="11928">"0"</f>
        <v>0</v>
      </c>
      <c r="F6412" s="1" t="str">
        <f t="shared" si="11928"/>
        <v>0</v>
      </c>
      <c r="G6412" s="1" t="str">
        <f t="shared" si="11928"/>
        <v>0</v>
      </c>
      <c r="H6412" s="1" t="str">
        <f t="shared" si="11928"/>
        <v>0</v>
      </c>
      <c r="I6412" s="1" t="str">
        <f t="shared" si="11928"/>
        <v>0</v>
      </c>
      <c r="J6412" s="1" t="str">
        <f>"5"</f>
        <v>5</v>
      </c>
      <c r="K6412" s="1" t="str">
        <f t="shared" ref="K6412:P6412" si="11929">"0"</f>
        <v>0</v>
      </c>
      <c r="L6412" s="1" t="str">
        <f t="shared" si="11929"/>
        <v>0</v>
      </c>
      <c r="M6412" s="1" t="str">
        <f t="shared" si="11929"/>
        <v>0</v>
      </c>
      <c r="N6412" s="1" t="str">
        <f t="shared" si="11929"/>
        <v>0</v>
      </c>
      <c r="O6412" s="1" t="str">
        <f t="shared" si="11929"/>
        <v>0</v>
      </c>
      <c r="P6412" s="1" t="str">
        <f t="shared" si="11929"/>
        <v>0</v>
      </c>
      <c r="Q6412" s="1" t="str">
        <f t="shared" si="11914"/>
        <v>0.0070</v>
      </c>
      <c r="R6412" s="1" t="s">
        <v>25</v>
      </c>
      <c r="T6412" s="1" t="str">
        <f t="shared" si="11915"/>
        <v>0</v>
      </c>
      <c r="U6412" s="1" t="str">
        <f t="shared" si="11884"/>
        <v>0.0070</v>
      </c>
    </row>
    <row r="6413" s="1" customFormat="1" spans="1:21">
      <c r="A6413" s="1" t="str">
        <f>"4601992270101"</f>
        <v>4601992270101</v>
      </c>
      <c r="B6413" s="1" t="s">
        <v>6436</v>
      </c>
      <c r="C6413" s="1" t="s">
        <v>24</v>
      </c>
      <c r="D6413" s="1" t="str">
        <f t="shared" si="11911"/>
        <v>2021</v>
      </c>
      <c r="E6413" s="1" t="str">
        <f t="shared" ref="E6413:I6413" si="11930">"0"</f>
        <v>0</v>
      </c>
      <c r="F6413" s="1" t="str">
        <f t="shared" si="11930"/>
        <v>0</v>
      </c>
      <c r="G6413" s="1" t="str">
        <f t="shared" si="11930"/>
        <v>0</v>
      </c>
      <c r="H6413" s="1" t="str">
        <f t="shared" si="11930"/>
        <v>0</v>
      </c>
      <c r="I6413" s="1" t="str">
        <f t="shared" si="11930"/>
        <v>0</v>
      </c>
      <c r="J6413" s="1" t="str">
        <f>"2"</f>
        <v>2</v>
      </c>
      <c r="K6413" s="1" t="str">
        <f t="shared" ref="K6413:P6413" si="11931">"0"</f>
        <v>0</v>
      </c>
      <c r="L6413" s="1" t="str">
        <f t="shared" si="11931"/>
        <v>0</v>
      </c>
      <c r="M6413" s="1" t="str">
        <f t="shared" si="11931"/>
        <v>0</v>
      </c>
      <c r="N6413" s="1" t="str">
        <f t="shared" si="11931"/>
        <v>0</v>
      </c>
      <c r="O6413" s="1" t="str">
        <f t="shared" si="11931"/>
        <v>0</v>
      </c>
      <c r="P6413" s="1" t="str">
        <f t="shared" si="11931"/>
        <v>0</v>
      </c>
      <c r="Q6413" s="1" t="str">
        <f t="shared" si="11914"/>
        <v>0.0070</v>
      </c>
      <c r="R6413" s="1" t="s">
        <v>25</v>
      </c>
      <c r="T6413" s="1" t="str">
        <f t="shared" si="11915"/>
        <v>0</v>
      </c>
      <c r="U6413" s="1" t="str">
        <f t="shared" si="11884"/>
        <v>0.0070</v>
      </c>
    </row>
    <row r="6414" s="1" customFormat="1" spans="1:21">
      <c r="A6414" s="1" t="str">
        <f>"4601992270107"</f>
        <v>4601992270107</v>
      </c>
      <c r="B6414" s="1" t="s">
        <v>6437</v>
      </c>
      <c r="C6414" s="1" t="s">
        <v>24</v>
      </c>
      <c r="D6414" s="1" t="str">
        <f t="shared" si="11911"/>
        <v>2021</v>
      </c>
      <c r="E6414" s="1" t="str">
        <f t="shared" ref="E6414:I6414" si="11932">"0"</f>
        <v>0</v>
      </c>
      <c r="F6414" s="1" t="str">
        <f t="shared" si="11932"/>
        <v>0</v>
      </c>
      <c r="G6414" s="1" t="str">
        <f t="shared" si="11932"/>
        <v>0</v>
      </c>
      <c r="H6414" s="1" t="str">
        <f t="shared" si="11932"/>
        <v>0</v>
      </c>
      <c r="I6414" s="1" t="str">
        <f t="shared" si="11932"/>
        <v>0</v>
      </c>
      <c r="J6414" s="1" t="str">
        <f t="shared" si="11926"/>
        <v>1</v>
      </c>
      <c r="K6414" s="1" t="str">
        <f t="shared" ref="K6414:P6414" si="11933">"0"</f>
        <v>0</v>
      </c>
      <c r="L6414" s="1" t="str">
        <f t="shared" si="11933"/>
        <v>0</v>
      </c>
      <c r="M6414" s="1" t="str">
        <f t="shared" si="11933"/>
        <v>0</v>
      </c>
      <c r="N6414" s="1" t="str">
        <f t="shared" si="11933"/>
        <v>0</v>
      </c>
      <c r="O6414" s="1" t="str">
        <f t="shared" si="11933"/>
        <v>0</v>
      </c>
      <c r="P6414" s="1" t="str">
        <f t="shared" si="11933"/>
        <v>0</v>
      </c>
      <c r="Q6414" s="1" t="str">
        <f t="shared" si="11914"/>
        <v>0.0070</v>
      </c>
      <c r="R6414" s="1" t="s">
        <v>25</v>
      </c>
      <c r="T6414" s="1" t="str">
        <f t="shared" si="11915"/>
        <v>0</v>
      </c>
      <c r="U6414" s="1" t="str">
        <f t="shared" si="11884"/>
        <v>0.0070</v>
      </c>
    </row>
    <row r="6415" s="1" customFormat="1" spans="1:21">
      <c r="A6415" s="1" t="str">
        <f>"4601992270083"</f>
        <v>4601992270083</v>
      </c>
      <c r="B6415" s="1" t="s">
        <v>6438</v>
      </c>
      <c r="C6415" s="1" t="s">
        <v>24</v>
      </c>
      <c r="D6415" s="1" t="str">
        <f t="shared" si="11911"/>
        <v>2021</v>
      </c>
      <c r="E6415" s="1" t="str">
        <f t="shared" ref="E6415:I6415" si="11934">"0"</f>
        <v>0</v>
      </c>
      <c r="F6415" s="1" t="str">
        <f t="shared" si="11934"/>
        <v>0</v>
      </c>
      <c r="G6415" s="1" t="str">
        <f t="shared" si="11934"/>
        <v>0</v>
      </c>
      <c r="H6415" s="1" t="str">
        <f t="shared" si="11934"/>
        <v>0</v>
      </c>
      <c r="I6415" s="1" t="str">
        <f t="shared" si="11934"/>
        <v>0</v>
      </c>
      <c r="J6415" s="1" t="str">
        <f t="shared" si="11926"/>
        <v>1</v>
      </c>
      <c r="K6415" s="1" t="str">
        <f t="shared" ref="K6415:P6415" si="11935">"0"</f>
        <v>0</v>
      </c>
      <c r="L6415" s="1" t="str">
        <f t="shared" si="11935"/>
        <v>0</v>
      </c>
      <c r="M6415" s="1" t="str">
        <f t="shared" si="11935"/>
        <v>0</v>
      </c>
      <c r="N6415" s="1" t="str">
        <f t="shared" si="11935"/>
        <v>0</v>
      </c>
      <c r="O6415" s="1" t="str">
        <f t="shared" si="11935"/>
        <v>0</v>
      </c>
      <c r="P6415" s="1" t="str">
        <f t="shared" si="11935"/>
        <v>0</v>
      </c>
      <c r="Q6415" s="1" t="str">
        <f t="shared" si="11914"/>
        <v>0.0070</v>
      </c>
      <c r="R6415" s="1" t="s">
        <v>25</v>
      </c>
      <c r="T6415" s="1" t="str">
        <f t="shared" si="11915"/>
        <v>0</v>
      </c>
      <c r="U6415" s="1" t="str">
        <f t="shared" si="11884"/>
        <v>0.0070</v>
      </c>
    </row>
    <row r="6416" s="1" customFormat="1" spans="1:21">
      <c r="A6416" s="1" t="str">
        <f>"4601992270119"</f>
        <v>4601992270119</v>
      </c>
      <c r="B6416" s="1" t="s">
        <v>6439</v>
      </c>
      <c r="C6416" s="1" t="s">
        <v>24</v>
      </c>
      <c r="D6416" s="1" t="str">
        <f t="shared" si="11911"/>
        <v>2021</v>
      </c>
      <c r="E6416" s="1" t="str">
        <f t="shared" ref="E6416:P6416" si="11936">"0"</f>
        <v>0</v>
      </c>
      <c r="F6416" s="1" t="str">
        <f t="shared" si="11936"/>
        <v>0</v>
      </c>
      <c r="G6416" s="1" t="str">
        <f t="shared" si="11936"/>
        <v>0</v>
      </c>
      <c r="H6416" s="1" t="str">
        <f t="shared" si="11936"/>
        <v>0</v>
      </c>
      <c r="I6416" s="1" t="str">
        <f t="shared" si="11936"/>
        <v>0</v>
      </c>
      <c r="J6416" s="1" t="str">
        <f t="shared" si="11936"/>
        <v>0</v>
      </c>
      <c r="K6416" s="1" t="str">
        <f t="shared" si="11936"/>
        <v>0</v>
      </c>
      <c r="L6416" s="1" t="str">
        <f t="shared" si="11936"/>
        <v>0</v>
      </c>
      <c r="M6416" s="1" t="str">
        <f t="shared" si="11936"/>
        <v>0</v>
      </c>
      <c r="N6416" s="1" t="str">
        <f t="shared" si="11936"/>
        <v>0</v>
      </c>
      <c r="O6416" s="1" t="str">
        <f t="shared" si="11936"/>
        <v>0</v>
      </c>
      <c r="P6416" s="1" t="str">
        <f t="shared" si="11936"/>
        <v>0</v>
      </c>
      <c r="Q6416" s="1" t="str">
        <f t="shared" si="11914"/>
        <v>0.0070</v>
      </c>
      <c r="R6416" s="1" t="s">
        <v>25</v>
      </c>
      <c r="T6416" s="1" t="str">
        <f t="shared" si="11915"/>
        <v>0</v>
      </c>
      <c r="U6416" s="1" t="str">
        <f t="shared" si="11884"/>
        <v>0.0070</v>
      </c>
    </row>
    <row r="6417" s="1" customFormat="1" spans="1:21">
      <c r="A6417" s="1" t="str">
        <f>"4601992270265"</f>
        <v>4601992270265</v>
      </c>
      <c r="B6417" s="1" t="s">
        <v>6440</v>
      </c>
      <c r="C6417" s="1" t="s">
        <v>24</v>
      </c>
      <c r="D6417" s="1" t="str">
        <f t="shared" si="11911"/>
        <v>2021</v>
      </c>
      <c r="E6417" s="1" t="str">
        <f t="shared" ref="E6417:P6417" si="11937">"0"</f>
        <v>0</v>
      </c>
      <c r="F6417" s="1" t="str">
        <f t="shared" si="11937"/>
        <v>0</v>
      </c>
      <c r="G6417" s="1" t="str">
        <f t="shared" si="11937"/>
        <v>0</v>
      </c>
      <c r="H6417" s="1" t="str">
        <f t="shared" si="11937"/>
        <v>0</v>
      </c>
      <c r="I6417" s="1" t="str">
        <f t="shared" si="11937"/>
        <v>0</v>
      </c>
      <c r="J6417" s="1" t="str">
        <f t="shared" si="11937"/>
        <v>0</v>
      </c>
      <c r="K6417" s="1" t="str">
        <f t="shared" si="11937"/>
        <v>0</v>
      </c>
      <c r="L6417" s="1" t="str">
        <f t="shared" si="11937"/>
        <v>0</v>
      </c>
      <c r="M6417" s="1" t="str">
        <f t="shared" si="11937"/>
        <v>0</v>
      </c>
      <c r="N6417" s="1" t="str">
        <f t="shared" si="11937"/>
        <v>0</v>
      </c>
      <c r="O6417" s="1" t="str">
        <f t="shared" si="11937"/>
        <v>0</v>
      </c>
      <c r="P6417" s="1" t="str">
        <f t="shared" si="11937"/>
        <v>0</v>
      </c>
      <c r="Q6417" s="1" t="str">
        <f t="shared" si="11914"/>
        <v>0.0070</v>
      </c>
      <c r="R6417" s="1" t="s">
        <v>25</v>
      </c>
      <c r="T6417" s="1" t="str">
        <f t="shared" si="11915"/>
        <v>0</v>
      </c>
      <c r="U6417" s="1" t="str">
        <f t="shared" si="11884"/>
        <v>0.0070</v>
      </c>
    </row>
    <row r="6418" s="1" customFormat="1" spans="1:21">
      <c r="A6418" s="1" t="str">
        <f>"4601992270309"</f>
        <v>4601992270309</v>
      </c>
      <c r="B6418" s="1" t="s">
        <v>6441</v>
      </c>
      <c r="C6418" s="1" t="s">
        <v>24</v>
      </c>
      <c r="D6418" s="1" t="str">
        <f t="shared" si="11911"/>
        <v>2021</v>
      </c>
      <c r="E6418" s="1" t="str">
        <f t="shared" ref="E6418:P6418" si="11938">"0"</f>
        <v>0</v>
      </c>
      <c r="F6418" s="1" t="str">
        <f t="shared" si="11938"/>
        <v>0</v>
      </c>
      <c r="G6418" s="1" t="str">
        <f t="shared" si="11938"/>
        <v>0</v>
      </c>
      <c r="H6418" s="1" t="str">
        <f t="shared" si="11938"/>
        <v>0</v>
      </c>
      <c r="I6418" s="1" t="str">
        <f t="shared" si="11938"/>
        <v>0</v>
      </c>
      <c r="J6418" s="1" t="str">
        <f t="shared" si="11938"/>
        <v>0</v>
      </c>
      <c r="K6418" s="1" t="str">
        <f t="shared" si="11938"/>
        <v>0</v>
      </c>
      <c r="L6418" s="1" t="str">
        <f t="shared" si="11938"/>
        <v>0</v>
      </c>
      <c r="M6418" s="1" t="str">
        <f t="shared" si="11938"/>
        <v>0</v>
      </c>
      <c r="N6418" s="1" t="str">
        <f t="shared" si="11938"/>
        <v>0</v>
      </c>
      <c r="O6418" s="1" t="str">
        <f t="shared" si="11938"/>
        <v>0</v>
      </c>
      <c r="P6418" s="1" t="str">
        <f t="shared" si="11938"/>
        <v>0</v>
      </c>
      <c r="Q6418" s="1" t="str">
        <f t="shared" si="11914"/>
        <v>0.0070</v>
      </c>
      <c r="R6418" s="1" t="s">
        <v>25</v>
      </c>
      <c r="T6418" s="1" t="str">
        <f t="shared" si="11915"/>
        <v>0</v>
      </c>
      <c r="U6418" s="1" t="str">
        <f t="shared" si="11884"/>
        <v>0.0070</v>
      </c>
    </row>
    <row r="6419" s="1" customFormat="1" spans="1:21">
      <c r="A6419" s="1" t="str">
        <f>"4601992270478"</f>
        <v>4601992270478</v>
      </c>
      <c r="B6419" s="1" t="s">
        <v>6442</v>
      </c>
      <c r="C6419" s="1" t="s">
        <v>24</v>
      </c>
      <c r="D6419" s="1" t="str">
        <f t="shared" si="11911"/>
        <v>2021</v>
      </c>
      <c r="E6419" s="1" t="str">
        <f t="shared" ref="E6419:I6419" si="11939">"0"</f>
        <v>0</v>
      </c>
      <c r="F6419" s="1" t="str">
        <f t="shared" si="11939"/>
        <v>0</v>
      </c>
      <c r="G6419" s="1" t="str">
        <f t="shared" si="11939"/>
        <v>0</v>
      </c>
      <c r="H6419" s="1" t="str">
        <f t="shared" si="11939"/>
        <v>0</v>
      </c>
      <c r="I6419" s="1" t="str">
        <f t="shared" si="11939"/>
        <v>0</v>
      </c>
      <c r="J6419" s="1" t="str">
        <f>"2"</f>
        <v>2</v>
      </c>
      <c r="K6419" s="1" t="str">
        <f t="shared" ref="K6419:P6419" si="11940">"0"</f>
        <v>0</v>
      </c>
      <c r="L6419" s="1" t="str">
        <f t="shared" si="11940"/>
        <v>0</v>
      </c>
      <c r="M6419" s="1" t="str">
        <f t="shared" si="11940"/>
        <v>0</v>
      </c>
      <c r="N6419" s="1" t="str">
        <f t="shared" si="11940"/>
        <v>0</v>
      </c>
      <c r="O6419" s="1" t="str">
        <f t="shared" si="11940"/>
        <v>0</v>
      </c>
      <c r="P6419" s="1" t="str">
        <f t="shared" si="11940"/>
        <v>0</v>
      </c>
      <c r="Q6419" s="1" t="str">
        <f t="shared" si="11914"/>
        <v>0.0070</v>
      </c>
      <c r="R6419" s="1" t="s">
        <v>25</v>
      </c>
      <c r="T6419" s="1" t="str">
        <f t="shared" si="11915"/>
        <v>0</v>
      </c>
      <c r="U6419" s="1" t="str">
        <f t="shared" si="11884"/>
        <v>0.0070</v>
      </c>
    </row>
    <row r="6420" s="1" customFormat="1" spans="1:21">
      <c r="A6420" s="1" t="str">
        <f>"4601992270448"</f>
        <v>4601992270448</v>
      </c>
      <c r="B6420" s="1" t="s">
        <v>6443</v>
      </c>
      <c r="C6420" s="1" t="s">
        <v>24</v>
      </c>
      <c r="D6420" s="1" t="str">
        <f t="shared" si="11911"/>
        <v>2021</v>
      </c>
      <c r="E6420" s="1" t="str">
        <f t="shared" ref="E6420:I6420" si="11941">"0"</f>
        <v>0</v>
      </c>
      <c r="F6420" s="1" t="str">
        <f t="shared" si="11941"/>
        <v>0</v>
      </c>
      <c r="G6420" s="1" t="str">
        <f t="shared" si="11941"/>
        <v>0</v>
      </c>
      <c r="H6420" s="1" t="str">
        <f t="shared" si="11941"/>
        <v>0</v>
      </c>
      <c r="I6420" s="1" t="str">
        <f t="shared" si="11941"/>
        <v>0</v>
      </c>
      <c r="J6420" s="1" t="str">
        <f>"2"</f>
        <v>2</v>
      </c>
      <c r="K6420" s="1" t="str">
        <f t="shared" ref="K6420:P6420" si="11942">"0"</f>
        <v>0</v>
      </c>
      <c r="L6420" s="1" t="str">
        <f t="shared" si="11942"/>
        <v>0</v>
      </c>
      <c r="M6420" s="1" t="str">
        <f t="shared" si="11942"/>
        <v>0</v>
      </c>
      <c r="N6420" s="1" t="str">
        <f t="shared" si="11942"/>
        <v>0</v>
      </c>
      <c r="O6420" s="1" t="str">
        <f t="shared" si="11942"/>
        <v>0</v>
      </c>
      <c r="P6420" s="1" t="str">
        <f t="shared" si="11942"/>
        <v>0</v>
      </c>
      <c r="Q6420" s="1" t="str">
        <f t="shared" si="11914"/>
        <v>0.0070</v>
      </c>
      <c r="R6420" s="1" t="s">
        <v>25</v>
      </c>
      <c r="T6420" s="1" t="str">
        <f t="shared" si="11915"/>
        <v>0</v>
      </c>
      <c r="U6420" s="1" t="str">
        <f t="shared" si="11884"/>
        <v>0.0070</v>
      </c>
    </row>
    <row r="6421" s="1" customFormat="1" spans="1:21">
      <c r="A6421" s="1" t="str">
        <f>"4601992270493"</f>
        <v>4601992270493</v>
      </c>
      <c r="B6421" s="1" t="s">
        <v>6444</v>
      </c>
      <c r="C6421" s="1" t="s">
        <v>24</v>
      </c>
      <c r="D6421" s="1" t="str">
        <f t="shared" si="11911"/>
        <v>2021</v>
      </c>
      <c r="E6421" s="1" t="str">
        <f t="shared" ref="E6421:I6421" si="11943">"0"</f>
        <v>0</v>
      </c>
      <c r="F6421" s="1" t="str">
        <f t="shared" si="11943"/>
        <v>0</v>
      </c>
      <c r="G6421" s="1" t="str">
        <f t="shared" si="11943"/>
        <v>0</v>
      </c>
      <c r="H6421" s="1" t="str">
        <f t="shared" si="11943"/>
        <v>0</v>
      </c>
      <c r="I6421" s="1" t="str">
        <f t="shared" si="11943"/>
        <v>0</v>
      </c>
      <c r="J6421" s="1" t="str">
        <f>"1"</f>
        <v>1</v>
      </c>
      <c r="K6421" s="1" t="str">
        <f t="shared" ref="K6421:P6421" si="11944">"0"</f>
        <v>0</v>
      </c>
      <c r="L6421" s="1" t="str">
        <f t="shared" si="11944"/>
        <v>0</v>
      </c>
      <c r="M6421" s="1" t="str">
        <f t="shared" si="11944"/>
        <v>0</v>
      </c>
      <c r="N6421" s="1" t="str">
        <f t="shared" si="11944"/>
        <v>0</v>
      </c>
      <c r="O6421" s="1" t="str">
        <f t="shared" si="11944"/>
        <v>0</v>
      </c>
      <c r="P6421" s="1" t="str">
        <f t="shared" si="11944"/>
        <v>0</v>
      </c>
      <c r="Q6421" s="1" t="str">
        <f t="shared" si="11914"/>
        <v>0.0070</v>
      </c>
      <c r="R6421" s="1" t="s">
        <v>25</v>
      </c>
      <c r="T6421" s="1" t="str">
        <f t="shared" si="11915"/>
        <v>0</v>
      </c>
      <c r="U6421" s="1" t="str">
        <f t="shared" si="11884"/>
        <v>0.0070</v>
      </c>
    </row>
    <row r="6422" s="1" customFormat="1" spans="1:21">
      <c r="A6422" s="1" t="str">
        <f>"4601992270515"</f>
        <v>4601992270515</v>
      </c>
      <c r="B6422" s="1" t="s">
        <v>6445</v>
      </c>
      <c r="C6422" s="1" t="s">
        <v>24</v>
      </c>
      <c r="D6422" s="1" t="str">
        <f t="shared" si="11911"/>
        <v>2021</v>
      </c>
      <c r="E6422" s="1" t="str">
        <f t="shared" ref="E6422:I6422" si="11945">"0"</f>
        <v>0</v>
      </c>
      <c r="F6422" s="1" t="str">
        <f t="shared" si="11945"/>
        <v>0</v>
      </c>
      <c r="G6422" s="1" t="str">
        <f t="shared" si="11945"/>
        <v>0</v>
      </c>
      <c r="H6422" s="1" t="str">
        <f t="shared" si="11945"/>
        <v>0</v>
      </c>
      <c r="I6422" s="1" t="str">
        <f t="shared" si="11945"/>
        <v>0</v>
      </c>
      <c r="J6422" s="1" t="str">
        <f>"1"</f>
        <v>1</v>
      </c>
      <c r="K6422" s="1" t="str">
        <f t="shared" ref="K6422:P6422" si="11946">"0"</f>
        <v>0</v>
      </c>
      <c r="L6422" s="1" t="str">
        <f t="shared" si="11946"/>
        <v>0</v>
      </c>
      <c r="M6422" s="1" t="str">
        <f t="shared" si="11946"/>
        <v>0</v>
      </c>
      <c r="N6422" s="1" t="str">
        <f t="shared" si="11946"/>
        <v>0</v>
      </c>
      <c r="O6422" s="1" t="str">
        <f t="shared" si="11946"/>
        <v>0</v>
      </c>
      <c r="P6422" s="1" t="str">
        <f t="shared" si="11946"/>
        <v>0</v>
      </c>
      <c r="Q6422" s="1" t="str">
        <f t="shared" si="11914"/>
        <v>0.0070</v>
      </c>
      <c r="R6422" s="1" t="s">
        <v>25</v>
      </c>
      <c r="T6422" s="1" t="str">
        <f t="shared" si="11915"/>
        <v>0</v>
      </c>
      <c r="U6422" s="1" t="str">
        <f t="shared" si="11884"/>
        <v>0.0070</v>
      </c>
    </row>
    <row r="6423" s="1" customFormat="1" spans="1:21">
      <c r="A6423" s="1" t="str">
        <f>"4601992270528"</f>
        <v>4601992270528</v>
      </c>
      <c r="B6423" s="1" t="s">
        <v>6446</v>
      </c>
      <c r="C6423" s="1" t="s">
        <v>24</v>
      </c>
      <c r="D6423" s="1" t="str">
        <f t="shared" si="11911"/>
        <v>2021</v>
      </c>
      <c r="E6423" s="1" t="str">
        <f t="shared" ref="E6423:P6423" si="11947">"0"</f>
        <v>0</v>
      </c>
      <c r="F6423" s="1" t="str">
        <f t="shared" si="11947"/>
        <v>0</v>
      </c>
      <c r="G6423" s="1" t="str">
        <f t="shared" si="11947"/>
        <v>0</v>
      </c>
      <c r="H6423" s="1" t="str">
        <f t="shared" si="11947"/>
        <v>0</v>
      </c>
      <c r="I6423" s="1" t="str">
        <f t="shared" si="11947"/>
        <v>0</v>
      </c>
      <c r="J6423" s="1" t="str">
        <f t="shared" si="11947"/>
        <v>0</v>
      </c>
      <c r="K6423" s="1" t="str">
        <f t="shared" si="11947"/>
        <v>0</v>
      </c>
      <c r="L6423" s="1" t="str">
        <f t="shared" si="11947"/>
        <v>0</v>
      </c>
      <c r="M6423" s="1" t="str">
        <f t="shared" si="11947"/>
        <v>0</v>
      </c>
      <c r="N6423" s="1" t="str">
        <f t="shared" si="11947"/>
        <v>0</v>
      </c>
      <c r="O6423" s="1" t="str">
        <f t="shared" si="11947"/>
        <v>0</v>
      </c>
      <c r="P6423" s="1" t="str">
        <f t="shared" si="11947"/>
        <v>0</v>
      </c>
      <c r="Q6423" s="1" t="str">
        <f t="shared" si="11914"/>
        <v>0.0070</v>
      </c>
      <c r="R6423" s="1" t="s">
        <v>25</v>
      </c>
      <c r="T6423" s="1" t="str">
        <f t="shared" si="11915"/>
        <v>0</v>
      </c>
      <c r="U6423" s="1" t="str">
        <f t="shared" si="11884"/>
        <v>0.0070</v>
      </c>
    </row>
    <row r="6424" s="1" customFormat="1" spans="1:21">
      <c r="A6424" s="1" t="str">
        <f>"4601992270586"</f>
        <v>4601992270586</v>
      </c>
      <c r="B6424" s="1" t="s">
        <v>6447</v>
      </c>
      <c r="C6424" s="1" t="s">
        <v>24</v>
      </c>
      <c r="D6424" s="1" t="str">
        <f t="shared" si="11911"/>
        <v>2021</v>
      </c>
      <c r="E6424" s="1" t="str">
        <f t="shared" ref="E6424:P6424" si="11948">"0"</f>
        <v>0</v>
      </c>
      <c r="F6424" s="1" t="str">
        <f t="shared" si="11948"/>
        <v>0</v>
      </c>
      <c r="G6424" s="1" t="str">
        <f t="shared" si="11948"/>
        <v>0</v>
      </c>
      <c r="H6424" s="1" t="str">
        <f t="shared" si="11948"/>
        <v>0</v>
      </c>
      <c r="I6424" s="1" t="str">
        <f t="shared" si="11948"/>
        <v>0</v>
      </c>
      <c r="J6424" s="1" t="str">
        <f t="shared" si="11948"/>
        <v>0</v>
      </c>
      <c r="K6424" s="1" t="str">
        <f t="shared" si="11948"/>
        <v>0</v>
      </c>
      <c r="L6424" s="1" t="str">
        <f t="shared" si="11948"/>
        <v>0</v>
      </c>
      <c r="M6424" s="1" t="str">
        <f t="shared" si="11948"/>
        <v>0</v>
      </c>
      <c r="N6424" s="1" t="str">
        <f t="shared" si="11948"/>
        <v>0</v>
      </c>
      <c r="O6424" s="1" t="str">
        <f t="shared" si="11948"/>
        <v>0</v>
      </c>
      <c r="P6424" s="1" t="str">
        <f t="shared" si="11948"/>
        <v>0</v>
      </c>
      <c r="Q6424" s="1" t="str">
        <f t="shared" si="11914"/>
        <v>0.0070</v>
      </c>
      <c r="R6424" s="1" t="s">
        <v>25</v>
      </c>
      <c r="T6424" s="1" t="str">
        <f t="shared" si="11915"/>
        <v>0</v>
      </c>
      <c r="U6424" s="1" t="str">
        <f t="shared" si="11884"/>
        <v>0.0070</v>
      </c>
    </row>
    <row r="6425" s="1" customFormat="1" spans="1:21">
      <c r="A6425" s="1" t="str">
        <f>"4601992270711"</f>
        <v>4601992270711</v>
      </c>
      <c r="B6425" s="1" t="s">
        <v>6448</v>
      </c>
      <c r="C6425" s="1" t="s">
        <v>24</v>
      </c>
      <c r="D6425" s="1" t="str">
        <f t="shared" si="11911"/>
        <v>2021</v>
      </c>
      <c r="E6425" s="1" t="str">
        <f t="shared" ref="E6425:P6425" si="11949">"0"</f>
        <v>0</v>
      </c>
      <c r="F6425" s="1" t="str">
        <f t="shared" si="11949"/>
        <v>0</v>
      </c>
      <c r="G6425" s="1" t="str">
        <f t="shared" si="11949"/>
        <v>0</v>
      </c>
      <c r="H6425" s="1" t="str">
        <f t="shared" si="11949"/>
        <v>0</v>
      </c>
      <c r="I6425" s="1" t="str">
        <f t="shared" si="11949"/>
        <v>0</v>
      </c>
      <c r="J6425" s="1" t="str">
        <f t="shared" si="11949"/>
        <v>0</v>
      </c>
      <c r="K6425" s="1" t="str">
        <f t="shared" si="11949"/>
        <v>0</v>
      </c>
      <c r="L6425" s="1" t="str">
        <f t="shared" si="11949"/>
        <v>0</v>
      </c>
      <c r="M6425" s="1" t="str">
        <f t="shared" si="11949"/>
        <v>0</v>
      </c>
      <c r="N6425" s="1" t="str">
        <f t="shared" si="11949"/>
        <v>0</v>
      </c>
      <c r="O6425" s="1" t="str">
        <f t="shared" si="11949"/>
        <v>0</v>
      </c>
      <c r="P6425" s="1" t="str">
        <f t="shared" si="11949"/>
        <v>0</v>
      </c>
      <c r="Q6425" s="1" t="str">
        <f t="shared" si="11914"/>
        <v>0.0070</v>
      </c>
      <c r="R6425" s="1" t="s">
        <v>25</v>
      </c>
      <c r="T6425" s="1" t="str">
        <f t="shared" si="11915"/>
        <v>0</v>
      </c>
      <c r="U6425" s="1" t="str">
        <f t="shared" si="11884"/>
        <v>0.0070</v>
      </c>
    </row>
    <row r="6426" s="1" customFormat="1" spans="1:21">
      <c r="A6426" s="1" t="str">
        <f>"4601992270720"</f>
        <v>4601992270720</v>
      </c>
      <c r="B6426" s="1" t="s">
        <v>6449</v>
      </c>
      <c r="C6426" s="1" t="s">
        <v>24</v>
      </c>
      <c r="D6426" s="1" t="str">
        <f t="shared" si="11911"/>
        <v>2021</v>
      </c>
      <c r="E6426" s="1" t="str">
        <f t="shared" ref="E6426:P6426" si="11950">"0"</f>
        <v>0</v>
      </c>
      <c r="F6426" s="1" t="str">
        <f t="shared" si="11950"/>
        <v>0</v>
      </c>
      <c r="G6426" s="1" t="str">
        <f t="shared" si="11950"/>
        <v>0</v>
      </c>
      <c r="H6426" s="1" t="str">
        <f t="shared" si="11950"/>
        <v>0</v>
      </c>
      <c r="I6426" s="1" t="str">
        <f t="shared" si="11950"/>
        <v>0</v>
      </c>
      <c r="J6426" s="1" t="str">
        <f t="shared" si="11950"/>
        <v>0</v>
      </c>
      <c r="K6426" s="1" t="str">
        <f t="shared" si="11950"/>
        <v>0</v>
      </c>
      <c r="L6426" s="1" t="str">
        <f t="shared" si="11950"/>
        <v>0</v>
      </c>
      <c r="M6426" s="1" t="str">
        <f t="shared" si="11950"/>
        <v>0</v>
      </c>
      <c r="N6426" s="1" t="str">
        <f t="shared" si="11950"/>
        <v>0</v>
      </c>
      <c r="O6426" s="1" t="str">
        <f t="shared" si="11950"/>
        <v>0</v>
      </c>
      <c r="P6426" s="1" t="str">
        <f t="shared" si="11950"/>
        <v>0</v>
      </c>
      <c r="Q6426" s="1" t="str">
        <f t="shared" si="11914"/>
        <v>0.0070</v>
      </c>
      <c r="R6426" s="1" t="s">
        <v>25</v>
      </c>
      <c r="T6426" s="1" t="str">
        <f t="shared" si="11915"/>
        <v>0</v>
      </c>
      <c r="U6426" s="1" t="str">
        <f t="shared" si="11884"/>
        <v>0.0070</v>
      </c>
    </row>
    <row r="6427" s="1" customFormat="1" spans="1:21">
      <c r="A6427" s="1" t="str">
        <f>"4601992270626"</f>
        <v>4601992270626</v>
      </c>
      <c r="B6427" s="1" t="s">
        <v>6450</v>
      </c>
      <c r="C6427" s="1" t="s">
        <v>24</v>
      </c>
      <c r="D6427" s="1" t="str">
        <f t="shared" si="11911"/>
        <v>2021</v>
      </c>
      <c r="E6427" s="1" t="str">
        <f t="shared" ref="E6427:I6427" si="11951">"0"</f>
        <v>0</v>
      </c>
      <c r="F6427" s="1" t="str">
        <f t="shared" si="11951"/>
        <v>0</v>
      </c>
      <c r="G6427" s="1" t="str">
        <f t="shared" si="11951"/>
        <v>0</v>
      </c>
      <c r="H6427" s="1" t="str">
        <f t="shared" si="11951"/>
        <v>0</v>
      </c>
      <c r="I6427" s="1" t="str">
        <f t="shared" si="11951"/>
        <v>0</v>
      </c>
      <c r="J6427" s="1" t="str">
        <f>"3"</f>
        <v>3</v>
      </c>
      <c r="K6427" s="1" t="str">
        <f t="shared" ref="K6427:P6427" si="11952">"0"</f>
        <v>0</v>
      </c>
      <c r="L6427" s="1" t="str">
        <f t="shared" si="11952"/>
        <v>0</v>
      </c>
      <c r="M6427" s="1" t="str">
        <f t="shared" si="11952"/>
        <v>0</v>
      </c>
      <c r="N6427" s="1" t="str">
        <f t="shared" si="11952"/>
        <v>0</v>
      </c>
      <c r="O6427" s="1" t="str">
        <f t="shared" si="11952"/>
        <v>0</v>
      </c>
      <c r="P6427" s="1" t="str">
        <f t="shared" si="11952"/>
        <v>0</v>
      </c>
      <c r="Q6427" s="1" t="str">
        <f t="shared" si="11914"/>
        <v>0.0070</v>
      </c>
      <c r="R6427" s="1" t="s">
        <v>25</v>
      </c>
      <c r="T6427" s="1" t="str">
        <f t="shared" si="11915"/>
        <v>0</v>
      </c>
      <c r="U6427" s="1" t="str">
        <f t="shared" si="11884"/>
        <v>0.0070</v>
      </c>
    </row>
    <row r="6428" s="1" customFormat="1" spans="1:21">
      <c r="A6428" s="1" t="str">
        <f>"4601992270872"</f>
        <v>4601992270872</v>
      </c>
      <c r="B6428" s="1" t="s">
        <v>6451</v>
      </c>
      <c r="C6428" s="1" t="s">
        <v>24</v>
      </c>
      <c r="D6428" s="1" t="str">
        <f t="shared" si="11911"/>
        <v>2021</v>
      </c>
      <c r="E6428" s="1" t="str">
        <f t="shared" ref="E6428:I6428" si="11953">"0"</f>
        <v>0</v>
      </c>
      <c r="F6428" s="1" t="str">
        <f t="shared" si="11953"/>
        <v>0</v>
      </c>
      <c r="G6428" s="1" t="str">
        <f t="shared" si="11953"/>
        <v>0</v>
      </c>
      <c r="H6428" s="1" t="str">
        <f t="shared" si="11953"/>
        <v>0</v>
      </c>
      <c r="I6428" s="1" t="str">
        <f t="shared" si="11953"/>
        <v>0</v>
      </c>
      <c r="J6428" s="1" t="str">
        <f>"1"</f>
        <v>1</v>
      </c>
      <c r="K6428" s="1" t="str">
        <f t="shared" ref="K6428:P6428" si="11954">"0"</f>
        <v>0</v>
      </c>
      <c r="L6428" s="1" t="str">
        <f t="shared" si="11954"/>
        <v>0</v>
      </c>
      <c r="M6428" s="1" t="str">
        <f t="shared" si="11954"/>
        <v>0</v>
      </c>
      <c r="N6428" s="1" t="str">
        <f t="shared" si="11954"/>
        <v>0</v>
      </c>
      <c r="O6428" s="1" t="str">
        <f t="shared" si="11954"/>
        <v>0</v>
      </c>
      <c r="P6428" s="1" t="str">
        <f t="shared" si="11954"/>
        <v>0</v>
      </c>
      <c r="Q6428" s="1" t="str">
        <f t="shared" si="11914"/>
        <v>0.0070</v>
      </c>
      <c r="R6428" s="1" t="s">
        <v>25</v>
      </c>
      <c r="T6428" s="1" t="str">
        <f t="shared" si="11915"/>
        <v>0</v>
      </c>
      <c r="U6428" s="1" t="str">
        <f t="shared" si="11884"/>
        <v>0.0070</v>
      </c>
    </row>
    <row r="6429" s="1" customFormat="1" spans="1:21">
      <c r="A6429" s="1" t="str">
        <f>"4601992271017"</f>
        <v>4601992271017</v>
      </c>
      <c r="B6429" s="1" t="s">
        <v>6452</v>
      </c>
      <c r="C6429" s="1" t="s">
        <v>24</v>
      </c>
      <c r="D6429" s="1" t="str">
        <f t="shared" si="11911"/>
        <v>2021</v>
      </c>
      <c r="E6429" s="1" t="str">
        <f t="shared" ref="E6429:P6429" si="11955">"0"</f>
        <v>0</v>
      </c>
      <c r="F6429" s="1" t="str">
        <f t="shared" si="11955"/>
        <v>0</v>
      </c>
      <c r="G6429" s="1" t="str">
        <f t="shared" si="11955"/>
        <v>0</v>
      </c>
      <c r="H6429" s="1" t="str">
        <f t="shared" si="11955"/>
        <v>0</v>
      </c>
      <c r="I6429" s="1" t="str">
        <f t="shared" si="11955"/>
        <v>0</v>
      </c>
      <c r="J6429" s="1" t="str">
        <f t="shared" si="11955"/>
        <v>0</v>
      </c>
      <c r="K6429" s="1" t="str">
        <f t="shared" si="11955"/>
        <v>0</v>
      </c>
      <c r="L6429" s="1" t="str">
        <f t="shared" si="11955"/>
        <v>0</v>
      </c>
      <c r="M6429" s="1" t="str">
        <f t="shared" si="11955"/>
        <v>0</v>
      </c>
      <c r="N6429" s="1" t="str">
        <f t="shared" si="11955"/>
        <v>0</v>
      </c>
      <c r="O6429" s="1" t="str">
        <f t="shared" si="11955"/>
        <v>0</v>
      </c>
      <c r="P6429" s="1" t="str">
        <f t="shared" si="11955"/>
        <v>0</v>
      </c>
      <c r="Q6429" s="1" t="str">
        <f t="shared" si="11914"/>
        <v>0.0070</v>
      </c>
      <c r="R6429" s="1" t="s">
        <v>25</v>
      </c>
      <c r="T6429" s="1" t="str">
        <f t="shared" si="11915"/>
        <v>0</v>
      </c>
      <c r="U6429" s="1" t="str">
        <f t="shared" si="11884"/>
        <v>0.0070</v>
      </c>
    </row>
    <row r="6430" s="1" customFormat="1" spans="1:21">
      <c r="A6430" s="1" t="str">
        <f>"4601992270932"</f>
        <v>4601992270932</v>
      </c>
      <c r="B6430" s="1" t="s">
        <v>6453</v>
      </c>
      <c r="C6430" s="1" t="s">
        <v>24</v>
      </c>
      <c r="D6430" s="1" t="str">
        <f t="shared" si="11911"/>
        <v>2021</v>
      </c>
      <c r="E6430" s="1" t="str">
        <f t="shared" ref="E6430:I6430" si="11956">"0"</f>
        <v>0</v>
      </c>
      <c r="F6430" s="1" t="str">
        <f t="shared" si="11956"/>
        <v>0</v>
      </c>
      <c r="G6430" s="1" t="str">
        <f t="shared" si="11956"/>
        <v>0</v>
      </c>
      <c r="H6430" s="1" t="str">
        <f t="shared" si="11956"/>
        <v>0</v>
      </c>
      <c r="I6430" s="1" t="str">
        <f t="shared" si="11956"/>
        <v>0</v>
      </c>
      <c r="J6430" s="1" t="str">
        <f>"1"</f>
        <v>1</v>
      </c>
      <c r="K6430" s="1" t="str">
        <f t="shared" ref="K6430:P6430" si="11957">"0"</f>
        <v>0</v>
      </c>
      <c r="L6430" s="1" t="str">
        <f t="shared" si="11957"/>
        <v>0</v>
      </c>
      <c r="M6430" s="1" t="str">
        <f t="shared" si="11957"/>
        <v>0</v>
      </c>
      <c r="N6430" s="1" t="str">
        <f t="shared" si="11957"/>
        <v>0</v>
      </c>
      <c r="O6430" s="1" t="str">
        <f t="shared" si="11957"/>
        <v>0</v>
      </c>
      <c r="P6430" s="1" t="str">
        <f t="shared" si="11957"/>
        <v>0</v>
      </c>
      <c r="Q6430" s="1" t="str">
        <f t="shared" si="11914"/>
        <v>0.0070</v>
      </c>
      <c r="R6430" s="1" t="s">
        <v>25</v>
      </c>
      <c r="T6430" s="1" t="str">
        <f t="shared" si="11915"/>
        <v>0</v>
      </c>
      <c r="U6430" s="1" t="str">
        <f t="shared" si="11884"/>
        <v>0.0070</v>
      </c>
    </row>
    <row r="6431" s="1" customFormat="1" spans="1:21">
      <c r="A6431" s="1" t="str">
        <f>"4601992271057"</f>
        <v>4601992271057</v>
      </c>
      <c r="B6431" s="1" t="s">
        <v>6454</v>
      </c>
      <c r="C6431" s="1" t="s">
        <v>24</v>
      </c>
      <c r="D6431" s="1" t="str">
        <f t="shared" si="11911"/>
        <v>2021</v>
      </c>
      <c r="E6431" s="1" t="str">
        <f t="shared" ref="E6431:P6431" si="11958">"0"</f>
        <v>0</v>
      </c>
      <c r="F6431" s="1" t="str">
        <f t="shared" si="11958"/>
        <v>0</v>
      </c>
      <c r="G6431" s="1" t="str">
        <f t="shared" si="11958"/>
        <v>0</v>
      </c>
      <c r="H6431" s="1" t="str">
        <f t="shared" si="11958"/>
        <v>0</v>
      </c>
      <c r="I6431" s="1" t="str">
        <f t="shared" si="11958"/>
        <v>0</v>
      </c>
      <c r="J6431" s="1" t="str">
        <f t="shared" si="11958"/>
        <v>0</v>
      </c>
      <c r="K6431" s="1" t="str">
        <f t="shared" si="11958"/>
        <v>0</v>
      </c>
      <c r="L6431" s="1" t="str">
        <f t="shared" si="11958"/>
        <v>0</v>
      </c>
      <c r="M6431" s="1" t="str">
        <f t="shared" si="11958"/>
        <v>0</v>
      </c>
      <c r="N6431" s="1" t="str">
        <f t="shared" si="11958"/>
        <v>0</v>
      </c>
      <c r="O6431" s="1" t="str">
        <f t="shared" si="11958"/>
        <v>0</v>
      </c>
      <c r="P6431" s="1" t="str">
        <f t="shared" si="11958"/>
        <v>0</v>
      </c>
      <c r="Q6431" s="1" t="str">
        <f t="shared" si="11914"/>
        <v>0.0070</v>
      </c>
      <c r="R6431" s="1" t="s">
        <v>25</v>
      </c>
      <c r="T6431" s="1" t="str">
        <f t="shared" si="11915"/>
        <v>0</v>
      </c>
      <c r="U6431" s="1" t="str">
        <f t="shared" si="11884"/>
        <v>0.0070</v>
      </c>
    </row>
    <row r="6432" s="1" customFormat="1" spans="1:21">
      <c r="A6432" s="1" t="str">
        <f>"4601992270924"</f>
        <v>4601992270924</v>
      </c>
      <c r="B6432" s="1" t="s">
        <v>6455</v>
      </c>
      <c r="C6432" s="1" t="s">
        <v>24</v>
      </c>
      <c r="D6432" s="1" t="str">
        <f t="shared" si="11911"/>
        <v>2021</v>
      </c>
      <c r="E6432" s="1" t="str">
        <f t="shared" ref="E6432:I6432" si="11959">"0"</f>
        <v>0</v>
      </c>
      <c r="F6432" s="1" t="str">
        <f t="shared" si="11959"/>
        <v>0</v>
      </c>
      <c r="G6432" s="1" t="str">
        <f t="shared" si="11959"/>
        <v>0</v>
      </c>
      <c r="H6432" s="1" t="str">
        <f t="shared" si="11959"/>
        <v>0</v>
      </c>
      <c r="I6432" s="1" t="str">
        <f t="shared" si="11959"/>
        <v>0</v>
      </c>
      <c r="J6432" s="1" t="str">
        <f>"2"</f>
        <v>2</v>
      </c>
      <c r="K6432" s="1" t="str">
        <f t="shared" ref="K6432:P6432" si="11960">"0"</f>
        <v>0</v>
      </c>
      <c r="L6432" s="1" t="str">
        <f t="shared" si="11960"/>
        <v>0</v>
      </c>
      <c r="M6432" s="1" t="str">
        <f t="shared" si="11960"/>
        <v>0</v>
      </c>
      <c r="N6432" s="1" t="str">
        <f t="shared" si="11960"/>
        <v>0</v>
      </c>
      <c r="O6432" s="1" t="str">
        <f t="shared" si="11960"/>
        <v>0</v>
      </c>
      <c r="P6432" s="1" t="str">
        <f t="shared" si="11960"/>
        <v>0</v>
      </c>
      <c r="Q6432" s="1" t="str">
        <f t="shared" si="11914"/>
        <v>0.0070</v>
      </c>
      <c r="R6432" s="1" t="s">
        <v>25</v>
      </c>
      <c r="T6432" s="1" t="str">
        <f t="shared" si="11915"/>
        <v>0</v>
      </c>
      <c r="U6432" s="1" t="str">
        <f t="shared" si="11884"/>
        <v>0.0070</v>
      </c>
    </row>
    <row r="6433" s="1" customFormat="1" spans="1:21">
      <c r="A6433" s="1" t="str">
        <f>"4601992271308"</f>
        <v>4601992271308</v>
      </c>
      <c r="B6433" s="1" t="s">
        <v>6456</v>
      </c>
      <c r="C6433" s="1" t="s">
        <v>24</v>
      </c>
      <c r="D6433" s="1" t="str">
        <f t="shared" si="11911"/>
        <v>2021</v>
      </c>
      <c r="E6433" s="1" t="str">
        <f t="shared" ref="E6433:P6433" si="11961">"0"</f>
        <v>0</v>
      </c>
      <c r="F6433" s="1" t="str">
        <f t="shared" si="11961"/>
        <v>0</v>
      </c>
      <c r="G6433" s="1" t="str">
        <f t="shared" si="11961"/>
        <v>0</v>
      </c>
      <c r="H6433" s="1" t="str">
        <f t="shared" si="11961"/>
        <v>0</v>
      </c>
      <c r="I6433" s="1" t="str">
        <f t="shared" si="11961"/>
        <v>0</v>
      </c>
      <c r="J6433" s="1" t="str">
        <f t="shared" si="11961"/>
        <v>0</v>
      </c>
      <c r="K6433" s="1" t="str">
        <f t="shared" si="11961"/>
        <v>0</v>
      </c>
      <c r="L6433" s="1" t="str">
        <f t="shared" si="11961"/>
        <v>0</v>
      </c>
      <c r="M6433" s="1" t="str">
        <f t="shared" si="11961"/>
        <v>0</v>
      </c>
      <c r="N6433" s="1" t="str">
        <f t="shared" si="11961"/>
        <v>0</v>
      </c>
      <c r="O6433" s="1" t="str">
        <f t="shared" si="11961"/>
        <v>0</v>
      </c>
      <c r="P6433" s="1" t="str">
        <f t="shared" si="11961"/>
        <v>0</v>
      </c>
      <c r="Q6433" s="1" t="str">
        <f t="shared" si="11914"/>
        <v>0.0070</v>
      </c>
      <c r="R6433" s="1" t="s">
        <v>25</v>
      </c>
      <c r="T6433" s="1" t="str">
        <f t="shared" si="11915"/>
        <v>0</v>
      </c>
      <c r="U6433" s="1" t="str">
        <f t="shared" si="11884"/>
        <v>0.0070</v>
      </c>
    </row>
    <row r="6434" s="1" customFormat="1" spans="1:21">
      <c r="A6434" s="1" t="str">
        <f>"4601992271473"</f>
        <v>4601992271473</v>
      </c>
      <c r="B6434" s="1" t="s">
        <v>6457</v>
      </c>
      <c r="C6434" s="1" t="s">
        <v>24</v>
      </c>
      <c r="D6434" s="1" t="str">
        <f t="shared" si="11911"/>
        <v>2021</v>
      </c>
      <c r="E6434" s="1" t="str">
        <f t="shared" ref="E6434:P6434" si="11962">"0"</f>
        <v>0</v>
      </c>
      <c r="F6434" s="1" t="str">
        <f t="shared" si="11962"/>
        <v>0</v>
      </c>
      <c r="G6434" s="1" t="str">
        <f t="shared" si="11962"/>
        <v>0</v>
      </c>
      <c r="H6434" s="1" t="str">
        <f t="shared" si="11962"/>
        <v>0</v>
      </c>
      <c r="I6434" s="1" t="str">
        <f t="shared" si="11962"/>
        <v>0</v>
      </c>
      <c r="J6434" s="1" t="str">
        <f t="shared" si="11962"/>
        <v>0</v>
      </c>
      <c r="K6434" s="1" t="str">
        <f t="shared" si="11962"/>
        <v>0</v>
      </c>
      <c r="L6434" s="1" t="str">
        <f t="shared" si="11962"/>
        <v>0</v>
      </c>
      <c r="M6434" s="1" t="str">
        <f t="shared" si="11962"/>
        <v>0</v>
      </c>
      <c r="N6434" s="1" t="str">
        <f t="shared" si="11962"/>
        <v>0</v>
      </c>
      <c r="O6434" s="1" t="str">
        <f t="shared" si="11962"/>
        <v>0</v>
      </c>
      <c r="P6434" s="1" t="str">
        <f t="shared" si="11962"/>
        <v>0</v>
      </c>
      <c r="Q6434" s="1" t="str">
        <f t="shared" si="11914"/>
        <v>0.0070</v>
      </c>
      <c r="R6434" s="1" t="s">
        <v>25</v>
      </c>
      <c r="T6434" s="1" t="str">
        <f t="shared" si="11915"/>
        <v>0</v>
      </c>
      <c r="U6434" s="1" t="str">
        <f t="shared" si="11884"/>
        <v>0.0070</v>
      </c>
    </row>
    <row r="6435" s="1" customFormat="1" spans="1:21">
      <c r="A6435" s="1" t="str">
        <f>"4601992271627"</f>
        <v>4601992271627</v>
      </c>
      <c r="B6435" s="1" t="s">
        <v>6458</v>
      </c>
      <c r="C6435" s="1" t="s">
        <v>24</v>
      </c>
      <c r="D6435" s="1" t="str">
        <f t="shared" si="11911"/>
        <v>2021</v>
      </c>
      <c r="E6435" s="1" t="str">
        <f t="shared" ref="E6435:P6435" si="11963">"0"</f>
        <v>0</v>
      </c>
      <c r="F6435" s="1" t="str">
        <f t="shared" si="11963"/>
        <v>0</v>
      </c>
      <c r="G6435" s="1" t="str">
        <f t="shared" si="11963"/>
        <v>0</v>
      </c>
      <c r="H6435" s="1" t="str">
        <f t="shared" si="11963"/>
        <v>0</v>
      </c>
      <c r="I6435" s="1" t="str">
        <f t="shared" si="11963"/>
        <v>0</v>
      </c>
      <c r="J6435" s="1" t="str">
        <f t="shared" si="11963"/>
        <v>0</v>
      </c>
      <c r="K6435" s="1" t="str">
        <f t="shared" si="11963"/>
        <v>0</v>
      </c>
      <c r="L6435" s="1" t="str">
        <f t="shared" si="11963"/>
        <v>0</v>
      </c>
      <c r="M6435" s="1" t="str">
        <f t="shared" si="11963"/>
        <v>0</v>
      </c>
      <c r="N6435" s="1" t="str">
        <f t="shared" si="11963"/>
        <v>0</v>
      </c>
      <c r="O6435" s="1" t="str">
        <f t="shared" si="11963"/>
        <v>0</v>
      </c>
      <c r="P6435" s="1" t="str">
        <f t="shared" si="11963"/>
        <v>0</v>
      </c>
      <c r="Q6435" s="1" t="str">
        <f t="shared" si="11914"/>
        <v>0.0070</v>
      </c>
      <c r="R6435" s="1" t="s">
        <v>25</v>
      </c>
      <c r="T6435" s="1" t="str">
        <f t="shared" si="11915"/>
        <v>0</v>
      </c>
      <c r="U6435" s="1" t="str">
        <f t="shared" si="11884"/>
        <v>0.0070</v>
      </c>
    </row>
    <row r="6436" s="1" customFormat="1" spans="1:21">
      <c r="A6436" s="1" t="str">
        <f>"4601992271648"</f>
        <v>4601992271648</v>
      </c>
      <c r="B6436" s="1" t="s">
        <v>6459</v>
      </c>
      <c r="C6436" s="1" t="s">
        <v>24</v>
      </c>
      <c r="D6436" s="1" t="str">
        <f t="shared" si="11911"/>
        <v>2021</v>
      </c>
      <c r="E6436" s="1" t="str">
        <f t="shared" ref="E6436:P6436" si="11964">"0"</f>
        <v>0</v>
      </c>
      <c r="F6436" s="1" t="str">
        <f t="shared" si="11964"/>
        <v>0</v>
      </c>
      <c r="G6436" s="1" t="str">
        <f t="shared" si="11964"/>
        <v>0</v>
      </c>
      <c r="H6436" s="1" t="str">
        <f t="shared" si="11964"/>
        <v>0</v>
      </c>
      <c r="I6436" s="1" t="str">
        <f t="shared" si="11964"/>
        <v>0</v>
      </c>
      <c r="J6436" s="1" t="str">
        <f t="shared" si="11964"/>
        <v>0</v>
      </c>
      <c r="K6436" s="1" t="str">
        <f t="shared" si="11964"/>
        <v>0</v>
      </c>
      <c r="L6436" s="1" t="str">
        <f t="shared" si="11964"/>
        <v>0</v>
      </c>
      <c r="M6436" s="1" t="str">
        <f t="shared" si="11964"/>
        <v>0</v>
      </c>
      <c r="N6436" s="1" t="str">
        <f t="shared" si="11964"/>
        <v>0</v>
      </c>
      <c r="O6436" s="1" t="str">
        <f t="shared" si="11964"/>
        <v>0</v>
      </c>
      <c r="P6436" s="1" t="str">
        <f t="shared" si="11964"/>
        <v>0</v>
      </c>
      <c r="Q6436" s="1" t="str">
        <f t="shared" si="11914"/>
        <v>0.0070</v>
      </c>
      <c r="R6436" s="1" t="s">
        <v>25</v>
      </c>
      <c r="T6436" s="1" t="str">
        <f t="shared" si="11915"/>
        <v>0</v>
      </c>
      <c r="U6436" s="1" t="str">
        <f t="shared" si="11884"/>
        <v>0.0070</v>
      </c>
    </row>
    <row r="6437" s="1" customFormat="1" spans="1:21">
      <c r="A6437" s="1" t="str">
        <f>"4601992272031"</f>
        <v>4601992272031</v>
      </c>
      <c r="B6437" s="1" t="s">
        <v>6460</v>
      </c>
      <c r="C6437" s="1" t="s">
        <v>24</v>
      </c>
      <c r="D6437" s="1" t="str">
        <f t="shared" si="11911"/>
        <v>2021</v>
      </c>
      <c r="E6437" s="1" t="str">
        <f t="shared" ref="E6437:P6437" si="11965">"0"</f>
        <v>0</v>
      </c>
      <c r="F6437" s="1" t="str">
        <f t="shared" si="11965"/>
        <v>0</v>
      </c>
      <c r="G6437" s="1" t="str">
        <f t="shared" si="11965"/>
        <v>0</v>
      </c>
      <c r="H6437" s="1" t="str">
        <f t="shared" si="11965"/>
        <v>0</v>
      </c>
      <c r="I6437" s="1" t="str">
        <f t="shared" si="11965"/>
        <v>0</v>
      </c>
      <c r="J6437" s="1" t="str">
        <f t="shared" si="11965"/>
        <v>0</v>
      </c>
      <c r="K6437" s="1" t="str">
        <f t="shared" si="11965"/>
        <v>0</v>
      </c>
      <c r="L6437" s="1" t="str">
        <f t="shared" si="11965"/>
        <v>0</v>
      </c>
      <c r="M6437" s="1" t="str">
        <f t="shared" si="11965"/>
        <v>0</v>
      </c>
      <c r="N6437" s="1" t="str">
        <f t="shared" si="11965"/>
        <v>0</v>
      </c>
      <c r="O6437" s="1" t="str">
        <f t="shared" si="11965"/>
        <v>0</v>
      </c>
      <c r="P6437" s="1" t="str">
        <f t="shared" si="11965"/>
        <v>0</v>
      </c>
      <c r="Q6437" s="1" t="str">
        <f t="shared" si="11914"/>
        <v>0.0070</v>
      </c>
      <c r="R6437" s="1" t="s">
        <v>25</v>
      </c>
      <c r="T6437" s="1" t="str">
        <f t="shared" si="11915"/>
        <v>0</v>
      </c>
      <c r="U6437" s="1" t="str">
        <f t="shared" si="11884"/>
        <v>0.0070</v>
      </c>
    </row>
    <row r="6438" s="1" customFormat="1" spans="1:21">
      <c r="A6438" s="1" t="str">
        <f>"4601992090051"</f>
        <v>4601992090051</v>
      </c>
      <c r="B6438" s="1" t="s">
        <v>6461</v>
      </c>
      <c r="C6438" s="1" t="s">
        <v>24</v>
      </c>
      <c r="D6438" s="1" t="str">
        <f t="shared" si="11911"/>
        <v>2021</v>
      </c>
      <c r="E6438" s="1" t="str">
        <f t="shared" ref="E6438:P6438" si="11966">"0"</f>
        <v>0</v>
      </c>
      <c r="F6438" s="1" t="str">
        <f t="shared" si="11966"/>
        <v>0</v>
      </c>
      <c r="G6438" s="1" t="str">
        <f t="shared" si="11966"/>
        <v>0</v>
      </c>
      <c r="H6438" s="1" t="str">
        <f t="shared" si="11966"/>
        <v>0</v>
      </c>
      <c r="I6438" s="1" t="str">
        <f t="shared" si="11966"/>
        <v>0</v>
      </c>
      <c r="J6438" s="1" t="str">
        <f t="shared" si="11966"/>
        <v>0</v>
      </c>
      <c r="K6438" s="1" t="str">
        <f t="shared" si="11966"/>
        <v>0</v>
      </c>
      <c r="L6438" s="1" t="str">
        <f t="shared" si="11966"/>
        <v>0</v>
      </c>
      <c r="M6438" s="1" t="str">
        <f t="shared" si="11966"/>
        <v>0</v>
      </c>
      <c r="N6438" s="1" t="str">
        <f t="shared" si="11966"/>
        <v>0</v>
      </c>
      <c r="O6438" s="1" t="str">
        <f t="shared" si="11966"/>
        <v>0</v>
      </c>
      <c r="P6438" s="1" t="str">
        <f t="shared" si="11966"/>
        <v>0</v>
      </c>
      <c r="Q6438" s="1" t="str">
        <f t="shared" si="11914"/>
        <v>0.0070</v>
      </c>
      <c r="R6438" s="1" t="s">
        <v>25</v>
      </c>
      <c r="T6438" s="1" t="str">
        <f t="shared" si="11915"/>
        <v>0</v>
      </c>
      <c r="U6438" s="1" t="str">
        <f t="shared" si="11884"/>
        <v>0.0070</v>
      </c>
    </row>
    <row r="6439" s="1" customFormat="1" spans="1:21">
      <c r="A6439" s="1" t="str">
        <f>"4601992271700"</f>
        <v>4601992271700</v>
      </c>
      <c r="B6439" s="1" t="s">
        <v>6462</v>
      </c>
      <c r="C6439" s="1" t="s">
        <v>24</v>
      </c>
      <c r="D6439" s="1" t="str">
        <f t="shared" si="11911"/>
        <v>2021</v>
      </c>
      <c r="E6439" s="1" t="str">
        <f t="shared" ref="E6439:I6439" si="11967">"0"</f>
        <v>0</v>
      </c>
      <c r="F6439" s="1" t="str">
        <f t="shared" si="11967"/>
        <v>0</v>
      </c>
      <c r="G6439" s="1" t="str">
        <f t="shared" si="11967"/>
        <v>0</v>
      </c>
      <c r="H6439" s="1" t="str">
        <f t="shared" si="11967"/>
        <v>0</v>
      </c>
      <c r="I6439" s="1" t="str">
        <f t="shared" si="11967"/>
        <v>0</v>
      </c>
      <c r="J6439" s="1" t="str">
        <f>"2"</f>
        <v>2</v>
      </c>
      <c r="K6439" s="1" t="str">
        <f t="shared" ref="K6439:P6439" si="11968">"0"</f>
        <v>0</v>
      </c>
      <c r="L6439" s="1" t="str">
        <f t="shared" si="11968"/>
        <v>0</v>
      </c>
      <c r="M6439" s="1" t="str">
        <f t="shared" si="11968"/>
        <v>0</v>
      </c>
      <c r="N6439" s="1" t="str">
        <f t="shared" si="11968"/>
        <v>0</v>
      </c>
      <c r="O6439" s="1" t="str">
        <f t="shared" si="11968"/>
        <v>0</v>
      </c>
      <c r="P6439" s="1" t="str">
        <f t="shared" si="11968"/>
        <v>0</v>
      </c>
      <c r="Q6439" s="1" t="str">
        <f t="shared" si="11914"/>
        <v>0.0070</v>
      </c>
      <c r="R6439" s="1" t="s">
        <v>25</v>
      </c>
      <c r="T6439" s="1" t="str">
        <f t="shared" si="11915"/>
        <v>0</v>
      </c>
      <c r="U6439" s="1" t="str">
        <f t="shared" si="11884"/>
        <v>0.0070</v>
      </c>
    </row>
    <row r="6440" s="1" customFormat="1" spans="1:21">
      <c r="A6440" s="1" t="str">
        <f>"4601992271787"</f>
        <v>4601992271787</v>
      </c>
      <c r="B6440" s="1" t="s">
        <v>6463</v>
      </c>
      <c r="C6440" s="1" t="s">
        <v>24</v>
      </c>
      <c r="D6440" s="1" t="str">
        <f t="shared" si="11911"/>
        <v>2021</v>
      </c>
      <c r="E6440" s="1" t="str">
        <f t="shared" ref="E6440:I6440" si="11969">"0"</f>
        <v>0</v>
      </c>
      <c r="F6440" s="1" t="str">
        <f t="shared" si="11969"/>
        <v>0</v>
      </c>
      <c r="G6440" s="1" t="str">
        <f t="shared" si="11969"/>
        <v>0</v>
      </c>
      <c r="H6440" s="1" t="str">
        <f t="shared" si="11969"/>
        <v>0</v>
      </c>
      <c r="I6440" s="1" t="str">
        <f t="shared" si="11969"/>
        <v>0</v>
      </c>
      <c r="J6440" s="1" t="str">
        <f>"1"</f>
        <v>1</v>
      </c>
      <c r="K6440" s="1" t="str">
        <f t="shared" ref="K6440:P6440" si="11970">"0"</f>
        <v>0</v>
      </c>
      <c r="L6440" s="1" t="str">
        <f t="shared" si="11970"/>
        <v>0</v>
      </c>
      <c r="M6440" s="1" t="str">
        <f t="shared" si="11970"/>
        <v>0</v>
      </c>
      <c r="N6440" s="1" t="str">
        <f t="shared" si="11970"/>
        <v>0</v>
      </c>
      <c r="O6440" s="1" t="str">
        <f t="shared" si="11970"/>
        <v>0</v>
      </c>
      <c r="P6440" s="1" t="str">
        <f t="shared" si="11970"/>
        <v>0</v>
      </c>
      <c r="Q6440" s="1" t="str">
        <f t="shared" si="11914"/>
        <v>0.0070</v>
      </c>
      <c r="R6440" s="1" t="s">
        <v>25</v>
      </c>
      <c r="T6440" s="1" t="str">
        <f t="shared" si="11915"/>
        <v>0</v>
      </c>
      <c r="U6440" s="1" t="str">
        <f t="shared" si="11884"/>
        <v>0.0070</v>
      </c>
    </row>
    <row r="6441" s="1" customFormat="1" spans="1:21">
      <c r="A6441" s="1" t="str">
        <f>"4601992272153"</f>
        <v>4601992272153</v>
      </c>
      <c r="B6441" s="1" t="s">
        <v>6464</v>
      </c>
      <c r="C6441" s="1" t="s">
        <v>24</v>
      </c>
      <c r="D6441" s="1" t="str">
        <f t="shared" si="11911"/>
        <v>2021</v>
      </c>
      <c r="E6441" s="1" t="str">
        <f t="shared" ref="E6441:P6441" si="11971">"0"</f>
        <v>0</v>
      </c>
      <c r="F6441" s="1" t="str">
        <f t="shared" si="11971"/>
        <v>0</v>
      </c>
      <c r="G6441" s="1" t="str">
        <f t="shared" si="11971"/>
        <v>0</v>
      </c>
      <c r="H6441" s="1" t="str">
        <f t="shared" si="11971"/>
        <v>0</v>
      </c>
      <c r="I6441" s="1" t="str">
        <f t="shared" si="11971"/>
        <v>0</v>
      </c>
      <c r="J6441" s="1" t="str">
        <f t="shared" si="11971"/>
        <v>0</v>
      </c>
      <c r="K6441" s="1" t="str">
        <f t="shared" si="11971"/>
        <v>0</v>
      </c>
      <c r="L6441" s="1" t="str">
        <f t="shared" si="11971"/>
        <v>0</v>
      </c>
      <c r="M6441" s="1" t="str">
        <f t="shared" si="11971"/>
        <v>0</v>
      </c>
      <c r="N6441" s="1" t="str">
        <f t="shared" si="11971"/>
        <v>0</v>
      </c>
      <c r="O6441" s="1" t="str">
        <f t="shared" si="11971"/>
        <v>0</v>
      </c>
      <c r="P6441" s="1" t="str">
        <f t="shared" si="11971"/>
        <v>0</v>
      </c>
      <c r="Q6441" s="1" t="str">
        <f t="shared" si="11914"/>
        <v>0.0070</v>
      </c>
      <c r="R6441" s="1" t="s">
        <v>25</v>
      </c>
      <c r="T6441" s="1" t="str">
        <f t="shared" si="11915"/>
        <v>0</v>
      </c>
      <c r="U6441" s="1" t="str">
        <f t="shared" si="11884"/>
        <v>0.0070</v>
      </c>
    </row>
    <row r="6442" s="1" customFormat="1" spans="1:21">
      <c r="A6442" s="1" t="str">
        <f>"4601992272166"</f>
        <v>4601992272166</v>
      </c>
      <c r="B6442" s="1" t="s">
        <v>6465</v>
      </c>
      <c r="C6442" s="1" t="s">
        <v>24</v>
      </c>
      <c r="D6442" s="1" t="str">
        <f t="shared" si="11911"/>
        <v>2021</v>
      </c>
      <c r="E6442" s="1" t="str">
        <f t="shared" ref="E6442:P6442" si="11972">"0"</f>
        <v>0</v>
      </c>
      <c r="F6442" s="1" t="str">
        <f t="shared" si="11972"/>
        <v>0</v>
      </c>
      <c r="G6442" s="1" t="str">
        <f t="shared" si="11972"/>
        <v>0</v>
      </c>
      <c r="H6442" s="1" t="str">
        <f t="shared" si="11972"/>
        <v>0</v>
      </c>
      <c r="I6442" s="1" t="str">
        <f t="shared" si="11972"/>
        <v>0</v>
      </c>
      <c r="J6442" s="1" t="str">
        <f t="shared" si="11972"/>
        <v>0</v>
      </c>
      <c r="K6442" s="1" t="str">
        <f t="shared" si="11972"/>
        <v>0</v>
      </c>
      <c r="L6442" s="1" t="str">
        <f t="shared" si="11972"/>
        <v>0</v>
      </c>
      <c r="M6442" s="1" t="str">
        <f t="shared" si="11972"/>
        <v>0</v>
      </c>
      <c r="N6442" s="1" t="str">
        <f t="shared" si="11972"/>
        <v>0</v>
      </c>
      <c r="O6442" s="1" t="str">
        <f t="shared" si="11972"/>
        <v>0</v>
      </c>
      <c r="P6442" s="1" t="str">
        <f t="shared" si="11972"/>
        <v>0</v>
      </c>
      <c r="Q6442" s="1" t="str">
        <f t="shared" si="11914"/>
        <v>0.0070</v>
      </c>
      <c r="R6442" s="1" t="s">
        <v>25</v>
      </c>
      <c r="T6442" s="1" t="str">
        <f t="shared" si="11915"/>
        <v>0</v>
      </c>
      <c r="U6442" s="1" t="str">
        <f t="shared" si="11884"/>
        <v>0.0070</v>
      </c>
    </row>
    <row r="6443" s="1" customFormat="1" spans="1:21">
      <c r="A6443" s="1" t="str">
        <f>"4601992272178"</f>
        <v>4601992272178</v>
      </c>
      <c r="B6443" s="1" t="s">
        <v>6466</v>
      </c>
      <c r="C6443" s="1" t="s">
        <v>24</v>
      </c>
      <c r="D6443" s="1" t="str">
        <f t="shared" si="11911"/>
        <v>2021</v>
      </c>
      <c r="E6443" s="1" t="str">
        <f t="shared" ref="E6443:P6443" si="11973">"0"</f>
        <v>0</v>
      </c>
      <c r="F6443" s="1" t="str">
        <f t="shared" si="11973"/>
        <v>0</v>
      </c>
      <c r="G6443" s="1" t="str">
        <f t="shared" si="11973"/>
        <v>0</v>
      </c>
      <c r="H6443" s="1" t="str">
        <f t="shared" si="11973"/>
        <v>0</v>
      </c>
      <c r="I6443" s="1" t="str">
        <f t="shared" si="11973"/>
        <v>0</v>
      </c>
      <c r="J6443" s="1" t="str">
        <f t="shared" si="11973"/>
        <v>0</v>
      </c>
      <c r="K6443" s="1" t="str">
        <f t="shared" si="11973"/>
        <v>0</v>
      </c>
      <c r="L6443" s="1" t="str">
        <f t="shared" si="11973"/>
        <v>0</v>
      </c>
      <c r="M6443" s="1" t="str">
        <f t="shared" si="11973"/>
        <v>0</v>
      </c>
      <c r="N6443" s="1" t="str">
        <f t="shared" si="11973"/>
        <v>0</v>
      </c>
      <c r="O6443" s="1" t="str">
        <f t="shared" si="11973"/>
        <v>0</v>
      </c>
      <c r="P6443" s="1" t="str">
        <f t="shared" si="11973"/>
        <v>0</v>
      </c>
      <c r="Q6443" s="1" t="str">
        <f t="shared" si="11914"/>
        <v>0.0070</v>
      </c>
      <c r="R6443" s="1" t="s">
        <v>25</v>
      </c>
      <c r="T6443" s="1" t="str">
        <f t="shared" si="11915"/>
        <v>0</v>
      </c>
      <c r="U6443" s="1" t="str">
        <f t="shared" si="11884"/>
        <v>0.0070</v>
      </c>
    </row>
    <row r="6444" s="1" customFormat="1" spans="1:21">
      <c r="A6444" s="1" t="str">
        <f>"4601992272286"</f>
        <v>4601992272286</v>
      </c>
      <c r="B6444" s="1" t="s">
        <v>6467</v>
      </c>
      <c r="C6444" s="1" t="s">
        <v>24</v>
      </c>
      <c r="D6444" s="1" t="str">
        <f t="shared" si="11911"/>
        <v>2021</v>
      </c>
      <c r="E6444" s="1" t="str">
        <f t="shared" ref="E6444:P6444" si="11974">"0"</f>
        <v>0</v>
      </c>
      <c r="F6444" s="1" t="str">
        <f t="shared" si="11974"/>
        <v>0</v>
      </c>
      <c r="G6444" s="1" t="str">
        <f t="shared" si="11974"/>
        <v>0</v>
      </c>
      <c r="H6444" s="1" t="str">
        <f t="shared" si="11974"/>
        <v>0</v>
      </c>
      <c r="I6444" s="1" t="str">
        <f t="shared" si="11974"/>
        <v>0</v>
      </c>
      <c r="J6444" s="1" t="str">
        <f t="shared" si="11974"/>
        <v>0</v>
      </c>
      <c r="K6444" s="1" t="str">
        <f t="shared" si="11974"/>
        <v>0</v>
      </c>
      <c r="L6444" s="1" t="str">
        <f t="shared" si="11974"/>
        <v>0</v>
      </c>
      <c r="M6444" s="1" t="str">
        <f t="shared" si="11974"/>
        <v>0</v>
      </c>
      <c r="N6444" s="1" t="str">
        <f t="shared" si="11974"/>
        <v>0</v>
      </c>
      <c r="O6444" s="1" t="str">
        <f t="shared" si="11974"/>
        <v>0</v>
      </c>
      <c r="P6444" s="1" t="str">
        <f t="shared" si="11974"/>
        <v>0</v>
      </c>
      <c r="Q6444" s="1" t="str">
        <f t="shared" si="11914"/>
        <v>0.0070</v>
      </c>
      <c r="R6444" s="1" t="s">
        <v>25</v>
      </c>
      <c r="T6444" s="1" t="str">
        <f t="shared" si="11915"/>
        <v>0</v>
      </c>
      <c r="U6444" s="1" t="str">
        <f t="shared" si="11884"/>
        <v>0.0070</v>
      </c>
    </row>
    <row r="6445" s="1" customFormat="1" spans="1:21">
      <c r="A6445" s="1" t="str">
        <f>"4601992272835"</f>
        <v>4601992272835</v>
      </c>
      <c r="B6445" s="1" t="s">
        <v>6468</v>
      </c>
      <c r="C6445" s="1" t="s">
        <v>24</v>
      </c>
      <c r="D6445" s="1" t="str">
        <f t="shared" si="11911"/>
        <v>2021</v>
      </c>
      <c r="E6445" s="1" t="str">
        <f t="shared" ref="E6445:P6445" si="11975">"0"</f>
        <v>0</v>
      </c>
      <c r="F6445" s="1" t="str">
        <f t="shared" si="11975"/>
        <v>0</v>
      </c>
      <c r="G6445" s="1" t="str">
        <f t="shared" si="11975"/>
        <v>0</v>
      </c>
      <c r="H6445" s="1" t="str">
        <f t="shared" si="11975"/>
        <v>0</v>
      </c>
      <c r="I6445" s="1" t="str">
        <f t="shared" si="11975"/>
        <v>0</v>
      </c>
      <c r="J6445" s="1" t="str">
        <f t="shared" si="11975"/>
        <v>0</v>
      </c>
      <c r="K6445" s="1" t="str">
        <f t="shared" si="11975"/>
        <v>0</v>
      </c>
      <c r="L6445" s="1" t="str">
        <f t="shared" si="11975"/>
        <v>0</v>
      </c>
      <c r="M6445" s="1" t="str">
        <f t="shared" si="11975"/>
        <v>0</v>
      </c>
      <c r="N6445" s="1" t="str">
        <f t="shared" si="11975"/>
        <v>0</v>
      </c>
      <c r="O6445" s="1" t="str">
        <f t="shared" si="11975"/>
        <v>0</v>
      </c>
      <c r="P6445" s="1" t="str">
        <f t="shared" si="11975"/>
        <v>0</v>
      </c>
      <c r="Q6445" s="1" t="str">
        <f t="shared" si="11914"/>
        <v>0.0070</v>
      </c>
      <c r="R6445" s="1" t="s">
        <v>25</v>
      </c>
      <c r="T6445" s="1" t="str">
        <f t="shared" si="11915"/>
        <v>0</v>
      </c>
      <c r="U6445" s="1" t="str">
        <f t="shared" ref="U6445:U6458" si="11976">"0.0070"</f>
        <v>0.0070</v>
      </c>
    </row>
    <row r="6446" s="1" customFormat="1" spans="1:21">
      <c r="A6446" s="1" t="str">
        <f>"4601992272792"</f>
        <v>4601992272792</v>
      </c>
      <c r="B6446" s="1" t="s">
        <v>6469</v>
      </c>
      <c r="C6446" s="1" t="s">
        <v>24</v>
      </c>
      <c r="D6446" s="1" t="str">
        <f t="shared" si="11911"/>
        <v>2021</v>
      </c>
      <c r="E6446" s="1" t="str">
        <f t="shared" ref="E6446:I6446" si="11977">"0"</f>
        <v>0</v>
      </c>
      <c r="F6446" s="1" t="str">
        <f t="shared" si="11977"/>
        <v>0</v>
      </c>
      <c r="G6446" s="1" t="str">
        <f t="shared" si="11977"/>
        <v>0</v>
      </c>
      <c r="H6446" s="1" t="str">
        <f t="shared" si="11977"/>
        <v>0</v>
      </c>
      <c r="I6446" s="1" t="str">
        <f t="shared" si="11977"/>
        <v>0</v>
      </c>
      <c r="J6446" s="1" t="str">
        <f t="shared" ref="J6446:J6451" si="11978">"1"</f>
        <v>1</v>
      </c>
      <c r="K6446" s="1" t="str">
        <f t="shared" ref="K6446:P6446" si="11979">"0"</f>
        <v>0</v>
      </c>
      <c r="L6446" s="1" t="str">
        <f t="shared" si="11979"/>
        <v>0</v>
      </c>
      <c r="M6446" s="1" t="str">
        <f t="shared" si="11979"/>
        <v>0</v>
      </c>
      <c r="N6446" s="1" t="str">
        <f t="shared" si="11979"/>
        <v>0</v>
      </c>
      <c r="O6446" s="1" t="str">
        <f t="shared" si="11979"/>
        <v>0</v>
      </c>
      <c r="P6446" s="1" t="str">
        <f t="shared" si="11979"/>
        <v>0</v>
      </c>
      <c r="Q6446" s="1" t="str">
        <f t="shared" si="11914"/>
        <v>0.0070</v>
      </c>
      <c r="R6446" s="1" t="s">
        <v>25</v>
      </c>
      <c r="T6446" s="1" t="str">
        <f t="shared" si="11915"/>
        <v>0</v>
      </c>
      <c r="U6446" s="1" t="str">
        <f t="shared" si="11976"/>
        <v>0.0070</v>
      </c>
    </row>
    <row r="6447" s="1" customFormat="1" spans="1:21">
      <c r="A6447" s="1" t="str">
        <f>"4601992273141"</f>
        <v>4601992273141</v>
      </c>
      <c r="B6447" s="1" t="s">
        <v>6470</v>
      </c>
      <c r="C6447" s="1" t="s">
        <v>24</v>
      </c>
      <c r="D6447" s="1" t="str">
        <f t="shared" si="11911"/>
        <v>2021</v>
      </c>
      <c r="E6447" s="1" t="str">
        <f t="shared" ref="E6447:P6447" si="11980">"0"</f>
        <v>0</v>
      </c>
      <c r="F6447" s="1" t="str">
        <f t="shared" si="11980"/>
        <v>0</v>
      </c>
      <c r="G6447" s="1" t="str">
        <f t="shared" si="11980"/>
        <v>0</v>
      </c>
      <c r="H6447" s="1" t="str">
        <f t="shared" si="11980"/>
        <v>0</v>
      </c>
      <c r="I6447" s="1" t="str">
        <f t="shared" si="11980"/>
        <v>0</v>
      </c>
      <c r="J6447" s="1" t="str">
        <f t="shared" si="11980"/>
        <v>0</v>
      </c>
      <c r="K6447" s="1" t="str">
        <f t="shared" si="11980"/>
        <v>0</v>
      </c>
      <c r="L6447" s="1" t="str">
        <f t="shared" si="11980"/>
        <v>0</v>
      </c>
      <c r="M6447" s="1" t="str">
        <f t="shared" si="11980"/>
        <v>0</v>
      </c>
      <c r="N6447" s="1" t="str">
        <f t="shared" si="11980"/>
        <v>0</v>
      </c>
      <c r="O6447" s="1" t="str">
        <f t="shared" si="11980"/>
        <v>0</v>
      </c>
      <c r="P6447" s="1" t="str">
        <f t="shared" si="11980"/>
        <v>0</v>
      </c>
      <c r="Q6447" s="1" t="str">
        <f t="shared" si="11914"/>
        <v>0.0070</v>
      </c>
      <c r="R6447" s="1" t="s">
        <v>25</v>
      </c>
      <c r="T6447" s="1" t="str">
        <f t="shared" si="11915"/>
        <v>0</v>
      </c>
      <c r="U6447" s="1" t="str">
        <f t="shared" si="11976"/>
        <v>0.0070</v>
      </c>
    </row>
    <row r="6448" s="1" customFormat="1" spans="1:21">
      <c r="A6448" s="1" t="str">
        <f>"4601992273069"</f>
        <v>4601992273069</v>
      </c>
      <c r="B6448" s="1" t="s">
        <v>6471</v>
      </c>
      <c r="C6448" s="1" t="s">
        <v>24</v>
      </c>
      <c r="D6448" s="1" t="str">
        <f t="shared" si="11911"/>
        <v>2021</v>
      </c>
      <c r="E6448" s="1" t="str">
        <f t="shared" ref="E6448:I6448" si="11981">"0"</f>
        <v>0</v>
      </c>
      <c r="F6448" s="1" t="str">
        <f t="shared" si="11981"/>
        <v>0</v>
      </c>
      <c r="G6448" s="1" t="str">
        <f t="shared" si="11981"/>
        <v>0</v>
      </c>
      <c r="H6448" s="1" t="str">
        <f t="shared" si="11981"/>
        <v>0</v>
      </c>
      <c r="I6448" s="1" t="str">
        <f t="shared" si="11981"/>
        <v>0</v>
      </c>
      <c r="J6448" s="1" t="str">
        <f t="shared" si="11978"/>
        <v>1</v>
      </c>
      <c r="K6448" s="1" t="str">
        <f t="shared" ref="K6448:P6448" si="11982">"0"</f>
        <v>0</v>
      </c>
      <c r="L6448" s="1" t="str">
        <f t="shared" si="11982"/>
        <v>0</v>
      </c>
      <c r="M6448" s="1" t="str">
        <f t="shared" si="11982"/>
        <v>0</v>
      </c>
      <c r="N6448" s="1" t="str">
        <f t="shared" si="11982"/>
        <v>0</v>
      </c>
      <c r="O6448" s="1" t="str">
        <f t="shared" si="11982"/>
        <v>0</v>
      </c>
      <c r="P6448" s="1" t="str">
        <f t="shared" si="11982"/>
        <v>0</v>
      </c>
      <c r="Q6448" s="1" t="str">
        <f t="shared" si="11914"/>
        <v>0.0070</v>
      </c>
      <c r="R6448" s="1" t="s">
        <v>25</v>
      </c>
      <c r="T6448" s="1" t="str">
        <f t="shared" si="11915"/>
        <v>0</v>
      </c>
      <c r="U6448" s="1" t="str">
        <f t="shared" si="11976"/>
        <v>0.0070</v>
      </c>
    </row>
    <row r="6449" s="1" customFormat="1" spans="1:21">
      <c r="A6449" s="1" t="str">
        <f>"4601992273126"</f>
        <v>4601992273126</v>
      </c>
      <c r="B6449" s="1" t="s">
        <v>6472</v>
      </c>
      <c r="C6449" s="1" t="s">
        <v>24</v>
      </c>
      <c r="D6449" s="1" t="str">
        <f t="shared" si="11911"/>
        <v>2021</v>
      </c>
      <c r="E6449" s="1" t="str">
        <f t="shared" ref="E6449:P6449" si="11983">"0"</f>
        <v>0</v>
      </c>
      <c r="F6449" s="1" t="str">
        <f t="shared" si="11983"/>
        <v>0</v>
      </c>
      <c r="G6449" s="1" t="str">
        <f t="shared" si="11983"/>
        <v>0</v>
      </c>
      <c r="H6449" s="1" t="str">
        <f t="shared" si="11983"/>
        <v>0</v>
      </c>
      <c r="I6449" s="1" t="str">
        <f t="shared" si="11983"/>
        <v>0</v>
      </c>
      <c r="J6449" s="1" t="str">
        <f t="shared" si="11983"/>
        <v>0</v>
      </c>
      <c r="K6449" s="1" t="str">
        <f t="shared" si="11983"/>
        <v>0</v>
      </c>
      <c r="L6449" s="1" t="str">
        <f t="shared" si="11983"/>
        <v>0</v>
      </c>
      <c r="M6449" s="1" t="str">
        <f t="shared" si="11983"/>
        <v>0</v>
      </c>
      <c r="N6449" s="1" t="str">
        <f t="shared" si="11983"/>
        <v>0</v>
      </c>
      <c r="O6449" s="1" t="str">
        <f t="shared" si="11983"/>
        <v>0</v>
      </c>
      <c r="P6449" s="1" t="str">
        <f t="shared" si="11983"/>
        <v>0</v>
      </c>
      <c r="Q6449" s="1" t="str">
        <f t="shared" si="11914"/>
        <v>0.0070</v>
      </c>
      <c r="R6449" s="1" t="s">
        <v>25</v>
      </c>
      <c r="T6449" s="1" t="str">
        <f t="shared" si="11915"/>
        <v>0</v>
      </c>
      <c r="U6449" s="1" t="str">
        <f t="shared" si="11976"/>
        <v>0.0070</v>
      </c>
    </row>
    <row r="6450" s="1" customFormat="1" spans="1:21">
      <c r="A6450" s="1" t="str">
        <f>"4601992273148"</f>
        <v>4601992273148</v>
      </c>
      <c r="B6450" s="1" t="s">
        <v>6473</v>
      </c>
      <c r="C6450" s="1" t="s">
        <v>24</v>
      </c>
      <c r="D6450" s="1" t="str">
        <f t="shared" si="11911"/>
        <v>2021</v>
      </c>
      <c r="E6450" s="1" t="str">
        <f t="shared" ref="E6450:I6450" si="11984">"0"</f>
        <v>0</v>
      </c>
      <c r="F6450" s="1" t="str">
        <f t="shared" si="11984"/>
        <v>0</v>
      </c>
      <c r="G6450" s="1" t="str">
        <f t="shared" si="11984"/>
        <v>0</v>
      </c>
      <c r="H6450" s="1" t="str">
        <f t="shared" si="11984"/>
        <v>0</v>
      </c>
      <c r="I6450" s="1" t="str">
        <f t="shared" si="11984"/>
        <v>0</v>
      </c>
      <c r="J6450" s="1" t="str">
        <f>"4"</f>
        <v>4</v>
      </c>
      <c r="K6450" s="1" t="str">
        <f t="shared" ref="K6450:P6450" si="11985">"0"</f>
        <v>0</v>
      </c>
      <c r="L6450" s="1" t="str">
        <f t="shared" si="11985"/>
        <v>0</v>
      </c>
      <c r="M6450" s="1" t="str">
        <f t="shared" si="11985"/>
        <v>0</v>
      </c>
      <c r="N6450" s="1" t="str">
        <f t="shared" si="11985"/>
        <v>0</v>
      </c>
      <c r="O6450" s="1" t="str">
        <f t="shared" si="11985"/>
        <v>0</v>
      </c>
      <c r="P6450" s="1" t="str">
        <f t="shared" si="11985"/>
        <v>0</v>
      </c>
      <c r="Q6450" s="1" t="str">
        <f t="shared" si="11914"/>
        <v>0.0070</v>
      </c>
      <c r="R6450" s="1" t="s">
        <v>25</v>
      </c>
      <c r="T6450" s="1" t="str">
        <f t="shared" si="11915"/>
        <v>0</v>
      </c>
      <c r="U6450" s="1" t="str">
        <f t="shared" si="11976"/>
        <v>0.0070</v>
      </c>
    </row>
    <row r="6451" s="1" customFormat="1" spans="1:21">
      <c r="A6451" s="1" t="str">
        <f>"4601992273135"</f>
        <v>4601992273135</v>
      </c>
      <c r="B6451" s="1" t="s">
        <v>6474</v>
      </c>
      <c r="C6451" s="1" t="s">
        <v>24</v>
      </c>
      <c r="D6451" s="1" t="str">
        <f t="shared" si="11911"/>
        <v>2021</v>
      </c>
      <c r="E6451" s="1" t="str">
        <f t="shared" ref="E6451:I6451" si="11986">"0"</f>
        <v>0</v>
      </c>
      <c r="F6451" s="1" t="str">
        <f t="shared" si="11986"/>
        <v>0</v>
      </c>
      <c r="G6451" s="1" t="str">
        <f t="shared" si="11986"/>
        <v>0</v>
      </c>
      <c r="H6451" s="1" t="str">
        <f t="shared" si="11986"/>
        <v>0</v>
      </c>
      <c r="I6451" s="1" t="str">
        <f t="shared" si="11986"/>
        <v>0</v>
      </c>
      <c r="J6451" s="1" t="str">
        <f t="shared" si="11978"/>
        <v>1</v>
      </c>
      <c r="K6451" s="1" t="str">
        <f t="shared" ref="K6451:P6451" si="11987">"0"</f>
        <v>0</v>
      </c>
      <c r="L6451" s="1" t="str">
        <f t="shared" si="11987"/>
        <v>0</v>
      </c>
      <c r="M6451" s="1" t="str">
        <f t="shared" si="11987"/>
        <v>0</v>
      </c>
      <c r="N6451" s="1" t="str">
        <f t="shared" si="11987"/>
        <v>0</v>
      </c>
      <c r="O6451" s="1" t="str">
        <f t="shared" si="11987"/>
        <v>0</v>
      </c>
      <c r="P6451" s="1" t="str">
        <f t="shared" si="11987"/>
        <v>0</v>
      </c>
      <c r="Q6451" s="1" t="str">
        <f t="shared" si="11914"/>
        <v>0.0070</v>
      </c>
      <c r="R6451" s="1" t="s">
        <v>25</v>
      </c>
      <c r="T6451" s="1" t="str">
        <f t="shared" si="11915"/>
        <v>0</v>
      </c>
      <c r="U6451" s="1" t="str">
        <f t="shared" si="11976"/>
        <v>0.0070</v>
      </c>
    </row>
    <row r="6452" s="1" customFormat="1" spans="1:21">
      <c r="A6452" s="1" t="str">
        <f>"4601992273236"</f>
        <v>4601992273236</v>
      </c>
      <c r="B6452" s="1" t="s">
        <v>6475</v>
      </c>
      <c r="C6452" s="1" t="s">
        <v>24</v>
      </c>
      <c r="D6452" s="1" t="str">
        <f t="shared" si="11911"/>
        <v>2021</v>
      </c>
      <c r="E6452" s="1" t="str">
        <f t="shared" ref="E6452:I6452" si="11988">"0"</f>
        <v>0</v>
      </c>
      <c r="F6452" s="1" t="str">
        <f t="shared" si="11988"/>
        <v>0</v>
      </c>
      <c r="G6452" s="1" t="str">
        <f t="shared" si="11988"/>
        <v>0</v>
      </c>
      <c r="H6452" s="1" t="str">
        <f t="shared" si="11988"/>
        <v>0</v>
      </c>
      <c r="I6452" s="1" t="str">
        <f t="shared" si="11988"/>
        <v>0</v>
      </c>
      <c r="J6452" s="1" t="str">
        <f>"2"</f>
        <v>2</v>
      </c>
      <c r="K6452" s="1" t="str">
        <f t="shared" ref="K6452:P6452" si="11989">"0"</f>
        <v>0</v>
      </c>
      <c r="L6452" s="1" t="str">
        <f t="shared" si="11989"/>
        <v>0</v>
      </c>
      <c r="M6452" s="1" t="str">
        <f t="shared" si="11989"/>
        <v>0</v>
      </c>
      <c r="N6452" s="1" t="str">
        <f t="shared" si="11989"/>
        <v>0</v>
      </c>
      <c r="O6452" s="1" t="str">
        <f t="shared" si="11989"/>
        <v>0</v>
      </c>
      <c r="P6452" s="1" t="str">
        <f t="shared" si="11989"/>
        <v>0</v>
      </c>
      <c r="Q6452" s="1" t="str">
        <f t="shared" si="11914"/>
        <v>0.0070</v>
      </c>
      <c r="R6452" s="1" t="s">
        <v>25</v>
      </c>
      <c r="T6452" s="1" t="str">
        <f t="shared" si="11915"/>
        <v>0</v>
      </c>
      <c r="U6452" s="1" t="str">
        <f t="shared" si="11976"/>
        <v>0.0070</v>
      </c>
    </row>
    <row r="6453" s="1" customFormat="1" spans="1:21">
      <c r="A6453" s="1" t="str">
        <f>"4601992273314"</f>
        <v>4601992273314</v>
      </c>
      <c r="B6453" s="1" t="s">
        <v>6476</v>
      </c>
      <c r="C6453" s="1" t="s">
        <v>24</v>
      </c>
      <c r="D6453" s="1" t="str">
        <f t="shared" si="11911"/>
        <v>2021</v>
      </c>
      <c r="E6453" s="1" t="str">
        <f t="shared" ref="E6453:I6453" si="11990">"0"</f>
        <v>0</v>
      </c>
      <c r="F6453" s="1" t="str">
        <f t="shared" si="11990"/>
        <v>0</v>
      </c>
      <c r="G6453" s="1" t="str">
        <f t="shared" si="11990"/>
        <v>0</v>
      </c>
      <c r="H6453" s="1" t="str">
        <f t="shared" si="11990"/>
        <v>0</v>
      </c>
      <c r="I6453" s="1" t="str">
        <f t="shared" si="11990"/>
        <v>0</v>
      </c>
      <c r="J6453" s="1" t="str">
        <f>"4"</f>
        <v>4</v>
      </c>
      <c r="K6453" s="1" t="str">
        <f t="shared" ref="K6453:P6453" si="11991">"0"</f>
        <v>0</v>
      </c>
      <c r="L6453" s="1" t="str">
        <f t="shared" si="11991"/>
        <v>0</v>
      </c>
      <c r="M6453" s="1" t="str">
        <f t="shared" si="11991"/>
        <v>0</v>
      </c>
      <c r="N6453" s="1" t="str">
        <f t="shared" si="11991"/>
        <v>0</v>
      </c>
      <c r="O6453" s="1" t="str">
        <f t="shared" si="11991"/>
        <v>0</v>
      </c>
      <c r="P6453" s="1" t="str">
        <f t="shared" si="11991"/>
        <v>0</v>
      </c>
      <c r="Q6453" s="1" t="str">
        <f t="shared" si="11914"/>
        <v>0.0070</v>
      </c>
      <c r="R6453" s="1" t="s">
        <v>25</v>
      </c>
      <c r="T6453" s="1" t="str">
        <f t="shared" si="11915"/>
        <v>0</v>
      </c>
      <c r="U6453" s="1" t="str">
        <f t="shared" si="11976"/>
        <v>0.0070</v>
      </c>
    </row>
    <row r="6454" s="1" customFormat="1" spans="1:21">
      <c r="A6454" s="1" t="str">
        <f>"4601992273442"</f>
        <v>4601992273442</v>
      </c>
      <c r="B6454" s="1" t="s">
        <v>6477</v>
      </c>
      <c r="C6454" s="1" t="s">
        <v>24</v>
      </c>
      <c r="D6454" s="1" t="str">
        <f t="shared" si="11911"/>
        <v>2021</v>
      </c>
      <c r="E6454" s="1" t="str">
        <f t="shared" ref="E6454:I6454" si="11992">"0"</f>
        <v>0</v>
      </c>
      <c r="F6454" s="1" t="str">
        <f t="shared" si="11992"/>
        <v>0</v>
      </c>
      <c r="G6454" s="1" t="str">
        <f t="shared" si="11992"/>
        <v>0</v>
      </c>
      <c r="H6454" s="1" t="str">
        <f t="shared" si="11992"/>
        <v>0</v>
      </c>
      <c r="I6454" s="1" t="str">
        <f t="shared" si="11992"/>
        <v>0</v>
      </c>
      <c r="J6454" s="1" t="str">
        <f>"2"</f>
        <v>2</v>
      </c>
      <c r="K6454" s="1" t="str">
        <f t="shared" ref="K6454:P6454" si="11993">"0"</f>
        <v>0</v>
      </c>
      <c r="L6454" s="1" t="str">
        <f t="shared" si="11993"/>
        <v>0</v>
      </c>
      <c r="M6454" s="1" t="str">
        <f t="shared" si="11993"/>
        <v>0</v>
      </c>
      <c r="N6454" s="1" t="str">
        <f t="shared" si="11993"/>
        <v>0</v>
      </c>
      <c r="O6454" s="1" t="str">
        <f t="shared" si="11993"/>
        <v>0</v>
      </c>
      <c r="P6454" s="1" t="str">
        <f t="shared" si="11993"/>
        <v>0</v>
      </c>
      <c r="Q6454" s="1" t="str">
        <f t="shared" si="11914"/>
        <v>0.0070</v>
      </c>
      <c r="R6454" s="1" t="s">
        <v>25</v>
      </c>
      <c r="T6454" s="1" t="str">
        <f t="shared" si="11915"/>
        <v>0</v>
      </c>
      <c r="U6454" s="1" t="str">
        <f t="shared" si="11976"/>
        <v>0.0070</v>
      </c>
    </row>
    <row r="6455" s="1" customFormat="1" spans="1:21">
      <c r="A6455" s="1" t="str">
        <f>"4601992273468"</f>
        <v>4601992273468</v>
      </c>
      <c r="B6455" s="1" t="s">
        <v>6478</v>
      </c>
      <c r="C6455" s="1" t="s">
        <v>24</v>
      </c>
      <c r="D6455" s="1" t="str">
        <f t="shared" si="11911"/>
        <v>2021</v>
      </c>
      <c r="E6455" s="1" t="str">
        <f t="shared" ref="E6455:I6455" si="11994">"0"</f>
        <v>0</v>
      </c>
      <c r="F6455" s="1" t="str">
        <f t="shared" si="11994"/>
        <v>0</v>
      </c>
      <c r="G6455" s="1" t="str">
        <f t="shared" si="11994"/>
        <v>0</v>
      </c>
      <c r="H6455" s="1" t="str">
        <f t="shared" si="11994"/>
        <v>0</v>
      </c>
      <c r="I6455" s="1" t="str">
        <f t="shared" si="11994"/>
        <v>0</v>
      </c>
      <c r="J6455" s="1" t="str">
        <f t="shared" ref="J6455:J6459" si="11995">"1"</f>
        <v>1</v>
      </c>
      <c r="K6455" s="1" t="str">
        <f t="shared" ref="K6455:P6455" si="11996">"0"</f>
        <v>0</v>
      </c>
      <c r="L6455" s="1" t="str">
        <f t="shared" si="11996"/>
        <v>0</v>
      </c>
      <c r="M6455" s="1" t="str">
        <f t="shared" si="11996"/>
        <v>0</v>
      </c>
      <c r="N6455" s="1" t="str">
        <f t="shared" si="11996"/>
        <v>0</v>
      </c>
      <c r="O6455" s="1" t="str">
        <f t="shared" si="11996"/>
        <v>0</v>
      </c>
      <c r="P6455" s="1" t="str">
        <f t="shared" si="11996"/>
        <v>0</v>
      </c>
      <c r="Q6455" s="1" t="str">
        <f t="shared" si="11914"/>
        <v>0.0070</v>
      </c>
      <c r="R6455" s="1" t="s">
        <v>25</v>
      </c>
      <c r="T6455" s="1" t="str">
        <f t="shared" si="11915"/>
        <v>0</v>
      </c>
      <c r="U6455" s="1" t="str">
        <f t="shared" si="11976"/>
        <v>0.0070</v>
      </c>
    </row>
    <row r="6456" s="1" customFormat="1" spans="1:21">
      <c r="A6456" s="1" t="str">
        <f>"4601992273513"</f>
        <v>4601992273513</v>
      </c>
      <c r="B6456" s="1" t="s">
        <v>6479</v>
      </c>
      <c r="C6456" s="1" t="s">
        <v>24</v>
      </c>
      <c r="D6456" s="1" t="str">
        <f t="shared" si="11911"/>
        <v>2021</v>
      </c>
      <c r="E6456" s="1" t="str">
        <f t="shared" ref="E6456:P6456" si="11997">"0"</f>
        <v>0</v>
      </c>
      <c r="F6456" s="1" t="str">
        <f t="shared" si="11997"/>
        <v>0</v>
      </c>
      <c r="G6456" s="1" t="str">
        <f t="shared" si="11997"/>
        <v>0</v>
      </c>
      <c r="H6456" s="1" t="str">
        <f t="shared" si="11997"/>
        <v>0</v>
      </c>
      <c r="I6456" s="1" t="str">
        <f t="shared" si="11997"/>
        <v>0</v>
      </c>
      <c r="J6456" s="1" t="str">
        <f t="shared" si="11997"/>
        <v>0</v>
      </c>
      <c r="K6456" s="1" t="str">
        <f t="shared" si="11997"/>
        <v>0</v>
      </c>
      <c r="L6456" s="1" t="str">
        <f t="shared" si="11997"/>
        <v>0</v>
      </c>
      <c r="M6456" s="1" t="str">
        <f t="shared" si="11997"/>
        <v>0</v>
      </c>
      <c r="N6456" s="1" t="str">
        <f t="shared" si="11997"/>
        <v>0</v>
      </c>
      <c r="O6456" s="1" t="str">
        <f t="shared" si="11997"/>
        <v>0</v>
      </c>
      <c r="P6456" s="1" t="str">
        <f t="shared" si="11997"/>
        <v>0</v>
      </c>
      <c r="Q6456" s="1" t="str">
        <f t="shared" si="11914"/>
        <v>0.0070</v>
      </c>
      <c r="R6456" s="1" t="s">
        <v>25</v>
      </c>
      <c r="T6456" s="1" t="str">
        <f t="shared" si="11915"/>
        <v>0</v>
      </c>
      <c r="U6456" s="1" t="str">
        <f t="shared" si="11976"/>
        <v>0.0070</v>
      </c>
    </row>
    <row r="6457" s="1" customFormat="1" spans="1:21">
      <c r="A6457" s="1" t="str">
        <f>"4601992273519"</f>
        <v>4601992273519</v>
      </c>
      <c r="B6457" s="1" t="s">
        <v>6480</v>
      </c>
      <c r="C6457" s="1" t="s">
        <v>24</v>
      </c>
      <c r="D6457" s="1" t="str">
        <f t="shared" si="11911"/>
        <v>2021</v>
      </c>
      <c r="E6457" s="1" t="str">
        <f t="shared" ref="E6457:P6457" si="11998">"0"</f>
        <v>0</v>
      </c>
      <c r="F6457" s="1" t="str">
        <f t="shared" si="11998"/>
        <v>0</v>
      </c>
      <c r="G6457" s="1" t="str">
        <f t="shared" si="11998"/>
        <v>0</v>
      </c>
      <c r="H6457" s="1" t="str">
        <f t="shared" si="11998"/>
        <v>0</v>
      </c>
      <c r="I6457" s="1" t="str">
        <f t="shared" si="11998"/>
        <v>0</v>
      </c>
      <c r="J6457" s="1" t="str">
        <f t="shared" si="11998"/>
        <v>0</v>
      </c>
      <c r="K6457" s="1" t="str">
        <f t="shared" si="11998"/>
        <v>0</v>
      </c>
      <c r="L6457" s="1" t="str">
        <f t="shared" si="11998"/>
        <v>0</v>
      </c>
      <c r="M6457" s="1" t="str">
        <f t="shared" si="11998"/>
        <v>0</v>
      </c>
      <c r="N6457" s="1" t="str">
        <f t="shared" si="11998"/>
        <v>0</v>
      </c>
      <c r="O6457" s="1" t="str">
        <f t="shared" si="11998"/>
        <v>0</v>
      </c>
      <c r="P6457" s="1" t="str">
        <f t="shared" si="11998"/>
        <v>0</v>
      </c>
      <c r="Q6457" s="1" t="str">
        <f t="shared" si="11914"/>
        <v>0.0070</v>
      </c>
      <c r="R6457" s="1" t="s">
        <v>25</v>
      </c>
      <c r="T6457" s="1" t="str">
        <f t="shared" si="11915"/>
        <v>0</v>
      </c>
      <c r="U6457" s="1" t="str">
        <f t="shared" si="11976"/>
        <v>0.0070</v>
      </c>
    </row>
    <row r="6458" s="1" customFormat="1" spans="1:21">
      <c r="A6458" s="1" t="str">
        <f>"4601992273510"</f>
        <v>4601992273510</v>
      </c>
      <c r="B6458" s="1" t="s">
        <v>6481</v>
      </c>
      <c r="C6458" s="1" t="s">
        <v>24</v>
      </c>
      <c r="D6458" s="1" t="str">
        <f t="shared" si="11911"/>
        <v>2021</v>
      </c>
      <c r="E6458" s="1" t="str">
        <f t="shared" ref="E6458:I6458" si="11999">"0"</f>
        <v>0</v>
      </c>
      <c r="F6458" s="1" t="str">
        <f t="shared" si="11999"/>
        <v>0</v>
      </c>
      <c r="G6458" s="1" t="str">
        <f t="shared" si="11999"/>
        <v>0</v>
      </c>
      <c r="H6458" s="1" t="str">
        <f t="shared" si="11999"/>
        <v>0</v>
      </c>
      <c r="I6458" s="1" t="str">
        <f t="shared" si="11999"/>
        <v>0</v>
      </c>
      <c r="J6458" s="1" t="str">
        <f t="shared" si="11995"/>
        <v>1</v>
      </c>
      <c r="K6458" s="1" t="str">
        <f t="shared" ref="K6458:P6458" si="12000">"0"</f>
        <v>0</v>
      </c>
      <c r="L6458" s="1" t="str">
        <f t="shared" si="12000"/>
        <v>0</v>
      </c>
      <c r="M6458" s="1" t="str">
        <f t="shared" si="12000"/>
        <v>0</v>
      </c>
      <c r="N6458" s="1" t="str">
        <f t="shared" si="12000"/>
        <v>0</v>
      </c>
      <c r="O6458" s="1" t="str">
        <f t="shared" si="12000"/>
        <v>0</v>
      </c>
      <c r="P6458" s="1" t="str">
        <f t="shared" si="12000"/>
        <v>0</v>
      </c>
      <c r="Q6458" s="1" t="str">
        <f t="shared" si="11914"/>
        <v>0.0070</v>
      </c>
      <c r="R6458" s="1" t="s">
        <v>25</v>
      </c>
      <c r="T6458" s="1" t="str">
        <f t="shared" si="11915"/>
        <v>0</v>
      </c>
      <c r="U6458" s="1" t="str">
        <f t="shared" si="11976"/>
        <v>0.0070</v>
      </c>
    </row>
    <row r="6459" s="1" customFormat="1" spans="1:21">
      <c r="A6459" s="1" t="str">
        <f>"4601992273502"</f>
        <v>4601992273502</v>
      </c>
      <c r="B6459" s="1" t="s">
        <v>6482</v>
      </c>
      <c r="C6459" s="1" t="s">
        <v>24</v>
      </c>
      <c r="D6459" s="1" t="str">
        <f t="shared" si="11911"/>
        <v>2021</v>
      </c>
      <c r="E6459" s="1" t="str">
        <f>"11.98"</f>
        <v>11.98</v>
      </c>
      <c r="F6459" s="1" t="str">
        <f t="shared" ref="F6459:I6459" si="12001">"0"</f>
        <v>0</v>
      </c>
      <c r="G6459" s="1" t="str">
        <f t="shared" si="12001"/>
        <v>0</v>
      </c>
      <c r="H6459" s="1" t="str">
        <f t="shared" si="12001"/>
        <v>0</v>
      </c>
      <c r="I6459" s="1" t="str">
        <f t="shared" si="12001"/>
        <v>0</v>
      </c>
      <c r="J6459" s="1" t="str">
        <f t="shared" si="11995"/>
        <v>1</v>
      </c>
      <c r="K6459" s="1" t="str">
        <f t="shared" ref="K6459:P6459" si="12002">"0"</f>
        <v>0</v>
      </c>
      <c r="L6459" s="1" t="str">
        <f t="shared" si="12002"/>
        <v>0</v>
      </c>
      <c r="M6459" s="1" t="str">
        <f t="shared" si="12002"/>
        <v>0</v>
      </c>
      <c r="N6459" s="1" t="str">
        <f t="shared" si="12002"/>
        <v>0</v>
      </c>
      <c r="O6459" s="1" t="str">
        <f t="shared" si="12002"/>
        <v>0</v>
      </c>
      <c r="P6459" s="1" t="str">
        <f t="shared" si="12002"/>
        <v>0</v>
      </c>
      <c r="Q6459" s="1" t="str">
        <f t="shared" si="11914"/>
        <v>0.0070</v>
      </c>
      <c r="R6459" s="1" t="s">
        <v>29</v>
      </c>
      <c r="S6459" s="1">
        <v>-0.0014</v>
      </c>
      <c r="T6459" s="1" t="str">
        <f t="shared" si="11915"/>
        <v>0</v>
      </c>
      <c r="U6459" s="1" t="str">
        <f>"0.0056"</f>
        <v>0.0056</v>
      </c>
    </row>
    <row r="6460" s="1" customFormat="1" spans="1:21">
      <c r="A6460" s="1" t="str">
        <f>"4601992273564"</f>
        <v>4601992273564</v>
      </c>
      <c r="B6460" s="1" t="s">
        <v>6483</v>
      </c>
      <c r="C6460" s="1" t="s">
        <v>24</v>
      </c>
      <c r="D6460" s="1" t="str">
        <f t="shared" si="11911"/>
        <v>2021</v>
      </c>
      <c r="E6460" s="1" t="str">
        <f t="shared" ref="E6460:P6460" si="12003">"0"</f>
        <v>0</v>
      </c>
      <c r="F6460" s="1" t="str">
        <f t="shared" si="12003"/>
        <v>0</v>
      </c>
      <c r="G6460" s="1" t="str">
        <f t="shared" si="12003"/>
        <v>0</v>
      </c>
      <c r="H6460" s="1" t="str">
        <f t="shared" si="12003"/>
        <v>0</v>
      </c>
      <c r="I6460" s="1" t="str">
        <f t="shared" si="12003"/>
        <v>0</v>
      </c>
      <c r="J6460" s="1" t="str">
        <f t="shared" si="12003"/>
        <v>0</v>
      </c>
      <c r="K6460" s="1" t="str">
        <f t="shared" si="12003"/>
        <v>0</v>
      </c>
      <c r="L6460" s="1" t="str">
        <f t="shared" si="12003"/>
        <v>0</v>
      </c>
      <c r="M6460" s="1" t="str">
        <f t="shared" si="12003"/>
        <v>0</v>
      </c>
      <c r="N6460" s="1" t="str">
        <f t="shared" si="12003"/>
        <v>0</v>
      </c>
      <c r="O6460" s="1" t="str">
        <f t="shared" si="12003"/>
        <v>0</v>
      </c>
      <c r="P6460" s="1" t="str">
        <f t="shared" si="12003"/>
        <v>0</v>
      </c>
      <c r="Q6460" s="1" t="str">
        <f t="shared" si="11914"/>
        <v>0.0070</v>
      </c>
      <c r="R6460" s="1" t="s">
        <v>25</v>
      </c>
      <c r="T6460" s="1" t="str">
        <f t="shared" si="11915"/>
        <v>0</v>
      </c>
      <c r="U6460" s="1" t="str">
        <f t="shared" ref="U6460:U6462" si="12004">"0.0070"</f>
        <v>0.0070</v>
      </c>
    </row>
    <row r="6461" s="1" customFormat="1" spans="1:21">
      <c r="A6461" s="1" t="str">
        <f>"4601992273550"</f>
        <v>4601992273550</v>
      </c>
      <c r="B6461" s="1" t="s">
        <v>6484</v>
      </c>
      <c r="C6461" s="1" t="s">
        <v>24</v>
      </c>
      <c r="D6461" s="1" t="str">
        <f t="shared" si="11911"/>
        <v>2021</v>
      </c>
      <c r="E6461" s="1" t="str">
        <f t="shared" ref="E6461:I6461" si="12005">"0"</f>
        <v>0</v>
      </c>
      <c r="F6461" s="1" t="str">
        <f t="shared" si="12005"/>
        <v>0</v>
      </c>
      <c r="G6461" s="1" t="str">
        <f t="shared" si="12005"/>
        <v>0</v>
      </c>
      <c r="H6461" s="1" t="str">
        <f t="shared" si="12005"/>
        <v>0</v>
      </c>
      <c r="I6461" s="1" t="str">
        <f t="shared" si="12005"/>
        <v>0</v>
      </c>
      <c r="J6461" s="1" t="str">
        <f t="shared" ref="J6461:J6463" si="12006">"1"</f>
        <v>1</v>
      </c>
      <c r="K6461" s="1" t="str">
        <f t="shared" ref="K6461:P6461" si="12007">"0"</f>
        <v>0</v>
      </c>
      <c r="L6461" s="1" t="str">
        <f t="shared" si="12007"/>
        <v>0</v>
      </c>
      <c r="M6461" s="1" t="str">
        <f t="shared" si="12007"/>
        <v>0</v>
      </c>
      <c r="N6461" s="1" t="str">
        <f t="shared" si="12007"/>
        <v>0</v>
      </c>
      <c r="O6461" s="1" t="str">
        <f t="shared" si="12007"/>
        <v>0</v>
      </c>
      <c r="P6461" s="1" t="str">
        <f t="shared" si="12007"/>
        <v>0</v>
      </c>
      <c r="Q6461" s="1" t="str">
        <f t="shared" si="11914"/>
        <v>0.0070</v>
      </c>
      <c r="R6461" s="1" t="s">
        <v>25</v>
      </c>
      <c r="T6461" s="1" t="str">
        <f t="shared" si="11915"/>
        <v>0</v>
      </c>
      <c r="U6461" s="1" t="str">
        <f t="shared" si="12004"/>
        <v>0.0070</v>
      </c>
    </row>
    <row r="6462" s="1" customFormat="1" spans="1:21">
      <c r="A6462" s="1" t="str">
        <f>"4601992273590"</f>
        <v>4601992273590</v>
      </c>
      <c r="B6462" s="1" t="s">
        <v>6485</v>
      </c>
      <c r="C6462" s="1" t="s">
        <v>24</v>
      </c>
      <c r="D6462" s="1" t="str">
        <f t="shared" si="11911"/>
        <v>2021</v>
      </c>
      <c r="E6462" s="1" t="str">
        <f t="shared" ref="E6462:I6462" si="12008">"0"</f>
        <v>0</v>
      </c>
      <c r="F6462" s="1" t="str">
        <f t="shared" si="12008"/>
        <v>0</v>
      </c>
      <c r="G6462" s="1" t="str">
        <f t="shared" si="12008"/>
        <v>0</v>
      </c>
      <c r="H6462" s="1" t="str">
        <f t="shared" si="12008"/>
        <v>0</v>
      </c>
      <c r="I6462" s="1" t="str">
        <f t="shared" si="12008"/>
        <v>0</v>
      </c>
      <c r="J6462" s="1" t="str">
        <f t="shared" si="12006"/>
        <v>1</v>
      </c>
      <c r="K6462" s="1" t="str">
        <f t="shared" ref="K6462:P6462" si="12009">"0"</f>
        <v>0</v>
      </c>
      <c r="L6462" s="1" t="str">
        <f t="shared" si="12009"/>
        <v>0</v>
      </c>
      <c r="M6462" s="1" t="str">
        <f t="shared" si="12009"/>
        <v>0</v>
      </c>
      <c r="N6462" s="1" t="str">
        <f t="shared" si="12009"/>
        <v>0</v>
      </c>
      <c r="O6462" s="1" t="str">
        <f t="shared" si="12009"/>
        <v>0</v>
      </c>
      <c r="P6462" s="1" t="str">
        <f t="shared" si="12009"/>
        <v>0</v>
      </c>
      <c r="Q6462" s="1" t="str">
        <f t="shared" si="11914"/>
        <v>0.0070</v>
      </c>
      <c r="R6462" s="1" t="s">
        <v>25</v>
      </c>
      <c r="T6462" s="1" t="str">
        <f t="shared" si="11915"/>
        <v>0</v>
      </c>
      <c r="U6462" s="1" t="str">
        <f t="shared" si="12004"/>
        <v>0.0070</v>
      </c>
    </row>
    <row r="6463" s="1" customFormat="1" spans="1:21">
      <c r="A6463" s="1" t="str">
        <f>"4601992273553"</f>
        <v>4601992273553</v>
      </c>
      <c r="B6463" s="1" t="s">
        <v>6486</v>
      </c>
      <c r="C6463" s="1" t="s">
        <v>24</v>
      </c>
      <c r="D6463" s="1" t="str">
        <f t="shared" si="11911"/>
        <v>2021</v>
      </c>
      <c r="E6463" s="1" t="str">
        <f>"12.09"</f>
        <v>12.09</v>
      </c>
      <c r="F6463" s="1" t="str">
        <f t="shared" ref="F6463:I6463" si="12010">"0"</f>
        <v>0</v>
      </c>
      <c r="G6463" s="1" t="str">
        <f t="shared" si="12010"/>
        <v>0</v>
      </c>
      <c r="H6463" s="1" t="str">
        <f t="shared" si="12010"/>
        <v>0</v>
      </c>
      <c r="I6463" s="1" t="str">
        <f t="shared" si="12010"/>
        <v>0</v>
      </c>
      <c r="J6463" s="1" t="str">
        <f t="shared" si="12006"/>
        <v>1</v>
      </c>
      <c r="K6463" s="1" t="str">
        <f t="shared" ref="K6463:P6463" si="12011">"0"</f>
        <v>0</v>
      </c>
      <c r="L6463" s="1" t="str">
        <f t="shared" si="12011"/>
        <v>0</v>
      </c>
      <c r="M6463" s="1" t="str">
        <f t="shared" si="12011"/>
        <v>0</v>
      </c>
      <c r="N6463" s="1" t="str">
        <f t="shared" si="12011"/>
        <v>0</v>
      </c>
      <c r="O6463" s="1" t="str">
        <f t="shared" si="12011"/>
        <v>0</v>
      </c>
      <c r="P6463" s="1" t="str">
        <f t="shared" si="12011"/>
        <v>0</v>
      </c>
      <c r="Q6463" s="1" t="str">
        <f t="shared" si="11914"/>
        <v>0.0070</v>
      </c>
      <c r="R6463" s="1" t="s">
        <v>29</v>
      </c>
      <c r="S6463" s="1">
        <v>-0.0014</v>
      </c>
      <c r="T6463" s="1" t="str">
        <f t="shared" si="11915"/>
        <v>0</v>
      </c>
      <c r="U6463" s="1" t="str">
        <f>"0.0056"</f>
        <v>0.0056</v>
      </c>
    </row>
    <row r="6464" s="1" customFormat="1" spans="1:21">
      <c r="A6464" s="1" t="str">
        <f>"4601992273613"</f>
        <v>4601992273613</v>
      </c>
      <c r="B6464" s="1" t="s">
        <v>6487</v>
      </c>
      <c r="C6464" s="1" t="s">
        <v>24</v>
      </c>
      <c r="D6464" s="1" t="str">
        <f t="shared" si="11911"/>
        <v>2021</v>
      </c>
      <c r="E6464" s="1" t="str">
        <f t="shared" ref="E6464:P6464" si="12012">"0"</f>
        <v>0</v>
      </c>
      <c r="F6464" s="1" t="str">
        <f t="shared" si="12012"/>
        <v>0</v>
      </c>
      <c r="G6464" s="1" t="str">
        <f t="shared" si="12012"/>
        <v>0</v>
      </c>
      <c r="H6464" s="1" t="str">
        <f t="shared" si="12012"/>
        <v>0</v>
      </c>
      <c r="I6464" s="1" t="str">
        <f t="shared" si="12012"/>
        <v>0</v>
      </c>
      <c r="J6464" s="1" t="str">
        <f t="shared" si="12012"/>
        <v>0</v>
      </c>
      <c r="K6464" s="1" t="str">
        <f t="shared" si="12012"/>
        <v>0</v>
      </c>
      <c r="L6464" s="1" t="str">
        <f t="shared" si="12012"/>
        <v>0</v>
      </c>
      <c r="M6464" s="1" t="str">
        <f t="shared" si="12012"/>
        <v>0</v>
      </c>
      <c r="N6464" s="1" t="str">
        <f t="shared" si="12012"/>
        <v>0</v>
      </c>
      <c r="O6464" s="1" t="str">
        <f t="shared" si="12012"/>
        <v>0</v>
      </c>
      <c r="P6464" s="1" t="str">
        <f t="shared" si="12012"/>
        <v>0</v>
      </c>
      <c r="Q6464" s="1" t="str">
        <f t="shared" si="11914"/>
        <v>0.0070</v>
      </c>
      <c r="R6464" s="1" t="s">
        <v>25</v>
      </c>
      <c r="T6464" s="1" t="str">
        <f t="shared" si="11915"/>
        <v>0</v>
      </c>
      <c r="U6464" s="1" t="str">
        <f t="shared" ref="U6464:U6472" si="12013">"0.0070"</f>
        <v>0.0070</v>
      </c>
    </row>
    <row r="6465" s="1" customFormat="1" spans="1:21">
      <c r="A6465" s="1" t="str">
        <f>"4601992273620"</f>
        <v>4601992273620</v>
      </c>
      <c r="B6465" s="1" t="s">
        <v>6488</v>
      </c>
      <c r="C6465" s="1" t="s">
        <v>24</v>
      </c>
      <c r="D6465" s="1" t="str">
        <f t="shared" si="11911"/>
        <v>2021</v>
      </c>
      <c r="E6465" s="1" t="str">
        <f t="shared" ref="E6465:I6465" si="12014">"0"</f>
        <v>0</v>
      </c>
      <c r="F6465" s="1" t="str">
        <f t="shared" si="12014"/>
        <v>0</v>
      </c>
      <c r="G6465" s="1" t="str">
        <f t="shared" si="12014"/>
        <v>0</v>
      </c>
      <c r="H6465" s="1" t="str">
        <f t="shared" si="12014"/>
        <v>0</v>
      </c>
      <c r="I6465" s="1" t="str">
        <f t="shared" si="12014"/>
        <v>0</v>
      </c>
      <c r="J6465" s="1" t="str">
        <f>"1"</f>
        <v>1</v>
      </c>
      <c r="K6465" s="1" t="str">
        <f t="shared" ref="K6465:P6465" si="12015">"0"</f>
        <v>0</v>
      </c>
      <c r="L6465" s="1" t="str">
        <f t="shared" si="12015"/>
        <v>0</v>
      </c>
      <c r="M6465" s="1" t="str">
        <f t="shared" si="12015"/>
        <v>0</v>
      </c>
      <c r="N6465" s="1" t="str">
        <f t="shared" si="12015"/>
        <v>0</v>
      </c>
      <c r="O6465" s="1" t="str">
        <f t="shared" si="12015"/>
        <v>0</v>
      </c>
      <c r="P6465" s="1" t="str">
        <f t="shared" si="12015"/>
        <v>0</v>
      </c>
      <c r="Q6465" s="1" t="str">
        <f t="shared" si="11914"/>
        <v>0.0070</v>
      </c>
      <c r="R6465" s="1" t="s">
        <v>25</v>
      </c>
      <c r="T6465" s="1" t="str">
        <f t="shared" si="11915"/>
        <v>0</v>
      </c>
      <c r="U6465" s="1" t="str">
        <f t="shared" si="12013"/>
        <v>0.0070</v>
      </c>
    </row>
    <row r="6466" s="1" customFormat="1" spans="1:21">
      <c r="A6466" s="1" t="str">
        <f>"4601992273639"</f>
        <v>4601992273639</v>
      </c>
      <c r="B6466" s="1" t="s">
        <v>6489</v>
      </c>
      <c r="C6466" s="1" t="s">
        <v>24</v>
      </c>
      <c r="D6466" s="1" t="str">
        <f t="shared" si="11911"/>
        <v>2021</v>
      </c>
      <c r="E6466" s="1" t="str">
        <f t="shared" ref="E6466:P6466" si="12016">"0"</f>
        <v>0</v>
      </c>
      <c r="F6466" s="1" t="str">
        <f t="shared" si="12016"/>
        <v>0</v>
      </c>
      <c r="G6466" s="1" t="str">
        <f t="shared" si="12016"/>
        <v>0</v>
      </c>
      <c r="H6466" s="1" t="str">
        <f t="shared" si="12016"/>
        <v>0</v>
      </c>
      <c r="I6466" s="1" t="str">
        <f t="shared" si="12016"/>
        <v>0</v>
      </c>
      <c r="J6466" s="1" t="str">
        <f t="shared" si="12016"/>
        <v>0</v>
      </c>
      <c r="K6466" s="1" t="str">
        <f t="shared" si="12016"/>
        <v>0</v>
      </c>
      <c r="L6466" s="1" t="str">
        <f t="shared" si="12016"/>
        <v>0</v>
      </c>
      <c r="M6466" s="1" t="str">
        <f t="shared" si="12016"/>
        <v>0</v>
      </c>
      <c r="N6466" s="1" t="str">
        <f t="shared" si="12016"/>
        <v>0</v>
      </c>
      <c r="O6466" s="1" t="str">
        <f t="shared" si="12016"/>
        <v>0</v>
      </c>
      <c r="P6466" s="1" t="str">
        <f t="shared" si="12016"/>
        <v>0</v>
      </c>
      <c r="Q6466" s="1" t="str">
        <f t="shared" si="11914"/>
        <v>0.0070</v>
      </c>
      <c r="R6466" s="1" t="s">
        <v>25</v>
      </c>
      <c r="T6466" s="1" t="str">
        <f t="shared" si="11915"/>
        <v>0</v>
      </c>
      <c r="U6466" s="1" t="str">
        <f t="shared" si="12013"/>
        <v>0.0070</v>
      </c>
    </row>
    <row r="6467" s="1" customFormat="1" spans="1:21">
      <c r="A6467" s="1" t="str">
        <f>"4601992273627"</f>
        <v>4601992273627</v>
      </c>
      <c r="B6467" s="1" t="s">
        <v>6490</v>
      </c>
      <c r="C6467" s="1" t="s">
        <v>24</v>
      </c>
      <c r="D6467" s="1" t="str">
        <f t="shared" ref="D6467:D6530" si="12017">"2021"</f>
        <v>2021</v>
      </c>
      <c r="E6467" s="1" t="str">
        <f t="shared" ref="E6467:I6467" si="12018">"0"</f>
        <v>0</v>
      </c>
      <c r="F6467" s="1" t="str">
        <f t="shared" si="12018"/>
        <v>0</v>
      </c>
      <c r="G6467" s="1" t="str">
        <f t="shared" si="12018"/>
        <v>0</v>
      </c>
      <c r="H6467" s="1" t="str">
        <f t="shared" si="12018"/>
        <v>0</v>
      </c>
      <c r="I6467" s="1" t="str">
        <f t="shared" si="12018"/>
        <v>0</v>
      </c>
      <c r="J6467" s="1" t="str">
        <f>"2"</f>
        <v>2</v>
      </c>
      <c r="K6467" s="1" t="str">
        <f t="shared" ref="K6467:P6467" si="12019">"0"</f>
        <v>0</v>
      </c>
      <c r="L6467" s="1" t="str">
        <f t="shared" si="12019"/>
        <v>0</v>
      </c>
      <c r="M6467" s="1" t="str">
        <f t="shared" si="12019"/>
        <v>0</v>
      </c>
      <c r="N6467" s="1" t="str">
        <f t="shared" si="12019"/>
        <v>0</v>
      </c>
      <c r="O6467" s="1" t="str">
        <f t="shared" si="12019"/>
        <v>0</v>
      </c>
      <c r="P6467" s="1" t="str">
        <f t="shared" si="12019"/>
        <v>0</v>
      </c>
      <c r="Q6467" s="1" t="str">
        <f t="shared" ref="Q6467:Q6530" si="12020">"0.0070"</f>
        <v>0.0070</v>
      </c>
      <c r="R6467" s="1" t="s">
        <v>25</v>
      </c>
      <c r="T6467" s="1" t="str">
        <f t="shared" ref="T6467:T6530" si="12021">"0"</f>
        <v>0</v>
      </c>
      <c r="U6467" s="1" t="str">
        <f t="shared" si="12013"/>
        <v>0.0070</v>
      </c>
    </row>
    <row r="6468" s="1" customFormat="1" spans="1:21">
      <c r="A6468" s="1" t="str">
        <f>"4601992273660"</f>
        <v>4601992273660</v>
      </c>
      <c r="B6468" s="1" t="s">
        <v>6491</v>
      </c>
      <c r="C6468" s="1" t="s">
        <v>24</v>
      </c>
      <c r="D6468" s="1" t="str">
        <f t="shared" si="12017"/>
        <v>2021</v>
      </c>
      <c r="E6468" s="1" t="str">
        <f t="shared" ref="E6468:P6468" si="12022">"0"</f>
        <v>0</v>
      </c>
      <c r="F6468" s="1" t="str">
        <f t="shared" si="12022"/>
        <v>0</v>
      </c>
      <c r="G6468" s="1" t="str">
        <f t="shared" si="12022"/>
        <v>0</v>
      </c>
      <c r="H6468" s="1" t="str">
        <f t="shared" si="12022"/>
        <v>0</v>
      </c>
      <c r="I6468" s="1" t="str">
        <f t="shared" si="12022"/>
        <v>0</v>
      </c>
      <c r="J6468" s="1" t="str">
        <f t="shared" si="12022"/>
        <v>0</v>
      </c>
      <c r="K6468" s="1" t="str">
        <f t="shared" si="12022"/>
        <v>0</v>
      </c>
      <c r="L6468" s="1" t="str">
        <f t="shared" si="12022"/>
        <v>0</v>
      </c>
      <c r="M6468" s="1" t="str">
        <f t="shared" si="12022"/>
        <v>0</v>
      </c>
      <c r="N6468" s="1" t="str">
        <f t="shared" si="12022"/>
        <v>0</v>
      </c>
      <c r="O6468" s="1" t="str">
        <f t="shared" si="12022"/>
        <v>0</v>
      </c>
      <c r="P6468" s="1" t="str">
        <f t="shared" si="12022"/>
        <v>0</v>
      </c>
      <c r="Q6468" s="1" t="str">
        <f t="shared" si="12020"/>
        <v>0.0070</v>
      </c>
      <c r="R6468" s="1" t="s">
        <v>25</v>
      </c>
      <c r="T6468" s="1" t="str">
        <f t="shared" si="12021"/>
        <v>0</v>
      </c>
      <c r="U6468" s="1" t="str">
        <f t="shared" si="12013"/>
        <v>0.0070</v>
      </c>
    </row>
    <row r="6469" s="1" customFormat="1" spans="1:21">
      <c r="A6469" s="1" t="str">
        <f>"4601992273652"</f>
        <v>4601992273652</v>
      </c>
      <c r="B6469" s="1" t="s">
        <v>6492</v>
      </c>
      <c r="C6469" s="1" t="s">
        <v>24</v>
      </c>
      <c r="D6469" s="1" t="str">
        <f t="shared" si="12017"/>
        <v>2021</v>
      </c>
      <c r="E6469" s="1" t="str">
        <f t="shared" ref="E6469:I6469" si="12023">"0"</f>
        <v>0</v>
      </c>
      <c r="F6469" s="1" t="str">
        <f t="shared" si="12023"/>
        <v>0</v>
      </c>
      <c r="G6469" s="1" t="str">
        <f t="shared" si="12023"/>
        <v>0</v>
      </c>
      <c r="H6469" s="1" t="str">
        <f t="shared" si="12023"/>
        <v>0</v>
      </c>
      <c r="I6469" s="1" t="str">
        <f t="shared" si="12023"/>
        <v>0</v>
      </c>
      <c r="J6469" s="1" t="str">
        <f t="shared" ref="J6469:J6473" si="12024">"1"</f>
        <v>1</v>
      </c>
      <c r="K6469" s="1" t="str">
        <f t="shared" ref="K6469:P6469" si="12025">"0"</f>
        <v>0</v>
      </c>
      <c r="L6469" s="1" t="str">
        <f t="shared" si="12025"/>
        <v>0</v>
      </c>
      <c r="M6469" s="1" t="str">
        <f t="shared" si="12025"/>
        <v>0</v>
      </c>
      <c r="N6469" s="1" t="str">
        <f t="shared" si="12025"/>
        <v>0</v>
      </c>
      <c r="O6469" s="1" t="str">
        <f t="shared" si="12025"/>
        <v>0</v>
      </c>
      <c r="P6469" s="1" t="str">
        <f t="shared" si="12025"/>
        <v>0</v>
      </c>
      <c r="Q6469" s="1" t="str">
        <f t="shared" si="12020"/>
        <v>0.0070</v>
      </c>
      <c r="R6469" s="1" t="s">
        <v>25</v>
      </c>
      <c r="T6469" s="1" t="str">
        <f t="shared" si="12021"/>
        <v>0</v>
      </c>
      <c r="U6469" s="1" t="str">
        <f t="shared" si="12013"/>
        <v>0.0070</v>
      </c>
    </row>
    <row r="6470" s="1" customFormat="1" spans="1:21">
      <c r="A6470" s="1" t="str">
        <f>"4601992273700"</f>
        <v>4601992273700</v>
      </c>
      <c r="B6470" s="1" t="s">
        <v>6493</v>
      </c>
      <c r="C6470" s="1" t="s">
        <v>24</v>
      </c>
      <c r="D6470" s="1" t="str">
        <f t="shared" si="12017"/>
        <v>2021</v>
      </c>
      <c r="E6470" s="1" t="str">
        <f t="shared" ref="E6470:P6470" si="12026">"0"</f>
        <v>0</v>
      </c>
      <c r="F6470" s="1" t="str">
        <f t="shared" si="12026"/>
        <v>0</v>
      </c>
      <c r="G6470" s="1" t="str">
        <f t="shared" si="12026"/>
        <v>0</v>
      </c>
      <c r="H6470" s="1" t="str">
        <f t="shared" si="12026"/>
        <v>0</v>
      </c>
      <c r="I6470" s="1" t="str">
        <f t="shared" si="12026"/>
        <v>0</v>
      </c>
      <c r="J6470" s="1" t="str">
        <f t="shared" si="12026"/>
        <v>0</v>
      </c>
      <c r="K6470" s="1" t="str">
        <f t="shared" si="12026"/>
        <v>0</v>
      </c>
      <c r="L6470" s="1" t="str">
        <f t="shared" si="12026"/>
        <v>0</v>
      </c>
      <c r="M6470" s="1" t="str">
        <f t="shared" si="12026"/>
        <v>0</v>
      </c>
      <c r="N6470" s="1" t="str">
        <f t="shared" si="12026"/>
        <v>0</v>
      </c>
      <c r="O6470" s="1" t="str">
        <f t="shared" si="12026"/>
        <v>0</v>
      </c>
      <c r="P6470" s="1" t="str">
        <f t="shared" si="12026"/>
        <v>0</v>
      </c>
      <c r="Q6470" s="1" t="str">
        <f t="shared" si="12020"/>
        <v>0.0070</v>
      </c>
      <c r="R6470" s="1" t="s">
        <v>25</v>
      </c>
      <c r="T6470" s="1" t="str">
        <f t="shared" si="12021"/>
        <v>0</v>
      </c>
      <c r="U6470" s="1" t="str">
        <f t="shared" si="12013"/>
        <v>0.0070</v>
      </c>
    </row>
    <row r="6471" s="1" customFormat="1" spans="1:21">
      <c r="A6471" s="1" t="str">
        <f>"4601992273689"</f>
        <v>4601992273689</v>
      </c>
      <c r="B6471" s="1" t="s">
        <v>6494</v>
      </c>
      <c r="C6471" s="1" t="s">
        <v>24</v>
      </c>
      <c r="D6471" s="1" t="str">
        <f t="shared" si="12017"/>
        <v>2021</v>
      </c>
      <c r="E6471" s="1" t="str">
        <f t="shared" ref="E6471:I6471" si="12027">"0"</f>
        <v>0</v>
      </c>
      <c r="F6471" s="1" t="str">
        <f t="shared" si="12027"/>
        <v>0</v>
      </c>
      <c r="G6471" s="1" t="str">
        <f t="shared" si="12027"/>
        <v>0</v>
      </c>
      <c r="H6471" s="1" t="str">
        <f t="shared" si="12027"/>
        <v>0</v>
      </c>
      <c r="I6471" s="1" t="str">
        <f t="shared" si="12027"/>
        <v>0</v>
      </c>
      <c r="J6471" s="1" t="str">
        <f t="shared" si="12024"/>
        <v>1</v>
      </c>
      <c r="K6471" s="1" t="str">
        <f t="shared" ref="K6471:P6471" si="12028">"0"</f>
        <v>0</v>
      </c>
      <c r="L6471" s="1" t="str">
        <f t="shared" si="12028"/>
        <v>0</v>
      </c>
      <c r="M6471" s="1" t="str">
        <f t="shared" si="12028"/>
        <v>0</v>
      </c>
      <c r="N6471" s="1" t="str">
        <f t="shared" si="12028"/>
        <v>0</v>
      </c>
      <c r="O6471" s="1" t="str">
        <f t="shared" si="12028"/>
        <v>0</v>
      </c>
      <c r="P6471" s="1" t="str">
        <f t="shared" si="12028"/>
        <v>0</v>
      </c>
      <c r="Q6471" s="1" t="str">
        <f t="shared" si="12020"/>
        <v>0.0070</v>
      </c>
      <c r="R6471" s="1" t="s">
        <v>25</v>
      </c>
      <c r="T6471" s="1" t="str">
        <f t="shared" si="12021"/>
        <v>0</v>
      </c>
      <c r="U6471" s="1" t="str">
        <f t="shared" si="12013"/>
        <v>0.0070</v>
      </c>
    </row>
    <row r="6472" s="1" customFormat="1" spans="1:21">
      <c r="A6472" s="1" t="str">
        <f>"4601992273711"</f>
        <v>4601992273711</v>
      </c>
      <c r="B6472" s="1" t="s">
        <v>6495</v>
      </c>
      <c r="C6472" s="1" t="s">
        <v>24</v>
      </c>
      <c r="D6472" s="1" t="str">
        <f t="shared" si="12017"/>
        <v>2021</v>
      </c>
      <c r="E6472" s="1" t="str">
        <f t="shared" ref="E6472:P6472" si="12029">"0"</f>
        <v>0</v>
      </c>
      <c r="F6472" s="1" t="str">
        <f t="shared" si="12029"/>
        <v>0</v>
      </c>
      <c r="G6472" s="1" t="str">
        <f t="shared" si="12029"/>
        <v>0</v>
      </c>
      <c r="H6472" s="1" t="str">
        <f t="shared" si="12029"/>
        <v>0</v>
      </c>
      <c r="I6472" s="1" t="str">
        <f t="shared" si="12029"/>
        <v>0</v>
      </c>
      <c r="J6472" s="1" t="str">
        <f t="shared" si="12029"/>
        <v>0</v>
      </c>
      <c r="K6472" s="1" t="str">
        <f t="shared" si="12029"/>
        <v>0</v>
      </c>
      <c r="L6472" s="1" t="str">
        <f t="shared" si="12029"/>
        <v>0</v>
      </c>
      <c r="M6472" s="1" t="str">
        <f t="shared" si="12029"/>
        <v>0</v>
      </c>
      <c r="N6472" s="1" t="str">
        <f t="shared" si="12029"/>
        <v>0</v>
      </c>
      <c r="O6472" s="1" t="str">
        <f t="shared" si="12029"/>
        <v>0</v>
      </c>
      <c r="P6472" s="1" t="str">
        <f t="shared" si="12029"/>
        <v>0</v>
      </c>
      <c r="Q6472" s="1" t="str">
        <f t="shared" si="12020"/>
        <v>0.0070</v>
      </c>
      <c r="R6472" s="1" t="s">
        <v>25</v>
      </c>
      <c r="T6472" s="1" t="str">
        <f t="shared" si="12021"/>
        <v>0</v>
      </c>
      <c r="U6472" s="1" t="str">
        <f t="shared" si="12013"/>
        <v>0.0070</v>
      </c>
    </row>
    <row r="6473" s="1" customFormat="1" spans="1:21">
      <c r="A6473" s="1" t="str">
        <f>"4601992273686"</f>
        <v>4601992273686</v>
      </c>
      <c r="B6473" s="1" t="s">
        <v>6496</v>
      </c>
      <c r="C6473" s="1" t="s">
        <v>24</v>
      </c>
      <c r="D6473" s="1" t="str">
        <f t="shared" si="12017"/>
        <v>2021</v>
      </c>
      <c r="E6473" s="1" t="str">
        <f>"11.98"</f>
        <v>11.98</v>
      </c>
      <c r="F6473" s="1" t="str">
        <f t="shared" ref="F6473:I6473" si="12030">"0"</f>
        <v>0</v>
      </c>
      <c r="G6473" s="1" t="str">
        <f t="shared" si="12030"/>
        <v>0</v>
      </c>
      <c r="H6473" s="1" t="str">
        <f t="shared" si="12030"/>
        <v>0</v>
      </c>
      <c r="I6473" s="1" t="str">
        <f t="shared" si="12030"/>
        <v>0</v>
      </c>
      <c r="J6473" s="1" t="str">
        <f t="shared" si="12024"/>
        <v>1</v>
      </c>
      <c r="K6473" s="1" t="str">
        <f t="shared" ref="K6473:P6473" si="12031">"0"</f>
        <v>0</v>
      </c>
      <c r="L6473" s="1" t="str">
        <f t="shared" si="12031"/>
        <v>0</v>
      </c>
      <c r="M6473" s="1" t="str">
        <f t="shared" si="12031"/>
        <v>0</v>
      </c>
      <c r="N6473" s="1" t="str">
        <f t="shared" si="12031"/>
        <v>0</v>
      </c>
      <c r="O6473" s="1" t="str">
        <f t="shared" si="12031"/>
        <v>0</v>
      </c>
      <c r="P6473" s="1" t="str">
        <f t="shared" si="12031"/>
        <v>0</v>
      </c>
      <c r="Q6473" s="1" t="str">
        <f t="shared" si="12020"/>
        <v>0.0070</v>
      </c>
      <c r="R6473" s="1" t="s">
        <v>29</v>
      </c>
      <c r="S6473" s="1">
        <v>-0.0014</v>
      </c>
      <c r="T6473" s="1" t="str">
        <f t="shared" si="12021"/>
        <v>0</v>
      </c>
      <c r="U6473" s="1" t="str">
        <f>"0.0056"</f>
        <v>0.0056</v>
      </c>
    </row>
    <row r="6474" s="1" customFormat="1" spans="1:21">
      <c r="A6474" s="1" t="str">
        <f>"4601992273740"</f>
        <v>4601992273740</v>
      </c>
      <c r="B6474" s="1" t="s">
        <v>6497</v>
      </c>
      <c r="C6474" s="1" t="s">
        <v>24</v>
      </c>
      <c r="D6474" s="1" t="str">
        <f t="shared" si="12017"/>
        <v>2021</v>
      </c>
      <c r="E6474" s="1" t="str">
        <f t="shared" ref="E6474:P6474" si="12032">"0"</f>
        <v>0</v>
      </c>
      <c r="F6474" s="1" t="str">
        <f t="shared" si="12032"/>
        <v>0</v>
      </c>
      <c r="G6474" s="1" t="str">
        <f t="shared" si="12032"/>
        <v>0</v>
      </c>
      <c r="H6474" s="1" t="str">
        <f t="shared" si="12032"/>
        <v>0</v>
      </c>
      <c r="I6474" s="1" t="str">
        <f t="shared" si="12032"/>
        <v>0</v>
      </c>
      <c r="J6474" s="1" t="str">
        <f t="shared" si="12032"/>
        <v>0</v>
      </c>
      <c r="K6474" s="1" t="str">
        <f t="shared" si="12032"/>
        <v>0</v>
      </c>
      <c r="L6474" s="1" t="str">
        <f t="shared" si="12032"/>
        <v>0</v>
      </c>
      <c r="M6474" s="1" t="str">
        <f t="shared" si="12032"/>
        <v>0</v>
      </c>
      <c r="N6474" s="1" t="str">
        <f t="shared" si="12032"/>
        <v>0</v>
      </c>
      <c r="O6474" s="1" t="str">
        <f t="shared" si="12032"/>
        <v>0</v>
      </c>
      <c r="P6474" s="1" t="str">
        <f t="shared" si="12032"/>
        <v>0</v>
      </c>
      <c r="Q6474" s="1" t="str">
        <f t="shared" si="12020"/>
        <v>0.0070</v>
      </c>
      <c r="R6474" s="1" t="s">
        <v>25</v>
      </c>
      <c r="T6474" s="1" t="str">
        <f t="shared" si="12021"/>
        <v>0</v>
      </c>
      <c r="U6474" s="1" t="str">
        <f t="shared" ref="U6474:U6537" si="12033">"0.0070"</f>
        <v>0.0070</v>
      </c>
    </row>
    <row r="6475" s="1" customFormat="1" spans="1:21">
      <c r="A6475" s="1" t="str">
        <f>"4601992273702"</f>
        <v>4601992273702</v>
      </c>
      <c r="B6475" s="1" t="s">
        <v>6498</v>
      </c>
      <c r="C6475" s="1" t="s">
        <v>24</v>
      </c>
      <c r="D6475" s="1" t="str">
        <f t="shared" si="12017"/>
        <v>2021</v>
      </c>
      <c r="E6475" s="1" t="str">
        <f t="shared" ref="E6475:I6475" si="12034">"0"</f>
        <v>0</v>
      </c>
      <c r="F6475" s="1" t="str">
        <f t="shared" si="12034"/>
        <v>0</v>
      </c>
      <c r="G6475" s="1" t="str">
        <f t="shared" si="12034"/>
        <v>0</v>
      </c>
      <c r="H6475" s="1" t="str">
        <f t="shared" si="12034"/>
        <v>0</v>
      </c>
      <c r="I6475" s="1" t="str">
        <f t="shared" si="12034"/>
        <v>0</v>
      </c>
      <c r="J6475" s="1" t="str">
        <f>"3"</f>
        <v>3</v>
      </c>
      <c r="K6475" s="1" t="str">
        <f t="shared" ref="K6475:P6475" si="12035">"0"</f>
        <v>0</v>
      </c>
      <c r="L6475" s="1" t="str">
        <f t="shared" si="12035"/>
        <v>0</v>
      </c>
      <c r="M6475" s="1" t="str">
        <f t="shared" si="12035"/>
        <v>0</v>
      </c>
      <c r="N6475" s="1" t="str">
        <f t="shared" si="12035"/>
        <v>0</v>
      </c>
      <c r="O6475" s="1" t="str">
        <f t="shared" si="12035"/>
        <v>0</v>
      </c>
      <c r="P6475" s="1" t="str">
        <f t="shared" si="12035"/>
        <v>0</v>
      </c>
      <c r="Q6475" s="1" t="str">
        <f t="shared" si="12020"/>
        <v>0.0070</v>
      </c>
      <c r="R6475" s="1" t="s">
        <v>25</v>
      </c>
      <c r="T6475" s="1" t="str">
        <f t="shared" si="12021"/>
        <v>0</v>
      </c>
      <c r="U6475" s="1" t="str">
        <f t="shared" si="12033"/>
        <v>0.0070</v>
      </c>
    </row>
    <row r="6476" s="1" customFormat="1" spans="1:21">
      <c r="A6476" s="1" t="str">
        <f>"4601992273744"</f>
        <v>4601992273744</v>
      </c>
      <c r="B6476" s="1" t="s">
        <v>6499</v>
      </c>
      <c r="C6476" s="1" t="s">
        <v>24</v>
      </c>
      <c r="D6476" s="1" t="str">
        <f t="shared" si="12017"/>
        <v>2021</v>
      </c>
      <c r="E6476" s="1" t="str">
        <f t="shared" ref="E6476:P6476" si="12036">"0"</f>
        <v>0</v>
      </c>
      <c r="F6476" s="1" t="str">
        <f t="shared" si="12036"/>
        <v>0</v>
      </c>
      <c r="G6476" s="1" t="str">
        <f t="shared" si="12036"/>
        <v>0</v>
      </c>
      <c r="H6476" s="1" t="str">
        <f t="shared" si="12036"/>
        <v>0</v>
      </c>
      <c r="I6476" s="1" t="str">
        <f t="shared" si="12036"/>
        <v>0</v>
      </c>
      <c r="J6476" s="1" t="str">
        <f t="shared" si="12036"/>
        <v>0</v>
      </c>
      <c r="K6476" s="1" t="str">
        <f t="shared" si="12036"/>
        <v>0</v>
      </c>
      <c r="L6476" s="1" t="str">
        <f t="shared" si="12036"/>
        <v>0</v>
      </c>
      <c r="M6476" s="1" t="str">
        <f t="shared" si="12036"/>
        <v>0</v>
      </c>
      <c r="N6476" s="1" t="str">
        <f t="shared" si="12036"/>
        <v>0</v>
      </c>
      <c r="O6476" s="1" t="str">
        <f t="shared" si="12036"/>
        <v>0</v>
      </c>
      <c r="P6476" s="1" t="str">
        <f t="shared" si="12036"/>
        <v>0</v>
      </c>
      <c r="Q6476" s="1" t="str">
        <f t="shared" si="12020"/>
        <v>0.0070</v>
      </c>
      <c r="R6476" s="1" t="s">
        <v>25</v>
      </c>
      <c r="T6476" s="1" t="str">
        <f t="shared" si="12021"/>
        <v>0</v>
      </c>
      <c r="U6476" s="1" t="str">
        <f t="shared" si="12033"/>
        <v>0.0070</v>
      </c>
    </row>
    <row r="6477" s="1" customFormat="1" spans="1:21">
      <c r="A6477" s="1" t="str">
        <f>"4601992273748"</f>
        <v>4601992273748</v>
      </c>
      <c r="B6477" s="1" t="s">
        <v>6500</v>
      </c>
      <c r="C6477" s="1" t="s">
        <v>24</v>
      </c>
      <c r="D6477" s="1" t="str">
        <f t="shared" si="12017"/>
        <v>2021</v>
      </c>
      <c r="E6477" s="1" t="str">
        <f t="shared" ref="E6477:P6477" si="12037">"0"</f>
        <v>0</v>
      </c>
      <c r="F6477" s="1" t="str">
        <f t="shared" si="12037"/>
        <v>0</v>
      </c>
      <c r="G6477" s="1" t="str">
        <f t="shared" si="12037"/>
        <v>0</v>
      </c>
      <c r="H6477" s="1" t="str">
        <f t="shared" si="12037"/>
        <v>0</v>
      </c>
      <c r="I6477" s="1" t="str">
        <f t="shared" si="12037"/>
        <v>0</v>
      </c>
      <c r="J6477" s="1" t="str">
        <f t="shared" si="12037"/>
        <v>0</v>
      </c>
      <c r="K6477" s="1" t="str">
        <f t="shared" si="12037"/>
        <v>0</v>
      </c>
      <c r="L6477" s="1" t="str">
        <f t="shared" si="12037"/>
        <v>0</v>
      </c>
      <c r="M6477" s="1" t="str">
        <f t="shared" si="12037"/>
        <v>0</v>
      </c>
      <c r="N6477" s="1" t="str">
        <f t="shared" si="12037"/>
        <v>0</v>
      </c>
      <c r="O6477" s="1" t="str">
        <f t="shared" si="12037"/>
        <v>0</v>
      </c>
      <c r="P6477" s="1" t="str">
        <f t="shared" si="12037"/>
        <v>0</v>
      </c>
      <c r="Q6477" s="1" t="str">
        <f t="shared" si="12020"/>
        <v>0.0070</v>
      </c>
      <c r="R6477" s="1" t="s">
        <v>25</v>
      </c>
      <c r="T6477" s="1" t="str">
        <f t="shared" si="12021"/>
        <v>0</v>
      </c>
      <c r="U6477" s="1" t="str">
        <f t="shared" si="12033"/>
        <v>0.0070</v>
      </c>
    </row>
    <row r="6478" s="1" customFormat="1" spans="1:21">
      <c r="A6478" s="1" t="str">
        <f>"4601992273742"</f>
        <v>4601992273742</v>
      </c>
      <c r="B6478" s="1" t="s">
        <v>6501</v>
      </c>
      <c r="C6478" s="1" t="s">
        <v>24</v>
      </c>
      <c r="D6478" s="1" t="str">
        <f t="shared" si="12017"/>
        <v>2021</v>
      </c>
      <c r="E6478" s="1" t="str">
        <f t="shared" ref="E6478:P6478" si="12038">"0"</f>
        <v>0</v>
      </c>
      <c r="F6478" s="1" t="str">
        <f t="shared" si="12038"/>
        <v>0</v>
      </c>
      <c r="G6478" s="1" t="str">
        <f t="shared" si="12038"/>
        <v>0</v>
      </c>
      <c r="H6478" s="1" t="str">
        <f t="shared" si="12038"/>
        <v>0</v>
      </c>
      <c r="I6478" s="1" t="str">
        <f t="shared" si="12038"/>
        <v>0</v>
      </c>
      <c r="J6478" s="1" t="str">
        <f t="shared" si="12038"/>
        <v>0</v>
      </c>
      <c r="K6478" s="1" t="str">
        <f t="shared" si="12038"/>
        <v>0</v>
      </c>
      <c r="L6478" s="1" t="str">
        <f t="shared" si="12038"/>
        <v>0</v>
      </c>
      <c r="M6478" s="1" t="str">
        <f t="shared" si="12038"/>
        <v>0</v>
      </c>
      <c r="N6478" s="1" t="str">
        <f t="shared" si="12038"/>
        <v>0</v>
      </c>
      <c r="O6478" s="1" t="str">
        <f t="shared" si="12038"/>
        <v>0</v>
      </c>
      <c r="P6478" s="1" t="str">
        <f t="shared" si="12038"/>
        <v>0</v>
      </c>
      <c r="Q6478" s="1" t="str">
        <f t="shared" si="12020"/>
        <v>0.0070</v>
      </c>
      <c r="R6478" s="1" t="s">
        <v>25</v>
      </c>
      <c r="T6478" s="1" t="str">
        <f t="shared" si="12021"/>
        <v>0</v>
      </c>
      <c r="U6478" s="1" t="str">
        <f t="shared" si="12033"/>
        <v>0.0070</v>
      </c>
    </row>
    <row r="6479" s="1" customFormat="1" spans="1:21">
      <c r="A6479" s="1" t="str">
        <f>"4601992273766"</f>
        <v>4601992273766</v>
      </c>
      <c r="B6479" s="1" t="s">
        <v>6502</v>
      </c>
      <c r="C6479" s="1" t="s">
        <v>24</v>
      </c>
      <c r="D6479" s="1" t="str">
        <f t="shared" si="12017"/>
        <v>2021</v>
      </c>
      <c r="E6479" s="1" t="str">
        <f t="shared" ref="E6479:P6479" si="12039">"0"</f>
        <v>0</v>
      </c>
      <c r="F6479" s="1" t="str">
        <f t="shared" si="12039"/>
        <v>0</v>
      </c>
      <c r="G6479" s="1" t="str">
        <f t="shared" si="12039"/>
        <v>0</v>
      </c>
      <c r="H6479" s="1" t="str">
        <f t="shared" si="12039"/>
        <v>0</v>
      </c>
      <c r="I6479" s="1" t="str">
        <f t="shared" si="12039"/>
        <v>0</v>
      </c>
      <c r="J6479" s="1" t="str">
        <f t="shared" si="12039"/>
        <v>0</v>
      </c>
      <c r="K6479" s="1" t="str">
        <f t="shared" si="12039"/>
        <v>0</v>
      </c>
      <c r="L6479" s="1" t="str">
        <f t="shared" si="12039"/>
        <v>0</v>
      </c>
      <c r="M6479" s="1" t="str">
        <f t="shared" si="12039"/>
        <v>0</v>
      </c>
      <c r="N6479" s="1" t="str">
        <f t="shared" si="12039"/>
        <v>0</v>
      </c>
      <c r="O6479" s="1" t="str">
        <f t="shared" si="12039"/>
        <v>0</v>
      </c>
      <c r="P6479" s="1" t="str">
        <f t="shared" si="12039"/>
        <v>0</v>
      </c>
      <c r="Q6479" s="1" t="str">
        <f t="shared" si="12020"/>
        <v>0.0070</v>
      </c>
      <c r="R6479" s="1" t="s">
        <v>25</v>
      </c>
      <c r="T6479" s="1" t="str">
        <f t="shared" si="12021"/>
        <v>0</v>
      </c>
      <c r="U6479" s="1" t="str">
        <f t="shared" si="12033"/>
        <v>0.0070</v>
      </c>
    </row>
    <row r="6480" s="1" customFormat="1" spans="1:21">
      <c r="A6480" s="1" t="str">
        <f>"4601992273761"</f>
        <v>4601992273761</v>
      </c>
      <c r="B6480" s="1" t="s">
        <v>6503</v>
      </c>
      <c r="C6480" s="1" t="s">
        <v>24</v>
      </c>
      <c r="D6480" s="1" t="str">
        <f t="shared" si="12017"/>
        <v>2021</v>
      </c>
      <c r="E6480" s="1" t="str">
        <f t="shared" ref="E6480:I6480" si="12040">"0"</f>
        <v>0</v>
      </c>
      <c r="F6480" s="1" t="str">
        <f t="shared" si="12040"/>
        <v>0</v>
      </c>
      <c r="G6480" s="1" t="str">
        <f t="shared" si="12040"/>
        <v>0</v>
      </c>
      <c r="H6480" s="1" t="str">
        <f t="shared" si="12040"/>
        <v>0</v>
      </c>
      <c r="I6480" s="1" t="str">
        <f t="shared" si="12040"/>
        <v>0</v>
      </c>
      <c r="J6480" s="1" t="str">
        <f>"1"</f>
        <v>1</v>
      </c>
      <c r="K6480" s="1" t="str">
        <f t="shared" ref="K6480:P6480" si="12041">"0"</f>
        <v>0</v>
      </c>
      <c r="L6480" s="1" t="str">
        <f t="shared" si="12041"/>
        <v>0</v>
      </c>
      <c r="M6480" s="1" t="str">
        <f t="shared" si="12041"/>
        <v>0</v>
      </c>
      <c r="N6480" s="1" t="str">
        <f t="shared" si="12041"/>
        <v>0</v>
      </c>
      <c r="O6480" s="1" t="str">
        <f t="shared" si="12041"/>
        <v>0</v>
      </c>
      <c r="P6480" s="1" t="str">
        <f t="shared" si="12041"/>
        <v>0</v>
      </c>
      <c r="Q6480" s="1" t="str">
        <f t="shared" si="12020"/>
        <v>0.0070</v>
      </c>
      <c r="R6480" s="1" t="s">
        <v>25</v>
      </c>
      <c r="T6480" s="1" t="str">
        <f t="shared" si="12021"/>
        <v>0</v>
      </c>
      <c r="U6480" s="1" t="str">
        <f t="shared" si="12033"/>
        <v>0.0070</v>
      </c>
    </row>
    <row r="6481" s="1" customFormat="1" spans="1:21">
      <c r="A6481" s="1" t="str">
        <f>"4601992273762"</f>
        <v>4601992273762</v>
      </c>
      <c r="B6481" s="1" t="s">
        <v>6504</v>
      </c>
      <c r="C6481" s="1" t="s">
        <v>24</v>
      </c>
      <c r="D6481" s="1" t="str">
        <f t="shared" si="12017"/>
        <v>2021</v>
      </c>
      <c r="E6481" s="1" t="str">
        <f t="shared" ref="E6481:I6481" si="12042">"0"</f>
        <v>0</v>
      </c>
      <c r="F6481" s="1" t="str">
        <f t="shared" si="12042"/>
        <v>0</v>
      </c>
      <c r="G6481" s="1" t="str">
        <f t="shared" si="12042"/>
        <v>0</v>
      </c>
      <c r="H6481" s="1" t="str">
        <f t="shared" si="12042"/>
        <v>0</v>
      </c>
      <c r="I6481" s="1" t="str">
        <f t="shared" si="12042"/>
        <v>0</v>
      </c>
      <c r="J6481" s="1" t="str">
        <f>"1"</f>
        <v>1</v>
      </c>
      <c r="K6481" s="1" t="str">
        <f t="shared" ref="K6481:P6481" si="12043">"0"</f>
        <v>0</v>
      </c>
      <c r="L6481" s="1" t="str">
        <f t="shared" si="12043"/>
        <v>0</v>
      </c>
      <c r="M6481" s="1" t="str">
        <f t="shared" si="12043"/>
        <v>0</v>
      </c>
      <c r="N6481" s="1" t="str">
        <f t="shared" si="12043"/>
        <v>0</v>
      </c>
      <c r="O6481" s="1" t="str">
        <f t="shared" si="12043"/>
        <v>0</v>
      </c>
      <c r="P6481" s="1" t="str">
        <f t="shared" si="12043"/>
        <v>0</v>
      </c>
      <c r="Q6481" s="1" t="str">
        <f t="shared" si="12020"/>
        <v>0.0070</v>
      </c>
      <c r="R6481" s="1" t="s">
        <v>25</v>
      </c>
      <c r="T6481" s="1" t="str">
        <f t="shared" si="12021"/>
        <v>0</v>
      </c>
      <c r="U6481" s="1" t="str">
        <f t="shared" si="12033"/>
        <v>0.0070</v>
      </c>
    </row>
    <row r="6482" s="1" customFormat="1" spans="1:21">
      <c r="A6482" s="1" t="str">
        <f>"4601992273783"</f>
        <v>4601992273783</v>
      </c>
      <c r="B6482" s="1" t="s">
        <v>6505</v>
      </c>
      <c r="C6482" s="1" t="s">
        <v>24</v>
      </c>
      <c r="D6482" s="1" t="str">
        <f t="shared" si="12017"/>
        <v>2021</v>
      </c>
      <c r="E6482" s="1" t="str">
        <f t="shared" ref="E6482:I6482" si="12044">"0"</f>
        <v>0</v>
      </c>
      <c r="F6482" s="1" t="str">
        <f t="shared" si="12044"/>
        <v>0</v>
      </c>
      <c r="G6482" s="1" t="str">
        <f t="shared" si="12044"/>
        <v>0</v>
      </c>
      <c r="H6482" s="1" t="str">
        <f t="shared" si="12044"/>
        <v>0</v>
      </c>
      <c r="I6482" s="1" t="str">
        <f t="shared" si="12044"/>
        <v>0</v>
      </c>
      <c r="J6482" s="1" t="str">
        <f>"2"</f>
        <v>2</v>
      </c>
      <c r="K6482" s="1" t="str">
        <f t="shared" ref="K6482:P6482" si="12045">"0"</f>
        <v>0</v>
      </c>
      <c r="L6482" s="1" t="str">
        <f t="shared" si="12045"/>
        <v>0</v>
      </c>
      <c r="M6482" s="1" t="str">
        <f t="shared" si="12045"/>
        <v>0</v>
      </c>
      <c r="N6482" s="1" t="str">
        <f t="shared" si="12045"/>
        <v>0</v>
      </c>
      <c r="O6482" s="1" t="str">
        <f t="shared" si="12045"/>
        <v>0</v>
      </c>
      <c r="P6482" s="1" t="str">
        <f t="shared" si="12045"/>
        <v>0</v>
      </c>
      <c r="Q6482" s="1" t="str">
        <f t="shared" si="12020"/>
        <v>0.0070</v>
      </c>
      <c r="R6482" s="1" t="s">
        <v>25</v>
      </c>
      <c r="T6482" s="1" t="str">
        <f t="shared" si="12021"/>
        <v>0</v>
      </c>
      <c r="U6482" s="1" t="str">
        <f t="shared" si="12033"/>
        <v>0.0070</v>
      </c>
    </row>
    <row r="6483" s="1" customFormat="1" spans="1:21">
      <c r="A6483" s="1" t="str">
        <f>"4601992273815"</f>
        <v>4601992273815</v>
      </c>
      <c r="B6483" s="1" t="s">
        <v>6506</v>
      </c>
      <c r="C6483" s="1" t="s">
        <v>24</v>
      </c>
      <c r="D6483" s="1" t="str">
        <f t="shared" si="12017"/>
        <v>2021</v>
      </c>
      <c r="E6483" s="1" t="str">
        <f t="shared" ref="E6483:P6483" si="12046">"0"</f>
        <v>0</v>
      </c>
      <c r="F6483" s="1" t="str">
        <f t="shared" si="12046"/>
        <v>0</v>
      </c>
      <c r="G6483" s="1" t="str">
        <f t="shared" si="12046"/>
        <v>0</v>
      </c>
      <c r="H6483" s="1" t="str">
        <f t="shared" si="12046"/>
        <v>0</v>
      </c>
      <c r="I6483" s="1" t="str">
        <f t="shared" si="12046"/>
        <v>0</v>
      </c>
      <c r="J6483" s="1" t="str">
        <f t="shared" si="12046"/>
        <v>0</v>
      </c>
      <c r="K6483" s="1" t="str">
        <f t="shared" si="12046"/>
        <v>0</v>
      </c>
      <c r="L6483" s="1" t="str">
        <f t="shared" si="12046"/>
        <v>0</v>
      </c>
      <c r="M6483" s="1" t="str">
        <f t="shared" si="12046"/>
        <v>0</v>
      </c>
      <c r="N6483" s="1" t="str">
        <f t="shared" si="12046"/>
        <v>0</v>
      </c>
      <c r="O6483" s="1" t="str">
        <f t="shared" si="12046"/>
        <v>0</v>
      </c>
      <c r="P6483" s="1" t="str">
        <f t="shared" si="12046"/>
        <v>0</v>
      </c>
      <c r="Q6483" s="1" t="str">
        <f t="shared" si="12020"/>
        <v>0.0070</v>
      </c>
      <c r="R6483" s="1" t="s">
        <v>25</v>
      </c>
      <c r="T6483" s="1" t="str">
        <f t="shared" si="12021"/>
        <v>0</v>
      </c>
      <c r="U6483" s="1" t="str">
        <f t="shared" si="12033"/>
        <v>0.0070</v>
      </c>
    </row>
    <row r="6484" s="1" customFormat="1" spans="1:21">
      <c r="A6484" s="1" t="str">
        <f>"4601992273814"</f>
        <v>4601992273814</v>
      </c>
      <c r="B6484" s="1" t="s">
        <v>6507</v>
      </c>
      <c r="C6484" s="1" t="s">
        <v>24</v>
      </c>
      <c r="D6484" s="1" t="str">
        <f t="shared" si="12017"/>
        <v>2021</v>
      </c>
      <c r="E6484" s="1" t="str">
        <f t="shared" ref="E6484:P6484" si="12047">"0"</f>
        <v>0</v>
      </c>
      <c r="F6484" s="1" t="str">
        <f t="shared" si="12047"/>
        <v>0</v>
      </c>
      <c r="G6484" s="1" t="str">
        <f t="shared" si="12047"/>
        <v>0</v>
      </c>
      <c r="H6484" s="1" t="str">
        <f t="shared" si="12047"/>
        <v>0</v>
      </c>
      <c r="I6484" s="1" t="str">
        <f t="shared" si="12047"/>
        <v>0</v>
      </c>
      <c r="J6484" s="1" t="str">
        <f t="shared" si="12047"/>
        <v>0</v>
      </c>
      <c r="K6484" s="1" t="str">
        <f t="shared" si="12047"/>
        <v>0</v>
      </c>
      <c r="L6484" s="1" t="str">
        <f t="shared" si="12047"/>
        <v>0</v>
      </c>
      <c r="M6484" s="1" t="str">
        <f t="shared" si="12047"/>
        <v>0</v>
      </c>
      <c r="N6484" s="1" t="str">
        <f t="shared" si="12047"/>
        <v>0</v>
      </c>
      <c r="O6484" s="1" t="str">
        <f t="shared" si="12047"/>
        <v>0</v>
      </c>
      <c r="P6484" s="1" t="str">
        <f t="shared" si="12047"/>
        <v>0</v>
      </c>
      <c r="Q6484" s="1" t="str">
        <f t="shared" si="12020"/>
        <v>0.0070</v>
      </c>
      <c r="R6484" s="1" t="s">
        <v>25</v>
      </c>
      <c r="T6484" s="1" t="str">
        <f t="shared" si="12021"/>
        <v>0</v>
      </c>
      <c r="U6484" s="1" t="str">
        <f t="shared" si="12033"/>
        <v>0.0070</v>
      </c>
    </row>
    <row r="6485" s="1" customFormat="1" spans="1:21">
      <c r="A6485" s="1" t="str">
        <f>"4601992273808"</f>
        <v>4601992273808</v>
      </c>
      <c r="B6485" s="1" t="s">
        <v>6508</v>
      </c>
      <c r="C6485" s="1" t="s">
        <v>24</v>
      </c>
      <c r="D6485" s="1" t="str">
        <f t="shared" si="12017"/>
        <v>2021</v>
      </c>
      <c r="E6485" s="1" t="str">
        <f t="shared" ref="E6485:I6485" si="12048">"0"</f>
        <v>0</v>
      </c>
      <c r="F6485" s="1" t="str">
        <f t="shared" si="12048"/>
        <v>0</v>
      </c>
      <c r="G6485" s="1" t="str">
        <f t="shared" si="12048"/>
        <v>0</v>
      </c>
      <c r="H6485" s="1" t="str">
        <f t="shared" si="12048"/>
        <v>0</v>
      </c>
      <c r="I6485" s="1" t="str">
        <f t="shared" si="12048"/>
        <v>0</v>
      </c>
      <c r="J6485" s="1" t="str">
        <f>"3"</f>
        <v>3</v>
      </c>
      <c r="K6485" s="1" t="str">
        <f t="shared" ref="K6485:P6485" si="12049">"0"</f>
        <v>0</v>
      </c>
      <c r="L6485" s="1" t="str">
        <f t="shared" si="12049"/>
        <v>0</v>
      </c>
      <c r="M6485" s="1" t="str">
        <f t="shared" si="12049"/>
        <v>0</v>
      </c>
      <c r="N6485" s="1" t="str">
        <f t="shared" si="12049"/>
        <v>0</v>
      </c>
      <c r="O6485" s="1" t="str">
        <f t="shared" si="12049"/>
        <v>0</v>
      </c>
      <c r="P6485" s="1" t="str">
        <f t="shared" si="12049"/>
        <v>0</v>
      </c>
      <c r="Q6485" s="1" t="str">
        <f t="shared" si="12020"/>
        <v>0.0070</v>
      </c>
      <c r="R6485" s="1" t="s">
        <v>25</v>
      </c>
      <c r="T6485" s="1" t="str">
        <f t="shared" si="12021"/>
        <v>0</v>
      </c>
      <c r="U6485" s="1" t="str">
        <f t="shared" si="12033"/>
        <v>0.0070</v>
      </c>
    </row>
    <row r="6486" s="1" customFormat="1" spans="1:21">
      <c r="A6486" s="1" t="str">
        <f>"4601992273859"</f>
        <v>4601992273859</v>
      </c>
      <c r="B6486" s="1" t="s">
        <v>6509</v>
      </c>
      <c r="C6486" s="1" t="s">
        <v>24</v>
      </c>
      <c r="D6486" s="1" t="str">
        <f t="shared" si="12017"/>
        <v>2021</v>
      </c>
      <c r="E6486" s="1" t="str">
        <f t="shared" ref="E6486:P6486" si="12050">"0"</f>
        <v>0</v>
      </c>
      <c r="F6486" s="1" t="str">
        <f t="shared" si="12050"/>
        <v>0</v>
      </c>
      <c r="G6486" s="1" t="str">
        <f t="shared" si="12050"/>
        <v>0</v>
      </c>
      <c r="H6486" s="1" t="str">
        <f t="shared" si="12050"/>
        <v>0</v>
      </c>
      <c r="I6486" s="1" t="str">
        <f t="shared" si="12050"/>
        <v>0</v>
      </c>
      <c r="J6486" s="1" t="str">
        <f t="shared" si="12050"/>
        <v>0</v>
      </c>
      <c r="K6486" s="1" t="str">
        <f t="shared" si="12050"/>
        <v>0</v>
      </c>
      <c r="L6486" s="1" t="str">
        <f t="shared" si="12050"/>
        <v>0</v>
      </c>
      <c r="M6486" s="1" t="str">
        <f t="shared" si="12050"/>
        <v>0</v>
      </c>
      <c r="N6486" s="1" t="str">
        <f t="shared" si="12050"/>
        <v>0</v>
      </c>
      <c r="O6486" s="1" t="str">
        <f t="shared" si="12050"/>
        <v>0</v>
      </c>
      <c r="P6486" s="1" t="str">
        <f t="shared" si="12050"/>
        <v>0</v>
      </c>
      <c r="Q6486" s="1" t="str">
        <f t="shared" si="12020"/>
        <v>0.0070</v>
      </c>
      <c r="R6486" s="1" t="s">
        <v>25</v>
      </c>
      <c r="T6486" s="1" t="str">
        <f t="shared" si="12021"/>
        <v>0</v>
      </c>
      <c r="U6486" s="1" t="str">
        <f t="shared" si="12033"/>
        <v>0.0070</v>
      </c>
    </row>
    <row r="6487" s="1" customFormat="1" spans="1:21">
      <c r="A6487" s="1" t="str">
        <f>"4601992273826"</f>
        <v>4601992273826</v>
      </c>
      <c r="B6487" s="1" t="s">
        <v>6510</v>
      </c>
      <c r="C6487" s="1" t="s">
        <v>24</v>
      </c>
      <c r="D6487" s="1" t="str">
        <f t="shared" si="12017"/>
        <v>2021</v>
      </c>
      <c r="E6487" s="1" t="str">
        <f t="shared" ref="E6487:P6487" si="12051">"0"</f>
        <v>0</v>
      </c>
      <c r="F6487" s="1" t="str">
        <f t="shared" si="12051"/>
        <v>0</v>
      </c>
      <c r="G6487" s="1" t="str">
        <f t="shared" si="12051"/>
        <v>0</v>
      </c>
      <c r="H6487" s="1" t="str">
        <f t="shared" si="12051"/>
        <v>0</v>
      </c>
      <c r="I6487" s="1" t="str">
        <f t="shared" si="12051"/>
        <v>0</v>
      </c>
      <c r="J6487" s="1" t="str">
        <f t="shared" si="12051"/>
        <v>0</v>
      </c>
      <c r="K6487" s="1" t="str">
        <f t="shared" si="12051"/>
        <v>0</v>
      </c>
      <c r="L6487" s="1" t="str">
        <f t="shared" si="12051"/>
        <v>0</v>
      </c>
      <c r="M6487" s="1" t="str">
        <f t="shared" si="12051"/>
        <v>0</v>
      </c>
      <c r="N6487" s="1" t="str">
        <f t="shared" si="12051"/>
        <v>0</v>
      </c>
      <c r="O6487" s="1" t="str">
        <f t="shared" si="12051"/>
        <v>0</v>
      </c>
      <c r="P6487" s="1" t="str">
        <f t="shared" si="12051"/>
        <v>0</v>
      </c>
      <c r="Q6487" s="1" t="str">
        <f t="shared" si="12020"/>
        <v>0.0070</v>
      </c>
      <c r="R6487" s="1" t="s">
        <v>25</v>
      </c>
      <c r="T6487" s="1" t="str">
        <f t="shared" si="12021"/>
        <v>0</v>
      </c>
      <c r="U6487" s="1" t="str">
        <f t="shared" si="12033"/>
        <v>0.0070</v>
      </c>
    </row>
    <row r="6488" s="1" customFormat="1" spans="1:21">
      <c r="A6488" s="1" t="str">
        <f>"4601992273965"</f>
        <v>4601992273965</v>
      </c>
      <c r="B6488" s="1" t="s">
        <v>6511</v>
      </c>
      <c r="C6488" s="1" t="s">
        <v>24</v>
      </c>
      <c r="D6488" s="1" t="str">
        <f t="shared" si="12017"/>
        <v>2021</v>
      </c>
      <c r="E6488" s="1" t="str">
        <f t="shared" ref="E6488:P6488" si="12052">"0"</f>
        <v>0</v>
      </c>
      <c r="F6488" s="1" t="str">
        <f t="shared" si="12052"/>
        <v>0</v>
      </c>
      <c r="G6488" s="1" t="str">
        <f t="shared" si="12052"/>
        <v>0</v>
      </c>
      <c r="H6488" s="1" t="str">
        <f t="shared" si="12052"/>
        <v>0</v>
      </c>
      <c r="I6488" s="1" t="str">
        <f t="shared" si="12052"/>
        <v>0</v>
      </c>
      <c r="J6488" s="1" t="str">
        <f t="shared" si="12052"/>
        <v>0</v>
      </c>
      <c r="K6488" s="1" t="str">
        <f t="shared" si="12052"/>
        <v>0</v>
      </c>
      <c r="L6488" s="1" t="str">
        <f t="shared" si="12052"/>
        <v>0</v>
      </c>
      <c r="M6488" s="1" t="str">
        <f t="shared" si="12052"/>
        <v>0</v>
      </c>
      <c r="N6488" s="1" t="str">
        <f t="shared" si="12052"/>
        <v>0</v>
      </c>
      <c r="O6488" s="1" t="str">
        <f t="shared" si="12052"/>
        <v>0</v>
      </c>
      <c r="P6488" s="1" t="str">
        <f t="shared" si="12052"/>
        <v>0</v>
      </c>
      <c r="Q6488" s="1" t="str">
        <f t="shared" si="12020"/>
        <v>0.0070</v>
      </c>
      <c r="R6488" s="1" t="s">
        <v>25</v>
      </c>
      <c r="T6488" s="1" t="str">
        <f t="shared" si="12021"/>
        <v>0</v>
      </c>
      <c r="U6488" s="1" t="str">
        <f t="shared" si="12033"/>
        <v>0.0070</v>
      </c>
    </row>
    <row r="6489" s="1" customFormat="1" spans="1:21">
      <c r="A6489" s="1" t="str">
        <f>"4601992273975"</f>
        <v>4601992273975</v>
      </c>
      <c r="B6489" s="1" t="s">
        <v>6512</v>
      </c>
      <c r="C6489" s="1" t="s">
        <v>24</v>
      </c>
      <c r="D6489" s="1" t="str">
        <f t="shared" si="12017"/>
        <v>2021</v>
      </c>
      <c r="E6489" s="1" t="str">
        <f t="shared" ref="E6489:P6489" si="12053">"0"</f>
        <v>0</v>
      </c>
      <c r="F6489" s="1" t="str">
        <f t="shared" si="12053"/>
        <v>0</v>
      </c>
      <c r="G6489" s="1" t="str">
        <f t="shared" si="12053"/>
        <v>0</v>
      </c>
      <c r="H6489" s="1" t="str">
        <f t="shared" si="12053"/>
        <v>0</v>
      </c>
      <c r="I6489" s="1" t="str">
        <f t="shared" si="12053"/>
        <v>0</v>
      </c>
      <c r="J6489" s="1" t="str">
        <f t="shared" si="12053"/>
        <v>0</v>
      </c>
      <c r="K6489" s="1" t="str">
        <f t="shared" si="12053"/>
        <v>0</v>
      </c>
      <c r="L6489" s="1" t="str">
        <f t="shared" si="12053"/>
        <v>0</v>
      </c>
      <c r="M6489" s="1" t="str">
        <f t="shared" si="12053"/>
        <v>0</v>
      </c>
      <c r="N6489" s="1" t="str">
        <f t="shared" si="12053"/>
        <v>0</v>
      </c>
      <c r="O6489" s="1" t="str">
        <f t="shared" si="12053"/>
        <v>0</v>
      </c>
      <c r="P6489" s="1" t="str">
        <f t="shared" si="12053"/>
        <v>0</v>
      </c>
      <c r="Q6489" s="1" t="str">
        <f t="shared" si="12020"/>
        <v>0.0070</v>
      </c>
      <c r="R6489" s="1" t="s">
        <v>25</v>
      </c>
      <c r="T6489" s="1" t="str">
        <f t="shared" si="12021"/>
        <v>0</v>
      </c>
      <c r="U6489" s="1" t="str">
        <f t="shared" si="12033"/>
        <v>0.0070</v>
      </c>
    </row>
    <row r="6490" s="1" customFormat="1" spans="1:21">
      <c r="A6490" s="1" t="str">
        <f>"4601992273860"</f>
        <v>4601992273860</v>
      </c>
      <c r="B6490" s="1" t="s">
        <v>6513</v>
      </c>
      <c r="C6490" s="1" t="s">
        <v>24</v>
      </c>
      <c r="D6490" s="1" t="str">
        <f t="shared" si="12017"/>
        <v>2021</v>
      </c>
      <c r="E6490" s="1" t="str">
        <f t="shared" ref="E6490:I6490" si="12054">"0"</f>
        <v>0</v>
      </c>
      <c r="F6490" s="1" t="str">
        <f t="shared" si="12054"/>
        <v>0</v>
      </c>
      <c r="G6490" s="1" t="str">
        <f t="shared" si="12054"/>
        <v>0</v>
      </c>
      <c r="H6490" s="1" t="str">
        <f t="shared" si="12054"/>
        <v>0</v>
      </c>
      <c r="I6490" s="1" t="str">
        <f t="shared" si="12054"/>
        <v>0</v>
      </c>
      <c r="J6490" s="1" t="str">
        <f>"2"</f>
        <v>2</v>
      </c>
      <c r="K6490" s="1" t="str">
        <f t="shared" ref="K6490:P6490" si="12055">"0"</f>
        <v>0</v>
      </c>
      <c r="L6490" s="1" t="str">
        <f t="shared" si="12055"/>
        <v>0</v>
      </c>
      <c r="M6490" s="1" t="str">
        <f t="shared" si="12055"/>
        <v>0</v>
      </c>
      <c r="N6490" s="1" t="str">
        <f t="shared" si="12055"/>
        <v>0</v>
      </c>
      <c r="O6490" s="1" t="str">
        <f t="shared" si="12055"/>
        <v>0</v>
      </c>
      <c r="P6490" s="1" t="str">
        <f t="shared" si="12055"/>
        <v>0</v>
      </c>
      <c r="Q6490" s="1" t="str">
        <f t="shared" si="12020"/>
        <v>0.0070</v>
      </c>
      <c r="R6490" s="1" t="s">
        <v>25</v>
      </c>
      <c r="T6490" s="1" t="str">
        <f t="shared" si="12021"/>
        <v>0</v>
      </c>
      <c r="U6490" s="1" t="str">
        <f t="shared" si="12033"/>
        <v>0.0070</v>
      </c>
    </row>
    <row r="6491" s="1" customFormat="1" spans="1:21">
      <c r="A6491" s="1" t="str">
        <f>"4601992274031"</f>
        <v>4601992274031</v>
      </c>
      <c r="B6491" s="1" t="s">
        <v>6514</v>
      </c>
      <c r="C6491" s="1" t="s">
        <v>24</v>
      </c>
      <c r="D6491" s="1" t="str">
        <f t="shared" si="12017"/>
        <v>2021</v>
      </c>
      <c r="E6491" s="1" t="str">
        <f t="shared" ref="E6491:P6491" si="12056">"0"</f>
        <v>0</v>
      </c>
      <c r="F6491" s="1" t="str">
        <f t="shared" si="12056"/>
        <v>0</v>
      </c>
      <c r="G6491" s="1" t="str">
        <f t="shared" si="12056"/>
        <v>0</v>
      </c>
      <c r="H6491" s="1" t="str">
        <f t="shared" si="12056"/>
        <v>0</v>
      </c>
      <c r="I6491" s="1" t="str">
        <f t="shared" si="12056"/>
        <v>0</v>
      </c>
      <c r="J6491" s="1" t="str">
        <f t="shared" si="12056"/>
        <v>0</v>
      </c>
      <c r="K6491" s="1" t="str">
        <f t="shared" si="12056"/>
        <v>0</v>
      </c>
      <c r="L6491" s="1" t="str">
        <f t="shared" si="12056"/>
        <v>0</v>
      </c>
      <c r="M6491" s="1" t="str">
        <f t="shared" si="12056"/>
        <v>0</v>
      </c>
      <c r="N6491" s="1" t="str">
        <f t="shared" si="12056"/>
        <v>0</v>
      </c>
      <c r="O6491" s="1" t="str">
        <f t="shared" si="12056"/>
        <v>0</v>
      </c>
      <c r="P6491" s="1" t="str">
        <f t="shared" si="12056"/>
        <v>0</v>
      </c>
      <c r="Q6491" s="1" t="str">
        <f t="shared" si="12020"/>
        <v>0.0070</v>
      </c>
      <c r="R6491" s="1" t="s">
        <v>25</v>
      </c>
      <c r="T6491" s="1" t="str">
        <f t="shared" si="12021"/>
        <v>0</v>
      </c>
      <c r="U6491" s="1" t="str">
        <f t="shared" si="12033"/>
        <v>0.0070</v>
      </c>
    </row>
    <row r="6492" s="1" customFormat="1" spans="1:21">
      <c r="A6492" s="1" t="str">
        <f>"4601992274036"</f>
        <v>4601992274036</v>
      </c>
      <c r="B6492" s="1" t="s">
        <v>6515</v>
      </c>
      <c r="C6492" s="1" t="s">
        <v>24</v>
      </c>
      <c r="D6492" s="1" t="str">
        <f t="shared" si="12017"/>
        <v>2021</v>
      </c>
      <c r="E6492" s="1" t="str">
        <f t="shared" ref="E6492:P6492" si="12057">"0"</f>
        <v>0</v>
      </c>
      <c r="F6492" s="1" t="str">
        <f t="shared" si="12057"/>
        <v>0</v>
      </c>
      <c r="G6492" s="1" t="str">
        <f t="shared" si="12057"/>
        <v>0</v>
      </c>
      <c r="H6492" s="1" t="str">
        <f t="shared" si="12057"/>
        <v>0</v>
      </c>
      <c r="I6492" s="1" t="str">
        <f t="shared" si="12057"/>
        <v>0</v>
      </c>
      <c r="J6492" s="1" t="str">
        <f t="shared" si="12057"/>
        <v>0</v>
      </c>
      <c r="K6492" s="1" t="str">
        <f t="shared" si="12057"/>
        <v>0</v>
      </c>
      <c r="L6492" s="1" t="str">
        <f t="shared" si="12057"/>
        <v>0</v>
      </c>
      <c r="M6492" s="1" t="str">
        <f t="shared" si="12057"/>
        <v>0</v>
      </c>
      <c r="N6492" s="1" t="str">
        <f t="shared" si="12057"/>
        <v>0</v>
      </c>
      <c r="O6492" s="1" t="str">
        <f t="shared" si="12057"/>
        <v>0</v>
      </c>
      <c r="P6492" s="1" t="str">
        <f t="shared" si="12057"/>
        <v>0</v>
      </c>
      <c r="Q6492" s="1" t="str">
        <f t="shared" si="12020"/>
        <v>0.0070</v>
      </c>
      <c r="R6492" s="1" t="s">
        <v>25</v>
      </c>
      <c r="T6492" s="1" t="str">
        <f t="shared" si="12021"/>
        <v>0</v>
      </c>
      <c r="U6492" s="1" t="str">
        <f t="shared" si="12033"/>
        <v>0.0070</v>
      </c>
    </row>
    <row r="6493" s="1" customFormat="1" spans="1:21">
      <c r="A6493" s="1" t="str">
        <f>"4601992274160"</f>
        <v>4601992274160</v>
      </c>
      <c r="B6493" s="1" t="s">
        <v>6516</v>
      </c>
      <c r="C6493" s="1" t="s">
        <v>24</v>
      </c>
      <c r="D6493" s="1" t="str">
        <f t="shared" si="12017"/>
        <v>2021</v>
      </c>
      <c r="E6493" s="1" t="str">
        <f t="shared" ref="E6493:P6493" si="12058">"0"</f>
        <v>0</v>
      </c>
      <c r="F6493" s="1" t="str">
        <f t="shared" si="12058"/>
        <v>0</v>
      </c>
      <c r="G6493" s="1" t="str">
        <f t="shared" si="12058"/>
        <v>0</v>
      </c>
      <c r="H6493" s="1" t="str">
        <f t="shared" si="12058"/>
        <v>0</v>
      </c>
      <c r="I6493" s="1" t="str">
        <f t="shared" si="12058"/>
        <v>0</v>
      </c>
      <c r="J6493" s="1" t="str">
        <f t="shared" si="12058"/>
        <v>0</v>
      </c>
      <c r="K6493" s="1" t="str">
        <f t="shared" si="12058"/>
        <v>0</v>
      </c>
      <c r="L6493" s="1" t="str">
        <f t="shared" si="12058"/>
        <v>0</v>
      </c>
      <c r="M6493" s="1" t="str">
        <f t="shared" si="12058"/>
        <v>0</v>
      </c>
      <c r="N6493" s="1" t="str">
        <f t="shared" si="12058"/>
        <v>0</v>
      </c>
      <c r="O6493" s="1" t="str">
        <f t="shared" si="12058"/>
        <v>0</v>
      </c>
      <c r="P6493" s="1" t="str">
        <f t="shared" si="12058"/>
        <v>0</v>
      </c>
      <c r="Q6493" s="1" t="str">
        <f t="shared" si="12020"/>
        <v>0.0070</v>
      </c>
      <c r="R6493" s="1" t="s">
        <v>25</v>
      </c>
      <c r="T6493" s="1" t="str">
        <f t="shared" si="12021"/>
        <v>0</v>
      </c>
      <c r="U6493" s="1" t="str">
        <f t="shared" si="12033"/>
        <v>0.0070</v>
      </c>
    </row>
    <row r="6494" s="1" customFormat="1" spans="1:21">
      <c r="A6494" s="1" t="str">
        <f>"4601992274374"</f>
        <v>4601992274374</v>
      </c>
      <c r="B6494" s="1" t="s">
        <v>6517</v>
      </c>
      <c r="C6494" s="1" t="s">
        <v>24</v>
      </c>
      <c r="D6494" s="1" t="str">
        <f t="shared" si="12017"/>
        <v>2021</v>
      </c>
      <c r="E6494" s="1" t="str">
        <f t="shared" ref="E6494:P6494" si="12059">"0"</f>
        <v>0</v>
      </c>
      <c r="F6494" s="1" t="str">
        <f t="shared" si="12059"/>
        <v>0</v>
      </c>
      <c r="G6494" s="1" t="str">
        <f t="shared" si="12059"/>
        <v>0</v>
      </c>
      <c r="H6494" s="1" t="str">
        <f t="shared" si="12059"/>
        <v>0</v>
      </c>
      <c r="I6494" s="1" t="str">
        <f t="shared" si="12059"/>
        <v>0</v>
      </c>
      <c r="J6494" s="1" t="str">
        <f t="shared" si="12059"/>
        <v>0</v>
      </c>
      <c r="K6494" s="1" t="str">
        <f t="shared" si="12059"/>
        <v>0</v>
      </c>
      <c r="L6494" s="1" t="str">
        <f t="shared" si="12059"/>
        <v>0</v>
      </c>
      <c r="M6494" s="1" t="str">
        <f t="shared" si="12059"/>
        <v>0</v>
      </c>
      <c r="N6494" s="1" t="str">
        <f t="shared" si="12059"/>
        <v>0</v>
      </c>
      <c r="O6494" s="1" t="str">
        <f t="shared" si="12059"/>
        <v>0</v>
      </c>
      <c r="P6494" s="1" t="str">
        <f t="shared" si="12059"/>
        <v>0</v>
      </c>
      <c r="Q6494" s="1" t="str">
        <f t="shared" si="12020"/>
        <v>0.0070</v>
      </c>
      <c r="R6494" s="1" t="s">
        <v>25</v>
      </c>
      <c r="T6494" s="1" t="str">
        <f t="shared" si="12021"/>
        <v>0</v>
      </c>
      <c r="U6494" s="1" t="str">
        <f t="shared" si="12033"/>
        <v>0.0070</v>
      </c>
    </row>
    <row r="6495" s="1" customFormat="1" spans="1:21">
      <c r="A6495" s="1" t="str">
        <f>"4601992274423"</f>
        <v>4601992274423</v>
      </c>
      <c r="B6495" s="1" t="s">
        <v>6518</v>
      </c>
      <c r="C6495" s="1" t="s">
        <v>24</v>
      </c>
      <c r="D6495" s="1" t="str">
        <f t="shared" si="12017"/>
        <v>2021</v>
      </c>
      <c r="E6495" s="1" t="str">
        <f t="shared" ref="E6495:P6495" si="12060">"0"</f>
        <v>0</v>
      </c>
      <c r="F6495" s="1" t="str">
        <f t="shared" si="12060"/>
        <v>0</v>
      </c>
      <c r="G6495" s="1" t="str">
        <f t="shared" si="12060"/>
        <v>0</v>
      </c>
      <c r="H6495" s="1" t="str">
        <f t="shared" si="12060"/>
        <v>0</v>
      </c>
      <c r="I6495" s="1" t="str">
        <f t="shared" si="12060"/>
        <v>0</v>
      </c>
      <c r="J6495" s="1" t="str">
        <f t="shared" si="12060"/>
        <v>0</v>
      </c>
      <c r="K6495" s="1" t="str">
        <f t="shared" si="12060"/>
        <v>0</v>
      </c>
      <c r="L6495" s="1" t="str">
        <f t="shared" si="12060"/>
        <v>0</v>
      </c>
      <c r="M6495" s="1" t="str">
        <f t="shared" si="12060"/>
        <v>0</v>
      </c>
      <c r="N6495" s="1" t="str">
        <f t="shared" si="12060"/>
        <v>0</v>
      </c>
      <c r="O6495" s="1" t="str">
        <f t="shared" si="12060"/>
        <v>0</v>
      </c>
      <c r="P6495" s="1" t="str">
        <f t="shared" si="12060"/>
        <v>0</v>
      </c>
      <c r="Q6495" s="1" t="str">
        <f t="shared" si="12020"/>
        <v>0.0070</v>
      </c>
      <c r="R6495" s="1" t="s">
        <v>25</v>
      </c>
      <c r="T6495" s="1" t="str">
        <f t="shared" si="12021"/>
        <v>0</v>
      </c>
      <c r="U6495" s="1" t="str">
        <f t="shared" si="12033"/>
        <v>0.0070</v>
      </c>
    </row>
    <row r="6496" s="1" customFormat="1" spans="1:21">
      <c r="A6496" s="1" t="str">
        <f>"4601992274462"</f>
        <v>4601992274462</v>
      </c>
      <c r="B6496" s="1" t="s">
        <v>6519</v>
      </c>
      <c r="C6496" s="1" t="s">
        <v>24</v>
      </c>
      <c r="D6496" s="1" t="str">
        <f t="shared" si="12017"/>
        <v>2021</v>
      </c>
      <c r="E6496" s="1" t="str">
        <f t="shared" ref="E6496:P6496" si="12061">"0"</f>
        <v>0</v>
      </c>
      <c r="F6496" s="1" t="str">
        <f t="shared" si="12061"/>
        <v>0</v>
      </c>
      <c r="G6496" s="1" t="str">
        <f t="shared" si="12061"/>
        <v>0</v>
      </c>
      <c r="H6496" s="1" t="str">
        <f t="shared" si="12061"/>
        <v>0</v>
      </c>
      <c r="I6496" s="1" t="str">
        <f t="shared" si="12061"/>
        <v>0</v>
      </c>
      <c r="J6496" s="1" t="str">
        <f t="shared" si="12061"/>
        <v>0</v>
      </c>
      <c r="K6496" s="1" t="str">
        <f t="shared" si="12061"/>
        <v>0</v>
      </c>
      <c r="L6496" s="1" t="str">
        <f t="shared" si="12061"/>
        <v>0</v>
      </c>
      <c r="M6496" s="1" t="str">
        <f t="shared" si="12061"/>
        <v>0</v>
      </c>
      <c r="N6496" s="1" t="str">
        <f t="shared" si="12061"/>
        <v>0</v>
      </c>
      <c r="O6496" s="1" t="str">
        <f t="shared" si="12061"/>
        <v>0</v>
      </c>
      <c r="P6496" s="1" t="str">
        <f t="shared" si="12061"/>
        <v>0</v>
      </c>
      <c r="Q6496" s="1" t="str">
        <f t="shared" si="12020"/>
        <v>0.0070</v>
      </c>
      <c r="R6496" s="1" t="s">
        <v>25</v>
      </c>
      <c r="T6496" s="1" t="str">
        <f t="shared" si="12021"/>
        <v>0</v>
      </c>
      <c r="U6496" s="1" t="str">
        <f t="shared" si="12033"/>
        <v>0.0070</v>
      </c>
    </row>
    <row r="6497" s="1" customFormat="1" spans="1:21">
      <c r="A6497" s="1" t="str">
        <f>"4601992274537"</f>
        <v>4601992274537</v>
      </c>
      <c r="B6497" s="1" t="s">
        <v>6520</v>
      </c>
      <c r="C6497" s="1" t="s">
        <v>24</v>
      </c>
      <c r="D6497" s="1" t="str">
        <f t="shared" si="12017"/>
        <v>2021</v>
      </c>
      <c r="E6497" s="1" t="str">
        <f t="shared" ref="E6497:P6497" si="12062">"0"</f>
        <v>0</v>
      </c>
      <c r="F6497" s="1" t="str">
        <f t="shared" si="12062"/>
        <v>0</v>
      </c>
      <c r="G6497" s="1" t="str">
        <f t="shared" si="12062"/>
        <v>0</v>
      </c>
      <c r="H6497" s="1" t="str">
        <f t="shared" si="12062"/>
        <v>0</v>
      </c>
      <c r="I6497" s="1" t="str">
        <f t="shared" si="12062"/>
        <v>0</v>
      </c>
      <c r="J6497" s="1" t="str">
        <f t="shared" si="12062"/>
        <v>0</v>
      </c>
      <c r="K6497" s="1" t="str">
        <f t="shared" si="12062"/>
        <v>0</v>
      </c>
      <c r="L6497" s="1" t="str">
        <f t="shared" si="12062"/>
        <v>0</v>
      </c>
      <c r="M6497" s="1" t="str">
        <f t="shared" si="12062"/>
        <v>0</v>
      </c>
      <c r="N6497" s="1" t="str">
        <f t="shared" si="12062"/>
        <v>0</v>
      </c>
      <c r="O6497" s="1" t="str">
        <f t="shared" si="12062"/>
        <v>0</v>
      </c>
      <c r="P6497" s="1" t="str">
        <f t="shared" si="12062"/>
        <v>0</v>
      </c>
      <c r="Q6497" s="1" t="str">
        <f t="shared" si="12020"/>
        <v>0.0070</v>
      </c>
      <c r="R6497" s="1" t="s">
        <v>25</v>
      </c>
      <c r="T6497" s="1" t="str">
        <f t="shared" si="12021"/>
        <v>0</v>
      </c>
      <c r="U6497" s="1" t="str">
        <f t="shared" si="12033"/>
        <v>0.0070</v>
      </c>
    </row>
    <row r="6498" s="1" customFormat="1" spans="1:21">
      <c r="A6498" s="1" t="str">
        <f>"4601992274582"</f>
        <v>4601992274582</v>
      </c>
      <c r="B6498" s="1" t="s">
        <v>6521</v>
      </c>
      <c r="C6498" s="1" t="s">
        <v>24</v>
      </c>
      <c r="D6498" s="1" t="str">
        <f t="shared" si="12017"/>
        <v>2021</v>
      </c>
      <c r="E6498" s="1" t="str">
        <f t="shared" ref="E6498:P6498" si="12063">"0"</f>
        <v>0</v>
      </c>
      <c r="F6498" s="1" t="str">
        <f t="shared" si="12063"/>
        <v>0</v>
      </c>
      <c r="G6498" s="1" t="str">
        <f t="shared" si="12063"/>
        <v>0</v>
      </c>
      <c r="H6498" s="1" t="str">
        <f t="shared" si="12063"/>
        <v>0</v>
      </c>
      <c r="I6498" s="1" t="str">
        <f t="shared" si="12063"/>
        <v>0</v>
      </c>
      <c r="J6498" s="1" t="str">
        <f t="shared" si="12063"/>
        <v>0</v>
      </c>
      <c r="K6498" s="1" t="str">
        <f t="shared" si="12063"/>
        <v>0</v>
      </c>
      <c r="L6498" s="1" t="str">
        <f t="shared" si="12063"/>
        <v>0</v>
      </c>
      <c r="M6498" s="1" t="str">
        <f t="shared" si="12063"/>
        <v>0</v>
      </c>
      <c r="N6498" s="1" t="str">
        <f t="shared" si="12063"/>
        <v>0</v>
      </c>
      <c r="O6498" s="1" t="str">
        <f t="shared" si="12063"/>
        <v>0</v>
      </c>
      <c r="P6498" s="1" t="str">
        <f t="shared" si="12063"/>
        <v>0</v>
      </c>
      <c r="Q6498" s="1" t="str">
        <f t="shared" si="12020"/>
        <v>0.0070</v>
      </c>
      <c r="R6498" s="1" t="s">
        <v>25</v>
      </c>
      <c r="T6498" s="1" t="str">
        <f t="shared" si="12021"/>
        <v>0</v>
      </c>
      <c r="U6498" s="1" t="str">
        <f t="shared" si="12033"/>
        <v>0.0070</v>
      </c>
    </row>
    <row r="6499" s="1" customFormat="1" spans="1:21">
      <c r="A6499" s="1" t="str">
        <f>"4601992274696"</f>
        <v>4601992274696</v>
      </c>
      <c r="B6499" s="1" t="s">
        <v>6522</v>
      </c>
      <c r="C6499" s="1" t="s">
        <v>24</v>
      </c>
      <c r="D6499" s="1" t="str">
        <f t="shared" si="12017"/>
        <v>2021</v>
      </c>
      <c r="E6499" s="1" t="str">
        <f t="shared" ref="E6499:P6499" si="12064">"0"</f>
        <v>0</v>
      </c>
      <c r="F6499" s="1" t="str">
        <f t="shared" si="12064"/>
        <v>0</v>
      </c>
      <c r="G6499" s="1" t="str">
        <f t="shared" si="12064"/>
        <v>0</v>
      </c>
      <c r="H6499" s="1" t="str">
        <f t="shared" si="12064"/>
        <v>0</v>
      </c>
      <c r="I6499" s="1" t="str">
        <f t="shared" si="12064"/>
        <v>0</v>
      </c>
      <c r="J6499" s="1" t="str">
        <f t="shared" si="12064"/>
        <v>0</v>
      </c>
      <c r="K6499" s="1" t="str">
        <f t="shared" si="12064"/>
        <v>0</v>
      </c>
      <c r="L6499" s="1" t="str">
        <f t="shared" si="12064"/>
        <v>0</v>
      </c>
      <c r="M6499" s="1" t="str">
        <f t="shared" si="12064"/>
        <v>0</v>
      </c>
      <c r="N6499" s="1" t="str">
        <f t="shared" si="12064"/>
        <v>0</v>
      </c>
      <c r="O6499" s="1" t="str">
        <f t="shared" si="12064"/>
        <v>0</v>
      </c>
      <c r="P6499" s="1" t="str">
        <f t="shared" si="12064"/>
        <v>0</v>
      </c>
      <c r="Q6499" s="1" t="str">
        <f t="shared" si="12020"/>
        <v>0.0070</v>
      </c>
      <c r="R6499" s="1" t="s">
        <v>25</v>
      </c>
      <c r="T6499" s="1" t="str">
        <f t="shared" si="12021"/>
        <v>0</v>
      </c>
      <c r="U6499" s="1" t="str">
        <f t="shared" si="12033"/>
        <v>0.0070</v>
      </c>
    </row>
    <row r="6500" s="1" customFormat="1" spans="1:21">
      <c r="A6500" s="1" t="str">
        <f>"4601992274926"</f>
        <v>4601992274926</v>
      </c>
      <c r="B6500" s="1" t="s">
        <v>6523</v>
      </c>
      <c r="C6500" s="1" t="s">
        <v>24</v>
      </c>
      <c r="D6500" s="1" t="str">
        <f t="shared" si="12017"/>
        <v>2021</v>
      </c>
      <c r="E6500" s="1" t="str">
        <f t="shared" ref="E6500:P6500" si="12065">"0"</f>
        <v>0</v>
      </c>
      <c r="F6500" s="1" t="str">
        <f t="shared" si="12065"/>
        <v>0</v>
      </c>
      <c r="G6500" s="1" t="str">
        <f t="shared" si="12065"/>
        <v>0</v>
      </c>
      <c r="H6500" s="1" t="str">
        <f t="shared" si="12065"/>
        <v>0</v>
      </c>
      <c r="I6500" s="1" t="str">
        <f t="shared" si="12065"/>
        <v>0</v>
      </c>
      <c r="J6500" s="1" t="str">
        <f t="shared" si="12065"/>
        <v>0</v>
      </c>
      <c r="K6500" s="1" t="str">
        <f t="shared" si="12065"/>
        <v>0</v>
      </c>
      <c r="L6500" s="1" t="str">
        <f t="shared" si="12065"/>
        <v>0</v>
      </c>
      <c r="M6500" s="1" t="str">
        <f t="shared" si="12065"/>
        <v>0</v>
      </c>
      <c r="N6500" s="1" t="str">
        <f t="shared" si="12065"/>
        <v>0</v>
      </c>
      <c r="O6500" s="1" t="str">
        <f t="shared" si="12065"/>
        <v>0</v>
      </c>
      <c r="P6500" s="1" t="str">
        <f t="shared" si="12065"/>
        <v>0</v>
      </c>
      <c r="Q6500" s="1" t="str">
        <f t="shared" si="12020"/>
        <v>0.0070</v>
      </c>
      <c r="R6500" s="1" t="s">
        <v>25</v>
      </c>
      <c r="T6500" s="1" t="str">
        <f t="shared" si="12021"/>
        <v>0</v>
      </c>
      <c r="U6500" s="1" t="str">
        <f t="shared" si="12033"/>
        <v>0.0070</v>
      </c>
    </row>
    <row r="6501" s="1" customFormat="1" spans="1:21">
      <c r="A6501" s="1" t="str">
        <f>"4601992275096"</f>
        <v>4601992275096</v>
      </c>
      <c r="B6501" s="1" t="s">
        <v>6524</v>
      </c>
      <c r="C6501" s="1" t="s">
        <v>24</v>
      </c>
      <c r="D6501" s="1" t="str">
        <f t="shared" si="12017"/>
        <v>2021</v>
      </c>
      <c r="E6501" s="1" t="str">
        <f t="shared" ref="E6501:P6501" si="12066">"0"</f>
        <v>0</v>
      </c>
      <c r="F6501" s="1" t="str">
        <f t="shared" si="12066"/>
        <v>0</v>
      </c>
      <c r="G6501" s="1" t="str">
        <f t="shared" si="12066"/>
        <v>0</v>
      </c>
      <c r="H6501" s="1" t="str">
        <f t="shared" si="12066"/>
        <v>0</v>
      </c>
      <c r="I6501" s="1" t="str">
        <f t="shared" si="12066"/>
        <v>0</v>
      </c>
      <c r="J6501" s="1" t="str">
        <f t="shared" si="12066"/>
        <v>0</v>
      </c>
      <c r="K6501" s="1" t="str">
        <f t="shared" si="12066"/>
        <v>0</v>
      </c>
      <c r="L6501" s="1" t="str">
        <f t="shared" si="12066"/>
        <v>0</v>
      </c>
      <c r="M6501" s="1" t="str">
        <f t="shared" si="12066"/>
        <v>0</v>
      </c>
      <c r="N6501" s="1" t="str">
        <f t="shared" si="12066"/>
        <v>0</v>
      </c>
      <c r="O6501" s="1" t="str">
        <f t="shared" si="12066"/>
        <v>0</v>
      </c>
      <c r="P6501" s="1" t="str">
        <f t="shared" si="12066"/>
        <v>0</v>
      </c>
      <c r="Q6501" s="1" t="str">
        <f t="shared" si="12020"/>
        <v>0.0070</v>
      </c>
      <c r="R6501" s="1" t="s">
        <v>25</v>
      </c>
      <c r="T6501" s="1" t="str">
        <f t="shared" si="12021"/>
        <v>0</v>
      </c>
      <c r="U6501" s="1" t="str">
        <f t="shared" si="12033"/>
        <v>0.0070</v>
      </c>
    </row>
    <row r="6502" s="1" customFormat="1" spans="1:21">
      <c r="A6502" s="1" t="str">
        <f>"4601992275154"</f>
        <v>4601992275154</v>
      </c>
      <c r="B6502" s="1" t="s">
        <v>6525</v>
      </c>
      <c r="C6502" s="1" t="s">
        <v>24</v>
      </c>
      <c r="D6502" s="1" t="str">
        <f t="shared" si="12017"/>
        <v>2021</v>
      </c>
      <c r="E6502" s="1" t="str">
        <f t="shared" ref="E6502:P6502" si="12067">"0"</f>
        <v>0</v>
      </c>
      <c r="F6502" s="1" t="str">
        <f t="shared" si="12067"/>
        <v>0</v>
      </c>
      <c r="G6502" s="1" t="str">
        <f t="shared" si="12067"/>
        <v>0</v>
      </c>
      <c r="H6502" s="1" t="str">
        <f t="shared" si="12067"/>
        <v>0</v>
      </c>
      <c r="I6502" s="1" t="str">
        <f t="shared" si="12067"/>
        <v>0</v>
      </c>
      <c r="J6502" s="1" t="str">
        <f t="shared" si="12067"/>
        <v>0</v>
      </c>
      <c r="K6502" s="1" t="str">
        <f t="shared" si="12067"/>
        <v>0</v>
      </c>
      <c r="L6502" s="1" t="str">
        <f t="shared" si="12067"/>
        <v>0</v>
      </c>
      <c r="M6502" s="1" t="str">
        <f t="shared" si="12067"/>
        <v>0</v>
      </c>
      <c r="N6502" s="1" t="str">
        <f t="shared" si="12067"/>
        <v>0</v>
      </c>
      <c r="O6502" s="1" t="str">
        <f t="shared" si="12067"/>
        <v>0</v>
      </c>
      <c r="P6502" s="1" t="str">
        <f t="shared" si="12067"/>
        <v>0</v>
      </c>
      <c r="Q6502" s="1" t="str">
        <f t="shared" si="12020"/>
        <v>0.0070</v>
      </c>
      <c r="R6502" s="1" t="s">
        <v>25</v>
      </c>
      <c r="T6502" s="1" t="str">
        <f t="shared" si="12021"/>
        <v>0</v>
      </c>
      <c r="U6502" s="1" t="str">
        <f t="shared" si="12033"/>
        <v>0.0070</v>
      </c>
    </row>
    <row r="6503" s="1" customFormat="1" spans="1:21">
      <c r="A6503" s="1" t="str">
        <f>"4601992275671"</f>
        <v>4601992275671</v>
      </c>
      <c r="B6503" s="1" t="s">
        <v>6526</v>
      </c>
      <c r="C6503" s="1" t="s">
        <v>24</v>
      </c>
      <c r="D6503" s="1" t="str">
        <f t="shared" si="12017"/>
        <v>2021</v>
      </c>
      <c r="E6503" s="1" t="str">
        <f t="shared" ref="E6503:P6503" si="12068">"0"</f>
        <v>0</v>
      </c>
      <c r="F6503" s="1" t="str">
        <f t="shared" si="12068"/>
        <v>0</v>
      </c>
      <c r="G6503" s="1" t="str">
        <f t="shared" si="12068"/>
        <v>0</v>
      </c>
      <c r="H6503" s="1" t="str">
        <f t="shared" si="12068"/>
        <v>0</v>
      </c>
      <c r="I6503" s="1" t="str">
        <f t="shared" si="12068"/>
        <v>0</v>
      </c>
      <c r="J6503" s="1" t="str">
        <f t="shared" si="12068"/>
        <v>0</v>
      </c>
      <c r="K6503" s="1" t="str">
        <f t="shared" si="12068"/>
        <v>0</v>
      </c>
      <c r="L6503" s="1" t="str">
        <f t="shared" si="12068"/>
        <v>0</v>
      </c>
      <c r="M6503" s="1" t="str">
        <f t="shared" si="12068"/>
        <v>0</v>
      </c>
      <c r="N6503" s="1" t="str">
        <f t="shared" si="12068"/>
        <v>0</v>
      </c>
      <c r="O6503" s="1" t="str">
        <f t="shared" si="12068"/>
        <v>0</v>
      </c>
      <c r="P6503" s="1" t="str">
        <f t="shared" si="12068"/>
        <v>0</v>
      </c>
      <c r="Q6503" s="1" t="str">
        <f t="shared" si="12020"/>
        <v>0.0070</v>
      </c>
      <c r="R6503" s="1" t="s">
        <v>25</v>
      </c>
      <c r="T6503" s="1" t="str">
        <f t="shared" si="12021"/>
        <v>0</v>
      </c>
      <c r="U6503" s="1" t="str">
        <f t="shared" si="12033"/>
        <v>0.0070</v>
      </c>
    </row>
    <row r="6504" s="1" customFormat="1" spans="1:21">
      <c r="A6504" s="1" t="str">
        <f>"4601992275838"</f>
        <v>4601992275838</v>
      </c>
      <c r="B6504" s="1" t="s">
        <v>6527</v>
      </c>
      <c r="C6504" s="1" t="s">
        <v>24</v>
      </c>
      <c r="D6504" s="1" t="str">
        <f t="shared" si="12017"/>
        <v>2021</v>
      </c>
      <c r="E6504" s="1" t="str">
        <f t="shared" ref="E6504:P6504" si="12069">"0"</f>
        <v>0</v>
      </c>
      <c r="F6504" s="1" t="str">
        <f t="shared" si="12069"/>
        <v>0</v>
      </c>
      <c r="G6504" s="1" t="str">
        <f t="shared" si="12069"/>
        <v>0</v>
      </c>
      <c r="H6504" s="1" t="str">
        <f t="shared" si="12069"/>
        <v>0</v>
      </c>
      <c r="I6504" s="1" t="str">
        <f t="shared" si="12069"/>
        <v>0</v>
      </c>
      <c r="J6504" s="1" t="str">
        <f t="shared" si="12069"/>
        <v>0</v>
      </c>
      <c r="K6504" s="1" t="str">
        <f t="shared" si="12069"/>
        <v>0</v>
      </c>
      <c r="L6504" s="1" t="str">
        <f t="shared" si="12069"/>
        <v>0</v>
      </c>
      <c r="M6504" s="1" t="str">
        <f t="shared" si="12069"/>
        <v>0</v>
      </c>
      <c r="N6504" s="1" t="str">
        <f t="shared" si="12069"/>
        <v>0</v>
      </c>
      <c r="O6504" s="1" t="str">
        <f t="shared" si="12069"/>
        <v>0</v>
      </c>
      <c r="P6504" s="1" t="str">
        <f t="shared" si="12069"/>
        <v>0</v>
      </c>
      <c r="Q6504" s="1" t="str">
        <f t="shared" si="12020"/>
        <v>0.0070</v>
      </c>
      <c r="R6504" s="1" t="s">
        <v>25</v>
      </c>
      <c r="T6504" s="1" t="str">
        <f t="shared" si="12021"/>
        <v>0</v>
      </c>
      <c r="U6504" s="1" t="str">
        <f t="shared" si="12033"/>
        <v>0.0070</v>
      </c>
    </row>
    <row r="6505" s="1" customFormat="1" spans="1:21">
      <c r="A6505" s="1" t="str">
        <f>"4601992275996"</f>
        <v>4601992275996</v>
      </c>
      <c r="B6505" s="1" t="s">
        <v>6528</v>
      </c>
      <c r="C6505" s="1" t="s">
        <v>24</v>
      </c>
      <c r="D6505" s="1" t="str">
        <f t="shared" si="12017"/>
        <v>2021</v>
      </c>
      <c r="E6505" s="1" t="str">
        <f t="shared" ref="E6505:P6505" si="12070">"0"</f>
        <v>0</v>
      </c>
      <c r="F6505" s="1" t="str">
        <f t="shared" si="12070"/>
        <v>0</v>
      </c>
      <c r="G6505" s="1" t="str">
        <f t="shared" si="12070"/>
        <v>0</v>
      </c>
      <c r="H6505" s="1" t="str">
        <f t="shared" si="12070"/>
        <v>0</v>
      </c>
      <c r="I6505" s="1" t="str">
        <f t="shared" si="12070"/>
        <v>0</v>
      </c>
      <c r="J6505" s="1" t="str">
        <f t="shared" si="12070"/>
        <v>0</v>
      </c>
      <c r="K6505" s="1" t="str">
        <f t="shared" si="12070"/>
        <v>0</v>
      </c>
      <c r="L6505" s="1" t="str">
        <f t="shared" si="12070"/>
        <v>0</v>
      </c>
      <c r="M6505" s="1" t="str">
        <f t="shared" si="12070"/>
        <v>0</v>
      </c>
      <c r="N6505" s="1" t="str">
        <f t="shared" si="12070"/>
        <v>0</v>
      </c>
      <c r="O6505" s="1" t="str">
        <f t="shared" si="12070"/>
        <v>0</v>
      </c>
      <c r="P6505" s="1" t="str">
        <f t="shared" si="12070"/>
        <v>0</v>
      </c>
      <c r="Q6505" s="1" t="str">
        <f t="shared" si="12020"/>
        <v>0.0070</v>
      </c>
      <c r="R6505" s="1" t="s">
        <v>25</v>
      </c>
      <c r="T6505" s="1" t="str">
        <f t="shared" si="12021"/>
        <v>0</v>
      </c>
      <c r="U6505" s="1" t="str">
        <f t="shared" si="12033"/>
        <v>0.0070</v>
      </c>
    </row>
    <row r="6506" s="1" customFormat="1" spans="1:21">
      <c r="A6506" s="1" t="str">
        <f>"4601992276039"</f>
        <v>4601992276039</v>
      </c>
      <c r="B6506" s="1" t="s">
        <v>6529</v>
      </c>
      <c r="C6506" s="1" t="s">
        <v>24</v>
      </c>
      <c r="D6506" s="1" t="str">
        <f t="shared" si="12017"/>
        <v>2021</v>
      </c>
      <c r="E6506" s="1" t="str">
        <f t="shared" ref="E6506:P6506" si="12071">"0"</f>
        <v>0</v>
      </c>
      <c r="F6506" s="1" t="str">
        <f t="shared" si="12071"/>
        <v>0</v>
      </c>
      <c r="G6506" s="1" t="str">
        <f t="shared" si="12071"/>
        <v>0</v>
      </c>
      <c r="H6506" s="1" t="str">
        <f t="shared" si="12071"/>
        <v>0</v>
      </c>
      <c r="I6506" s="1" t="str">
        <f t="shared" si="12071"/>
        <v>0</v>
      </c>
      <c r="J6506" s="1" t="str">
        <f t="shared" si="12071"/>
        <v>0</v>
      </c>
      <c r="K6506" s="1" t="str">
        <f t="shared" si="12071"/>
        <v>0</v>
      </c>
      <c r="L6506" s="1" t="str">
        <f t="shared" si="12071"/>
        <v>0</v>
      </c>
      <c r="M6506" s="1" t="str">
        <f t="shared" si="12071"/>
        <v>0</v>
      </c>
      <c r="N6506" s="1" t="str">
        <f t="shared" si="12071"/>
        <v>0</v>
      </c>
      <c r="O6506" s="1" t="str">
        <f t="shared" si="12071"/>
        <v>0</v>
      </c>
      <c r="P6506" s="1" t="str">
        <f t="shared" si="12071"/>
        <v>0</v>
      </c>
      <c r="Q6506" s="1" t="str">
        <f t="shared" si="12020"/>
        <v>0.0070</v>
      </c>
      <c r="R6506" s="1" t="s">
        <v>25</v>
      </c>
      <c r="T6506" s="1" t="str">
        <f t="shared" si="12021"/>
        <v>0</v>
      </c>
      <c r="U6506" s="1" t="str">
        <f t="shared" si="12033"/>
        <v>0.0070</v>
      </c>
    </row>
    <row r="6507" s="1" customFormat="1" spans="1:21">
      <c r="A6507" s="1" t="str">
        <f>"4601992276048"</f>
        <v>4601992276048</v>
      </c>
      <c r="B6507" s="1" t="s">
        <v>6530</v>
      </c>
      <c r="C6507" s="1" t="s">
        <v>24</v>
      </c>
      <c r="D6507" s="1" t="str">
        <f t="shared" si="12017"/>
        <v>2021</v>
      </c>
      <c r="E6507" s="1" t="str">
        <f t="shared" ref="E6507:P6507" si="12072">"0"</f>
        <v>0</v>
      </c>
      <c r="F6507" s="1" t="str">
        <f t="shared" si="12072"/>
        <v>0</v>
      </c>
      <c r="G6507" s="1" t="str">
        <f t="shared" si="12072"/>
        <v>0</v>
      </c>
      <c r="H6507" s="1" t="str">
        <f t="shared" si="12072"/>
        <v>0</v>
      </c>
      <c r="I6507" s="1" t="str">
        <f t="shared" si="12072"/>
        <v>0</v>
      </c>
      <c r="J6507" s="1" t="str">
        <f t="shared" si="12072"/>
        <v>0</v>
      </c>
      <c r="K6507" s="1" t="str">
        <f t="shared" si="12072"/>
        <v>0</v>
      </c>
      <c r="L6507" s="1" t="str">
        <f t="shared" si="12072"/>
        <v>0</v>
      </c>
      <c r="M6507" s="1" t="str">
        <f t="shared" si="12072"/>
        <v>0</v>
      </c>
      <c r="N6507" s="1" t="str">
        <f t="shared" si="12072"/>
        <v>0</v>
      </c>
      <c r="O6507" s="1" t="str">
        <f t="shared" si="12072"/>
        <v>0</v>
      </c>
      <c r="P6507" s="1" t="str">
        <f t="shared" si="12072"/>
        <v>0</v>
      </c>
      <c r="Q6507" s="1" t="str">
        <f t="shared" si="12020"/>
        <v>0.0070</v>
      </c>
      <c r="R6507" s="1" t="s">
        <v>25</v>
      </c>
      <c r="T6507" s="1" t="str">
        <f t="shared" si="12021"/>
        <v>0</v>
      </c>
      <c r="U6507" s="1" t="str">
        <f t="shared" si="12033"/>
        <v>0.0070</v>
      </c>
    </row>
    <row r="6508" s="1" customFormat="1" spans="1:21">
      <c r="A6508" s="1" t="str">
        <f>"4601992276054"</f>
        <v>4601992276054</v>
      </c>
      <c r="B6508" s="1" t="s">
        <v>6531</v>
      </c>
      <c r="C6508" s="1" t="s">
        <v>24</v>
      </c>
      <c r="D6508" s="1" t="str">
        <f t="shared" si="12017"/>
        <v>2021</v>
      </c>
      <c r="E6508" s="1" t="str">
        <f t="shared" ref="E6508:P6508" si="12073">"0"</f>
        <v>0</v>
      </c>
      <c r="F6508" s="1" t="str">
        <f t="shared" si="12073"/>
        <v>0</v>
      </c>
      <c r="G6508" s="1" t="str">
        <f t="shared" si="12073"/>
        <v>0</v>
      </c>
      <c r="H6508" s="1" t="str">
        <f t="shared" si="12073"/>
        <v>0</v>
      </c>
      <c r="I6508" s="1" t="str">
        <f t="shared" si="12073"/>
        <v>0</v>
      </c>
      <c r="J6508" s="1" t="str">
        <f t="shared" si="12073"/>
        <v>0</v>
      </c>
      <c r="K6508" s="1" t="str">
        <f t="shared" si="12073"/>
        <v>0</v>
      </c>
      <c r="L6508" s="1" t="str">
        <f t="shared" si="12073"/>
        <v>0</v>
      </c>
      <c r="M6508" s="1" t="str">
        <f t="shared" si="12073"/>
        <v>0</v>
      </c>
      <c r="N6508" s="1" t="str">
        <f t="shared" si="12073"/>
        <v>0</v>
      </c>
      <c r="O6508" s="1" t="str">
        <f t="shared" si="12073"/>
        <v>0</v>
      </c>
      <c r="P6508" s="1" t="str">
        <f t="shared" si="12073"/>
        <v>0</v>
      </c>
      <c r="Q6508" s="1" t="str">
        <f t="shared" si="12020"/>
        <v>0.0070</v>
      </c>
      <c r="R6508" s="1" t="s">
        <v>25</v>
      </c>
      <c r="T6508" s="1" t="str">
        <f t="shared" si="12021"/>
        <v>0</v>
      </c>
      <c r="U6508" s="1" t="str">
        <f t="shared" si="12033"/>
        <v>0.0070</v>
      </c>
    </row>
    <row r="6509" s="1" customFormat="1" spans="1:21">
      <c r="A6509" s="1" t="str">
        <f>"4601992276138"</f>
        <v>4601992276138</v>
      </c>
      <c r="B6509" s="1" t="s">
        <v>6532</v>
      </c>
      <c r="C6509" s="1" t="s">
        <v>24</v>
      </c>
      <c r="D6509" s="1" t="str">
        <f t="shared" si="12017"/>
        <v>2021</v>
      </c>
      <c r="E6509" s="1" t="str">
        <f t="shared" ref="E6509:P6509" si="12074">"0"</f>
        <v>0</v>
      </c>
      <c r="F6509" s="1" t="str">
        <f t="shared" si="12074"/>
        <v>0</v>
      </c>
      <c r="G6509" s="1" t="str">
        <f t="shared" si="12074"/>
        <v>0</v>
      </c>
      <c r="H6509" s="1" t="str">
        <f t="shared" si="12074"/>
        <v>0</v>
      </c>
      <c r="I6509" s="1" t="str">
        <f t="shared" si="12074"/>
        <v>0</v>
      </c>
      <c r="J6509" s="1" t="str">
        <f t="shared" si="12074"/>
        <v>0</v>
      </c>
      <c r="K6509" s="1" t="str">
        <f t="shared" si="12074"/>
        <v>0</v>
      </c>
      <c r="L6509" s="1" t="str">
        <f t="shared" si="12074"/>
        <v>0</v>
      </c>
      <c r="M6509" s="1" t="str">
        <f t="shared" si="12074"/>
        <v>0</v>
      </c>
      <c r="N6509" s="1" t="str">
        <f t="shared" si="12074"/>
        <v>0</v>
      </c>
      <c r="O6509" s="1" t="str">
        <f t="shared" si="12074"/>
        <v>0</v>
      </c>
      <c r="P6509" s="1" t="str">
        <f t="shared" si="12074"/>
        <v>0</v>
      </c>
      <c r="Q6509" s="1" t="str">
        <f t="shared" si="12020"/>
        <v>0.0070</v>
      </c>
      <c r="R6509" s="1" t="s">
        <v>25</v>
      </c>
      <c r="T6509" s="1" t="str">
        <f t="shared" si="12021"/>
        <v>0</v>
      </c>
      <c r="U6509" s="1" t="str">
        <f t="shared" si="12033"/>
        <v>0.0070</v>
      </c>
    </row>
    <row r="6510" s="1" customFormat="1" spans="1:21">
      <c r="A6510" s="1" t="str">
        <f>"4601992276383"</f>
        <v>4601992276383</v>
      </c>
      <c r="B6510" s="1" t="s">
        <v>6533</v>
      </c>
      <c r="C6510" s="1" t="s">
        <v>24</v>
      </c>
      <c r="D6510" s="1" t="str">
        <f t="shared" si="12017"/>
        <v>2021</v>
      </c>
      <c r="E6510" s="1" t="str">
        <f t="shared" ref="E6510:P6510" si="12075">"0"</f>
        <v>0</v>
      </c>
      <c r="F6510" s="1" t="str">
        <f t="shared" si="12075"/>
        <v>0</v>
      </c>
      <c r="G6510" s="1" t="str">
        <f t="shared" si="12075"/>
        <v>0</v>
      </c>
      <c r="H6510" s="1" t="str">
        <f t="shared" si="12075"/>
        <v>0</v>
      </c>
      <c r="I6510" s="1" t="str">
        <f t="shared" si="12075"/>
        <v>0</v>
      </c>
      <c r="J6510" s="1" t="str">
        <f t="shared" si="12075"/>
        <v>0</v>
      </c>
      <c r="K6510" s="1" t="str">
        <f t="shared" si="12075"/>
        <v>0</v>
      </c>
      <c r="L6510" s="1" t="str">
        <f t="shared" si="12075"/>
        <v>0</v>
      </c>
      <c r="M6510" s="1" t="str">
        <f t="shared" si="12075"/>
        <v>0</v>
      </c>
      <c r="N6510" s="1" t="str">
        <f t="shared" si="12075"/>
        <v>0</v>
      </c>
      <c r="O6510" s="1" t="str">
        <f t="shared" si="12075"/>
        <v>0</v>
      </c>
      <c r="P6510" s="1" t="str">
        <f t="shared" si="12075"/>
        <v>0</v>
      </c>
      <c r="Q6510" s="1" t="str">
        <f t="shared" si="12020"/>
        <v>0.0070</v>
      </c>
      <c r="R6510" s="1" t="s">
        <v>25</v>
      </c>
      <c r="T6510" s="1" t="str">
        <f t="shared" si="12021"/>
        <v>0</v>
      </c>
      <c r="U6510" s="1" t="str">
        <f t="shared" si="12033"/>
        <v>0.0070</v>
      </c>
    </row>
    <row r="6511" s="1" customFormat="1" spans="1:21">
      <c r="A6511" s="1" t="str">
        <f>"4601992276503"</f>
        <v>4601992276503</v>
      </c>
      <c r="B6511" s="1" t="s">
        <v>6534</v>
      </c>
      <c r="C6511" s="1" t="s">
        <v>24</v>
      </c>
      <c r="D6511" s="1" t="str">
        <f t="shared" si="12017"/>
        <v>2021</v>
      </c>
      <c r="E6511" s="1" t="str">
        <f t="shared" ref="E6511:P6511" si="12076">"0"</f>
        <v>0</v>
      </c>
      <c r="F6511" s="1" t="str">
        <f t="shared" si="12076"/>
        <v>0</v>
      </c>
      <c r="G6511" s="1" t="str">
        <f t="shared" si="12076"/>
        <v>0</v>
      </c>
      <c r="H6511" s="1" t="str">
        <f t="shared" si="12076"/>
        <v>0</v>
      </c>
      <c r="I6511" s="1" t="str">
        <f t="shared" si="12076"/>
        <v>0</v>
      </c>
      <c r="J6511" s="1" t="str">
        <f t="shared" si="12076"/>
        <v>0</v>
      </c>
      <c r="K6511" s="1" t="str">
        <f t="shared" si="12076"/>
        <v>0</v>
      </c>
      <c r="L6511" s="1" t="str">
        <f t="shared" si="12076"/>
        <v>0</v>
      </c>
      <c r="M6511" s="1" t="str">
        <f t="shared" si="12076"/>
        <v>0</v>
      </c>
      <c r="N6511" s="1" t="str">
        <f t="shared" si="12076"/>
        <v>0</v>
      </c>
      <c r="O6511" s="1" t="str">
        <f t="shared" si="12076"/>
        <v>0</v>
      </c>
      <c r="P6511" s="1" t="str">
        <f t="shared" si="12076"/>
        <v>0</v>
      </c>
      <c r="Q6511" s="1" t="str">
        <f t="shared" si="12020"/>
        <v>0.0070</v>
      </c>
      <c r="R6511" s="1" t="s">
        <v>25</v>
      </c>
      <c r="T6511" s="1" t="str">
        <f t="shared" si="12021"/>
        <v>0</v>
      </c>
      <c r="U6511" s="1" t="str">
        <f t="shared" si="12033"/>
        <v>0.0070</v>
      </c>
    </row>
    <row r="6512" s="1" customFormat="1" spans="1:21">
      <c r="A6512" s="1" t="str">
        <f>"4601992276656"</f>
        <v>4601992276656</v>
      </c>
      <c r="B6512" s="1" t="s">
        <v>6535</v>
      </c>
      <c r="C6512" s="1" t="s">
        <v>24</v>
      </c>
      <c r="D6512" s="1" t="str">
        <f t="shared" si="12017"/>
        <v>2021</v>
      </c>
      <c r="E6512" s="1" t="str">
        <f t="shared" ref="E6512:P6512" si="12077">"0"</f>
        <v>0</v>
      </c>
      <c r="F6512" s="1" t="str">
        <f t="shared" si="12077"/>
        <v>0</v>
      </c>
      <c r="G6512" s="1" t="str">
        <f t="shared" si="12077"/>
        <v>0</v>
      </c>
      <c r="H6512" s="1" t="str">
        <f t="shared" si="12077"/>
        <v>0</v>
      </c>
      <c r="I6512" s="1" t="str">
        <f t="shared" si="12077"/>
        <v>0</v>
      </c>
      <c r="J6512" s="1" t="str">
        <f t="shared" si="12077"/>
        <v>0</v>
      </c>
      <c r="K6512" s="1" t="str">
        <f t="shared" si="12077"/>
        <v>0</v>
      </c>
      <c r="L6512" s="1" t="str">
        <f t="shared" si="12077"/>
        <v>0</v>
      </c>
      <c r="M6512" s="1" t="str">
        <f t="shared" si="12077"/>
        <v>0</v>
      </c>
      <c r="N6512" s="1" t="str">
        <f t="shared" si="12077"/>
        <v>0</v>
      </c>
      <c r="O6512" s="1" t="str">
        <f t="shared" si="12077"/>
        <v>0</v>
      </c>
      <c r="P6512" s="1" t="str">
        <f t="shared" si="12077"/>
        <v>0</v>
      </c>
      <c r="Q6512" s="1" t="str">
        <f t="shared" si="12020"/>
        <v>0.0070</v>
      </c>
      <c r="R6512" s="1" t="s">
        <v>25</v>
      </c>
      <c r="T6512" s="1" t="str">
        <f t="shared" si="12021"/>
        <v>0</v>
      </c>
      <c r="U6512" s="1" t="str">
        <f t="shared" si="12033"/>
        <v>0.0070</v>
      </c>
    </row>
    <row r="6513" s="1" customFormat="1" spans="1:21">
      <c r="A6513" s="1" t="str">
        <f>"4601992276572"</f>
        <v>4601992276572</v>
      </c>
      <c r="B6513" s="1" t="s">
        <v>6536</v>
      </c>
      <c r="C6513" s="1" t="s">
        <v>24</v>
      </c>
      <c r="D6513" s="1" t="str">
        <f t="shared" si="12017"/>
        <v>2021</v>
      </c>
      <c r="E6513" s="1" t="str">
        <f t="shared" ref="E6513:P6513" si="12078">"0"</f>
        <v>0</v>
      </c>
      <c r="F6513" s="1" t="str">
        <f t="shared" si="12078"/>
        <v>0</v>
      </c>
      <c r="G6513" s="1" t="str">
        <f t="shared" si="12078"/>
        <v>0</v>
      </c>
      <c r="H6513" s="1" t="str">
        <f t="shared" si="12078"/>
        <v>0</v>
      </c>
      <c r="I6513" s="1" t="str">
        <f t="shared" si="12078"/>
        <v>0</v>
      </c>
      <c r="J6513" s="1" t="str">
        <f t="shared" si="12078"/>
        <v>0</v>
      </c>
      <c r="K6513" s="1" t="str">
        <f t="shared" si="12078"/>
        <v>0</v>
      </c>
      <c r="L6513" s="1" t="str">
        <f t="shared" si="12078"/>
        <v>0</v>
      </c>
      <c r="M6513" s="1" t="str">
        <f t="shared" si="12078"/>
        <v>0</v>
      </c>
      <c r="N6513" s="1" t="str">
        <f t="shared" si="12078"/>
        <v>0</v>
      </c>
      <c r="O6513" s="1" t="str">
        <f t="shared" si="12078"/>
        <v>0</v>
      </c>
      <c r="P6513" s="1" t="str">
        <f t="shared" si="12078"/>
        <v>0</v>
      </c>
      <c r="Q6513" s="1" t="str">
        <f t="shared" si="12020"/>
        <v>0.0070</v>
      </c>
      <c r="R6513" s="1" t="s">
        <v>25</v>
      </c>
      <c r="T6513" s="1" t="str">
        <f t="shared" si="12021"/>
        <v>0</v>
      </c>
      <c r="U6513" s="1" t="str">
        <f t="shared" si="12033"/>
        <v>0.0070</v>
      </c>
    </row>
    <row r="6514" s="1" customFormat="1" spans="1:21">
      <c r="A6514" s="1" t="str">
        <f>"4601992277212"</f>
        <v>4601992277212</v>
      </c>
      <c r="B6514" s="1" t="s">
        <v>6537</v>
      </c>
      <c r="C6514" s="1" t="s">
        <v>24</v>
      </c>
      <c r="D6514" s="1" t="str">
        <f t="shared" si="12017"/>
        <v>2021</v>
      </c>
      <c r="E6514" s="1" t="str">
        <f t="shared" ref="E6514:P6514" si="12079">"0"</f>
        <v>0</v>
      </c>
      <c r="F6514" s="1" t="str">
        <f t="shared" si="12079"/>
        <v>0</v>
      </c>
      <c r="G6514" s="1" t="str">
        <f t="shared" si="12079"/>
        <v>0</v>
      </c>
      <c r="H6514" s="1" t="str">
        <f t="shared" si="12079"/>
        <v>0</v>
      </c>
      <c r="I6514" s="1" t="str">
        <f t="shared" si="12079"/>
        <v>0</v>
      </c>
      <c r="J6514" s="1" t="str">
        <f t="shared" si="12079"/>
        <v>0</v>
      </c>
      <c r="K6514" s="1" t="str">
        <f t="shared" si="12079"/>
        <v>0</v>
      </c>
      <c r="L6514" s="1" t="str">
        <f t="shared" si="12079"/>
        <v>0</v>
      </c>
      <c r="M6514" s="1" t="str">
        <f t="shared" si="12079"/>
        <v>0</v>
      </c>
      <c r="N6514" s="1" t="str">
        <f t="shared" si="12079"/>
        <v>0</v>
      </c>
      <c r="O6514" s="1" t="str">
        <f t="shared" si="12079"/>
        <v>0</v>
      </c>
      <c r="P6514" s="1" t="str">
        <f t="shared" si="12079"/>
        <v>0</v>
      </c>
      <c r="Q6514" s="1" t="str">
        <f t="shared" si="12020"/>
        <v>0.0070</v>
      </c>
      <c r="R6514" s="1" t="s">
        <v>25</v>
      </c>
      <c r="T6514" s="1" t="str">
        <f t="shared" si="12021"/>
        <v>0</v>
      </c>
      <c r="U6514" s="1" t="str">
        <f t="shared" si="12033"/>
        <v>0.0070</v>
      </c>
    </row>
    <row r="6515" s="1" customFormat="1" spans="1:21">
      <c r="A6515" s="1" t="str">
        <f>"4601992277241"</f>
        <v>4601992277241</v>
      </c>
      <c r="B6515" s="1" t="s">
        <v>6538</v>
      </c>
      <c r="C6515" s="1" t="s">
        <v>24</v>
      </c>
      <c r="D6515" s="1" t="str">
        <f t="shared" si="12017"/>
        <v>2021</v>
      </c>
      <c r="E6515" s="1" t="str">
        <f t="shared" ref="E6515:P6515" si="12080">"0"</f>
        <v>0</v>
      </c>
      <c r="F6515" s="1" t="str">
        <f t="shared" si="12080"/>
        <v>0</v>
      </c>
      <c r="G6515" s="1" t="str">
        <f t="shared" si="12080"/>
        <v>0</v>
      </c>
      <c r="H6515" s="1" t="str">
        <f t="shared" si="12080"/>
        <v>0</v>
      </c>
      <c r="I6515" s="1" t="str">
        <f t="shared" si="12080"/>
        <v>0</v>
      </c>
      <c r="J6515" s="1" t="str">
        <f t="shared" si="12080"/>
        <v>0</v>
      </c>
      <c r="K6515" s="1" t="str">
        <f t="shared" si="12080"/>
        <v>0</v>
      </c>
      <c r="L6515" s="1" t="str">
        <f t="shared" si="12080"/>
        <v>0</v>
      </c>
      <c r="M6515" s="1" t="str">
        <f t="shared" si="12080"/>
        <v>0</v>
      </c>
      <c r="N6515" s="1" t="str">
        <f t="shared" si="12080"/>
        <v>0</v>
      </c>
      <c r="O6515" s="1" t="str">
        <f t="shared" si="12080"/>
        <v>0</v>
      </c>
      <c r="P6515" s="1" t="str">
        <f t="shared" si="12080"/>
        <v>0</v>
      </c>
      <c r="Q6515" s="1" t="str">
        <f t="shared" si="12020"/>
        <v>0.0070</v>
      </c>
      <c r="R6515" s="1" t="s">
        <v>25</v>
      </c>
      <c r="T6515" s="1" t="str">
        <f t="shared" si="12021"/>
        <v>0</v>
      </c>
      <c r="U6515" s="1" t="str">
        <f t="shared" si="12033"/>
        <v>0.0070</v>
      </c>
    </row>
    <row r="6516" s="1" customFormat="1" spans="1:21">
      <c r="A6516" s="1" t="str">
        <f>"4601992277309"</f>
        <v>4601992277309</v>
      </c>
      <c r="B6516" s="1" t="s">
        <v>6539</v>
      </c>
      <c r="C6516" s="1" t="s">
        <v>24</v>
      </c>
      <c r="D6516" s="1" t="str">
        <f t="shared" si="12017"/>
        <v>2021</v>
      </c>
      <c r="E6516" s="1" t="str">
        <f t="shared" ref="E6516:P6516" si="12081">"0"</f>
        <v>0</v>
      </c>
      <c r="F6516" s="1" t="str">
        <f t="shared" si="12081"/>
        <v>0</v>
      </c>
      <c r="G6516" s="1" t="str">
        <f t="shared" si="12081"/>
        <v>0</v>
      </c>
      <c r="H6516" s="1" t="str">
        <f t="shared" si="12081"/>
        <v>0</v>
      </c>
      <c r="I6516" s="1" t="str">
        <f t="shared" si="12081"/>
        <v>0</v>
      </c>
      <c r="J6516" s="1" t="str">
        <f t="shared" si="12081"/>
        <v>0</v>
      </c>
      <c r="K6516" s="1" t="str">
        <f t="shared" si="12081"/>
        <v>0</v>
      </c>
      <c r="L6516" s="1" t="str">
        <f t="shared" si="12081"/>
        <v>0</v>
      </c>
      <c r="M6516" s="1" t="str">
        <f t="shared" si="12081"/>
        <v>0</v>
      </c>
      <c r="N6516" s="1" t="str">
        <f t="shared" si="12081"/>
        <v>0</v>
      </c>
      <c r="O6516" s="1" t="str">
        <f t="shared" si="12081"/>
        <v>0</v>
      </c>
      <c r="P6516" s="1" t="str">
        <f t="shared" si="12081"/>
        <v>0</v>
      </c>
      <c r="Q6516" s="1" t="str">
        <f t="shared" si="12020"/>
        <v>0.0070</v>
      </c>
      <c r="R6516" s="1" t="s">
        <v>25</v>
      </c>
      <c r="T6516" s="1" t="str">
        <f t="shared" si="12021"/>
        <v>0</v>
      </c>
      <c r="U6516" s="1" t="str">
        <f t="shared" si="12033"/>
        <v>0.0070</v>
      </c>
    </row>
    <row r="6517" s="1" customFormat="1" spans="1:21">
      <c r="A6517" s="1" t="str">
        <f>"4601992277344"</f>
        <v>4601992277344</v>
      </c>
      <c r="B6517" s="1" t="s">
        <v>6540</v>
      </c>
      <c r="C6517" s="1" t="s">
        <v>24</v>
      </c>
      <c r="D6517" s="1" t="str">
        <f t="shared" si="12017"/>
        <v>2021</v>
      </c>
      <c r="E6517" s="1" t="str">
        <f t="shared" ref="E6517:P6517" si="12082">"0"</f>
        <v>0</v>
      </c>
      <c r="F6517" s="1" t="str">
        <f t="shared" si="12082"/>
        <v>0</v>
      </c>
      <c r="G6517" s="1" t="str">
        <f t="shared" si="12082"/>
        <v>0</v>
      </c>
      <c r="H6517" s="1" t="str">
        <f t="shared" si="12082"/>
        <v>0</v>
      </c>
      <c r="I6517" s="1" t="str">
        <f t="shared" si="12082"/>
        <v>0</v>
      </c>
      <c r="J6517" s="1" t="str">
        <f t="shared" si="12082"/>
        <v>0</v>
      </c>
      <c r="K6517" s="1" t="str">
        <f t="shared" si="12082"/>
        <v>0</v>
      </c>
      <c r="L6517" s="1" t="str">
        <f t="shared" si="12082"/>
        <v>0</v>
      </c>
      <c r="M6517" s="1" t="str">
        <f t="shared" si="12082"/>
        <v>0</v>
      </c>
      <c r="N6517" s="1" t="str">
        <f t="shared" si="12082"/>
        <v>0</v>
      </c>
      <c r="O6517" s="1" t="str">
        <f t="shared" si="12082"/>
        <v>0</v>
      </c>
      <c r="P6517" s="1" t="str">
        <f t="shared" si="12082"/>
        <v>0</v>
      </c>
      <c r="Q6517" s="1" t="str">
        <f t="shared" si="12020"/>
        <v>0.0070</v>
      </c>
      <c r="R6517" s="1" t="s">
        <v>25</v>
      </c>
      <c r="T6517" s="1" t="str">
        <f t="shared" si="12021"/>
        <v>0</v>
      </c>
      <c r="U6517" s="1" t="str">
        <f t="shared" si="12033"/>
        <v>0.0070</v>
      </c>
    </row>
    <row r="6518" s="1" customFormat="1" spans="1:21">
      <c r="A6518" s="1" t="str">
        <f>"4601992277475"</f>
        <v>4601992277475</v>
      </c>
      <c r="B6518" s="1" t="s">
        <v>6541</v>
      </c>
      <c r="C6518" s="1" t="s">
        <v>24</v>
      </c>
      <c r="D6518" s="1" t="str">
        <f t="shared" si="12017"/>
        <v>2021</v>
      </c>
      <c r="E6518" s="1" t="str">
        <f t="shared" ref="E6518:P6518" si="12083">"0"</f>
        <v>0</v>
      </c>
      <c r="F6518" s="1" t="str">
        <f t="shared" si="12083"/>
        <v>0</v>
      </c>
      <c r="G6518" s="1" t="str">
        <f t="shared" si="12083"/>
        <v>0</v>
      </c>
      <c r="H6518" s="1" t="str">
        <f t="shared" si="12083"/>
        <v>0</v>
      </c>
      <c r="I6518" s="1" t="str">
        <f t="shared" si="12083"/>
        <v>0</v>
      </c>
      <c r="J6518" s="1" t="str">
        <f t="shared" si="12083"/>
        <v>0</v>
      </c>
      <c r="K6518" s="1" t="str">
        <f t="shared" si="12083"/>
        <v>0</v>
      </c>
      <c r="L6518" s="1" t="str">
        <f t="shared" si="12083"/>
        <v>0</v>
      </c>
      <c r="M6518" s="1" t="str">
        <f t="shared" si="12083"/>
        <v>0</v>
      </c>
      <c r="N6518" s="1" t="str">
        <f t="shared" si="12083"/>
        <v>0</v>
      </c>
      <c r="O6518" s="1" t="str">
        <f t="shared" si="12083"/>
        <v>0</v>
      </c>
      <c r="P6518" s="1" t="str">
        <f t="shared" si="12083"/>
        <v>0</v>
      </c>
      <c r="Q6518" s="1" t="str">
        <f t="shared" si="12020"/>
        <v>0.0070</v>
      </c>
      <c r="R6518" s="1" t="s">
        <v>25</v>
      </c>
      <c r="T6518" s="1" t="str">
        <f t="shared" si="12021"/>
        <v>0</v>
      </c>
      <c r="U6518" s="1" t="str">
        <f t="shared" si="12033"/>
        <v>0.0070</v>
      </c>
    </row>
    <row r="6519" s="1" customFormat="1" spans="1:21">
      <c r="A6519" s="1" t="str">
        <f>"4601992277508"</f>
        <v>4601992277508</v>
      </c>
      <c r="B6519" s="1" t="s">
        <v>6542</v>
      </c>
      <c r="C6519" s="1" t="s">
        <v>24</v>
      </c>
      <c r="D6519" s="1" t="str">
        <f t="shared" si="12017"/>
        <v>2021</v>
      </c>
      <c r="E6519" s="1" t="str">
        <f t="shared" ref="E6519:P6519" si="12084">"0"</f>
        <v>0</v>
      </c>
      <c r="F6519" s="1" t="str">
        <f t="shared" si="12084"/>
        <v>0</v>
      </c>
      <c r="G6519" s="1" t="str">
        <f t="shared" si="12084"/>
        <v>0</v>
      </c>
      <c r="H6519" s="1" t="str">
        <f t="shared" si="12084"/>
        <v>0</v>
      </c>
      <c r="I6519" s="1" t="str">
        <f t="shared" si="12084"/>
        <v>0</v>
      </c>
      <c r="J6519" s="1" t="str">
        <f t="shared" si="12084"/>
        <v>0</v>
      </c>
      <c r="K6519" s="1" t="str">
        <f t="shared" si="12084"/>
        <v>0</v>
      </c>
      <c r="L6519" s="1" t="str">
        <f t="shared" si="12084"/>
        <v>0</v>
      </c>
      <c r="M6519" s="1" t="str">
        <f t="shared" si="12084"/>
        <v>0</v>
      </c>
      <c r="N6519" s="1" t="str">
        <f t="shared" si="12084"/>
        <v>0</v>
      </c>
      <c r="O6519" s="1" t="str">
        <f t="shared" si="12084"/>
        <v>0</v>
      </c>
      <c r="P6519" s="1" t="str">
        <f t="shared" si="12084"/>
        <v>0</v>
      </c>
      <c r="Q6519" s="1" t="str">
        <f t="shared" si="12020"/>
        <v>0.0070</v>
      </c>
      <c r="R6519" s="1" t="s">
        <v>25</v>
      </c>
      <c r="T6519" s="1" t="str">
        <f t="shared" si="12021"/>
        <v>0</v>
      </c>
      <c r="U6519" s="1" t="str">
        <f t="shared" si="12033"/>
        <v>0.0070</v>
      </c>
    </row>
    <row r="6520" s="1" customFormat="1" spans="1:21">
      <c r="A6520" s="1" t="str">
        <f>"4601992277526"</f>
        <v>4601992277526</v>
      </c>
      <c r="B6520" s="1" t="s">
        <v>6543</v>
      </c>
      <c r="C6520" s="1" t="s">
        <v>24</v>
      </c>
      <c r="D6520" s="1" t="str">
        <f t="shared" si="12017"/>
        <v>2021</v>
      </c>
      <c r="E6520" s="1" t="str">
        <f t="shared" ref="E6520:P6520" si="12085">"0"</f>
        <v>0</v>
      </c>
      <c r="F6520" s="1" t="str">
        <f t="shared" si="12085"/>
        <v>0</v>
      </c>
      <c r="G6520" s="1" t="str">
        <f t="shared" si="12085"/>
        <v>0</v>
      </c>
      <c r="H6520" s="1" t="str">
        <f t="shared" si="12085"/>
        <v>0</v>
      </c>
      <c r="I6520" s="1" t="str">
        <f t="shared" si="12085"/>
        <v>0</v>
      </c>
      <c r="J6520" s="1" t="str">
        <f t="shared" si="12085"/>
        <v>0</v>
      </c>
      <c r="K6520" s="1" t="str">
        <f t="shared" si="12085"/>
        <v>0</v>
      </c>
      <c r="L6520" s="1" t="str">
        <f t="shared" si="12085"/>
        <v>0</v>
      </c>
      <c r="M6520" s="1" t="str">
        <f t="shared" si="12085"/>
        <v>0</v>
      </c>
      <c r="N6520" s="1" t="str">
        <f t="shared" si="12085"/>
        <v>0</v>
      </c>
      <c r="O6520" s="1" t="str">
        <f t="shared" si="12085"/>
        <v>0</v>
      </c>
      <c r="P6520" s="1" t="str">
        <f t="shared" si="12085"/>
        <v>0</v>
      </c>
      <c r="Q6520" s="1" t="str">
        <f t="shared" si="12020"/>
        <v>0.0070</v>
      </c>
      <c r="R6520" s="1" t="s">
        <v>25</v>
      </c>
      <c r="T6520" s="1" t="str">
        <f t="shared" si="12021"/>
        <v>0</v>
      </c>
      <c r="U6520" s="1" t="str">
        <f t="shared" si="12033"/>
        <v>0.0070</v>
      </c>
    </row>
    <row r="6521" s="1" customFormat="1" spans="1:21">
      <c r="A6521" s="1" t="str">
        <f>"4601992277548"</f>
        <v>4601992277548</v>
      </c>
      <c r="B6521" s="1" t="s">
        <v>6544</v>
      </c>
      <c r="C6521" s="1" t="s">
        <v>24</v>
      </c>
      <c r="D6521" s="1" t="str">
        <f t="shared" si="12017"/>
        <v>2021</v>
      </c>
      <c r="E6521" s="1" t="str">
        <f t="shared" ref="E6521:P6521" si="12086">"0"</f>
        <v>0</v>
      </c>
      <c r="F6521" s="1" t="str">
        <f t="shared" si="12086"/>
        <v>0</v>
      </c>
      <c r="G6521" s="1" t="str">
        <f t="shared" si="12086"/>
        <v>0</v>
      </c>
      <c r="H6521" s="1" t="str">
        <f t="shared" si="12086"/>
        <v>0</v>
      </c>
      <c r="I6521" s="1" t="str">
        <f t="shared" si="12086"/>
        <v>0</v>
      </c>
      <c r="J6521" s="1" t="str">
        <f t="shared" si="12086"/>
        <v>0</v>
      </c>
      <c r="K6521" s="1" t="str">
        <f t="shared" si="12086"/>
        <v>0</v>
      </c>
      <c r="L6521" s="1" t="str">
        <f t="shared" si="12086"/>
        <v>0</v>
      </c>
      <c r="M6521" s="1" t="str">
        <f t="shared" si="12086"/>
        <v>0</v>
      </c>
      <c r="N6521" s="1" t="str">
        <f t="shared" si="12086"/>
        <v>0</v>
      </c>
      <c r="O6521" s="1" t="str">
        <f t="shared" si="12086"/>
        <v>0</v>
      </c>
      <c r="P6521" s="1" t="str">
        <f t="shared" si="12086"/>
        <v>0</v>
      </c>
      <c r="Q6521" s="1" t="str">
        <f t="shared" si="12020"/>
        <v>0.0070</v>
      </c>
      <c r="R6521" s="1" t="s">
        <v>25</v>
      </c>
      <c r="T6521" s="1" t="str">
        <f t="shared" si="12021"/>
        <v>0</v>
      </c>
      <c r="U6521" s="1" t="str">
        <f t="shared" si="12033"/>
        <v>0.0070</v>
      </c>
    </row>
    <row r="6522" s="1" customFormat="1" spans="1:21">
      <c r="A6522" s="1" t="str">
        <f>"4601992277565"</f>
        <v>4601992277565</v>
      </c>
      <c r="B6522" s="1" t="s">
        <v>6545</v>
      </c>
      <c r="C6522" s="1" t="s">
        <v>24</v>
      </c>
      <c r="D6522" s="1" t="str">
        <f t="shared" si="12017"/>
        <v>2021</v>
      </c>
      <c r="E6522" s="1" t="str">
        <f t="shared" ref="E6522:P6522" si="12087">"0"</f>
        <v>0</v>
      </c>
      <c r="F6522" s="1" t="str">
        <f t="shared" si="12087"/>
        <v>0</v>
      </c>
      <c r="G6522" s="1" t="str">
        <f t="shared" si="12087"/>
        <v>0</v>
      </c>
      <c r="H6522" s="1" t="str">
        <f t="shared" si="12087"/>
        <v>0</v>
      </c>
      <c r="I6522" s="1" t="str">
        <f t="shared" si="12087"/>
        <v>0</v>
      </c>
      <c r="J6522" s="1" t="str">
        <f t="shared" si="12087"/>
        <v>0</v>
      </c>
      <c r="K6522" s="1" t="str">
        <f t="shared" si="12087"/>
        <v>0</v>
      </c>
      <c r="L6522" s="1" t="str">
        <f t="shared" si="12087"/>
        <v>0</v>
      </c>
      <c r="M6522" s="1" t="str">
        <f t="shared" si="12087"/>
        <v>0</v>
      </c>
      <c r="N6522" s="1" t="str">
        <f t="shared" si="12087"/>
        <v>0</v>
      </c>
      <c r="O6522" s="1" t="str">
        <f t="shared" si="12087"/>
        <v>0</v>
      </c>
      <c r="P6522" s="1" t="str">
        <f t="shared" si="12087"/>
        <v>0</v>
      </c>
      <c r="Q6522" s="1" t="str">
        <f t="shared" si="12020"/>
        <v>0.0070</v>
      </c>
      <c r="R6522" s="1" t="s">
        <v>25</v>
      </c>
      <c r="T6522" s="1" t="str">
        <f t="shared" si="12021"/>
        <v>0</v>
      </c>
      <c r="U6522" s="1" t="str">
        <f t="shared" si="12033"/>
        <v>0.0070</v>
      </c>
    </row>
    <row r="6523" s="1" customFormat="1" spans="1:21">
      <c r="A6523" s="1" t="str">
        <f>"4601992277774"</f>
        <v>4601992277774</v>
      </c>
      <c r="B6523" s="1" t="s">
        <v>6546</v>
      </c>
      <c r="C6523" s="1" t="s">
        <v>24</v>
      </c>
      <c r="D6523" s="1" t="str">
        <f t="shared" si="12017"/>
        <v>2021</v>
      </c>
      <c r="E6523" s="1" t="str">
        <f t="shared" ref="E6523:P6523" si="12088">"0"</f>
        <v>0</v>
      </c>
      <c r="F6523" s="1" t="str">
        <f t="shared" si="12088"/>
        <v>0</v>
      </c>
      <c r="G6523" s="1" t="str">
        <f t="shared" si="12088"/>
        <v>0</v>
      </c>
      <c r="H6523" s="1" t="str">
        <f t="shared" si="12088"/>
        <v>0</v>
      </c>
      <c r="I6523" s="1" t="str">
        <f t="shared" si="12088"/>
        <v>0</v>
      </c>
      <c r="J6523" s="1" t="str">
        <f t="shared" si="12088"/>
        <v>0</v>
      </c>
      <c r="K6523" s="1" t="str">
        <f t="shared" si="12088"/>
        <v>0</v>
      </c>
      <c r="L6523" s="1" t="str">
        <f t="shared" si="12088"/>
        <v>0</v>
      </c>
      <c r="M6523" s="1" t="str">
        <f t="shared" si="12088"/>
        <v>0</v>
      </c>
      <c r="N6523" s="1" t="str">
        <f t="shared" si="12088"/>
        <v>0</v>
      </c>
      <c r="O6523" s="1" t="str">
        <f t="shared" si="12088"/>
        <v>0</v>
      </c>
      <c r="P6523" s="1" t="str">
        <f t="shared" si="12088"/>
        <v>0</v>
      </c>
      <c r="Q6523" s="1" t="str">
        <f t="shared" si="12020"/>
        <v>0.0070</v>
      </c>
      <c r="R6523" s="1" t="s">
        <v>25</v>
      </c>
      <c r="T6523" s="1" t="str">
        <f t="shared" si="12021"/>
        <v>0</v>
      </c>
      <c r="U6523" s="1" t="str">
        <f t="shared" si="12033"/>
        <v>0.0070</v>
      </c>
    </row>
    <row r="6524" s="1" customFormat="1" spans="1:21">
      <c r="A6524" s="1" t="str">
        <f>"4601992278156"</f>
        <v>4601992278156</v>
      </c>
      <c r="B6524" s="1" t="s">
        <v>6547</v>
      </c>
      <c r="C6524" s="1" t="s">
        <v>24</v>
      </c>
      <c r="D6524" s="1" t="str">
        <f t="shared" si="12017"/>
        <v>2021</v>
      </c>
      <c r="E6524" s="1" t="str">
        <f t="shared" ref="E6524:P6524" si="12089">"0"</f>
        <v>0</v>
      </c>
      <c r="F6524" s="1" t="str">
        <f t="shared" si="12089"/>
        <v>0</v>
      </c>
      <c r="G6524" s="1" t="str">
        <f t="shared" si="12089"/>
        <v>0</v>
      </c>
      <c r="H6524" s="1" t="str">
        <f t="shared" si="12089"/>
        <v>0</v>
      </c>
      <c r="I6524" s="1" t="str">
        <f t="shared" si="12089"/>
        <v>0</v>
      </c>
      <c r="J6524" s="1" t="str">
        <f t="shared" si="12089"/>
        <v>0</v>
      </c>
      <c r="K6524" s="1" t="str">
        <f t="shared" si="12089"/>
        <v>0</v>
      </c>
      <c r="L6524" s="1" t="str">
        <f t="shared" si="12089"/>
        <v>0</v>
      </c>
      <c r="M6524" s="1" t="str">
        <f t="shared" si="12089"/>
        <v>0</v>
      </c>
      <c r="N6524" s="1" t="str">
        <f t="shared" si="12089"/>
        <v>0</v>
      </c>
      <c r="O6524" s="1" t="str">
        <f t="shared" si="12089"/>
        <v>0</v>
      </c>
      <c r="P6524" s="1" t="str">
        <f t="shared" si="12089"/>
        <v>0</v>
      </c>
      <c r="Q6524" s="1" t="str">
        <f t="shared" si="12020"/>
        <v>0.0070</v>
      </c>
      <c r="R6524" s="1" t="s">
        <v>25</v>
      </c>
      <c r="T6524" s="1" t="str">
        <f t="shared" si="12021"/>
        <v>0</v>
      </c>
      <c r="U6524" s="1" t="str">
        <f t="shared" si="12033"/>
        <v>0.0070</v>
      </c>
    </row>
    <row r="6525" s="1" customFormat="1" spans="1:21">
      <c r="A6525" s="1" t="str">
        <f>"4601992278209"</f>
        <v>4601992278209</v>
      </c>
      <c r="B6525" s="1" t="s">
        <v>6548</v>
      </c>
      <c r="C6525" s="1" t="s">
        <v>24</v>
      </c>
      <c r="D6525" s="1" t="str">
        <f t="shared" si="12017"/>
        <v>2021</v>
      </c>
      <c r="E6525" s="1" t="str">
        <f t="shared" ref="E6525:P6525" si="12090">"0"</f>
        <v>0</v>
      </c>
      <c r="F6525" s="1" t="str">
        <f t="shared" si="12090"/>
        <v>0</v>
      </c>
      <c r="G6525" s="1" t="str">
        <f t="shared" si="12090"/>
        <v>0</v>
      </c>
      <c r="H6525" s="1" t="str">
        <f t="shared" si="12090"/>
        <v>0</v>
      </c>
      <c r="I6525" s="1" t="str">
        <f t="shared" si="12090"/>
        <v>0</v>
      </c>
      <c r="J6525" s="1" t="str">
        <f t="shared" si="12090"/>
        <v>0</v>
      </c>
      <c r="K6525" s="1" t="str">
        <f t="shared" si="12090"/>
        <v>0</v>
      </c>
      <c r="L6525" s="1" t="str">
        <f t="shared" si="12090"/>
        <v>0</v>
      </c>
      <c r="M6525" s="1" t="str">
        <f t="shared" si="12090"/>
        <v>0</v>
      </c>
      <c r="N6525" s="1" t="str">
        <f t="shared" si="12090"/>
        <v>0</v>
      </c>
      <c r="O6525" s="1" t="str">
        <f t="shared" si="12090"/>
        <v>0</v>
      </c>
      <c r="P6525" s="1" t="str">
        <f t="shared" si="12090"/>
        <v>0</v>
      </c>
      <c r="Q6525" s="1" t="str">
        <f t="shared" si="12020"/>
        <v>0.0070</v>
      </c>
      <c r="R6525" s="1" t="s">
        <v>25</v>
      </c>
      <c r="T6525" s="1" t="str">
        <f t="shared" si="12021"/>
        <v>0</v>
      </c>
      <c r="U6525" s="1" t="str">
        <f t="shared" si="12033"/>
        <v>0.0070</v>
      </c>
    </row>
    <row r="6526" s="1" customFormat="1" spans="1:21">
      <c r="A6526" s="1" t="str">
        <f>"4601992278214"</f>
        <v>4601992278214</v>
      </c>
      <c r="B6526" s="1" t="s">
        <v>6549</v>
      </c>
      <c r="C6526" s="1" t="s">
        <v>24</v>
      </c>
      <c r="D6526" s="1" t="str">
        <f t="shared" si="12017"/>
        <v>2021</v>
      </c>
      <c r="E6526" s="1" t="str">
        <f t="shared" ref="E6526:P6526" si="12091">"0"</f>
        <v>0</v>
      </c>
      <c r="F6526" s="1" t="str">
        <f t="shared" si="12091"/>
        <v>0</v>
      </c>
      <c r="G6526" s="1" t="str">
        <f t="shared" si="12091"/>
        <v>0</v>
      </c>
      <c r="H6526" s="1" t="str">
        <f t="shared" si="12091"/>
        <v>0</v>
      </c>
      <c r="I6526" s="1" t="str">
        <f t="shared" si="12091"/>
        <v>0</v>
      </c>
      <c r="J6526" s="1" t="str">
        <f t="shared" si="12091"/>
        <v>0</v>
      </c>
      <c r="K6526" s="1" t="str">
        <f t="shared" si="12091"/>
        <v>0</v>
      </c>
      <c r="L6526" s="1" t="str">
        <f t="shared" si="12091"/>
        <v>0</v>
      </c>
      <c r="M6526" s="1" t="str">
        <f t="shared" si="12091"/>
        <v>0</v>
      </c>
      <c r="N6526" s="1" t="str">
        <f t="shared" si="12091"/>
        <v>0</v>
      </c>
      <c r="O6526" s="1" t="str">
        <f t="shared" si="12091"/>
        <v>0</v>
      </c>
      <c r="P6526" s="1" t="str">
        <f t="shared" si="12091"/>
        <v>0</v>
      </c>
      <c r="Q6526" s="1" t="str">
        <f t="shared" si="12020"/>
        <v>0.0070</v>
      </c>
      <c r="R6526" s="1" t="s">
        <v>25</v>
      </c>
      <c r="T6526" s="1" t="str">
        <f t="shared" si="12021"/>
        <v>0</v>
      </c>
      <c r="U6526" s="1" t="str">
        <f t="shared" si="12033"/>
        <v>0.0070</v>
      </c>
    </row>
    <row r="6527" s="1" customFormat="1" spans="1:21">
      <c r="A6527" s="1" t="str">
        <f>"4601992278219"</f>
        <v>4601992278219</v>
      </c>
      <c r="B6527" s="1" t="s">
        <v>6550</v>
      </c>
      <c r="C6527" s="1" t="s">
        <v>24</v>
      </c>
      <c r="D6527" s="1" t="str">
        <f t="shared" si="12017"/>
        <v>2021</v>
      </c>
      <c r="E6527" s="1" t="str">
        <f t="shared" ref="E6527:P6527" si="12092">"0"</f>
        <v>0</v>
      </c>
      <c r="F6527" s="1" t="str">
        <f t="shared" si="12092"/>
        <v>0</v>
      </c>
      <c r="G6527" s="1" t="str">
        <f t="shared" si="12092"/>
        <v>0</v>
      </c>
      <c r="H6527" s="1" t="str">
        <f t="shared" si="12092"/>
        <v>0</v>
      </c>
      <c r="I6527" s="1" t="str">
        <f t="shared" si="12092"/>
        <v>0</v>
      </c>
      <c r="J6527" s="1" t="str">
        <f t="shared" si="12092"/>
        <v>0</v>
      </c>
      <c r="K6527" s="1" t="str">
        <f t="shared" si="12092"/>
        <v>0</v>
      </c>
      <c r="L6527" s="1" t="str">
        <f t="shared" si="12092"/>
        <v>0</v>
      </c>
      <c r="M6527" s="1" t="str">
        <f t="shared" si="12092"/>
        <v>0</v>
      </c>
      <c r="N6527" s="1" t="str">
        <f t="shared" si="12092"/>
        <v>0</v>
      </c>
      <c r="O6527" s="1" t="str">
        <f t="shared" si="12092"/>
        <v>0</v>
      </c>
      <c r="P6527" s="1" t="str">
        <f t="shared" si="12092"/>
        <v>0</v>
      </c>
      <c r="Q6527" s="1" t="str">
        <f t="shared" si="12020"/>
        <v>0.0070</v>
      </c>
      <c r="R6527" s="1" t="s">
        <v>25</v>
      </c>
      <c r="T6527" s="1" t="str">
        <f t="shared" si="12021"/>
        <v>0</v>
      </c>
      <c r="U6527" s="1" t="str">
        <f t="shared" si="12033"/>
        <v>0.0070</v>
      </c>
    </row>
    <row r="6528" s="1" customFormat="1" spans="1:21">
      <c r="A6528" s="1" t="str">
        <f>"4601992278271"</f>
        <v>4601992278271</v>
      </c>
      <c r="B6528" s="1" t="s">
        <v>6551</v>
      </c>
      <c r="C6528" s="1" t="s">
        <v>24</v>
      </c>
      <c r="D6528" s="1" t="str">
        <f t="shared" si="12017"/>
        <v>2021</v>
      </c>
      <c r="E6528" s="1" t="str">
        <f t="shared" ref="E6528:P6528" si="12093">"0"</f>
        <v>0</v>
      </c>
      <c r="F6528" s="1" t="str">
        <f t="shared" si="12093"/>
        <v>0</v>
      </c>
      <c r="G6528" s="1" t="str">
        <f t="shared" si="12093"/>
        <v>0</v>
      </c>
      <c r="H6528" s="1" t="str">
        <f t="shared" si="12093"/>
        <v>0</v>
      </c>
      <c r="I6528" s="1" t="str">
        <f t="shared" si="12093"/>
        <v>0</v>
      </c>
      <c r="J6528" s="1" t="str">
        <f t="shared" si="12093"/>
        <v>0</v>
      </c>
      <c r="K6528" s="1" t="str">
        <f t="shared" si="12093"/>
        <v>0</v>
      </c>
      <c r="L6528" s="1" t="str">
        <f t="shared" si="12093"/>
        <v>0</v>
      </c>
      <c r="M6528" s="1" t="str">
        <f t="shared" si="12093"/>
        <v>0</v>
      </c>
      <c r="N6528" s="1" t="str">
        <f t="shared" si="12093"/>
        <v>0</v>
      </c>
      <c r="O6528" s="1" t="str">
        <f t="shared" si="12093"/>
        <v>0</v>
      </c>
      <c r="P6528" s="1" t="str">
        <f t="shared" si="12093"/>
        <v>0</v>
      </c>
      <c r="Q6528" s="1" t="str">
        <f t="shared" si="12020"/>
        <v>0.0070</v>
      </c>
      <c r="R6528" s="1" t="s">
        <v>25</v>
      </c>
      <c r="T6528" s="1" t="str">
        <f t="shared" si="12021"/>
        <v>0</v>
      </c>
      <c r="U6528" s="1" t="str">
        <f t="shared" si="12033"/>
        <v>0.0070</v>
      </c>
    </row>
    <row r="6529" s="1" customFormat="1" spans="1:21">
      <c r="A6529" s="1" t="str">
        <f>"4601992278367"</f>
        <v>4601992278367</v>
      </c>
      <c r="B6529" s="1" t="s">
        <v>6552</v>
      </c>
      <c r="C6529" s="1" t="s">
        <v>24</v>
      </c>
      <c r="D6529" s="1" t="str">
        <f t="shared" si="12017"/>
        <v>2021</v>
      </c>
      <c r="E6529" s="1" t="str">
        <f t="shared" ref="E6529:P6529" si="12094">"0"</f>
        <v>0</v>
      </c>
      <c r="F6529" s="1" t="str">
        <f t="shared" si="12094"/>
        <v>0</v>
      </c>
      <c r="G6529" s="1" t="str">
        <f t="shared" si="12094"/>
        <v>0</v>
      </c>
      <c r="H6529" s="1" t="str">
        <f t="shared" si="12094"/>
        <v>0</v>
      </c>
      <c r="I6529" s="1" t="str">
        <f t="shared" si="12094"/>
        <v>0</v>
      </c>
      <c r="J6529" s="1" t="str">
        <f t="shared" si="12094"/>
        <v>0</v>
      </c>
      <c r="K6529" s="1" t="str">
        <f t="shared" si="12094"/>
        <v>0</v>
      </c>
      <c r="L6529" s="1" t="str">
        <f t="shared" si="12094"/>
        <v>0</v>
      </c>
      <c r="M6529" s="1" t="str">
        <f t="shared" si="12094"/>
        <v>0</v>
      </c>
      <c r="N6529" s="1" t="str">
        <f t="shared" si="12094"/>
        <v>0</v>
      </c>
      <c r="O6529" s="1" t="str">
        <f t="shared" si="12094"/>
        <v>0</v>
      </c>
      <c r="P6529" s="1" t="str">
        <f t="shared" si="12094"/>
        <v>0</v>
      </c>
      <c r="Q6529" s="1" t="str">
        <f t="shared" si="12020"/>
        <v>0.0070</v>
      </c>
      <c r="R6529" s="1" t="s">
        <v>25</v>
      </c>
      <c r="T6529" s="1" t="str">
        <f t="shared" si="12021"/>
        <v>0</v>
      </c>
      <c r="U6529" s="1" t="str">
        <f t="shared" si="12033"/>
        <v>0.0070</v>
      </c>
    </row>
    <row r="6530" s="1" customFormat="1" spans="1:21">
      <c r="A6530" s="1" t="str">
        <f>"4601992278452"</f>
        <v>4601992278452</v>
      </c>
      <c r="B6530" s="1" t="s">
        <v>6553</v>
      </c>
      <c r="C6530" s="1" t="s">
        <v>24</v>
      </c>
      <c r="D6530" s="1" t="str">
        <f t="shared" si="12017"/>
        <v>2021</v>
      </c>
      <c r="E6530" s="1" t="str">
        <f t="shared" ref="E6530:P6530" si="12095">"0"</f>
        <v>0</v>
      </c>
      <c r="F6530" s="1" t="str">
        <f t="shared" si="12095"/>
        <v>0</v>
      </c>
      <c r="G6530" s="1" t="str">
        <f t="shared" si="12095"/>
        <v>0</v>
      </c>
      <c r="H6530" s="1" t="str">
        <f t="shared" si="12095"/>
        <v>0</v>
      </c>
      <c r="I6530" s="1" t="str">
        <f t="shared" si="12095"/>
        <v>0</v>
      </c>
      <c r="J6530" s="1" t="str">
        <f t="shared" si="12095"/>
        <v>0</v>
      </c>
      <c r="K6530" s="1" t="str">
        <f t="shared" si="12095"/>
        <v>0</v>
      </c>
      <c r="L6530" s="1" t="str">
        <f t="shared" si="12095"/>
        <v>0</v>
      </c>
      <c r="M6530" s="1" t="str">
        <f t="shared" si="12095"/>
        <v>0</v>
      </c>
      <c r="N6530" s="1" t="str">
        <f t="shared" si="12095"/>
        <v>0</v>
      </c>
      <c r="O6530" s="1" t="str">
        <f t="shared" si="12095"/>
        <v>0</v>
      </c>
      <c r="P6530" s="1" t="str">
        <f t="shared" si="12095"/>
        <v>0</v>
      </c>
      <c r="Q6530" s="1" t="str">
        <f t="shared" si="12020"/>
        <v>0.0070</v>
      </c>
      <c r="R6530" s="1" t="s">
        <v>25</v>
      </c>
      <c r="T6530" s="1" t="str">
        <f t="shared" si="12021"/>
        <v>0</v>
      </c>
      <c r="U6530" s="1" t="str">
        <f t="shared" si="12033"/>
        <v>0.0070</v>
      </c>
    </row>
    <row r="6531" s="1" customFormat="1" spans="1:21">
      <c r="A6531" s="1" t="str">
        <f>"4601992278488"</f>
        <v>4601992278488</v>
      </c>
      <c r="B6531" s="1" t="s">
        <v>6554</v>
      </c>
      <c r="C6531" s="1" t="s">
        <v>24</v>
      </c>
      <c r="D6531" s="1" t="str">
        <f t="shared" ref="D6531:D6594" si="12096">"2021"</f>
        <v>2021</v>
      </c>
      <c r="E6531" s="1" t="str">
        <f t="shared" ref="E6531:P6531" si="12097">"0"</f>
        <v>0</v>
      </c>
      <c r="F6531" s="1" t="str">
        <f t="shared" si="12097"/>
        <v>0</v>
      </c>
      <c r="G6531" s="1" t="str">
        <f t="shared" si="12097"/>
        <v>0</v>
      </c>
      <c r="H6531" s="1" t="str">
        <f t="shared" si="12097"/>
        <v>0</v>
      </c>
      <c r="I6531" s="1" t="str">
        <f t="shared" si="12097"/>
        <v>0</v>
      </c>
      <c r="J6531" s="1" t="str">
        <f t="shared" si="12097"/>
        <v>0</v>
      </c>
      <c r="K6531" s="1" t="str">
        <f t="shared" si="12097"/>
        <v>0</v>
      </c>
      <c r="L6531" s="1" t="str">
        <f t="shared" si="12097"/>
        <v>0</v>
      </c>
      <c r="M6531" s="1" t="str">
        <f t="shared" si="12097"/>
        <v>0</v>
      </c>
      <c r="N6531" s="1" t="str">
        <f t="shared" si="12097"/>
        <v>0</v>
      </c>
      <c r="O6531" s="1" t="str">
        <f t="shared" si="12097"/>
        <v>0</v>
      </c>
      <c r="P6531" s="1" t="str">
        <f t="shared" si="12097"/>
        <v>0</v>
      </c>
      <c r="Q6531" s="1" t="str">
        <f t="shared" ref="Q6531:Q6594" si="12098">"0.0070"</f>
        <v>0.0070</v>
      </c>
      <c r="R6531" s="1" t="s">
        <v>25</v>
      </c>
      <c r="T6531" s="1" t="str">
        <f t="shared" ref="T6531:T6594" si="12099">"0"</f>
        <v>0</v>
      </c>
      <c r="U6531" s="1" t="str">
        <f t="shared" si="12033"/>
        <v>0.0070</v>
      </c>
    </row>
    <row r="6532" s="1" customFormat="1" spans="1:21">
      <c r="A6532" s="1" t="str">
        <f>"4601992278507"</f>
        <v>4601992278507</v>
      </c>
      <c r="B6532" s="1" t="s">
        <v>6555</v>
      </c>
      <c r="C6532" s="1" t="s">
        <v>24</v>
      </c>
      <c r="D6532" s="1" t="str">
        <f t="shared" si="12096"/>
        <v>2021</v>
      </c>
      <c r="E6532" s="1" t="str">
        <f t="shared" ref="E6532:P6532" si="12100">"0"</f>
        <v>0</v>
      </c>
      <c r="F6532" s="1" t="str">
        <f t="shared" si="12100"/>
        <v>0</v>
      </c>
      <c r="G6532" s="1" t="str">
        <f t="shared" si="12100"/>
        <v>0</v>
      </c>
      <c r="H6532" s="1" t="str">
        <f t="shared" si="12100"/>
        <v>0</v>
      </c>
      <c r="I6532" s="1" t="str">
        <f t="shared" si="12100"/>
        <v>0</v>
      </c>
      <c r="J6532" s="1" t="str">
        <f t="shared" si="12100"/>
        <v>0</v>
      </c>
      <c r="K6532" s="1" t="str">
        <f t="shared" si="12100"/>
        <v>0</v>
      </c>
      <c r="L6532" s="1" t="str">
        <f t="shared" si="12100"/>
        <v>0</v>
      </c>
      <c r="M6532" s="1" t="str">
        <f t="shared" si="12100"/>
        <v>0</v>
      </c>
      <c r="N6532" s="1" t="str">
        <f t="shared" si="12100"/>
        <v>0</v>
      </c>
      <c r="O6532" s="1" t="str">
        <f t="shared" si="12100"/>
        <v>0</v>
      </c>
      <c r="P6532" s="1" t="str">
        <f t="shared" si="12100"/>
        <v>0</v>
      </c>
      <c r="Q6532" s="1" t="str">
        <f t="shared" si="12098"/>
        <v>0.0070</v>
      </c>
      <c r="R6532" s="1" t="s">
        <v>25</v>
      </c>
      <c r="T6532" s="1" t="str">
        <f t="shared" si="12099"/>
        <v>0</v>
      </c>
      <c r="U6532" s="1" t="str">
        <f t="shared" si="12033"/>
        <v>0.0070</v>
      </c>
    </row>
    <row r="6533" s="1" customFormat="1" spans="1:21">
      <c r="A6533" s="1" t="str">
        <f>"4601992278610"</f>
        <v>4601992278610</v>
      </c>
      <c r="B6533" s="1" t="s">
        <v>6556</v>
      </c>
      <c r="C6533" s="1" t="s">
        <v>24</v>
      </c>
      <c r="D6533" s="1" t="str">
        <f t="shared" si="12096"/>
        <v>2021</v>
      </c>
      <c r="E6533" s="1" t="str">
        <f t="shared" ref="E6533:P6533" si="12101">"0"</f>
        <v>0</v>
      </c>
      <c r="F6533" s="1" t="str">
        <f t="shared" si="12101"/>
        <v>0</v>
      </c>
      <c r="G6533" s="1" t="str">
        <f t="shared" si="12101"/>
        <v>0</v>
      </c>
      <c r="H6533" s="1" t="str">
        <f t="shared" si="12101"/>
        <v>0</v>
      </c>
      <c r="I6533" s="1" t="str">
        <f t="shared" si="12101"/>
        <v>0</v>
      </c>
      <c r="J6533" s="1" t="str">
        <f t="shared" si="12101"/>
        <v>0</v>
      </c>
      <c r="K6533" s="1" t="str">
        <f t="shared" si="12101"/>
        <v>0</v>
      </c>
      <c r="L6533" s="1" t="str">
        <f t="shared" si="12101"/>
        <v>0</v>
      </c>
      <c r="M6533" s="1" t="str">
        <f t="shared" si="12101"/>
        <v>0</v>
      </c>
      <c r="N6533" s="1" t="str">
        <f t="shared" si="12101"/>
        <v>0</v>
      </c>
      <c r="O6533" s="1" t="str">
        <f t="shared" si="12101"/>
        <v>0</v>
      </c>
      <c r="P6533" s="1" t="str">
        <f t="shared" si="12101"/>
        <v>0</v>
      </c>
      <c r="Q6533" s="1" t="str">
        <f t="shared" si="12098"/>
        <v>0.0070</v>
      </c>
      <c r="R6533" s="1" t="s">
        <v>25</v>
      </c>
      <c r="T6533" s="1" t="str">
        <f t="shared" si="12099"/>
        <v>0</v>
      </c>
      <c r="U6533" s="1" t="str">
        <f t="shared" si="12033"/>
        <v>0.0070</v>
      </c>
    </row>
    <row r="6534" s="1" customFormat="1" spans="1:21">
      <c r="A6534" s="1" t="str">
        <f>"4601992278596"</f>
        <v>4601992278596</v>
      </c>
      <c r="B6534" s="1" t="s">
        <v>6557</v>
      </c>
      <c r="C6534" s="1" t="s">
        <v>24</v>
      </c>
      <c r="D6534" s="1" t="str">
        <f t="shared" si="12096"/>
        <v>2021</v>
      </c>
      <c r="E6534" s="1" t="str">
        <f t="shared" ref="E6534:P6534" si="12102">"0"</f>
        <v>0</v>
      </c>
      <c r="F6534" s="1" t="str">
        <f t="shared" si="12102"/>
        <v>0</v>
      </c>
      <c r="G6534" s="1" t="str">
        <f t="shared" si="12102"/>
        <v>0</v>
      </c>
      <c r="H6534" s="1" t="str">
        <f t="shared" si="12102"/>
        <v>0</v>
      </c>
      <c r="I6534" s="1" t="str">
        <f t="shared" si="12102"/>
        <v>0</v>
      </c>
      <c r="J6534" s="1" t="str">
        <f t="shared" si="12102"/>
        <v>0</v>
      </c>
      <c r="K6534" s="1" t="str">
        <f t="shared" si="12102"/>
        <v>0</v>
      </c>
      <c r="L6534" s="1" t="str">
        <f t="shared" si="12102"/>
        <v>0</v>
      </c>
      <c r="M6534" s="1" t="str">
        <f t="shared" si="12102"/>
        <v>0</v>
      </c>
      <c r="N6534" s="1" t="str">
        <f t="shared" si="12102"/>
        <v>0</v>
      </c>
      <c r="O6534" s="1" t="str">
        <f t="shared" si="12102"/>
        <v>0</v>
      </c>
      <c r="P6534" s="1" t="str">
        <f t="shared" si="12102"/>
        <v>0</v>
      </c>
      <c r="Q6534" s="1" t="str">
        <f t="shared" si="12098"/>
        <v>0.0070</v>
      </c>
      <c r="R6534" s="1" t="s">
        <v>25</v>
      </c>
      <c r="T6534" s="1" t="str">
        <f t="shared" si="12099"/>
        <v>0</v>
      </c>
      <c r="U6534" s="1" t="str">
        <f t="shared" si="12033"/>
        <v>0.0070</v>
      </c>
    </row>
    <row r="6535" s="1" customFormat="1" spans="1:21">
      <c r="A6535" s="1" t="str">
        <f>"4601992278621"</f>
        <v>4601992278621</v>
      </c>
      <c r="B6535" s="1" t="s">
        <v>6558</v>
      </c>
      <c r="C6535" s="1" t="s">
        <v>24</v>
      </c>
      <c r="D6535" s="1" t="str">
        <f t="shared" si="12096"/>
        <v>2021</v>
      </c>
      <c r="E6535" s="1" t="str">
        <f t="shared" ref="E6535:P6535" si="12103">"0"</f>
        <v>0</v>
      </c>
      <c r="F6535" s="1" t="str">
        <f t="shared" si="12103"/>
        <v>0</v>
      </c>
      <c r="G6535" s="1" t="str">
        <f t="shared" si="12103"/>
        <v>0</v>
      </c>
      <c r="H6535" s="1" t="str">
        <f t="shared" si="12103"/>
        <v>0</v>
      </c>
      <c r="I6535" s="1" t="str">
        <f t="shared" si="12103"/>
        <v>0</v>
      </c>
      <c r="J6535" s="1" t="str">
        <f t="shared" si="12103"/>
        <v>0</v>
      </c>
      <c r="K6535" s="1" t="str">
        <f t="shared" si="12103"/>
        <v>0</v>
      </c>
      <c r="L6535" s="1" t="str">
        <f t="shared" si="12103"/>
        <v>0</v>
      </c>
      <c r="M6535" s="1" t="str">
        <f t="shared" si="12103"/>
        <v>0</v>
      </c>
      <c r="N6535" s="1" t="str">
        <f t="shared" si="12103"/>
        <v>0</v>
      </c>
      <c r="O6535" s="1" t="str">
        <f t="shared" si="12103"/>
        <v>0</v>
      </c>
      <c r="P6535" s="1" t="str">
        <f t="shared" si="12103"/>
        <v>0</v>
      </c>
      <c r="Q6535" s="1" t="str">
        <f t="shared" si="12098"/>
        <v>0.0070</v>
      </c>
      <c r="R6535" s="1" t="s">
        <v>25</v>
      </c>
      <c r="T6535" s="1" t="str">
        <f t="shared" si="12099"/>
        <v>0</v>
      </c>
      <c r="U6535" s="1" t="str">
        <f t="shared" si="12033"/>
        <v>0.0070</v>
      </c>
    </row>
    <row r="6536" s="1" customFormat="1" spans="1:21">
      <c r="A6536" s="1" t="str">
        <f>"4601992278643"</f>
        <v>4601992278643</v>
      </c>
      <c r="B6536" s="1" t="s">
        <v>6559</v>
      </c>
      <c r="C6536" s="1" t="s">
        <v>24</v>
      </c>
      <c r="D6536" s="1" t="str">
        <f t="shared" si="12096"/>
        <v>2021</v>
      </c>
      <c r="E6536" s="1" t="str">
        <f t="shared" ref="E6536:P6536" si="12104">"0"</f>
        <v>0</v>
      </c>
      <c r="F6536" s="1" t="str">
        <f t="shared" si="12104"/>
        <v>0</v>
      </c>
      <c r="G6536" s="1" t="str">
        <f t="shared" si="12104"/>
        <v>0</v>
      </c>
      <c r="H6536" s="1" t="str">
        <f t="shared" si="12104"/>
        <v>0</v>
      </c>
      <c r="I6536" s="1" t="str">
        <f t="shared" si="12104"/>
        <v>0</v>
      </c>
      <c r="J6536" s="1" t="str">
        <f t="shared" si="12104"/>
        <v>0</v>
      </c>
      <c r="K6536" s="1" t="str">
        <f t="shared" si="12104"/>
        <v>0</v>
      </c>
      <c r="L6536" s="1" t="str">
        <f t="shared" si="12104"/>
        <v>0</v>
      </c>
      <c r="M6536" s="1" t="str">
        <f t="shared" si="12104"/>
        <v>0</v>
      </c>
      <c r="N6536" s="1" t="str">
        <f t="shared" si="12104"/>
        <v>0</v>
      </c>
      <c r="O6536" s="1" t="str">
        <f t="shared" si="12104"/>
        <v>0</v>
      </c>
      <c r="P6536" s="1" t="str">
        <f t="shared" si="12104"/>
        <v>0</v>
      </c>
      <c r="Q6536" s="1" t="str">
        <f t="shared" si="12098"/>
        <v>0.0070</v>
      </c>
      <c r="R6536" s="1" t="s">
        <v>25</v>
      </c>
      <c r="T6536" s="1" t="str">
        <f t="shared" si="12099"/>
        <v>0</v>
      </c>
      <c r="U6536" s="1" t="str">
        <f t="shared" si="12033"/>
        <v>0.0070</v>
      </c>
    </row>
    <row r="6537" s="1" customFormat="1" spans="1:21">
      <c r="A6537" s="1" t="str">
        <f>"4601992278654"</f>
        <v>4601992278654</v>
      </c>
      <c r="B6537" s="1" t="s">
        <v>6560</v>
      </c>
      <c r="C6537" s="1" t="s">
        <v>24</v>
      </c>
      <c r="D6537" s="1" t="str">
        <f t="shared" si="12096"/>
        <v>2021</v>
      </c>
      <c r="E6537" s="1" t="str">
        <f t="shared" ref="E6537:P6537" si="12105">"0"</f>
        <v>0</v>
      </c>
      <c r="F6537" s="1" t="str">
        <f t="shared" si="12105"/>
        <v>0</v>
      </c>
      <c r="G6537" s="1" t="str">
        <f t="shared" si="12105"/>
        <v>0</v>
      </c>
      <c r="H6537" s="1" t="str">
        <f t="shared" si="12105"/>
        <v>0</v>
      </c>
      <c r="I6537" s="1" t="str">
        <f t="shared" si="12105"/>
        <v>0</v>
      </c>
      <c r="J6537" s="1" t="str">
        <f t="shared" si="12105"/>
        <v>0</v>
      </c>
      <c r="K6537" s="1" t="str">
        <f t="shared" si="12105"/>
        <v>0</v>
      </c>
      <c r="L6537" s="1" t="str">
        <f t="shared" si="12105"/>
        <v>0</v>
      </c>
      <c r="M6537" s="1" t="str">
        <f t="shared" si="12105"/>
        <v>0</v>
      </c>
      <c r="N6537" s="1" t="str">
        <f t="shared" si="12105"/>
        <v>0</v>
      </c>
      <c r="O6537" s="1" t="str">
        <f t="shared" si="12105"/>
        <v>0</v>
      </c>
      <c r="P6537" s="1" t="str">
        <f t="shared" si="12105"/>
        <v>0</v>
      </c>
      <c r="Q6537" s="1" t="str">
        <f t="shared" si="12098"/>
        <v>0.0070</v>
      </c>
      <c r="R6537" s="1" t="s">
        <v>25</v>
      </c>
      <c r="T6537" s="1" t="str">
        <f t="shared" si="12099"/>
        <v>0</v>
      </c>
      <c r="U6537" s="1" t="str">
        <f t="shared" si="12033"/>
        <v>0.0070</v>
      </c>
    </row>
    <row r="6538" s="1" customFormat="1" spans="1:21">
      <c r="A6538" s="1" t="str">
        <f>"4601992278811"</f>
        <v>4601992278811</v>
      </c>
      <c r="B6538" s="1" t="s">
        <v>6561</v>
      </c>
      <c r="C6538" s="1" t="s">
        <v>24</v>
      </c>
      <c r="D6538" s="1" t="str">
        <f t="shared" si="12096"/>
        <v>2021</v>
      </c>
      <c r="E6538" s="1" t="str">
        <f t="shared" ref="E6538:P6538" si="12106">"0"</f>
        <v>0</v>
      </c>
      <c r="F6538" s="1" t="str">
        <f t="shared" si="12106"/>
        <v>0</v>
      </c>
      <c r="G6538" s="1" t="str">
        <f t="shared" si="12106"/>
        <v>0</v>
      </c>
      <c r="H6538" s="1" t="str">
        <f t="shared" si="12106"/>
        <v>0</v>
      </c>
      <c r="I6538" s="1" t="str">
        <f t="shared" si="12106"/>
        <v>0</v>
      </c>
      <c r="J6538" s="1" t="str">
        <f t="shared" si="12106"/>
        <v>0</v>
      </c>
      <c r="K6538" s="1" t="str">
        <f t="shared" si="12106"/>
        <v>0</v>
      </c>
      <c r="L6538" s="1" t="str">
        <f t="shared" si="12106"/>
        <v>0</v>
      </c>
      <c r="M6538" s="1" t="str">
        <f t="shared" si="12106"/>
        <v>0</v>
      </c>
      <c r="N6538" s="1" t="str">
        <f t="shared" si="12106"/>
        <v>0</v>
      </c>
      <c r="O6538" s="1" t="str">
        <f t="shared" si="12106"/>
        <v>0</v>
      </c>
      <c r="P6538" s="1" t="str">
        <f t="shared" si="12106"/>
        <v>0</v>
      </c>
      <c r="Q6538" s="1" t="str">
        <f t="shared" si="12098"/>
        <v>0.0070</v>
      </c>
      <c r="R6538" s="1" t="s">
        <v>25</v>
      </c>
      <c r="T6538" s="1" t="str">
        <f t="shared" si="12099"/>
        <v>0</v>
      </c>
      <c r="U6538" s="1" t="str">
        <f t="shared" ref="U6538:U6601" si="12107">"0.0070"</f>
        <v>0.0070</v>
      </c>
    </row>
    <row r="6539" s="1" customFormat="1" spans="1:21">
      <c r="A6539" s="1" t="str">
        <f>"4601992278890"</f>
        <v>4601992278890</v>
      </c>
      <c r="B6539" s="1" t="s">
        <v>6562</v>
      </c>
      <c r="C6539" s="1" t="s">
        <v>24</v>
      </c>
      <c r="D6539" s="1" t="str">
        <f t="shared" si="12096"/>
        <v>2021</v>
      </c>
      <c r="E6539" s="1" t="str">
        <f t="shared" ref="E6539:P6539" si="12108">"0"</f>
        <v>0</v>
      </c>
      <c r="F6539" s="1" t="str">
        <f t="shared" si="12108"/>
        <v>0</v>
      </c>
      <c r="G6539" s="1" t="str">
        <f t="shared" si="12108"/>
        <v>0</v>
      </c>
      <c r="H6539" s="1" t="str">
        <f t="shared" si="12108"/>
        <v>0</v>
      </c>
      <c r="I6539" s="1" t="str">
        <f t="shared" si="12108"/>
        <v>0</v>
      </c>
      <c r="J6539" s="1" t="str">
        <f t="shared" si="12108"/>
        <v>0</v>
      </c>
      <c r="K6539" s="1" t="str">
        <f t="shared" si="12108"/>
        <v>0</v>
      </c>
      <c r="L6539" s="1" t="str">
        <f t="shared" si="12108"/>
        <v>0</v>
      </c>
      <c r="M6539" s="1" t="str">
        <f t="shared" si="12108"/>
        <v>0</v>
      </c>
      <c r="N6539" s="1" t="str">
        <f t="shared" si="12108"/>
        <v>0</v>
      </c>
      <c r="O6539" s="1" t="str">
        <f t="shared" si="12108"/>
        <v>0</v>
      </c>
      <c r="P6539" s="1" t="str">
        <f t="shared" si="12108"/>
        <v>0</v>
      </c>
      <c r="Q6539" s="1" t="str">
        <f t="shared" si="12098"/>
        <v>0.0070</v>
      </c>
      <c r="R6539" s="1" t="s">
        <v>25</v>
      </c>
      <c r="T6539" s="1" t="str">
        <f t="shared" si="12099"/>
        <v>0</v>
      </c>
      <c r="U6539" s="1" t="str">
        <f t="shared" si="12107"/>
        <v>0.0070</v>
      </c>
    </row>
    <row r="6540" s="1" customFormat="1" spans="1:21">
      <c r="A6540" s="1" t="str">
        <f>"4601992278938"</f>
        <v>4601992278938</v>
      </c>
      <c r="B6540" s="1" t="s">
        <v>6563</v>
      </c>
      <c r="C6540" s="1" t="s">
        <v>24</v>
      </c>
      <c r="D6540" s="1" t="str">
        <f t="shared" si="12096"/>
        <v>2021</v>
      </c>
      <c r="E6540" s="1" t="str">
        <f t="shared" ref="E6540:P6540" si="12109">"0"</f>
        <v>0</v>
      </c>
      <c r="F6540" s="1" t="str">
        <f t="shared" si="12109"/>
        <v>0</v>
      </c>
      <c r="G6540" s="1" t="str">
        <f t="shared" si="12109"/>
        <v>0</v>
      </c>
      <c r="H6540" s="1" t="str">
        <f t="shared" si="12109"/>
        <v>0</v>
      </c>
      <c r="I6540" s="1" t="str">
        <f t="shared" si="12109"/>
        <v>0</v>
      </c>
      <c r="J6540" s="1" t="str">
        <f t="shared" si="12109"/>
        <v>0</v>
      </c>
      <c r="K6540" s="1" t="str">
        <f t="shared" si="12109"/>
        <v>0</v>
      </c>
      <c r="L6540" s="1" t="str">
        <f t="shared" si="12109"/>
        <v>0</v>
      </c>
      <c r="M6540" s="1" t="str">
        <f t="shared" si="12109"/>
        <v>0</v>
      </c>
      <c r="N6540" s="1" t="str">
        <f t="shared" si="12109"/>
        <v>0</v>
      </c>
      <c r="O6540" s="1" t="str">
        <f t="shared" si="12109"/>
        <v>0</v>
      </c>
      <c r="P6540" s="1" t="str">
        <f t="shared" si="12109"/>
        <v>0</v>
      </c>
      <c r="Q6540" s="1" t="str">
        <f t="shared" si="12098"/>
        <v>0.0070</v>
      </c>
      <c r="R6540" s="1" t="s">
        <v>25</v>
      </c>
      <c r="T6540" s="1" t="str">
        <f t="shared" si="12099"/>
        <v>0</v>
      </c>
      <c r="U6540" s="1" t="str">
        <f t="shared" si="12107"/>
        <v>0.0070</v>
      </c>
    </row>
    <row r="6541" s="1" customFormat="1" spans="1:21">
      <c r="A6541" s="1" t="str">
        <f>"4601992278952"</f>
        <v>4601992278952</v>
      </c>
      <c r="B6541" s="1" t="s">
        <v>6564</v>
      </c>
      <c r="C6541" s="1" t="s">
        <v>24</v>
      </c>
      <c r="D6541" s="1" t="str">
        <f t="shared" si="12096"/>
        <v>2021</v>
      </c>
      <c r="E6541" s="1" t="str">
        <f t="shared" ref="E6541:P6541" si="12110">"0"</f>
        <v>0</v>
      </c>
      <c r="F6541" s="1" t="str">
        <f t="shared" si="12110"/>
        <v>0</v>
      </c>
      <c r="G6541" s="1" t="str">
        <f t="shared" si="12110"/>
        <v>0</v>
      </c>
      <c r="H6541" s="1" t="str">
        <f t="shared" si="12110"/>
        <v>0</v>
      </c>
      <c r="I6541" s="1" t="str">
        <f t="shared" si="12110"/>
        <v>0</v>
      </c>
      <c r="J6541" s="1" t="str">
        <f t="shared" si="12110"/>
        <v>0</v>
      </c>
      <c r="K6541" s="1" t="str">
        <f t="shared" si="12110"/>
        <v>0</v>
      </c>
      <c r="L6541" s="1" t="str">
        <f t="shared" si="12110"/>
        <v>0</v>
      </c>
      <c r="M6541" s="1" t="str">
        <f t="shared" si="12110"/>
        <v>0</v>
      </c>
      <c r="N6541" s="1" t="str">
        <f t="shared" si="12110"/>
        <v>0</v>
      </c>
      <c r="O6541" s="1" t="str">
        <f t="shared" si="12110"/>
        <v>0</v>
      </c>
      <c r="P6541" s="1" t="str">
        <f t="shared" si="12110"/>
        <v>0</v>
      </c>
      <c r="Q6541" s="1" t="str">
        <f t="shared" si="12098"/>
        <v>0.0070</v>
      </c>
      <c r="R6541" s="1" t="s">
        <v>25</v>
      </c>
      <c r="T6541" s="1" t="str">
        <f t="shared" si="12099"/>
        <v>0</v>
      </c>
      <c r="U6541" s="1" t="str">
        <f t="shared" si="12107"/>
        <v>0.0070</v>
      </c>
    </row>
    <row r="6542" s="1" customFormat="1" spans="1:21">
      <c r="A6542" s="1" t="str">
        <f>"4601992278989"</f>
        <v>4601992278989</v>
      </c>
      <c r="B6542" s="1" t="s">
        <v>6565</v>
      </c>
      <c r="C6542" s="1" t="s">
        <v>24</v>
      </c>
      <c r="D6542" s="1" t="str">
        <f t="shared" si="12096"/>
        <v>2021</v>
      </c>
      <c r="E6542" s="1" t="str">
        <f t="shared" ref="E6542:P6542" si="12111">"0"</f>
        <v>0</v>
      </c>
      <c r="F6542" s="1" t="str">
        <f t="shared" si="12111"/>
        <v>0</v>
      </c>
      <c r="G6542" s="1" t="str">
        <f t="shared" si="12111"/>
        <v>0</v>
      </c>
      <c r="H6542" s="1" t="str">
        <f t="shared" si="12111"/>
        <v>0</v>
      </c>
      <c r="I6542" s="1" t="str">
        <f t="shared" si="12111"/>
        <v>0</v>
      </c>
      <c r="J6542" s="1" t="str">
        <f t="shared" si="12111"/>
        <v>0</v>
      </c>
      <c r="K6542" s="1" t="str">
        <f t="shared" si="12111"/>
        <v>0</v>
      </c>
      <c r="L6542" s="1" t="str">
        <f t="shared" si="12111"/>
        <v>0</v>
      </c>
      <c r="M6542" s="1" t="str">
        <f t="shared" si="12111"/>
        <v>0</v>
      </c>
      <c r="N6542" s="1" t="str">
        <f t="shared" si="12111"/>
        <v>0</v>
      </c>
      <c r="O6542" s="1" t="str">
        <f t="shared" si="12111"/>
        <v>0</v>
      </c>
      <c r="P6542" s="1" t="str">
        <f t="shared" si="12111"/>
        <v>0</v>
      </c>
      <c r="Q6542" s="1" t="str">
        <f t="shared" si="12098"/>
        <v>0.0070</v>
      </c>
      <c r="R6542" s="1" t="s">
        <v>25</v>
      </c>
      <c r="T6542" s="1" t="str">
        <f t="shared" si="12099"/>
        <v>0</v>
      </c>
      <c r="U6542" s="1" t="str">
        <f t="shared" si="12107"/>
        <v>0.0070</v>
      </c>
    </row>
    <row r="6543" s="1" customFormat="1" spans="1:21">
      <c r="A6543" s="1" t="str">
        <f>"4601992278993"</f>
        <v>4601992278993</v>
      </c>
      <c r="B6543" s="1" t="s">
        <v>6566</v>
      </c>
      <c r="C6543" s="1" t="s">
        <v>24</v>
      </c>
      <c r="D6543" s="1" t="str">
        <f t="shared" si="12096"/>
        <v>2021</v>
      </c>
      <c r="E6543" s="1" t="str">
        <f t="shared" ref="E6543:P6543" si="12112">"0"</f>
        <v>0</v>
      </c>
      <c r="F6543" s="1" t="str">
        <f t="shared" si="12112"/>
        <v>0</v>
      </c>
      <c r="G6543" s="1" t="str">
        <f t="shared" si="12112"/>
        <v>0</v>
      </c>
      <c r="H6543" s="1" t="str">
        <f t="shared" si="12112"/>
        <v>0</v>
      </c>
      <c r="I6543" s="1" t="str">
        <f t="shared" si="12112"/>
        <v>0</v>
      </c>
      <c r="J6543" s="1" t="str">
        <f t="shared" si="12112"/>
        <v>0</v>
      </c>
      <c r="K6543" s="1" t="str">
        <f t="shared" si="12112"/>
        <v>0</v>
      </c>
      <c r="L6543" s="1" t="str">
        <f t="shared" si="12112"/>
        <v>0</v>
      </c>
      <c r="M6543" s="1" t="str">
        <f t="shared" si="12112"/>
        <v>0</v>
      </c>
      <c r="N6543" s="1" t="str">
        <f t="shared" si="12112"/>
        <v>0</v>
      </c>
      <c r="O6543" s="1" t="str">
        <f t="shared" si="12112"/>
        <v>0</v>
      </c>
      <c r="P6543" s="1" t="str">
        <f t="shared" si="12112"/>
        <v>0</v>
      </c>
      <c r="Q6543" s="1" t="str">
        <f t="shared" si="12098"/>
        <v>0.0070</v>
      </c>
      <c r="R6543" s="1" t="s">
        <v>25</v>
      </c>
      <c r="T6543" s="1" t="str">
        <f t="shared" si="12099"/>
        <v>0</v>
      </c>
      <c r="U6543" s="1" t="str">
        <f t="shared" si="12107"/>
        <v>0.0070</v>
      </c>
    </row>
    <row r="6544" s="1" customFormat="1" spans="1:21">
      <c r="A6544" s="1" t="str">
        <f>"4601992279168"</f>
        <v>4601992279168</v>
      </c>
      <c r="B6544" s="1" t="s">
        <v>6567</v>
      </c>
      <c r="C6544" s="1" t="s">
        <v>24</v>
      </c>
      <c r="D6544" s="1" t="str">
        <f t="shared" si="12096"/>
        <v>2021</v>
      </c>
      <c r="E6544" s="1" t="str">
        <f t="shared" ref="E6544:P6544" si="12113">"0"</f>
        <v>0</v>
      </c>
      <c r="F6544" s="1" t="str">
        <f t="shared" si="12113"/>
        <v>0</v>
      </c>
      <c r="G6544" s="1" t="str">
        <f t="shared" si="12113"/>
        <v>0</v>
      </c>
      <c r="H6544" s="1" t="str">
        <f t="shared" si="12113"/>
        <v>0</v>
      </c>
      <c r="I6544" s="1" t="str">
        <f t="shared" si="12113"/>
        <v>0</v>
      </c>
      <c r="J6544" s="1" t="str">
        <f t="shared" si="12113"/>
        <v>0</v>
      </c>
      <c r="K6544" s="1" t="str">
        <f t="shared" si="12113"/>
        <v>0</v>
      </c>
      <c r="L6544" s="1" t="str">
        <f t="shared" si="12113"/>
        <v>0</v>
      </c>
      <c r="M6544" s="1" t="str">
        <f t="shared" si="12113"/>
        <v>0</v>
      </c>
      <c r="N6544" s="1" t="str">
        <f t="shared" si="12113"/>
        <v>0</v>
      </c>
      <c r="O6544" s="1" t="str">
        <f t="shared" si="12113"/>
        <v>0</v>
      </c>
      <c r="P6544" s="1" t="str">
        <f t="shared" si="12113"/>
        <v>0</v>
      </c>
      <c r="Q6544" s="1" t="str">
        <f t="shared" si="12098"/>
        <v>0.0070</v>
      </c>
      <c r="R6544" s="1" t="s">
        <v>25</v>
      </c>
      <c r="T6544" s="1" t="str">
        <f t="shared" si="12099"/>
        <v>0</v>
      </c>
      <c r="U6544" s="1" t="str">
        <f t="shared" si="12107"/>
        <v>0.0070</v>
      </c>
    </row>
    <row r="6545" s="1" customFormat="1" spans="1:21">
      <c r="A6545" s="1" t="str">
        <f>"4601992279108"</f>
        <v>4601992279108</v>
      </c>
      <c r="B6545" s="1" t="s">
        <v>6568</v>
      </c>
      <c r="C6545" s="1" t="s">
        <v>24</v>
      </c>
      <c r="D6545" s="1" t="str">
        <f t="shared" si="12096"/>
        <v>2021</v>
      </c>
      <c r="E6545" s="1" t="str">
        <f t="shared" ref="E6545:P6545" si="12114">"0"</f>
        <v>0</v>
      </c>
      <c r="F6545" s="1" t="str">
        <f t="shared" si="12114"/>
        <v>0</v>
      </c>
      <c r="G6545" s="1" t="str">
        <f t="shared" si="12114"/>
        <v>0</v>
      </c>
      <c r="H6545" s="1" t="str">
        <f t="shared" si="12114"/>
        <v>0</v>
      </c>
      <c r="I6545" s="1" t="str">
        <f t="shared" si="12114"/>
        <v>0</v>
      </c>
      <c r="J6545" s="1" t="str">
        <f t="shared" si="12114"/>
        <v>0</v>
      </c>
      <c r="K6545" s="1" t="str">
        <f t="shared" si="12114"/>
        <v>0</v>
      </c>
      <c r="L6545" s="1" t="str">
        <f t="shared" si="12114"/>
        <v>0</v>
      </c>
      <c r="M6545" s="1" t="str">
        <f t="shared" si="12114"/>
        <v>0</v>
      </c>
      <c r="N6545" s="1" t="str">
        <f t="shared" si="12114"/>
        <v>0</v>
      </c>
      <c r="O6545" s="1" t="str">
        <f t="shared" si="12114"/>
        <v>0</v>
      </c>
      <c r="P6545" s="1" t="str">
        <f t="shared" si="12114"/>
        <v>0</v>
      </c>
      <c r="Q6545" s="1" t="str">
        <f t="shared" si="12098"/>
        <v>0.0070</v>
      </c>
      <c r="R6545" s="1" t="s">
        <v>25</v>
      </c>
      <c r="T6545" s="1" t="str">
        <f t="shared" si="12099"/>
        <v>0</v>
      </c>
      <c r="U6545" s="1" t="str">
        <f t="shared" si="12107"/>
        <v>0.0070</v>
      </c>
    </row>
    <row r="6546" s="1" customFormat="1" spans="1:21">
      <c r="A6546" s="1" t="str">
        <f>"4601992279338"</f>
        <v>4601992279338</v>
      </c>
      <c r="B6546" s="1" t="s">
        <v>6569</v>
      </c>
      <c r="C6546" s="1" t="s">
        <v>24</v>
      </c>
      <c r="D6546" s="1" t="str">
        <f t="shared" si="12096"/>
        <v>2021</v>
      </c>
      <c r="E6546" s="1" t="str">
        <f t="shared" ref="E6546:P6546" si="12115">"0"</f>
        <v>0</v>
      </c>
      <c r="F6546" s="1" t="str">
        <f t="shared" si="12115"/>
        <v>0</v>
      </c>
      <c r="G6546" s="1" t="str">
        <f t="shared" si="12115"/>
        <v>0</v>
      </c>
      <c r="H6546" s="1" t="str">
        <f t="shared" si="12115"/>
        <v>0</v>
      </c>
      <c r="I6546" s="1" t="str">
        <f t="shared" si="12115"/>
        <v>0</v>
      </c>
      <c r="J6546" s="1" t="str">
        <f t="shared" si="12115"/>
        <v>0</v>
      </c>
      <c r="K6546" s="1" t="str">
        <f t="shared" si="12115"/>
        <v>0</v>
      </c>
      <c r="L6546" s="1" t="str">
        <f t="shared" si="12115"/>
        <v>0</v>
      </c>
      <c r="M6546" s="1" t="str">
        <f t="shared" si="12115"/>
        <v>0</v>
      </c>
      <c r="N6546" s="1" t="str">
        <f t="shared" si="12115"/>
        <v>0</v>
      </c>
      <c r="O6546" s="1" t="str">
        <f t="shared" si="12115"/>
        <v>0</v>
      </c>
      <c r="P6546" s="1" t="str">
        <f t="shared" si="12115"/>
        <v>0</v>
      </c>
      <c r="Q6546" s="1" t="str">
        <f t="shared" si="12098"/>
        <v>0.0070</v>
      </c>
      <c r="R6546" s="1" t="s">
        <v>25</v>
      </c>
      <c r="T6546" s="1" t="str">
        <f t="shared" si="12099"/>
        <v>0</v>
      </c>
      <c r="U6546" s="1" t="str">
        <f t="shared" si="12107"/>
        <v>0.0070</v>
      </c>
    </row>
    <row r="6547" s="1" customFormat="1" spans="1:21">
      <c r="A6547" s="1" t="str">
        <f>"4601992279373"</f>
        <v>4601992279373</v>
      </c>
      <c r="B6547" s="1" t="s">
        <v>6570</v>
      </c>
      <c r="C6547" s="1" t="s">
        <v>24</v>
      </c>
      <c r="D6547" s="1" t="str">
        <f t="shared" si="12096"/>
        <v>2021</v>
      </c>
      <c r="E6547" s="1" t="str">
        <f t="shared" ref="E6547:P6547" si="12116">"0"</f>
        <v>0</v>
      </c>
      <c r="F6547" s="1" t="str">
        <f t="shared" si="12116"/>
        <v>0</v>
      </c>
      <c r="G6547" s="1" t="str">
        <f t="shared" si="12116"/>
        <v>0</v>
      </c>
      <c r="H6547" s="1" t="str">
        <f t="shared" si="12116"/>
        <v>0</v>
      </c>
      <c r="I6547" s="1" t="str">
        <f t="shared" si="12116"/>
        <v>0</v>
      </c>
      <c r="J6547" s="1" t="str">
        <f t="shared" si="12116"/>
        <v>0</v>
      </c>
      <c r="K6547" s="1" t="str">
        <f t="shared" si="12116"/>
        <v>0</v>
      </c>
      <c r="L6547" s="1" t="str">
        <f t="shared" si="12116"/>
        <v>0</v>
      </c>
      <c r="M6547" s="1" t="str">
        <f t="shared" si="12116"/>
        <v>0</v>
      </c>
      <c r="N6547" s="1" t="str">
        <f t="shared" si="12116"/>
        <v>0</v>
      </c>
      <c r="O6547" s="1" t="str">
        <f t="shared" si="12116"/>
        <v>0</v>
      </c>
      <c r="P6547" s="1" t="str">
        <f t="shared" si="12116"/>
        <v>0</v>
      </c>
      <c r="Q6547" s="1" t="str">
        <f t="shared" si="12098"/>
        <v>0.0070</v>
      </c>
      <c r="R6547" s="1" t="s">
        <v>25</v>
      </c>
      <c r="T6547" s="1" t="str">
        <f t="shared" si="12099"/>
        <v>0</v>
      </c>
      <c r="U6547" s="1" t="str">
        <f t="shared" si="12107"/>
        <v>0.0070</v>
      </c>
    </row>
    <row r="6548" s="1" customFormat="1" spans="1:21">
      <c r="A6548" s="1" t="str">
        <f>"4601992279570"</f>
        <v>4601992279570</v>
      </c>
      <c r="B6548" s="1" t="s">
        <v>6571</v>
      </c>
      <c r="C6548" s="1" t="s">
        <v>24</v>
      </c>
      <c r="D6548" s="1" t="str">
        <f t="shared" si="12096"/>
        <v>2021</v>
      </c>
      <c r="E6548" s="1" t="str">
        <f t="shared" ref="E6548:P6548" si="12117">"0"</f>
        <v>0</v>
      </c>
      <c r="F6548" s="1" t="str">
        <f t="shared" si="12117"/>
        <v>0</v>
      </c>
      <c r="G6548" s="1" t="str">
        <f t="shared" si="12117"/>
        <v>0</v>
      </c>
      <c r="H6548" s="1" t="str">
        <f t="shared" si="12117"/>
        <v>0</v>
      </c>
      <c r="I6548" s="1" t="str">
        <f t="shared" si="12117"/>
        <v>0</v>
      </c>
      <c r="J6548" s="1" t="str">
        <f t="shared" si="12117"/>
        <v>0</v>
      </c>
      <c r="K6548" s="1" t="str">
        <f t="shared" si="12117"/>
        <v>0</v>
      </c>
      <c r="L6548" s="1" t="str">
        <f t="shared" si="12117"/>
        <v>0</v>
      </c>
      <c r="M6548" s="1" t="str">
        <f t="shared" si="12117"/>
        <v>0</v>
      </c>
      <c r="N6548" s="1" t="str">
        <f t="shared" si="12117"/>
        <v>0</v>
      </c>
      <c r="O6548" s="1" t="str">
        <f t="shared" si="12117"/>
        <v>0</v>
      </c>
      <c r="P6548" s="1" t="str">
        <f t="shared" si="12117"/>
        <v>0</v>
      </c>
      <c r="Q6548" s="1" t="str">
        <f t="shared" si="12098"/>
        <v>0.0070</v>
      </c>
      <c r="R6548" s="1" t="s">
        <v>25</v>
      </c>
      <c r="T6548" s="1" t="str">
        <f t="shared" si="12099"/>
        <v>0</v>
      </c>
      <c r="U6548" s="1" t="str">
        <f t="shared" si="12107"/>
        <v>0.0070</v>
      </c>
    </row>
    <row r="6549" s="1" customFormat="1" spans="1:21">
      <c r="A6549" s="1" t="str">
        <f>"4601992279516"</f>
        <v>4601992279516</v>
      </c>
      <c r="B6549" s="1" t="s">
        <v>6572</v>
      </c>
      <c r="C6549" s="1" t="s">
        <v>24</v>
      </c>
      <c r="D6549" s="1" t="str">
        <f t="shared" si="12096"/>
        <v>2021</v>
      </c>
      <c r="E6549" s="1" t="str">
        <f t="shared" ref="E6549:P6549" si="12118">"0"</f>
        <v>0</v>
      </c>
      <c r="F6549" s="1" t="str">
        <f t="shared" si="12118"/>
        <v>0</v>
      </c>
      <c r="G6549" s="1" t="str">
        <f t="shared" si="12118"/>
        <v>0</v>
      </c>
      <c r="H6549" s="1" t="str">
        <f t="shared" si="12118"/>
        <v>0</v>
      </c>
      <c r="I6549" s="1" t="str">
        <f t="shared" si="12118"/>
        <v>0</v>
      </c>
      <c r="J6549" s="1" t="str">
        <f t="shared" si="12118"/>
        <v>0</v>
      </c>
      <c r="K6549" s="1" t="str">
        <f t="shared" si="12118"/>
        <v>0</v>
      </c>
      <c r="L6549" s="1" t="str">
        <f t="shared" si="12118"/>
        <v>0</v>
      </c>
      <c r="M6549" s="1" t="str">
        <f t="shared" si="12118"/>
        <v>0</v>
      </c>
      <c r="N6549" s="1" t="str">
        <f t="shared" si="12118"/>
        <v>0</v>
      </c>
      <c r="O6549" s="1" t="str">
        <f t="shared" si="12118"/>
        <v>0</v>
      </c>
      <c r="P6549" s="1" t="str">
        <f t="shared" si="12118"/>
        <v>0</v>
      </c>
      <c r="Q6549" s="1" t="str">
        <f t="shared" si="12098"/>
        <v>0.0070</v>
      </c>
      <c r="R6549" s="1" t="s">
        <v>25</v>
      </c>
      <c r="T6549" s="1" t="str">
        <f t="shared" si="12099"/>
        <v>0</v>
      </c>
      <c r="U6549" s="1" t="str">
        <f t="shared" si="12107"/>
        <v>0.0070</v>
      </c>
    </row>
    <row r="6550" s="1" customFormat="1" spans="1:21">
      <c r="A6550" s="1" t="str">
        <f>"4601992279529"</f>
        <v>4601992279529</v>
      </c>
      <c r="B6550" s="1" t="s">
        <v>6573</v>
      </c>
      <c r="C6550" s="1" t="s">
        <v>24</v>
      </c>
      <c r="D6550" s="1" t="str">
        <f t="shared" si="12096"/>
        <v>2021</v>
      </c>
      <c r="E6550" s="1" t="str">
        <f t="shared" ref="E6550:P6550" si="12119">"0"</f>
        <v>0</v>
      </c>
      <c r="F6550" s="1" t="str">
        <f t="shared" si="12119"/>
        <v>0</v>
      </c>
      <c r="G6550" s="1" t="str">
        <f t="shared" si="12119"/>
        <v>0</v>
      </c>
      <c r="H6550" s="1" t="str">
        <f t="shared" si="12119"/>
        <v>0</v>
      </c>
      <c r="I6550" s="1" t="str">
        <f t="shared" si="12119"/>
        <v>0</v>
      </c>
      <c r="J6550" s="1" t="str">
        <f t="shared" si="12119"/>
        <v>0</v>
      </c>
      <c r="K6550" s="1" t="str">
        <f t="shared" si="12119"/>
        <v>0</v>
      </c>
      <c r="L6550" s="1" t="str">
        <f t="shared" si="12119"/>
        <v>0</v>
      </c>
      <c r="M6550" s="1" t="str">
        <f t="shared" si="12119"/>
        <v>0</v>
      </c>
      <c r="N6550" s="1" t="str">
        <f t="shared" si="12119"/>
        <v>0</v>
      </c>
      <c r="O6550" s="1" t="str">
        <f t="shared" si="12119"/>
        <v>0</v>
      </c>
      <c r="P6550" s="1" t="str">
        <f t="shared" si="12119"/>
        <v>0</v>
      </c>
      <c r="Q6550" s="1" t="str">
        <f t="shared" si="12098"/>
        <v>0.0070</v>
      </c>
      <c r="R6550" s="1" t="s">
        <v>25</v>
      </c>
      <c r="T6550" s="1" t="str">
        <f t="shared" si="12099"/>
        <v>0</v>
      </c>
      <c r="U6550" s="1" t="str">
        <f t="shared" si="12107"/>
        <v>0.0070</v>
      </c>
    </row>
    <row r="6551" s="1" customFormat="1" spans="1:21">
      <c r="A6551" s="1" t="str">
        <f>"4601992279670"</f>
        <v>4601992279670</v>
      </c>
      <c r="B6551" s="1" t="s">
        <v>6574</v>
      </c>
      <c r="C6551" s="1" t="s">
        <v>24</v>
      </c>
      <c r="D6551" s="1" t="str">
        <f t="shared" si="12096"/>
        <v>2021</v>
      </c>
      <c r="E6551" s="1" t="str">
        <f t="shared" ref="E6551:P6551" si="12120">"0"</f>
        <v>0</v>
      </c>
      <c r="F6551" s="1" t="str">
        <f t="shared" si="12120"/>
        <v>0</v>
      </c>
      <c r="G6551" s="1" t="str">
        <f t="shared" si="12120"/>
        <v>0</v>
      </c>
      <c r="H6551" s="1" t="str">
        <f t="shared" si="12120"/>
        <v>0</v>
      </c>
      <c r="I6551" s="1" t="str">
        <f t="shared" si="12120"/>
        <v>0</v>
      </c>
      <c r="J6551" s="1" t="str">
        <f t="shared" si="12120"/>
        <v>0</v>
      </c>
      <c r="K6551" s="1" t="str">
        <f t="shared" si="12120"/>
        <v>0</v>
      </c>
      <c r="L6551" s="1" t="str">
        <f t="shared" si="12120"/>
        <v>0</v>
      </c>
      <c r="M6551" s="1" t="str">
        <f t="shared" si="12120"/>
        <v>0</v>
      </c>
      <c r="N6551" s="1" t="str">
        <f t="shared" si="12120"/>
        <v>0</v>
      </c>
      <c r="O6551" s="1" t="str">
        <f t="shared" si="12120"/>
        <v>0</v>
      </c>
      <c r="P6551" s="1" t="str">
        <f t="shared" si="12120"/>
        <v>0</v>
      </c>
      <c r="Q6551" s="1" t="str">
        <f t="shared" si="12098"/>
        <v>0.0070</v>
      </c>
      <c r="R6551" s="1" t="s">
        <v>25</v>
      </c>
      <c r="T6551" s="1" t="str">
        <f t="shared" si="12099"/>
        <v>0</v>
      </c>
      <c r="U6551" s="1" t="str">
        <f t="shared" si="12107"/>
        <v>0.0070</v>
      </c>
    </row>
    <row r="6552" s="1" customFormat="1" spans="1:21">
      <c r="A6552" s="1" t="str">
        <f>"4601992279697"</f>
        <v>4601992279697</v>
      </c>
      <c r="B6552" s="1" t="s">
        <v>6575</v>
      </c>
      <c r="C6552" s="1" t="s">
        <v>24</v>
      </c>
      <c r="D6552" s="1" t="str">
        <f t="shared" si="12096"/>
        <v>2021</v>
      </c>
      <c r="E6552" s="1" t="str">
        <f t="shared" ref="E6552:P6552" si="12121">"0"</f>
        <v>0</v>
      </c>
      <c r="F6552" s="1" t="str">
        <f t="shared" si="12121"/>
        <v>0</v>
      </c>
      <c r="G6552" s="1" t="str">
        <f t="shared" si="12121"/>
        <v>0</v>
      </c>
      <c r="H6552" s="1" t="str">
        <f t="shared" si="12121"/>
        <v>0</v>
      </c>
      <c r="I6552" s="1" t="str">
        <f t="shared" si="12121"/>
        <v>0</v>
      </c>
      <c r="J6552" s="1" t="str">
        <f t="shared" si="12121"/>
        <v>0</v>
      </c>
      <c r="K6552" s="1" t="str">
        <f t="shared" si="12121"/>
        <v>0</v>
      </c>
      <c r="L6552" s="1" t="str">
        <f t="shared" si="12121"/>
        <v>0</v>
      </c>
      <c r="M6552" s="1" t="str">
        <f t="shared" si="12121"/>
        <v>0</v>
      </c>
      <c r="N6552" s="1" t="str">
        <f t="shared" si="12121"/>
        <v>0</v>
      </c>
      <c r="O6552" s="1" t="str">
        <f t="shared" si="12121"/>
        <v>0</v>
      </c>
      <c r="P6552" s="1" t="str">
        <f t="shared" si="12121"/>
        <v>0</v>
      </c>
      <c r="Q6552" s="1" t="str">
        <f t="shared" si="12098"/>
        <v>0.0070</v>
      </c>
      <c r="R6552" s="1" t="s">
        <v>25</v>
      </c>
      <c r="T6552" s="1" t="str">
        <f t="shared" si="12099"/>
        <v>0</v>
      </c>
      <c r="U6552" s="1" t="str">
        <f t="shared" si="12107"/>
        <v>0.0070</v>
      </c>
    </row>
    <row r="6553" s="1" customFormat="1" spans="1:21">
      <c r="A6553" s="1" t="str">
        <f>"4601992279739"</f>
        <v>4601992279739</v>
      </c>
      <c r="B6553" s="1" t="s">
        <v>6576</v>
      </c>
      <c r="C6553" s="1" t="s">
        <v>24</v>
      </c>
      <c r="D6553" s="1" t="str">
        <f t="shared" si="12096"/>
        <v>2021</v>
      </c>
      <c r="E6553" s="1" t="str">
        <f t="shared" ref="E6553:P6553" si="12122">"0"</f>
        <v>0</v>
      </c>
      <c r="F6553" s="1" t="str">
        <f t="shared" si="12122"/>
        <v>0</v>
      </c>
      <c r="G6553" s="1" t="str">
        <f t="shared" si="12122"/>
        <v>0</v>
      </c>
      <c r="H6553" s="1" t="str">
        <f t="shared" si="12122"/>
        <v>0</v>
      </c>
      <c r="I6553" s="1" t="str">
        <f t="shared" si="12122"/>
        <v>0</v>
      </c>
      <c r="J6553" s="1" t="str">
        <f t="shared" si="12122"/>
        <v>0</v>
      </c>
      <c r="K6553" s="1" t="str">
        <f t="shared" si="12122"/>
        <v>0</v>
      </c>
      <c r="L6553" s="1" t="str">
        <f t="shared" si="12122"/>
        <v>0</v>
      </c>
      <c r="M6553" s="1" t="str">
        <f t="shared" si="12122"/>
        <v>0</v>
      </c>
      <c r="N6553" s="1" t="str">
        <f t="shared" si="12122"/>
        <v>0</v>
      </c>
      <c r="O6553" s="1" t="str">
        <f t="shared" si="12122"/>
        <v>0</v>
      </c>
      <c r="P6553" s="1" t="str">
        <f t="shared" si="12122"/>
        <v>0</v>
      </c>
      <c r="Q6553" s="1" t="str">
        <f t="shared" si="12098"/>
        <v>0.0070</v>
      </c>
      <c r="R6553" s="1" t="s">
        <v>25</v>
      </c>
      <c r="T6553" s="1" t="str">
        <f t="shared" si="12099"/>
        <v>0</v>
      </c>
      <c r="U6553" s="1" t="str">
        <f t="shared" si="12107"/>
        <v>0.0070</v>
      </c>
    </row>
    <row r="6554" s="1" customFormat="1" spans="1:21">
      <c r="A6554" s="1" t="str">
        <f>"4601992279762"</f>
        <v>4601992279762</v>
      </c>
      <c r="B6554" s="1" t="s">
        <v>6577</v>
      </c>
      <c r="C6554" s="1" t="s">
        <v>24</v>
      </c>
      <c r="D6554" s="1" t="str">
        <f t="shared" si="12096"/>
        <v>2021</v>
      </c>
      <c r="E6554" s="1" t="str">
        <f t="shared" ref="E6554:P6554" si="12123">"0"</f>
        <v>0</v>
      </c>
      <c r="F6554" s="1" t="str">
        <f t="shared" si="12123"/>
        <v>0</v>
      </c>
      <c r="G6554" s="1" t="str">
        <f t="shared" si="12123"/>
        <v>0</v>
      </c>
      <c r="H6554" s="1" t="str">
        <f t="shared" si="12123"/>
        <v>0</v>
      </c>
      <c r="I6554" s="1" t="str">
        <f t="shared" si="12123"/>
        <v>0</v>
      </c>
      <c r="J6554" s="1" t="str">
        <f t="shared" si="12123"/>
        <v>0</v>
      </c>
      <c r="K6554" s="1" t="str">
        <f t="shared" si="12123"/>
        <v>0</v>
      </c>
      <c r="L6554" s="1" t="str">
        <f t="shared" si="12123"/>
        <v>0</v>
      </c>
      <c r="M6554" s="1" t="str">
        <f t="shared" si="12123"/>
        <v>0</v>
      </c>
      <c r="N6554" s="1" t="str">
        <f t="shared" si="12123"/>
        <v>0</v>
      </c>
      <c r="O6554" s="1" t="str">
        <f t="shared" si="12123"/>
        <v>0</v>
      </c>
      <c r="P6554" s="1" t="str">
        <f t="shared" si="12123"/>
        <v>0</v>
      </c>
      <c r="Q6554" s="1" t="str">
        <f t="shared" si="12098"/>
        <v>0.0070</v>
      </c>
      <c r="R6554" s="1" t="s">
        <v>25</v>
      </c>
      <c r="T6554" s="1" t="str">
        <f t="shared" si="12099"/>
        <v>0</v>
      </c>
      <c r="U6554" s="1" t="str">
        <f t="shared" si="12107"/>
        <v>0.0070</v>
      </c>
    </row>
    <row r="6555" s="1" customFormat="1" spans="1:21">
      <c r="A6555" s="1" t="str">
        <f>"4601992279681"</f>
        <v>4601992279681</v>
      </c>
      <c r="B6555" s="1" t="s">
        <v>6578</v>
      </c>
      <c r="C6555" s="1" t="s">
        <v>24</v>
      </c>
      <c r="D6555" s="1" t="str">
        <f t="shared" si="12096"/>
        <v>2021</v>
      </c>
      <c r="E6555" s="1" t="str">
        <f t="shared" ref="E6555:P6555" si="12124">"0"</f>
        <v>0</v>
      </c>
      <c r="F6555" s="1" t="str">
        <f t="shared" si="12124"/>
        <v>0</v>
      </c>
      <c r="G6555" s="1" t="str">
        <f t="shared" si="12124"/>
        <v>0</v>
      </c>
      <c r="H6555" s="1" t="str">
        <f t="shared" si="12124"/>
        <v>0</v>
      </c>
      <c r="I6555" s="1" t="str">
        <f t="shared" si="12124"/>
        <v>0</v>
      </c>
      <c r="J6555" s="1" t="str">
        <f t="shared" si="12124"/>
        <v>0</v>
      </c>
      <c r="K6555" s="1" t="str">
        <f t="shared" si="12124"/>
        <v>0</v>
      </c>
      <c r="L6555" s="1" t="str">
        <f t="shared" si="12124"/>
        <v>0</v>
      </c>
      <c r="M6555" s="1" t="str">
        <f t="shared" si="12124"/>
        <v>0</v>
      </c>
      <c r="N6555" s="1" t="str">
        <f t="shared" si="12124"/>
        <v>0</v>
      </c>
      <c r="O6555" s="1" t="str">
        <f t="shared" si="12124"/>
        <v>0</v>
      </c>
      <c r="P6555" s="1" t="str">
        <f t="shared" si="12124"/>
        <v>0</v>
      </c>
      <c r="Q6555" s="1" t="str">
        <f t="shared" si="12098"/>
        <v>0.0070</v>
      </c>
      <c r="R6555" s="1" t="s">
        <v>25</v>
      </c>
      <c r="T6555" s="1" t="str">
        <f t="shared" si="12099"/>
        <v>0</v>
      </c>
      <c r="U6555" s="1" t="str">
        <f t="shared" si="12107"/>
        <v>0.0070</v>
      </c>
    </row>
    <row r="6556" s="1" customFormat="1" spans="1:21">
      <c r="A6556" s="1" t="str">
        <f>"4601992279781"</f>
        <v>4601992279781</v>
      </c>
      <c r="B6556" s="1" t="s">
        <v>6579</v>
      </c>
      <c r="C6556" s="1" t="s">
        <v>24</v>
      </c>
      <c r="D6556" s="1" t="str">
        <f t="shared" si="12096"/>
        <v>2021</v>
      </c>
      <c r="E6556" s="1" t="str">
        <f t="shared" ref="E6556:P6556" si="12125">"0"</f>
        <v>0</v>
      </c>
      <c r="F6556" s="1" t="str">
        <f t="shared" si="12125"/>
        <v>0</v>
      </c>
      <c r="G6556" s="1" t="str">
        <f t="shared" si="12125"/>
        <v>0</v>
      </c>
      <c r="H6556" s="1" t="str">
        <f t="shared" si="12125"/>
        <v>0</v>
      </c>
      <c r="I6556" s="1" t="str">
        <f t="shared" si="12125"/>
        <v>0</v>
      </c>
      <c r="J6556" s="1" t="str">
        <f t="shared" si="12125"/>
        <v>0</v>
      </c>
      <c r="K6556" s="1" t="str">
        <f t="shared" si="12125"/>
        <v>0</v>
      </c>
      <c r="L6556" s="1" t="str">
        <f t="shared" si="12125"/>
        <v>0</v>
      </c>
      <c r="M6556" s="1" t="str">
        <f t="shared" si="12125"/>
        <v>0</v>
      </c>
      <c r="N6556" s="1" t="str">
        <f t="shared" si="12125"/>
        <v>0</v>
      </c>
      <c r="O6556" s="1" t="str">
        <f t="shared" si="12125"/>
        <v>0</v>
      </c>
      <c r="P6556" s="1" t="str">
        <f t="shared" si="12125"/>
        <v>0</v>
      </c>
      <c r="Q6556" s="1" t="str">
        <f t="shared" si="12098"/>
        <v>0.0070</v>
      </c>
      <c r="R6556" s="1" t="s">
        <v>25</v>
      </c>
      <c r="T6556" s="1" t="str">
        <f t="shared" si="12099"/>
        <v>0</v>
      </c>
      <c r="U6556" s="1" t="str">
        <f t="shared" si="12107"/>
        <v>0.0070</v>
      </c>
    </row>
    <row r="6557" s="1" customFormat="1" spans="1:21">
      <c r="A6557" s="1" t="str">
        <f>"4601992279793"</f>
        <v>4601992279793</v>
      </c>
      <c r="B6557" s="1" t="s">
        <v>6580</v>
      </c>
      <c r="C6557" s="1" t="s">
        <v>24</v>
      </c>
      <c r="D6557" s="1" t="str">
        <f t="shared" si="12096"/>
        <v>2021</v>
      </c>
      <c r="E6557" s="1" t="str">
        <f t="shared" ref="E6557:P6557" si="12126">"0"</f>
        <v>0</v>
      </c>
      <c r="F6557" s="1" t="str">
        <f t="shared" si="12126"/>
        <v>0</v>
      </c>
      <c r="G6557" s="1" t="str">
        <f t="shared" si="12126"/>
        <v>0</v>
      </c>
      <c r="H6557" s="1" t="str">
        <f t="shared" si="12126"/>
        <v>0</v>
      </c>
      <c r="I6557" s="1" t="str">
        <f t="shared" si="12126"/>
        <v>0</v>
      </c>
      <c r="J6557" s="1" t="str">
        <f t="shared" si="12126"/>
        <v>0</v>
      </c>
      <c r="K6557" s="1" t="str">
        <f t="shared" si="12126"/>
        <v>0</v>
      </c>
      <c r="L6557" s="1" t="str">
        <f t="shared" si="12126"/>
        <v>0</v>
      </c>
      <c r="M6557" s="1" t="str">
        <f t="shared" si="12126"/>
        <v>0</v>
      </c>
      <c r="N6557" s="1" t="str">
        <f t="shared" si="12126"/>
        <v>0</v>
      </c>
      <c r="O6557" s="1" t="str">
        <f t="shared" si="12126"/>
        <v>0</v>
      </c>
      <c r="P6557" s="1" t="str">
        <f t="shared" si="12126"/>
        <v>0</v>
      </c>
      <c r="Q6557" s="1" t="str">
        <f t="shared" si="12098"/>
        <v>0.0070</v>
      </c>
      <c r="R6557" s="1" t="s">
        <v>25</v>
      </c>
      <c r="T6557" s="1" t="str">
        <f t="shared" si="12099"/>
        <v>0</v>
      </c>
      <c r="U6557" s="1" t="str">
        <f t="shared" si="12107"/>
        <v>0.0070</v>
      </c>
    </row>
    <row r="6558" s="1" customFormat="1" spans="1:21">
      <c r="A6558" s="1" t="str">
        <f>"4601992279829"</f>
        <v>4601992279829</v>
      </c>
      <c r="B6558" s="1" t="s">
        <v>6581</v>
      </c>
      <c r="C6558" s="1" t="s">
        <v>24</v>
      </c>
      <c r="D6558" s="1" t="str">
        <f t="shared" si="12096"/>
        <v>2021</v>
      </c>
      <c r="E6558" s="1" t="str">
        <f t="shared" ref="E6558:P6558" si="12127">"0"</f>
        <v>0</v>
      </c>
      <c r="F6558" s="1" t="str">
        <f t="shared" si="12127"/>
        <v>0</v>
      </c>
      <c r="G6558" s="1" t="str">
        <f t="shared" si="12127"/>
        <v>0</v>
      </c>
      <c r="H6558" s="1" t="str">
        <f t="shared" si="12127"/>
        <v>0</v>
      </c>
      <c r="I6558" s="1" t="str">
        <f t="shared" si="12127"/>
        <v>0</v>
      </c>
      <c r="J6558" s="1" t="str">
        <f t="shared" si="12127"/>
        <v>0</v>
      </c>
      <c r="K6558" s="1" t="str">
        <f t="shared" si="12127"/>
        <v>0</v>
      </c>
      <c r="L6558" s="1" t="str">
        <f t="shared" si="12127"/>
        <v>0</v>
      </c>
      <c r="M6558" s="1" t="str">
        <f t="shared" si="12127"/>
        <v>0</v>
      </c>
      <c r="N6558" s="1" t="str">
        <f t="shared" si="12127"/>
        <v>0</v>
      </c>
      <c r="O6558" s="1" t="str">
        <f t="shared" si="12127"/>
        <v>0</v>
      </c>
      <c r="P6558" s="1" t="str">
        <f t="shared" si="12127"/>
        <v>0</v>
      </c>
      <c r="Q6558" s="1" t="str">
        <f t="shared" si="12098"/>
        <v>0.0070</v>
      </c>
      <c r="R6558" s="1" t="s">
        <v>25</v>
      </c>
      <c r="T6558" s="1" t="str">
        <f t="shared" si="12099"/>
        <v>0</v>
      </c>
      <c r="U6558" s="1" t="str">
        <f t="shared" si="12107"/>
        <v>0.0070</v>
      </c>
    </row>
    <row r="6559" s="1" customFormat="1" spans="1:21">
      <c r="A6559" s="1" t="str">
        <f>"4601992279867"</f>
        <v>4601992279867</v>
      </c>
      <c r="B6559" s="1" t="s">
        <v>6582</v>
      </c>
      <c r="C6559" s="1" t="s">
        <v>24</v>
      </c>
      <c r="D6559" s="1" t="str">
        <f t="shared" si="12096"/>
        <v>2021</v>
      </c>
      <c r="E6559" s="1" t="str">
        <f t="shared" ref="E6559:P6559" si="12128">"0"</f>
        <v>0</v>
      </c>
      <c r="F6559" s="1" t="str">
        <f t="shared" si="12128"/>
        <v>0</v>
      </c>
      <c r="G6559" s="1" t="str">
        <f t="shared" si="12128"/>
        <v>0</v>
      </c>
      <c r="H6559" s="1" t="str">
        <f t="shared" si="12128"/>
        <v>0</v>
      </c>
      <c r="I6559" s="1" t="str">
        <f t="shared" si="12128"/>
        <v>0</v>
      </c>
      <c r="J6559" s="1" t="str">
        <f t="shared" si="12128"/>
        <v>0</v>
      </c>
      <c r="K6559" s="1" t="str">
        <f t="shared" si="12128"/>
        <v>0</v>
      </c>
      <c r="L6559" s="1" t="str">
        <f t="shared" si="12128"/>
        <v>0</v>
      </c>
      <c r="M6559" s="1" t="str">
        <f t="shared" si="12128"/>
        <v>0</v>
      </c>
      <c r="N6559" s="1" t="str">
        <f t="shared" si="12128"/>
        <v>0</v>
      </c>
      <c r="O6559" s="1" t="str">
        <f t="shared" si="12128"/>
        <v>0</v>
      </c>
      <c r="P6559" s="1" t="str">
        <f t="shared" si="12128"/>
        <v>0</v>
      </c>
      <c r="Q6559" s="1" t="str">
        <f t="shared" si="12098"/>
        <v>0.0070</v>
      </c>
      <c r="R6559" s="1" t="s">
        <v>25</v>
      </c>
      <c r="T6559" s="1" t="str">
        <f t="shared" si="12099"/>
        <v>0</v>
      </c>
      <c r="U6559" s="1" t="str">
        <f t="shared" si="12107"/>
        <v>0.0070</v>
      </c>
    </row>
    <row r="6560" s="1" customFormat="1" spans="1:21">
      <c r="A6560" s="1" t="str">
        <f>"4601992280057"</f>
        <v>4601992280057</v>
      </c>
      <c r="B6560" s="1" t="s">
        <v>6583</v>
      </c>
      <c r="C6560" s="1" t="s">
        <v>24</v>
      </c>
      <c r="D6560" s="1" t="str">
        <f t="shared" si="12096"/>
        <v>2021</v>
      </c>
      <c r="E6560" s="1" t="str">
        <f t="shared" ref="E6560:P6560" si="12129">"0"</f>
        <v>0</v>
      </c>
      <c r="F6560" s="1" t="str">
        <f t="shared" si="12129"/>
        <v>0</v>
      </c>
      <c r="G6560" s="1" t="str">
        <f t="shared" si="12129"/>
        <v>0</v>
      </c>
      <c r="H6560" s="1" t="str">
        <f t="shared" si="12129"/>
        <v>0</v>
      </c>
      <c r="I6560" s="1" t="str">
        <f t="shared" si="12129"/>
        <v>0</v>
      </c>
      <c r="J6560" s="1" t="str">
        <f t="shared" si="12129"/>
        <v>0</v>
      </c>
      <c r="K6560" s="1" t="str">
        <f t="shared" si="12129"/>
        <v>0</v>
      </c>
      <c r="L6560" s="1" t="str">
        <f t="shared" si="12129"/>
        <v>0</v>
      </c>
      <c r="M6560" s="1" t="str">
        <f t="shared" si="12129"/>
        <v>0</v>
      </c>
      <c r="N6560" s="1" t="str">
        <f t="shared" si="12129"/>
        <v>0</v>
      </c>
      <c r="O6560" s="1" t="str">
        <f t="shared" si="12129"/>
        <v>0</v>
      </c>
      <c r="P6560" s="1" t="str">
        <f t="shared" si="12129"/>
        <v>0</v>
      </c>
      <c r="Q6560" s="1" t="str">
        <f t="shared" si="12098"/>
        <v>0.0070</v>
      </c>
      <c r="R6560" s="1" t="s">
        <v>25</v>
      </c>
      <c r="T6560" s="1" t="str">
        <f t="shared" si="12099"/>
        <v>0</v>
      </c>
      <c r="U6560" s="1" t="str">
        <f t="shared" si="12107"/>
        <v>0.0070</v>
      </c>
    </row>
    <row r="6561" s="1" customFormat="1" spans="1:21">
      <c r="A6561" s="1" t="str">
        <f>"4601992280049"</f>
        <v>4601992280049</v>
      </c>
      <c r="B6561" s="1" t="s">
        <v>6584</v>
      </c>
      <c r="C6561" s="1" t="s">
        <v>24</v>
      </c>
      <c r="D6561" s="1" t="str">
        <f t="shared" si="12096"/>
        <v>2021</v>
      </c>
      <c r="E6561" s="1" t="str">
        <f t="shared" ref="E6561:P6561" si="12130">"0"</f>
        <v>0</v>
      </c>
      <c r="F6561" s="1" t="str">
        <f t="shared" si="12130"/>
        <v>0</v>
      </c>
      <c r="G6561" s="1" t="str">
        <f t="shared" si="12130"/>
        <v>0</v>
      </c>
      <c r="H6561" s="1" t="str">
        <f t="shared" si="12130"/>
        <v>0</v>
      </c>
      <c r="I6561" s="1" t="str">
        <f t="shared" si="12130"/>
        <v>0</v>
      </c>
      <c r="J6561" s="1" t="str">
        <f t="shared" si="12130"/>
        <v>0</v>
      </c>
      <c r="K6561" s="1" t="str">
        <f t="shared" si="12130"/>
        <v>0</v>
      </c>
      <c r="L6561" s="1" t="str">
        <f t="shared" si="12130"/>
        <v>0</v>
      </c>
      <c r="M6561" s="1" t="str">
        <f t="shared" si="12130"/>
        <v>0</v>
      </c>
      <c r="N6561" s="1" t="str">
        <f t="shared" si="12130"/>
        <v>0</v>
      </c>
      <c r="O6561" s="1" t="str">
        <f t="shared" si="12130"/>
        <v>0</v>
      </c>
      <c r="P6561" s="1" t="str">
        <f t="shared" si="12130"/>
        <v>0</v>
      </c>
      <c r="Q6561" s="1" t="str">
        <f t="shared" si="12098"/>
        <v>0.0070</v>
      </c>
      <c r="R6561" s="1" t="s">
        <v>25</v>
      </c>
      <c r="T6561" s="1" t="str">
        <f t="shared" si="12099"/>
        <v>0</v>
      </c>
      <c r="U6561" s="1" t="str">
        <f t="shared" si="12107"/>
        <v>0.0070</v>
      </c>
    </row>
    <row r="6562" s="1" customFormat="1" spans="1:21">
      <c r="A6562" s="1" t="str">
        <f>"4601992279805"</f>
        <v>4601992279805</v>
      </c>
      <c r="B6562" s="1" t="s">
        <v>6585</v>
      </c>
      <c r="C6562" s="1" t="s">
        <v>24</v>
      </c>
      <c r="D6562" s="1" t="str">
        <f t="shared" si="12096"/>
        <v>2021</v>
      </c>
      <c r="E6562" s="1" t="str">
        <f t="shared" ref="E6562:I6562" si="12131">"0"</f>
        <v>0</v>
      </c>
      <c r="F6562" s="1" t="str">
        <f t="shared" si="12131"/>
        <v>0</v>
      </c>
      <c r="G6562" s="1" t="str">
        <f t="shared" si="12131"/>
        <v>0</v>
      </c>
      <c r="H6562" s="1" t="str">
        <f t="shared" si="12131"/>
        <v>0</v>
      </c>
      <c r="I6562" s="1" t="str">
        <f t="shared" si="12131"/>
        <v>0</v>
      </c>
      <c r="J6562" s="1" t="str">
        <f>"3"</f>
        <v>3</v>
      </c>
      <c r="K6562" s="1" t="str">
        <f t="shared" ref="K6562:P6562" si="12132">"0"</f>
        <v>0</v>
      </c>
      <c r="L6562" s="1" t="str">
        <f t="shared" si="12132"/>
        <v>0</v>
      </c>
      <c r="M6562" s="1" t="str">
        <f t="shared" si="12132"/>
        <v>0</v>
      </c>
      <c r="N6562" s="1" t="str">
        <f t="shared" si="12132"/>
        <v>0</v>
      </c>
      <c r="O6562" s="1" t="str">
        <f t="shared" si="12132"/>
        <v>0</v>
      </c>
      <c r="P6562" s="1" t="str">
        <f t="shared" si="12132"/>
        <v>0</v>
      </c>
      <c r="Q6562" s="1" t="str">
        <f t="shared" si="12098"/>
        <v>0.0070</v>
      </c>
      <c r="R6562" s="1" t="s">
        <v>25</v>
      </c>
      <c r="T6562" s="1" t="str">
        <f t="shared" si="12099"/>
        <v>0</v>
      </c>
      <c r="U6562" s="1" t="str">
        <f t="shared" si="12107"/>
        <v>0.0070</v>
      </c>
    </row>
    <row r="6563" s="1" customFormat="1" spans="1:21">
      <c r="A6563" s="1" t="str">
        <f>"4601992280281"</f>
        <v>4601992280281</v>
      </c>
      <c r="B6563" s="1" t="s">
        <v>6586</v>
      </c>
      <c r="C6563" s="1" t="s">
        <v>24</v>
      </c>
      <c r="D6563" s="1" t="str">
        <f t="shared" si="12096"/>
        <v>2021</v>
      </c>
      <c r="E6563" s="1" t="str">
        <f t="shared" ref="E6563:P6563" si="12133">"0"</f>
        <v>0</v>
      </c>
      <c r="F6563" s="1" t="str">
        <f t="shared" si="12133"/>
        <v>0</v>
      </c>
      <c r="G6563" s="1" t="str">
        <f t="shared" si="12133"/>
        <v>0</v>
      </c>
      <c r="H6563" s="1" t="str">
        <f t="shared" si="12133"/>
        <v>0</v>
      </c>
      <c r="I6563" s="1" t="str">
        <f t="shared" si="12133"/>
        <v>0</v>
      </c>
      <c r="J6563" s="1" t="str">
        <f t="shared" si="12133"/>
        <v>0</v>
      </c>
      <c r="K6563" s="1" t="str">
        <f t="shared" si="12133"/>
        <v>0</v>
      </c>
      <c r="L6563" s="1" t="str">
        <f t="shared" si="12133"/>
        <v>0</v>
      </c>
      <c r="M6563" s="1" t="str">
        <f t="shared" si="12133"/>
        <v>0</v>
      </c>
      <c r="N6563" s="1" t="str">
        <f t="shared" si="12133"/>
        <v>0</v>
      </c>
      <c r="O6563" s="1" t="str">
        <f t="shared" si="12133"/>
        <v>0</v>
      </c>
      <c r="P6563" s="1" t="str">
        <f t="shared" si="12133"/>
        <v>0</v>
      </c>
      <c r="Q6563" s="1" t="str">
        <f t="shared" si="12098"/>
        <v>0.0070</v>
      </c>
      <c r="R6563" s="1" t="s">
        <v>25</v>
      </c>
      <c r="T6563" s="1" t="str">
        <f t="shared" si="12099"/>
        <v>0</v>
      </c>
      <c r="U6563" s="1" t="str">
        <f t="shared" si="12107"/>
        <v>0.0070</v>
      </c>
    </row>
    <row r="6564" s="1" customFormat="1" spans="1:21">
      <c r="A6564" s="1" t="str">
        <f>"4601992280143"</f>
        <v>4601992280143</v>
      </c>
      <c r="B6564" s="1" t="s">
        <v>6587</v>
      </c>
      <c r="C6564" s="1" t="s">
        <v>24</v>
      </c>
      <c r="D6564" s="1" t="str">
        <f t="shared" si="12096"/>
        <v>2021</v>
      </c>
      <c r="E6564" s="1" t="str">
        <f t="shared" ref="E6564:P6564" si="12134">"0"</f>
        <v>0</v>
      </c>
      <c r="F6564" s="1" t="str">
        <f t="shared" si="12134"/>
        <v>0</v>
      </c>
      <c r="G6564" s="1" t="str">
        <f t="shared" si="12134"/>
        <v>0</v>
      </c>
      <c r="H6564" s="1" t="str">
        <f t="shared" si="12134"/>
        <v>0</v>
      </c>
      <c r="I6564" s="1" t="str">
        <f t="shared" si="12134"/>
        <v>0</v>
      </c>
      <c r="J6564" s="1" t="str">
        <f t="shared" si="12134"/>
        <v>0</v>
      </c>
      <c r="K6564" s="1" t="str">
        <f t="shared" si="12134"/>
        <v>0</v>
      </c>
      <c r="L6564" s="1" t="str">
        <f t="shared" si="12134"/>
        <v>0</v>
      </c>
      <c r="M6564" s="1" t="str">
        <f t="shared" si="12134"/>
        <v>0</v>
      </c>
      <c r="N6564" s="1" t="str">
        <f t="shared" si="12134"/>
        <v>0</v>
      </c>
      <c r="O6564" s="1" t="str">
        <f t="shared" si="12134"/>
        <v>0</v>
      </c>
      <c r="P6564" s="1" t="str">
        <f t="shared" si="12134"/>
        <v>0</v>
      </c>
      <c r="Q6564" s="1" t="str">
        <f t="shared" si="12098"/>
        <v>0.0070</v>
      </c>
      <c r="R6564" s="1" t="s">
        <v>25</v>
      </c>
      <c r="T6564" s="1" t="str">
        <f t="shared" si="12099"/>
        <v>0</v>
      </c>
      <c r="U6564" s="1" t="str">
        <f t="shared" si="12107"/>
        <v>0.0070</v>
      </c>
    </row>
    <row r="6565" s="1" customFormat="1" spans="1:21">
      <c r="A6565" s="1" t="str">
        <f>"4601992280455"</f>
        <v>4601992280455</v>
      </c>
      <c r="B6565" s="1" t="s">
        <v>6588</v>
      </c>
      <c r="C6565" s="1" t="s">
        <v>24</v>
      </c>
      <c r="D6565" s="1" t="str">
        <f t="shared" si="12096"/>
        <v>2021</v>
      </c>
      <c r="E6565" s="1" t="str">
        <f t="shared" ref="E6565:P6565" si="12135">"0"</f>
        <v>0</v>
      </c>
      <c r="F6565" s="1" t="str">
        <f t="shared" si="12135"/>
        <v>0</v>
      </c>
      <c r="G6565" s="1" t="str">
        <f t="shared" si="12135"/>
        <v>0</v>
      </c>
      <c r="H6565" s="1" t="str">
        <f t="shared" si="12135"/>
        <v>0</v>
      </c>
      <c r="I6565" s="1" t="str">
        <f t="shared" si="12135"/>
        <v>0</v>
      </c>
      <c r="J6565" s="1" t="str">
        <f t="shared" si="12135"/>
        <v>0</v>
      </c>
      <c r="K6565" s="1" t="str">
        <f t="shared" si="12135"/>
        <v>0</v>
      </c>
      <c r="L6565" s="1" t="str">
        <f t="shared" si="12135"/>
        <v>0</v>
      </c>
      <c r="M6565" s="1" t="str">
        <f t="shared" si="12135"/>
        <v>0</v>
      </c>
      <c r="N6565" s="1" t="str">
        <f t="shared" si="12135"/>
        <v>0</v>
      </c>
      <c r="O6565" s="1" t="str">
        <f t="shared" si="12135"/>
        <v>0</v>
      </c>
      <c r="P6565" s="1" t="str">
        <f t="shared" si="12135"/>
        <v>0</v>
      </c>
      <c r="Q6565" s="1" t="str">
        <f t="shared" si="12098"/>
        <v>0.0070</v>
      </c>
      <c r="R6565" s="1" t="s">
        <v>25</v>
      </c>
      <c r="T6565" s="1" t="str">
        <f t="shared" si="12099"/>
        <v>0</v>
      </c>
      <c r="U6565" s="1" t="str">
        <f t="shared" si="12107"/>
        <v>0.0070</v>
      </c>
    </row>
    <row r="6566" s="1" customFormat="1" spans="1:21">
      <c r="A6566" s="1" t="str">
        <f>"4601992280502"</f>
        <v>4601992280502</v>
      </c>
      <c r="B6566" s="1" t="s">
        <v>6589</v>
      </c>
      <c r="C6566" s="1" t="s">
        <v>24</v>
      </c>
      <c r="D6566" s="1" t="str">
        <f t="shared" si="12096"/>
        <v>2021</v>
      </c>
      <c r="E6566" s="1" t="str">
        <f t="shared" ref="E6566:P6566" si="12136">"0"</f>
        <v>0</v>
      </c>
      <c r="F6566" s="1" t="str">
        <f t="shared" si="12136"/>
        <v>0</v>
      </c>
      <c r="G6566" s="1" t="str">
        <f t="shared" si="12136"/>
        <v>0</v>
      </c>
      <c r="H6566" s="1" t="str">
        <f t="shared" si="12136"/>
        <v>0</v>
      </c>
      <c r="I6566" s="1" t="str">
        <f t="shared" si="12136"/>
        <v>0</v>
      </c>
      <c r="J6566" s="1" t="str">
        <f t="shared" si="12136"/>
        <v>0</v>
      </c>
      <c r="K6566" s="1" t="str">
        <f t="shared" si="12136"/>
        <v>0</v>
      </c>
      <c r="L6566" s="1" t="str">
        <f t="shared" si="12136"/>
        <v>0</v>
      </c>
      <c r="M6566" s="1" t="str">
        <f t="shared" si="12136"/>
        <v>0</v>
      </c>
      <c r="N6566" s="1" t="str">
        <f t="shared" si="12136"/>
        <v>0</v>
      </c>
      <c r="O6566" s="1" t="str">
        <f t="shared" si="12136"/>
        <v>0</v>
      </c>
      <c r="P6566" s="1" t="str">
        <f t="shared" si="12136"/>
        <v>0</v>
      </c>
      <c r="Q6566" s="1" t="str">
        <f t="shared" si="12098"/>
        <v>0.0070</v>
      </c>
      <c r="R6566" s="1" t="s">
        <v>25</v>
      </c>
      <c r="T6566" s="1" t="str">
        <f t="shared" si="12099"/>
        <v>0</v>
      </c>
      <c r="U6566" s="1" t="str">
        <f t="shared" si="12107"/>
        <v>0.0070</v>
      </c>
    </row>
    <row r="6567" s="1" customFormat="1" spans="1:21">
      <c r="A6567" s="1" t="str">
        <f>"4601992280526"</f>
        <v>4601992280526</v>
      </c>
      <c r="B6567" s="1" t="s">
        <v>6590</v>
      </c>
      <c r="C6567" s="1" t="s">
        <v>24</v>
      </c>
      <c r="D6567" s="1" t="str">
        <f t="shared" si="12096"/>
        <v>2021</v>
      </c>
      <c r="E6567" s="1" t="str">
        <f t="shared" ref="E6567:P6567" si="12137">"0"</f>
        <v>0</v>
      </c>
      <c r="F6567" s="1" t="str">
        <f t="shared" si="12137"/>
        <v>0</v>
      </c>
      <c r="G6567" s="1" t="str">
        <f t="shared" si="12137"/>
        <v>0</v>
      </c>
      <c r="H6567" s="1" t="str">
        <f t="shared" si="12137"/>
        <v>0</v>
      </c>
      <c r="I6567" s="1" t="str">
        <f t="shared" si="12137"/>
        <v>0</v>
      </c>
      <c r="J6567" s="1" t="str">
        <f t="shared" si="12137"/>
        <v>0</v>
      </c>
      <c r="K6567" s="1" t="str">
        <f t="shared" si="12137"/>
        <v>0</v>
      </c>
      <c r="L6567" s="1" t="str">
        <f t="shared" si="12137"/>
        <v>0</v>
      </c>
      <c r="M6567" s="1" t="str">
        <f t="shared" si="12137"/>
        <v>0</v>
      </c>
      <c r="N6567" s="1" t="str">
        <f t="shared" si="12137"/>
        <v>0</v>
      </c>
      <c r="O6567" s="1" t="str">
        <f t="shared" si="12137"/>
        <v>0</v>
      </c>
      <c r="P6567" s="1" t="str">
        <f t="shared" si="12137"/>
        <v>0</v>
      </c>
      <c r="Q6567" s="1" t="str">
        <f t="shared" si="12098"/>
        <v>0.0070</v>
      </c>
      <c r="R6567" s="1" t="s">
        <v>25</v>
      </c>
      <c r="T6567" s="1" t="str">
        <f t="shared" si="12099"/>
        <v>0</v>
      </c>
      <c r="U6567" s="1" t="str">
        <f t="shared" si="12107"/>
        <v>0.0070</v>
      </c>
    </row>
    <row r="6568" s="1" customFormat="1" spans="1:21">
      <c r="A6568" s="1" t="str">
        <f>"4601992280650"</f>
        <v>4601992280650</v>
      </c>
      <c r="B6568" s="1" t="s">
        <v>6591</v>
      </c>
      <c r="C6568" s="1" t="s">
        <v>24</v>
      </c>
      <c r="D6568" s="1" t="str">
        <f t="shared" si="12096"/>
        <v>2021</v>
      </c>
      <c r="E6568" s="1" t="str">
        <f t="shared" ref="E6568:P6568" si="12138">"0"</f>
        <v>0</v>
      </c>
      <c r="F6568" s="1" t="str">
        <f t="shared" si="12138"/>
        <v>0</v>
      </c>
      <c r="G6568" s="1" t="str">
        <f t="shared" si="12138"/>
        <v>0</v>
      </c>
      <c r="H6568" s="1" t="str">
        <f t="shared" si="12138"/>
        <v>0</v>
      </c>
      <c r="I6568" s="1" t="str">
        <f t="shared" si="12138"/>
        <v>0</v>
      </c>
      <c r="J6568" s="1" t="str">
        <f t="shared" si="12138"/>
        <v>0</v>
      </c>
      <c r="K6568" s="1" t="str">
        <f t="shared" si="12138"/>
        <v>0</v>
      </c>
      <c r="L6568" s="1" t="str">
        <f t="shared" si="12138"/>
        <v>0</v>
      </c>
      <c r="M6568" s="1" t="str">
        <f t="shared" si="12138"/>
        <v>0</v>
      </c>
      <c r="N6568" s="1" t="str">
        <f t="shared" si="12138"/>
        <v>0</v>
      </c>
      <c r="O6568" s="1" t="str">
        <f t="shared" si="12138"/>
        <v>0</v>
      </c>
      <c r="P6568" s="1" t="str">
        <f t="shared" si="12138"/>
        <v>0</v>
      </c>
      <c r="Q6568" s="1" t="str">
        <f t="shared" si="12098"/>
        <v>0.0070</v>
      </c>
      <c r="R6568" s="1" t="s">
        <v>25</v>
      </c>
      <c r="T6568" s="1" t="str">
        <f t="shared" si="12099"/>
        <v>0</v>
      </c>
      <c r="U6568" s="1" t="str">
        <f t="shared" si="12107"/>
        <v>0.0070</v>
      </c>
    </row>
    <row r="6569" s="1" customFormat="1" spans="1:21">
      <c r="A6569" s="1" t="str">
        <f>"4601992281200"</f>
        <v>4601992281200</v>
      </c>
      <c r="B6569" s="1" t="s">
        <v>6592</v>
      </c>
      <c r="C6569" s="1" t="s">
        <v>24</v>
      </c>
      <c r="D6569" s="1" t="str">
        <f t="shared" si="12096"/>
        <v>2021</v>
      </c>
      <c r="E6569" s="1" t="str">
        <f t="shared" ref="E6569:P6569" si="12139">"0"</f>
        <v>0</v>
      </c>
      <c r="F6569" s="1" t="str">
        <f t="shared" si="12139"/>
        <v>0</v>
      </c>
      <c r="G6569" s="1" t="str">
        <f t="shared" si="12139"/>
        <v>0</v>
      </c>
      <c r="H6569" s="1" t="str">
        <f t="shared" si="12139"/>
        <v>0</v>
      </c>
      <c r="I6569" s="1" t="str">
        <f t="shared" si="12139"/>
        <v>0</v>
      </c>
      <c r="J6569" s="1" t="str">
        <f t="shared" si="12139"/>
        <v>0</v>
      </c>
      <c r="K6569" s="1" t="str">
        <f t="shared" si="12139"/>
        <v>0</v>
      </c>
      <c r="L6569" s="1" t="str">
        <f t="shared" si="12139"/>
        <v>0</v>
      </c>
      <c r="M6569" s="1" t="str">
        <f t="shared" si="12139"/>
        <v>0</v>
      </c>
      <c r="N6569" s="1" t="str">
        <f t="shared" si="12139"/>
        <v>0</v>
      </c>
      <c r="O6569" s="1" t="str">
        <f t="shared" si="12139"/>
        <v>0</v>
      </c>
      <c r="P6569" s="1" t="str">
        <f t="shared" si="12139"/>
        <v>0</v>
      </c>
      <c r="Q6569" s="1" t="str">
        <f t="shared" si="12098"/>
        <v>0.0070</v>
      </c>
      <c r="R6569" s="1" t="s">
        <v>25</v>
      </c>
      <c r="T6569" s="1" t="str">
        <f t="shared" si="12099"/>
        <v>0</v>
      </c>
      <c r="U6569" s="1" t="str">
        <f t="shared" si="12107"/>
        <v>0.0070</v>
      </c>
    </row>
    <row r="6570" s="1" customFormat="1" spans="1:21">
      <c r="A6570" s="1" t="str">
        <f>"4601992280609"</f>
        <v>4601992280609</v>
      </c>
      <c r="B6570" s="1" t="s">
        <v>6593</v>
      </c>
      <c r="C6570" s="1" t="s">
        <v>24</v>
      </c>
      <c r="D6570" s="1" t="str">
        <f t="shared" si="12096"/>
        <v>2021</v>
      </c>
      <c r="E6570" s="1" t="str">
        <f t="shared" ref="E6570:P6570" si="12140">"0"</f>
        <v>0</v>
      </c>
      <c r="F6570" s="1" t="str">
        <f t="shared" si="12140"/>
        <v>0</v>
      </c>
      <c r="G6570" s="1" t="str">
        <f t="shared" si="12140"/>
        <v>0</v>
      </c>
      <c r="H6570" s="1" t="str">
        <f t="shared" si="12140"/>
        <v>0</v>
      </c>
      <c r="I6570" s="1" t="str">
        <f t="shared" si="12140"/>
        <v>0</v>
      </c>
      <c r="J6570" s="1" t="str">
        <f t="shared" si="12140"/>
        <v>0</v>
      </c>
      <c r="K6570" s="1" t="str">
        <f t="shared" si="12140"/>
        <v>0</v>
      </c>
      <c r="L6570" s="1" t="str">
        <f t="shared" si="12140"/>
        <v>0</v>
      </c>
      <c r="M6570" s="1" t="str">
        <f t="shared" si="12140"/>
        <v>0</v>
      </c>
      <c r="N6570" s="1" t="str">
        <f t="shared" si="12140"/>
        <v>0</v>
      </c>
      <c r="O6570" s="1" t="str">
        <f t="shared" si="12140"/>
        <v>0</v>
      </c>
      <c r="P6570" s="1" t="str">
        <f t="shared" si="12140"/>
        <v>0</v>
      </c>
      <c r="Q6570" s="1" t="str">
        <f t="shared" si="12098"/>
        <v>0.0070</v>
      </c>
      <c r="R6570" s="1" t="s">
        <v>25</v>
      </c>
      <c r="T6570" s="1" t="str">
        <f t="shared" si="12099"/>
        <v>0</v>
      </c>
      <c r="U6570" s="1" t="str">
        <f t="shared" si="12107"/>
        <v>0.0070</v>
      </c>
    </row>
    <row r="6571" s="1" customFormat="1" spans="1:21">
      <c r="A6571" s="1" t="str">
        <f>"4601992281217"</f>
        <v>4601992281217</v>
      </c>
      <c r="B6571" s="1" t="s">
        <v>6594</v>
      </c>
      <c r="C6571" s="1" t="s">
        <v>24</v>
      </c>
      <c r="D6571" s="1" t="str">
        <f t="shared" si="12096"/>
        <v>2021</v>
      </c>
      <c r="E6571" s="1" t="str">
        <f t="shared" ref="E6571:P6571" si="12141">"0"</f>
        <v>0</v>
      </c>
      <c r="F6571" s="1" t="str">
        <f t="shared" si="12141"/>
        <v>0</v>
      </c>
      <c r="G6571" s="1" t="str">
        <f t="shared" si="12141"/>
        <v>0</v>
      </c>
      <c r="H6571" s="1" t="str">
        <f t="shared" si="12141"/>
        <v>0</v>
      </c>
      <c r="I6571" s="1" t="str">
        <f t="shared" si="12141"/>
        <v>0</v>
      </c>
      <c r="J6571" s="1" t="str">
        <f t="shared" si="12141"/>
        <v>0</v>
      </c>
      <c r="K6571" s="1" t="str">
        <f t="shared" si="12141"/>
        <v>0</v>
      </c>
      <c r="L6571" s="1" t="str">
        <f t="shared" si="12141"/>
        <v>0</v>
      </c>
      <c r="M6571" s="1" t="str">
        <f t="shared" si="12141"/>
        <v>0</v>
      </c>
      <c r="N6571" s="1" t="str">
        <f t="shared" si="12141"/>
        <v>0</v>
      </c>
      <c r="O6571" s="1" t="str">
        <f t="shared" si="12141"/>
        <v>0</v>
      </c>
      <c r="P6571" s="1" t="str">
        <f t="shared" si="12141"/>
        <v>0</v>
      </c>
      <c r="Q6571" s="1" t="str">
        <f t="shared" si="12098"/>
        <v>0.0070</v>
      </c>
      <c r="R6571" s="1" t="s">
        <v>25</v>
      </c>
      <c r="T6571" s="1" t="str">
        <f t="shared" si="12099"/>
        <v>0</v>
      </c>
      <c r="U6571" s="1" t="str">
        <f t="shared" si="12107"/>
        <v>0.0070</v>
      </c>
    </row>
    <row r="6572" s="1" customFormat="1" spans="1:21">
      <c r="A6572" s="1" t="str">
        <f>"4601992281275"</f>
        <v>4601992281275</v>
      </c>
      <c r="B6572" s="1" t="s">
        <v>6595</v>
      </c>
      <c r="C6572" s="1" t="s">
        <v>24</v>
      </c>
      <c r="D6572" s="1" t="str">
        <f t="shared" si="12096"/>
        <v>2021</v>
      </c>
      <c r="E6572" s="1" t="str">
        <f t="shared" ref="E6572:P6572" si="12142">"0"</f>
        <v>0</v>
      </c>
      <c r="F6572" s="1" t="str">
        <f t="shared" si="12142"/>
        <v>0</v>
      </c>
      <c r="G6572" s="1" t="str">
        <f t="shared" si="12142"/>
        <v>0</v>
      </c>
      <c r="H6572" s="1" t="str">
        <f t="shared" si="12142"/>
        <v>0</v>
      </c>
      <c r="I6572" s="1" t="str">
        <f t="shared" si="12142"/>
        <v>0</v>
      </c>
      <c r="J6572" s="1" t="str">
        <f t="shared" si="12142"/>
        <v>0</v>
      </c>
      <c r="K6572" s="1" t="str">
        <f t="shared" si="12142"/>
        <v>0</v>
      </c>
      <c r="L6572" s="1" t="str">
        <f t="shared" si="12142"/>
        <v>0</v>
      </c>
      <c r="M6572" s="1" t="str">
        <f t="shared" si="12142"/>
        <v>0</v>
      </c>
      <c r="N6572" s="1" t="str">
        <f t="shared" si="12142"/>
        <v>0</v>
      </c>
      <c r="O6572" s="1" t="str">
        <f t="shared" si="12142"/>
        <v>0</v>
      </c>
      <c r="P6572" s="1" t="str">
        <f t="shared" si="12142"/>
        <v>0</v>
      </c>
      <c r="Q6572" s="1" t="str">
        <f t="shared" si="12098"/>
        <v>0.0070</v>
      </c>
      <c r="R6572" s="1" t="s">
        <v>25</v>
      </c>
      <c r="T6572" s="1" t="str">
        <f t="shared" si="12099"/>
        <v>0</v>
      </c>
      <c r="U6572" s="1" t="str">
        <f t="shared" si="12107"/>
        <v>0.0070</v>
      </c>
    </row>
    <row r="6573" s="1" customFormat="1" spans="1:21">
      <c r="A6573" s="1" t="str">
        <f>"4601992249720"</f>
        <v>4601992249720</v>
      </c>
      <c r="B6573" s="1" t="s">
        <v>6596</v>
      </c>
      <c r="C6573" s="1" t="s">
        <v>24</v>
      </c>
      <c r="D6573" s="1" t="str">
        <f t="shared" si="12096"/>
        <v>2021</v>
      </c>
      <c r="E6573" s="1" t="str">
        <f t="shared" ref="E6573:P6573" si="12143">"0"</f>
        <v>0</v>
      </c>
      <c r="F6573" s="1" t="str">
        <f t="shared" si="12143"/>
        <v>0</v>
      </c>
      <c r="G6573" s="1" t="str">
        <f t="shared" si="12143"/>
        <v>0</v>
      </c>
      <c r="H6573" s="1" t="str">
        <f t="shared" si="12143"/>
        <v>0</v>
      </c>
      <c r="I6573" s="1" t="str">
        <f t="shared" si="12143"/>
        <v>0</v>
      </c>
      <c r="J6573" s="1" t="str">
        <f t="shared" si="12143"/>
        <v>0</v>
      </c>
      <c r="K6573" s="1" t="str">
        <f t="shared" si="12143"/>
        <v>0</v>
      </c>
      <c r="L6573" s="1" t="str">
        <f t="shared" si="12143"/>
        <v>0</v>
      </c>
      <c r="M6573" s="1" t="str">
        <f t="shared" si="12143"/>
        <v>0</v>
      </c>
      <c r="N6573" s="1" t="str">
        <f t="shared" si="12143"/>
        <v>0</v>
      </c>
      <c r="O6573" s="1" t="str">
        <f t="shared" si="12143"/>
        <v>0</v>
      </c>
      <c r="P6573" s="1" t="str">
        <f t="shared" si="12143"/>
        <v>0</v>
      </c>
      <c r="Q6573" s="1" t="str">
        <f t="shared" si="12098"/>
        <v>0.0070</v>
      </c>
      <c r="R6573" s="1" t="s">
        <v>25</v>
      </c>
      <c r="T6573" s="1" t="str">
        <f t="shared" si="12099"/>
        <v>0</v>
      </c>
      <c r="U6573" s="1" t="str">
        <f t="shared" si="12107"/>
        <v>0.0070</v>
      </c>
    </row>
    <row r="6574" s="1" customFormat="1" spans="1:21">
      <c r="A6574" s="1" t="str">
        <f>"4601992273654"</f>
        <v>4601992273654</v>
      </c>
      <c r="B6574" s="1" t="s">
        <v>6597</v>
      </c>
      <c r="C6574" s="1" t="s">
        <v>24</v>
      </c>
      <c r="D6574" s="1" t="str">
        <f t="shared" si="12096"/>
        <v>2021</v>
      </c>
      <c r="E6574" s="1" t="str">
        <f t="shared" ref="E6574:I6574" si="12144">"0"</f>
        <v>0</v>
      </c>
      <c r="F6574" s="1" t="str">
        <f t="shared" si="12144"/>
        <v>0</v>
      </c>
      <c r="G6574" s="1" t="str">
        <f t="shared" si="12144"/>
        <v>0</v>
      </c>
      <c r="H6574" s="1" t="str">
        <f t="shared" si="12144"/>
        <v>0</v>
      </c>
      <c r="I6574" s="1" t="str">
        <f t="shared" si="12144"/>
        <v>0</v>
      </c>
      <c r="J6574" s="1" t="str">
        <f>"1"</f>
        <v>1</v>
      </c>
      <c r="K6574" s="1" t="str">
        <f t="shared" ref="K6574:P6574" si="12145">"0"</f>
        <v>0</v>
      </c>
      <c r="L6574" s="1" t="str">
        <f t="shared" si="12145"/>
        <v>0</v>
      </c>
      <c r="M6574" s="1" t="str">
        <f t="shared" si="12145"/>
        <v>0</v>
      </c>
      <c r="N6574" s="1" t="str">
        <f t="shared" si="12145"/>
        <v>0</v>
      </c>
      <c r="O6574" s="1" t="str">
        <f t="shared" si="12145"/>
        <v>0</v>
      </c>
      <c r="P6574" s="1" t="str">
        <f t="shared" si="12145"/>
        <v>0</v>
      </c>
      <c r="Q6574" s="1" t="str">
        <f t="shared" si="12098"/>
        <v>0.0070</v>
      </c>
      <c r="R6574" s="1" t="s">
        <v>25</v>
      </c>
      <c r="T6574" s="1" t="str">
        <f t="shared" si="12099"/>
        <v>0</v>
      </c>
      <c r="U6574" s="1" t="str">
        <f t="shared" si="12107"/>
        <v>0.0070</v>
      </c>
    </row>
    <row r="6575" s="1" customFormat="1" spans="1:21">
      <c r="A6575" s="1" t="str">
        <f>"4601992282547"</f>
        <v>4601992282547</v>
      </c>
      <c r="B6575" s="1" t="s">
        <v>6598</v>
      </c>
      <c r="C6575" s="1" t="s">
        <v>24</v>
      </c>
      <c r="D6575" s="1" t="str">
        <f t="shared" si="12096"/>
        <v>2021</v>
      </c>
      <c r="E6575" s="1" t="str">
        <f t="shared" ref="E6575:P6575" si="12146">"0"</f>
        <v>0</v>
      </c>
      <c r="F6575" s="1" t="str">
        <f t="shared" si="12146"/>
        <v>0</v>
      </c>
      <c r="G6575" s="1" t="str">
        <f t="shared" si="12146"/>
        <v>0</v>
      </c>
      <c r="H6575" s="1" t="str">
        <f t="shared" si="12146"/>
        <v>0</v>
      </c>
      <c r="I6575" s="1" t="str">
        <f t="shared" si="12146"/>
        <v>0</v>
      </c>
      <c r="J6575" s="1" t="str">
        <f t="shared" si="12146"/>
        <v>0</v>
      </c>
      <c r="K6575" s="1" t="str">
        <f t="shared" si="12146"/>
        <v>0</v>
      </c>
      <c r="L6575" s="1" t="str">
        <f t="shared" si="12146"/>
        <v>0</v>
      </c>
      <c r="M6575" s="1" t="str">
        <f t="shared" si="12146"/>
        <v>0</v>
      </c>
      <c r="N6575" s="1" t="str">
        <f t="shared" si="12146"/>
        <v>0</v>
      </c>
      <c r="O6575" s="1" t="str">
        <f t="shared" si="12146"/>
        <v>0</v>
      </c>
      <c r="P6575" s="1" t="str">
        <f t="shared" si="12146"/>
        <v>0</v>
      </c>
      <c r="Q6575" s="1" t="str">
        <f t="shared" si="12098"/>
        <v>0.0070</v>
      </c>
      <c r="R6575" s="1" t="s">
        <v>25</v>
      </c>
      <c r="T6575" s="1" t="str">
        <f t="shared" si="12099"/>
        <v>0</v>
      </c>
      <c r="U6575" s="1" t="str">
        <f t="shared" si="12107"/>
        <v>0.0070</v>
      </c>
    </row>
    <row r="6576" s="1" customFormat="1" spans="1:21">
      <c r="A6576" s="1" t="str">
        <f>"4601992282777"</f>
        <v>4601992282777</v>
      </c>
      <c r="B6576" s="1" t="s">
        <v>6599</v>
      </c>
      <c r="C6576" s="1" t="s">
        <v>24</v>
      </c>
      <c r="D6576" s="1" t="str">
        <f t="shared" si="12096"/>
        <v>2021</v>
      </c>
      <c r="E6576" s="1" t="str">
        <f t="shared" ref="E6576:P6576" si="12147">"0"</f>
        <v>0</v>
      </c>
      <c r="F6576" s="1" t="str">
        <f t="shared" si="12147"/>
        <v>0</v>
      </c>
      <c r="G6576" s="1" t="str">
        <f t="shared" si="12147"/>
        <v>0</v>
      </c>
      <c r="H6576" s="1" t="str">
        <f t="shared" si="12147"/>
        <v>0</v>
      </c>
      <c r="I6576" s="1" t="str">
        <f t="shared" si="12147"/>
        <v>0</v>
      </c>
      <c r="J6576" s="1" t="str">
        <f t="shared" si="12147"/>
        <v>0</v>
      </c>
      <c r="K6576" s="1" t="str">
        <f t="shared" si="12147"/>
        <v>0</v>
      </c>
      <c r="L6576" s="1" t="str">
        <f t="shared" si="12147"/>
        <v>0</v>
      </c>
      <c r="M6576" s="1" t="str">
        <f t="shared" si="12147"/>
        <v>0</v>
      </c>
      <c r="N6576" s="1" t="str">
        <f t="shared" si="12147"/>
        <v>0</v>
      </c>
      <c r="O6576" s="1" t="str">
        <f t="shared" si="12147"/>
        <v>0</v>
      </c>
      <c r="P6576" s="1" t="str">
        <f t="shared" si="12147"/>
        <v>0</v>
      </c>
      <c r="Q6576" s="1" t="str">
        <f t="shared" si="12098"/>
        <v>0.0070</v>
      </c>
      <c r="R6576" s="1" t="s">
        <v>25</v>
      </c>
      <c r="T6576" s="1" t="str">
        <f t="shared" si="12099"/>
        <v>0</v>
      </c>
      <c r="U6576" s="1" t="str">
        <f t="shared" si="12107"/>
        <v>0.0070</v>
      </c>
    </row>
    <row r="6577" s="1" customFormat="1" spans="1:21">
      <c r="A6577" s="1" t="str">
        <f>"4601992282875"</f>
        <v>4601992282875</v>
      </c>
      <c r="B6577" s="1" t="s">
        <v>6600</v>
      </c>
      <c r="C6577" s="1" t="s">
        <v>24</v>
      </c>
      <c r="D6577" s="1" t="str">
        <f t="shared" si="12096"/>
        <v>2021</v>
      </c>
      <c r="E6577" s="1" t="str">
        <f t="shared" ref="E6577:P6577" si="12148">"0"</f>
        <v>0</v>
      </c>
      <c r="F6577" s="1" t="str">
        <f t="shared" si="12148"/>
        <v>0</v>
      </c>
      <c r="G6577" s="1" t="str">
        <f t="shared" si="12148"/>
        <v>0</v>
      </c>
      <c r="H6577" s="1" t="str">
        <f t="shared" si="12148"/>
        <v>0</v>
      </c>
      <c r="I6577" s="1" t="str">
        <f t="shared" si="12148"/>
        <v>0</v>
      </c>
      <c r="J6577" s="1" t="str">
        <f t="shared" si="12148"/>
        <v>0</v>
      </c>
      <c r="K6577" s="1" t="str">
        <f t="shared" si="12148"/>
        <v>0</v>
      </c>
      <c r="L6577" s="1" t="str">
        <f t="shared" si="12148"/>
        <v>0</v>
      </c>
      <c r="M6577" s="1" t="str">
        <f t="shared" si="12148"/>
        <v>0</v>
      </c>
      <c r="N6577" s="1" t="str">
        <f t="shared" si="12148"/>
        <v>0</v>
      </c>
      <c r="O6577" s="1" t="str">
        <f t="shared" si="12148"/>
        <v>0</v>
      </c>
      <c r="P6577" s="1" t="str">
        <f t="shared" si="12148"/>
        <v>0</v>
      </c>
      <c r="Q6577" s="1" t="str">
        <f t="shared" si="12098"/>
        <v>0.0070</v>
      </c>
      <c r="R6577" s="1" t="s">
        <v>25</v>
      </c>
      <c r="T6577" s="1" t="str">
        <f t="shared" si="12099"/>
        <v>0</v>
      </c>
      <c r="U6577" s="1" t="str">
        <f t="shared" si="12107"/>
        <v>0.0070</v>
      </c>
    </row>
    <row r="6578" s="1" customFormat="1" spans="1:21">
      <c r="A6578" s="1" t="str">
        <f>"4601992283197"</f>
        <v>4601992283197</v>
      </c>
      <c r="B6578" s="1" t="s">
        <v>6601</v>
      </c>
      <c r="C6578" s="1" t="s">
        <v>24</v>
      </c>
      <c r="D6578" s="1" t="str">
        <f t="shared" si="12096"/>
        <v>2021</v>
      </c>
      <c r="E6578" s="1" t="str">
        <f t="shared" ref="E6578:P6578" si="12149">"0"</f>
        <v>0</v>
      </c>
      <c r="F6578" s="1" t="str">
        <f t="shared" si="12149"/>
        <v>0</v>
      </c>
      <c r="G6578" s="1" t="str">
        <f t="shared" si="12149"/>
        <v>0</v>
      </c>
      <c r="H6578" s="1" t="str">
        <f t="shared" si="12149"/>
        <v>0</v>
      </c>
      <c r="I6578" s="1" t="str">
        <f t="shared" si="12149"/>
        <v>0</v>
      </c>
      <c r="J6578" s="1" t="str">
        <f t="shared" si="12149"/>
        <v>0</v>
      </c>
      <c r="K6578" s="1" t="str">
        <f t="shared" si="12149"/>
        <v>0</v>
      </c>
      <c r="L6578" s="1" t="str">
        <f t="shared" si="12149"/>
        <v>0</v>
      </c>
      <c r="M6578" s="1" t="str">
        <f t="shared" si="12149"/>
        <v>0</v>
      </c>
      <c r="N6578" s="1" t="str">
        <f t="shared" si="12149"/>
        <v>0</v>
      </c>
      <c r="O6578" s="1" t="str">
        <f t="shared" si="12149"/>
        <v>0</v>
      </c>
      <c r="P6578" s="1" t="str">
        <f t="shared" si="12149"/>
        <v>0</v>
      </c>
      <c r="Q6578" s="1" t="str">
        <f t="shared" si="12098"/>
        <v>0.0070</v>
      </c>
      <c r="R6578" s="1" t="s">
        <v>25</v>
      </c>
      <c r="T6578" s="1" t="str">
        <f t="shared" si="12099"/>
        <v>0</v>
      </c>
      <c r="U6578" s="1" t="str">
        <f t="shared" si="12107"/>
        <v>0.0070</v>
      </c>
    </row>
    <row r="6579" s="1" customFormat="1" spans="1:21">
      <c r="A6579" s="1" t="str">
        <f>"4601992283225"</f>
        <v>4601992283225</v>
      </c>
      <c r="B6579" s="1" t="s">
        <v>6602</v>
      </c>
      <c r="C6579" s="1" t="s">
        <v>24</v>
      </c>
      <c r="D6579" s="1" t="str">
        <f t="shared" si="12096"/>
        <v>2021</v>
      </c>
      <c r="E6579" s="1" t="str">
        <f t="shared" ref="E6579:P6579" si="12150">"0"</f>
        <v>0</v>
      </c>
      <c r="F6579" s="1" t="str">
        <f t="shared" si="12150"/>
        <v>0</v>
      </c>
      <c r="G6579" s="1" t="str">
        <f t="shared" si="12150"/>
        <v>0</v>
      </c>
      <c r="H6579" s="1" t="str">
        <f t="shared" si="12150"/>
        <v>0</v>
      </c>
      <c r="I6579" s="1" t="str">
        <f t="shared" si="12150"/>
        <v>0</v>
      </c>
      <c r="J6579" s="1" t="str">
        <f t="shared" si="12150"/>
        <v>0</v>
      </c>
      <c r="K6579" s="1" t="str">
        <f t="shared" si="12150"/>
        <v>0</v>
      </c>
      <c r="L6579" s="1" t="str">
        <f t="shared" si="12150"/>
        <v>0</v>
      </c>
      <c r="M6579" s="1" t="str">
        <f t="shared" si="12150"/>
        <v>0</v>
      </c>
      <c r="N6579" s="1" t="str">
        <f t="shared" si="12150"/>
        <v>0</v>
      </c>
      <c r="O6579" s="1" t="str">
        <f t="shared" si="12150"/>
        <v>0</v>
      </c>
      <c r="P6579" s="1" t="str">
        <f t="shared" si="12150"/>
        <v>0</v>
      </c>
      <c r="Q6579" s="1" t="str">
        <f t="shared" si="12098"/>
        <v>0.0070</v>
      </c>
      <c r="R6579" s="1" t="s">
        <v>25</v>
      </c>
      <c r="T6579" s="1" t="str">
        <f t="shared" si="12099"/>
        <v>0</v>
      </c>
      <c r="U6579" s="1" t="str">
        <f t="shared" si="12107"/>
        <v>0.0070</v>
      </c>
    </row>
    <row r="6580" s="1" customFormat="1" spans="1:21">
      <c r="A6580" s="1" t="str">
        <f>"4601992283235"</f>
        <v>4601992283235</v>
      </c>
      <c r="B6580" s="1" t="s">
        <v>6603</v>
      </c>
      <c r="C6580" s="1" t="s">
        <v>24</v>
      </c>
      <c r="D6580" s="1" t="str">
        <f t="shared" si="12096"/>
        <v>2021</v>
      </c>
      <c r="E6580" s="1" t="str">
        <f t="shared" ref="E6580:P6580" si="12151">"0"</f>
        <v>0</v>
      </c>
      <c r="F6580" s="1" t="str">
        <f t="shared" si="12151"/>
        <v>0</v>
      </c>
      <c r="G6580" s="1" t="str">
        <f t="shared" si="12151"/>
        <v>0</v>
      </c>
      <c r="H6580" s="1" t="str">
        <f t="shared" si="12151"/>
        <v>0</v>
      </c>
      <c r="I6580" s="1" t="str">
        <f t="shared" si="12151"/>
        <v>0</v>
      </c>
      <c r="J6580" s="1" t="str">
        <f t="shared" si="12151"/>
        <v>0</v>
      </c>
      <c r="K6580" s="1" t="str">
        <f t="shared" si="12151"/>
        <v>0</v>
      </c>
      <c r="L6580" s="1" t="str">
        <f t="shared" si="12151"/>
        <v>0</v>
      </c>
      <c r="M6580" s="1" t="str">
        <f t="shared" si="12151"/>
        <v>0</v>
      </c>
      <c r="N6580" s="1" t="str">
        <f t="shared" si="12151"/>
        <v>0</v>
      </c>
      <c r="O6580" s="1" t="str">
        <f t="shared" si="12151"/>
        <v>0</v>
      </c>
      <c r="P6580" s="1" t="str">
        <f t="shared" si="12151"/>
        <v>0</v>
      </c>
      <c r="Q6580" s="1" t="str">
        <f t="shared" si="12098"/>
        <v>0.0070</v>
      </c>
      <c r="R6580" s="1" t="s">
        <v>25</v>
      </c>
      <c r="T6580" s="1" t="str">
        <f t="shared" si="12099"/>
        <v>0</v>
      </c>
      <c r="U6580" s="1" t="str">
        <f t="shared" si="12107"/>
        <v>0.0070</v>
      </c>
    </row>
    <row r="6581" s="1" customFormat="1" spans="1:21">
      <c r="A6581" s="1" t="str">
        <f>"4601992283314"</f>
        <v>4601992283314</v>
      </c>
      <c r="B6581" s="1" t="s">
        <v>6604</v>
      </c>
      <c r="C6581" s="1" t="s">
        <v>24</v>
      </c>
      <c r="D6581" s="1" t="str">
        <f t="shared" si="12096"/>
        <v>2021</v>
      </c>
      <c r="E6581" s="1" t="str">
        <f t="shared" ref="E6581:P6581" si="12152">"0"</f>
        <v>0</v>
      </c>
      <c r="F6581" s="1" t="str">
        <f t="shared" si="12152"/>
        <v>0</v>
      </c>
      <c r="G6581" s="1" t="str">
        <f t="shared" si="12152"/>
        <v>0</v>
      </c>
      <c r="H6581" s="1" t="str">
        <f t="shared" si="12152"/>
        <v>0</v>
      </c>
      <c r="I6581" s="1" t="str">
        <f t="shared" si="12152"/>
        <v>0</v>
      </c>
      <c r="J6581" s="1" t="str">
        <f t="shared" si="12152"/>
        <v>0</v>
      </c>
      <c r="K6581" s="1" t="str">
        <f t="shared" si="12152"/>
        <v>0</v>
      </c>
      <c r="L6581" s="1" t="str">
        <f t="shared" si="12152"/>
        <v>0</v>
      </c>
      <c r="M6581" s="1" t="str">
        <f t="shared" si="12152"/>
        <v>0</v>
      </c>
      <c r="N6581" s="1" t="str">
        <f t="shared" si="12152"/>
        <v>0</v>
      </c>
      <c r="O6581" s="1" t="str">
        <f t="shared" si="12152"/>
        <v>0</v>
      </c>
      <c r="P6581" s="1" t="str">
        <f t="shared" si="12152"/>
        <v>0</v>
      </c>
      <c r="Q6581" s="1" t="str">
        <f t="shared" si="12098"/>
        <v>0.0070</v>
      </c>
      <c r="R6581" s="1" t="s">
        <v>25</v>
      </c>
      <c r="T6581" s="1" t="str">
        <f t="shared" si="12099"/>
        <v>0</v>
      </c>
      <c r="U6581" s="1" t="str">
        <f t="shared" si="12107"/>
        <v>0.0070</v>
      </c>
    </row>
    <row r="6582" s="1" customFormat="1" spans="1:21">
      <c r="A6582" s="1" t="str">
        <f>"4601992283619"</f>
        <v>4601992283619</v>
      </c>
      <c r="B6582" s="1" t="s">
        <v>6605</v>
      </c>
      <c r="C6582" s="1" t="s">
        <v>24</v>
      </c>
      <c r="D6582" s="1" t="str">
        <f t="shared" si="12096"/>
        <v>2021</v>
      </c>
      <c r="E6582" s="1" t="str">
        <f t="shared" ref="E6582:P6582" si="12153">"0"</f>
        <v>0</v>
      </c>
      <c r="F6582" s="1" t="str">
        <f t="shared" si="12153"/>
        <v>0</v>
      </c>
      <c r="G6582" s="1" t="str">
        <f t="shared" si="12153"/>
        <v>0</v>
      </c>
      <c r="H6582" s="1" t="str">
        <f t="shared" si="12153"/>
        <v>0</v>
      </c>
      <c r="I6582" s="1" t="str">
        <f t="shared" si="12153"/>
        <v>0</v>
      </c>
      <c r="J6582" s="1" t="str">
        <f t="shared" si="12153"/>
        <v>0</v>
      </c>
      <c r="K6582" s="1" t="str">
        <f t="shared" si="12153"/>
        <v>0</v>
      </c>
      <c r="L6582" s="1" t="str">
        <f t="shared" si="12153"/>
        <v>0</v>
      </c>
      <c r="M6582" s="1" t="str">
        <f t="shared" si="12153"/>
        <v>0</v>
      </c>
      <c r="N6582" s="1" t="str">
        <f t="shared" si="12153"/>
        <v>0</v>
      </c>
      <c r="O6582" s="1" t="str">
        <f t="shared" si="12153"/>
        <v>0</v>
      </c>
      <c r="P6582" s="1" t="str">
        <f t="shared" si="12153"/>
        <v>0</v>
      </c>
      <c r="Q6582" s="1" t="str">
        <f t="shared" si="12098"/>
        <v>0.0070</v>
      </c>
      <c r="R6582" s="1" t="s">
        <v>25</v>
      </c>
      <c r="T6582" s="1" t="str">
        <f t="shared" si="12099"/>
        <v>0</v>
      </c>
      <c r="U6582" s="1" t="str">
        <f t="shared" si="12107"/>
        <v>0.0070</v>
      </c>
    </row>
    <row r="6583" s="1" customFormat="1" spans="1:21">
      <c r="A6583" s="1" t="str">
        <f>"4601992283664"</f>
        <v>4601992283664</v>
      </c>
      <c r="B6583" s="1" t="s">
        <v>6606</v>
      </c>
      <c r="C6583" s="1" t="s">
        <v>24</v>
      </c>
      <c r="D6583" s="1" t="str">
        <f t="shared" si="12096"/>
        <v>2021</v>
      </c>
      <c r="E6583" s="1" t="str">
        <f t="shared" ref="E6583:P6583" si="12154">"0"</f>
        <v>0</v>
      </c>
      <c r="F6583" s="1" t="str">
        <f t="shared" si="12154"/>
        <v>0</v>
      </c>
      <c r="G6583" s="1" t="str">
        <f t="shared" si="12154"/>
        <v>0</v>
      </c>
      <c r="H6583" s="1" t="str">
        <f t="shared" si="12154"/>
        <v>0</v>
      </c>
      <c r="I6583" s="1" t="str">
        <f t="shared" si="12154"/>
        <v>0</v>
      </c>
      <c r="J6583" s="1" t="str">
        <f t="shared" si="12154"/>
        <v>0</v>
      </c>
      <c r="K6583" s="1" t="str">
        <f t="shared" si="12154"/>
        <v>0</v>
      </c>
      <c r="L6583" s="1" t="str">
        <f t="shared" si="12154"/>
        <v>0</v>
      </c>
      <c r="M6583" s="1" t="str">
        <f t="shared" si="12154"/>
        <v>0</v>
      </c>
      <c r="N6583" s="1" t="str">
        <f t="shared" si="12154"/>
        <v>0</v>
      </c>
      <c r="O6583" s="1" t="str">
        <f t="shared" si="12154"/>
        <v>0</v>
      </c>
      <c r="P6583" s="1" t="str">
        <f t="shared" si="12154"/>
        <v>0</v>
      </c>
      <c r="Q6583" s="1" t="str">
        <f t="shared" si="12098"/>
        <v>0.0070</v>
      </c>
      <c r="R6583" s="1" t="s">
        <v>25</v>
      </c>
      <c r="T6583" s="1" t="str">
        <f t="shared" si="12099"/>
        <v>0</v>
      </c>
      <c r="U6583" s="1" t="str">
        <f t="shared" si="12107"/>
        <v>0.0070</v>
      </c>
    </row>
    <row r="6584" s="1" customFormat="1" spans="1:21">
      <c r="A6584" s="1" t="str">
        <f>"4601992283634"</f>
        <v>4601992283634</v>
      </c>
      <c r="B6584" s="1" t="s">
        <v>6607</v>
      </c>
      <c r="C6584" s="1" t="s">
        <v>24</v>
      </c>
      <c r="D6584" s="1" t="str">
        <f t="shared" si="12096"/>
        <v>2021</v>
      </c>
      <c r="E6584" s="1" t="str">
        <f t="shared" ref="E6584:P6584" si="12155">"0"</f>
        <v>0</v>
      </c>
      <c r="F6584" s="1" t="str">
        <f t="shared" si="12155"/>
        <v>0</v>
      </c>
      <c r="G6584" s="1" t="str">
        <f t="shared" si="12155"/>
        <v>0</v>
      </c>
      <c r="H6584" s="1" t="str">
        <f t="shared" si="12155"/>
        <v>0</v>
      </c>
      <c r="I6584" s="1" t="str">
        <f t="shared" si="12155"/>
        <v>0</v>
      </c>
      <c r="J6584" s="1" t="str">
        <f t="shared" si="12155"/>
        <v>0</v>
      </c>
      <c r="K6584" s="1" t="str">
        <f t="shared" si="12155"/>
        <v>0</v>
      </c>
      <c r="L6584" s="1" t="str">
        <f t="shared" si="12155"/>
        <v>0</v>
      </c>
      <c r="M6584" s="1" t="str">
        <f t="shared" si="12155"/>
        <v>0</v>
      </c>
      <c r="N6584" s="1" t="str">
        <f t="shared" si="12155"/>
        <v>0</v>
      </c>
      <c r="O6584" s="1" t="str">
        <f t="shared" si="12155"/>
        <v>0</v>
      </c>
      <c r="P6584" s="1" t="str">
        <f t="shared" si="12155"/>
        <v>0</v>
      </c>
      <c r="Q6584" s="1" t="str">
        <f t="shared" si="12098"/>
        <v>0.0070</v>
      </c>
      <c r="R6584" s="1" t="s">
        <v>25</v>
      </c>
      <c r="T6584" s="1" t="str">
        <f t="shared" si="12099"/>
        <v>0</v>
      </c>
      <c r="U6584" s="1" t="str">
        <f t="shared" si="12107"/>
        <v>0.0070</v>
      </c>
    </row>
    <row r="6585" s="1" customFormat="1" spans="1:21">
      <c r="A6585" s="1" t="str">
        <f>"4601992283745"</f>
        <v>4601992283745</v>
      </c>
      <c r="B6585" s="1" t="s">
        <v>6608</v>
      </c>
      <c r="C6585" s="1" t="s">
        <v>24</v>
      </c>
      <c r="D6585" s="1" t="str">
        <f t="shared" si="12096"/>
        <v>2021</v>
      </c>
      <c r="E6585" s="1" t="str">
        <f t="shared" ref="E6585:P6585" si="12156">"0"</f>
        <v>0</v>
      </c>
      <c r="F6585" s="1" t="str">
        <f t="shared" si="12156"/>
        <v>0</v>
      </c>
      <c r="G6585" s="1" t="str">
        <f t="shared" si="12156"/>
        <v>0</v>
      </c>
      <c r="H6585" s="1" t="str">
        <f t="shared" si="12156"/>
        <v>0</v>
      </c>
      <c r="I6585" s="1" t="str">
        <f t="shared" si="12156"/>
        <v>0</v>
      </c>
      <c r="J6585" s="1" t="str">
        <f t="shared" si="12156"/>
        <v>0</v>
      </c>
      <c r="K6585" s="1" t="str">
        <f t="shared" si="12156"/>
        <v>0</v>
      </c>
      <c r="L6585" s="1" t="str">
        <f t="shared" si="12156"/>
        <v>0</v>
      </c>
      <c r="M6585" s="1" t="str">
        <f t="shared" si="12156"/>
        <v>0</v>
      </c>
      <c r="N6585" s="1" t="str">
        <f t="shared" si="12156"/>
        <v>0</v>
      </c>
      <c r="O6585" s="1" t="str">
        <f t="shared" si="12156"/>
        <v>0</v>
      </c>
      <c r="P6585" s="1" t="str">
        <f t="shared" si="12156"/>
        <v>0</v>
      </c>
      <c r="Q6585" s="1" t="str">
        <f t="shared" si="12098"/>
        <v>0.0070</v>
      </c>
      <c r="R6585" s="1" t="s">
        <v>25</v>
      </c>
      <c r="T6585" s="1" t="str">
        <f t="shared" si="12099"/>
        <v>0</v>
      </c>
      <c r="U6585" s="1" t="str">
        <f t="shared" si="12107"/>
        <v>0.0070</v>
      </c>
    </row>
    <row r="6586" s="1" customFormat="1" spans="1:21">
      <c r="A6586" s="1" t="str">
        <f>"4601992283789"</f>
        <v>4601992283789</v>
      </c>
      <c r="B6586" s="1" t="s">
        <v>6609</v>
      </c>
      <c r="C6586" s="1" t="s">
        <v>24</v>
      </c>
      <c r="D6586" s="1" t="str">
        <f t="shared" si="12096"/>
        <v>2021</v>
      </c>
      <c r="E6586" s="1" t="str">
        <f t="shared" ref="E6586:P6586" si="12157">"0"</f>
        <v>0</v>
      </c>
      <c r="F6586" s="1" t="str">
        <f t="shared" si="12157"/>
        <v>0</v>
      </c>
      <c r="G6586" s="1" t="str">
        <f t="shared" si="12157"/>
        <v>0</v>
      </c>
      <c r="H6586" s="1" t="str">
        <f t="shared" si="12157"/>
        <v>0</v>
      </c>
      <c r="I6586" s="1" t="str">
        <f t="shared" si="12157"/>
        <v>0</v>
      </c>
      <c r="J6586" s="1" t="str">
        <f t="shared" si="12157"/>
        <v>0</v>
      </c>
      <c r="K6586" s="1" t="str">
        <f t="shared" si="12157"/>
        <v>0</v>
      </c>
      <c r="L6586" s="1" t="str">
        <f t="shared" si="12157"/>
        <v>0</v>
      </c>
      <c r="M6586" s="1" t="str">
        <f t="shared" si="12157"/>
        <v>0</v>
      </c>
      <c r="N6586" s="1" t="str">
        <f t="shared" si="12157"/>
        <v>0</v>
      </c>
      <c r="O6586" s="1" t="str">
        <f t="shared" si="12157"/>
        <v>0</v>
      </c>
      <c r="P6586" s="1" t="str">
        <f t="shared" si="12157"/>
        <v>0</v>
      </c>
      <c r="Q6586" s="1" t="str">
        <f t="shared" si="12098"/>
        <v>0.0070</v>
      </c>
      <c r="R6586" s="1" t="s">
        <v>25</v>
      </c>
      <c r="T6586" s="1" t="str">
        <f t="shared" si="12099"/>
        <v>0</v>
      </c>
      <c r="U6586" s="1" t="str">
        <f t="shared" si="12107"/>
        <v>0.0070</v>
      </c>
    </row>
    <row r="6587" s="1" customFormat="1" spans="1:21">
      <c r="A6587" s="1" t="str">
        <f>"4601992283879"</f>
        <v>4601992283879</v>
      </c>
      <c r="B6587" s="1" t="s">
        <v>6610</v>
      </c>
      <c r="C6587" s="1" t="s">
        <v>24</v>
      </c>
      <c r="D6587" s="1" t="str">
        <f t="shared" si="12096"/>
        <v>2021</v>
      </c>
      <c r="E6587" s="1" t="str">
        <f t="shared" ref="E6587:P6587" si="12158">"0"</f>
        <v>0</v>
      </c>
      <c r="F6587" s="1" t="str">
        <f t="shared" si="12158"/>
        <v>0</v>
      </c>
      <c r="G6587" s="1" t="str">
        <f t="shared" si="12158"/>
        <v>0</v>
      </c>
      <c r="H6587" s="1" t="str">
        <f t="shared" si="12158"/>
        <v>0</v>
      </c>
      <c r="I6587" s="1" t="str">
        <f t="shared" si="12158"/>
        <v>0</v>
      </c>
      <c r="J6587" s="1" t="str">
        <f t="shared" si="12158"/>
        <v>0</v>
      </c>
      <c r="K6587" s="1" t="str">
        <f t="shared" si="12158"/>
        <v>0</v>
      </c>
      <c r="L6587" s="1" t="str">
        <f t="shared" si="12158"/>
        <v>0</v>
      </c>
      <c r="M6587" s="1" t="str">
        <f t="shared" si="12158"/>
        <v>0</v>
      </c>
      <c r="N6587" s="1" t="str">
        <f t="shared" si="12158"/>
        <v>0</v>
      </c>
      <c r="O6587" s="1" t="str">
        <f t="shared" si="12158"/>
        <v>0</v>
      </c>
      <c r="P6587" s="1" t="str">
        <f t="shared" si="12158"/>
        <v>0</v>
      </c>
      <c r="Q6587" s="1" t="str">
        <f t="shared" si="12098"/>
        <v>0.0070</v>
      </c>
      <c r="R6587" s="1" t="s">
        <v>25</v>
      </c>
      <c r="T6587" s="1" t="str">
        <f t="shared" si="12099"/>
        <v>0</v>
      </c>
      <c r="U6587" s="1" t="str">
        <f t="shared" si="12107"/>
        <v>0.0070</v>
      </c>
    </row>
    <row r="6588" s="1" customFormat="1" spans="1:21">
      <c r="A6588" s="1" t="str">
        <f>"4601992283884"</f>
        <v>4601992283884</v>
      </c>
      <c r="B6588" s="1" t="s">
        <v>6611</v>
      </c>
      <c r="C6588" s="1" t="s">
        <v>24</v>
      </c>
      <c r="D6588" s="1" t="str">
        <f t="shared" si="12096"/>
        <v>2021</v>
      </c>
      <c r="E6588" s="1" t="str">
        <f t="shared" ref="E6588:P6588" si="12159">"0"</f>
        <v>0</v>
      </c>
      <c r="F6588" s="1" t="str">
        <f t="shared" si="12159"/>
        <v>0</v>
      </c>
      <c r="G6588" s="1" t="str">
        <f t="shared" si="12159"/>
        <v>0</v>
      </c>
      <c r="H6588" s="1" t="str">
        <f t="shared" si="12159"/>
        <v>0</v>
      </c>
      <c r="I6588" s="1" t="str">
        <f t="shared" si="12159"/>
        <v>0</v>
      </c>
      <c r="J6588" s="1" t="str">
        <f t="shared" si="12159"/>
        <v>0</v>
      </c>
      <c r="K6588" s="1" t="str">
        <f t="shared" si="12159"/>
        <v>0</v>
      </c>
      <c r="L6588" s="1" t="str">
        <f t="shared" si="12159"/>
        <v>0</v>
      </c>
      <c r="M6588" s="1" t="str">
        <f t="shared" si="12159"/>
        <v>0</v>
      </c>
      <c r="N6588" s="1" t="str">
        <f t="shared" si="12159"/>
        <v>0</v>
      </c>
      <c r="O6588" s="1" t="str">
        <f t="shared" si="12159"/>
        <v>0</v>
      </c>
      <c r="P6588" s="1" t="str">
        <f t="shared" si="12159"/>
        <v>0</v>
      </c>
      <c r="Q6588" s="1" t="str">
        <f t="shared" si="12098"/>
        <v>0.0070</v>
      </c>
      <c r="R6588" s="1" t="s">
        <v>25</v>
      </c>
      <c r="T6588" s="1" t="str">
        <f t="shared" si="12099"/>
        <v>0</v>
      </c>
      <c r="U6588" s="1" t="str">
        <f t="shared" si="12107"/>
        <v>0.0070</v>
      </c>
    </row>
    <row r="6589" s="1" customFormat="1" spans="1:21">
      <c r="A6589" s="1" t="str">
        <f>"4601992283916"</f>
        <v>4601992283916</v>
      </c>
      <c r="B6589" s="1" t="s">
        <v>6612</v>
      </c>
      <c r="C6589" s="1" t="s">
        <v>24</v>
      </c>
      <c r="D6589" s="1" t="str">
        <f t="shared" si="12096"/>
        <v>2021</v>
      </c>
      <c r="E6589" s="1" t="str">
        <f t="shared" ref="E6589:P6589" si="12160">"0"</f>
        <v>0</v>
      </c>
      <c r="F6589" s="1" t="str">
        <f t="shared" si="12160"/>
        <v>0</v>
      </c>
      <c r="G6589" s="1" t="str">
        <f t="shared" si="12160"/>
        <v>0</v>
      </c>
      <c r="H6589" s="1" t="str">
        <f t="shared" si="12160"/>
        <v>0</v>
      </c>
      <c r="I6589" s="1" t="str">
        <f t="shared" si="12160"/>
        <v>0</v>
      </c>
      <c r="J6589" s="1" t="str">
        <f t="shared" si="12160"/>
        <v>0</v>
      </c>
      <c r="K6589" s="1" t="str">
        <f t="shared" si="12160"/>
        <v>0</v>
      </c>
      <c r="L6589" s="1" t="str">
        <f t="shared" si="12160"/>
        <v>0</v>
      </c>
      <c r="M6589" s="1" t="str">
        <f t="shared" si="12160"/>
        <v>0</v>
      </c>
      <c r="N6589" s="1" t="str">
        <f t="shared" si="12160"/>
        <v>0</v>
      </c>
      <c r="O6589" s="1" t="str">
        <f t="shared" si="12160"/>
        <v>0</v>
      </c>
      <c r="P6589" s="1" t="str">
        <f t="shared" si="12160"/>
        <v>0</v>
      </c>
      <c r="Q6589" s="1" t="str">
        <f t="shared" si="12098"/>
        <v>0.0070</v>
      </c>
      <c r="R6589" s="1" t="s">
        <v>25</v>
      </c>
      <c r="T6589" s="1" t="str">
        <f t="shared" si="12099"/>
        <v>0</v>
      </c>
      <c r="U6589" s="1" t="str">
        <f t="shared" si="12107"/>
        <v>0.0070</v>
      </c>
    </row>
    <row r="6590" s="1" customFormat="1" spans="1:21">
      <c r="A6590" s="1" t="str">
        <f>"4601992284036"</f>
        <v>4601992284036</v>
      </c>
      <c r="B6590" s="1" t="s">
        <v>6613</v>
      </c>
      <c r="C6590" s="1" t="s">
        <v>24</v>
      </c>
      <c r="D6590" s="1" t="str">
        <f t="shared" si="12096"/>
        <v>2021</v>
      </c>
      <c r="E6590" s="1" t="str">
        <f t="shared" ref="E6590:P6590" si="12161">"0"</f>
        <v>0</v>
      </c>
      <c r="F6590" s="1" t="str">
        <f t="shared" si="12161"/>
        <v>0</v>
      </c>
      <c r="G6590" s="1" t="str">
        <f t="shared" si="12161"/>
        <v>0</v>
      </c>
      <c r="H6590" s="1" t="str">
        <f t="shared" si="12161"/>
        <v>0</v>
      </c>
      <c r="I6590" s="1" t="str">
        <f t="shared" si="12161"/>
        <v>0</v>
      </c>
      <c r="J6590" s="1" t="str">
        <f t="shared" si="12161"/>
        <v>0</v>
      </c>
      <c r="K6590" s="1" t="str">
        <f t="shared" si="12161"/>
        <v>0</v>
      </c>
      <c r="L6590" s="1" t="str">
        <f t="shared" si="12161"/>
        <v>0</v>
      </c>
      <c r="M6590" s="1" t="str">
        <f t="shared" si="12161"/>
        <v>0</v>
      </c>
      <c r="N6590" s="1" t="str">
        <f t="shared" si="12161"/>
        <v>0</v>
      </c>
      <c r="O6590" s="1" t="str">
        <f t="shared" si="12161"/>
        <v>0</v>
      </c>
      <c r="P6590" s="1" t="str">
        <f t="shared" si="12161"/>
        <v>0</v>
      </c>
      <c r="Q6590" s="1" t="str">
        <f t="shared" si="12098"/>
        <v>0.0070</v>
      </c>
      <c r="R6590" s="1" t="s">
        <v>25</v>
      </c>
      <c r="T6590" s="1" t="str">
        <f t="shared" si="12099"/>
        <v>0</v>
      </c>
      <c r="U6590" s="1" t="str">
        <f t="shared" si="12107"/>
        <v>0.0070</v>
      </c>
    </row>
    <row r="6591" s="1" customFormat="1" spans="1:21">
      <c r="A6591" s="1" t="str">
        <f>"4601992283933"</f>
        <v>4601992283933</v>
      </c>
      <c r="B6591" s="1" t="s">
        <v>6614</v>
      </c>
      <c r="C6591" s="1" t="s">
        <v>24</v>
      </c>
      <c r="D6591" s="1" t="str">
        <f t="shared" si="12096"/>
        <v>2021</v>
      </c>
      <c r="E6591" s="1" t="str">
        <f t="shared" ref="E6591:P6591" si="12162">"0"</f>
        <v>0</v>
      </c>
      <c r="F6591" s="1" t="str">
        <f t="shared" si="12162"/>
        <v>0</v>
      </c>
      <c r="G6591" s="1" t="str">
        <f t="shared" si="12162"/>
        <v>0</v>
      </c>
      <c r="H6591" s="1" t="str">
        <f t="shared" si="12162"/>
        <v>0</v>
      </c>
      <c r="I6591" s="1" t="str">
        <f t="shared" si="12162"/>
        <v>0</v>
      </c>
      <c r="J6591" s="1" t="str">
        <f t="shared" si="12162"/>
        <v>0</v>
      </c>
      <c r="K6591" s="1" t="str">
        <f t="shared" si="12162"/>
        <v>0</v>
      </c>
      <c r="L6591" s="1" t="str">
        <f t="shared" si="12162"/>
        <v>0</v>
      </c>
      <c r="M6591" s="1" t="str">
        <f t="shared" si="12162"/>
        <v>0</v>
      </c>
      <c r="N6591" s="1" t="str">
        <f t="shared" si="12162"/>
        <v>0</v>
      </c>
      <c r="O6591" s="1" t="str">
        <f t="shared" si="12162"/>
        <v>0</v>
      </c>
      <c r="P6591" s="1" t="str">
        <f t="shared" si="12162"/>
        <v>0</v>
      </c>
      <c r="Q6591" s="1" t="str">
        <f t="shared" si="12098"/>
        <v>0.0070</v>
      </c>
      <c r="R6591" s="1" t="s">
        <v>25</v>
      </c>
      <c r="T6591" s="1" t="str">
        <f t="shared" si="12099"/>
        <v>0</v>
      </c>
      <c r="U6591" s="1" t="str">
        <f t="shared" si="12107"/>
        <v>0.0070</v>
      </c>
    </row>
    <row r="6592" s="1" customFormat="1" spans="1:21">
      <c r="A6592" s="1" t="str">
        <f>"4601992284047"</f>
        <v>4601992284047</v>
      </c>
      <c r="B6592" s="1" t="s">
        <v>6615</v>
      </c>
      <c r="C6592" s="1" t="s">
        <v>24</v>
      </c>
      <c r="D6592" s="1" t="str">
        <f t="shared" si="12096"/>
        <v>2021</v>
      </c>
      <c r="E6592" s="1" t="str">
        <f t="shared" ref="E6592:P6592" si="12163">"0"</f>
        <v>0</v>
      </c>
      <c r="F6592" s="1" t="str">
        <f t="shared" si="12163"/>
        <v>0</v>
      </c>
      <c r="G6592" s="1" t="str">
        <f t="shared" si="12163"/>
        <v>0</v>
      </c>
      <c r="H6592" s="1" t="str">
        <f t="shared" si="12163"/>
        <v>0</v>
      </c>
      <c r="I6592" s="1" t="str">
        <f t="shared" si="12163"/>
        <v>0</v>
      </c>
      <c r="J6592" s="1" t="str">
        <f t="shared" si="12163"/>
        <v>0</v>
      </c>
      <c r="K6592" s="1" t="str">
        <f t="shared" si="12163"/>
        <v>0</v>
      </c>
      <c r="L6592" s="1" t="str">
        <f t="shared" si="12163"/>
        <v>0</v>
      </c>
      <c r="M6592" s="1" t="str">
        <f t="shared" si="12163"/>
        <v>0</v>
      </c>
      <c r="N6592" s="1" t="str">
        <f t="shared" si="12163"/>
        <v>0</v>
      </c>
      <c r="O6592" s="1" t="str">
        <f t="shared" si="12163"/>
        <v>0</v>
      </c>
      <c r="P6592" s="1" t="str">
        <f t="shared" si="12163"/>
        <v>0</v>
      </c>
      <c r="Q6592" s="1" t="str">
        <f t="shared" si="12098"/>
        <v>0.0070</v>
      </c>
      <c r="R6592" s="1" t="s">
        <v>25</v>
      </c>
      <c r="T6592" s="1" t="str">
        <f t="shared" si="12099"/>
        <v>0</v>
      </c>
      <c r="U6592" s="1" t="str">
        <f t="shared" si="12107"/>
        <v>0.0070</v>
      </c>
    </row>
    <row r="6593" s="1" customFormat="1" spans="1:21">
      <c r="A6593" s="1" t="str">
        <f>"4601992283956"</f>
        <v>4601992283956</v>
      </c>
      <c r="B6593" s="1" t="s">
        <v>6616</v>
      </c>
      <c r="C6593" s="1" t="s">
        <v>24</v>
      </c>
      <c r="D6593" s="1" t="str">
        <f t="shared" si="12096"/>
        <v>2021</v>
      </c>
      <c r="E6593" s="1" t="str">
        <f t="shared" ref="E6593:P6593" si="12164">"0"</f>
        <v>0</v>
      </c>
      <c r="F6593" s="1" t="str">
        <f t="shared" si="12164"/>
        <v>0</v>
      </c>
      <c r="G6593" s="1" t="str">
        <f t="shared" si="12164"/>
        <v>0</v>
      </c>
      <c r="H6593" s="1" t="str">
        <f t="shared" si="12164"/>
        <v>0</v>
      </c>
      <c r="I6593" s="1" t="str">
        <f t="shared" si="12164"/>
        <v>0</v>
      </c>
      <c r="J6593" s="1" t="str">
        <f t="shared" si="12164"/>
        <v>0</v>
      </c>
      <c r="K6593" s="1" t="str">
        <f t="shared" si="12164"/>
        <v>0</v>
      </c>
      <c r="L6593" s="1" t="str">
        <f t="shared" si="12164"/>
        <v>0</v>
      </c>
      <c r="M6593" s="1" t="str">
        <f t="shared" si="12164"/>
        <v>0</v>
      </c>
      <c r="N6593" s="1" t="str">
        <f t="shared" si="12164"/>
        <v>0</v>
      </c>
      <c r="O6593" s="1" t="str">
        <f t="shared" si="12164"/>
        <v>0</v>
      </c>
      <c r="P6593" s="1" t="str">
        <f t="shared" si="12164"/>
        <v>0</v>
      </c>
      <c r="Q6593" s="1" t="str">
        <f t="shared" si="12098"/>
        <v>0.0070</v>
      </c>
      <c r="R6593" s="1" t="s">
        <v>25</v>
      </c>
      <c r="T6593" s="1" t="str">
        <f t="shared" si="12099"/>
        <v>0</v>
      </c>
      <c r="U6593" s="1" t="str">
        <f t="shared" si="12107"/>
        <v>0.0070</v>
      </c>
    </row>
    <row r="6594" s="1" customFormat="1" spans="1:21">
      <c r="A6594" s="1" t="str">
        <f>"4601992284059"</f>
        <v>4601992284059</v>
      </c>
      <c r="B6594" s="1" t="s">
        <v>6617</v>
      </c>
      <c r="C6594" s="1" t="s">
        <v>24</v>
      </c>
      <c r="D6594" s="1" t="str">
        <f t="shared" si="12096"/>
        <v>2021</v>
      </c>
      <c r="E6594" s="1" t="str">
        <f t="shared" ref="E6594:P6594" si="12165">"0"</f>
        <v>0</v>
      </c>
      <c r="F6594" s="1" t="str">
        <f t="shared" si="12165"/>
        <v>0</v>
      </c>
      <c r="G6594" s="1" t="str">
        <f t="shared" si="12165"/>
        <v>0</v>
      </c>
      <c r="H6594" s="1" t="str">
        <f t="shared" si="12165"/>
        <v>0</v>
      </c>
      <c r="I6594" s="1" t="str">
        <f t="shared" si="12165"/>
        <v>0</v>
      </c>
      <c r="J6594" s="1" t="str">
        <f t="shared" si="12165"/>
        <v>0</v>
      </c>
      <c r="K6594" s="1" t="str">
        <f t="shared" si="12165"/>
        <v>0</v>
      </c>
      <c r="L6594" s="1" t="str">
        <f t="shared" si="12165"/>
        <v>0</v>
      </c>
      <c r="M6594" s="1" t="str">
        <f t="shared" si="12165"/>
        <v>0</v>
      </c>
      <c r="N6594" s="1" t="str">
        <f t="shared" si="12165"/>
        <v>0</v>
      </c>
      <c r="O6594" s="1" t="str">
        <f t="shared" si="12165"/>
        <v>0</v>
      </c>
      <c r="P6594" s="1" t="str">
        <f t="shared" si="12165"/>
        <v>0</v>
      </c>
      <c r="Q6594" s="1" t="str">
        <f t="shared" si="12098"/>
        <v>0.0070</v>
      </c>
      <c r="R6594" s="1" t="s">
        <v>25</v>
      </c>
      <c r="T6594" s="1" t="str">
        <f t="shared" si="12099"/>
        <v>0</v>
      </c>
      <c r="U6594" s="1" t="str">
        <f t="shared" si="12107"/>
        <v>0.0070</v>
      </c>
    </row>
    <row r="6595" s="1" customFormat="1" spans="1:21">
      <c r="A6595" s="1" t="str">
        <f>"4601992284111"</f>
        <v>4601992284111</v>
      </c>
      <c r="B6595" s="1" t="s">
        <v>6618</v>
      </c>
      <c r="C6595" s="1" t="s">
        <v>24</v>
      </c>
      <c r="D6595" s="1" t="str">
        <f t="shared" ref="D6595:D6658" si="12166">"2021"</f>
        <v>2021</v>
      </c>
      <c r="E6595" s="1" t="str">
        <f t="shared" ref="E6595:P6595" si="12167">"0"</f>
        <v>0</v>
      </c>
      <c r="F6595" s="1" t="str">
        <f t="shared" si="12167"/>
        <v>0</v>
      </c>
      <c r="G6595" s="1" t="str">
        <f t="shared" si="12167"/>
        <v>0</v>
      </c>
      <c r="H6595" s="1" t="str">
        <f t="shared" si="12167"/>
        <v>0</v>
      </c>
      <c r="I6595" s="1" t="str">
        <f t="shared" si="12167"/>
        <v>0</v>
      </c>
      <c r="J6595" s="1" t="str">
        <f t="shared" si="12167"/>
        <v>0</v>
      </c>
      <c r="K6595" s="1" t="str">
        <f t="shared" si="12167"/>
        <v>0</v>
      </c>
      <c r="L6595" s="1" t="str">
        <f t="shared" si="12167"/>
        <v>0</v>
      </c>
      <c r="M6595" s="1" t="str">
        <f t="shared" si="12167"/>
        <v>0</v>
      </c>
      <c r="N6595" s="1" t="str">
        <f t="shared" si="12167"/>
        <v>0</v>
      </c>
      <c r="O6595" s="1" t="str">
        <f t="shared" si="12167"/>
        <v>0</v>
      </c>
      <c r="P6595" s="1" t="str">
        <f t="shared" si="12167"/>
        <v>0</v>
      </c>
      <c r="Q6595" s="1" t="str">
        <f t="shared" ref="Q6595:Q6658" si="12168">"0.0070"</f>
        <v>0.0070</v>
      </c>
      <c r="R6595" s="1" t="s">
        <v>25</v>
      </c>
      <c r="T6595" s="1" t="str">
        <f t="shared" ref="T6595:T6658" si="12169">"0"</f>
        <v>0</v>
      </c>
      <c r="U6595" s="1" t="str">
        <f t="shared" si="12107"/>
        <v>0.0070</v>
      </c>
    </row>
    <row r="6596" s="1" customFormat="1" spans="1:21">
      <c r="A6596" s="1" t="str">
        <f>"4601992284134"</f>
        <v>4601992284134</v>
      </c>
      <c r="B6596" s="1" t="s">
        <v>6619</v>
      </c>
      <c r="C6596" s="1" t="s">
        <v>24</v>
      </c>
      <c r="D6596" s="1" t="str">
        <f t="shared" si="12166"/>
        <v>2021</v>
      </c>
      <c r="E6596" s="1" t="str">
        <f t="shared" ref="E6596:P6596" si="12170">"0"</f>
        <v>0</v>
      </c>
      <c r="F6596" s="1" t="str">
        <f t="shared" si="12170"/>
        <v>0</v>
      </c>
      <c r="G6596" s="1" t="str">
        <f t="shared" si="12170"/>
        <v>0</v>
      </c>
      <c r="H6596" s="1" t="str">
        <f t="shared" si="12170"/>
        <v>0</v>
      </c>
      <c r="I6596" s="1" t="str">
        <f t="shared" si="12170"/>
        <v>0</v>
      </c>
      <c r="J6596" s="1" t="str">
        <f t="shared" si="12170"/>
        <v>0</v>
      </c>
      <c r="K6596" s="1" t="str">
        <f t="shared" si="12170"/>
        <v>0</v>
      </c>
      <c r="L6596" s="1" t="str">
        <f t="shared" si="12170"/>
        <v>0</v>
      </c>
      <c r="M6596" s="1" t="str">
        <f t="shared" si="12170"/>
        <v>0</v>
      </c>
      <c r="N6596" s="1" t="str">
        <f t="shared" si="12170"/>
        <v>0</v>
      </c>
      <c r="O6596" s="1" t="str">
        <f t="shared" si="12170"/>
        <v>0</v>
      </c>
      <c r="P6596" s="1" t="str">
        <f t="shared" si="12170"/>
        <v>0</v>
      </c>
      <c r="Q6596" s="1" t="str">
        <f t="shared" si="12168"/>
        <v>0.0070</v>
      </c>
      <c r="R6596" s="1" t="s">
        <v>25</v>
      </c>
      <c r="T6596" s="1" t="str">
        <f t="shared" si="12169"/>
        <v>0</v>
      </c>
      <c r="U6596" s="1" t="str">
        <f t="shared" si="12107"/>
        <v>0.0070</v>
      </c>
    </row>
    <row r="6597" s="1" customFormat="1" spans="1:21">
      <c r="A6597" s="1" t="str">
        <f>"4601992284071"</f>
        <v>4601992284071</v>
      </c>
      <c r="B6597" s="1" t="s">
        <v>6620</v>
      </c>
      <c r="C6597" s="1" t="s">
        <v>24</v>
      </c>
      <c r="D6597" s="1" t="str">
        <f t="shared" si="12166"/>
        <v>2021</v>
      </c>
      <c r="E6597" s="1" t="str">
        <f t="shared" ref="E6597:P6597" si="12171">"0"</f>
        <v>0</v>
      </c>
      <c r="F6597" s="1" t="str">
        <f t="shared" si="12171"/>
        <v>0</v>
      </c>
      <c r="G6597" s="1" t="str">
        <f t="shared" si="12171"/>
        <v>0</v>
      </c>
      <c r="H6597" s="1" t="str">
        <f t="shared" si="12171"/>
        <v>0</v>
      </c>
      <c r="I6597" s="1" t="str">
        <f t="shared" si="12171"/>
        <v>0</v>
      </c>
      <c r="J6597" s="1" t="str">
        <f t="shared" si="12171"/>
        <v>0</v>
      </c>
      <c r="K6597" s="1" t="str">
        <f t="shared" si="12171"/>
        <v>0</v>
      </c>
      <c r="L6597" s="1" t="str">
        <f t="shared" si="12171"/>
        <v>0</v>
      </c>
      <c r="M6597" s="1" t="str">
        <f t="shared" si="12171"/>
        <v>0</v>
      </c>
      <c r="N6597" s="1" t="str">
        <f t="shared" si="12171"/>
        <v>0</v>
      </c>
      <c r="O6597" s="1" t="str">
        <f t="shared" si="12171"/>
        <v>0</v>
      </c>
      <c r="P6597" s="1" t="str">
        <f t="shared" si="12171"/>
        <v>0</v>
      </c>
      <c r="Q6597" s="1" t="str">
        <f t="shared" si="12168"/>
        <v>0.0070</v>
      </c>
      <c r="R6597" s="1" t="s">
        <v>25</v>
      </c>
      <c r="T6597" s="1" t="str">
        <f t="shared" si="12169"/>
        <v>0</v>
      </c>
      <c r="U6597" s="1" t="str">
        <f t="shared" si="12107"/>
        <v>0.0070</v>
      </c>
    </row>
    <row r="6598" s="1" customFormat="1" spans="1:21">
      <c r="A6598" s="1" t="str">
        <f>"4601992284444"</f>
        <v>4601992284444</v>
      </c>
      <c r="B6598" s="1" t="s">
        <v>6621</v>
      </c>
      <c r="C6598" s="1" t="s">
        <v>24</v>
      </c>
      <c r="D6598" s="1" t="str">
        <f t="shared" si="12166"/>
        <v>2021</v>
      </c>
      <c r="E6598" s="1" t="str">
        <f t="shared" ref="E6598:P6598" si="12172">"0"</f>
        <v>0</v>
      </c>
      <c r="F6598" s="1" t="str">
        <f t="shared" si="12172"/>
        <v>0</v>
      </c>
      <c r="G6598" s="1" t="str">
        <f t="shared" si="12172"/>
        <v>0</v>
      </c>
      <c r="H6598" s="1" t="str">
        <f t="shared" si="12172"/>
        <v>0</v>
      </c>
      <c r="I6598" s="1" t="str">
        <f t="shared" si="12172"/>
        <v>0</v>
      </c>
      <c r="J6598" s="1" t="str">
        <f t="shared" si="12172"/>
        <v>0</v>
      </c>
      <c r="K6598" s="1" t="str">
        <f t="shared" si="12172"/>
        <v>0</v>
      </c>
      <c r="L6598" s="1" t="str">
        <f t="shared" si="12172"/>
        <v>0</v>
      </c>
      <c r="M6598" s="1" t="str">
        <f t="shared" si="12172"/>
        <v>0</v>
      </c>
      <c r="N6598" s="1" t="str">
        <f t="shared" si="12172"/>
        <v>0</v>
      </c>
      <c r="O6598" s="1" t="str">
        <f t="shared" si="12172"/>
        <v>0</v>
      </c>
      <c r="P6598" s="1" t="str">
        <f t="shared" si="12172"/>
        <v>0</v>
      </c>
      <c r="Q6598" s="1" t="str">
        <f t="shared" si="12168"/>
        <v>0.0070</v>
      </c>
      <c r="R6598" s="1" t="s">
        <v>25</v>
      </c>
      <c r="T6598" s="1" t="str">
        <f t="shared" si="12169"/>
        <v>0</v>
      </c>
      <c r="U6598" s="1" t="str">
        <f t="shared" si="12107"/>
        <v>0.0070</v>
      </c>
    </row>
    <row r="6599" s="1" customFormat="1" spans="1:21">
      <c r="A6599" s="1" t="str">
        <f>"4601992284202"</f>
        <v>4601992284202</v>
      </c>
      <c r="B6599" s="1" t="s">
        <v>6622</v>
      </c>
      <c r="C6599" s="1" t="s">
        <v>24</v>
      </c>
      <c r="D6599" s="1" t="str">
        <f t="shared" si="12166"/>
        <v>2021</v>
      </c>
      <c r="E6599" s="1" t="str">
        <f t="shared" ref="E6599:P6599" si="12173">"0"</f>
        <v>0</v>
      </c>
      <c r="F6599" s="1" t="str">
        <f t="shared" si="12173"/>
        <v>0</v>
      </c>
      <c r="G6599" s="1" t="str">
        <f t="shared" si="12173"/>
        <v>0</v>
      </c>
      <c r="H6599" s="1" t="str">
        <f t="shared" si="12173"/>
        <v>0</v>
      </c>
      <c r="I6599" s="1" t="str">
        <f t="shared" si="12173"/>
        <v>0</v>
      </c>
      <c r="J6599" s="1" t="str">
        <f t="shared" si="12173"/>
        <v>0</v>
      </c>
      <c r="K6599" s="1" t="str">
        <f t="shared" si="12173"/>
        <v>0</v>
      </c>
      <c r="L6599" s="1" t="str">
        <f t="shared" si="12173"/>
        <v>0</v>
      </c>
      <c r="M6599" s="1" t="str">
        <f t="shared" si="12173"/>
        <v>0</v>
      </c>
      <c r="N6599" s="1" t="str">
        <f t="shared" si="12173"/>
        <v>0</v>
      </c>
      <c r="O6599" s="1" t="str">
        <f t="shared" si="12173"/>
        <v>0</v>
      </c>
      <c r="P6599" s="1" t="str">
        <f t="shared" si="12173"/>
        <v>0</v>
      </c>
      <c r="Q6599" s="1" t="str">
        <f t="shared" si="12168"/>
        <v>0.0070</v>
      </c>
      <c r="R6599" s="1" t="s">
        <v>25</v>
      </c>
      <c r="T6599" s="1" t="str">
        <f t="shared" si="12169"/>
        <v>0</v>
      </c>
      <c r="U6599" s="1" t="str">
        <f t="shared" si="12107"/>
        <v>0.0070</v>
      </c>
    </row>
    <row r="6600" s="1" customFormat="1" spans="1:21">
      <c r="A6600" s="1" t="str">
        <f>"4601992284646"</f>
        <v>4601992284646</v>
      </c>
      <c r="B6600" s="1" t="s">
        <v>6623</v>
      </c>
      <c r="C6600" s="1" t="s">
        <v>24</v>
      </c>
      <c r="D6600" s="1" t="str">
        <f t="shared" si="12166"/>
        <v>2021</v>
      </c>
      <c r="E6600" s="1" t="str">
        <f t="shared" ref="E6600:P6600" si="12174">"0"</f>
        <v>0</v>
      </c>
      <c r="F6600" s="1" t="str">
        <f t="shared" si="12174"/>
        <v>0</v>
      </c>
      <c r="G6600" s="1" t="str">
        <f t="shared" si="12174"/>
        <v>0</v>
      </c>
      <c r="H6600" s="1" t="str">
        <f t="shared" si="12174"/>
        <v>0</v>
      </c>
      <c r="I6600" s="1" t="str">
        <f t="shared" si="12174"/>
        <v>0</v>
      </c>
      <c r="J6600" s="1" t="str">
        <f t="shared" si="12174"/>
        <v>0</v>
      </c>
      <c r="K6600" s="1" t="str">
        <f t="shared" si="12174"/>
        <v>0</v>
      </c>
      <c r="L6600" s="1" t="str">
        <f t="shared" si="12174"/>
        <v>0</v>
      </c>
      <c r="M6600" s="1" t="str">
        <f t="shared" si="12174"/>
        <v>0</v>
      </c>
      <c r="N6600" s="1" t="str">
        <f t="shared" si="12174"/>
        <v>0</v>
      </c>
      <c r="O6600" s="1" t="str">
        <f t="shared" si="12174"/>
        <v>0</v>
      </c>
      <c r="P6600" s="1" t="str">
        <f t="shared" si="12174"/>
        <v>0</v>
      </c>
      <c r="Q6600" s="1" t="str">
        <f t="shared" si="12168"/>
        <v>0.0070</v>
      </c>
      <c r="R6600" s="1" t="s">
        <v>25</v>
      </c>
      <c r="T6600" s="1" t="str">
        <f t="shared" si="12169"/>
        <v>0</v>
      </c>
      <c r="U6600" s="1" t="str">
        <f t="shared" si="12107"/>
        <v>0.0070</v>
      </c>
    </row>
    <row r="6601" s="1" customFormat="1" spans="1:21">
      <c r="A6601" s="1" t="str">
        <f>"4601992284218"</f>
        <v>4601992284218</v>
      </c>
      <c r="B6601" s="1" t="s">
        <v>6624</v>
      </c>
      <c r="C6601" s="1" t="s">
        <v>24</v>
      </c>
      <c r="D6601" s="1" t="str">
        <f t="shared" si="12166"/>
        <v>2021</v>
      </c>
      <c r="E6601" s="1" t="str">
        <f t="shared" ref="E6601:P6601" si="12175">"0"</f>
        <v>0</v>
      </c>
      <c r="F6601" s="1" t="str">
        <f t="shared" si="12175"/>
        <v>0</v>
      </c>
      <c r="G6601" s="1" t="str">
        <f t="shared" si="12175"/>
        <v>0</v>
      </c>
      <c r="H6601" s="1" t="str">
        <f t="shared" si="12175"/>
        <v>0</v>
      </c>
      <c r="I6601" s="1" t="str">
        <f t="shared" si="12175"/>
        <v>0</v>
      </c>
      <c r="J6601" s="1" t="str">
        <f t="shared" si="12175"/>
        <v>0</v>
      </c>
      <c r="K6601" s="1" t="str">
        <f t="shared" si="12175"/>
        <v>0</v>
      </c>
      <c r="L6601" s="1" t="str">
        <f t="shared" si="12175"/>
        <v>0</v>
      </c>
      <c r="M6601" s="1" t="str">
        <f t="shared" si="12175"/>
        <v>0</v>
      </c>
      <c r="N6601" s="1" t="str">
        <f t="shared" si="12175"/>
        <v>0</v>
      </c>
      <c r="O6601" s="1" t="str">
        <f t="shared" si="12175"/>
        <v>0</v>
      </c>
      <c r="P6601" s="1" t="str">
        <f t="shared" si="12175"/>
        <v>0</v>
      </c>
      <c r="Q6601" s="1" t="str">
        <f t="shared" si="12168"/>
        <v>0.0070</v>
      </c>
      <c r="R6601" s="1" t="s">
        <v>25</v>
      </c>
      <c r="T6601" s="1" t="str">
        <f t="shared" si="12169"/>
        <v>0</v>
      </c>
      <c r="U6601" s="1" t="str">
        <f t="shared" si="12107"/>
        <v>0.0070</v>
      </c>
    </row>
    <row r="6602" s="1" customFormat="1" spans="1:21">
      <c r="A6602" s="1" t="str">
        <f>"4601992284681"</f>
        <v>4601992284681</v>
      </c>
      <c r="B6602" s="1" t="s">
        <v>6625</v>
      </c>
      <c r="C6602" s="1" t="s">
        <v>24</v>
      </c>
      <c r="D6602" s="1" t="str">
        <f t="shared" si="12166"/>
        <v>2021</v>
      </c>
      <c r="E6602" s="1" t="str">
        <f t="shared" ref="E6602:P6602" si="12176">"0"</f>
        <v>0</v>
      </c>
      <c r="F6602" s="1" t="str">
        <f t="shared" si="12176"/>
        <v>0</v>
      </c>
      <c r="G6602" s="1" t="str">
        <f t="shared" si="12176"/>
        <v>0</v>
      </c>
      <c r="H6602" s="1" t="str">
        <f t="shared" si="12176"/>
        <v>0</v>
      </c>
      <c r="I6602" s="1" t="str">
        <f t="shared" si="12176"/>
        <v>0</v>
      </c>
      <c r="J6602" s="1" t="str">
        <f t="shared" si="12176"/>
        <v>0</v>
      </c>
      <c r="K6602" s="1" t="str">
        <f t="shared" si="12176"/>
        <v>0</v>
      </c>
      <c r="L6602" s="1" t="str">
        <f t="shared" si="12176"/>
        <v>0</v>
      </c>
      <c r="M6602" s="1" t="str">
        <f t="shared" si="12176"/>
        <v>0</v>
      </c>
      <c r="N6602" s="1" t="str">
        <f t="shared" si="12176"/>
        <v>0</v>
      </c>
      <c r="O6602" s="1" t="str">
        <f t="shared" si="12176"/>
        <v>0</v>
      </c>
      <c r="P6602" s="1" t="str">
        <f t="shared" si="12176"/>
        <v>0</v>
      </c>
      <c r="Q6602" s="1" t="str">
        <f t="shared" si="12168"/>
        <v>0.0070</v>
      </c>
      <c r="R6602" s="1" t="s">
        <v>25</v>
      </c>
      <c r="T6602" s="1" t="str">
        <f t="shared" si="12169"/>
        <v>0</v>
      </c>
      <c r="U6602" s="1" t="str">
        <f t="shared" ref="U6602:U6615" si="12177">"0.0070"</f>
        <v>0.0070</v>
      </c>
    </row>
    <row r="6603" s="1" customFormat="1" spans="1:21">
      <c r="A6603" s="1" t="str">
        <f>"4601992285097"</f>
        <v>4601992285097</v>
      </c>
      <c r="B6603" s="1" t="s">
        <v>6626</v>
      </c>
      <c r="C6603" s="1" t="s">
        <v>24</v>
      </c>
      <c r="D6603" s="1" t="str">
        <f t="shared" si="12166"/>
        <v>2021</v>
      </c>
      <c r="E6603" s="1" t="str">
        <f t="shared" ref="E6603:P6603" si="12178">"0"</f>
        <v>0</v>
      </c>
      <c r="F6603" s="1" t="str">
        <f t="shared" si="12178"/>
        <v>0</v>
      </c>
      <c r="G6603" s="1" t="str">
        <f t="shared" si="12178"/>
        <v>0</v>
      </c>
      <c r="H6603" s="1" t="str">
        <f t="shared" si="12178"/>
        <v>0</v>
      </c>
      <c r="I6603" s="1" t="str">
        <f t="shared" si="12178"/>
        <v>0</v>
      </c>
      <c r="J6603" s="1" t="str">
        <f t="shared" si="12178"/>
        <v>0</v>
      </c>
      <c r="K6603" s="1" t="str">
        <f t="shared" si="12178"/>
        <v>0</v>
      </c>
      <c r="L6603" s="1" t="str">
        <f t="shared" si="12178"/>
        <v>0</v>
      </c>
      <c r="M6603" s="1" t="str">
        <f t="shared" si="12178"/>
        <v>0</v>
      </c>
      <c r="N6603" s="1" t="str">
        <f t="shared" si="12178"/>
        <v>0</v>
      </c>
      <c r="O6603" s="1" t="str">
        <f t="shared" si="12178"/>
        <v>0</v>
      </c>
      <c r="P6603" s="1" t="str">
        <f t="shared" si="12178"/>
        <v>0</v>
      </c>
      <c r="Q6603" s="1" t="str">
        <f t="shared" si="12168"/>
        <v>0.0070</v>
      </c>
      <c r="R6603" s="1" t="s">
        <v>25</v>
      </c>
      <c r="T6603" s="1" t="str">
        <f t="shared" si="12169"/>
        <v>0</v>
      </c>
      <c r="U6603" s="1" t="str">
        <f t="shared" si="12177"/>
        <v>0.0070</v>
      </c>
    </row>
    <row r="6604" s="1" customFormat="1" spans="1:21">
      <c r="A6604" s="1" t="str">
        <f>"4601992285184"</f>
        <v>4601992285184</v>
      </c>
      <c r="B6604" s="1" t="s">
        <v>6627</v>
      </c>
      <c r="C6604" s="1" t="s">
        <v>24</v>
      </c>
      <c r="D6604" s="1" t="str">
        <f t="shared" si="12166"/>
        <v>2021</v>
      </c>
      <c r="E6604" s="1" t="str">
        <f t="shared" ref="E6604:P6604" si="12179">"0"</f>
        <v>0</v>
      </c>
      <c r="F6604" s="1" t="str">
        <f t="shared" si="12179"/>
        <v>0</v>
      </c>
      <c r="G6604" s="1" t="str">
        <f t="shared" si="12179"/>
        <v>0</v>
      </c>
      <c r="H6604" s="1" t="str">
        <f t="shared" si="12179"/>
        <v>0</v>
      </c>
      <c r="I6604" s="1" t="str">
        <f t="shared" si="12179"/>
        <v>0</v>
      </c>
      <c r="J6604" s="1" t="str">
        <f t="shared" si="12179"/>
        <v>0</v>
      </c>
      <c r="K6604" s="1" t="str">
        <f t="shared" si="12179"/>
        <v>0</v>
      </c>
      <c r="L6604" s="1" t="str">
        <f t="shared" si="12179"/>
        <v>0</v>
      </c>
      <c r="M6604" s="1" t="str">
        <f t="shared" si="12179"/>
        <v>0</v>
      </c>
      <c r="N6604" s="1" t="str">
        <f t="shared" si="12179"/>
        <v>0</v>
      </c>
      <c r="O6604" s="1" t="str">
        <f t="shared" si="12179"/>
        <v>0</v>
      </c>
      <c r="P6604" s="1" t="str">
        <f t="shared" si="12179"/>
        <v>0</v>
      </c>
      <c r="Q6604" s="1" t="str">
        <f t="shared" si="12168"/>
        <v>0.0070</v>
      </c>
      <c r="R6604" s="1" t="s">
        <v>25</v>
      </c>
      <c r="T6604" s="1" t="str">
        <f t="shared" si="12169"/>
        <v>0</v>
      </c>
      <c r="U6604" s="1" t="str">
        <f t="shared" si="12177"/>
        <v>0.0070</v>
      </c>
    </row>
    <row r="6605" s="1" customFormat="1" spans="1:21">
      <c r="A6605" s="1" t="str">
        <f>"4601992285346"</f>
        <v>4601992285346</v>
      </c>
      <c r="B6605" s="1" t="s">
        <v>6628</v>
      </c>
      <c r="C6605" s="1" t="s">
        <v>24</v>
      </c>
      <c r="D6605" s="1" t="str">
        <f t="shared" si="12166"/>
        <v>2021</v>
      </c>
      <c r="E6605" s="1" t="str">
        <f t="shared" ref="E6605:P6605" si="12180">"0"</f>
        <v>0</v>
      </c>
      <c r="F6605" s="1" t="str">
        <f t="shared" si="12180"/>
        <v>0</v>
      </c>
      <c r="G6605" s="1" t="str">
        <f t="shared" si="12180"/>
        <v>0</v>
      </c>
      <c r="H6605" s="1" t="str">
        <f t="shared" si="12180"/>
        <v>0</v>
      </c>
      <c r="I6605" s="1" t="str">
        <f t="shared" si="12180"/>
        <v>0</v>
      </c>
      <c r="J6605" s="1" t="str">
        <f t="shared" si="12180"/>
        <v>0</v>
      </c>
      <c r="K6605" s="1" t="str">
        <f t="shared" si="12180"/>
        <v>0</v>
      </c>
      <c r="L6605" s="1" t="str">
        <f t="shared" si="12180"/>
        <v>0</v>
      </c>
      <c r="M6605" s="1" t="str">
        <f t="shared" si="12180"/>
        <v>0</v>
      </c>
      <c r="N6605" s="1" t="str">
        <f t="shared" si="12180"/>
        <v>0</v>
      </c>
      <c r="O6605" s="1" t="str">
        <f t="shared" si="12180"/>
        <v>0</v>
      </c>
      <c r="P6605" s="1" t="str">
        <f t="shared" si="12180"/>
        <v>0</v>
      </c>
      <c r="Q6605" s="1" t="str">
        <f t="shared" si="12168"/>
        <v>0.0070</v>
      </c>
      <c r="R6605" s="1" t="s">
        <v>25</v>
      </c>
      <c r="T6605" s="1" t="str">
        <f t="shared" si="12169"/>
        <v>0</v>
      </c>
      <c r="U6605" s="1" t="str">
        <f t="shared" si="12177"/>
        <v>0.0070</v>
      </c>
    </row>
    <row r="6606" s="1" customFormat="1" spans="1:21">
      <c r="A6606" s="1" t="str">
        <f>"4601992285381"</f>
        <v>4601992285381</v>
      </c>
      <c r="B6606" s="1" t="s">
        <v>6629</v>
      </c>
      <c r="C6606" s="1" t="s">
        <v>24</v>
      </c>
      <c r="D6606" s="1" t="str">
        <f t="shared" si="12166"/>
        <v>2021</v>
      </c>
      <c r="E6606" s="1" t="str">
        <f t="shared" ref="E6606:P6606" si="12181">"0"</f>
        <v>0</v>
      </c>
      <c r="F6606" s="1" t="str">
        <f t="shared" si="12181"/>
        <v>0</v>
      </c>
      <c r="G6606" s="1" t="str">
        <f t="shared" si="12181"/>
        <v>0</v>
      </c>
      <c r="H6606" s="1" t="str">
        <f t="shared" si="12181"/>
        <v>0</v>
      </c>
      <c r="I6606" s="1" t="str">
        <f t="shared" si="12181"/>
        <v>0</v>
      </c>
      <c r="J6606" s="1" t="str">
        <f t="shared" si="12181"/>
        <v>0</v>
      </c>
      <c r="K6606" s="1" t="str">
        <f t="shared" si="12181"/>
        <v>0</v>
      </c>
      <c r="L6606" s="1" t="str">
        <f t="shared" si="12181"/>
        <v>0</v>
      </c>
      <c r="M6606" s="1" t="str">
        <f t="shared" si="12181"/>
        <v>0</v>
      </c>
      <c r="N6606" s="1" t="str">
        <f t="shared" si="12181"/>
        <v>0</v>
      </c>
      <c r="O6606" s="1" t="str">
        <f t="shared" si="12181"/>
        <v>0</v>
      </c>
      <c r="P6606" s="1" t="str">
        <f t="shared" si="12181"/>
        <v>0</v>
      </c>
      <c r="Q6606" s="1" t="str">
        <f t="shared" si="12168"/>
        <v>0.0070</v>
      </c>
      <c r="R6606" s="1" t="s">
        <v>25</v>
      </c>
      <c r="T6606" s="1" t="str">
        <f t="shared" si="12169"/>
        <v>0</v>
      </c>
      <c r="U6606" s="1" t="str">
        <f t="shared" si="12177"/>
        <v>0.0070</v>
      </c>
    </row>
    <row r="6607" s="1" customFormat="1" spans="1:21">
      <c r="A6607" s="1" t="str">
        <f>"4601992285411"</f>
        <v>4601992285411</v>
      </c>
      <c r="B6607" s="1" t="s">
        <v>6630</v>
      </c>
      <c r="C6607" s="1" t="s">
        <v>24</v>
      </c>
      <c r="D6607" s="1" t="str">
        <f t="shared" si="12166"/>
        <v>2021</v>
      </c>
      <c r="E6607" s="1" t="str">
        <f t="shared" ref="E6607:P6607" si="12182">"0"</f>
        <v>0</v>
      </c>
      <c r="F6607" s="1" t="str">
        <f t="shared" si="12182"/>
        <v>0</v>
      </c>
      <c r="G6607" s="1" t="str">
        <f t="shared" si="12182"/>
        <v>0</v>
      </c>
      <c r="H6607" s="1" t="str">
        <f t="shared" si="12182"/>
        <v>0</v>
      </c>
      <c r="I6607" s="1" t="str">
        <f t="shared" si="12182"/>
        <v>0</v>
      </c>
      <c r="J6607" s="1" t="str">
        <f t="shared" si="12182"/>
        <v>0</v>
      </c>
      <c r="K6607" s="1" t="str">
        <f t="shared" si="12182"/>
        <v>0</v>
      </c>
      <c r="L6607" s="1" t="str">
        <f t="shared" si="12182"/>
        <v>0</v>
      </c>
      <c r="M6607" s="1" t="str">
        <f t="shared" si="12182"/>
        <v>0</v>
      </c>
      <c r="N6607" s="1" t="str">
        <f t="shared" si="12182"/>
        <v>0</v>
      </c>
      <c r="O6607" s="1" t="str">
        <f t="shared" si="12182"/>
        <v>0</v>
      </c>
      <c r="P6607" s="1" t="str">
        <f t="shared" si="12182"/>
        <v>0</v>
      </c>
      <c r="Q6607" s="1" t="str">
        <f t="shared" si="12168"/>
        <v>0.0070</v>
      </c>
      <c r="R6607" s="1" t="s">
        <v>25</v>
      </c>
      <c r="T6607" s="1" t="str">
        <f t="shared" si="12169"/>
        <v>0</v>
      </c>
      <c r="U6607" s="1" t="str">
        <f t="shared" si="12177"/>
        <v>0.0070</v>
      </c>
    </row>
    <row r="6608" s="1" customFormat="1" spans="1:21">
      <c r="A6608" s="1" t="str">
        <f>"4601992285466"</f>
        <v>4601992285466</v>
      </c>
      <c r="B6608" s="1" t="s">
        <v>6631</v>
      </c>
      <c r="C6608" s="1" t="s">
        <v>24</v>
      </c>
      <c r="D6608" s="1" t="str">
        <f t="shared" si="12166"/>
        <v>2021</v>
      </c>
      <c r="E6608" s="1" t="str">
        <f t="shared" ref="E6608:P6608" si="12183">"0"</f>
        <v>0</v>
      </c>
      <c r="F6608" s="1" t="str">
        <f t="shared" si="12183"/>
        <v>0</v>
      </c>
      <c r="G6608" s="1" t="str">
        <f t="shared" si="12183"/>
        <v>0</v>
      </c>
      <c r="H6608" s="1" t="str">
        <f t="shared" si="12183"/>
        <v>0</v>
      </c>
      <c r="I6608" s="1" t="str">
        <f t="shared" si="12183"/>
        <v>0</v>
      </c>
      <c r="J6608" s="1" t="str">
        <f t="shared" si="12183"/>
        <v>0</v>
      </c>
      <c r="K6608" s="1" t="str">
        <f t="shared" si="12183"/>
        <v>0</v>
      </c>
      <c r="L6608" s="1" t="str">
        <f t="shared" si="12183"/>
        <v>0</v>
      </c>
      <c r="M6608" s="1" t="str">
        <f t="shared" si="12183"/>
        <v>0</v>
      </c>
      <c r="N6608" s="1" t="str">
        <f t="shared" si="12183"/>
        <v>0</v>
      </c>
      <c r="O6608" s="1" t="str">
        <f t="shared" si="12183"/>
        <v>0</v>
      </c>
      <c r="P6608" s="1" t="str">
        <f t="shared" si="12183"/>
        <v>0</v>
      </c>
      <c r="Q6608" s="1" t="str">
        <f t="shared" si="12168"/>
        <v>0.0070</v>
      </c>
      <c r="R6608" s="1" t="s">
        <v>25</v>
      </c>
      <c r="T6608" s="1" t="str">
        <f t="shared" si="12169"/>
        <v>0</v>
      </c>
      <c r="U6608" s="1" t="str">
        <f t="shared" si="12177"/>
        <v>0.0070</v>
      </c>
    </row>
    <row r="6609" s="1" customFormat="1" spans="1:21">
      <c r="A6609" s="1" t="str">
        <f>"4601992285552"</f>
        <v>4601992285552</v>
      </c>
      <c r="B6609" s="1" t="s">
        <v>6632</v>
      </c>
      <c r="C6609" s="1" t="s">
        <v>24</v>
      </c>
      <c r="D6609" s="1" t="str">
        <f t="shared" si="12166"/>
        <v>2021</v>
      </c>
      <c r="E6609" s="1" t="str">
        <f t="shared" ref="E6609:P6609" si="12184">"0"</f>
        <v>0</v>
      </c>
      <c r="F6609" s="1" t="str">
        <f t="shared" si="12184"/>
        <v>0</v>
      </c>
      <c r="G6609" s="1" t="str">
        <f t="shared" si="12184"/>
        <v>0</v>
      </c>
      <c r="H6609" s="1" t="str">
        <f t="shared" si="12184"/>
        <v>0</v>
      </c>
      <c r="I6609" s="1" t="str">
        <f t="shared" si="12184"/>
        <v>0</v>
      </c>
      <c r="J6609" s="1" t="str">
        <f t="shared" si="12184"/>
        <v>0</v>
      </c>
      <c r="K6609" s="1" t="str">
        <f t="shared" si="12184"/>
        <v>0</v>
      </c>
      <c r="L6609" s="1" t="str">
        <f t="shared" si="12184"/>
        <v>0</v>
      </c>
      <c r="M6609" s="1" t="str">
        <f t="shared" si="12184"/>
        <v>0</v>
      </c>
      <c r="N6609" s="1" t="str">
        <f t="shared" si="12184"/>
        <v>0</v>
      </c>
      <c r="O6609" s="1" t="str">
        <f t="shared" si="12184"/>
        <v>0</v>
      </c>
      <c r="P6609" s="1" t="str">
        <f t="shared" si="12184"/>
        <v>0</v>
      </c>
      <c r="Q6609" s="1" t="str">
        <f t="shared" si="12168"/>
        <v>0.0070</v>
      </c>
      <c r="R6609" s="1" t="s">
        <v>25</v>
      </c>
      <c r="T6609" s="1" t="str">
        <f t="shared" si="12169"/>
        <v>0</v>
      </c>
      <c r="U6609" s="1" t="str">
        <f t="shared" si="12177"/>
        <v>0.0070</v>
      </c>
    </row>
    <row r="6610" s="1" customFormat="1" spans="1:21">
      <c r="A6610" s="1" t="str">
        <f>"4601992285561"</f>
        <v>4601992285561</v>
      </c>
      <c r="B6610" s="1" t="s">
        <v>6633</v>
      </c>
      <c r="C6610" s="1" t="s">
        <v>24</v>
      </c>
      <c r="D6610" s="1" t="str">
        <f t="shared" si="12166"/>
        <v>2021</v>
      </c>
      <c r="E6610" s="1" t="str">
        <f t="shared" ref="E6610:P6610" si="12185">"0"</f>
        <v>0</v>
      </c>
      <c r="F6610" s="1" t="str">
        <f t="shared" si="12185"/>
        <v>0</v>
      </c>
      <c r="G6610" s="1" t="str">
        <f t="shared" si="12185"/>
        <v>0</v>
      </c>
      <c r="H6610" s="1" t="str">
        <f t="shared" si="12185"/>
        <v>0</v>
      </c>
      <c r="I6610" s="1" t="str">
        <f t="shared" si="12185"/>
        <v>0</v>
      </c>
      <c r="J6610" s="1" t="str">
        <f t="shared" si="12185"/>
        <v>0</v>
      </c>
      <c r="K6610" s="1" t="str">
        <f t="shared" si="12185"/>
        <v>0</v>
      </c>
      <c r="L6610" s="1" t="str">
        <f t="shared" si="12185"/>
        <v>0</v>
      </c>
      <c r="M6610" s="1" t="str">
        <f t="shared" si="12185"/>
        <v>0</v>
      </c>
      <c r="N6610" s="1" t="str">
        <f t="shared" si="12185"/>
        <v>0</v>
      </c>
      <c r="O6610" s="1" t="str">
        <f t="shared" si="12185"/>
        <v>0</v>
      </c>
      <c r="P6610" s="1" t="str">
        <f t="shared" si="12185"/>
        <v>0</v>
      </c>
      <c r="Q6610" s="1" t="str">
        <f t="shared" si="12168"/>
        <v>0.0070</v>
      </c>
      <c r="R6610" s="1" t="s">
        <v>25</v>
      </c>
      <c r="T6610" s="1" t="str">
        <f t="shared" si="12169"/>
        <v>0</v>
      </c>
      <c r="U6610" s="1" t="str">
        <f t="shared" si="12177"/>
        <v>0.0070</v>
      </c>
    </row>
    <row r="6611" s="1" customFormat="1" spans="1:21">
      <c r="A6611" s="1" t="str">
        <f>"4601992285682"</f>
        <v>4601992285682</v>
      </c>
      <c r="B6611" s="1" t="s">
        <v>6634</v>
      </c>
      <c r="C6611" s="1" t="s">
        <v>24</v>
      </c>
      <c r="D6611" s="1" t="str">
        <f t="shared" si="12166"/>
        <v>2021</v>
      </c>
      <c r="E6611" s="1" t="str">
        <f t="shared" ref="E6611:P6611" si="12186">"0"</f>
        <v>0</v>
      </c>
      <c r="F6611" s="1" t="str">
        <f t="shared" si="12186"/>
        <v>0</v>
      </c>
      <c r="G6611" s="1" t="str">
        <f t="shared" si="12186"/>
        <v>0</v>
      </c>
      <c r="H6611" s="1" t="str">
        <f t="shared" si="12186"/>
        <v>0</v>
      </c>
      <c r="I6611" s="1" t="str">
        <f t="shared" si="12186"/>
        <v>0</v>
      </c>
      <c r="J6611" s="1" t="str">
        <f t="shared" si="12186"/>
        <v>0</v>
      </c>
      <c r="K6611" s="1" t="str">
        <f t="shared" si="12186"/>
        <v>0</v>
      </c>
      <c r="L6611" s="1" t="str">
        <f t="shared" si="12186"/>
        <v>0</v>
      </c>
      <c r="M6611" s="1" t="str">
        <f t="shared" si="12186"/>
        <v>0</v>
      </c>
      <c r="N6611" s="1" t="str">
        <f t="shared" si="12186"/>
        <v>0</v>
      </c>
      <c r="O6611" s="1" t="str">
        <f t="shared" si="12186"/>
        <v>0</v>
      </c>
      <c r="P6611" s="1" t="str">
        <f t="shared" si="12186"/>
        <v>0</v>
      </c>
      <c r="Q6611" s="1" t="str">
        <f t="shared" si="12168"/>
        <v>0.0070</v>
      </c>
      <c r="R6611" s="1" t="s">
        <v>25</v>
      </c>
      <c r="T6611" s="1" t="str">
        <f t="shared" si="12169"/>
        <v>0</v>
      </c>
      <c r="U6611" s="1" t="str">
        <f t="shared" si="12177"/>
        <v>0.0070</v>
      </c>
    </row>
    <row r="6612" s="1" customFormat="1" spans="1:21">
      <c r="A6612" s="1" t="str">
        <f>"4601992285679"</f>
        <v>4601992285679</v>
      </c>
      <c r="B6612" s="1" t="s">
        <v>6635</v>
      </c>
      <c r="C6612" s="1" t="s">
        <v>24</v>
      </c>
      <c r="D6612" s="1" t="str">
        <f t="shared" si="12166"/>
        <v>2021</v>
      </c>
      <c r="E6612" s="1" t="str">
        <f t="shared" ref="E6612:P6612" si="12187">"0"</f>
        <v>0</v>
      </c>
      <c r="F6612" s="1" t="str">
        <f t="shared" si="12187"/>
        <v>0</v>
      </c>
      <c r="G6612" s="1" t="str">
        <f t="shared" si="12187"/>
        <v>0</v>
      </c>
      <c r="H6612" s="1" t="str">
        <f t="shared" si="12187"/>
        <v>0</v>
      </c>
      <c r="I6612" s="1" t="str">
        <f t="shared" si="12187"/>
        <v>0</v>
      </c>
      <c r="J6612" s="1" t="str">
        <f t="shared" si="12187"/>
        <v>0</v>
      </c>
      <c r="K6612" s="1" t="str">
        <f t="shared" si="12187"/>
        <v>0</v>
      </c>
      <c r="L6612" s="1" t="str">
        <f t="shared" si="12187"/>
        <v>0</v>
      </c>
      <c r="M6612" s="1" t="str">
        <f t="shared" si="12187"/>
        <v>0</v>
      </c>
      <c r="N6612" s="1" t="str">
        <f t="shared" si="12187"/>
        <v>0</v>
      </c>
      <c r="O6612" s="1" t="str">
        <f t="shared" si="12187"/>
        <v>0</v>
      </c>
      <c r="P6612" s="1" t="str">
        <f t="shared" si="12187"/>
        <v>0</v>
      </c>
      <c r="Q6612" s="1" t="str">
        <f t="shared" si="12168"/>
        <v>0.0070</v>
      </c>
      <c r="R6612" s="1" t="s">
        <v>25</v>
      </c>
      <c r="T6612" s="1" t="str">
        <f t="shared" si="12169"/>
        <v>0</v>
      </c>
      <c r="U6612" s="1" t="str">
        <f t="shared" si="12177"/>
        <v>0.0070</v>
      </c>
    </row>
    <row r="6613" s="1" customFormat="1" spans="1:21">
      <c r="A6613" s="1" t="str">
        <f>"4601992285785"</f>
        <v>4601992285785</v>
      </c>
      <c r="B6613" s="1" t="s">
        <v>6636</v>
      </c>
      <c r="C6613" s="1" t="s">
        <v>24</v>
      </c>
      <c r="D6613" s="1" t="str">
        <f t="shared" si="12166"/>
        <v>2021</v>
      </c>
      <c r="E6613" s="1" t="str">
        <f t="shared" ref="E6613:P6613" si="12188">"0"</f>
        <v>0</v>
      </c>
      <c r="F6613" s="1" t="str">
        <f t="shared" si="12188"/>
        <v>0</v>
      </c>
      <c r="G6613" s="1" t="str">
        <f t="shared" si="12188"/>
        <v>0</v>
      </c>
      <c r="H6613" s="1" t="str">
        <f t="shared" si="12188"/>
        <v>0</v>
      </c>
      <c r="I6613" s="1" t="str">
        <f t="shared" si="12188"/>
        <v>0</v>
      </c>
      <c r="J6613" s="1" t="str">
        <f t="shared" si="12188"/>
        <v>0</v>
      </c>
      <c r="K6613" s="1" t="str">
        <f t="shared" si="12188"/>
        <v>0</v>
      </c>
      <c r="L6613" s="1" t="str">
        <f t="shared" si="12188"/>
        <v>0</v>
      </c>
      <c r="M6613" s="1" t="str">
        <f t="shared" si="12188"/>
        <v>0</v>
      </c>
      <c r="N6613" s="1" t="str">
        <f t="shared" si="12188"/>
        <v>0</v>
      </c>
      <c r="O6613" s="1" t="str">
        <f t="shared" si="12188"/>
        <v>0</v>
      </c>
      <c r="P6613" s="1" t="str">
        <f t="shared" si="12188"/>
        <v>0</v>
      </c>
      <c r="Q6613" s="1" t="str">
        <f t="shared" si="12168"/>
        <v>0.0070</v>
      </c>
      <c r="R6613" s="1" t="s">
        <v>25</v>
      </c>
      <c r="T6613" s="1" t="str">
        <f t="shared" si="12169"/>
        <v>0</v>
      </c>
      <c r="U6613" s="1" t="str">
        <f t="shared" si="12177"/>
        <v>0.0070</v>
      </c>
    </row>
    <row r="6614" s="1" customFormat="1" spans="1:21">
      <c r="A6614" s="1" t="str">
        <f>"4601992285859"</f>
        <v>4601992285859</v>
      </c>
      <c r="B6614" s="1" t="s">
        <v>6637</v>
      </c>
      <c r="C6614" s="1" t="s">
        <v>24</v>
      </c>
      <c r="D6614" s="1" t="str">
        <f t="shared" si="12166"/>
        <v>2021</v>
      </c>
      <c r="E6614" s="1" t="str">
        <f t="shared" ref="E6614:P6614" si="12189">"0"</f>
        <v>0</v>
      </c>
      <c r="F6614" s="1" t="str">
        <f t="shared" si="12189"/>
        <v>0</v>
      </c>
      <c r="G6614" s="1" t="str">
        <f t="shared" si="12189"/>
        <v>0</v>
      </c>
      <c r="H6614" s="1" t="str">
        <f t="shared" si="12189"/>
        <v>0</v>
      </c>
      <c r="I6614" s="1" t="str">
        <f t="shared" si="12189"/>
        <v>0</v>
      </c>
      <c r="J6614" s="1" t="str">
        <f t="shared" si="12189"/>
        <v>0</v>
      </c>
      <c r="K6614" s="1" t="str">
        <f t="shared" si="12189"/>
        <v>0</v>
      </c>
      <c r="L6614" s="1" t="str">
        <f t="shared" si="12189"/>
        <v>0</v>
      </c>
      <c r="M6614" s="1" t="str">
        <f t="shared" si="12189"/>
        <v>0</v>
      </c>
      <c r="N6614" s="1" t="str">
        <f t="shared" si="12189"/>
        <v>0</v>
      </c>
      <c r="O6614" s="1" t="str">
        <f t="shared" si="12189"/>
        <v>0</v>
      </c>
      <c r="P6614" s="1" t="str">
        <f t="shared" si="12189"/>
        <v>0</v>
      </c>
      <c r="Q6614" s="1" t="str">
        <f t="shared" si="12168"/>
        <v>0.0070</v>
      </c>
      <c r="R6614" s="1" t="s">
        <v>25</v>
      </c>
      <c r="T6614" s="1" t="str">
        <f t="shared" si="12169"/>
        <v>0</v>
      </c>
      <c r="U6614" s="1" t="str">
        <f t="shared" si="12177"/>
        <v>0.0070</v>
      </c>
    </row>
    <row r="6615" s="1" customFormat="1" spans="1:21">
      <c r="A6615" s="1" t="str">
        <f>"4601992285805"</f>
        <v>4601992285805</v>
      </c>
      <c r="B6615" s="1" t="s">
        <v>6638</v>
      </c>
      <c r="C6615" s="1" t="s">
        <v>24</v>
      </c>
      <c r="D6615" s="1" t="str">
        <f t="shared" si="12166"/>
        <v>2021</v>
      </c>
      <c r="E6615" s="1" t="str">
        <f t="shared" ref="E6615:P6615" si="12190">"0"</f>
        <v>0</v>
      </c>
      <c r="F6615" s="1" t="str">
        <f t="shared" si="12190"/>
        <v>0</v>
      </c>
      <c r="G6615" s="1" t="str">
        <f t="shared" si="12190"/>
        <v>0</v>
      </c>
      <c r="H6615" s="1" t="str">
        <f t="shared" si="12190"/>
        <v>0</v>
      </c>
      <c r="I6615" s="1" t="str">
        <f t="shared" si="12190"/>
        <v>0</v>
      </c>
      <c r="J6615" s="1" t="str">
        <f t="shared" si="12190"/>
        <v>0</v>
      </c>
      <c r="K6615" s="1" t="str">
        <f t="shared" si="12190"/>
        <v>0</v>
      </c>
      <c r="L6615" s="1" t="str">
        <f t="shared" si="12190"/>
        <v>0</v>
      </c>
      <c r="M6615" s="1" t="str">
        <f t="shared" si="12190"/>
        <v>0</v>
      </c>
      <c r="N6615" s="1" t="str">
        <f t="shared" si="12190"/>
        <v>0</v>
      </c>
      <c r="O6615" s="1" t="str">
        <f t="shared" si="12190"/>
        <v>0</v>
      </c>
      <c r="P6615" s="1" t="str">
        <f t="shared" si="12190"/>
        <v>0</v>
      </c>
      <c r="Q6615" s="1" t="str">
        <f t="shared" si="12168"/>
        <v>0.0070</v>
      </c>
      <c r="R6615" s="1" t="s">
        <v>25</v>
      </c>
      <c r="T6615" s="1" t="str">
        <f t="shared" si="12169"/>
        <v>0</v>
      </c>
      <c r="U6615" s="1" t="str">
        <f t="shared" si="12177"/>
        <v>0.0070</v>
      </c>
    </row>
    <row r="6616" s="1" customFormat="1" spans="1:21">
      <c r="A6616" s="1" t="str">
        <f>"4601992037424"</f>
        <v>4601992037424</v>
      </c>
      <c r="B6616" s="1" t="s">
        <v>6639</v>
      </c>
      <c r="C6616" s="1" t="s">
        <v>24</v>
      </c>
      <c r="D6616" s="1" t="str">
        <f t="shared" si="12166"/>
        <v>2021</v>
      </c>
      <c r="E6616" s="1" t="str">
        <f>"12.09"</f>
        <v>12.09</v>
      </c>
      <c r="F6616" s="1" t="str">
        <f t="shared" ref="F6616:I6616" si="12191">"0"</f>
        <v>0</v>
      </c>
      <c r="G6616" s="1" t="str">
        <f t="shared" si="12191"/>
        <v>0</v>
      </c>
      <c r="H6616" s="1" t="str">
        <f t="shared" si="12191"/>
        <v>0</v>
      </c>
      <c r="I6616" s="1" t="str">
        <f t="shared" si="12191"/>
        <v>0</v>
      </c>
      <c r="J6616" s="1" t="str">
        <f>"2"</f>
        <v>2</v>
      </c>
      <c r="K6616" s="1" t="str">
        <f t="shared" ref="K6616:P6616" si="12192">"0"</f>
        <v>0</v>
      </c>
      <c r="L6616" s="1" t="str">
        <f t="shared" si="12192"/>
        <v>0</v>
      </c>
      <c r="M6616" s="1" t="str">
        <f t="shared" si="12192"/>
        <v>0</v>
      </c>
      <c r="N6616" s="1" t="str">
        <f t="shared" si="12192"/>
        <v>0</v>
      </c>
      <c r="O6616" s="1" t="str">
        <f t="shared" si="12192"/>
        <v>0</v>
      </c>
      <c r="P6616" s="1" t="str">
        <f t="shared" si="12192"/>
        <v>0</v>
      </c>
      <c r="Q6616" s="1" t="str">
        <f t="shared" si="12168"/>
        <v>0.0070</v>
      </c>
      <c r="R6616" s="1" t="s">
        <v>29</v>
      </c>
      <c r="S6616" s="1">
        <v>-0.0014</v>
      </c>
      <c r="T6616" s="1" t="str">
        <f t="shared" si="12169"/>
        <v>0</v>
      </c>
      <c r="U6616" s="1" t="str">
        <f>"0.0056"</f>
        <v>0.0056</v>
      </c>
    </row>
    <row r="6617" s="1" customFormat="1" spans="1:21">
      <c r="A6617" s="1" t="str">
        <f>"4601992286175"</f>
        <v>4601992286175</v>
      </c>
      <c r="B6617" s="1" t="s">
        <v>6640</v>
      </c>
      <c r="C6617" s="1" t="s">
        <v>24</v>
      </c>
      <c r="D6617" s="1" t="str">
        <f t="shared" si="12166"/>
        <v>2021</v>
      </c>
      <c r="E6617" s="1" t="str">
        <f t="shared" ref="E6617:P6617" si="12193">"0"</f>
        <v>0</v>
      </c>
      <c r="F6617" s="1" t="str">
        <f t="shared" si="12193"/>
        <v>0</v>
      </c>
      <c r="G6617" s="1" t="str">
        <f t="shared" si="12193"/>
        <v>0</v>
      </c>
      <c r="H6617" s="1" t="str">
        <f t="shared" si="12193"/>
        <v>0</v>
      </c>
      <c r="I6617" s="1" t="str">
        <f t="shared" si="12193"/>
        <v>0</v>
      </c>
      <c r="J6617" s="1" t="str">
        <f t="shared" si="12193"/>
        <v>0</v>
      </c>
      <c r="K6617" s="1" t="str">
        <f t="shared" si="12193"/>
        <v>0</v>
      </c>
      <c r="L6617" s="1" t="str">
        <f t="shared" si="12193"/>
        <v>0</v>
      </c>
      <c r="M6617" s="1" t="str">
        <f t="shared" si="12193"/>
        <v>0</v>
      </c>
      <c r="N6617" s="1" t="str">
        <f t="shared" si="12193"/>
        <v>0</v>
      </c>
      <c r="O6617" s="1" t="str">
        <f t="shared" si="12193"/>
        <v>0</v>
      </c>
      <c r="P6617" s="1" t="str">
        <f t="shared" si="12193"/>
        <v>0</v>
      </c>
      <c r="Q6617" s="1" t="str">
        <f t="shared" si="12168"/>
        <v>0.0070</v>
      </c>
      <c r="R6617" s="1" t="s">
        <v>25</v>
      </c>
      <c r="T6617" s="1" t="str">
        <f t="shared" si="12169"/>
        <v>0</v>
      </c>
      <c r="U6617" s="1" t="str">
        <f t="shared" ref="U6617:U6662" si="12194">"0.0070"</f>
        <v>0.0070</v>
      </c>
    </row>
    <row r="6618" s="1" customFormat="1" spans="1:21">
      <c r="A6618" s="1" t="str">
        <f>"4601992286128"</f>
        <v>4601992286128</v>
      </c>
      <c r="B6618" s="1" t="s">
        <v>6641</v>
      </c>
      <c r="C6618" s="1" t="s">
        <v>24</v>
      </c>
      <c r="D6618" s="1" t="str">
        <f t="shared" si="12166"/>
        <v>2021</v>
      </c>
      <c r="E6618" s="1" t="str">
        <f t="shared" ref="E6618:P6618" si="12195">"0"</f>
        <v>0</v>
      </c>
      <c r="F6618" s="1" t="str">
        <f t="shared" si="12195"/>
        <v>0</v>
      </c>
      <c r="G6618" s="1" t="str">
        <f t="shared" si="12195"/>
        <v>0</v>
      </c>
      <c r="H6618" s="1" t="str">
        <f t="shared" si="12195"/>
        <v>0</v>
      </c>
      <c r="I6618" s="1" t="str">
        <f t="shared" si="12195"/>
        <v>0</v>
      </c>
      <c r="J6618" s="1" t="str">
        <f t="shared" si="12195"/>
        <v>0</v>
      </c>
      <c r="K6618" s="1" t="str">
        <f t="shared" si="12195"/>
        <v>0</v>
      </c>
      <c r="L6618" s="1" t="str">
        <f t="shared" si="12195"/>
        <v>0</v>
      </c>
      <c r="M6618" s="1" t="str">
        <f t="shared" si="12195"/>
        <v>0</v>
      </c>
      <c r="N6618" s="1" t="str">
        <f t="shared" si="12195"/>
        <v>0</v>
      </c>
      <c r="O6618" s="1" t="str">
        <f t="shared" si="12195"/>
        <v>0</v>
      </c>
      <c r="P6618" s="1" t="str">
        <f t="shared" si="12195"/>
        <v>0</v>
      </c>
      <c r="Q6618" s="1" t="str">
        <f t="shared" si="12168"/>
        <v>0.0070</v>
      </c>
      <c r="R6618" s="1" t="s">
        <v>25</v>
      </c>
      <c r="T6618" s="1" t="str">
        <f t="shared" si="12169"/>
        <v>0</v>
      </c>
      <c r="U6618" s="1" t="str">
        <f t="shared" si="12194"/>
        <v>0.0070</v>
      </c>
    </row>
    <row r="6619" s="1" customFormat="1" spans="1:21">
      <c r="A6619" s="1" t="str">
        <f>"4601992285970"</f>
        <v>4601992285970</v>
      </c>
      <c r="B6619" s="1" t="s">
        <v>6642</v>
      </c>
      <c r="C6619" s="1" t="s">
        <v>24</v>
      </c>
      <c r="D6619" s="1" t="str">
        <f t="shared" si="12166"/>
        <v>2021</v>
      </c>
      <c r="E6619" s="1" t="str">
        <f t="shared" ref="E6619:P6619" si="12196">"0"</f>
        <v>0</v>
      </c>
      <c r="F6619" s="1" t="str">
        <f t="shared" si="12196"/>
        <v>0</v>
      </c>
      <c r="G6619" s="1" t="str">
        <f t="shared" si="12196"/>
        <v>0</v>
      </c>
      <c r="H6619" s="1" t="str">
        <f t="shared" si="12196"/>
        <v>0</v>
      </c>
      <c r="I6619" s="1" t="str">
        <f t="shared" si="12196"/>
        <v>0</v>
      </c>
      <c r="J6619" s="1" t="str">
        <f t="shared" si="12196"/>
        <v>0</v>
      </c>
      <c r="K6619" s="1" t="str">
        <f t="shared" si="12196"/>
        <v>0</v>
      </c>
      <c r="L6619" s="1" t="str">
        <f t="shared" si="12196"/>
        <v>0</v>
      </c>
      <c r="M6619" s="1" t="str">
        <f t="shared" si="12196"/>
        <v>0</v>
      </c>
      <c r="N6619" s="1" t="str">
        <f t="shared" si="12196"/>
        <v>0</v>
      </c>
      <c r="O6619" s="1" t="str">
        <f t="shared" si="12196"/>
        <v>0</v>
      </c>
      <c r="P6619" s="1" t="str">
        <f t="shared" si="12196"/>
        <v>0</v>
      </c>
      <c r="Q6619" s="1" t="str">
        <f t="shared" si="12168"/>
        <v>0.0070</v>
      </c>
      <c r="R6619" s="1" t="s">
        <v>25</v>
      </c>
      <c r="T6619" s="1" t="str">
        <f t="shared" si="12169"/>
        <v>0</v>
      </c>
      <c r="U6619" s="1" t="str">
        <f t="shared" si="12194"/>
        <v>0.0070</v>
      </c>
    </row>
    <row r="6620" s="1" customFormat="1" spans="1:21">
      <c r="A6620" s="1" t="str">
        <f>"4601992285870"</f>
        <v>4601992285870</v>
      </c>
      <c r="B6620" s="1" t="s">
        <v>6643</v>
      </c>
      <c r="C6620" s="1" t="s">
        <v>24</v>
      </c>
      <c r="D6620" s="1" t="str">
        <f t="shared" si="12166"/>
        <v>2021</v>
      </c>
      <c r="E6620" s="1" t="str">
        <f t="shared" ref="E6620:P6620" si="12197">"0"</f>
        <v>0</v>
      </c>
      <c r="F6620" s="1" t="str">
        <f t="shared" si="12197"/>
        <v>0</v>
      </c>
      <c r="G6620" s="1" t="str">
        <f t="shared" si="12197"/>
        <v>0</v>
      </c>
      <c r="H6620" s="1" t="str">
        <f t="shared" si="12197"/>
        <v>0</v>
      </c>
      <c r="I6620" s="1" t="str">
        <f t="shared" si="12197"/>
        <v>0</v>
      </c>
      <c r="J6620" s="1" t="str">
        <f t="shared" si="12197"/>
        <v>0</v>
      </c>
      <c r="K6620" s="1" t="str">
        <f t="shared" si="12197"/>
        <v>0</v>
      </c>
      <c r="L6620" s="1" t="str">
        <f t="shared" si="12197"/>
        <v>0</v>
      </c>
      <c r="M6620" s="1" t="str">
        <f t="shared" si="12197"/>
        <v>0</v>
      </c>
      <c r="N6620" s="1" t="str">
        <f t="shared" si="12197"/>
        <v>0</v>
      </c>
      <c r="O6620" s="1" t="str">
        <f t="shared" si="12197"/>
        <v>0</v>
      </c>
      <c r="P6620" s="1" t="str">
        <f t="shared" si="12197"/>
        <v>0</v>
      </c>
      <c r="Q6620" s="1" t="str">
        <f t="shared" si="12168"/>
        <v>0.0070</v>
      </c>
      <c r="R6620" s="1" t="s">
        <v>25</v>
      </c>
      <c r="T6620" s="1" t="str">
        <f t="shared" si="12169"/>
        <v>0</v>
      </c>
      <c r="U6620" s="1" t="str">
        <f t="shared" si="12194"/>
        <v>0.0070</v>
      </c>
    </row>
    <row r="6621" s="1" customFormat="1" spans="1:21">
      <c r="A6621" s="1" t="str">
        <f>"4601992286351"</f>
        <v>4601992286351</v>
      </c>
      <c r="B6621" s="1" t="s">
        <v>6644</v>
      </c>
      <c r="C6621" s="1" t="s">
        <v>24</v>
      </c>
      <c r="D6621" s="1" t="str">
        <f t="shared" si="12166"/>
        <v>2021</v>
      </c>
      <c r="E6621" s="1" t="str">
        <f t="shared" ref="E6621:P6621" si="12198">"0"</f>
        <v>0</v>
      </c>
      <c r="F6621" s="1" t="str">
        <f t="shared" si="12198"/>
        <v>0</v>
      </c>
      <c r="G6621" s="1" t="str">
        <f t="shared" si="12198"/>
        <v>0</v>
      </c>
      <c r="H6621" s="1" t="str">
        <f t="shared" si="12198"/>
        <v>0</v>
      </c>
      <c r="I6621" s="1" t="str">
        <f t="shared" si="12198"/>
        <v>0</v>
      </c>
      <c r="J6621" s="1" t="str">
        <f t="shared" si="12198"/>
        <v>0</v>
      </c>
      <c r="K6621" s="1" t="str">
        <f t="shared" si="12198"/>
        <v>0</v>
      </c>
      <c r="L6621" s="1" t="str">
        <f t="shared" si="12198"/>
        <v>0</v>
      </c>
      <c r="M6621" s="1" t="str">
        <f t="shared" si="12198"/>
        <v>0</v>
      </c>
      <c r="N6621" s="1" t="str">
        <f t="shared" si="12198"/>
        <v>0</v>
      </c>
      <c r="O6621" s="1" t="str">
        <f t="shared" si="12198"/>
        <v>0</v>
      </c>
      <c r="P6621" s="1" t="str">
        <f t="shared" si="12198"/>
        <v>0</v>
      </c>
      <c r="Q6621" s="1" t="str">
        <f t="shared" si="12168"/>
        <v>0.0070</v>
      </c>
      <c r="R6621" s="1" t="s">
        <v>25</v>
      </c>
      <c r="T6621" s="1" t="str">
        <f t="shared" si="12169"/>
        <v>0</v>
      </c>
      <c r="U6621" s="1" t="str">
        <f t="shared" si="12194"/>
        <v>0.0070</v>
      </c>
    </row>
    <row r="6622" s="1" customFormat="1" spans="1:21">
      <c r="A6622" s="1" t="str">
        <f>"4601992286204"</f>
        <v>4601992286204</v>
      </c>
      <c r="B6622" s="1" t="s">
        <v>6645</v>
      </c>
      <c r="C6622" s="1" t="s">
        <v>24</v>
      </c>
      <c r="D6622" s="1" t="str">
        <f t="shared" si="12166"/>
        <v>2021</v>
      </c>
      <c r="E6622" s="1" t="str">
        <f t="shared" ref="E6622:P6622" si="12199">"0"</f>
        <v>0</v>
      </c>
      <c r="F6622" s="1" t="str">
        <f t="shared" si="12199"/>
        <v>0</v>
      </c>
      <c r="G6622" s="1" t="str">
        <f t="shared" si="12199"/>
        <v>0</v>
      </c>
      <c r="H6622" s="1" t="str">
        <f t="shared" si="12199"/>
        <v>0</v>
      </c>
      <c r="I6622" s="1" t="str">
        <f t="shared" si="12199"/>
        <v>0</v>
      </c>
      <c r="J6622" s="1" t="str">
        <f t="shared" si="12199"/>
        <v>0</v>
      </c>
      <c r="K6622" s="1" t="str">
        <f t="shared" si="12199"/>
        <v>0</v>
      </c>
      <c r="L6622" s="1" t="str">
        <f t="shared" si="12199"/>
        <v>0</v>
      </c>
      <c r="M6622" s="1" t="str">
        <f t="shared" si="12199"/>
        <v>0</v>
      </c>
      <c r="N6622" s="1" t="str">
        <f t="shared" si="12199"/>
        <v>0</v>
      </c>
      <c r="O6622" s="1" t="str">
        <f t="shared" si="12199"/>
        <v>0</v>
      </c>
      <c r="P6622" s="1" t="str">
        <f t="shared" si="12199"/>
        <v>0</v>
      </c>
      <c r="Q6622" s="1" t="str">
        <f t="shared" si="12168"/>
        <v>0.0070</v>
      </c>
      <c r="R6622" s="1" t="s">
        <v>25</v>
      </c>
      <c r="T6622" s="1" t="str">
        <f t="shared" si="12169"/>
        <v>0</v>
      </c>
      <c r="U6622" s="1" t="str">
        <f t="shared" si="12194"/>
        <v>0.0070</v>
      </c>
    </row>
    <row r="6623" s="1" customFormat="1" spans="1:21">
      <c r="A6623" s="1" t="str">
        <f>"4601992286308"</f>
        <v>4601992286308</v>
      </c>
      <c r="B6623" s="1" t="s">
        <v>6646</v>
      </c>
      <c r="C6623" s="1" t="s">
        <v>24</v>
      </c>
      <c r="D6623" s="1" t="str">
        <f t="shared" si="12166"/>
        <v>2021</v>
      </c>
      <c r="E6623" s="1" t="str">
        <f t="shared" ref="E6623:P6623" si="12200">"0"</f>
        <v>0</v>
      </c>
      <c r="F6623" s="1" t="str">
        <f t="shared" si="12200"/>
        <v>0</v>
      </c>
      <c r="G6623" s="1" t="str">
        <f t="shared" si="12200"/>
        <v>0</v>
      </c>
      <c r="H6623" s="1" t="str">
        <f t="shared" si="12200"/>
        <v>0</v>
      </c>
      <c r="I6623" s="1" t="str">
        <f t="shared" si="12200"/>
        <v>0</v>
      </c>
      <c r="J6623" s="1" t="str">
        <f t="shared" si="12200"/>
        <v>0</v>
      </c>
      <c r="K6623" s="1" t="str">
        <f t="shared" si="12200"/>
        <v>0</v>
      </c>
      <c r="L6623" s="1" t="str">
        <f t="shared" si="12200"/>
        <v>0</v>
      </c>
      <c r="M6623" s="1" t="str">
        <f t="shared" si="12200"/>
        <v>0</v>
      </c>
      <c r="N6623" s="1" t="str">
        <f t="shared" si="12200"/>
        <v>0</v>
      </c>
      <c r="O6623" s="1" t="str">
        <f t="shared" si="12200"/>
        <v>0</v>
      </c>
      <c r="P6623" s="1" t="str">
        <f t="shared" si="12200"/>
        <v>0</v>
      </c>
      <c r="Q6623" s="1" t="str">
        <f t="shared" si="12168"/>
        <v>0.0070</v>
      </c>
      <c r="R6623" s="1" t="s">
        <v>25</v>
      </c>
      <c r="T6623" s="1" t="str">
        <f t="shared" si="12169"/>
        <v>0</v>
      </c>
      <c r="U6623" s="1" t="str">
        <f t="shared" si="12194"/>
        <v>0.0070</v>
      </c>
    </row>
    <row r="6624" s="1" customFormat="1" spans="1:21">
      <c r="A6624" s="1" t="str">
        <f>"4601992286290"</f>
        <v>4601992286290</v>
      </c>
      <c r="B6624" s="1" t="s">
        <v>6647</v>
      </c>
      <c r="C6624" s="1" t="s">
        <v>24</v>
      </c>
      <c r="D6624" s="1" t="str">
        <f t="shared" si="12166"/>
        <v>2021</v>
      </c>
      <c r="E6624" s="1" t="str">
        <f t="shared" ref="E6624:P6624" si="12201">"0"</f>
        <v>0</v>
      </c>
      <c r="F6624" s="1" t="str">
        <f t="shared" si="12201"/>
        <v>0</v>
      </c>
      <c r="G6624" s="1" t="str">
        <f t="shared" si="12201"/>
        <v>0</v>
      </c>
      <c r="H6624" s="1" t="str">
        <f t="shared" si="12201"/>
        <v>0</v>
      </c>
      <c r="I6624" s="1" t="str">
        <f t="shared" si="12201"/>
        <v>0</v>
      </c>
      <c r="J6624" s="1" t="str">
        <f t="shared" si="12201"/>
        <v>0</v>
      </c>
      <c r="K6624" s="1" t="str">
        <f t="shared" si="12201"/>
        <v>0</v>
      </c>
      <c r="L6624" s="1" t="str">
        <f t="shared" si="12201"/>
        <v>0</v>
      </c>
      <c r="M6624" s="1" t="str">
        <f t="shared" si="12201"/>
        <v>0</v>
      </c>
      <c r="N6624" s="1" t="str">
        <f t="shared" si="12201"/>
        <v>0</v>
      </c>
      <c r="O6624" s="1" t="str">
        <f t="shared" si="12201"/>
        <v>0</v>
      </c>
      <c r="P6624" s="1" t="str">
        <f t="shared" si="12201"/>
        <v>0</v>
      </c>
      <c r="Q6624" s="1" t="str">
        <f t="shared" si="12168"/>
        <v>0.0070</v>
      </c>
      <c r="R6624" s="1" t="s">
        <v>25</v>
      </c>
      <c r="T6624" s="1" t="str">
        <f t="shared" si="12169"/>
        <v>0</v>
      </c>
      <c r="U6624" s="1" t="str">
        <f t="shared" si="12194"/>
        <v>0.0070</v>
      </c>
    </row>
    <row r="6625" s="1" customFormat="1" spans="1:21">
      <c r="A6625" s="1" t="str">
        <f>"4601992286520"</f>
        <v>4601992286520</v>
      </c>
      <c r="B6625" s="1" t="s">
        <v>6648</v>
      </c>
      <c r="C6625" s="1" t="s">
        <v>24</v>
      </c>
      <c r="D6625" s="1" t="str">
        <f t="shared" si="12166"/>
        <v>2021</v>
      </c>
      <c r="E6625" s="1" t="str">
        <f t="shared" ref="E6625:P6625" si="12202">"0"</f>
        <v>0</v>
      </c>
      <c r="F6625" s="1" t="str">
        <f t="shared" si="12202"/>
        <v>0</v>
      </c>
      <c r="G6625" s="1" t="str">
        <f t="shared" si="12202"/>
        <v>0</v>
      </c>
      <c r="H6625" s="1" t="str">
        <f t="shared" si="12202"/>
        <v>0</v>
      </c>
      <c r="I6625" s="1" t="str">
        <f t="shared" si="12202"/>
        <v>0</v>
      </c>
      <c r="J6625" s="1" t="str">
        <f t="shared" si="12202"/>
        <v>0</v>
      </c>
      <c r="K6625" s="1" t="str">
        <f t="shared" si="12202"/>
        <v>0</v>
      </c>
      <c r="L6625" s="1" t="str">
        <f t="shared" si="12202"/>
        <v>0</v>
      </c>
      <c r="M6625" s="1" t="str">
        <f t="shared" si="12202"/>
        <v>0</v>
      </c>
      <c r="N6625" s="1" t="str">
        <f t="shared" si="12202"/>
        <v>0</v>
      </c>
      <c r="O6625" s="1" t="str">
        <f t="shared" si="12202"/>
        <v>0</v>
      </c>
      <c r="P6625" s="1" t="str">
        <f t="shared" si="12202"/>
        <v>0</v>
      </c>
      <c r="Q6625" s="1" t="str">
        <f t="shared" si="12168"/>
        <v>0.0070</v>
      </c>
      <c r="R6625" s="1" t="s">
        <v>25</v>
      </c>
      <c r="T6625" s="1" t="str">
        <f t="shared" si="12169"/>
        <v>0</v>
      </c>
      <c r="U6625" s="1" t="str">
        <f t="shared" si="12194"/>
        <v>0.0070</v>
      </c>
    </row>
    <row r="6626" s="1" customFormat="1" spans="1:21">
      <c r="A6626" s="1" t="str">
        <f>"4601992286379"</f>
        <v>4601992286379</v>
      </c>
      <c r="B6626" s="1" t="s">
        <v>6649</v>
      </c>
      <c r="C6626" s="1" t="s">
        <v>24</v>
      </c>
      <c r="D6626" s="1" t="str">
        <f t="shared" si="12166"/>
        <v>2021</v>
      </c>
      <c r="E6626" s="1" t="str">
        <f t="shared" ref="E6626:P6626" si="12203">"0"</f>
        <v>0</v>
      </c>
      <c r="F6626" s="1" t="str">
        <f t="shared" si="12203"/>
        <v>0</v>
      </c>
      <c r="G6626" s="1" t="str">
        <f t="shared" si="12203"/>
        <v>0</v>
      </c>
      <c r="H6626" s="1" t="str">
        <f t="shared" si="12203"/>
        <v>0</v>
      </c>
      <c r="I6626" s="1" t="str">
        <f t="shared" si="12203"/>
        <v>0</v>
      </c>
      <c r="J6626" s="1" t="str">
        <f t="shared" si="12203"/>
        <v>0</v>
      </c>
      <c r="K6626" s="1" t="str">
        <f t="shared" si="12203"/>
        <v>0</v>
      </c>
      <c r="L6626" s="1" t="str">
        <f t="shared" si="12203"/>
        <v>0</v>
      </c>
      <c r="M6626" s="1" t="str">
        <f t="shared" si="12203"/>
        <v>0</v>
      </c>
      <c r="N6626" s="1" t="str">
        <f t="shared" si="12203"/>
        <v>0</v>
      </c>
      <c r="O6626" s="1" t="str">
        <f t="shared" si="12203"/>
        <v>0</v>
      </c>
      <c r="P6626" s="1" t="str">
        <f t="shared" si="12203"/>
        <v>0</v>
      </c>
      <c r="Q6626" s="1" t="str">
        <f t="shared" si="12168"/>
        <v>0.0070</v>
      </c>
      <c r="R6626" s="1" t="s">
        <v>25</v>
      </c>
      <c r="T6626" s="1" t="str">
        <f t="shared" si="12169"/>
        <v>0</v>
      </c>
      <c r="U6626" s="1" t="str">
        <f t="shared" si="12194"/>
        <v>0.0070</v>
      </c>
    </row>
    <row r="6627" s="1" customFormat="1" spans="1:21">
      <c r="A6627" s="1" t="str">
        <f>"4601992286431"</f>
        <v>4601992286431</v>
      </c>
      <c r="B6627" s="1" t="s">
        <v>6650</v>
      </c>
      <c r="C6627" s="1" t="s">
        <v>24</v>
      </c>
      <c r="D6627" s="1" t="str">
        <f t="shared" si="12166"/>
        <v>2021</v>
      </c>
      <c r="E6627" s="1" t="str">
        <f t="shared" ref="E6627:P6627" si="12204">"0"</f>
        <v>0</v>
      </c>
      <c r="F6627" s="1" t="str">
        <f t="shared" si="12204"/>
        <v>0</v>
      </c>
      <c r="G6627" s="1" t="str">
        <f t="shared" si="12204"/>
        <v>0</v>
      </c>
      <c r="H6627" s="1" t="str">
        <f t="shared" si="12204"/>
        <v>0</v>
      </c>
      <c r="I6627" s="1" t="str">
        <f t="shared" si="12204"/>
        <v>0</v>
      </c>
      <c r="J6627" s="1" t="str">
        <f t="shared" si="12204"/>
        <v>0</v>
      </c>
      <c r="K6627" s="1" t="str">
        <f t="shared" si="12204"/>
        <v>0</v>
      </c>
      <c r="L6627" s="1" t="str">
        <f t="shared" si="12204"/>
        <v>0</v>
      </c>
      <c r="M6627" s="1" t="str">
        <f t="shared" si="12204"/>
        <v>0</v>
      </c>
      <c r="N6627" s="1" t="str">
        <f t="shared" si="12204"/>
        <v>0</v>
      </c>
      <c r="O6627" s="1" t="str">
        <f t="shared" si="12204"/>
        <v>0</v>
      </c>
      <c r="P6627" s="1" t="str">
        <f t="shared" si="12204"/>
        <v>0</v>
      </c>
      <c r="Q6627" s="1" t="str">
        <f t="shared" si="12168"/>
        <v>0.0070</v>
      </c>
      <c r="R6627" s="1" t="s">
        <v>25</v>
      </c>
      <c r="T6627" s="1" t="str">
        <f t="shared" si="12169"/>
        <v>0</v>
      </c>
      <c r="U6627" s="1" t="str">
        <f t="shared" si="12194"/>
        <v>0.0070</v>
      </c>
    </row>
    <row r="6628" s="1" customFormat="1" spans="1:21">
      <c r="A6628" s="1" t="str">
        <f>"4601992286587"</f>
        <v>4601992286587</v>
      </c>
      <c r="B6628" s="1" t="s">
        <v>6651</v>
      </c>
      <c r="C6628" s="1" t="s">
        <v>24</v>
      </c>
      <c r="D6628" s="1" t="str">
        <f t="shared" si="12166"/>
        <v>2021</v>
      </c>
      <c r="E6628" s="1" t="str">
        <f t="shared" ref="E6628:P6628" si="12205">"0"</f>
        <v>0</v>
      </c>
      <c r="F6628" s="1" t="str">
        <f t="shared" si="12205"/>
        <v>0</v>
      </c>
      <c r="G6628" s="1" t="str">
        <f t="shared" si="12205"/>
        <v>0</v>
      </c>
      <c r="H6628" s="1" t="str">
        <f t="shared" si="12205"/>
        <v>0</v>
      </c>
      <c r="I6628" s="1" t="str">
        <f t="shared" si="12205"/>
        <v>0</v>
      </c>
      <c r="J6628" s="1" t="str">
        <f t="shared" si="12205"/>
        <v>0</v>
      </c>
      <c r="K6628" s="1" t="str">
        <f t="shared" si="12205"/>
        <v>0</v>
      </c>
      <c r="L6628" s="1" t="str">
        <f t="shared" si="12205"/>
        <v>0</v>
      </c>
      <c r="M6628" s="1" t="str">
        <f t="shared" si="12205"/>
        <v>0</v>
      </c>
      <c r="N6628" s="1" t="str">
        <f t="shared" si="12205"/>
        <v>0</v>
      </c>
      <c r="O6628" s="1" t="str">
        <f t="shared" si="12205"/>
        <v>0</v>
      </c>
      <c r="P6628" s="1" t="str">
        <f t="shared" si="12205"/>
        <v>0</v>
      </c>
      <c r="Q6628" s="1" t="str">
        <f t="shared" si="12168"/>
        <v>0.0070</v>
      </c>
      <c r="R6628" s="1" t="s">
        <v>25</v>
      </c>
      <c r="T6628" s="1" t="str">
        <f t="shared" si="12169"/>
        <v>0</v>
      </c>
      <c r="U6628" s="1" t="str">
        <f t="shared" si="12194"/>
        <v>0.0070</v>
      </c>
    </row>
    <row r="6629" s="1" customFormat="1" spans="1:21">
      <c r="A6629" s="1" t="str">
        <f>"4601992286624"</f>
        <v>4601992286624</v>
      </c>
      <c r="B6629" s="1" t="s">
        <v>6652</v>
      </c>
      <c r="C6629" s="1" t="s">
        <v>24</v>
      </c>
      <c r="D6629" s="1" t="str">
        <f t="shared" si="12166"/>
        <v>2021</v>
      </c>
      <c r="E6629" s="1" t="str">
        <f t="shared" ref="E6629:P6629" si="12206">"0"</f>
        <v>0</v>
      </c>
      <c r="F6629" s="1" t="str">
        <f t="shared" si="12206"/>
        <v>0</v>
      </c>
      <c r="G6629" s="1" t="str">
        <f t="shared" si="12206"/>
        <v>0</v>
      </c>
      <c r="H6629" s="1" t="str">
        <f t="shared" si="12206"/>
        <v>0</v>
      </c>
      <c r="I6629" s="1" t="str">
        <f t="shared" si="12206"/>
        <v>0</v>
      </c>
      <c r="J6629" s="1" t="str">
        <f t="shared" si="12206"/>
        <v>0</v>
      </c>
      <c r="K6629" s="1" t="str">
        <f t="shared" si="12206"/>
        <v>0</v>
      </c>
      <c r="L6629" s="1" t="str">
        <f t="shared" si="12206"/>
        <v>0</v>
      </c>
      <c r="M6629" s="1" t="str">
        <f t="shared" si="12206"/>
        <v>0</v>
      </c>
      <c r="N6629" s="1" t="str">
        <f t="shared" si="12206"/>
        <v>0</v>
      </c>
      <c r="O6629" s="1" t="str">
        <f t="shared" si="12206"/>
        <v>0</v>
      </c>
      <c r="P6629" s="1" t="str">
        <f t="shared" si="12206"/>
        <v>0</v>
      </c>
      <c r="Q6629" s="1" t="str">
        <f t="shared" si="12168"/>
        <v>0.0070</v>
      </c>
      <c r="R6629" s="1" t="s">
        <v>25</v>
      </c>
      <c r="T6629" s="1" t="str">
        <f t="shared" si="12169"/>
        <v>0</v>
      </c>
      <c r="U6629" s="1" t="str">
        <f t="shared" si="12194"/>
        <v>0.0070</v>
      </c>
    </row>
    <row r="6630" s="1" customFormat="1" spans="1:21">
      <c r="A6630" s="1" t="str">
        <f>"4601992286663"</f>
        <v>4601992286663</v>
      </c>
      <c r="B6630" s="1" t="s">
        <v>6653</v>
      </c>
      <c r="C6630" s="1" t="s">
        <v>24</v>
      </c>
      <c r="D6630" s="1" t="str">
        <f t="shared" si="12166"/>
        <v>2021</v>
      </c>
      <c r="E6630" s="1" t="str">
        <f t="shared" ref="E6630:P6630" si="12207">"0"</f>
        <v>0</v>
      </c>
      <c r="F6630" s="1" t="str">
        <f t="shared" si="12207"/>
        <v>0</v>
      </c>
      <c r="G6630" s="1" t="str">
        <f t="shared" si="12207"/>
        <v>0</v>
      </c>
      <c r="H6630" s="1" t="str">
        <f t="shared" si="12207"/>
        <v>0</v>
      </c>
      <c r="I6630" s="1" t="str">
        <f t="shared" si="12207"/>
        <v>0</v>
      </c>
      <c r="J6630" s="1" t="str">
        <f t="shared" si="12207"/>
        <v>0</v>
      </c>
      <c r="K6630" s="1" t="str">
        <f t="shared" si="12207"/>
        <v>0</v>
      </c>
      <c r="L6630" s="1" t="str">
        <f t="shared" si="12207"/>
        <v>0</v>
      </c>
      <c r="M6630" s="1" t="str">
        <f t="shared" si="12207"/>
        <v>0</v>
      </c>
      <c r="N6630" s="1" t="str">
        <f t="shared" si="12207"/>
        <v>0</v>
      </c>
      <c r="O6630" s="1" t="str">
        <f t="shared" si="12207"/>
        <v>0</v>
      </c>
      <c r="P6630" s="1" t="str">
        <f t="shared" si="12207"/>
        <v>0</v>
      </c>
      <c r="Q6630" s="1" t="str">
        <f t="shared" si="12168"/>
        <v>0.0070</v>
      </c>
      <c r="R6630" s="1" t="s">
        <v>25</v>
      </c>
      <c r="T6630" s="1" t="str">
        <f t="shared" si="12169"/>
        <v>0</v>
      </c>
      <c r="U6630" s="1" t="str">
        <f t="shared" si="12194"/>
        <v>0.0070</v>
      </c>
    </row>
    <row r="6631" s="1" customFormat="1" spans="1:21">
      <c r="A6631" s="1" t="str">
        <f>"4601992286694"</f>
        <v>4601992286694</v>
      </c>
      <c r="B6631" s="1" t="s">
        <v>6654</v>
      </c>
      <c r="C6631" s="1" t="s">
        <v>24</v>
      </c>
      <c r="D6631" s="1" t="str">
        <f t="shared" si="12166"/>
        <v>2021</v>
      </c>
      <c r="E6631" s="1" t="str">
        <f t="shared" ref="E6631:P6631" si="12208">"0"</f>
        <v>0</v>
      </c>
      <c r="F6631" s="1" t="str">
        <f t="shared" si="12208"/>
        <v>0</v>
      </c>
      <c r="G6631" s="1" t="str">
        <f t="shared" si="12208"/>
        <v>0</v>
      </c>
      <c r="H6631" s="1" t="str">
        <f t="shared" si="12208"/>
        <v>0</v>
      </c>
      <c r="I6631" s="1" t="str">
        <f t="shared" si="12208"/>
        <v>0</v>
      </c>
      <c r="J6631" s="1" t="str">
        <f t="shared" si="12208"/>
        <v>0</v>
      </c>
      <c r="K6631" s="1" t="str">
        <f t="shared" si="12208"/>
        <v>0</v>
      </c>
      <c r="L6631" s="1" t="str">
        <f t="shared" si="12208"/>
        <v>0</v>
      </c>
      <c r="M6631" s="1" t="str">
        <f t="shared" si="12208"/>
        <v>0</v>
      </c>
      <c r="N6631" s="1" t="str">
        <f t="shared" si="12208"/>
        <v>0</v>
      </c>
      <c r="O6631" s="1" t="str">
        <f t="shared" si="12208"/>
        <v>0</v>
      </c>
      <c r="P6631" s="1" t="str">
        <f t="shared" si="12208"/>
        <v>0</v>
      </c>
      <c r="Q6631" s="1" t="str">
        <f t="shared" si="12168"/>
        <v>0.0070</v>
      </c>
      <c r="R6631" s="1" t="s">
        <v>25</v>
      </c>
      <c r="T6631" s="1" t="str">
        <f t="shared" si="12169"/>
        <v>0</v>
      </c>
      <c r="U6631" s="1" t="str">
        <f t="shared" si="12194"/>
        <v>0.0070</v>
      </c>
    </row>
    <row r="6632" s="1" customFormat="1" spans="1:21">
      <c r="A6632" s="1" t="str">
        <f>"4601992286846"</f>
        <v>4601992286846</v>
      </c>
      <c r="B6632" s="1" t="s">
        <v>6655</v>
      </c>
      <c r="C6632" s="1" t="s">
        <v>24</v>
      </c>
      <c r="D6632" s="1" t="str">
        <f t="shared" si="12166"/>
        <v>2021</v>
      </c>
      <c r="E6632" s="1" t="str">
        <f t="shared" ref="E6632:P6632" si="12209">"0"</f>
        <v>0</v>
      </c>
      <c r="F6632" s="1" t="str">
        <f t="shared" si="12209"/>
        <v>0</v>
      </c>
      <c r="G6632" s="1" t="str">
        <f t="shared" si="12209"/>
        <v>0</v>
      </c>
      <c r="H6632" s="1" t="str">
        <f t="shared" si="12209"/>
        <v>0</v>
      </c>
      <c r="I6632" s="1" t="str">
        <f t="shared" si="12209"/>
        <v>0</v>
      </c>
      <c r="J6632" s="1" t="str">
        <f t="shared" si="12209"/>
        <v>0</v>
      </c>
      <c r="K6632" s="1" t="str">
        <f t="shared" si="12209"/>
        <v>0</v>
      </c>
      <c r="L6632" s="1" t="str">
        <f t="shared" si="12209"/>
        <v>0</v>
      </c>
      <c r="M6632" s="1" t="str">
        <f t="shared" si="12209"/>
        <v>0</v>
      </c>
      <c r="N6632" s="1" t="str">
        <f t="shared" si="12209"/>
        <v>0</v>
      </c>
      <c r="O6632" s="1" t="str">
        <f t="shared" si="12209"/>
        <v>0</v>
      </c>
      <c r="P6632" s="1" t="str">
        <f t="shared" si="12209"/>
        <v>0</v>
      </c>
      <c r="Q6632" s="1" t="str">
        <f t="shared" si="12168"/>
        <v>0.0070</v>
      </c>
      <c r="R6632" s="1" t="s">
        <v>25</v>
      </c>
      <c r="T6632" s="1" t="str">
        <f t="shared" si="12169"/>
        <v>0</v>
      </c>
      <c r="U6632" s="1" t="str">
        <f t="shared" si="12194"/>
        <v>0.0070</v>
      </c>
    </row>
    <row r="6633" s="1" customFormat="1" spans="1:21">
      <c r="A6633" s="1" t="str">
        <f>"4601992286890"</f>
        <v>4601992286890</v>
      </c>
      <c r="B6633" s="1" t="s">
        <v>6656</v>
      </c>
      <c r="C6633" s="1" t="s">
        <v>24</v>
      </c>
      <c r="D6633" s="1" t="str">
        <f t="shared" si="12166"/>
        <v>2021</v>
      </c>
      <c r="E6633" s="1" t="str">
        <f t="shared" ref="E6633:P6633" si="12210">"0"</f>
        <v>0</v>
      </c>
      <c r="F6633" s="1" t="str">
        <f t="shared" si="12210"/>
        <v>0</v>
      </c>
      <c r="G6633" s="1" t="str">
        <f t="shared" si="12210"/>
        <v>0</v>
      </c>
      <c r="H6633" s="1" t="str">
        <f t="shared" si="12210"/>
        <v>0</v>
      </c>
      <c r="I6633" s="1" t="str">
        <f t="shared" si="12210"/>
        <v>0</v>
      </c>
      <c r="J6633" s="1" t="str">
        <f t="shared" si="12210"/>
        <v>0</v>
      </c>
      <c r="K6633" s="1" t="str">
        <f t="shared" si="12210"/>
        <v>0</v>
      </c>
      <c r="L6633" s="1" t="str">
        <f t="shared" si="12210"/>
        <v>0</v>
      </c>
      <c r="M6633" s="1" t="str">
        <f t="shared" si="12210"/>
        <v>0</v>
      </c>
      <c r="N6633" s="1" t="str">
        <f t="shared" si="12210"/>
        <v>0</v>
      </c>
      <c r="O6633" s="1" t="str">
        <f t="shared" si="12210"/>
        <v>0</v>
      </c>
      <c r="P6633" s="1" t="str">
        <f t="shared" si="12210"/>
        <v>0</v>
      </c>
      <c r="Q6633" s="1" t="str">
        <f t="shared" si="12168"/>
        <v>0.0070</v>
      </c>
      <c r="R6633" s="1" t="s">
        <v>25</v>
      </c>
      <c r="T6633" s="1" t="str">
        <f t="shared" si="12169"/>
        <v>0</v>
      </c>
      <c r="U6633" s="1" t="str">
        <f t="shared" si="12194"/>
        <v>0.0070</v>
      </c>
    </row>
    <row r="6634" s="1" customFormat="1" spans="1:21">
      <c r="A6634" s="1" t="str">
        <f>"4601992287142"</f>
        <v>4601992287142</v>
      </c>
      <c r="B6634" s="1" t="s">
        <v>6657</v>
      </c>
      <c r="C6634" s="1" t="s">
        <v>24</v>
      </c>
      <c r="D6634" s="1" t="str">
        <f t="shared" si="12166"/>
        <v>2021</v>
      </c>
      <c r="E6634" s="1" t="str">
        <f t="shared" ref="E6634:P6634" si="12211">"0"</f>
        <v>0</v>
      </c>
      <c r="F6634" s="1" t="str">
        <f t="shared" si="12211"/>
        <v>0</v>
      </c>
      <c r="G6634" s="1" t="str">
        <f t="shared" si="12211"/>
        <v>0</v>
      </c>
      <c r="H6634" s="1" t="str">
        <f t="shared" si="12211"/>
        <v>0</v>
      </c>
      <c r="I6634" s="1" t="str">
        <f t="shared" si="12211"/>
        <v>0</v>
      </c>
      <c r="J6634" s="1" t="str">
        <f t="shared" si="12211"/>
        <v>0</v>
      </c>
      <c r="K6634" s="1" t="str">
        <f t="shared" si="12211"/>
        <v>0</v>
      </c>
      <c r="L6634" s="1" t="str">
        <f t="shared" si="12211"/>
        <v>0</v>
      </c>
      <c r="M6634" s="1" t="str">
        <f t="shared" si="12211"/>
        <v>0</v>
      </c>
      <c r="N6634" s="1" t="str">
        <f t="shared" si="12211"/>
        <v>0</v>
      </c>
      <c r="O6634" s="1" t="str">
        <f t="shared" si="12211"/>
        <v>0</v>
      </c>
      <c r="P6634" s="1" t="str">
        <f t="shared" si="12211"/>
        <v>0</v>
      </c>
      <c r="Q6634" s="1" t="str">
        <f t="shared" si="12168"/>
        <v>0.0070</v>
      </c>
      <c r="R6634" s="1" t="s">
        <v>25</v>
      </c>
      <c r="T6634" s="1" t="str">
        <f t="shared" si="12169"/>
        <v>0</v>
      </c>
      <c r="U6634" s="1" t="str">
        <f t="shared" si="12194"/>
        <v>0.0070</v>
      </c>
    </row>
    <row r="6635" s="1" customFormat="1" spans="1:21">
      <c r="A6635" s="1" t="str">
        <f>"4601992287200"</f>
        <v>4601992287200</v>
      </c>
      <c r="B6635" s="1" t="s">
        <v>6658</v>
      </c>
      <c r="C6635" s="1" t="s">
        <v>24</v>
      </c>
      <c r="D6635" s="1" t="str">
        <f t="shared" si="12166"/>
        <v>2021</v>
      </c>
      <c r="E6635" s="1" t="str">
        <f t="shared" ref="E6635:P6635" si="12212">"0"</f>
        <v>0</v>
      </c>
      <c r="F6635" s="1" t="str">
        <f t="shared" si="12212"/>
        <v>0</v>
      </c>
      <c r="G6635" s="1" t="str">
        <f t="shared" si="12212"/>
        <v>0</v>
      </c>
      <c r="H6635" s="1" t="str">
        <f t="shared" si="12212"/>
        <v>0</v>
      </c>
      <c r="I6635" s="1" t="str">
        <f t="shared" si="12212"/>
        <v>0</v>
      </c>
      <c r="J6635" s="1" t="str">
        <f t="shared" si="12212"/>
        <v>0</v>
      </c>
      <c r="K6635" s="1" t="str">
        <f t="shared" si="12212"/>
        <v>0</v>
      </c>
      <c r="L6635" s="1" t="str">
        <f t="shared" si="12212"/>
        <v>0</v>
      </c>
      <c r="M6635" s="1" t="str">
        <f t="shared" si="12212"/>
        <v>0</v>
      </c>
      <c r="N6635" s="1" t="str">
        <f t="shared" si="12212"/>
        <v>0</v>
      </c>
      <c r="O6635" s="1" t="str">
        <f t="shared" si="12212"/>
        <v>0</v>
      </c>
      <c r="P6635" s="1" t="str">
        <f t="shared" si="12212"/>
        <v>0</v>
      </c>
      <c r="Q6635" s="1" t="str">
        <f t="shared" si="12168"/>
        <v>0.0070</v>
      </c>
      <c r="R6635" s="1" t="s">
        <v>25</v>
      </c>
      <c r="T6635" s="1" t="str">
        <f t="shared" si="12169"/>
        <v>0</v>
      </c>
      <c r="U6635" s="1" t="str">
        <f t="shared" si="12194"/>
        <v>0.0070</v>
      </c>
    </row>
    <row r="6636" s="1" customFormat="1" spans="1:21">
      <c r="A6636" s="1" t="str">
        <f>"4601992287220"</f>
        <v>4601992287220</v>
      </c>
      <c r="B6636" s="1" t="s">
        <v>6659</v>
      </c>
      <c r="C6636" s="1" t="s">
        <v>24</v>
      </c>
      <c r="D6636" s="1" t="str">
        <f t="shared" si="12166"/>
        <v>2021</v>
      </c>
      <c r="E6636" s="1" t="str">
        <f t="shared" ref="E6636:P6636" si="12213">"0"</f>
        <v>0</v>
      </c>
      <c r="F6636" s="1" t="str">
        <f t="shared" si="12213"/>
        <v>0</v>
      </c>
      <c r="G6636" s="1" t="str">
        <f t="shared" si="12213"/>
        <v>0</v>
      </c>
      <c r="H6636" s="1" t="str">
        <f t="shared" si="12213"/>
        <v>0</v>
      </c>
      <c r="I6636" s="1" t="str">
        <f t="shared" si="12213"/>
        <v>0</v>
      </c>
      <c r="J6636" s="1" t="str">
        <f t="shared" si="12213"/>
        <v>0</v>
      </c>
      <c r="K6636" s="1" t="str">
        <f t="shared" si="12213"/>
        <v>0</v>
      </c>
      <c r="L6636" s="1" t="str">
        <f t="shared" si="12213"/>
        <v>0</v>
      </c>
      <c r="M6636" s="1" t="str">
        <f t="shared" si="12213"/>
        <v>0</v>
      </c>
      <c r="N6636" s="1" t="str">
        <f t="shared" si="12213"/>
        <v>0</v>
      </c>
      <c r="O6636" s="1" t="str">
        <f t="shared" si="12213"/>
        <v>0</v>
      </c>
      <c r="P6636" s="1" t="str">
        <f t="shared" si="12213"/>
        <v>0</v>
      </c>
      <c r="Q6636" s="1" t="str">
        <f t="shared" si="12168"/>
        <v>0.0070</v>
      </c>
      <c r="R6636" s="1" t="s">
        <v>25</v>
      </c>
      <c r="T6636" s="1" t="str">
        <f t="shared" si="12169"/>
        <v>0</v>
      </c>
      <c r="U6636" s="1" t="str">
        <f t="shared" si="12194"/>
        <v>0.0070</v>
      </c>
    </row>
    <row r="6637" s="1" customFormat="1" spans="1:21">
      <c r="A6637" s="1" t="str">
        <f>"4601992287234"</f>
        <v>4601992287234</v>
      </c>
      <c r="B6637" s="1" t="s">
        <v>6660</v>
      </c>
      <c r="C6637" s="1" t="s">
        <v>24</v>
      </c>
      <c r="D6637" s="1" t="str">
        <f t="shared" si="12166"/>
        <v>2021</v>
      </c>
      <c r="E6637" s="1" t="str">
        <f t="shared" ref="E6637:P6637" si="12214">"0"</f>
        <v>0</v>
      </c>
      <c r="F6637" s="1" t="str">
        <f t="shared" si="12214"/>
        <v>0</v>
      </c>
      <c r="G6637" s="1" t="str">
        <f t="shared" si="12214"/>
        <v>0</v>
      </c>
      <c r="H6637" s="1" t="str">
        <f t="shared" si="12214"/>
        <v>0</v>
      </c>
      <c r="I6637" s="1" t="str">
        <f t="shared" si="12214"/>
        <v>0</v>
      </c>
      <c r="J6637" s="1" t="str">
        <f t="shared" si="12214"/>
        <v>0</v>
      </c>
      <c r="K6637" s="1" t="str">
        <f t="shared" si="12214"/>
        <v>0</v>
      </c>
      <c r="L6637" s="1" t="str">
        <f t="shared" si="12214"/>
        <v>0</v>
      </c>
      <c r="M6637" s="1" t="str">
        <f t="shared" si="12214"/>
        <v>0</v>
      </c>
      <c r="N6637" s="1" t="str">
        <f t="shared" si="12214"/>
        <v>0</v>
      </c>
      <c r="O6637" s="1" t="str">
        <f t="shared" si="12214"/>
        <v>0</v>
      </c>
      <c r="P6637" s="1" t="str">
        <f t="shared" si="12214"/>
        <v>0</v>
      </c>
      <c r="Q6637" s="1" t="str">
        <f t="shared" si="12168"/>
        <v>0.0070</v>
      </c>
      <c r="R6637" s="1" t="s">
        <v>25</v>
      </c>
      <c r="T6637" s="1" t="str">
        <f t="shared" si="12169"/>
        <v>0</v>
      </c>
      <c r="U6637" s="1" t="str">
        <f t="shared" si="12194"/>
        <v>0.0070</v>
      </c>
    </row>
    <row r="6638" s="1" customFormat="1" spans="1:21">
      <c r="A6638" s="1" t="str">
        <f>"4601992287239"</f>
        <v>4601992287239</v>
      </c>
      <c r="B6638" s="1" t="s">
        <v>6661</v>
      </c>
      <c r="C6638" s="1" t="s">
        <v>24</v>
      </c>
      <c r="D6638" s="1" t="str">
        <f t="shared" si="12166"/>
        <v>2021</v>
      </c>
      <c r="E6638" s="1" t="str">
        <f t="shared" ref="E6638:P6638" si="12215">"0"</f>
        <v>0</v>
      </c>
      <c r="F6638" s="1" t="str">
        <f t="shared" si="12215"/>
        <v>0</v>
      </c>
      <c r="G6638" s="1" t="str">
        <f t="shared" si="12215"/>
        <v>0</v>
      </c>
      <c r="H6638" s="1" t="str">
        <f t="shared" si="12215"/>
        <v>0</v>
      </c>
      <c r="I6638" s="1" t="str">
        <f t="shared" si="12215"/>
        <v>0</v>
      </c>
      <c r="J6638" s="1" t="str">
        <f t="shared" si="12215"/>
        <v>0</v>
      </c>
      <c r="K6638" s="1" t="str">
        <f t="shared" si="12215"/>
        <v>0</v>
      </c>
      <c r="L6638" s="1" t="str">
        <f t="shared" si="12215"/>
        <v>0</v>
      </c>
      <c r="M6638" s="1" t="str">
        <f t="shared" si="12215"/>
        <v>0</v>
      </c>
      <c r="N6638" s="1" t="str">
        <f t="shared" si="12215"/>
        <v>0</v>
      </c>
      <c r="O6638" s="1" t="str">
        <f t="shared" si="12215"/>
        <v>0</v>
      </c>
      <c r="P6638" s="1" t="str">
        <f t="shared" si="12215"/>
        <v>0</v>
      </c>
      <c r="Q6638" s="1" t="str">
        <f t="shared" si="12168"/>
        <v>0.0070</v>
      </c>
      <c r="R6638" s="1" t="s">
        <v>25</v>
      </c>
      <c r="T6638" s="1" t="str">
        <f t="shared" si="12169"/>
        <v>0</v>
      </c>
      <c r="U6638" s="1" t="str">
        <f t="shared" si="12194"/>
        <v>0.0070</v>
      </c>
    </row>
    <row r="6639" s="1" customFormat="1" spans="1:21">
      <c r="A6639" s="1" t="str">
        <f>"4601992287261"</f>
        <v>4601992287261</v>
      </c>
      <c r="B6639" s="1" t="s">
        <v>6662</v>
      </c>
      <c r="C6639" s="1" t="s">
        <v>24</v>
      </c>
      <c r="D6639" s="1" t="str">
        <f t="shared" si="12166"/>
        <v>2021</v>
      </c>
      <c r="E6639" s="1" t="str">
        <f t="shared" ref="E6639:P6639" si="12216">"0"</f>
        <v>0</v>
      </c>
      <c r="F6639" s="1" t="str">
        <f t="shared" si="12216"/>
        <v>0</v>
      </c>
      <c r="G6639" s="1" t="str">
        <f t="shared" si="12216"/>
        <v>0</v>
      </c>
      <c r="H6639" s="1" t="str">
        <f t="shared" si="12216"/>
        <v>0</v>
      </c>
      <c r="I6639" s="1" t="str">
        <f t="shared" si="12216"/>
        <v>0</v>
      </c>
      <c r="J6639" s="1" t="str">
        <f t="shared" si="12216"/>
        <v>0</v>
      </c>
      <c r="K6639" s="1" t="str">
        <f t="shared" si="12216"/>
        <v>0</v>
      </c>
      <c r="L6639" s="1" t="str">
        <f t="shared" si="12216"/>
        <v>0</v>
      </c>
      <c r="M6639" s="1" t="str">
        <f t="shared" si="12216"/>
        <v>0</v>
      </c>
      <c r="N6639" s="1" t="str">
        <f t="shared" si="12216"/>
        <v>0</v>
      </c>
      <c r="O6639" s="1" t="str">
        <f t="shared" si="12216"/>
        <v>0</v>
      </c>
      <c r="P6639" s="1" t="str">
        <f t="shared" si="12216"/>
        <v>0</v>
      </c>
      <c r="Q6639" s="1" t="str">
        <f t="shared" si="12168"/>
        <v>0.0070</v>
      </c>
      <c r="R6639" s="1" t="s">
        <v>25</v>
      </c>
      <c r="T6639" s="1" t="str">
        <f t="shared" si="12169"/>
        <v>0</v>
      </c>
      <c r="U6639" s="1" t="str">
        <f t="shared" si="12194"/>
        <v>0.0070</v>
      </c>
    </row>
    <row r="6640" s="1" customFormat="1" spans="1:21">
      <c r="A6640" s="1" t="str">
        <f>"4601992287275"</f>
        <v>4601992287275</v>
      </c>
      <c r="B6640" s="1" t="s">
        <v>6663</v>
      </c>
      <c r="C6640" s="1" t="s">
        <v>24</v>
      </c>
      <c r="D6640" s="1" t="str">
        <f t="shared" si="12166"/>
        <v>2021</v>
      </c>
      <c r="E6640" s="1" t="str">
        <f t="shared" ref="E6640:P6640" si="12217">"0"</f>
        <v>0</v>
      </c>
      <c r="F6640" s="1" t="str">
        <f t="shared" si="12217"/>
        <v>0</v>
      </c>
      <c r="G6640" s="1" t="str">
        <f t="shared" si="12217"/>
        <v>0</v>
      </c>
      <c r="H6640" s="1" t="str">
        <f t="shared" si="12217"/>
        <v>0</v>
      </c>
      <c r="I6640" s="1" t="str">
        <f t="shared" si="12217"/>
        <v>0</v>
      </c>
      <c r="J6640" s="1" t="str">
        <f t="shared" si="12217"/>
        <v>0</v>
      </c>
      <c r="K6640" s="1" t="str">
        <f t="shared" si="12217"/>
        <v>0</v>
      </c>
      <c r="L6640" s="1" t="str">
        <f t="shared" si="12217"/>
        <v>0</v>
      </c>
      <c r="M6640" s="1" t="str">
        <f t="shared" si="12217"/>
        <v>0</v>
      </c>
      <c r="N6640" s="1" t="str">
        <f t="shared" si="12217"/>
        <v>0</v>
      </c>
      <c r="O6640" s="1" t="str">
        <f t="shared" si="12217"/>
        <v>0</v>
      </c>
      <c r="P6640" s="1" t="str">
        <f t="shared" si="12217"/>
        <v>0</v>
      </c>
      <c r="Q6640" s="1" t="str">
        <f t="shared" si="12168"/>
        <v>0.0070</v>
      </c>
      <c r="R6640" s="1" t="s">
        <v>25</v>
      </c>
      <c r="T6640" s="1" t="str">
        <f t="shared" si="12169"/>
        <v>0</v>
      </c>
      <c r="U6640" s="1" t="str">
        <f t="shared" si="12194"/>
        <v>0.0070</v>
      </c>
    </row>
    <row r="6641" s="1" customFormat="1" spans="1:21">
      <c r="A6641" s="1" t="str">
        <f>"4601992287289"</f>
        <v>4601992287289</v>
      </c>
      <c r="B6641" s="1" t="s">
        <v>6664</v>
      </c>
      <c r="C6641" s="1" t="s">
        <v>24</v>
      </c>
      <c r="D6641" s="1" t="str">
        <f t="shared" si="12166"/>
        <v>2021</v>
      </c>
      <c r="E6641" s="1" t="str">
        <f t="shared" ref="E6641:P6641" si="12218">"0"</f>
        <v>0</v>
      </c>
      <c r="F6641" s="1" t="str">
        <f t="shared" si="12218"/>
        <v>0</v>
      </c>
      <c r="G6641" s="1" t="str">
        <f t="shared" si="12218"/>
        <v>0</v>
      </c>
      <c r="H6641" s="1" t="str">
        <f t="shared" si="12218"/>
        <v>0</v>
      </c>
      <c r="I6641" s="1" t="str">
        <f t="shared" si="12218"/>
        <v>0</v>
      </c>
      <c r="J6641" s="1" t="str">
        <f t="shared" si="12218"/>
        <v>0</v>
      </c>
      <c r="K6641" s="1" t="str">
        <f t="shared" si="12218"/>
        <v>0</v>
      </c>
      <c r="L6641" s="1" t="str">
        <f t="shared" si="12218"/>
        <v>0</v>
      </c>
      <c r="M6641" s="1" t="str">
        <f t="shared" si="12218"/>
        <v>0</v>
      </c>
      <c r="N6641" s="1" t="str">
        <f t="shared" si="12218"/>
        <v>0</v>
      </c>
      <c r="O6641" s="1" t="str">
        <f t="shared" si="12218"/>
        <v>0</v>
      </c>
      <c r="P6641" s="1" t="str">
        <f t="shared" si="12218"/>
        <v>0</v>
      </c>
      <c r="Q6641" s="1" t="str">
        <f t="shared" si="12168"/>
        <v>0.0070</v>
      </c>
      <c r="R6641" s="1" t="s">
        <v>25</v>
      </c>
      <c r="T6641" s="1" t="str">
        <f t="shared" si="12169"/>
        <v>0</v>
      </c>
      <c r="U6641" s="1" t="str">
        <f t="shared" si="12194"/>
        <v>0.0070</v>
      </c>
    </row>
    <row r="6642" s="1" customFormat="1" spans="1:21">
      <c r="A6642" s="1" t="str">
        <f>"4601992287310"</f>
        <v>4601992287310</v>
      </c>
      <c r="B6642" s="1" t="s">
        <v>6665</v>
      </c>
      <c r="C6642" s="1" t="s">
        <v>24</v>
      </c>
      <c r="D6642" s="1" t="str">
        <f t="shared" si="12166"/>
        <v>2021</v>
      </c>
      <c r="E6642" s="1" t="str">
        <f t="shared" ref="E6642:P6642" si="12219">"0"</f>
        <v>0</v>
      </c>
      <c r="F6642" s="1" t="str">
        <f t="shared" si="12219"/>
        <v>0</v>
      </c>
      <c r="G6642" s="1" t="str">
        <f t="shared" si="12219"/>
        <v>0</v>
      </c>
      <c r="H6642" s="1" t="str">
        <f t="shared" si="12219"/>
        <v>0</v>
      </c>
      <c r="I6642" s="1" t="str">
        <f t="shared" si="12219"/>
        <v>0</v>
      </c>
      <c r="J6642" s="1" t="str">
        <f t="shared" si="12219"/>
        <v>0</v>
      </c>
      <c r="K6642" s="1" t="str">
        <f t="shared" si="12219"/>
        <v>0</v>
      </c>
      <c r="L6642" s="1" t="str">
        <f t="shared" si="12219"/>
        <v>0</v>
      </c>
      <c r="M6642" s="1" t="str">
        <f t="shared" si="12219"/>
        <v>0</v>
      </c>
      <c r="N6642" s="1" t="str">
        <f t="shared" si="12219"/>
        <v>0</v>
      </c>
      <c r="O6642" s="1" t="str">
        <f t="shared" si="12219"/>
        <v>0</v>
      </c>
      <c r="P6642" s="1" t="str">
        <f t="shared" si="12219"/>
        <v>0</v>
      </c>
      <c r="Q6642" s="1" t="str">
        <f t="shared" si="12168"/>
        <v>0.0070</v>
      </c>
      <c r="R6642" s="1" t="s">
        <v>25</v>
      </c>
      <c r="T6642" s="1" t="str">
        <f t="shared" si="12169"/>
        <v>0</v>
      </c>
      <c r="U6642" s="1" t="str">
        <f t="shared" si="12194"/>
        <v>0.0070</v>
      </c>
    </row>
    <row r="6643" s="1" customFormat="1" spans="1:21">
      <c r="A6643" s="1" t="str">
        <f>"4601992287315"</f>
        <v>4601992287315</v>
      </c>
      <c r="B6643" s="1" t="s">
        <v>6666</v>
      </c>
      <c r="C6643" s="1" t="s">
        <v>24</v>
      </c>
      <c r="D6643" s="1" t="str">
        <f t="shared" si="12166"/>
        <v>2021</v>
      </c>
      <c r="E6643" s="1" t="str">
        <f t="shared" ref="E6643:P6643" si="12220">"0"</f>
        <v>0</v>
      </c>
      <c r="F6643" s="1" t="str">
        <f t="shared" si="12220"/>
        <v>0</v>
      </c>
      <c r="G6643" s="1" t="str">
        <f t="shared" si="12220"/>
        <v>0</v>
      </c>
      <c r="H6643" s="1" t="str">
        <f t="shared" si="12220"/>
        <v>0</v>
      </c>
      <c r="I6643" s="1" t="str">
        <f t="shared" si="12220"/>
        <v>0</v>
      </c>
      <c r="J6643" s="1" t="str">
        <f t="shared" si="12220"/>
        <v>0</v>
      </c>
      <c r="K6643" s="1" t="str">
        <f t="shared" si="12220"/>
        <v>0</v>
      </c>
      <c r="L6643" s="1" t="str">
        <f t="shared" si="12220"/>
        <v>0</v>
      </c>
      <c r="M6643" s="1" t="str">
        <f t="shared" si="12220"/>
        <v>0</v>
      </c>
      <c r="N6643" s="1" t="str">
        <f t="shared" si="12220"/>
        <v>0</v>
      </c>
      <c r="O6643" s="1" t="str">
        <f t="shared" si="12220"/>
        <v>0</v>
      </c>
      <c r="P6643" s="1" t="str">
        <f t="shared" si="12220"/>
        <v>0</v>
      </c>
      <c r="Q6643" s="1" t="str">
        <f t="shared" si="12168"/>
        <v>0.0070</v>
      </c>
      <c r="R6643" s="1" t="s">
        <v>25</v>
      </c>
      <c r="T6643" s="1" t="str">
        <f t="shared" si="12169"/>
        <v>0</v>
      </c>
      <c r="U6643" s="1" t="str">
        <f t="shared" si="12194"/>
        <v>0.0070</v>
      </c>
    </row>
    <row r="6644" s="1" customFormat="1" spans="1:21">
      <c r="A6644" s="1" t="str">
        <f>"4601992287340"</f>
        <v>4601992287340</v>
      </c>
      <c r="B6644" s="1" t="s">
        <v>6667</v>
      </c>
      <c r="C6644" s="1" t="s">
        <v>24</v>
      </c>
      <c r="D6644" s="1" t="str">
        <f t="shared" si="12166"/>
        <v>2021</v>
      </c>
      <c r="E6644" s="1" t="str">
        <f t="shared" ref="E6644:P6644" si="12221">"0"</f>
        <v>0</v>
      </c>
      <c r="F6644" s="1" t="str">
        <f t="shared" si="12221"/>
        <v>0</v>
      </c>
      <c r="G6644" s="1" t="str">
        <f t="shared" si="12221"/>
        <v>0</v>
      </c>
      <c r="H6644" s="1" t="str">
        <f t="shared" si="12221"/>
        <v>0</v>
      </c>
      <c r="I6644" s="1" t="str">
        <f t="shared" si="12221"/>
        <v>0</v>
      </c>
      <c r="J6644" s="1" t="str">
        <f t="shared" si="12221"/>
        <v>0</v>
      </c>
      <c r="K6644" s="1" t="str">
        <f t="shared" si="12221"/>
        <v>0</v>
      </c>
      <c r="L6644" s="1" t="str">
        <f t="shared" si="12221"/>
        <v>0</v>
      </c>
      <c r="M6644" s="1" t="str">
        <f t="shared" si="12221"/>
        <v>0</v>
      </c>
      <c r="N6644" s="1" t="str">
        <f t="shared" si="12221"/>
        <v>0</v>
      </c>
      <c r="O6644" s="1" t="str">
        <f t="shared" si="12221"/>
        <v>0</v>
      </c>
      <c r="P6644" s="1" t="str">
        <f t="shared" si="12221"/>
        <v>0</v>
      </c>
      <c r="Q6644" s="1" t="str">
        <f t="shared" si="12168"/>
        <v>0.0070</v>
      </c>
      <c r="R6644" s="1" t="s">
        <v>25</v>
      </c>
      <c r="T6644" s="1" t="str">
        <f t="shared" si="12169"/>
        <v>0</v>
      </c>
      <c r="U6644" s="1" t="str">
        <f t="shared" si="12194"/>
        <v>0.0070</v>
      </c>
    </row>
    <row r="6645" s="1" customFormat="1" spans="1:21">
      <c r="A6645" s="1" t="str">
        <f>"4601992287370"</f>
        <v>4601992287370</v>
      </c>
      <c r="B6645" s="1" t="s">
        <v>6668</v>
      </c>
      <c r="C6645" s="1" t="s">
        <v>24</v>
      </c>
      <c r="D6645" s="1" t="str">
        <f t="shared" si="12166"/>
        <v>2021</v>
      </c>
      <c r="E6645" s="1" t="str">
        <f t="shared" ref="E6645:P6645" si="12222">"0"</f>
        <v>0</v>
      </c>
      <c r="F6645" s="1" t="str">
        <f t="shared" si="12222"/>
        <v>0</v>
      </c>
      <c r="G6645" s="1" t="str">
        <f t="shared" si="12222"/>
        <v>0</v>
      </c>
      <c r="H6645" s="1" t="str">
        <f t="shared" si="12222"/>
        <v>0</v>
      </c>
      <c r="I6645" s="1" t="str">
        <f t="shared" si="12222"/>
        <v>0</v>
      </c>
      <c r="J6645" s="1" t="str">
        <f t="shared" si="12222"/>
        <v>0</v>
      </c>
      <c r="K6645" s="1" t="str">
        <f t="shared" si="12222"/>
        <v>0</v>
      </c>
      <c r="L6645" s="1" t="str">
        <f t="shared" si="12222"/>
        <v>0</v>
      </c>
      <c r="M6645" s="1" t="str">
        <f t="shared" si="12222"/>
        <v>0</v>
      </c>
      <c r="N6645" s="1" t="str">
        <f t="shared" si="12222"/>
        <v>0</v>
      </c>
      <c r="O6645" s="1" t="str">
        <f t="shared" si="12222"/>
        <v>0</v>
      </c>
      <c r="P6645" s="1" t="str">
        <f t="shared" si="12222"/>
        <v>0</v>
      </c>
      <c r="Q6645" s="1" t="str">
        <f t="shared" si="12168"/>
        <v>0.0070</v>
      </c>
      <c r="R6645" s="1" t="s">
        <v>25</v>
      </c>
      <c r="T6645" s="1" t="str">
        <f t="shared" si="12169"/>
        <v>0</v>
      </c>
      <c r="U6645" s="1" t="str">
        <f t="shared" si="12194"/>
        <v>0.0070</v>
      </c>
    </row>
    <row r="6646" s="1" customFormat="1" spans="1:21">
      <c r="A6646" s="1" t="str">
        <f>"4601992287449"</f>
        <v>4601992287449</v>
      </c>
      <c r="B6646" s="1" t="s">
        <v>6669</v>
      </c>
      <c r="C6646" s="1" t="s">
        <v>24</v>
      </c>
      <c r="D6646" s="1" t="str">
        <f t="shared" si="12166"/>
        <v>2021</v>
      </c>
      <c r="E6646" s="1" t="str">
        <f t="shared" ref="E6646:P6646" si="12223">"0"</f>
        <v>0</v>
      </c>
      <c r="F6646" s="1" t="str">
        <f t="shared" si="12223"/>
        <v>0</v>
      </c>
      <c r="G6646" s="1" t="str">
        <f t="shared" si="12223"/>
        <v>0</v>
      </c>
      <c r="H6646" s="1" t="str">
        <f t="shared" si="12223"/>
        <v>0</v>
      </c>
      <c r="I6646" s="1" t="str">
        <f t="shared" si="12223"/>
        <v>0</v>
      </c>
      <c r="J6646" s="1" t="str">
        <f t="shared" si="12223"/>
        <v>0</v>
      </c>
      <c r="K6646" s="1" t="str">
        <f t="shared" si="12223"/>
        <v>0</v>
      </c>
      <c r="L6646" s="1" t="str">
        <f t="shared" si="12223"/>
        <v>0</v>
      </c>
      <c r="M6646" s="1" t="str">
        <f t="shared" si="12223"/>
        <v>0</v>
      </c>
      <c r="N6646" s="1" t="str">
        <f t="shared" si="12223"/>
        <v>0</v>
      </c>
      <c r="O6646" s="1" t="str">
        <f t="shared" si="12223"/>
        <v>0</v>
      </c>
      <c r="P6646" s="1" t="str">
        <f t="shared" si="12223"/>
        <v>0</v>
      </c>
      <c r="Q6646" s="1" t="str">
        <f t="shared" si="12168"/>
        <v>0.0070</v>
      </c>
      <c r="R6646" s="1" t="s">
        <v>25</v>
      </c>
      <c r="T6646" s="1" t="str">
        <f t="shared" si="12169"/>
        <v>0</v>
      </c>
      <c r="U6646" s="1" t="str">
        <f t="shared" si="12194"/>
        <v>0.0070</v>
      </c>
    </row>
    <row r="6647" s="1" customFormat="1" spans="1:21">
      <c r="A6647" s="1" t="str">
        <f>"4601992287457"</f>
        <v>4601992287457</v>
      </c>
      <c r="B6647" s="1" t="s">
        <v>6670</v>
      </c>
      <c r="C6647" s="1" t="s">
        <v>24</v>
      </c>
      <c r="D6647" s="1" t="str">
        <f t="shared" si="12166"/>
        <v>2021</v>
      </c>
      <c r="E6647" s="1" t="str">
        <f t="shared" ref="E6647:P6647" si="12224">"0"</f>
        <v>0</v>
      </c>
      <c r="F6647" s="1" t="str">
        <f t="shared" si="12224"/>
        <v>0</v>
      </c>
      <c r="G6647" s="1" t="str">
        <f t="shared" si="12224"/>
        <v>0</v>
      </c>
      <c r="H6647" s="1" t="str">
        <f t="shared" si="12224"/>
        <v>0</v>
      </c>
      <c r="I6647" s="1" t="str">
        <f t="shared" si="12224"/>
        <v>0</v>
      </c>
      <c r="J6647" s="1" t="str">
        <f t="shared" si="12224"/>
        <v>0</v>
      </c>
      <c r="K6647" s="1" t="str">
        <f t="shared" si="12224"/>
        <v>0</v>
      </c>
      <c r="L6647" s="1" t="str">
        <f t="shared" si="12224"/>
        <v>0</v>
      </c>
      <c r="M6647" s="1" t="str">
        <f t="shared" si="12224"/>
        <v>0</v>
      </c>
      <c r="N6647" s="1" t="str">
        <f t="shared" si="12224"/>
        <v>0</v>
      </c>
      <c r="O6647" s="1" t="str">
        <f t="shared" si="12224"/>
        <v>0</v>
      </c>
      <c r="P6647" s="1" t="str">
        <f t="shared" si="12224"/>
        <v>0</v>
      </c>
      <c r="Q6647" s="1" t="str">
        <f t="shared" si="12168"/>
        <v>0.0070</v>
      </c>
      <c r="R6647" s="1" t="s">
        <v>25</v>
      </c>
      <c r="T6647" s="1" t="str">
        <f t="shared" si="12169"/>
        <v>0</v>
      </c>
      <c r="U6647" s="1" t="str">
        <f t="shared" si="12194"/>
        <v>0.0070</v>
      </c>
    </row>
    <row r="6648" s="1" customFormat="1" spans="1:21">
      <c r="A6648" s="1" t="str">
        <f>"4601992287465"</f>
        <v>4601992287465</v>
      </c>
      <c r="B6648" s="1" t="s">
        <v>6671</v>
      </c>
      <c r="C6648" s="1" t="s">
        <v>24</v>
      </c>
      <c r="D6648" s="1" t="str">
        <f t="shared" si="12166"/>
        <v>2021</v>
      </c>
      <c r="E6648" s="1" t="str">
        <f t="shared" ref="E6648:P6648" si="12225">"0"</f>
        <v>0</v>
      </c>
      <c r="F6648" s="1" t="str">
        <f t="shared" si="12225"/>
        <v>0</v>
      </c>
      <c r="G6648" s="1" t="str">
        <f t="shared" si="12225"/>
        <v>0</v>
      </c>
      <c r="H6648" s="1" t="str">
        <f t="shared" si="12225"/>
        <v>0</v>
      </c>
      <c r="I6648" s="1" t="str">
        <f t="shared" si="12225"/>
        <v>0</v>
      </c>
      <c r="J6648" s="1" t="str">
        <f t="shared" si="12225"/>
        <v>0</v>
      </c>
      <c r="K6648" s="1" t="str">
        <f t="shared" si="12225"/>
        <v>0</v>
      </c>
      <c r="L6648" s="1" t="str">
        <f t="shared" si="12225"/>
        <v>0</v>
      </c>
      <c r="M6648" s="1" t="str">
        <f t="shared" si="12225"/>
        <v>0</v>
      </c>
      <c r="N6648" s="1" t="str">
        <f t="shared" si="12225"/>
        <v>0</v>
      </c>
      <c r="O6648" s="1" t="str">
        <f t="shared" si="12225"/>
        <v>0</v>
      </c>
      <c r="P6648" s="1" t="str">
        <f t="shared" si="12225"/>
        <v>0</v>
      </c>
      <c r="Q6648" s="1" t="str">
        <f t="shared" si="12168"/>
        <v>0.0070</v>
      </c>
      <c r="R6648" s="1" t="s">
        <v>25</v>
      </c>
      <c r="T6648" s="1" t="str">
        <f t="shared" si="12169"/>
        <v>0</v>
      </c>
      <c r="U6648" s="1" t="str">
        <f t="shared" si="12194"/>
        <v>0.0070</v>
      </c>
    </row>
    <row r="6649" s="1" customFormat="1" spans="1:21">
      <c r="A6649" s="1" t="str">
        <f>"4601992287482"</f>
        <v>4601992287482</v>
      </c>
      <c r="B6649" s="1" t="s">
        <v>6672</v>
      </c>
      <c r="C6649" s="1" t="s">
        <v>24</v>
      </c>
      <c r="D6649" s="1" t="str">
        <f t="shared" si="12166"/>
        <v>2021</v>
      </c>
      <c r="E6649" s="1" t="str">
        <f t="shared" ref="E6649:P6649" si="12226">"0"</f>
        <v>0</v>
      </c>
      <c r="F6649" s="1" t="str">
        <f t="shared" si="12226"/>
        <v>0</v>
      </c>
      <c r="G6649" s="1" t="str">
        <f t="shared" si="12226"/>
        <v>0</v>
      </c>
      <c r="H6649" s="1" t="str">
        <f t="shared" si="12226"/>
        <v>0</v>
      </c>
      <c r="I6649" s="1" t="str">
        <f t="shared" si="12226"/>
        <v>0</v>
      </c>
      <c r="J6649" s="1" t="str">
        <f t="shared" si="12226"/>
        <v>0</v>
      </c>
      <c r="K6649" s="1" t="str">
        <f t="shared" si="12226"/>
        <v>0</v>
      </c>
      <c r="L6649" s="1" t="str">
        <f t="shared" si="12226"/>
        <v>0</v>
      </c>
      <c r="M6649" s="1" t="str">
        <f t="shared" si="12226"/>
        <v>0</v>
      </c>
      <c r="N6649" s="1" t="str">
        <f t="shared" si="12226"/>
        <v>0</v>
      </c>
      <c r="O6649" s="1" t="str">
        <f t="shared" si="12226"/>
        <v>0</v>
      </c>
      <c r="P6649" s="1" t="str">
        <f t="shared" si="12226"/>
        <v>0</v>
      </c>
      <c r="Q6649" s="1" t="str">
        <f t="shared" si="12168"/>
        <v>0.0070</v>
      </c>
      <c r="R6649" s="1" t="s">
        <v>25</v>
      </c>
      <c r="T6649" s="1" t="str">
        <f t="shared" si="12169"/>
        <v>0</v>
      </c>
      <c r="U6649" s="1" t="str">
        <f t="shared" si="12194"/>
        <v>0.0070</v>
      </c>
    </row>
    <row r="6650" s="1" customFormat="1" spans="1:21">
      <c r="A6650" s="1" t="str">
        <f>"4601992287507"</f>
        <v>4601992287507</v>
      </c>
      <c r="B6650" s="1" t="s">
        <v>6673</v>
      </c>
      <c r="C6650" s="1" t="s">
        <v>24</v>
      </c>
      <c r="D6650" s="1" t="str">
        <f t="shared" si="12166"/>
        <v>2021</v>
      </c>
      <c r="E6650" s="1" t="str">
        <f t="shared" ref="E6650:P6650" si="12227">"0"</f>
        <v>0</v>
      </c>
      <c r="F6650" s="1" t="str">
        <f t="shared" si="12227"/>
        <v>0</v>
      </c>
      <c r="G6650" s="1" t="str">
        <f t="shared" si="12227"/>
        <v>0</v>
      </c>
      <c r="H6650" s="1" t="str">
        <f t="shared" si="12227"/>
        <v>0</v>
      </c>
      <c r="I6650" s="1" t="str">
        <f t="shared" si="12227"/>
        <v>0</v>
      </c>
      <c r="J6650" s="1" t="str">
        <f t="shared" si="12227"/>
        <v>0</v>
      </c>
      <c r="K6650" s="1" t="str">
        <f t="shared" si="12227"/>
        <v>0</v>
      </c>
      <c r="L6650" s="1" t="str">
        <f t="shared" si="12227"/>
        <v>0</v>
      </c>
      <c r="M6650" s="1" t="str">
        <f t="shared" si="12227"/>
        <v>0</v>
      </c>
      <c r="N6650" s="1" t="str">
        <f t="shared" si="12227"/>
        <v>0</v>
      </c>
      <c r="O6650" s="1" t="str">
        <f t="shared" si="12227"/>
        <v>0</v>
      </c>
      <c r="P6650" s="1" t="str">
        <f t="shared" si="12227"/>
        <v>0</v>
      </c>
      <c r="Q6650" s="1" t="str">
        <f t="shared" si="12168"/>
        <v>0.0070</v>
      </c>
      <c r="R6650" s="1" t="s">
        <v>25</v>
      </c>
      <c r="T6650" s="1" t="str">
        <f t="shared" si="12169"/>
        <v>0</v>
      </c>
      <c r="U6650" s="1" t="str">
        <f t="shared" si="12194"/>
        <v>0.0070</v>
      </c>
    </row>
    <row r="6651" s="1" customFormat="1" spans="1:21">
      <c r="A6651" s="1" t="str">
        <f>"4601992287511"</f>
        <v>4601992287511</v>
      </c>
      <c r="B6651" s="1" t="s">
        <v>6674</v>
      </c>
      <c r="C6651" s="1" t="s">
        <v>24</v>
      </c>
      <c r="D6651" s="1" t="str">
        <f t="shared" si="12166"/>
        <v>2021</v>
      </c>
      <c r="E6651" s="1" t="str">
        <f t="shared" ref="E6651:P6651" si="12228">"0"</f>
        <v>0</v>
      </c>
      <c r="F6651" s="1" t="str">
        <f t="shared" si="12228"/>
        <v>0</v>
      </c>
      <c r="G6651" s="1" t="str">
        <f t="shared" si="12228"/>
        <v>0</v>
      </c>
      <c r="H6651" s="1" t="str">
        <f t="shared" si="12228"/>
        <v>0</v>
      </c>
      <c r="I6651" s="1" t="str">
        <f t="shared" si="12228"/>
        <v>0</v>
      </c>
      <c r="J6651" s="1" t="str">
        <f t="shared" si="12228"/>
        <v>0</v>
      </c>
      <c r="K6651" s="1" t="str">
        <f t="shared" si="12228"/>
        <v>0</v>
      </c>
      <c r="L6651" s="1" t="str">
        <f t="shared" si="12228"/>
        <v>0</v>
      </c>
      <c r="M6651" s="1" t="str">
        <f t="shared" si="12228"/>
        <v>0</v>
      </c>
      <c r="N6651" s="1" t="str">
        <f t="shared" si="12228"/>
        <v>0</v>
      </c>
      <c r="O6651" s="1" t="str">
        <f t="shared" si="12228"/>
        <v>0</v>
      </c>
      <c r="P6651" s="1" t="str">
        <f t="shared" si="12228"/>
        <v>0</v>
      </c>
      <c r="Q6651" s="1" t="str">
        <f t="shared" si="12168"/>
        <v>0.0070</v>
      </c>
      <c r="R6651" s="1" t="s">
        <v>25</v>
      </c>
      <c r="T6651" s="1" t="str">
        <f t="shared" si="12169"/>
        <v>0</v>
      </c>
      <c r="U6651" s="1" t="str">
        <f t="shared" si="12194"/>
        <v>0.0070</v>
      </c>
    </row>
    <row r="6652" s="1" customFormat="1" spans="1:21">
      <c r="A6652" s="1" t="str">
        <f>"4601992287515"</f>
        <v>4601992287515</v>
      </c>
      <c r="B6652" s="1" t="s">
        <v>6675</v>
      </c>
      <c r="C6652" s="1" t="s">
        <v>24</v>
      </c>
      <c r="D6652" s="1" t="str">
        <f t="shared" si="12166"/>
        <v>2021</v>
      </c>
      <c r="E6652" s="1" t="str">
        <f t="shared" ref="E6652:P6652" si="12229">"0"</f>
        <v>0</v>
      </c>
      <c r="F6652" s="1" t="str">
        <f t="shared" si="12229"/>
        <v>0</v>
      </c>
      <c r="G6652" s="1" t="str">
        <f t="shared" si="12229"/>
        <v>0</v>
      </c>
      <c r="H6652" s="1" t="str">
        <f t="shared" si="12229"/>
        <v>0</v>
      </c>
      <c r="I6652" s="1" t="str">
        <f t="shared" si="12229"/>
        <v>0</v>
      </c>
      <c r="J6652" s="1" t="str">
        <f t="shared" si="12229"/>
        <v>0</v>
      </c>
      <c r="K6652" s="1" t="str">
        <f t="shared" si="12229"/>
        <v>0</v>
      </c>
      <c r="L6652" s="1" t="str">
        <f t="shared" si="12229"/>
        <v>0</v>
      </c>
      <c r="M6652" s="1" t="str">
        <f t="shared" si="12229"/>
        <v>0</v>
      </c>
      <c r="N6652" s="1" t="str">
        <f t="shared" si="12229"/>
        <v>0</v>
      </c>
      <c r="O6652" s="1" t="str">
        <f t="shared" si="12229"/>
        <v>0</v>
      </c>
      <c r="P6652" s="1" t="str">
        <f t="shared" si="12229"/>
        <v>0</v>
      </c>
      <c r="Q6652" s="1" t="str">
        <f t="shared" si="12168"/>
        <v>0.0070</v>
      </c>
      <c r="R6652" s="1" t="s">
        <v>25</v>
      </c>
      <c r="T6652" s="1" t="str">
        <f t="shared" si="12169"/>
        <v>0</v>
      </c>
      <c r="U6652" s="1" t="str">
        <f t="shared" si="12194"/>
        <v>0.0070</v>
      </c>
    </row>
    <row r="6653" s="1" customFormat="1" spans="1:21">
      <c r="A6653" s="1" t="str">
        <f>"4601992287529"</f>
        <v>4601992287529</v>
      </c>
      <c r="B6653" s="1" t="s">
        <v>6676</v>
      </c>
      <c r="C6653" s="1" t="s">
        <v>24</v>
      </c>
      <c r="D6653" s="1" t="str">
        <f t="shared" si="12166"/>
        <v>2021</v>
      </c>
      <c r="E6653" s="1" t="str">
        <f t="shared" ref="E6653:P6653" si="12230">"0"</f>
        <v>0</v>
      </c>
      <c r="F6653" s="1" t="str">
        <f t="shared" si="12230"/>
        <v>0</v>
      </c>
      <c r="G6653" s="1" t="str">
        <f t="shared" si="12230"/>
        <v>0</v>
      </c>
      <c r="H6653" s="1" t="str">
        <f t="shared" si="12230"/>
        <v>0</v>
      </c>
      <c r="I6653" s="1" t="str">
        <f t="shared" si="12230"/>
        <v>0</v>
      </c>
      <c r="J6653" s="1" t="str">
        <f t="shared" si="12230"/>
        <v>0</v>
      </c>
      <c r="K6653" s="1" t="str">
        <f t="shared" si="12230"/>
        <v>0</v>
      </c>
      <c r="L6653" s="1" t="str">
        <f t="shared" si="12230"/>
        <v>0</v>
      </c>
      <c r="M6653" s="1" t="str">
        <f t="shared" si="12230"/>
        <v>0</v>
      </c>
      <c r="N6653" s="1" t="str">
        <f t="shared" si="12230"/>
        <v>0</v>
      </c>
      <c r="O6653" s="1" t="str">
        <f t="shared" si="12230"/>
        <v>0</v>
      </c>
      <c r="P6653" s="1" t="str">
        <f t="shared" si="12230"/>
        <v>0</v>
      </c>
      <c r="Q6653" s="1" t="str">
        <f t="shared" si="12168"/>
        <v>0.0070</v>
      </c>
      <c r="R6653" s="1" t="s">
        <v>25</v>
      </c>
      <c r="T6653" s="1" t="str">
        <f t="shared" si="12169"/>
        <v>0</v>
      </c>
      <c r="U6653" s="1" t="str">
        <f t="shared" si="12194"/>
        <v>0.0070</v>
      </c>
    </row>
    <row r="6654" s="1" customFormat="1" spans="1:21">
      <c r="A6654" s="1" t="str">
        <f>"4601992287537"</f>
        <v>4601992287537</v>
      </c>
      <c r="B6654" s="1" t="s">
        <v>6677</v>
      </c>
      <c r="C6654" s="1" t="s">
        <v>24</v>
      </c>
      <c r="D6654" s="1" t="str">
        <f t="shared" si="12166"/>
        <v>2021</v>
      </c>
      <c r="E6654" s="1" t="str">
        <f t="shared" ref="E6654:P6654" si="12231">"0"</f>
        <v>0</v>
      </c>
      <c r="F6654" s="1" t="str">
        <f t="shared" si="12231"/>
        <v>0</v>
      </c>
      <c r="G6654" s="1" t="str">
        <f t="shared" si="12231"/>
        <v>0</v>
      </c>
      <c r="H6654" s="1" t="str">
        <f t="shared" si="12231"/>
        <v>0</v>
      </c>
      <c r="I6654" s="1" t="str">
        <f t="shared" si="12231"/>
        <v>0</v>
      </c>
      <c r="J6654" s="1" t="str">
        <f t="shared" si="12231"/>
        <v>0</v>
      </c>
      <c r="K6654" s="1" t="str">
        <f t="shared" si="12231"/>
        <v>0</v>
      </c>
      <c r="L6654" s="1" t="str">
        <f t="shared" si="12231"/>
        <v>0</v>
      </c>
      <c r="M6654" s="1" t="str">
        <f t="shared" si="12231"/>
        <v>0</v>
      </c>
      <c r="N6654" s="1" t="str">
        <f t="shared" si="12231"/>
        <v>0</v>
      </c>
      <c r="O6654" s="1" t="str">
        <f t="shared" si="12231"/>
        <v>0</v>
      </c>
      <c r="P6654" s="1" t="str">
        <f t="shared" si="12231"/>
        <v>0</v>
      </c>
      <c r="Q6654" s="1" t="str">
        <f t="shared" si="12168"/>
        <v>0.0070</v>
      </c>
      <c r="R6654" s="1" t="s">
        <v>25</v>
      </c>
      <c r="T6654" s="1" t="str">
        <f t="shared" si="12169"/>
        <v>0</v>
      </c>
      <c r="U6654" s="1" t="str">
        <f t="shared" si="12194"/>
        <v>0.0070</v>
      </c>
    </row>
    <row r="6655" s="1" customFormat="1" spans="1:21">
      <c r="A6655" s="1" t="str">
        <f>"4601992287533"</f>
        <v>4601992287533</v>
      </c>
      <c r="B6655" s="1" t="s">
        <v>6678</v>
      </c>
      <c r="C6655" s="1" t="s">
        <v>24</v>
      </c>
      <c r="D6655" s="1" t="str">
        <f t="shared" si="12166"/>
        <v>2021</v>
      </c>
      <c r="E6655" s="1" t="str">
        <f t="shared" ref="E6655:P6655" si="12232">"0"</f>
        <v>0</v>
      </c>
      <c r="F6655" s="1" t="str">
        <f t="shared" si="12232"/>
        <v>0</v>
      </c>
      <c r="G6655" s="1" t="str">
        <f t="shared" si="12232"/>
        <v>0</v>
      </c>
      <c r="H6655" s="1" t="str">
        <f t="shared" si="12232"/>
        <v>0</v>
      </c>
      <c r="I6655" s="1" t="str">
        <f t="shared" si="12232"/>
        <v>0</v>
      </c>
      <c r="J6655" s="1" t="str">
        <f t="shared" si="12232"/>
        <v>0</v>
      </c>
      <c r="K6655" s="1" t="str">
        <f t="shared" si="12232"/>
        <v>0</v>
      </c>
      <c r="L6655" s="1" t="str">
        <f t="shared" si="12232"/>
        <v>0</v>
      </c>
      <c r="M6655" s="1" t="str">
        <f t="shared" si="12232"/>
        <v>0</v>
      </c>
      <c r="N6655" s="1" t="str">
        <f t="shared" si="12232"/>
        <v>0</v>
      </c>
      <c r="O6655" s="1" t="str">
        <f t="shared" si="12232"/>
        <v>0</v>
      </c>
      <c r="P6655" s="1" t="str">
        <f t="shared" si="12232"/>
        <v>0</v>
      </c>
      <c r="Q6655" s="1" t="str">
        <f t="shared" si="12168"/>
        <v>0.0070</v>
      </c>
      <c r="R6655" s="1" t="s">
        <v>25</v>
      </c>
      <c r="T6655" s="1" t="str">
        <f t="shared" si="12169"/>
        <v>0</v>
      </c>
      <c r="U6655" s="1" t="str">
        <f t="shared" si="12194"/>
        <v>0.0070</v>
      </c>
    </row>
    <row r="6656" s="1" customFormat="1" spans="1:21">
      <c r="A6656" s="1" t="str">
        <f>"4601992287623"</f>
        <v>4601992287623</v>
      </c>
      <c r="B6656" s="1" t="s">
        <v>6679</v>
      </c>
      <c r="C6656" s="1" t="s">
        <v>24</v>
      </c>
      <c r="D6656" s="1" t="str">
        <f t="shared" si="12166"/>
        <v>2021</v>
      </c>
      <c r="E6656" s="1" t="str">
        <f t="shared" ref="E6656:P6656" si="12233">"0"</f>
        <v>0</v>
      </c>
      <c r="F6656" s="1" t="str">
        <f t="shared" si="12233"/>
        <v>0</v>
      </c>
      <c r="G6656" s="1" t="str">
        <f t="shared" si="12233"/>
        <v>0</v>
      </c>
      <c r="H6656" s="1" t="str">
        <f t="shared" si="12233"/>
        <v>0</v>
      </c>
      <c r="I6656" s="1" t="str">
        <f t="shared" si="12233"/>
        <v>0</v>
      </c>
      <c r="J6656" s="1" t="str">
        <f t="shared" si="12233"/>
        <v>0</v>
      </c>
      <c r="K6656" s="1" t="str">
        <f t="shared" si="12233"/>
        <v>0</v>
      </c>
      <c r="L6656" s="1" t="str">
        <f t="shared" si="12233"/>
        <v>0</v>
      </c>
      <c r="M6656" s="1" t="str">
        <f t="shared" si="12233"/>
        <v>0</v>
      </c>
      <c r="N6656" s="1" t="str">
        <f t="shared" si="12233"/>
        <v>0</v>
      </c>
      <c r="O6656" s="1" t="str">
        <f t="shared" si="12233"/>
        <v>0</v>
      </c>
      <c r="P6656" s="1" t="str">
        <f t="shared" si="12233"/>
        <v>0</v>
      </c>
      <c r="Q6656" s="1" t="str">
        <f t="shared" si="12168"/>
        <v>0.0070</v>
      </c>
      <c r="R6656" s="1" t="s">
        <v>25</v>
      </c>
      <c r="T6656" s="1" t="str">
        <f t="shared" si="12169"/>
        <v>0</v>
      </c>
      <c r="U6656" s="1" t="str">
        <f t="shared" si="12194"/>
        <v>0.0070</v>
      </c>
    </row>
    <row r="6657" s="1" customFormat="1" spans="1:21">
      <c r="A6657" s="1" t="str">
        <f>"4601992287886"</f>
        <v>4601992287886</v>
      </c>
      <c r="B6657" s="1" t="s">
        <v>6680</v>
      </c>
      <c r="C6657" s="1" t="s">
        <v>24</v>
      </c>
      <c r="D6657" s="1" t="str">
        <f t="shared" si="12166"/>
        <v>2021</v>
      </c>
      <c r="E6657" s="1" t="str">
        <f t="shared" ref="E6657:P6657" si="12234">"0"</f>
        <v>0</v>
      </c>
      <c r="F6657" s="1" t="str">
        <f t="shared" si="12234"/>
        <v>0</v>
      </c>
      <c r="G6657" s="1" t="str">
        <f t="shared" si="12234"/>
        <v>0</v>
      </c>
      <c r="H6657" s="1" t="str">
        <f t="shared" si="12234"/>
        <v>0</v>
      </c>
      <c r="I6657" s="1" t="str">
        <f t="shared" si="12234"/>
        <v>0</v>
      </c>
      <c r="J6657" s="1" t="str">
        <f t="shared" si="12234"/>
        <v>0</v>
      </c>
      <c r="K6657" s="1" t="str">
        <f t="shared" si="12234"/>
        <v>0</v>
      </c>
      <c r="L6657" s="1" t="str">
        <f t="shared" si="12234"/>
        <v>0</v>
      </c>
      <c r="M6657" s="1" t="str">
        <f t="shared" si="12234"/>
        <v>0</v>
      </c>
      <c r="N6657" s="1" t="str">
        <f t="shared" si="12234"/>
        <v>0</v>
      </c>
      <c r="O6657" s="1" t="str">
        <f t="shared" si="12234"/>
        <v>0</v>
      </c>
      <c r="P6657" s="1" t="str">
        <f t="shared" si="12234"/>
        <v>0</v>
      </c>
      <c r="Q6657" s="1" t="str">
        <f t="shared" si="12168"/>
        <v>0.0070</v>
      </c>
      <c r="R6657" s="1" t="s">
        <v>25</v>
      </c>
      <c r="T6657" s="1" t="str">
        <f t="shared" si="12169"/>
        <v>0</v>
      </c>
      <c r="U6657" s="1" t="str">
        <f t="shared" si="12194"/>
        <v>0.0070</v>
      </c>
    </row>
    <row r="6658" s="1" customFormat="1" spans="1:21">
      <c r="A6658" s="1" t="str">
        <f>"4601992287811"</f>
        <v>4601992287811</v>
      </c>
      <c r="B6658" s="1" t="s">
        <v>6681</v>
      </c>
      <c r="C6658" s="1" t="s">
        <v>24</v>
      </c>
      <c r="D6658" s="1" t="str">
        <f t="shared" si="12166"/>
        <v>2021</v>
      </c>
      <c r="E6658" s="1" t="str">
        <f t="shared" ref="E6658:P6658" si="12235">"0"</f>
        <v>0</v>
      </c>
      <c r="F6658" s="1" t="str">
        <f t="shared" si="12235"/>
        <v>0</v>
      </c>
      <c r="G6658" s="1" t="str">
        <f t="shared" si="12235"/>
        <v>0</v>
      </c>
      <c r="H6658" s="1" t="str">
        <f t="shared" si="12235"/>
        <v>0</v>
      </c>
      <c r="I6658" s="1" t="str">
        <f t="shared" si="12235"/>
        <v>0</v>
      </c>
      <c r="J6658" s="1" t="str">
        <f t="shared" si="12235"/>
        <v>0</v>
      </c>
      <c r="K6658" s="1" t="str">
        <f t="shared" si="12235"/>
        <v>0</v>
      </c>
      <c r="L6658" s="1" t="str">
        <f t="shared" si="12235"/>
        <v>0</v>
      </c>
      <c r="M6658" s="1" t="str">
        <f t="shared" si="12235"/>
        <v>0</v>
      </c>
      <c r="N6658" s="1" t="str">
        <f t="shared" si="12235"/>
        <v>0</v>
      </c>
      <c r="O6658" s="1" t="str">
        <f t="shared" si="12235"/>
        <v>0</v>
      </c>
      <c r="P6658" s="1" t="str">
        <f t="shared" si="12235"/>
        <v>0</v>
      </c>
      <c r="Q6658" s="1" t="str">
        <f t="shared" si="12168"/>
        <v>0.0070</v>
      </c>
      <c r="R6658" s="1" t="s">
        <v>25</v>
      </c>
      <c r="T6658" s="1" t="str">
        <f t="shared" si="12169"/>
        <v>0</v>
      </c>
      <c r="U6658" s="1" t="str">
        <f t="shared" si="12194"/>
        <v>0.0070</v>
      </c>
    </row>
    <row r="6659" s="1" customFormat="1" spans="1:21">
      <c r="A6659" s="1" t="str">
        <f>"4601992287852"</f>
        <v>4601992287852</v>
      </c>
      <c r="B6659" s="1" t="s">
        <v>6682</v>
      </c>
      <c r="C6659" s="1" t="s">
        <v>24</v>
      </c>
      <c r="D6659" s="1" t="str">
        <f t="shared" ref="D6659:D6722" si="12236">"2021"</f>
        <v>2021</v>
      </c>
      <c r="E6659" s="1" t="str">
        <f t="shared" ref="E6659:P6659" si="12237">"0"</f>
        <v>0</v>
      </c>
      <c r="F6659" s="1" t="str">
        <f t="shared" si="12237"/>
        <v>0</v>
      </c>
      <c r="G6659" s="1" t="str">
        <f t="shared" si="12237"/>
        <v>0</v>
      </c>
      <c r="H6659" s="1" t="str">
        <f t="shared" si="12237"/>
        <v>0</v>
      </c>
      <c r="I6659" s="1" t="str">
        <f t="shared" si="12237"/>
        <v>0</v>
      </c>
      <c r="J6659" s="1" t="str">
        <f t="shared" si="12237"/>
        <v>0</v>
      </c>
      <c r="K6659" s="1" t="str">
        <f t="shared" si="12237"/>
        <v>0</v>
      </c>
      <c r="L6659" s="1" t="str">
        <f t="shared" si="12237"/>
        <v>0</v>
      </c>
      <c r="M6659" s="1" t="str">
        <f t="shared" si="12237"/>
        <v>0</v>
      </c>
      <c r="N6659" s="1" t="str">
        <f t="shared" si="12237"/>
        <v>0</v>
      </c>
      <c r="O6659" s="1" t="str">
        <f t="shared" si="12237"/>
        <v>0</v>
      </c>
      <c r="P6659" s="1" t="str">
        <f t="shared" si="12237"/>
        <v>0</v>
      </c>
      <c r="Q6659" s="1" t="str">
        <f t="shared" ref="Q6659:Q6722" si="12238">"0.0070"</f>
        <v>0.0070</v>
      </c>
      <c r="R6659" s="1" t="s">
        <v>25</v>
      </c>
      <c r="T6659" s="1" t="str">
        <f t="shared" ref="T6659:T6722" si="12239">"0"</f>
        <v>0</v>
      </c>
      <c r="U6659" s="1" t="str">
        <f t="shared" si="12194"/>
        <v>0.0070</v>
      </c>
    </row>
    <row r="6660" s="1" customFormat="1" spans="1:21">
      <c r="A6660" s="1" t="str">
        <f>"4601992287900"</f>
        <v>4601992287900</v>
      </c>
      <c r="B6660" s="1" t="s">
        <v>6683</v>
      </c>
      <c r="C6660" s="1" t="s">
        <v>24</v>
      </c>
      <c r="D6660" s="1" t="str">
        <f t="shared" si="12236"/>
        <v>2021</v>
      </c>
      <c r="E6660" s="1" t="str">
        <f t="shared" ref="E6660:P6660" si="12240">"0"</f>
        <v>0</v>
      </c>
      <c r="F6660" s="1" t="str">
        <f t="shared" si="12240"/>
        <v>0</v>
      </c>
      <c r="G6660" s="1" t="str">
        <f t="shared" si="12240"/>
        <v>0</v>
      </c>
      <c r="H6660" s="1" t="str">
        <f t="shared" si="12240"/>
        <v>0</v>
      </c>
      <c r="I6660" s="1" t="str">
        <f t="shared" si="12240"/>
        <v>0</v>
      </c>
      <c r="J6660" s="1" t="str">
        <f t="shared" si="12240"/>
        <v>0</v>
      </c>
      <c r="K6660" s="1" t="str">
        <f t="shared" si="12240"/>
        <v>0</v>
      </c>
      <c r="L6660" s="1" t="str">
        <f t="shared" si="12240"/>
        <v>0</v>
      </c>
      <c r="M6660" s="1" t="str">
        <f t="shared" si="12240"/>
        <v>0</v>
      </c>
      <c r="N6660" s="1" t="str">
        <f t="shared" si="12240"/>
        <v>0</v>
      </c>
      <c r="O6660" s="1" t="str">
        <f t="shared" si="12240"/>
        <v>0</v>
      </c>
      <c r="P6660" s="1" t="str">
        <f t="shared" si="12240"/>
        <v>0</v>
      </c>
      <c r="Q6660" s="1" t="str">
        <f t="shared" si="12238"/>
        <v>0.0070</v>
      </c>
      <c r="R6660" s="1" t="s">
        <v>25</v>
      </c>
      <c r="T6660" s="1" t="str">
        <f t="shared" si="12239"/>
        <v>0</v>
      </c>
      <c r="U6660" s="1" t="str">
        <f t="shared" si="12194"/>
        <v>0.0070</v>
      </c>
    </row>
    <row r="6661" s="1" customFormat="1" spans="1:21">
      <c r="A6661" s="1" t="str">
        <f>"4601992287870"</f>
        <v>4601992287870</v>
      </c>
      <c r="B6661" s="1" t="s">
        <v>6684</v>
      </c>
      <c r="C6661" s="1" t="s">
        <v>24</v>
      </c>
      <c r="D6661" s="1" t="str">
        <f t="shared" si="12236"/>
        <v>2021</v>
      </c>
      <c r="E6661" s="1" t="str">
        <f t="shared" ref="E6661:P6661" si="12241">"0"</f>
        <v>0</v>
      </c>
      <c r="F6661" s="1" t="str">
        <f t="shared" si="12241"/>
        <v>0</v>
      </c>
      <c r="G6661" s="1" t="str">
        <f t="shared" si="12241"/>
        <v>0</v>
      </c>
      <c r="H6661" s="1" t="str">
        <f t="shared" si="12241"/>
        <v>0</v>
      </c>
      <c r="I6661" s="1" t="str">
        <f t="shared" si="12241"/>
        <v>0</v>
      </c>
      <c r="J6661" s="1" t="str">
        <f t="shared" si="12241"/>
        <v>0</v>
      </c>
      <c r="K6661" s="1" t="str">
        <f t="shared" si="12241"/>
        <v>0</v>
      </c>
      <c r="L6661" s="1" t="str">
        <f t="shared" si="12241"/>
        <v>0</v>
      </c>
      <c r="M6661" s="1" t="str">
        <f t="shared" si="12241"/>
        <v>0</v>
      </c>
      <c r="N6661" s="1" t="str">
        <f t="shared" si="12241"/>
        <v>0</v>
      </c>
      <c r="O6661" s="1" t="str">
        <f t="shared" si="12241"/>
        <v>0</v>
      </c>
      <c r="P6661" s="1" t="str">
        <f t="shared" si="12241"/>
        <v>0</v>
      </c>
      <c r="Q6661" s="1" t="str">
        <f t="shared" si="12238"/>
        <v>0.0070</v>
      </c>
      <c r="R6661" s="1" t="s">
        <v>25</v>
      </c>
      <c r="T6661" s="1" t="str">
        <f t="shared" si="12239"/>
        <v>0</v>
      </c>
      <c r="U6661" s="1" t="str">
        <f t="shared" si="12194"/>
        <v>0.0070</v>
      </c>
    </row>
    <row r="6662" s="1" customFormat="1" spans="1:21">
      <c r="A6662" s="1" t="str">
        <f>"4601992287922"</f>
        <v>4601992287922</v>
      </c>
      <c r="B6662" s="1" t="s">
        <v>6685</v>
      </c>
      <c r="C6662" s="1" t="s">
        <v>24</v>
      </c>
      <c r="D6662" s="1" t="str">
        <f t="shared" si="12236"/>
        <v>2021</v>
      </c>
      <c r="E6662" s="1" t="str">
        <f t="shared" ref="E6662:P6662" si="12242">"0"</f>
        <v>0</v>
      </c>
      <c r="F6662" s="1" t="str">
        <f t="shared" si="12242"/>
        <v>0</v>
      </c>
      <c r="G6662" s="1" t="str">
        <f t="shared" si="12242"/>
        <v>0</v>
      </c>
      <c r="H6662" s="1" t="str">
        <f t="shared" si="12242"/>
        <v>0</v>
      </c>
      <c r="I6662" s="1" t="str">
        <f t="shared" si="12242"/>
        <v>0</v>
      </c>
      <c r="J6662" s="1" t="str">
        <f t="shared" si="12242"/>
        <v>0</v>
      </c>
      <c r="K6662" s="1" t="str">
        <f t="shared" si="12242"/>
        <v>0</v>
      </c>
      <c r="L6662" s="1" t="str">
        <f t="shared" si="12242"/>
        <v>0</v>
      </c>
      <c r="M6662" s="1" t="str">
        <f t="shared" si="12242"/>
        <v>0</v>
      </c>
      <c r="N6662" s="1" t="str">
        <f t="shared" si="12242"/>
        <v>0</v>
      </c>
      <c r="O6662" s="1" t="str">
        <f t="shared" si="12242"/>
        <v>0</v>
      </c>
      <c r="P6662" s="1" t="str">
        <f t="shared" si="12242"/>
        <v>0</v>
      </c>
      <c r="Q6662" s="1" t="str">
        <f t="shared" si="12238"/>
        <v>0.0070</v>
      </c>
      <c r="R6662" s="1" t="s">
        <v>25</v>
      </c>
      <c r="T6662" s="1" t="str">
        <f t="shared" si="12239"/>
        <v>0</v>
      </c>
      <c r="U6662" s="1" t="str">
        <f t="shared" si="12194"/>
        <v>0.0070</v>
      </c>
    </row>
    <row r="6663" s="1" customFormat="1" spans="1:21">
      <c r="A6663" s="1" t="str">
        <f>"4601992023068"</f>
        <v>4601992023068</v>
      </c>
      <c r="B6663" s="1" t="s">
        <v>6686</v>
      </c>
      <c r="C6663" s="1" t="s">
        <v>24</v>
      </c>
      <c r="D6663" s="1" t="str">
        <f t="shared" si="12236"/>
        <v>2021</v>
      </c>
      <c r="E6663" s="1" t="str">
        <f>"24.18"</f>
        <v>24.18</v>
      </c>
      <c r="F6663" s="1" t="str">
        <f t="shared" ref="F6663:I6663" si="12243">"0"</f>
        <v>0</v>
      </c>
      <c r="G6663" s="1" t="str">
        <f t="shared" si="12243"/>
        <v>0</v>
      </c>
      <c r="H6663" s="1" t="str">
        <f t="shared" si="12243"/>
        <v>0</v>
      </c>
      <c r="I6663" s="1" t="str">
        <f t="shared" si="12243"/>
        <v>0</v>
      </c>
      <c r="J6663" s="1" t="str">
        <f>"2"</f>
        <v>2</v>
      </c>
      <c r="K6663" s="1" t="str">
        <f t="shared" ref="K6663:P6663" si="12244">"0"</f>
        <v>0</v>
      </c>
      <c r="L6663" s="1" t="str">
        <f t="shared" si="12244"/>
        <v>0</v>
      </c>
      <c r="M6663" s="1" t="str">
        <f t="shared" si="12244"/>
        <v>0</v>
      </c>
      <c r="N6663" s="1" t="str">
        <f t="shared" si="12244"/>
        <v>0</v>
      </c>
      <c r="O6663" s="1" t="str">
        <f t="shared" si="12244"/>
        <v>0</v>
      </c>
      <c r="P6663" s="1" t="str">
        <f t="shared" si="12244"/>
        <v>0</v>
      </c>
      <c r="Q6663" s="1" t="str">
        <f t="shared" si="12238"/>
        <v>0.0070</v>
      </c>
      <c r="R6663" s="1" t="s">
        <v>29</v>
      </c>
      <c r="S6663" s="1">
        <v>-0.0014</v>
      </c>
      <c r="T6663" s="1" t="str">
        <f t="shared" si="12239"/>
        <v>0</v>
      </c>
      <c r="U6663" s="1" t="str">
        <f>"0.0056"</f>
        <v>0.0056</v>
      </c>
    </row>
    <row r="6664" s="1" customFormat="1" spans="1:21">
      <c r="A6664" s="1" t="str">
        <f>"4601992288115"</f>
        <v>4601992288115</v>
      </c>
      <c r="B6664" s="1" t="s">
        <v>6687</v>
      </c>
      <c r="C6664" s="1" t="s">
        <v>24</v>
      </c>
      <c r="D6664" s="1" t="str">
        <f t="shared" si="12236"/>
        <v>2021</v>
      </c>
      <c r="E6664" s="1" t="str">
        <f t="shared" ref="E6664:P6664" si="12245">"0"</f>
        <v>0</v>
      </c>
      <c r="F6664" s="1" t="str">
        <f t="shared" si="12245"/>
        <v>0</v>
      </c>
      <c r="G6664" s="1" t="str">
        <f t="shared" si="12245"/>
        <v>0</v>
      </c>
      <c r="H6664" s="1" t="str">
        <f t="shared" si="12245"/>
        <v>0</v>
      </c>
      <c r="I6664" s="1" t="str">
        <f t="shared" si="12245"/>
        <v>0</v>
      </c>
      <c r="J6664" s="1" t="str">
        <f t="shared" si="12245"/>
        <v>0</v>
      </c>
      <c r="K6664" s="1" t="str">
        <f t="shared" si="12245"/>
        <v>0</v>
      </c>
      <c r="L6664" s="1" t="str">
        <f t="shared" si="12245"/>
        <v>0</v>
      </c>
      <c r="M6664" s="1" t="str">
        <f t="shared" si="12245"/>
        <v>0</v>
      </c>
      <c r="N6664" s="1" t="str">
        <f t="shared" si="12245"/>
        <v>0</v>
      </c>
      <c r="O6664" s="1" t="str">
        <f t="shared" si="12245"/>
        <v>0</v>
      </c>
      <c r="P6664" s="1" t="str">
        <f t="shared" si="12245"/>
        <v>0</v>
      </c>
      <c r="Q6664" s="1" t="str">
        <f t="shared" si="12238"/>
        <v>0.0070</v>
      </c>
      <c r="R6664" s="1" t="s">
        <v>25</v>
      </c>
      <c r="T6664" s="1" t="str">
        <f t="shared" si="12239"/>
        <v>0</v>
      </c>
      <c r="U6664" s="1" t="str">
        <f t="shared" ref="U6664:U6727" si="12246">"0.0070"</f>
        <v>0.0070</v>
      </c>
    </row>
    <row r="6665" s="1" customFormat="1" spans="1:21">
      <c r="A6665" s="1" t="str">
        <f>"4601992288198"</f>
        <v>4601992288198</v>
      </c>
      <c r="B6665" s="1" t="s">
        <v>6688</v>
      </c>
      <c r="C6665" s="1" t="s">
        <v>24</v>
      </c>
      <c r="D6665" s="1" t="str">
        <f t="shared" si="12236"/>
        <v>2021</v>
      </c>
      <c r="E6665" s="1" t="str">
        <f t="shared" ref="E6665:P6665" si="12247">"0"</f>
        <v>0</v>
      </c>
      <c r="F6665" s="1" t="str">
        <f t="shared" si="12247"/>
        <v>0</v>
      </c>
      <c r="G6665" s="1" t="str">
        <f t="shared" si="12247"/>
        <v>0</v>
      </c>
      <c r="H6665" s="1" t="str">
        <f t="shared" si="12247"/>
        <v>0</v>
      </c>
      <c r="I6665" s="1" t="str">
        <f t="shared" si="12247"/>
        <v>0</v>
      </c>
      <c r="J6665" s="1" t="str">
        <f t="shared" si="12247"/>
        <v>0</v>
      </c>
      <c r="K6665" s="1" t="str">
        <f t="shared" si="12247"/>
        <v>0</v>
      </c>
      <c r="L6665" s="1" t="str">
        <f t="shared" si="12247"/>
        <v>0</v>
      </c>
      <c r="M6665" s="1" t="str">
        <f t="shared" si="12247"/>
        <v>0</v>
      </c>
      <c r="N6665" s="1" t="str">
        <f t="shared" si="12247"/>
        <v>0</v>
      </c>
      <c r="O6665" s="1" t="str">
        <f t="shared" si="12247"/>
        <v>0</v>
      </c>
      <c r="P6665" s="1" t="str">
        <f t="shared" si="12247"/>
        <v>0</v>
      </c>
      <c r="Q6665" s="1" t="str">
        <f t="shared" si="12238"/>
        <v>0.0070</v>
      </c>
      <c r="R6665" s="1" t="s">
        <v>25</v>
      </c>
      <c r="T6665" s="1" t="str">
        <f t="shared" si="12239"/>
        <v>0</v>
      </c>
      <c r="U6665" s="1" t="str">
        <f t="shared" si="12246"/>
        <v>0.0070</v>
      </c>
    </row>
    <row r="6666" s="1" customFormat="1" spans="1:21">
      <c r="A6666" s="1" t="str">
        <f>"4601992288195"</f>
        <v>4601992288195</v>
      </c>
      <c r="B6666" s="1" t="s">
        <v>6689</v>
      </c>
      <c r="C6666" s="1" t="s">
        <v>24</v>
      </c>
      <c r="D6666" s="1" t="str">
        <f t="shared" si="12236"/>
        <v>2021</v>
      </c>
      <c r="E6666" s="1" t="str">
        <f t="shared" ref="E6666:P6666" si="12248">"0"</f>
        <v>0</v>
      </c>
      <c r="F6666" s="1" t="str">
        <f t="shared" si="12248"/>
        <v>0</v>
      </c>
      <c r="G6666" s="1" t="str">
        <f t="shared" si="12248"/>
        <v>0</v>
      </c>
      <c r="H6666" s="1" t="str">
        <f t="shared" si="12248"/>
        <v>0</v>
      </c>
      <c r="I6666" s="1" t="str">
        <f t="shared" si="12248"/>
        <v>0</v>
      </c>
      <c r="J6666" s="1" t="str">
        <f t="shared" si="12248"/>
        <v>0</v>
      </c>
      <c r="K6666" s="1" t="str">
        <f t="shared" si="12248"/>
        <v>0</v>
      </c>
      <c r="L6666" s="1" t="str">
        <f t="shared" si="12248"/>
        <v>0</v>
      </c>
      <c r="M6666" s="1" t="str">
        <f t="shared" si="12248"/>
        <v>0</v>
      </c>
      <c r="N6666" s="1" t="str">
        <f t="shared" si="12248"/>
        <v>0</v>
      </c>
      <c r="O6666" s="1" t="str">
        <f t="shared" si="12248"/>
        <v>0</v>
      </c>
      <c r="P6666" s="1" t="str">
        <f t="shared" si="12248"/>
        <v>0</v>
      </c>
      <c r="Q6666" s="1" t="str">
        <f t="shared" si="12238"/>
        <v>0.0070</v>
      </c>
      <c r="R6666" s="1" t="s">
        <v>25</v>
      </c>
      <c r="T6666" s="1" t="str">
        <f t="shared" si="12239"/>
        <v>0</v>
      </c>
      <c r="U6666" s="1" t="str">
        <f t="shared" si="12246"/>
        <v>0.0070</v>
      </c>
    </row>
    <row r="6667" s="1" customFormat="1" spans="1:21">
      <c r="A6667" s="1" t="str">
        <f>"4601992288206"</f>
        <v>4601992288206</v>
      </c>
      <c r="B6667" s="1" t="s">
        <v>6690</v>
      </c>
      <c r="C6667" s="1" t="s">
        <v>24</v>
      </c>
      <c r="D6667" s="1" t="str">
        <f t="shared" si="12236"/>
        <v>2021</v>
      </c>
      <c r="E6667" s="1" t="str">
        <f t="shared" ref="E6667:P6667" si="12249">"0"</f>
        <v>0</v>
      </c>
      <c r="F6667" s="1" t="str">
        <f t="shared" si="12249"/>
        <v>0</v>
      </c>
      <c r="G6667" s="1" t="str">
        <f t="shared" si="12249"/>
        <v>0</v>
      </c>
      <c r="H6667" s="1" t="str">
        <f t="shared" si="12249"/>
        <v>0</v>
      </c>
      <c r="I6667" s="1" t="str">
        <f t="shared" si="12249"/>
        <v>0</v>
      </c>
      <c r="J6667" s="1" t="str">
        <f t="shared" si="12249"/>
        <v>0</v>
      </c>
      <c r="K6667" s="1" t="str">
        <f t="shared" si="12249"/>
        <v>0</v>
      </c>
      <c r="L6667" s="1" t="str">
        <f t="shared" si="12249"/>
        <v>0</v>
      </c>
      <c r="M6667" s="1" t="str">
        <f t="shared" si="12249"/>
        <v>0</v>
      </c>
      <c r="N6667" s="1" t="str">
        <f t="shared" si="12249"/>
        <v>0</v>
      </c>
      <c r="O6667" s="1" t="str">
        <f t="shared" si="12249"/>
        <v>0</v>
      </c>
      <c r="P6667" s="1" t="str">
        <f t="shared" si="12249"/>
        <v>0</v>
      </c>
      <c r="Q6667" s="1" t="str">
        <f t="shared" si="12238"/>
        <v>0.0070</v>
      </c>
      <c r="R6667" s="1" t="s">
        <v>25</v>
      </c>
      <c r="T6667" s="1" t="str">
        <f t="shared" si="12239"/>
        <v>0</v>
      </c>
      <c r="U6667" s="1" t="str">
        <f t="shared" si="12246"/>
        <v>0.0070</v>
      </c>
    </row>
    <row r="6668" s="1" customFormat="1" spans="1:21">
      <c r="A6668" s="1" t="str">
        <f>"4601992288271"</f>
        <v>4601992288271</v>
      </c>
      <c r="B6668" s="1" t="s">
        <v>6691</v>
      </c>
      <c r="C6668" s="1" t="s">
        <v>24</v>
      </c>
      <c r="D6668" s="1" t="str">
        <f t="shared" si="12236"/>
        <v>2021</v>
      </c>
      <c r="E6668" s="1" t="str">
        <f t="shared" ref="E6668:P6668" si="12250">"0"</f>
        <v>0</v>
      </c>
      <c r="F6668" s="1" t="str">
        <f t="shared" si="12250"/>
        <v>0</v>
      </c>
      <c r="G6668" s="1" t="str">
        <f t="shared" si="12250"/>
        <v>0</v>
      </c>
      <c r="H6668" s="1" t="str">
        <f t="shared" si="12250"/>
        <v>0</v>
      </c>
      <c r="I6668" s="1" t="str">
        <f t="shared" si="12250"/>
        <v>0</v>
      </c>
      <c r="J6668" s="1" t="str">
        <f t="shared" si="12250"/>
        <v>0</v>
      </c>
      <c r="K6668" s="1" t="str">
        <f t="shared" si="12250"/>
        <v>0</v>
      </c>
      <c r="L6668" s="1" t="str">
        <f t="shared" si="12250"/>
        <v>0</v>
      </c>
      <c r="M6668" s="1" t="str">
        <f t="shared" si="12250"/>
        <v>0</v>
      </c>
      <c r="N6668" s="1" t="str">
        <f t="shared" si="12250"/>
        <v>0</v>
      </c>
      <c r="O6668" s="1" t="str">
        <f t="shared" si="12250"/>
        <v>0</v>
      </c>
      <c r="P6668" s="1" t="str">
        <f t="shared" si="12250"/>
        <v>0</v>
      </c>
      <c r="Q6668" s="1" t="str">
        <f t="shared" si="12238"/>
        <v>0.0070</v>
      </c>
      <c r="R6668" s="1" t="s">
        <v>25</v>
      </c>
      <c r="T6668" s="1" t="str">
        <f t="shared" si="12239"/>
        <v>0</v>
      </c>
      <c r="U6668" s="1" t="str">
        <f t="shared" si="12246"/>
        <v>0.0070</v>
      </c>
    </row>
    <row r="6669" s="1" customFormat="1" spans="1:21">
      <c r="A6669" s="1" t="str">
        <f>"4601992288218"</f>
        <v>4601992288218</v>
      </c>
      <c r="B6669" s="1" t="s">
        <v>6692</v>
      </c>
      <c r="C6669" s="1" t="s">
        <v>24</v>
      </c>
      <c r="D6669" s="1" t="str">
        <f t="shared" si="12236"/>
        <v>2021</v>
      </c>
      <c r="E6669" s="1" t="str">
        <f t="shared" ref="E6669:P6669" si="12251">"0"</f>
        <v>0</v>
      </c>
      <c r="F6669" s="1" t="str">
        <f t="shared" si="12251"/>
        <v>0</v>
      </c>
      <c r="G6669" s="1" t="str">
        <f t="shared" si="12251"/>
        <v>0</v>
      </c>
      <c r="H6669" s="1" t="str">
        <f t="shared" si="12251"/>
        <v>0</v>
      </c>
      <c r="I6669" s="1" t="str">
        <f t="shared" si="12251"/>
        <v>0</v>
      </c>
      <c r="J6669" s="1" t="str">
        <f t="shared" si="12251"/>
        <v>0</v>
      </c>
      <c r="K6669" s="1" t="str">
        <f t="shared" si="12251"/>
        <v>0</v>
      </c>
      <c r="L6669" s="1" t="str">
        <f t="shared" si="12251"/>
        <v>0</v>
      </c>
      <c r="M6669" s="1" t="str">
        <f t="shared" si="12251"/>
        <v>0</v>
      </c>
      <c r="N6669" s="1" t="str">
        <f t="shared" si="12251"/>
        <v>0</v>
      </c>
      <c r="O6669" s="1" t="str">
        <f t="shared" si="12251"/>
        <v>0</v>
      </c>
      <c r="P6669" s="1" t="str">
        <f t="shared" si="12251"/>
        <v>0</v>
      </c>
      <c r="Q6669" s="1" t="str">
        <f t="shared" si="12238"/>
        <v>0.0070</v>
      </c>
      <c r="R6669" s="1" t="s">
        <v>25</v>
      </c>
      <c r="T6669" s="1" t="str">
        <f t="shared" si="12239"/>
        <v>0</v>
      </c>
      <c r="U6669" s="1" t="str">
        <f t="shared" si="12246"/>
        <v>0.0070</v>
      </c>
    </row>
    <row r="6670" s="1" customFormat="1" spans="1:21">
      <c r="A6670" s="1" t="str">
        <f>"4601992288331"</f>
        <v>4601992288331</v>
      </c>
      <c r="B6670" s="1" t="s">
        <v>6693</v>
      </c>
      <c r="C6670" s="1" t="s">
        <v>24</v>
      </c>
      <c r="D6670" s="1" t="str">
        <f t="shared" si="12236"/>
        <v>2021</v>
      </c>
      <c r="E6670" s="1" t="str">
        <f t="shared" ref="E6670:P6670" si="12252">"0"</f>
        <v>0</v>
      </c>
      <c r="F6670" s="1" t="str">
        <f t="shared" si="12252"/>
        <v>0</v>
      </c>
      <c r="G6670" s="1" t="str">
        <f t="shared" si="12252"/>
        <v>0</v>
      </c>
      <c r="H6670" s="1" t="str">
        <f t="shared" si="12252"/>
        <v>0</v>
      </c>
      <c r="I6670" s="1" t="str">
        <f t="shared" si="12252"/>
        <v>0</v>
      </c>
      <c r="J6670" s="1" t="str">
        <f t="shared" si="12252"/>
        <v>0</v>
      </c>
      <c r="K6670" s="1" t="str">
        <f t="shared" si="12252"/>
        <v>0</v>
      </c>
      <c r="L6670" s="1" t="str">
        <f t="shared" si="12252"/>
        <v>0</v>
      </c>
      <c r="M6670" s="1" t="str">
        <f t="shared" si="12252"/>
        <v>0</v>
      </c>
      <c r="N6670" s="1" t="str">
        <f t="shared" si="12252"/>
        <v>0</v>
      </c>
      <c r="O6670" s="1" t="str">
        <f t="shared" si="12252"/>
        <v>0</v>
      </c>
      <c r="P6670" s="1" t="str">
        <f t="shared" si="12252"/>
        <v>0</v>
      </c>
      <c r="Q6670" s="1" t="str">
        <f t="shared" si="12238"/>
        <v>0.0070</v>
      </c>
      <c r="R6670" s="1" t="s">
        <v>25</v>
      </c>
      <c r="T6670" s="1" t="str">
        <f t="shared" si="12239"/>
        <v>0</v>
      </c>
      <c r="U6670" s="1" t="str">
        <f t="shared" si="12246"/>
        <v>0.0070</v>
      </c>
    </row>
    <row r="6671" s="1" customFormat="1" spans="1:21">
      <c r="A6671" s="1" t="str">
        <f>"4601992288334"</f>
        <v>4601992288334</v>
      </c>
      <c r="B6671" s="1" t="s">
        <v>6694</v>
      </c>
      <c r="C6671" s="1" t="s">
        <v>24</v>
      </c>
      <c r="D6671" s="1" t="str">
        <f t="shared" si="12236"/>
        <v>2021</v>
      </c>
      <c r="E6671" s="1" t="str">
        <f t="shared" ref="E6671:P6671" si="12253">"0"</f>
        <v>0</v>
      </c>
      <c r="F6671" s="1" t="str">
        <f t="shared" si="12253"/>
        <v>0</v>
      </c>
      <c r="G6671" s="1" t="str">
        <f t="shared" si="12253"/>
        <v>0</v>
      </c>
      <c r="H6671" s="1" t="str">
        <f t="shared" si="12253"/>
        <v>0</v>
      </c>
      <c r="I6671" s="1" t="str">
        <f t="shared" si="12253"/>
        <v>0</v>
      </c>
      <c r="J6671" s="1" t="str">
        <f t="shared" si="12253"/>
        <v>0</v>
      </c>
      <c r="K6671" s="1" t="str">
        <f t="shared" si="12253"/>
        <v>0</v>
      </c>
      <c r="L6671" s="1" t="str">
        <f t="shared" si="12253"/>
        <v>0</v>
      </c>
      <c r="M6671" s="1" t="str">
        <f t="shared" si="12253"/>
        <v>0</v>
      </c>
      <c r="N6671" s="1" t="str">
        <f t="shared" si="12253"/>
        <v>0</v>
      </c>
      <c r="O6671" s="1" t="str">
        <f t="shared" si="12253"/>
        <v>0</v>
      </c>
      <c r="P6671" s="1" t="str">
        <f t="shared" si="12253"/>
        <v>0</v>
      </c>
      <c r="Q6671" s="1" t="str">
        <f t="shared" si="12238"/>
        <v>0.0070</v>
      </c>
      <c r="R6671" s="1" t="s">
        <v>25</v>
      </c>
      <c r="T6671" s="1" t="str">
        <f t="shared" si="12239"/>
        <v>0</v>
      </c>
      <c r="U6671" s="1" t="str">
        <f t="shared" si="12246"/>
        <v>0.0070</v>
      </c>
    </row>
    <row r="6672" s="1" customFormat="1" spans="1:21">
      <c r="A6672" s="1" t="str">
        <f>"4601992288338"</f>
        <v>4601992288338</v>
      </c>
      <c r="B6672" s="1" t="s">
        <v>6695</v>
      </c>
      <c r="C6672" s="1" t="s">
        <v>24</v>
      </c>
      <c r="D6672" s="1" t="str">
        <f t="shared" si="12236"/>
        <v>2021</v>
      </c>
      <c r="E6672" s="1" t="str">
        <f t="shared" ref="E6672:P6672" si="12254">"0"</f>
        <v>0</v>
      </c>
      <c r="F6672" s="1" t="str">
        <f t="shared" si="12254"/>
        <v>0</v>
      </c>
      <c r="G6672" s="1" t="str">
        <f t="shared" si="12254"/>
        <v>0</v>
      </c>
      <c r="H6672" s="1" t="str">
        <f t="shared" si="12254"/>
        <v>0</v>
      </c>
      <c r="I6672" s="1" t="str">
        <f t="shared" si="12254"/>
        <v>0</v>
      </c>
      <c r="J6672" s="1" t="str">
        <f t="shared" si="12254"/>
        <v>0</v>
      </c>
      <c r="K6672" s="1" t="str">
        <f t="shared" si="12254"/>
        <v>0</v>
      </c>
      <c r="L6672" s="1" t="str">
        <f t="shared" si="12254"/>
        <v>0</v>
      </c>
      <c r="M6672" s="1" t="str">
        <f t="shared" si="12254"/>
        <v>0</v>
      </c>
      <c r="N6672" s="1" t="str">
        <f t="shared" si="12254"/>
        <v>0</v>
      </c>
      <c r="O6672" s="1" t="str">
        <f t="shared" si="12254"/>
        <v>0</v>
      </c>
      <c r="P6672" s="1" t="str">
        <f t="shared" si="12254"/>
        <v>0</v>
      </c>
      <c r="Q6672" s="1" t="str">
        <f t="shared" si="12238"/>
        <v>0.0070</v>
      </c>
      <c r="R6672" s="1" t="s">
        <v>25</v>
      </c>
      <c r="T6672" s="1" t="str">
        <f t="shared" si="12239"/>
        <v>0</v>
      </c>
      <c r="U6672" s="1" t="str">
        <f t="shared" si="12246"/>
        <v>0.0070</v>
      </c>
    </row>
    <row r="6673" s="1" customFormat="1" spans="1:21">
      <c r="A6673" s="1" t="str">
        <f>"4601992288351"</f>
        <v>4601992288351</v>
      </c>
      <c r="B6673" s="1" t="s">
        <v>6696</v>
      </c>
      <c r="C6673" s="1" t="s">
        <v>24</v>
      </c>
      <c r="D6673" s="1" t="str">
        <f t="shared" si="12236"/>
        <v>2021</v>
      </c>
      <c r="E6673" s="1" t="str">
        <f t="shared" ref="E6673:P6673" si="12255">"0"</f>
        <v>0</v>
      </c>
      <c r="F6673" s="1" t="str">
        <f t="shared" si="12255"/>
        <v>0</v>
      </c>
      <c r="G6673" s="1" t="str">
        <f t="shared" si="12255"/>
        <v>0</v>
      </c>
      <c r="H6673" s="1" t="str">
        <f t="shared" si="12255"/>
        <v>0</v>
      </c>
      <c r="I6673" s="1" t="str">
        <f t="shared" si="12255"/>
        <v>0</v>
      </c>
      <c r="J6673" s="1" t="str">
        <f t="shared" si="12255"/>
        <v>0</v>
      </c>
      <c r="K6673" s="1" t="str">
        <f t="shared" si="12255"/>
        <v>0</v>
      </c>
      <c r="L6673" s="1" t="str">
        <f t="shared" si="12255"/>
        <v>0</v>
      </c>
      <c r="M6673" s="1" t="str">
        <f t="shared" si="12255"/>
        <v>0</v>
      </c>
      <c r="N6673" s="1" t="str">
        <f t="shared" si="12255"/>
        <v>0</v>
      </c>
      <c r="O6673" s="1" t="str">
        <f t="shared" si="12255"/>
        <v>0</v>
      </c>
      <c r="P6673" s="1" t="str">
        <f t="shared" si="12255"/>
        <v>0</v>
      </c>
      <c r="Q6673" s="1" t="str">
        <f t="shared" si="12238"/>
        <v>0.0070</v>
      </c>
      <c r="R6673" s="1" t="s">
        <v>25</v>
      </c>
      <c r="T6673" s="1" t="str">
        <f t="shared" si="12239"/>
        <v>0</v>
      </c>
      <c r="U6673" s="1" t="str">
        <f t="shared" si="12246"/>
        <v>0.0070</v>
      </c>
    </row>
    <row r="6674" s="1" customFormat="1" spans="1:21">
      <c r="A6674" s="1" t="str">
        <f>"4601992288359"</f>
        <v>4601992288359</v>
      </c>
      <c r="B6674" s="1" t="s">
        <v>6697</v>
      </c>
      <c r="C6674" s="1" t="s">
        <v>24</v>
      </c>
      <c r="D6674" s="1" t="str">
        <f t="shared" si="12236"/>
        <v>2021</v>
      </c>
      <c r="E6674" s="1" t="str">
        <f t="shared" ref="E6674:P6674" si="12256">"0"</f>
        <v>0</v>
      </c>
      <c r="F6674" s="1" t="str">
        <f t="shared" si="12256"/>
        <v>0</v>
      </c>
      <c r="G6674" s="1" t="str">
        <f t="shared" si="12256"/>
        <v>0</v>
      </c>
      <c r="H6674" s="1" t="str">
        <f t="shared" si="12256"/>
        <v>0</v>
      </c>
      <c r="I6674" s="1" t="str">
        <f t="shared" si="12256"/>
        <v>0</v>
      </c>
      <c r="J6674" s="1" t="str">
        <f t="shared" si="12256"/>
        <v>0</v>
      </c>
      <c r="K6674" s="1" t="str">
        <f t="shared" si="12256"/>
        <v>0</v>
      </c>
      <c r="L6674" s="1" t="str">
        <f t="shared" si="12256"/>
        <v>0</v>
      </c>
      <c r="M6674" s="1" t="str">
        <f t="shared" si="12256"/>
        <v>0</v>
      </c>
      <c r="N6674" s="1" t="str">
        <f t="shared" si="12256"/>
        <v>0</v>
      </c>
      <c r="O6674" s="1" t="str">
        <f t="shared" si="12256"/>
        <v>0</v>
      </c>
      <c r="P6674" s="1" t="str">
        <f t="shared" si="12256"/>
        <v>0</v>
      </c>
      <c r="Q6674" s="1" t="str">
        <f t="shared" si="12238"/>
        <v>0.0070</v>
      </c>
      <c r="R6674" s="1" t="s">
        <v>25</v>
      </c>
      <c r="T6674" s="1" t="str">
        <f t="shared" si="12239"/>
        <v>0</v>
      </c>
      <c r="U6674" s="1" t="str">
        <f t="shared" si="12246"/>
        <v>0.0070</v>
      </c>
    </row>
    <row r="6675" s="1" customFormat="1" spans="1:21">
      <c r="A6675" s="1" t="str">
        <f>"4601992288353"</f>
        <v>4601992288353</v>
      </c>
      <c r="B6675" s="1" t="s">
        <v>6698</v>
      </c>
      <c r="C6675" s="1" t="s">
        <v>24</v>
      </c>
      <c r="D6675" s="1" t="str">
        <f t="shared" si="12236"/>
        <v>2021</v>
      </c>
      <c r="E6675" s="1" t="str">
        <f t="shared" ref="E6675:P6675" si="12257">"0"</f>
        <v>0</v>
      </c>
      <c r="F6675" s="1" t="str">
        <f t="shared" si="12257"/>
        <v>0</v>
      </c>
      <c r="G6675" s="1" t="str">
        <f t="shared" si="12257"/>
        <v>0</v>
      </c>
      <c r="H6675" s="1" t="str">
        <f t="shared" si="12257"/>
        <v>0</v>
      </c>
      <c r="I6675" s="1" t="str">
        <f t="shared" si="12257"/>
        <v>0</v>
      </c>
      <c r="J6675" s="1" t="str">
        <f t="shared" si="12257"/>
        <v>0</v>
      </c>
      <c r="K6675" s="1" t="str">
        <f t="shared" si="12257"/>
        <v>0</v>
      </c>
      <c r="L6675" s="1" t="str">
        <f t="shared" si="12257"/>
        <v>0</v>
      </c>
      <c r="M6675" s="1" t="str">
        <f t="shared" si="12257"/>
        <v>0</v>
      </c>
      <c r="N6675" s="1" t="str">
        <f t="shared" si="12257"/>
        <v>0</v>
      </c>
      <c r="O6675" s="1" t="str">
        <f t="shared" si="12257"/>
        <v>0</v>
      </c>
      <c r="P6675" s="1" t="str">
        <f t="shared" si="12257"/>
        <v>0</v>
      </c>
      <c r="Q6675" s="1" t="str">
        <f t="shared" si="12238"/>
        <v>0.0070</v>
      </c>
      <c r="R6675" s="1" t="s">
        <v>25</v>
      </c>
      <c r="T6675" s="1" t="str">
        <f t="shared" si="12239"/>
        <v>0</v>
      </c>
      <c r="U6675" s="1" t="str">
        <f t="shared" si="12246"/>
        <v>0.0070</v>
      </c>
    </row>
    <row r="6676" s="1" customFormat="1" spans="1:21">
      <c r="A6676" s="1" t="str">
        <f>"4601992288429"</f>
        <v>4601992288429</v>
      </c>
      <c r="B6676" s="1" t="s">
        <v>6699</v>
      </c>
      <c r="C6676" s="1" t="s">
        <v>24</v>
      </c>
      <c r="D6676" s="1" t="str">
        <f t="shared" si="12236"/>
        <v>2021</v>
      </c>
      <c r="E6676" s="1" t="str">
        <f t="shared" ref="E6676:P6676" si="12258">"0"</f>
        <v>0</v>
      </c>
      <c r="F6676" s="1" t="str">
        <f t="shared" si="12258"/>
        <v>0</v>
      </c>
      <c r="G6676" s="1" t="str">
        <f t="shared" si="12258"/>
        <v>0</v>
      </c>
      <c r="H6676" s="1" t="str">
        <f t="shared" si="12258"/>
        <v>0</v>
      </c>
      <c r="I6676" s="1" t="str">
        <f t="shared" si="12258"/>
        <v>0</v>
      </c>
      <c r="J6676" s="1" t="str">
        <f t="shared" si="12258"/>
        <v>0</v>
      </c>
      <c r="K6676" s="1" t="str">
        <f t="shared" si="12258"/>
        <v>0</v>
      </c>
      <c r="L6676" s="1" t="str">
        <f t="shared" si="12258"/>
        <v>0</v>
      </c>
      <c r="M6676" s="1" t="str">
        <f t="shared" si="12258"/>
        <v>0</v>
      </c>
      <c r="N6676" s="1" t="str">
        <f t="shared" si="12258"/>
        <v>0</v>
      </c>
      <c r="O6676" s="1" t="str">
        <f t="shared" si="12258"/>
        <v>0</v>
      </c>
      <c r="P6676" s="1" t="str">
        <f t="shared" si="12258"/>
        <v>0</v>
      </c>
      <c r="Q6676" s="1" t="str">
        <f t="shared" si="12238"/>
        <v>0.0070</v>
      </c>
      <c r="R6676" s="1" t="s">
        <v>25</v>
      </c>
      <c r="T6676" s="1" t="str">
        <f t="shared" si="12239"/>
        <v>0</v>
      </c>
      <c r="U6676" s="1" t="str">
        <f t="shared" si="12246"/>
        <v>0.0070</v>
      </c>
    </row>
    <row r="6677" s="1" customFormat="1" spans="1:21">
      <c r="A6677" s="1" t="str">
        <f>"4601992288496"</f>
        <v>4601992288496</v>
      </c>
      <c r="B6677" s="1" t="s">
        <v>6700</v>
      </c>
      <c r="C6677" s="1" t="s">
        <v>24</v>
      </c>
      <c r="D6677" s="1" t="str">
        <f t="shared" si="12236"/>
        <v>2021</v>
      </c>
      <c r="E6677" s="1" t="str">
        <f t="shared" ref="E6677:P6677" si="12259">"0"</f>
        <v>0</v>
      </c>
      <c r="F6677" s="1" t="str">
        <f t="shared" si="12259"/>
        <v>0</v>
      </c>
      <c r="G6677" s="1" t="str">
        <f t="shared" si="12259"/>
        <v>0</v>
      </c>
      <c r="H6677" s="1" t="str">
        <f t="shared" si="12259"/>
        <v>0</v>
      </c>
      <c r="I6677" s="1" t="str">
        <f t="shared" si="12259"/>
        <v>0</v>
      </c>
      <c r="J6677" s="1" t="str">
        <f t="shared" si="12259"/>
        <v>0</v>
      </c>
      <c r="K6677" s="1" t="str">
        <f t="shared" si="12259"/>
        <v>0</v>
      </c>
      <c r="L6677" s="1" t="str">
        <f t="shared" si="12259"/>
        <v>0</v>
      </c>
      <c r="M6677" s="1" t="str">
        <f t="shared" si="12259"/>
        <v>0</v>
      </c>
      <c r="N6677" s="1" t="str">
        <f t="shared" si="12259"/>
        <v>0</v>
      </c>
      <c r="O6677" s="1" t="str">
        <f t="shared" si="12259"/>
        <v>0</v>
      </c>
      <c r="P6677" s="1" t="str">
        <f t="shared" si="12259"/>
        <v>0</v>
      </c>
      <c r="Q6677" s="1" t="str">
        <f t="shared" si="12238"/>
        <v>0.0070</v>
      </c>
      <c r="R6677" s="1" t="s">
        <v>25</v>
      </c>
      <c r="T6677" s="1" t="str">
        <f t="shared" si="12239"/>
        <v>0</v>
      </c>
      <c r="U6677" s="1" t="str">
        <f t="shared" si="12246"/>
        <v>0.0070</v>
      </c>
    </row>
    <row r="6678" s="1" customFormat="1" spans="1:21">
      <c r="A6678" s="1" t="str">
        <f>"4601992288585"</f>
        <v>4601992288585</v>
      </c>
      <c r="B6678" s="1" t="s">
        <v>6701</v>
      </c>
      <c r="C6678" s="1" t="s">
        <v>24</v>
      </c>
      <c r="D6678" s="1" t="str">
        <f t="shared" si="12236"/>
        <v>2021</v>
      </c>
      <c r="E6678" s="1" t="str">
        <f t="shared" ref="E6678:P6678" si="12260">"0"</f>
        <v>0</v>
      </c>
      <c r="F6678" s="1" t="str">
        <f t="shared" si="12260"/>
        <v>0</v>
      </c>
      <c r="G6678" s="1" t="str">
        <f t="shared" si="12260"/>
        <v>0</v>
      </c>
      <c r="H6678" s="1" t="str">
        <f t="shared" si="12260"/>
        <v>0</v>
      </c>
      <c r="I6678" s="1" t="str">
        <f t="shared" si="12260"/>
        <v>0</v>
      </c>
      <c r="J6678" s="1" t="str">
        <f t="shared" si="12260"/>
        <v>0</v>
      </c>
      <c r="K6678" s="1" t="str">
        <f t="shared" si="12260"/>
        <v>0</v>
      </c>
      <c r="L6678" s="1" t="str">
        <f t="shared" si="12260"/>
        <v>0</v>
      </c>
      <c r="M6678" s="1" t="str">
        <f t="shared" si="12260"/>
        <v>0</v>
      </c>
      <c r="N6678" s="1" t="str">
        <f t="shared" si="12260"/>
        <v>0</v>
      </c>
      <c r="O6678" s="1" t="str">
        <f t="shared" si="12260"/>
        <v>0</v>
      </c>
      <c r="P6678" s="1" t="str">
        <f t="shared" si="12260"/>
        <v>0</v>
      </c>
      <c r="Q6678" s="1" t="str">
        <f t="shared" si="12238"/>
        <v>0.0070</v>
      </c>
      <c r="R6678" s="1" t="s">
        <v>25</v>
      </c>
      <c r="T6678" s="1" t="str">
        <f t="shared" si="12239"/>
        <v>0</v>
      </c>
      <c r="U6678" s="1" t="str">
        <f t="shared" si="12246"/>
        <v>0.0070</v>
      </c>
    </row>
    <row r="6679" s="1" customFormat="1" spans="1:21">
      <c r="A6679" s="1" t="str">
        <f>"4601992288652"</f>
        <v>4601992288652</v>
      </c>
      <c r="B6679" s="1" t="s">
        <v>6702</v>
      </c>
      <c r="C6679" s="1" t="s">
        <v>24</v>
      </c>
      <c r="D6679" s="1" t="str">
        <f t="shared" si="12236"/>
        <v>2021</v>
      </c>
      <c r="E6679" s="1" t="str">
        <f t="shared" ref="E6679:P6679" si="12261">"0"</f>
        <v>0</v>
      </c>
      <c r="F6679" s="1" t="str">
        <f t="shared" si="12261"/>
        <v>0</v>
      </c>
      <c r="G6679" s="1" t="str">
        <f t="shared" si="12261"/>
        <v>0</v>
      </c>
      <c r="H6679" s="1" t="str">
        <f t="shared" si="12261"/>
        <v>0</v>
      </c>
      <c r="I6679" s="1" t="str">
        <f t="shared" si="12261"/>
        <v>0</v>
      </c>
      <c r="J6679" s="1" t="str">
        <f t="shared" si="12261"/>
        <v>0</v>
      </c>
      <c r="K6679" s="1" t="str">
        <f t="shared" si="12261"/>
        <v>0</v>
      </c>
      <c r="L6679" s="1" t="str">
        <f t="shared" si="12261"/>
        <v>0</v>
      </c>
      <c r="M6679" s="1" t="str">
        <f t="shared" si="12261"/>
        <v>0</v>
      </c>
      <c r="N6679" s="1" t="str">
        <f t="shared" si="12261"/>
        <v>0</v>
      </c>
      <c r="O6679" s="1" t="str">
        <f t="shared" si="12261"/>
        <v>0</v>
      </c>
      <c r="P6679" s="1" t="str">
        <f t="shared" si="12261"/>
        <v>0</v>
      </c>
      <c r="Q6679" s="1" t="str">
        <f t="shared" si="12238"/>
        <v>0.0070</v>
      </c>
      <c r="R6679" s="1" t="s">
        <v>25</v>
      </c>
      <c r="T6679" s="1" t="str">
        <f t="shared" si="12239"/>
        <v>0</v>
      </c>
      <c r="U6679" s="1" t="str">
        <f t="shared" si="12246"/>
        <v>0.0070</v>
      </c>
    </row>
    <row r="6680" s="1" customFormat="1" spans="1:21">
      <c r="A6680" s="1" t="str">
        <f>"4601992288660"</f>
        <v>4601992288660</v>
      </c>
      <c r="B6680" s="1" t="s">
        <v>6703</v>
      </c>
      <c r="C6680" s="1" t="s">
        <v>24</v>
      </c>
      <c r="D6680" s="1" t="str">
        <f t="shared" si="12236"/>
        <v>2021</v>
      </c>
      <c r="E6680" s="1" t="str">
        <f t="shared" ref="E6680:P6680" si="12262">"0"</f>
        <v>0</v>
      </c>
      <c r="F6680" s="1" t="str">
        <f t="shared" si="12262"/>
        <v>0</v>
      </c>
      <c r="G6680" s="1" t="str">
        <f t="shared" si="12262"/>
        <v>0</v>
      </c>
      <c r="H6680" s="1" t="str">
        <f t="shared" si="12262"/>
        <v>0</v>
      </c>
      <c r="I6680" s="1" t="str">
        <f t="shared" si="12262"/>
        <v>0</v>
      </c>
      <c r="J6680" s="1" t="str">
        <f t="shared" si="12262"/>
        <v>0</v>
      </c>
      <c r="K6680" s="1" t="str">
        <f t="shared" si="12262"/>
        <v>0</v>
      </c>
      <c r="L6680" s="1" t="str">
        <f t="shared" si="12262"/>
        <v>0</v>
      </c>
      <c r="M6680" s="1" t="str">
        <f t="shared" si="12262"/>
        <v>0</v>
      </c>
      <c r="N6680" s="1" t="str">
        <f t="shared" si="12262"/>
        <v>0</v>
      </c>
      <c r="O6680" s="1" t="str">
        <f t="shared" si="12262"/>
        <v>0</v>
      </c>
      <c r="P6680" s="1" t="str">
        <f t="shared" si="12262"/>
        <v>0</v>
      </c>
      <c r="Q6680" s="1" t="str">
        <f t="shared" si="12238"/>
        <v>0.0070</v>
      </c>
      <c r="R6680" s="1" t="s">
        <v>25</v>
      </c>
      <c r="T6680" s="1" t="str">
        <f t="shared" si="12239"/>
        <v>0</v>
      </c>
      <c r="U6680" s="1" t="str">
        <f t="shared" si="12246"/>
        <v>0.0070</v>
      </c>
    </row>
    <row r="6681" s="1" customFormat="1" spans="1:21">
      <c r="A6681" s="1" t="str">
        <f>"4601992288684"</f>
        <v>4601992288684</v>
      </c>
      <c r="B6681" s="1" t="s">
        <v>6704</v>
      </c>
      <c r="C6681" s="1" t="s">
        <v>24</v>
      </c>
      <c r="D6681" s="1" t="str">
        <f t="shared" si="12236"/>
        <v>2021</v>
      </c>
      <c r="E6681" s="1" t="str">
        <f t="shared" ref="E6681:P6681" si="12263">"0"</f>
        <v>0</v>
      </c>
      <c r="F6681" s="1" t="str">
        <f t="shared" si="12263"/>
        <v>0</v>
      </c>
      <c r="G6681" s="1" t="str">
        <f t="shared" si="12263"/>
        <v>0</v>
      </c>
      <c r="H6681" s="1" t="str">
        <f t="shared" si="12263"/>
        <v>0</v>
      </c>
      <c r="I6681" s="1" t="str">
        <f t="shared" si="12263"/>
        <v>0</v>
      </c>
      <c r="J6681" s="1" t="str">
        <f t="shared" si="12263"/>
        <v>0</v>
      </c>
      <c r="K6681" s="1" t="str">
        <f t="shared" si="12263"/>
        <v>0</v>
      </c>
      <c r="L6681" s="1" t="str">
        <f t="shared" si="12263"/>
        <v>0</v>
      </c>
      <c r="M6681" s="1" t="str">
        <f t="shared" si="12263"/>
        <v>0</v>
      </c>
      <c r="N6681" s="1" t="str">
        <f t="shared" si="12263"/>
        <v>0</v>
      </c>
      <c r="O6681" s="1" t="str">
        <f t="shared" si="12263"/>
        <v>0</v>
      </c>
      <c r="P6681" s="1" t="str">
        <f t="shared" si="12263"/>
        <v>0</v>
      </c>
      <c r="Q6681" s="1" t="str">
        <f t="shared" si="12238"/>
        <v>0.0070</v>
      </c>
      <c r="R6681" s="1" t="s">
        <v>25</v>
      </c>
      <c r="T6681" s="1" t="str">
        <f t="shared" si="12239"/>
        <v>0</v>
      </c>
      <c r="U6681" s="1" t="str">
        <f t="shared" si="12246"/>
        <v>0.0070</v>
      </c>
    </row>
    <row r="6682" s="1" customFormat="1" spans="1:21">
      <c r="A6682" s="1" t="str">
        <f>"4601992288691"</f>
        <v>4601992288691</v>
      </c>
      <c r="B6682" s="1" t="s">
        <v>6705</v>
      </c>
      <c r="C6682" s="1" t="s">
        <v>24</v>
      </c>
      <c r="D6682" s="1" t="str">
        <f t="shared" si="12236"/>
        <v>2021</v>
      </c>
      <c r="E6682" s="1" t="str">
        <f t="shared" ref="E6682:P6682" si="12264">"0"</f>
        <v>0</v>
      </c>
      <c r="F6682" s="1" t="str">
        <f t="shared" si="12264"/>
        <v>0</v>
      </c>
      <c r="G6682" s="1" t="str">
        <f t="shared" si="12264"/>
        <v>0</v>
      </c>
      <c r="H6682" s="1" t="str">
        <f t="shared" si="12264"/>
        <v>0</v>
      </c>
      <c r="I6682" s="1" t="str">
        <f t="shared" si="12264"/>
        <v>0</v>
      </c>
      <c r="J6682" s="1" t="str">
        <f t="shared" si="12264"/>
        <v>0</v>
      </c>
      <c r="K6682" s="1" t="str">
        <f t="shared" si="12264"/>
        <v>0</v>
      </c>
      <c r="L6682" s="1" t="str">
        <f t="shared" si="12264"/>
        <v>0</v>
      </c>
      <c r="M6682" s="1" t="str">
        <f t="shared" si="12264"/>
        <v>0</v>
      </c>
      <c r="N6682" s="1" t="str">
        <f t="shared" si="12264"/>
        <v>0</v>
      </c>
      <c r="O6682" s="1" t="str">
        <f t="shared" si="12264"/>
        <v>0</v>
      </c>
      <c r="P6682" s="1" t="str">
        <f t="shared" si="12264"/>
        <v>0</v>
      </c>
      <c r="Q6682" s="1" t="str">
        <f t="shared" si="12238"/>
        <v>0.0070</v>
      </c>
      <c r="R6682" s="1" t="s">
        <v>25</v>
      </c>
      <c r="T6682" s="1" t="str">
        <f t="shared" si="12239"/>
        <v>0</v>
      </c>
      <c r="U6682" s="1" t="str">
        <f t="shared" si="12246"/>
        <v>0.0070</v>
      </c>
    </row>
    <row r="6683" s="1" customFormat="1" spans="1:21">
      <c r="A6683" s="1" t="str">
        <f>"4601992288781"</f>
        <v>4601992288781</v>
      </c>
      <c r="B6683" s="1" t="s">
        <v>6706</v>
      </c>
      <c r="C6683" s="1" t="s">
        <v>24</v>
      </c>
      <c r="D6683" s="1" t="str">
        <f t="shared" si="12236"/>
        <v>2021</v>
      </c>
      <c r="E6683" s="1" t="str">
        <f t="shared" ref="E6683:P6683" si="12265">"0"</f>
        <v>0</v>
      </c>
      <c r="F6683" s="1" t="str">
        <f t="shared" si="12265"/>
        <v>0</v>
      </c>
      <c r="G6683" s="1" t="str">
        <f t="shared" si="12265"/>
        <v>0</v>
      </c>
      <c r="H6683" s="1" t="str">
        <f t="shared" si="12265"/>
        <v>0</v>
      </c>
      <c r="I6683" s="1" t="str">
        <f t="shared" si="12265"/>
        <v>0</v>
      </c>
      <c r="J6683" s="1" t="str">
        <f t="shared" si="12265"/>
        <v>0</v>
      </c>
      <c r="K6683" s="1" t="str">
        <f t="shared" si="12265"/>
        <v>0</v>
      </c>
      <c r="L6683" s="1" t="str">
        <f t="shared" si="12265"/>
        <v>0</v>
      </c>
      <c r="M6683" s="1" t="str">
        <f t="shared" si="12265"/>
        <v>0</v>
      </c>
      <c r="N6683" s="1" t="str">
        <f t="shared" si="12265"/>
        <v>0</v>
      </c>
      <c r="O6683" s="1" t="str">
        <f t="shared" si="12265"/>
        <v>0</v>
      </c>
      <c r="P6683" s="1" t="str">
        <f t="shared" si="12265"/>
        <v>0</v>
      </c>
      <c r="Q6683" s="1" t="str">
        <f t="shared" si="12238"/>
        <v>0.0070</v>
      </c>
      <c r="R6683" s="1" t="s">
        <v>25</v>
      </c>
      <c r="T6683" s="1" t="str">
        <f t="shared" si="12239"/>
        <v>0</v>
      </c>
      <c r="U6683" s="1" t="str">
        <f t="shared" si="12246"/>
        <v>0.0070</v>
      </c>
    </row>
    <row r="6684" s="1" customFormat="1" spans="1:21">
      <c r="A6684" s="1" t="str">
        <f>"4601992288723"</f>
        <v>4601992288723</v>
      </c>
      <c r="B6684" s="1" t="s">
        <v>6707</v>
      </c>
      <c r="C6684" s="1" t="s">
        <v>24</v>
      </c>
      <c r="D6684" s="1" t="str">
        <f t="shared" si="12236"/>
        <v>2021</v>
      </c>
      <c r="E6684" s="1" t="str">
        <f t="shared" ref="E6684:P6684" si="12266">"0"</f>
        <v>0</v>
      </c>
      <c r="F6684" s="1" t="str">
        <f t="shared" si="12266"/>
        <v>0</v>
      </c>
      <c r="G6684" s="1" t="str">
        <f t="shared" si="12266"/>
        <v>0</v>
      </c>
      <c r="H6684" s="1" t="str">
        <f t="shared" si="12266"/>
        <v>0</v>
      </c>
      <c r="I6684" s="1" t="str">
        <f t="shared" si="12266"/>
        <v>0</v>
      </c>
      <c r="J6684" s="1" t="str">
        <f t="shared" si="12266"/>
        <v>0</v>
      </c>
      <c r="K6684" s="1" t="str">
        <f t="shared" si="12266"/>
        <v>0</v>
      </c>
      <c r="L6684" s="1" t="str">
        <f t="shared" si="12266"/>
        <v>0</v>
      </c>
      <c r="M6684" s="1" t="str">
        <f t="shared" si="12266"/>
        <v>0</v>
      </c>
      <c r="N6684" s="1" t="str">
        <f t="shared" si="12266"/>
        <v>0</v>
      </c>
      <c r="O6684" s="1" t="str">
        <f t="shared" si="12266"/>
        <v>0</v>
      </c>
      <c r="P6684" s="1" t="str">
        <f t="shared" si="12266"/>
        <v>0</v>
      </c>
      <c r="Q6684" s="1" t="str">
        <f t="shared" si="12238"/>
        <v>0.0070</v>
      </c>
      <c r="R6684" s="1" t="s">
        <v>25</v>
      </c>
      <c r="T6684" s="1" t="str">
        <f t="shared" si="12239"/>
        <v>0</v>
      </c>
      <c r="U6684" s="1" t="str">
        <f t="shared" si="12246"/>
        <v>0.0070</v>
      </c>
    </row>
    <row r="6685" s="1" customFormat="1" spans="1:21">
      <c r="A6685" s="1" t="str">
        <f>"4601992288858"</f>
        <v>4601992288858</v>
      </c>
      <c r="B6685" s="1" t="s">
        <v>6708</v>
      </c>
      <c r="C6685" s="1" t="s">
        <v>24</v>
      </c>
      <c r="D6685" s="1" t="str">
        <f t="shared" si="12236"/>
        <v>2021</v>
      </c>
      <c r="E6685" s="1" t="str">
        <f t="shared" ref="E6685:P6685" si="12267">"0"</f>
        <v>0</v>
      </c>
      <c r="F6685" s="1" t="str">
        <f t="shared" si="12267"/>
        <v>0</v>
      </c>
      <c r="G6685" s="1" t="str">
        <f t="shared" si="12267"/>
        <v>0</v>
      </c>
      <c r="H6685" s="1" t="str">
        <f t="shared" si="12267"/>
        <v>0</v>
      </c>
      <c r="I6685" s="1" t="str">
        <f t="shared" si="12267"/>
        <v>0</v>
      </c>
      <c r="J6685" s="1" t="str">
        <f t="shared" si="12267"/>
        <v>0</v>
      </c>
      <c r="K6685" s="1" t="str">
        <f t="shared" si="12267"/>
        <v>0</v>
      </c>
      <c r="L6685" s="1" t="str">
        <f t="shared" si="12267"/>
        <v>0</v>
      </c>
      <c r="M6685" s="1" t="str">
        <f t="shared" si="12267"/>
        <v>0</v>
      </c>
      <c r="N6685" s="1" t="str">
        <f t="shared" si="12267"/>
        <v>0</v>
      </c>
      <c r="O6685" s="1" t="str">
        <f t="shared" si="12267"/>
        <v>0</v>
      </c>
      <c r="P6685" s="1" t="str">
        <f t="shared" si="12267"/>
        <v>0</v>
      </c>
      <c r="Q6685" s="1" t="str">
        <f t="shared" si="12238"/>
        <v>0.0070</v>
      </c>
      <c r="R6685" s="1" t="s">
        <v>25</v>
      </c>
      <c r="T6685" s="1" t="str">
        <f t="shared" si="12239"/>
        <v>0</v>
      </c>
      <c r="U6685" s="1" t="str">
        <f t="shared" si="12246"/>
        <v>0.0070</v>
      </c>
    </row>
    <row r="6686" s="1" customFormat="1" spans="1:21">
      <c r="A6686" s="1" t="str">
        <f>"4601992288882"</f>
        <v>4601992288882</v>
      </c>
      <c r="B6686" s="1" t="s">
        <v>6709</v>
      </c>
      <c r="C6686" s="1" t="s">
        <v>24</v>
      </c>
      <c r="D6686" s="1" t="str">
        <f t="shared" si="12236"/>
        <v>2021</v>
      </c>
      <c r="E6686" s="1" t="str">
        <f t="shared" ref="E6686:P6686" si="12268">"0"</f>
        <v>0</v>
      </c>
      <c r="F6686" s="1" t="str">
        <f t="shared" si="12268"/>
        <v>0</v>
      </c>
      <c r="G6686" s="1" t="str">
        <f t="shared" si="12268"/>
        <v>0</v>
      </c>
      <c r="H6686" s="1" t="str">
        <f t="shared" si="12268"/>
        <v>0</v>
      </c>
      <c r="I6686" s="1" t="str">
        <f t="shared" si="12268"/>
        <v>0</v>
      </c>
      <c r="J6686" s="1" t="str">
        <f t="shared" si="12268"/>
        <v>0</v>
      </c>
      <c r="K6686" s="1" t="str">
        <f t="shared" si="12268"/>
        <v>0</v>
      </c>
      <c r="L6686" s="1" t="str">
        <f t="shared" si="12268"/>
        <v>0</v>
      </c>
      <c r="M6686" s="1" t="str">
        <f t="shared" si="12268"/>
        <v>0</v>
      </c>
      <c r="N6686" s="1" t="str">
        <f t="shared" si="12268"/>
        <v>0</v>
      </c>
      <c r="O6686" s="1" t="str">
        <f t="shared" si="12268"/>
        <v>0</v>
      </c>
      <c r="P6686" s="1" t="str">
        <f t="shared" si="12268"/>
        <v>0</v>
      </c>
      <c r="Q6686" s="1" t="str">
        <f t="shared" si="12238"/>
        <v>0.0070</v>
      </c>
      <c r="R6686" s="1" t="s">
        <v>25</v>
      </c>
      <c r="T6686" s="1" t="str">
        <f t="shared" si="12239"/>
        <v>0</v>
      </c>
      <c r="U6686" s="1" t="str">
        <f t="shared" si="12246"/>
        <v>0.0070</v>
      </c>
    </row>
    <row r="6687" s="1" customFormat="1" spans="1:21">
      <c r="A6687" s="1" t="str">
        <f>"4601992288935"</f>
        <v>4601992288935</v>
      </c>
      <c r="B6687" s="1" t="s">
        <v>6710</v>
      </c>
      <c r="C6687" s="1" t="s">
        <v>24</v>
      </c>
      <c r="D6687" s="1" t="str">
        <f t="shared" si="12236"/>
        <v>2021</v>
      </c>
      <c r="E6687" s="1" t="str">
        <f t="shared" ref="E6687:P6687" si="12269">"0"</f>
        <v>0</v>
      </c>
      <c r="F6687" s="1" t="str">
        <f t="shared" si="12269"/>
        <v>0</v>
      </c>
      <c r="G6687" s="1" t="str">
        <f t="shared" si="12269"/>
        <v>0</v>
      </c>
      <c r="H6687" s="1" t="str">
        <f t="shared" si="12269"/>
        <v>0</v>
      </c>
      <c r="I6687" s="1" t="str">
        <f t="shared" si="12269"/>
        <v>0</v>
      </c>
      <c r="J6687" s="1" t="str">
        <f t="shared" si="12269"/>
        <v>0</v>
      </c>
      <c r="K6687" s="1" t="str">
        <f t="shared" si="12269"/>
        <v>0</v>
      </c>
      <c r="L6687" s="1" t="str">
        <f t="shared" si="12269"/>
        <v>0</v>
      </c>
      <c r="M6687" s="1" t="str">
        <f t="shared" si="12269"/>
        <v>0</v>
      </c>
      <c r="N6687" s="1" t="str">
        <f t="shared" si="12269"/>
        <v>0</v>
      </c>
      <c r="O6687" s="1" t="str">
        <f t="shared" si="12269"/>
        <v>0</v>
      </c>
      <c r="P6687" s="1" t="str">
        <f t="shared" si="12269"/>
        <v>0</v>
      </c>
      <c r="Q6687" s="1" t="str">
        <f t="shared" si="12238"/>
        <v>0.0070</v>
      </c>
      <c r="R6687" s="1" t="s">
        <v>25</v>
      </c>
      <c r="T6687" s="1" t="str">
        <f t="shared" si="12239"/>
        <v>0</v>
      </c>
      <c r="U6687" s="1" t="str">
        <f t="shared" si="12246"/>
        <v>0.0070</v>
      </c>
    </row>
    <row r="6688" s="1" customFormat="1" spans="1:21">
      <c r="A6688" s="1" t="str">
        <f>"4601992288910"</f>
        <v>4601992288910</v>
      </c>
      <c r="B6688" s="1" t="s">
        <v>6711</v>
      </c>
      <c r="C6688" s="1" t="s">
        <v>24</v>
      </c>
      <c r="D6688" s="1" t="str">
        <f t="shared" si="12236"/>
        <v>2021</v>
      </c>
      <c r="E6688" s="1" t="str">
        <f t="shared" ref="E6688:P6688" si="12270">"0"</f>
        <v>0</v>
      </c>
      <c r="F6688" s="1" t="str">
        <f t="shared" si="12270"/>
        <v>0</v>
      </c>
      <c r="G6688" s="1" t="str">
        <f t="shared" si="12270"/>
        <v>0</v>
      </c>
      <c r="H6688" s="1" t="str">
        <f t="shared" si="12270"/>
        <v>0</v>
      </c>
      <c r="I6688" s="1" t="str">
        <f t="shared" si="12270"/>
        <v>0</v>
      </c>
      <c r="J6688" s="1" t="str">
        <f t="shared" si="12270"/>
        <v>0</v>
      </c>
      <c r="K6688" s="1" t="str">
        <f t="shared" si="12270"/>
        <v>0</v>
      </c>
      <c r="L6688" s="1" t="str">
        <f t="shared" si="12270"/>
        <v>0</v>
      </c>
      <c r="M6688" s="1" t="str">
        <f t="shared" si="12270"/>
        <v>0</v>
      </c>
      <c r="N6688" s="1" t="str">
        <f t="shared" si="12270"/>
        <v>0</v>
      </c>
      <c r="O6688" s="1" t="str">
        <f t="shared" si="12270"/>
        <v>0</v>
      </c>
      <c r="P6688" s="1" t="str">
        <f t="shared" si="12270"/>
        <v>0</v>
      </c>
      <c r="Q6688" s="1" t="str">
        <f t="shared" si="12238"/>
        <v>0.0070</v>
      </c>
      <c r="R6688" s="1" t="s">
        <v>25</v>
      </c>
      <c r="T6688" s="1" t="str">
        <f t="shared" si="12239"/>
        <v>0</v>
      </c>
      <c r="U6688" s="1" t="str">
        <f t="shared" si="12246"/>
        <v>0.0070</v>
      </c>
    </row>
    <row r="6689" s="1" customFormat="1" spans="1:21">
      <c r="A6689" s="1" t="str">
        <f>"4601992289023"</f>
        <v>4601992289023</v>
      </c>
      <c r="B6689" s="1" t="s">
        <v>6712</v>
      </c>
      <c r="C6689" s="1" t="s">
        <v>24</v>
      </c>
      <c r="D6689" s="1" t="str">
        <f t="shared" si="12236"/>
        <v>2021</v>
      </c>
      <c r="E6689" s="1" t="str">
        <f t="shared" ref="E6689:P6689" si="12271">"0"</f>
        <v>0</v>
      </c>
      <c r="F6689" s="1" t="str">
        <f t="shared" si="12271"/>
        <v>0</v>
      </c>
      <c r="G6689" s="1" t="str">
        <f t="shared" si="12271"/>
        <v>0</v>
      </c>
      <c r="H6689" s="1" t="str">
        <f t="shared" si="12271"/>
        <v>0</v>
      </c>
      <c r="I6689" s="1" t="str">
        <f t="shared" si="12271"/>
        <v>0</v>
      </c>
      <c r="J6689" s="1" t="str">
        <f t="shared" si="12271"/>
        <v>0</v>
      </c>
      <c r="K6689" s="1" t="str">
        <f t="shared" si="12271"/>
        <v>0</v>
      </c>
      <c r="L6689" s="1" t="str">
        <f t="shared" si="12271"/>
        <v>0</v>
      </c>
      <c r="M6689" s="1" t="str">
        <f t="shared" si="12271"/>
        <v>0</v>
      </c>
      <c r="N6689" s="1" t="str">
        <f t="shared" si="12271"/>
        <v>0</v>
      </c>
      <c r="O6689" s="1" t="str">
        <f t="shared" si="12271"/>
        <v>0</v>
      </c>
      <c r="P6689" s="1" t="str">
        <f t="shared" si="12271"/>
        <v>0</v>
      </c>
      <c r="Q6689" s="1" t="str">
        <f t="shared" si="12238"/>
        <v>0.0070</v>
      </c>
      <c r="R6689" s="1" t="s">
        <v>25</v>
      </c>
      <c r="T6689" s="1" t="str">
        <f t="shared" si="12239"/>
        <v>0</v>
      </c>
      <c r="U6689" s="1" t="str">
        <f t="shared" si="12246"/>
        <v>0.0070</v>
      </c>
    </row>
    <row r="6690" s="1" customFormat="1" spans="1:21">
      <c r="A6690" s="1" t="str">
        <f>"4601992289026"</f>
        <v>4601992289026</v>
      </c>
      <c r="B6690" s="1" t="s">
        <v>6713</v>
      </c>
      <c r="C6690" s="1" t="s">
        <v>24</v>
      </c>
      <c r="D6690" s="1" t="str">
        <f t="shared" si="12236"/>
        <v>2021</v>
      </c>
      <c r="E6690" s="1" t="str">
        <f t="shared" ref="E6690:P6690" si="12272">"0"</f>
        <v>0</v>
      </c>
      <c r="F6690" s="1" t="str">
        <f t="shared" si="12272"/>
        <v>0</v>
      </c>
      <c r="G6690" s="1" t="str">
        <f t="shared" si="12272"/>
        <v>0</v>
      </c>
      <c r="H6690" s="1" t="str">
        <f t="shared" si="12272"/>
        <v>0</v>
      </c>
      <c r="I6690" s="1" t="str">
        <f t="shared" si="12272"/>
        <v>0</v>
      </c>
      <c r="J6690" s="1" t="str">
        <f t="shared" si="12272"/>
        <v>0</v>
      </c>
      <c r="K6690" s="1" t="str">
        <f t="shared" si="12272"/>
        <v>0</v>
      </c>
      <c r="L6690" s="1" t="str">
        <f t="shared" si="12272"/>
        <v>0</v>
      </c>
      <c r="M6690" s="1" t="str">
        <f t="shared" si="12272"/>
        <v>0</v>
      </c>
      <c r="N6690" s="1" t="str">
        <f t="shared" si="12272"/>
        <v>0</v>
      </c>
      <c r="O6690" s="1" t="str">
        <f t="shared" si="12272"/>
        <v>0</v>
      </c>
      <c r="P6690" s="1" t="str">
        <f t="shared" si="12272"/>
        <v>0</v>
      </c>
      <c r="Q6690" s="1" t="str">
        <f t="shared" si="12238"/>
        <v>0.0070</v>
      </c>
      <c r="R6690" s="1" t="s">
        <v>25</v>
      </c>
      <c r="T6690" s="1" t="str">
        <f t="shared" si="12239"/>
        <v>0</v>
      </c>
      <c r="U6690" s="1" t="str">
        <f t="shared" si="12246"/>
        <v>0.0070</v>
      </c>
    </row>
    <row r="6691" s="1" customFormat="1" spans="1:21">
      <c r="A6691" s="1" t="str">
        <f>"4601992289174"</f>
        <v>4601992289174</v>
      </c>
      <c r="B6691" s="1" t="s">
        <v>6714</v>
      </c>
      <c r="C6691" s="1" t="s">
        <v>24</v>
      </c>
      <c r="D6691" s="1" t="str">
        <f t="shared" si="12236"/>
        <v>2021</v>
      </c>
      <c r="E6691" s="1" t="str">
        <f t="shared" ref="E6691:P6691" si="12273">"0"</f>
        <v>0</v>
      </c>
      <c r="F6691" s="1" t="str">
        <f t="shared" si="12273"/>
        <v>0</v>
      </c>
      <c r="G6691" s="1" t="str">
        <f t="shared" si="12273"/>
        <v>0</v>
      </c>
      <c r="H6691" s="1" t="str">
        <f t="shared" si="12273"/>
        <v>0</v>
      </c>
      <c r="I6691" s="1" t="str">
        <f t="shared" si="12273"/>
        <v>0</v>
      </c>
      <c r="J6691" s="1" t="str">
        <f t="shared" si="12273"/>
        <v>0</v>
      </c>
      <c r="K6691" s="1" t="str">
        <f t="shared" si="12273"/>
        <v>0</v>
      </c>
      <c r="L6691" s="1" t="str">
        <f t="shared" si="12273"/>
        <v>0</v>
      </c>
      <c r="M6691" s="1" t="str">
        <f t="shared" si="12273"/>
        <v>0</v>
      </c>
      <c r="N6691" s="1" t="str">
        <f t="shared" si="12273"/>
        <v>0</v>
      </c>
      <c r="O6691" s="1" t="str">
        <f t="shared" si="12273"/>
        <v>0</v>
      </c>
      <c r="P6691" s="1" t="str">
        <f t="shared" si="12273"/>
        <v>0</v>
      </c>
      <c r="Q6691" s="1" t="str">
        <f t="shared" si="12238"/>
        <v>0.0070</v>
      </c>
      <c r="R6691" s="1" t="s">
        <v>25</v>
      </c>
      <c r="T6691" s="1" t="str">
        <f t="shared" si="12239"/>
        <v>0</v>
      </c>
      <c r="U6691" s="1" t="str">
        <f t="shared" si="12246"/>
        <v>0.0070</v>
      </c>
    </row>
    <row r="6692" s="1" customFormat="1" spans="1:21">
      <c r="A6692" s="1" t="str">
        <f>"4601992289125"</f>
        <v>4601992289125</v>
      </c>
      <c r="B6692" s="1" t="s">
        <v>6715</v>
      </c>
      <c r="C6692" s="1" t="s">
        <v>24</v>
      </c>
      <c r="D6692" s="1" t="str">
        <f t="shared" si="12236"/>
        <v>2021</v>
      </c>
      <c r="E6692" s="1" t="str">
        <f t="shared" ref="E6692:P6692" si="12274">"0"</f>
        <v>0</v>
      </c>
      <c r="F6692" s="1" t="str">
        <f t="shared" si="12274"/>
        <v>0</v>
      </c>
      <c r="G6692" s="1" t="str">
        <f t="shared" si="12274"/>
        <v>0</v>
      </c>
      <c r="H6692" s="1" t="str">
        <f t="shared" si="12274"/>
        <v>0</v>
      </c>
      <c r="I6692" s="1" t="str">
        <f t="shared" si="12274"/>
        <v>0</v>
      </c>
      <c r="J6692" s="1" t="str">
        <f t="shared" si="12274"/>
        <v>0</v>
      </c>
      <c r="K6692" s="1" t="str">
        <f t="shared" si="12274"/>
        <v>0</v>
      </c>
      <c r="L6692" s="1" t="str">
        <f t="shared" si="12274"/>
        <v>0</v>
      </c>
      <c r="M6692" s="1" t="str">
        <f t="shared" si="12274"/>
        <v>0</v>
      </c>
      <c r="N6692" s="1" t="str">
        <f t="shared" si="12274"/>
        <v>0</v>
      </c>
      <c r="O6692" s="1" t="str">
        <f t="shared" si="12274"/>
        <v>0</v>
      </c>
      <c r="P6692" s="1" t="str">
        <f t="shared" si="12274"/>
        <v>0</v>
      </c>
      <c r="Q6692" s="1" t="str">
        <f t="shared" si="12238"/>
        <v>0.0070</v>
      </c>
      <c r="R6692" s="1" t="s">
        <v>25</v>
      </c>
      <c r="T6692" s="1" t="str">
        <f t="shared" si="12239"/>
        <v>0</v>
      </c>
      <c r="U6692" s="1" t="str">
        <f t="shared" si="12246"/>
        <v>0.0070</v>
      </c>
    </row>
    <row r="6693" s="1" customFormat="1" spans="1:21">
      <c r="A6693" s="1" t="str">
        <f>"4601992289053"</f>
        <v>4601992289053</v>
      </c>
      <c r="B6693" s="1" t="s">
        <v>6716</v>
      </c>
      <c r="C6693" s="1" t="s">
        <v>24</v>
      </c>
      <c r="D6693" s="1" t="str">
        <f t="shared" si="12236"/>
        <v>2021</v>
      </c>
      <c r="E6693" s="1" t="str">
        <f t="shared" ref="E6693:P6693" si="12275">"0"</f>
        <v>0</v>
      </c>
      <c r="F6693" s="1" t="str">
        <f t="shared" si="12275"/>
        <v>0</v>
      </c>
      <c r="G6693" s="1" t="str">
        <f t="shared" si="12275"/>
        <v>0</v>
      </c>
      <c r="H6693" s="1" t="str">
        <f t="shared" si="12275"/>
        <v>0</v>
      </c>
      <c r="I6693" s="1" t="str">
        <f t="shared" si="12275"/>
        <v>0</v>
      </c>
      <c r="J6693" s="1" t="str">
        <f t="shared" si="12275"/>
        <v>0</v>
      </c>
      <c r="K6693" s="1" t="str">
        <f t="shared" si="12275"/>
        <v>0</v>
      </c>
      <c r="L6693" s="1" t="str">
        <f t="shared" si="12275"/>
        <v>0</v>
      </c>
      <c r="M6693" s="1" t="str">
        <f t="shared" si="12275"/>
        <v>0</v>
      </c>
      <c r="N6693" s="1" t="str">
        <f t="shared" si="12275"/>
        <v>0</v>
      </c>
      <c r="O6693" s="1" t="str">
        <f t="shared" si="12275"/>
        <v>0</v>
      </c>
      <c r="P6693" s="1" t="str">
        <f t="shared" si="12275"/>
        <v>0</v>
      </c>
      <c r="Q6693" s="1" t="str">
        <f t="shared" si="12238"/>
        <v>0.0070</v>
      </c>
      <c r="R6693" s="1" t="s">
        <v>25</v>
      </c>
      <c r="T6693" s="1" t="str">
        <f t="shared" si="12239"/>
        <v>0</v>
      </c>
      <c r="U6693" s="1" t="str">
        <f t="shared" si="12246"/>
        <v>0.0070</v>
      </c>
    </row>
    <row r="6694" s="1" customFormat="1" spans="1:21">
      <c r="A6694" s="1" t="str">
        <f>"4601992289206"</f>
        <v>4601992289206</v>
      </c>
      <c r="B6694" s="1" t="s">
        <v>6717</v>
      </c>
      <c r="C6694" s="1" t="s">
        <v>24</v>
      </c>
      <c r="D6694" s="1" t="str">
        <f t="shared" si="12236"/>
        <v>2021</v>
      </c>
      <c r="E6694" s="1" t="str">
        <f t="shared" ref="E6694:P6694" si="12276">"0"</f>
        <v>0</v>
      </c>
      <c r="F6694" s="1" t="str">
        <f t="shared" si="12276"/>
        <v>0</v>
      </c>
      <c r="G6694" s="1" t="str">
        <f t="shared" si="12276"/>
        <v>0</v>
      </c>
      <c r="H6694" s="1" t="str">
        <f t="shared" si="12276"/>
        <v>0</v>
      </c>
      <c r="I6694" s="1" t="str">
        <f t="shared" si="12276"/>
        <v>0</v>
      </c>
      <c r="J6694" s="1" t="str">
        <f t="shared" si="12276"/>
        <v>0</v>
      </c>
      <c r="K6694" s="1" t="str">
        <f t="shared" si="12276"/>
        <v>0</v>
      </c>
      <c r="L6694" s="1" t="str">
        <f t="shared" si="12276"/>
        <v>0</v>
      </c>
      <c r="M6694" s="1" t="str">
        <f t="shared" si="12276"/>
        <v>0</v>
      </c>
      <c r="N6694" s="1" t="str">
        <f t="shared" si="12276"/>
        <v>0</v>
      </c>
      <c r="O6694" s="1" t="str">
        <f t="shared" si="12276"/>
        <v>0</v>
      </c>
      <c r="P6694" s="1" t="str">
        <f t="shared" si="12276"/>
        <v>0</v>
      </c>
      <c r="Q6694" s="1" t="str">
        <f t="shared" si="12238"/>
        <v>0.0070</v>
      </c>
      <c r="R6694" s="1" t="s">
        <v>25</v>
      </c>
      <c r="T6694" s="1" t="str">
        <f t="shared" si="12239"/>
        <v>0</v>
      </c>
      <c r="U6694" s="1" t="str">
        <f t="shared" si="12246"/>
        <v>0.0070</v>
      </c>
    </row>
    <row r="6695" s="1" customFormat="1" spans="1:21">
      <c r="A6695" s="1" t="str">
        <f>"4601992289381"</f>
        <v>4601992289381</v>
      </c>
      <c r="B6695" s="1" t="s">
        <v>6718</v>
      </c>
      <c r="C6695" s="1" t="s">
        <v>24</v>
      </c>
      <c r="D6695" s="1" t="str">
        <f t="shared" si="12236"/>
        <v>2021</v>
      </c>
      <c r="E6695" s="1" t="str">
        <f t="shared" ref="E6695:P6695" si="12277">"0"</f>
        <v>0</v>
      </c>
      <c r="F6695" s="1" t="str">
        <f t="shared" si="12277"/>
        <v>0</v>
      </c>
      <c r="G6695" s="1" t="str">
        <f t="shared" si="12277"/>
        <v>0</v>
      </c>
      <c r="H6695" s="1" t="str">
        <f t="shared" si="12277"/>
        <v>0</v>
      </c>
      <c r="I6695" s="1" t="str">
        <f t="shared" si="12277"/>
        <v>0</v>
      </c>
      <c r="J6695" s="1" t="str">
        <f t="shared" si="12277"/>
        <v>0</v>
      </c>
      <c r="K6695" s="1" t="str">
        <f t="shared" si="12277"/>
        <v>0</v>
      </c>
      <c r="L6695" s="1" t="str">
        <f t="shared" si="12277"/>
        <v>0</v>
      </c>
      <c r="M6695" s="1" t="str">
        <f t="shared" si="12277"/>
        <v>0</v>
      </c>
      <c r="N6695" s="1" t="str">
        <f t="shared" si="12277"/>
        <v>0</v>
      </c>
      <c r="O6695" s="1" t="str">
        <f t="shared" si="12277"/>
        <v>0</v>
      </c>
      <c r="P6695" s="1" t="str">
        <f t="shared" si="12277"/>
        <v>0</v>
      </c>
      <c r="Q6695" s="1" t="str">
        <f t="shared" si="12238"/>
        <v>0.0070</v>
      </c>
      <c r="R6695" s="1" t="s">
        <v>25</v>
      </c>
      <c r="T6695" s="1" t="str">
        <f t="shared" si="12239"/>
        <v>0</v>
      </c>
      <c r="U6695" s="1" t="str">
        <f t="shared" si="12246"/>
        <v>0.0070</v>
      </c>
    </row>
    <row r="6696" s="1" customFormat="1" spans="1:21">
      <c r="A6696" s="1" t="str">
        <f>"4601992289290"</f>
        <v>4601992289290</v>
      </c>
      <c r="B6696" s="1" t="s">
        <v>6719</v>
      </c>
      <c r="C6696" s="1" t="s">
        <v>24</v>
      </c>
      <c r="D6696" s="1" t="str">
        <f t="shared" si="12236"/>
        <v>2021</v>
      </c>
      <c r="E6696" s="1" t="str">
        <f t="shared" ref="E6696:P6696" si="12278">"0"</f>
        <v>0</v>
      </c>
      <c r="F6696" s="1" t="str">
        <f t="shared" si="12278"/>
        <v>0</v>
      </c>
      <c r="G6696" s="1" t="str">
        <f t="shared" si="12278"/>
        <v>0</v>
      </c>
      <c r="H6696" s="1" t="str">
        <f t="shared" si="12278"/>
        <v>0</v>
      </c>
      <c r="I6696" s="1" t="str">
        <f t="shared" si="12278"/>
        <v>0</v>
      </c>
      <c r="J6696" s="1" t="str">
        <f t="shared" si="12278"/>
        <v>0</v>
      </c>
      <c r="K6696" s="1" t="str">
        <f t="shared" si="12278"/>
        <v>0</v>
      </c>
      <c r="L6696" s="1" t="str">
        <f t="shared" si="12278"/>
        <v>0</v>
      </c>
      <c r="M6696" s="1" t="str">
        <f t="shared" si="12278"/>
        <v>0</v>
      </c>
      <c r="N6696" s="1" t="str">
        <f t="shared" si="12278"/>
        <v>0</v>
      </c>
      <c r="O6696" s="1" t="str">
        <f t="shared" si="12278"/>
        <v>0</v>
      </c>
      <c r="P6696" s="1" t="str">
        <f t="shared" si="12278"/>
        <v>0</v>
      </c>
      <c r="Q6696" s="1" t="str">
        <f t="shared" si="12238"/>
        <v>0.0070</v>
      </c>
      <c r="R6696" s="1" t="s">
        <v>25</v>
      </c>
      <c r="T6696" s="1" t="str">
        <f t="shared" si="12239"/>
        <v>0</v>
      </c>
      <c r="U6696" s="1" t="str">
        <f t="shared" si="12246"/>
        <v>0.0070</v>
      </c>
    </row>
    <row r="6697" s="1" customFormat="1" spans="1:21">
      <c r="A6697" s="1" t="str">
        <f>"4601992289439"</f>
        <v>4601992289439</v>
      </c>
      <c r="B6697" s="1" t="s">
        <v>6720</v>
      </c>
      <c r="C6697" s="1" t="s">
        <v>24</v>
      </c>
      <c r="D6697" s="1" t="str">
        <f t="shared" si="12236"/>
        <v>2021</v>
      </c>
      <c r="E6697" s="1" t="str">
        <f t="shared" ref="E6697:P6697" si="12279">"0"</f>
        <v>0</v>
      </c>
      <c r="F6697" s="1" t="str">
        <f t="shared" si="12279"/>
        <v>0</v>
      </c>
      <c r="G6697" s="1" t="str">
        <f t="shared" si="12279"/>
        <v>0</v>
      </c>
      <c r="H6697" s="1" t="str">
        <f t="shared" si="12279"/>
        <v>0</v>
      </c>
      <c r="I6697" s="1" t="str">
        <f t="shared" si="12279"/>
        <v>0</v>
      </c>
      <c r="J6697" s="1" t="str">
        <f t="shared" si="12279"/>
        <v>0</v>
      </c>
      <c r="K6697" s="1" t="str">
        <f t="shared" si="12279"/>
        <v>0</v>
      </c>
      <c r="L6697" s="1" t="str">
        <f t="shared" si="12279"/>
        <v>0</v>
      </c>
      <c r="M6697" s="1" t="str">
        <f t="shared" si="12279"/>
        <v>0</v>
      </c>
      <c r="N6697" s="1" t="str">
        <f t="shared" si="12279"/>
        <v>0</v>
      </c>
      <c r="O6697" s="1" t="str">
        <f t="shared" si="12279"/>
        <v>0</v>
      </c>
      <c r="P6697" s="1" t="str">
        <f t="shared" si="12279"/>
        <v>0</v>
      </c>
      <c r="Q6697" s="1" t="str">
        <f t="shared" si="12238"/>
        <v>0.0070</v>
      </c>
      <c r="R6697" s="1" t="s">
        <v>25</v>
      </c>
      <c r="T6697" s="1" t="str">
        <f t="shared" si="12239"/>
        <v>0</v>
      </c>
      <c r="U6697" s="1" t="str">
        <f t="shared" si="12246"/>
        <v>0.0070</v>
      </c>
    </row>
    <row r="6698" s="1" customFormat="1" spans="1:21">
      <c r="A6698" s="1" t="str">
        <f>"4601992289453"</f>
        <v>4601992289453</v>
      </c>
      <c r="B6698" s="1" t="s">
        <v>6721</v>
      </c>
      <c r="C6698" s="1" t="s">
        <v>24</v>
      </c>
      <c r="D6698" s="1" t="str">
        <f t="shared" si="12236"/>
        <v>2021</v>
      </c>
      <c r="E6698" s="1" t="str">
        <f t="shared" ref="E6698:P6698" si="12280">"0"</f>
        <v>0</v>
      </c>
      <c r="F6698" s="1" t="str">
        <f t="shared" si="12280"/>
        <v>0</v>
      </c>
      <c r="G6698" s="1" t="str">
        <f t="shared" si="12280"/>
        <v>0</v>
      </c>
      <c r="H6698" s="1" t="str">
        <f t="shared" si="12280"/>
        <v>0</v>
      </c>
      <c r="I6698" s="1" t="str">
        <f t="shared" si="12280"/>
        <v>0</v>
      </c>
      <c r="J6698" s="1" t="str">
        <f t="shared" si="12280"/>
        <v>0</v>
      </c>
      <c r="K6698" s="1" t="str">
        <f t="shared" si="12280"/>
        <v>0</v>
      </c>
      <c r="L6698" s="1" t="str">
        <f t="shared" si="12280"/>
        <v>0</v>
      </c>
      <c r="M6698" s="1" t="str">
        <f t="shared" si="12280"/>
        <v>0</v>
      </c>
      <c r="N6698" s="1" t="str">
        <f t="shared" si="12280"/>
        <v>0</v>
      </c>
      <c r="O6698" s="1" t="str">
        <f t="shared" si="12280"/>
        <v>0</v>
      </c>
      <c r="P6698" s="1" t="str">
        <f t="shared" si="12280"/>
        <v>0</v>
      </c>
      <c r="Q6698" s="1" t="str">
        <f t="shared" si="12238"/>
        <v>0.0070</v>
      </c>
      <c r="R6698" s="1" t="s">
        <v>25</v>
      </c>
      <c r="T6698" s="1" t="str">
        <f t="shared" si="12239"/>
        <v>0</v>
      </c>
      <c r="U6698" s="1" t="str">
        <f t="shared" si="12246"/>
        <v>0.0070</v>
      </c>
    </row>
    <row r="6699" s="1" customFormat="1" spans="1:21">
      <c r="A6699" s="1" t="str">
        <f>"4601992289456"</f>
        <v>4601992289456</v>
      </c>
      <c r="B6699" s="1" t="s">
        <v>6722</v>
      </c>
      <c r="C6699" s="1" t="s">
        <v>24</v>
      </c>
      <c r="D6699" s="1" t="str">
        <f t="shared" si="12236"/>
        <v>2021</v>
      </c>
      <c r="E6699" s="1" t="str">
        <f t="shared" ref="E6699:P6699" si="12281">"0"</f>
        <v>0</v>
      </c>
      <c r="F6699" s="1" t="str">
        <f t="shared" si="12281"/>
        <v>0</v>
      </c>
      <c r="G6699" s="1" t="str">
        <f t="shared" si="12281"/>
        <v>0</v>
      </c>
      <c r="H6699" s="1" t="str">
        <f t="shared" si="12281"/>
        <v>0</v>
      </c>
      <c r="I6699" s="1" t="str">
        <f t="shared" si="12281"/>
        <v>0</v>
      </c>
      <c r="J6699" s="1" t="str">
        <f t="shared" si="12281"/>
        <v>0</v>
      </c>
      <c r="K6699" s="1" t="str">
        <f t="shared" si="12281"/>
        <v>0</v>
      </c>
      <c r="L6699" s="1" t="str">
        <f t="shared" si="12281"/>
        <v>0</v>
      </c>
      <c r="M6699" s="1" t="str">
        <f t="shared" si="12281"/>
        <v>0</v>
      </c>
      <c r="N6699" s="1" t="str">
        <f t="shared" si="12281"/>
        <v>0</v>
      </c>
      <c r="O6699" s="1" t="str">
        <f t="shared" si="12281"/>
        <v>0</v>
      </c>
      <c r="P6699" s="1" t="str">
        <f t="shared" si="12281"/>
        <v>0</v>
      </c>
      <c r="Q6699" s="1" t="str">
        <f t="shared" si="12238"/>
        <v>0.0070</v>
      </c>
      <c r="R6699" s="1" t="s">
        <v>25</v>
      </c>
      <c r="T6699" s="1" t="str">
        <f t="shared" si="12239"/>
        <v>0</v>
      </c>
      <c r="U6699" s="1" t="str">
        <f t="shared" si="12246"/>
        <v>0.0070</v>
      </c>
    </row>
    <row r="6700" s="1" customFormat="1" spans="1:21">
      <c r="A6700" s="1" t="str">
        <f>"4601992289464"</f>
        <v>4601992289464</v>
      </c>
      <c r="B6700" s="1" t="s">
        <v>6723</v>
      </c>
      <c r="C6700" s="1" t="s">
        <v>24</v>
      </c>
      <c r="D6700" s="1" t="str">
        <f t="shared" si="12236"/>
        <v>2021</v>
      </c>
      <c r="E6700" s="1" t="str">
        <f t="shared" ref="E6700:P6700" si="12282">"0"</f>
        <v>0</v>
      </c>
      <c r="F6700" s="1" t="str">
        <f t="shared" si="12282"/>
        <v>0</v>
      </c>
      <c r="G6700" s="1" t="str">
        <f t="shared" si="12282"/>
        <v>0</v>
      </c>
      <c r="H6700" s="1" t="str">
        <f t="shared" si="12282"/>
        <v>0</v>
      </c>
      <c r="I6700" s="1" t="str">
        <f t="shared" si="12282"/>
        <v>0</v>
      </c>
      <c r="J6700" s="1" t="str">
        <f t="shared" si="12282"/>
        <v>0</v>
      </c>
      <c r="K6700" s="1" t="str">
        <f t="shared" si="12282"/>
        <v>0</v>
      </c>
      <c r="L6700" s="1" t="str">
        <f t="shared" si="12282"/>
        <v>0</v>
      </c>
      <c r="M6700" s="1" t="str">
        <f t="shared" si="12282"/>
        <v>0</v>
      </c>
      <c r="N6700" s="1" t="str">
        <f t="shared" si="12282"/>
        <v>0</v>
      </c>
      <c r="O6700" s="1" t="str">
        <f t="shared" si="12282"/>
        <v>0</v>
      </c>
      <c r="P6700" s="1" t="str">
        <f t="shared" si="12282"/>
        <v>0</v>
      </c>
      <c r="Q6700" s="1" t="str">
        <f t="shared" si="12238"/>
        <v>0.0070</v>
      </c>
      <c r="R6700" s="1" t="s">
        <v>25</v>
      </c>
      <c r="T6700" s="1" t="str">
        <f t="shared" si="12239"/>
        <v>0</v>
      </c>
      <c r="U6700" s="1" t="str">
        <f t="shared" si="12246"/>
        <v>0.0070</v>
      </c>
    </row>
    <row r="6701" s="1" customFormat="1" spans="1:21">
      <c r="A6701" s="1" t="str">
        <f>"4601992289490"</f>
        <v>4601992289490</v>
      </c>
      <c r="B6701" s="1" t="s">
        <v>6724</v>
      </c>
      <c r="C6701" s="1" t="s">
        <v>24</v>
      </c>
      <c r="D6701" s="1" t="str">
        <f t="shared" si="12236"/>
        <v>2021</v>
      </c>
      <c r="E6701" s="1" t="str">
        <f t="shared" ref="E6701:P6701" si="12283">"0"</f>
        <v>0</v>
      </c>
      <c r="F6701" s="1" t="str">
        <f t="shared" si="12283"/>
        <v>0</v>
      </c>
      <c r="G6701" s="1" t="str">
        <f t="shared" si="12283"/>
        <v>0</v>
      </c>
      <c r="H6701" s="1" t="str">
        <f t="shared" si="12283"/>
        <v>0</v>
      </c>
      <c r="I6701" s="1" t="str">
        <f t="shared" si="12283"/>
        <v>0</v>
      </c>
      <c r="J6701" s="1" t="str">
        <f t="shared" si="12283"/>
        <v>0</v>
      </c>
      <c r="K6701" s="1" t="str">
        <f t="shared" si="12283"/>
        <v>0</v>
      </c>
      <c r="L6701" s="1" t="str">
        <f t="shared" si="12283"/>
        <v>0</v>
      </c>
      <c r="M6701" s="1" t="str">
        <f t="shared" si="12283"/>
        <v>0</v>
      </c>
      <c r="N6701" s="1" t="str">
        <f t="shared" si="12283"/>
        <v>0</v>
      </c>
      <c r="O6701" s="1" t="str">
        <f t="shared" si="12283"/>
        <v>0</v>
      </c>
      <c r="P6701" s="1" t="str">
        <f t="shared" si="12283"/>
        <v>0</v>
      </c>
      <c r="Q6701" s="1" t="str">
        <f t="shared" si="12238"/>
        <v>0.0070</v>
      </c>
      <c r="R6701" s="1" t="s">
        <v>25</v>
      </c>
      <c r="T6701" s="1" t="str">
        <f t="shared" si="12239"/>
        <v>0</v>
      </c>
      <c r="U6701" s="1" t="str">
        <f t="shared" si="12246"/>
        <v>0.0070</v>
      </c>
    </row>
    <row r="6702" s="1" customFormat="1" spans="1:21">
      <c r="A6702" s="1" t="str">
        <f>"4601992289499"</f>
        <v>4601992289499</v>
      </c>
      <c r="B6702" s="1" t="s">
        <v>6725</v>
      </c>
      <c r="C6702" s="1" t="s">
        <v>24</v>
      </c>
      <c r="D6702" s="1" t="str">
        <f t="shared" si="12236"/>
        <v>2021</v>
      </c>
      <c r="E6702" s="1" t="str">
        <f t="shared" ref="E6702:P6702" si="12284">"0"</f>
        <v>0</v>
      </c>
      <c r="F6702" s="1" t="str">
        <f t="shared" si="12284"/>
        <v>0</v>
      </c>
      <c r="G6702" s="1" t="str">
        <f t="shared" si="12284"/>
        <v>0</v>
      </c>
      <c r="H6702" s="1" t="str">
        <f t="shared" si="12284"/>
        <v>0</v>
      </c>
      <c r="I6702" s="1" t="str">
        <f t="shared" si="12284"/>
        <v>0</v>
      </c>
      <c r="J6702" s="1" t="str">
        <f t="shared" si="12284"/>
        <v>0</v>
      </c>
      <c r="K6702" s="1" t="str">
        <f t="shared" si="12284"/>
        <v>0</v>
      </c>
      <c r="L6702" s="1" t="str">
        <f t="shared" si="12284"/>
        <v>0</v>
      </c>
      <c r="M6702" s="1" t="str">
        <f t="shared" si="12284"/>
        <v>0</v>
      </c>
      <c r="N6702" s="1" t="str">
        <f t="shared" si="12284"/>
        <v>0</v>
      </c>
      <c r="O6702" s="1" t="str">
        <f t="shared" si="12284"/>
        <v>0</v>
      </c>
      <c r="P6702" s="1" t="str">
        <f t="shared" si="12284"/>
        <v>0</v>
      </c>
      <c r="Q6702" s="1" t="str">
        <f t="shared" si="12238"/>
        <v>0.0070</v>
      </c>
      <c r="R6702" s="1" t="s">
        <v>25</v>
      </c>
      <c r="T6702" s="1" t="str">
        <f t="shared" si="12239"/>
        <v>0</v>
      </c>
      <c r="U6702" s="1" t="str">
        <f t="shared" si="12246"/>
        <v>0.0070</v>
      </c>
    </row>
    <row r="6703" s="1" customFormat="1" spans="1:21">
      <c r="A6703" s="1" t="str">
        <f>"4601992289548"</f>
        <v>4601992289548</v>
      </c>
      <c r="B6703" s="1" t="s">
        <v>6726</v>
      </c>
      <c r="C6703" s="1" t="s">
        <v>24</v>
      </c>
      <c r="D6703" s="1" t="str">
        <f t="shared" si="12236"/>
        <v>2021</v>
      </c>
      <c r="E6703" s="1" t="str">
        <f t="shared" ref="E6703:P6703" si="12285">"0"</f>
        <v>0</v>
      </c>
      <c r="F6703" s="1" t="str">
        <f t="shared" si="12285"/>
        <v>0</v>
      </c>
      <c r="G6703" s="1" t="str">
        <f t="shared" si="12285"/>
        <v>0</v>
      </c>
      <c r="H6703" s="1" t="str">
        <f t="shared" si="12285"/>
        <v>0</v>
      </c>
      <c r="I6703" s="1" t="str">
        <f t="shared" si="12285"/>
        <v>0</v>
      </c>
      <c r="J6703" s="1" t="str">
        <f t="shared" si="12285"/>
        <v>0</v>
      </c>
      <c r="K6703" s="1" t="str">
        <f t="shared" si="12285"/>
        <v>0</v>
      </c>
      <c r="L6703" s="1" t="str">
        <f t="shared" si="12285"/>
        <v>0</v>
      </c>
      <c r="M6703" s="1" t="str">
        <f t="shared" si="12285"/>
        <v>0</v>
      </c>
      <c r="N6703" s="1" t="str">
        <f t="shared" si="12285"/>
        <v>0</v>
      </c>
      <c r="O6703" s="1" t="str">
        <f t="shared" si="12285"/>
        <v>0</v>
      </c>
      <c r="P6703" s="1" t="str">
        <f t="shared" si="12285"/>
        <v>0</v>
      </c>
      <c r="Q6703" s="1" t="str">
        <f t="shared" si="12238"/>
        <v>0.0070</v>
      </c>
      <c r="R6703" s="1" t="s">
        <v>25</v>
      </c>
      <c r="T6703" s="1" t="str">
        <f t="shared" si="12239"/>
        <v>0</v>
      </c>
      <c r="U6703" s="1" t="str">
        <f t="shared" si="12246"/>
        <v>0.0070</v>
      </c>
    </row>
    <row r="6704" s="1" customFormat="1" spans="1:21">
      <c r="A6704" s="1" t="str">
        <f>"4601992289731"</f>
        <v>4601992289731</v>
      </c>
      <c r="B6704" s="1" t="s">
        <v>6727</v>
      </c>
      <c r="C6704" s="1" t="s">
        <v>24</v>
      </c>
      <c r="D6704" s="1" t="str">
        <f t="shared" si="12236"/>
        <v>2021</v>
      </c>
      <c r="E6704" s="1" t="str">
        <f t="shared" ref="E6704:P6704" si="12286">"0"</f>
        <v>0</v>
      </c>
      <c r="F6704" s="1" t="str">
        <f t="shared" si="12286"/>
        <v>0</v>
      </c>
      <c r="G6704" s="1" t="str">
        <f t="shared" si="12286"/>
        <v>0</v>
      </c>
      <c r="H6704" s="1" t="str">
        <f t="shared" si="12286"/>
        <v>0</v>
      </c>
      <c r="I6704" s="1" t="str">
        <f t="shared" si="12286"/>
        <v>0</v>
      </c>
      <c r="J6704" s="1" t="str">
        <f t="shared" si="12286"/>
        <v>0</v>
      </c>
      <c r="K6704" s="1" t="str">
        <f t="shared" si="12286"/>
        <v>0</v>
      </c>
      <c r="L6704" s="1" t="str">
        <f t="shared" si="12286"/>
        <v>0</v>
      </c>
      <c r="M6704" s="1" t="str">
        <f t="shared" si="12286"/>
        <v>0</v>
      </c>
      <c r="N6704" s="1" t="str">
        <f t="shared" si="12286"/>
        <v>0</v>
      </c>
      <c r="O6704" s="1" t="str">
        <f t="shared" si="12286"/>
        <v>0</v>
      </c>
      <c r="P6704" s="1" t="str">
        <f t="shared" si="12286"/>
        <v>0</v>
      </c>
      <c r="Q6704" s="1" t="str">
        <f t="shared" si="12238"/>
        <v>0.0070</v>
      </c>
      <c r="R6704" s="1" t="s">
        <v>25</v>
      </c>
      <c r="T6704" s="1" t="str">
        <f t="shared" si="12239"/>
        <v>0</v>
      </c>
      <c r="U6704" s="1" t="str">
        <f t="shared" si="12246"/>
        <v>0.0070</v>
      </c>
    </row>
    <row r="6705" s="1" customFormat="1" spans="1:21">
      <c r="A6705" s="1" t="str">
        <f>"4601992289695"</f>
        <v>4601992289695</v>
      </c>
      <c r="B6705" s="1" t="s">
        <v>6728</v>
      </c>
      <c r="C6705" s="1" t="s">
        <v>24</v>
      </c>
      <c r="D6705" s="1" t="str">
        <f t="shared" si="12236"/>
        <v>2021</v>
      </c>
      <c r="E6705" s="1" t="str">
        <f t="shared" ref="E6705:P6705" si="12287">"0"</f>
        <v>0</v>
      </c>
      <c r="F6705" s="1" t="str">
        <f t="shared" si="12287"/>
        <v>0</v>
      </c>
      <c r="G6705" s="1" t="str">
        <f t="shared" si="12287"/>
        <v>0</v>
      </c>
      <c r="H6705" s="1" t="str">
        <f t="shared" si="12287"/>
        <v>0</v>
      </c>
      <c r="I6705" s="1" t="str">
        <f t="shared" si="12287"/>
        <v>0</v>
      </c>
      <c r="J6705" s="1" t="str">
        <f t="shared" si="12287"/>
        <v>0</v>
      </c>
      <c r="K6705" s="1" t="str">
        <f t="shared" si="12287"/>
        <v>0</v>
      </c>
      <c r="L6705" s="1" t="str">
        <f t="shared" si="12287"/>
        <v>0</v>
      </c>
      <c r="M6705" s="1" t="str">
        <f t="shared" si="12287"/>
        <v>0</v>
      </c>
      <c r="N6705" s="1" t="str">
        <f t="shared" si="12287"/>
        <v>0</v>
      </c>
      <c r="O6705" s="1" t="str">
        <f t="shared" si="12287"/>
        <v>0</v>
      </c>
      <c r="P6705" s="1" t="str">
        <f t="shared" si="12287"/>
        <v>0</v>
      </c>
      <c r="Q6705" s="1" t="str">
        <f t="shared" si="12238"/>
        <v>0.0070</v>
      </c>
      <c r="R6705" s="1" t="s">
        <v>25</v>
      </c>
      <c r="T6705" s="1" t="str">
        <f t="shared" si="12239"/>
        <v>0</v>
      </c>
      <c r="U6705" s="1" t="str">
        <f t="shared" si="12246"/>
        <v>0.0070</v>
      </c>
    </row>
    <row r="6706" s="1" customFormat="1" spans="1:21">
      <c r="A6706" s="1" t="str">
        <f>"4601992289728"</f>
        <v>4601992289728</v>
      </c>
      <c r="B6706" s="1" t="s">
        <v>6729</v>
      </c>
      <c r="C6706" s="1" t="s">
        <v>24</v>
      </c>
      <c r="D6706" s="1" t="str">
        <f t="shared" si="12236"/>
        <v>2021</v>
      </c>
      <c r="E6706" s="1" t="str">
        <f t="shared" ref="E6706:P6706" si="12288">"0"</f>
        <v>0</v>
      </c>
      <c r="F6706" s="1" t="str">
        <f t="shared" si="12288"/>
        <v>0</v>
      </c>
      <c r="G6706" s="1" t="str">
        <f t="shared" si="12288"/>
        <v>0</v>
      </c>
      <c r="H6706" s="1" t="str">
        <f t="shared" si="12288"/>
        <v>0</v>
      </c>
      <c r="I6706" s="1" t="str">
        <f t="shared" si="12288"/>
        <v>0</v>
      </c>
      <c r="J6706" s="1" t="str">
        <f t="shared" si="12288"/>
        <v>0</v>
      </c>
      <c r="K6706" s="1" t="str">
        <f t="shared" si="12288"/>
        <v>0</v>
      </c>
      <c r="L6706" s="1" t="str">
        <f t="shared" si="12288"/>
        <v>0</v>
      </c>
      <c r="M6706" s="1" t="str">
        <f t="shared" si="12288"/>
        <v>0</v>
      </c>
      <c r="N6706" s="1" t="str">
        <f t="shared" si="12288"/>
        <v>0</v>
      </c>
      <c r="O6706" s="1" t="str">
        <f t="shared" si="12288"/>
        <v>0</v>
      </c>
      <c r="P6706" s="1" t="str">
        <f t="shared" si="12288"/>
        <v>0</v>
      </c>
      <c r="Q6706" s="1" t="str">
        <f t="shared" si="12238"/>
        <v>0.0070</v>
      </c>
      <c r="R6706" s="1" t="s">
        <v>25</v>
      </c>
      <c r="T6706" s="1" t="str">
        <f t="shared" si="12239"/>
        <v>0</v>
      </c>
      <c r="U6706" s="1" t="str">
        <f t="shared" si="12246"/>
        <v>0.0070</v>
      </c>
    </row>
    <row r="6707" s="1" customFormat="1" spans="1:21">
      <c r="A6707" s="1" t="str">
        <f>"4601992289893"</f>
        <v>4601992289893</v>
      </c>
      <c r="B6707" s="1" t="s">
        <v>6730</v>
      </c>
      <c r="C6707" s="1" t="s">
        <v>24</v>
      </c>
      <c r="D6707" s="1" t="str">
        <f t="shared" si="12236"/>
        <v>2021</v>
      </c>
      <c r="E6707" s="1" t="str">
        <f t="shared" ref="E6707:P6707" si="12289">"0"</f>
        <v>0</v>
      </c>
      <c r="F6707" s="1" t="str">
        <f t="shared" si="12289"/>
        <v>0</v>
      </c>
      <c r="G6707" s="1" t="str">
        <f t="shared" si="12289"/>
        <v>0</v>
      </c>
      <c r="H6707" s="1" t="str">
        <f t="shared" si="12289"/>
        <v>0</v>
      </c>
      <c r="I6707" s="1" t="str">
        <f t="shared" si="12289"/>
        <v>0</v>
      </c>
      <c r="J6707" s="1" t="str">
        <f t="shared" si="12289"/>
        <v>0</v>
      </c>
      <c r="K6707" s="1" t="str">
        <f t="shared" si="12289"/>
        <v>0</v>
      </c>
      <c r="L6707" s="1" t="str">
        <f t="shared" si="12289"/>
        <v>0</v>
      </c>
      <c r="M6707" s="1" t="str">
        <f t="shared" si="12289"/>
        <v>0</v>
      </c>
      <c r="N6707" s="1" t="str">
        <f t="shared" si="12289"/>
        <v>0</v>
      </c>
      <c r="O6707" s="1" t="str">
        <f t="shared" si="12289"/>
        <v>0</v>
      </c>
      <c r="P6707" s="1" t="str">
        <f t="shared" si="12289"/>
        <v>0</v>
      </c>
      <c r="Q6707" s="1" t="str">
        <f t="shared" si="12238"/>
        <v>0.0070</v>
      </c>
      <c r="R6707" s="1" t="s">
        <v>25</v>
      </c>
      <c r="T6707" s="1" t="str">
        <f t="shared" si="12239"/>
        <v>0</v>
      </c>
      <c r="U6707" s="1" t="str">
        <f t="shared" si="12246"/>
        <v>0.0070</v>
      </c>
    </row>
    <row r="6708" s="1" customFormat="1" spans="1:21">
      <c r="A6708" s="1" t="str">
        <f>"4601992289789"</f>
        <v>4601992289789</v>
      </c>
      <c r="B6708" s="1" t="s">
        <v>6731</v>
      </c>
      <c r="C6708" s="1" t="s">
        <v>24</v>
      </c>
      <c r="D6708" s="1" t="str">
        <f t="shared" si="12236"/>
        <v>2021</v>
      </c>
      <c r="E6708" s="1" t="str">
        <f t="shared" ref="E6708:P6708" si="12290">"0"</f>
        <v>0</v>
      </c>
      <c r="F6708" s="1" t="str">
        <f t="shared" si="12290"/>
        <v>0</v>
      </c>
      <c r="G6708" s="1" t="str">
        <f t="shared" si="12290"/>
        <v>0</v>
      </c>
      <c r="H6708" s="1" t="str">
        <f t="shared" si="12290"/>
        <v>0</v>
      </c>
      <c r="I6708" s="1" t="str">
        <f t="shared" si="12290"/>
        <v>0</v>
      </c>
      <c r="J6708" s="1" t="str">
        <f t="shared" si="12290"/>
        <v>0</v>
      </c>
      <c r="K6708" s="1" t="str">
        <f t="shared" si="12290"/>
        <v>0</v>
      </c>
      <c r="L6708" s="1" t="str">
        <f t="shared" si="12290"/>
        <v>0</v>
      </c>
      <c r="M6708" s="1" t="str">
        <f t="shared" si="12290"/>
        <v>0</v>
      </c>
      <c r="N6708" s="1" t="str">
        <f t="shared" si="12290"/>
        <v>0</v>
      </c>
      <c r="O6708" s="1" t="str">
        <f t="shared" si="12290"/>
        <v>0</v>
      </c>
      <c r="P6708" s="1" t="str">
        <f t="shared" si="12290"/>
        <v>0</v>
      </c>
      <c r="Q6708" s="1" t="str">
        <f t="shared" si="12238"/>
        <v>0.0070</v>
      </c>
      <c r="R6708" s="1" t="s">
        <v>25</v>
      </c>
      <c r="T6708" s="1" t="str">
        <f t="shared" si="12239"/>
        <v>0</v>
      </c>
      <c r="U6708" s="1" t="str">
        <f t="shared" si="12246"/>
        <v>0.0070</v>
      </c>
    </row>
    <row r="6709" s="1" customFormat="1" spans="1:21">
      <c r="A6709" s="1" t="str">
        <f>"4601992289966"</f>
        <v>4601992289966</v>
      </c>
      <c r="B6709" s="1" t="s">
        <v>6732</v>
      </c>
      <c r="C6709" s="1" t="s">
        <v>24</v>
      </c>
      <c r="D6709" s="1" t="str">
        <f t="shared" si="12236"/>
        <v>2021</v>
      </c>
      <c r="E6709" s="1" t="str">
        <f t="shared" ref="E6709:P6709" si="12291">"0"</f>
        <v>0</v>
      </c>
      <c r="F6709" s="1" t="str">
        <f t="shared" si="12291"/>
        <v>0</v>
      </c>
      <c r="G6709" s="1" t="str">
        <f t="shared" si="12291"/>
        <v>0</v>
      </c>
      <c r="H6709" s="1" t="str">
        <f t="shared" si="12291"/>
        <v>0</v>
      </c>
      <c r="I6709" s="1" t="str">
        <f t="shared" si="12291"/>
        <v>0</v>
      </c>
      <c r="J6709" s="1" t="str">
        <f t="shared" si="12291"/>
        <v>0</v>
      </c>
      <c r="K6709" s="1" t="str">
        <f t="shared" si="12291"/>
        <v>0</v>
      </c>
      <c r="L6709" s="1" t="str">
        <f t="shared" si="12291"/>
        <v>0</v>
      </c>
      <c r="M6709" s="1" t="str">
        <f t="shared" si="12291"/>
        <v>0</v>
      </c>
      <c r="N6709" s="1" t="str">
        <f t="shared" si="12291"/>
        <v>0</v>
      </c>
      <c r="O6709" s="1" t="str">
        <f t="shared" si="12291"/>
        <v>0</v>
      </c>
      <c r="P6709" s="1" t="str">
        <f t="shared" si="12291"/>
        <v>0</v>
      </c>
      <c r="Q6709" s="1" t="str">
        <f t="shared" si="12238"/>
        <v>0.0070</v>
      </c>
      <c r="R6709" s="1" t="s">
        <v>25</v>
      </c>
      <c r="T6709" s="1" t="str">
        <f t="shared" si="12239"/>
        <v>0</v>
      </c>
      <c r="U6709" s="1" t="str">
        <f t="shared" si="12246"/>
        <v>0.0070</v>
      </c>
    </row>
    <row r="6710" s="1" customFormat="1" spans="1:21">
      <c r="A6710" s="1" t="str">
        <f>"4601992289967"</f>
        <v>4601992289967</v>
      </c>
      <c r="B6710" s="1" t="s">
        <v>6733</v>
      </c>
      <c r="C6710" s="1" t="s">
        <v>24</v>
      </c>
      <c r="D6710" s="1" t="str">
        <f t="shared" si="12236"/>
        <v>2021</v>
      </c>
      <c r="E6710" s="1" t="str">
        <f t="shared" ref="E6710:P6710" si="12292">"0"</f>
        <v>0</v>
      </c>
      <c r="F6710" s="1" t="str">
        <f t="shared" si="12292"/>
        <v>0</v>
      </c>
      <c r="G6710" s="1" t="str">
        <f t="shared" si="12292"/>
        <v>0</v>
      </c>
      <c r="H6710" s="1" t="str">
        <f t="shared" si="12292"/>
        <v>0</v>
      </c>
      <c r="I6710" s="1" t="str">
        <f t="shared" si="12292"/>
        <v>0</v>
      </c>
      <c r="J6710" s="1" t="str">
        <f t="shared" si="12292"/>
        <v>0</v>
      </c>
      <c r="K6710" s="1" t="str">
        <f t="shared" si="12292"/>
        <v>0</v>
      </c>
      <c r="L6710" s="1" t="str">
        <f t="shared" si="12292"/>
        <v>0</v>
      </c>
      <c r="M6710" s="1" t="str">
        <f t="shared" si="12292"/>
        <v>0</v>
      </c>
      <c r="N6710" s="1" t="str">
        <f t="shared" si="12292"/>
        <v>0</v>
      </c>
      <c r="O6710" s="1" t="str">
        <f t="shared" si="12292"/>
        <v>0</v>
      </c>
      <c r="P6710" s="1" t="str">
        <f t="shared" si="12292"/>
        <v>0</v>
      </c>
      <c r="Q6710" s="1" t="str">
        <f t="shared" si="12238"/>
        <v>0.0070</v>
      </c>
      <c r="R6710" s="1" t="s">
        <v>25</v>
      </c>
      <c r="T6710" s="1" t="str">
        <f t="shared" si="12239"/>
        <v>0</v>
      </c>
      <c r="U6710" s="1" t="str">
        <f t="shared" si="12246"/>
        <v>0.0070</v>
      </c>
    </row>
    <row r="6711" s="1" customFormat="1" spans="1:21">
      <c r="A6711" s="1" t="str">
        <f>"4601992290139"</f>
        <v>4601992290139</v>
      </c>
      <c r="B6711" s="1" t="s">
        <v>6734</v>
      </c>
      <c r="C6711" s="1" t="s">
        <v>24</v>
      </c>
      <c r="D6711" s="1" t="str">
        <f t="shared" si="12236"/>
        <v>2021</v>
      </c>
      <c r="E6711" s="1" t="str">
        <f t="shared" ref="E6711:P6711" si="12293">"0"</f>
        <v>0</v>
      </c>
      <c r="F6711" s="1" t="str">
        <f t="shared" si="12293"/>
        <v>0</v>
      </c>
      <c r="G6711" s="1" t="str">
        <f t="shared" si="12293"/>
        <v>0</v>
      </c>
      <c r="H6711" s="1" t="str">
        <f t="shared" si="12293"/>
        <v>0</v>
      </c>
      <c r="I6711" s="1" t="str">
        <f t="shared" si="12293"/>
        <v>0</v>
      </c>
      <c r="J6711" s="1" t="str">
        <f t="shared" si="12293"/>
        <v>0</v>
      </c>
      <c r="K6711" s="1" t="str">
        <f t="shared" si="12293"/>
        <v>0</v>
      </c>
      <c r="L6711" s="1" t="str">
        <f t="shared" si="12293"/>
        <v>0</v>
      </c>
      <c r="M6711" s="1" t="str">
        <f t="shared" si="12293"/>
        <v>0</v>
      </c>
      <c r="N6711" s="1" t="str">
        <f t="shared" si="12293"/>
        <v>0</v>
      </c>
      <c r="O6711" s="1" t="str">
        <f t="shared" si="12293"/>
        <v>0</v>
      </c>
      <c r="P6711" s="1" t="str">
        <f t="shared" si="12293"/>
        <v>0</v>
      </c>
      <c r="Q6711" s="1" t="str">
        <f t="shared" si="12238"/>
        <v>0.0070</v>
      </c>
      <c r="R6711" s="1" t="s">
        <v>25</v>
      </c>
      <c r="T6711" s="1" t="str">
        <f t="shared" si="12239"/>
        <v>0</v>
      </c>
      <c r="U6711" s="1" t="str">
        <f t="shared" si="12246"/>
        <v>0.0070</v>
      </c>
    </row>
    <row r="6712" s="1" customFormat="1" spans="1:21">
      <c r="A6712" s="1" t="str">
        <f>"4601992290062"</f>
        <v>4601992290062</v>
      </c>
      <c r="B6712" s="1" t="s">
        <v>6735</v>
      </c>
      <c r="C6712" s="1" t="s">
        <v>24</v>
      </c>
      <c r="D6712" s="1" t="str">
        <f t="shared" si="12236"/>
        <v>2021</v>
      </c>
      <c r="E6712" s="1" t="str">
        <f t="shared" ref="E6712:P6712" si="12294">"0"</f>
        <v>0</v>
      </c>
      <c r="F6712" s="1" t="str">
        <f t="shared" si="12294"/>
        <v>0</v>
      </c>
      <c r="G6712" s="1" t="str">
        <f t="shared" si="12294"/>
        <v>0</v>
      </c>
      <c r="H6712" s="1" t="str">
        <f t="shared" si="12294"/>
        <v>0</v>
      </c>
      <c r="I6712" s="1" t="str">
        <f t="shared" si="12294"/>
        <v>0</v>
      </c>
      <c r="J6712" s="1" t="str">
        <f t="shared" si="12294"/>
        <v>0</v>
      </c>
      <c r="K6712" s="1" t="str">
        <f t="shared" si="12294"/>
        <v>0</v>
      </c>
      <c r="L6712" s="1" t="str">
        <f t="shared" si="12294"/>
        <v>0</v>
      </c>
      <c r="M6712" s="1" t="str">
        <f t="shared" si="12294"/>
        <v>0</v>
      </c>
      <c r="N6712" s="1" t="str">
        <f t="shared" si="12294"/>
        <v>0</v>
      </c>
      <c r="O6712" s="1" t="str">
        <f t="shared" si="12294"/>
        <v>0</v>
      </c>
      <c r="P6712" s="1" t="str">
        <f t="shared" si="12294"/>
        <v>0</v>
      </c>
      <c r="Q6712" s="1" t="str">
        <f t="shared" si="12238"/>
        <v>0.0070</v>
      </c>
      <c r="R6712" s="1" t="s">
        <v>25</v>
      </c>
      <c r="T6712" s="1" t="str">
        <f t="shared" si="12239"/>
        <v>0</v>
      </c>
      <c r="U6712" s="1" t="str">
        <f t="shared" si="12246"/>
        <v>0.0070</v>
      </c>
    </row>
    <row r="6713" s="1" customFormat="1" spans="1:21">
      <c r="A6713" s="1" t="str">
        <f>"4601992290420"</f>
        <v>4601992290420</v>
      </c>
      <c r="B6713" s="1" t="s">
        <v>6736</v>
      </c>
      <c r="C6713" s="1" t="s">
        <v>24</v>
      </c>
      <c r="D6713" s="1" t="str">
        <f t="shared" si="12236"/>
        <v>2021</v>
      </c>
      <c r="E6713" s="1" t="str">
        <f t="shared" ref="E6713:P6713" si="12295">"0"</f>
        <v>0</v>
      </c>
      <c r="F6713" s="1" t="str">
        <f t="shared" si="12295"/>
        <v>0</v>
      </c>
      <c r="G6713" s="1" t="str">
        <f t="shared" si="12295"/>
        <v>0</v>
      </c>
      <c r="H6713" s="1" t="str">
        <f t="shared" si="12295"/>
        <v>0</v>
      </c>
      <c r="I6713" s="1" t="str">
        <f t="shared" si="12295"/>
        <v>0</v>
      </c>
      <c r="J6713" s="1" t="str">
        <f t="shared" si="12295"/>
        <v>0</v>
      </c>
      <c r="K6713" s="1" t="str">
        <f t="shared" si="12295"/>
        <v>0</v>
      </c>
      <c r="L6713" s="1" t="str">
        <f t="shared" si="12295"/>
        <v>0</v>
      </c>
      <c r="M6713" s="1" t="str">
        <f t="shared" si="12295"/>
        <v>0</v>
      </c>
      <c r="N6713" s="1" t="str">
        <f t="shared" si="12295"/>
        <v>0</v>
      </c>
      <c r="O6713" s="1" t="str">
        <f t="shared" si="12295"/>
        <v>0</v>
      </c>
      <c r="P6713" s="1" t="str">
        <f t="shared" si="12295"/>
        <v>0</v>
      </c>
      <c r="Q6713" s="1" t="str">
        <f t="shared" si="12238"/>
        <v>0.0070</v>
      </c>
      <c r="R6713" s="1" t="s">
        <v>25</v>
      </c>
      <c r="T6713" s="1" t="str">
        <f t="shared" si="12239"/>
        <v>0</v>
      </c>
      <c r="U6713" s="1" t="str">
        <f t="shared" si="12246"/>
        <v>0.0070</v>
      </c>
    </row>
    <row r="6714" s="1" customFormat="1" spans="1:21">
      <c r="A6714" s="1" t="str">
        <f>"4601992290265"</f>
        <v>4601992290265</v>
      </c>
      <c r="B6714" s="1" t="s">
        <v>6737</v>
      </c>
      <c r="C6714" s="1" t="s">
        <v>24</v>
      </c>
      <c r="D6714" s="1" t="str">
        <f t="shared" si="12236"/>
        <v>2021</v>
      </c>
      <c r="E6714" s="1" t="str">
        <f t="shared" ref="E6714:P6714" si="12296">"0"</f>
        <v>0</v>
      </c>
      <c r="F6714" s="1" t="str">
        <f t="shared" si="12296"/>
        <v>0</v>
      </c>
      <c r="G6714" s="1" t="str">
        <f t="shared" si="12296"/>
        <v>0</v>
      </c>
      <c r="H6714" s="1" t="str">
        <f t="shared" si="12296"/>
        <v>0</v>
      </c>
      <c r="I6714" s="1" t="str">
        <f t="shared" si="12296"/>
        <v>0</v>
      </c>
      <c r="J6714" s="1" t="str">
        <f t="shared" si="12296"/>
        <v>0</v>
      </c>
      <c r="K6714" s="1" t="str">
        <f t="shared" si="12296"/>
        <v>0</v>
      </c>
      <c r="L6714" s="1" t="str">
        <f t="shared" si="12296"/>
        <v>0</v>
      </c>
      <c r="M6714" s="1" t="str">
        <f t="shared" si="12296"/>
        <v>0</v>
      </c>
      <c r="N6714" s="1" t="str">
        <f t="shared" si="12296"/>
        <v>0</v>
      </c>
      <c r="O6714" s="1" t="str">
        <f t="shared" si="12296"/>
        <v>0</v>
      </c>
      <c r="P6714" s="1" t="str">
        <f t="shared" si="12296"/>
        <v>0</v>
      </c>
      <c r="Q6714" s="1" t="str">
        <f t="shared" si="12238"/>
        <v>0.0070</v>
      </c>
      <c r="R6714" s="1" t="s">
        <v>25</v>
      </c>
      <c r="T6714" s="1" t="str">
        <f t="shared" si="12239"/>
        <v>0</v>
      </c>
      <c r="U6714" s="1" t="str">
        <f t="shared" si="12246"/>
        <v>0.0070</v>
      </c>
    </row>
    <row r="6715" s="1" customFormat="1" spans="1:21">
      <c r="A6715" s="1" t="str">
        <f>"4601992290451"</f>
        <v>4601992290451</v>
      </c>
      <c r="B6715" s="1" t="s">
        <v>6738</v>
      </c>
      <c r="C6715" s="1" t="s">
        <v>24</v>
      </c>
      <c r="D6715" s="1" t="str">
        <f t="shared" si="12236"/>
        <v>2021</v>
      </c>
      <c r="E6715" s="1" t="str">
        <f t="shared" ref="E6715:P6715" si="12297">"0"</f>
        <v>0</v>
      </c>
      <c r="F6715" s="1" t="str">
        <f t="shared" si="12297"/>
        <v>0</v>
      </c>
      <c r="G6715" s="1" t="str">
        <f t="shared" si="12297"/>
        <v>0</v>
      </c>
      <c r="H6715" s="1" t="str">
        <f t="shared" si="12297"/>
        <v>0</v>
      </c>
      <c r="I6715" s="1" t="str">
        <f t="shared" si="12297"/>
        <v>0</v>
      </c>
      <c r="J6715" s="1" t="str">
        <f t="shared" si="12297"/>
        <v>0</v>
      </c>
      <c r="K6715" s="1" t="str">
        <f t="shared" si="12297"/>
        <v>0</v>
      </c>
      <c r="L6715" s="1" t="str">
        <f t="shared" si="12297"/>
        <v>0</v>
      </c>
      <c r="M6715" s="1" t="str">
        <f t="shared" si="12297"/>
        <v>0</v>
      </c>
      <c r="N6715" s="1" t="str">
        <f t="shared" si="12297"/>
        <v>0</v>
      </c>
      <c r="O6715" s="1" t="str">
        <f t="shared" si="12297"/>
        <v>0</v>
      </c>
      <c r="P6715" s="1" t="str">
        <f t="shared" si="12297"/>
        <v>0</v>
      </c>
      <c r="Q6715" s="1" t="str">
        <f t="shared" si="12238"/>
        <v>0.0070</v>
      </c>
      <c r="R6715" s="1" t="s">
        <v>25</v>
      </c>
      <c r="T6715" s="1" t="str">
        <f t="shared" si="12239"/>
        <v>0</v>
      </c>
      <c r="U6715" s="1" t="str">
        <f t="shared" si="12246"/>
        <v>0.0070</v>
      </c>
    </row>
    <row r="6716" s="1" customFormat="1" spans="1:21">
      <c r="A6716" s="1" t="str">
        <f>"4601992290510"</f>
        <v>4601992290510</v>
      </c>
      <c r="B6716" s="1" t="s">
        <v>6739</v>
      </c>
      <c r="C6716" s="1" t="s">
        <v>24</v>
      </c>
      <c r="D6716" s="1" t="str">
        <f t="shared" si="12236"/>
        <v>2021</v>
      </c>
      <c r="E6716" s="1" t="str">
        <f t="shared" ref="E6716:P6716" si="12298">"0"</f>
        <v>0</v>
      </c>
      <c r="F6716" s="1" t="str">
        <f t="shared" si="12298"/>
        <v>0</v>
      </c>
      <c r="G6716" s="1" t="str">
        <f t="shared" si="12298"/>
        <v>0</v>
      </c>
      <c r="H6716" s="1" t="str">
        <f t="shared" si="12298"/>
        <v>0</v>
      </c>
      <c r="I6716" s="1" t="str">
        <f t="shared" si="12298"/>
        <v>0</v>
      </c>
      <c r="J6716" s="1" t="str">
        <f t="shared" si="12298"/>
        <v>0</v>
      </c>
      <c r="K6716" s="1" t="str">
        <f t="shared" si="12298"/>
        <v>0</v>
      </c>
      <c r="L6716" s="1" t="str">
        <f t="shared" si="12298"/>
        <v>0</v>
      </c>
      <c r="M6716" s="1" t="str">
        <f t="shared" si="12298"/>
        <v>0</v>
      </c>
      <c r="N6716" s="1" t="str">
        <f t="shared" si="12298"/>
        <v>0</v>
      </c>
      <c r="O6716" s="1" t="str">
        <f t="shared" si="12298"/>
        <v>0</v>
      </c>
      <c r="P6716" s="1" t="str">
        <f t="shared" si="12298"/>
        <v>0</v>
      </c>
      <c r="Q6716" s="1" t="str">
        <f t="shared" si="12238"/>
        <v>0.0070</v>
      </c>
      <c r="R6716" s="1" t="s">
        <v>25</v>
      </c>
      <c r="T6716" s="1" t="str">
        <f t="shared" si="12239"/>
        <v>0</v>
      </c>
      <c r="U6716" s="1" t="str">
        <f t="shared" si="12246"/>
        <v>0.0070</v>
      </c>
    </row>
    <row r="6717" s="1" customFormat="1" spans="1:21">
      <c r="A6717" s="1" t="str">
        <f>"4601992290524"</f>
        <v>4601992290524</v>
      </c>
      <c r="B6717" s="1" t="s">
        <v>6740</v>
      </c>
      <c r="C6717" s="1" t="s">
        <v>24</v>
      </c>
      <c r="D6717" s="1" t="str">
        <f t="shared" si="12236"/>
        <v>2021</v>
      </c>
      <c r="E6717" s="1" t="str">
        <f t="shared" ref="E6717:P6717" si="12299">"0"</f>
        <v>0</v>
      </c>
      <c r="F6717" s="1" t="str">
        <f t="shared" si="12299"/>
        <v>0</v>
      </c>
      <c r="G6717" s="1" t="str">
        <f t="shared" si="12299"/>
        <v>0</v>
      </c>
      <c r="H6717" s="1" t="str">
        <f t="shared" si="12299"/>
        <v>0</v>
      </c>
      <c r="I6717" s="1" t="str">
        <f t="shared" si="12299"/>
        <v>0</v>
      </c>
      <c r="J6717" s="1" t="str">
        <f t="shared" si="12299"/>
        <v>0</v>
      </c>
      <c r="K6717" s="1" t="str">
        <f t="shared" si="12299"/>
        <v>0</v>
      </c>
      <c r="L6717" s="1" t="str">
        <f t="shared" si="12299"/>
        <v>0</v>
      </c>
      <c r="M6717" s="1" t="str">
        <f t="shared" si="12299"/>
        <v>0</v>
      </c>
      <c r="N6717" s="1" t="str">
        <f t="shared" si="12299"/>
        <v>0</v>
      </c>
      <c r="O6717" s="1" t="str">
        <f t="shared" si="12299"/>
        <v>0</v>
      </c>
      <c r="P6717" s="1" t="str">
        <f t="shared" si="12299"/>
        <v>0</v>
      </c>
      <c r="Q6717" s="1" t="str">
        <f t="shared" si="12238"/>
        <v>0.0070</v>
      </c>
      <c r="R6717" s="1" t="s">
        <v>25</v>
      </c>
      <c r="T6717" s="1" t="str">
        <f t="shared" si="12239"/>
        <v>0</v>
      </c>
      <c r="U6717" s="1" t="str">
        <f t="shared" si="12246"/>
        <v>0.0070</v>
      </c>
    </row>
    <row r="6718" s="1" customFormat="1" spans="1:21">
      <c r="A6718" s="1" t="str">
        <f>"4601992290535"</f>
        <v>4601992290535</v>
      </c>
      <c r="B6718" s="1" t="s">
        <v>6741</v>
      </c>
      <c r="C6718" s="1" t="s">
        <v>24</v>
      </c>
      <c r="D6718" s="1" t="str">
        <f t="shared" si="12236"/>
        <v>2021</v>
      </c>
      <c r="E6718" s="1" t="str">
        <f t="shared" ref="E6718:P6718" si="12300">"0"</f>
        <v>0</v>
      </c>
      <c r="F6718" s="1" t="str">
        <f t="shared" si="12300"/>
        <v>0</v>
      </c>
      <c r="G6718" s="1" t="str">
        <f t="shared" si="12300"/>
        <v>0</v>
      </c>
      <c r="H6718" s="1" t="str">
        <f t="shared" si="12300"/>
        <v>0</v>
      </c>
      <c r="I6718" s="1" t="str">
        <f t="shared" si="12300"/>
        <v>0</v>
      </c>
      <c r="J6718" s="1" t="str">
        <f t="shared" si="12300"/>
        <v>0</v>
      </c>
      <c r="K6718" s="1" t="str">
        <f t="shared" si="12300"/>
        <v>0</v>
      </c>
      <c r="L6718" s="1" t="str">
        <f t="shared" si="12300"/>
        <v>0</v>
      </c>
      <c r="M6718" s="1" t="str">
        <f t="shared" si="12300"/>
        <v>0</v>
      </c>
      <c r="N6718" s="1" t="str">
        <f t="shared" si="12300"/>
        <v>0</v>
      </c>
      <c r="O6718" s="1" t="str">
        <f t="shared" si="12300"/>
        <v>0</v>
      </c>
      <c r="P6718" s="1" t="str">
        <f t="shared" si="12300"/>
        <v>0</v>
      </c>
      <c r="Q6718" s="1" t="str">
        <f t="shared" si="12238"/>
        <v>0.0070</v>
      </c>
      <c r="R6718" s="1" t="s">
        <v>25</v>
      </c>
      <c r="T6718" s="1" t="str">
        <f t="shared" si="12239"/>
        <v>0</v>
      </c>
      <c r="U6718" s="1" t="str">
        <f t="shared" si="12246"/>
        <v>0.0070</v>
      </c>
    </row>
    <row r="6719" s="1" customFormat="1" spans="1:21">
      <c r="A6719" s="1" t="str">
        <f>"4601992290662"</f>
        <v>4601992290662</v>
      </c>
      <c r="B6719" s="1" t="s">
        <v>6742</v>
      </c>
      <c r="C6719" s="1" t="s">
        <v>24</v>
      </c>
      <c r="D6719" s="1" t="str">
        <f t="shared" si="12236"/>
        <v>2021</v>
      </c>
      <c r="E6719" s="1" t="str">
        <f t="shared" ref="E6719:P6719" si="12301">"0"</f>
        <v>0</v>
      </c>
      <c r="F6719" s="1" t="str">
        <f t="shared" si="12301"/>
        <v>0</v>
      </c>
      <c r="G6719" s="1" t="str">
        <f t="shared" si="12301"/>
        <v>0</v>
      </c>
      <c r="H6719" s="1" t="str">
        <f t="shared" si="12301"/>
        <v>0</v>
      </c>
      <c r="I6719" s="1" t="str">
        <f t="shared" si="12301"/>
        <v>0</v>
      </c>
      <c r="J6719" s="1" t="str">
        <f t="shared" si="12301"/>
        <v>0</v>
      </c>
      <c r="K6719" s="1" t="str">
        <f t="shared" si="12301"/>
        <v>0</v>
      </c>
      <c r="L6719" s="1" t="str">
        <f t="shared" si="12301"/>
        <v>0</v>
      </c>
      <c r="M6719" s="1" t="str">
        <f t="shared" si="12301"/>
        <v>0</v>
      </c>
      <c r="N6719" s="1" t="str">
        <f t="shared" si="12301"/>
        <v>0</v>
      </c>
      <c r="O6719" s="1" t="str">
        <f t="shared" si="12301"/>
        <v>0</v>
      </c>
      <c r="P6719" s="1" t="str">
        <f t="shared" si="12301"/>
        <v>0</v>
      </c>
      <c r="Q6719" s="1" t="str">
        <f t="shared" si="12238"/>
        <v>0.0070</v>
      </c>
      <c r="R6719" s="1" t="s">
        <v>25</v>
      </c>
      <c r="T6719" s="1" t="str">
        <f t="shared" si="12239"/>
        <v>0</v>
      </c>
      <c r="U6719" s="1" t="str">
        <f t="shared" si="12246"/>
        <v>0.0070</v>
      </c>
    </row>
    <row r="6720" s="1" customFormat="1" spans="1:21">
      <c r="A6720" s="1" t="str">
        <f>"4601992290537"</f>
        <v>4601992290537</v>
      </c>
      <c r="B6720" s="1" t="s">
        <v>6743</v>
      </c>
      <c r="C6720" s="1" t="s">
        <v>24</v>
      </c>
      <c r="D6720" s="1" t="str">
        <f t="shared" si="12236"/>
        <v>2021</v>
      </c>
      <c r="E6720" s="1" t="str">
        <f t="shared" ref="E6720:P6720" si="12302">"0"</f>
        <v>0</v>
      </c>
      <c r="F6720" s="1" t="str">
        <f t="shared" si="12302"/>
        <v>0</v>
      </c>
      <c r="G6720" s="1" t="str">
        <f t="shared" si="12302"/>
        <v>0</v>
      </c>
      <c r="H6720" s="1" t="str">
        <f t="shared" si="12302"/>
        <v>0</v>
      </c>
      <c r="I6720" s="1" t="str">
        <f t="shared" si="12302"/>
        <v>0</v>
      </c>
      <c r="J6720" s="1" t="str">
        <f t="shared" si="12302"/>
        <v>0</v>
      </c>
      <c r="K6720" s="1" t="str">
        <f t="shared" si="12302"/>
        <v>0</v>
      </c>
      <c r="L6720" s="1" t="str">
        <f t="shared" si="12302"/>
        <v>0</v>
      </c>
      <c r="M6720" s="1" t="str">
        <f t="shared" si="12302"/>
        <v>0</v>
      </c>
      <c r="N6720" s="1" t="str">
        <f t="shared" si="12302"/>
        <v>0</v>
      </c>
      <c r="O6720" s="1" t="str">
        <f t="shared" si="12302"/>
        <v>0</v>
      </c>
      <c r="P6720" s="1" t="str">
        <f t="shared" si="12302"/>
        <v>0</v>
      </c>
      <c r="Q6720" s="1" t="str">
        <f t="shared" si="12238"/>
        <v>0.0070</v>
      </c>
      <c r="R6720" s="1" t="s">
        <v>25</v>
      </c>
      <c r="T6720" s="1" t="str">
        <f t="shared" si="12239"/>
        <v>0</v>
      </c>
      <c r="U6720" s="1" t="str">
        <f t="shared" si="12246"/>
        <v>0.0070</v>
      </c>
    </row>
    <row r="6721" s="1" customFormat="1" spans="1:21">
      <c r="A6721" s="1" t="str">
        <f>"4601992290711"</f>
        <v>4601992290711</v>
      </c>
      <c r="B6721" s="1" t="s">
        <v>6744</v>
      </c>
      <c r="C6721" s="1" t="s">
        <v>24</v>
      </c>
      <c r="D6721" s="1" t="str">
        <f t="shared" si="12236"/>
        <v>2021</v>
      </c>
      <c r="E6721" s="1" t="str">
        <f t="shared" ref="E6721:P6721" si="12303">"0"</f>
        <v>0</v>
      </c>
      <c r="F6721" s="1" t="str">
        <f t="shared" si="12303"/>
        <v>0</v>
      </c>
      <c r="G6721" s="1" t="str">
        <f t="shared" si="12303"/>
        <v>0</v>
      </c>
      <c r="H6721" s="1" t="str">
        <f t="shared" si="12303"/>
        <v>0</v>
      </c>
      <c r="I6721" s="1" t="str">
        <f t="shared" si="12303"/>
        <v>0</v>
      </c>
      <c r="J6721" s="1" t="str">
        <f t="shared" si="12303"/>
        <v>0</v>
      </c>
      <c r="K6721" s="1" t="str">
        <f t="shared" si="12303"/>
        <v>0</v>
      </c>
      <c r="L6721" s="1" t="str">
        <f t="shared" si="12303"/>
        <v>0</v>
      </c>
      <c r="M6721" s="1" t="str">
        <f t="shared" si="12303"/>
        <v>0</v>
      </c>
      <c r="N6721" s="1" t="str">
        <f t="shared" si="12303"/>
        <v>0</v>
      </c>
      <c r="O6721" s="1" t="str">
        <f t="shared" si="12303"/>
        <v>0</v>
      </c>
      <c r="P6721" s="1" t="str">
        <f t="shared" si="12303"/>
        <v>0</v>
      </c>
      <c r="Q6721" s="1" t="str">
        <f t="shared" si="12238"/>
        <v>0.0070</v>
      </c>
      <c r="R6721" s="1" t="s">
        <v>25</v>
      </c>
      <c r="T6721" s="1" t="str">
        <f t="shared" si="12239"/>
        <v>0</v>
      </c>
      <c r="U6721" s="1" t="str">
        <f t="shared" si="12246"/>
        <v>0.0070</v>
      </c>
    </row>
    <row r="6722" s="1" customFormat="1" spans="1:21">
      <c r="A6722" s="1" t="str">
        <f>"4601992290725"</f>
        <v>4601992290725</v>
      </c>
      <c r="B6722" s="1" t="s">
        <v>6745</v>
      </c>
      <c r="C6722" s="1" t="s">
        <v>24</v>
      </c>
      <c r="D6722" s="1" t="str">
        <f t="shared" si="12236"/>
        <v>2021</v>
      </c>
      <c r="E6722" s="1" t="str">
        <f t="shared" ref="E6722:P6722" si="12304">"0"</f>
        <v>0</v>
      </c>
      <c r="F6722" s="1" t="str">
        <f t="shared" si="12304"/>
        <v>0</v>
      </c>
      <c r="G6722" s="1" t="str">
        <f t="shared" si="12304"/>
        <v>0</v>
      </c>
      <c r="H6722" s="1" t="str">
        <f t="shared" si="12304"/>
        <v>0</v>
      </c>
      <c r="I6722" s="1" t="str">
        <f t="shared" si="12304"/>
        <v>0</v>
      </c>
      <c r="J6722" s="1" t="str">
        <f t="shared" si="12304"/>
        <v>0</v>
      </c>
      <c r="K6722" s="1" t="str">
        <f t="shared" si="12304"/>
        <v>0</v>
      </c>
      <c r="L6722" s="1" t="str">
        <f t="shared" si="12304"/>
        <v>0</v>
      </c>
      <c r="M6722" s="1" t="str">
        <f t="shared" si="12304"/>
        <v>0</v>
      </c>
      <c r="N6722" s="1" t="str">
        <f t="shared" si="12304"/>
        <v>0</v>
      </c>
      <c r="O6722" s="1" t="str">
        <f t="shared" si="12304"/>
        <v>0</v>
      </c>
      <c r="P6722" s="1" t="str">
        <f t="shared" si="12304"/>
        <v>0</v>
      </c>
      <c r="Q6722" s="1" t="str">
        <f t="shared" si="12238"/>
        <v>0.0070</v>
      </c>
      <c r="R6722" s="1" t="s">
        <v>25</v>
      </c>
      <c r="T6722" s="1" t="str">
        <f t="shared" si="12239"/>
        <v>0</v>
      </c>
      <c r="U6722" s="1" t="str">
        <f t="shared" si="12246"/>
        <v>0.0070</v>
      </c>
    </row>
    <row r="6723" s="1" customFormat="1" spans="1:21">
      <c r="A6723" s="1" t="str">
        <f>"4601992290738"</f>
        <v>4601992290738</v>
      </c>
      <c r="B6723" s="1" t="s">
        <v>6746</v>
      </c>
      <c r="C6723" s="1" t="s">
        <v>24</v>
      </c>
      <c r="D6723" s="1" t="str">
        <f t="shared" ref="D6723:D6786" si="12305">"2021"</f>
        <v>2021</v>
      </c>
      <c r="E6723" s="1" t="str">
        <f t="shared" ref="E6723:P6723" si="12306">"0"</f>
        <v>0</v>
      </c>
      <c r="F6723" s="1" t="str">
        <f t="shared" si="12306"/>
        <v>0</v>
      </c>
      <c r="G6723" s="1" t="str">
        <f t="shared" si="12306"/>
        <v>0</v>
      </c>
      <c r="H6723" s="1" t="str">
        <f t="shared" si="12306"/>
        <v>0</v>
      </c>
      <c r="I6723" s="1" t="str">
        <f t="shared" si="12306"/>
        <v>0</v>
      </c>
      <c r="J6723" s="1" t="str">
        <f t="shared" si="12306"/>
        <v>0</v>
      </c>
      <c r="K6723" s="1" t="str">
        <f t="shared" si="12306"/>
        <v>0</v>
      </c>
      <c r="L6723" s="1" t="str">
        <f t="shared" si="12306"/>
        <v>0</v>
      </c>
      <c r="M6723" s="1" t="str">
        <f t="shared" si="12306"/>
        <v>0</v>
      </c>
      <c r="N6723" s="1" t="str">
        <f t="shared" si="12306"/>
        <v>0</v>
      </c>
      <c r="O6723" s="1" t="str">
        <f t="shared" si="12306"/>
        <v>0</v>
      </c>
      <c r="P6723" s="1" t="str">
        <f t="shared" si="12306"/>
        <v>0</v>
      </c>
      <c r="Q6723" s="1" t="str">
        <f t="shared" ref="Q6723:Q6786" si="12307">"0.0070"</f>
        <v>0.0070</v>
      </c>
      <c r="R6723" s="1" t="s">
        <v>25</v>
      </c>
      <c r="T6723" s="1" t="str">
        <f t="shared" ref="T6723:T6786" si="12308">"0"</f>
        <v>0</v>
      </c>
      <c r="U6723" s="1" t="str">
        <f t="shared" si="12246"/>
        <v>0.0070</v>
      </c>
    </row>
    <row r="6724" s="1" customFormat="1" spans="1:21">
      <c r="A6724" s="1" t="str">
        <f>"4601992290769"</f>
        <v>4601992290769</v>
      </c>
      <c r="B6724" s="1" t="s">
        <v>6747</v>
      </c>
      <c r="C6724" s="1" t="s">
        <v>24</v>
      </c>
      <c r="D6724" s="1" t="str">
        <f t="shared" si="12305"/>
        <v>2021</v>
      </c>
      <c r="E6724" s="1" t="str">
        <f t="shared" ref="E6724:P6724" si="12309">"0"</f>
        <v>0</v>
      </c>
      <c r="F6724" s="1" t="str">
        <f t="shared" si="12309"/>
        <v>0</v>
      </c>
      <c r="G6724" s="1" t="str">
        <f t="shared" si="12309"/>
        <v>0</v>
      </c>
      <c r="H6724" s="1" t="str">
        <f t="shared" si="12309"/>
        <v>0</v>
      </c>
      <c r="I6724" s="1" t="str">
        <f t="shared" si="12309"/>
        <v>0</v>
      </c>
      <c r="J6724" s="1" t="str">
        <f t="shared" si="12309"/>
        <v>0</v>
      </c>
      <c r="K6724" s="1" t="str">
        <f t="shared" si="12309"/>
        <v>0</v>
      </c>
      <c r="L6724" s="1" t="str">
        <f t="shared" si="12309"/>
        <v>0</v>
      </c>
      <c r="M6724" s="1" t="str">
        <f t="shared" si="12309"/>
        <v>0</v>
      </c>
      <c r="N6724" s="1" t="str">
        <f t="shared" si="12309"/>
        <v>0</v>
      </c>
      <c r="O6724" s="1" t="str">
        <f t="shared" si="12309"/>
        <v>0</v>
      </c>
      <c r="P6724" s="1" t="str">
        <f t="shared" si="12309"/>
        <v>0</v>
      </c>
      <c r="Q6724" s="1" t="str">
        <f t="shared" si="12307"/>
        <v>0.0070</v>
      </c>
      <c r="R6724" s="1" t="s">
        <v>25</v>
      </c>
      <c r="T6724" s="1" t="str">
        <f t="shared" si="12308"/>
        <v>0</v>
      </c>
      <c r="U6724" s="1" t="str">
        <f t="shared" si="12246"/>
        <v>0.0070</v>
      </c>
    </row>
    <row r="6725" s="1" customFormat="1" spans="1:21">
      <c r="A6725" s="1" t="str">
        <f>"4601992290778"</f>
        <v>4601992290778</v>
      </c>
      <c r="B6725" s="1" t="s">
        <v>6748</v>
      </c>
      <c r="C6725" s="1" t="s">
        <v>24</v>
      </c>
      <c r="D6725" s="1" t="str">
        <f t="shared" si="12305"/>
        <v>2021</v>
      </c>
      <c r="E6725" s="1" t="str">
        <f t="shared" ref="E6725:P6725" si="12310">"0"</f>
        <v>0</v>
      </c>
      <c r="F6725" s="1" t="str">
        <f t="shared" si="12310"/>
        <v>0</v>
      </c>
      <c r="G6725" s="1" t="str">
        <f t="shared" si="12310"/>
        <v>0</v>
      </c>
      <c r="H6725" s="1" t="str">
        <f t="shared" si="12310"/>
        <v>0</v>
      </c>
      <c r="I6725" s="1" t="str">
        <f t="shared" si="12310"/>
        <v>0</v>
      </c>
      <c r="J6725" s="1" t="str">
        <f t="shared" si="12310"/>
        <v>0</v>
      </c>
      <c r="K6725" s="1" t="str">
        <f t="shared" si="12310"/>
        <v>0</v>
      </c>
      <c r="L6725" s="1" t="str">
        <f t="shared" si="12310"/>
        <v>0</v>
      </c>
      <c r="M6725" s="1" t="str">
        <f t="shared" si="12310"/>
        <v>0</v>
      </c>
      <c r="N6725" s="1" t="str">
        <f t="shared" si="12310"/>
        <v>0</v>
      </c>
      <c r="O6725" s="1" t="str">
        <f t="shared" si="12310"/>
        <v>0</v>
      </c>
      <c r="P6725" s="1" t="str">
        <f t="shared" si="12310"/>
        <v>0</v>
      </c>
      <c r="Q6725" s="1" t="str">
        <f t="shared" si="12307"/>
        <v>0.0070</v>
      </c>
      <c r="R6725" s="1" t="s">
        <v>25</v>
      </c>
      <c r="T6725" s="1" t="str">
        <f t="shared" si="12308"/>
        <v>0</v>
      </c>
      <c r="U6725" s="1" t="str">
        <f t="shared" si="12246"/>
        <v>0.0070</v>
      </c>
    </row>
    <row r="6726" s="1" customFormat="1" spans="1:21">
      <c r="A6726" s="1" t="str">
        <f>"4601992290957"</f>
        <v>4601992290957</v>
      </c>
      <c r="B6726" s="1" t="s">
        <v>6749</v>
      </c>
      <c r="C6726" s="1" t="s">
        <v>24</v>
      </c>
      <c r="D6726" s="1" t="str">
        <f t="shared" si="12305"/>
        <v>2021</v>
      </c>
      <c r="E6726" s="1" t="str">
        <f t="shared" ref="E6726:P6726" si="12311">"0"</f>
        <v>0</v>
      </c>
      <c r="F6726" s="1" t="str">
        <f t="shared" si="12311"/>
        <v>0</v>
      </c>
      <c r="G6726" s="1" t="str">
        <f t="shared" si="12311"/>
        <v>0</v>
      </c>
      <c r="H6726" s="1" t="str">
        <f t="shared" si="12311"/>
        <v>0</v>
      </c>
      <c r="I6726" s="1" t="str">
        <f t="shared" si="12311"/>
        <v>0</v>
      </c>
      <c r="J6726" s="1" t="str">
        <f t="shared" si="12311"/>
        <v>0</v>
      </c>
      <c r="K6726" s="1" t="str">
        <f t="shared" si="12311"/>
        <v>0</v>
      </c>
      <c r="L6726" s="1" t="str">
        <f t="shared" si="12311"/>
        <v>0</v>
      </c>
      <c r="M6726" s="1" t="str">
        <f t="shared" si="12311"/>
        <v>0</v>
      </c>
      <c r="N6726" s="1" t="str">
        <f t="shared" si="12311"/>
        <v>0</v>
      </c>
      <c r="O6726" s="1" t="str">
        <f t="shared" si="12311"/>
        <v>0</v>
      </c>
      <c r="P6726" s="1" t="str">
        <f t="shared" si="12311"/>
        <v>0</v>
      </c>
      <c r="Q6726" s="1" t="str">
        <f t="shared" si="12307"/>
        <v>0.0070</v>
      </c>
      <c r="R6726" s="1" t="s">
        <v>25</v>
      </c>
      <c r="T6726" s="1" t="str">
        <f t="shared" si="12308"/>
        <v>0</v>
      </c>
      <c r="U6726" s="1" t="str">
        <f t="shared" si="12246"/>
        <v>0.0070</v>
      </c>
    </row>
    <row r="6727" s="1" customFormat="1" spans="1:21">
      <c r="A6727" s="1" t="str">
        <f>"4601992290971"</f>
        <v>4601992290971</v>
      </c>
      <c r="B6727" s="1" t="s">
        <v>6750</v>
      </c>
      <c r="C6727" s="1" t="s">
        <v>24</v>
      </c>
      <c r="D6727" s="1" t="str">
        <f t="shared" si="12305"/>
        <v>2021</v>
      </c>
      <c r="E6727" s="1" t="str">
        <f t="shared" ref="E6727:P6727" si="12312">"0"</f>
        <v>0</v>
      </c>
      <c r="F6727" s="1" t="str">
        <f t="shared" si="12312"/>
        <v>0</v>
      </c>
      <c r="G6727" s="1" t="str">
        <f t="shared" si="12312"/>
        <v>0</v>
      </c>
      <c r="H6727" s="1" t="str">
        <f t="shared" si="12312"/>
        <v>0</v>
      </c>
      <c r="I6727" s="1" t="str">
        <f t="shared" si="12312"/>
        <v>0</v>
      </c>
      <c r="J6727" s="1" t="str">
        <f t="shared" si="12312"/>
        <v>0</v>
      </c>
      <c r="K6727" s="1" t="str">
        <f t="shared" si="12312"/>
        <v>0</v>
      </c>
      <c r="L6727" s="1" t="str">
        <f t="shared" si="12312"/>
        <v>0</v>
      </c>
      <c r="M6727" s="1" t="str">
        <f t="shared" si="12312"/>
        <v>0</v>
      </c>
      <c r="N6727" s="1" t="str">
        <f t="shared" si="12312"/>
        <v>0</v>
      </c>
      <c r="O6727" s="1" t="str">
        <f t="shared" si="12312"/>
        <v>0</v>
      </c>
      <c r="P6727" s="1" t="str">
        <f t="shared" si="12312"/>
        <v>0</v>
      </c>
      <c r="Q6727" s="1" t="str">
        <f t="shared" si="12307"/>
        <v>0.0070</v>
      </c>
      <c r="R6727" s="1" t="s">
        <v>25</v>
      </c>
      <c r="T6727" s="1" t="str">
        <f t="shared" si="12308"/>
        <v>0</v>
      </c>
      <c r="U6727" s="1" t="str">
        <f t="shared" si="12246"/>
        <v>0.0070</v>
      </c>
    </row>
    <row r="6728" s="1" customFormat="1" spans="1:21">
      <c r="A6728" s="1" t="str">
        <f>"4601992290859"</f>
        <v>4601992290859</v>
      </c>
      <c r="B6728" s="1" t="s">
        <v>6751</v>
      </c>
      <c r="C6728" s="1" t="s">
        <v>24</v>
      </c>
      <c r="D6728" s="1" t="str">
        <f t="shared" si="12305"/>
        <v>2021</v>
      </c>
      <c r="E6728" s="1" t="str">
        <f t="shared" ref="E6728:P6728" si="12313">"0"</f>
        <v>0</v>
      </c>
      <c r="F6728" s="1" t="str">
        <f t="shared" si="12313"/>
        <v>0</v>
      </c>
      <c r="G6728" s="1" t="str">
        <f t="shared" si="12313"/>
        <v>0</v>
      </c>
      <c r="H6728" s="1" t="str">
        <f t="shared" si="12313"/>
        <v>0</v>
      </c>
      <c r="I6728" s="1" t="str">
        <f t="shared" si="12313"/>
        <v>0</v>
      </c>
      <c r="J6728" s="1" t="str">
        <f t="shared" si="12313"/>
        <v>0</v>
      </c>
      <c r="K6728" s="1" t="str">
        <f t="shared" si="12313"/>
        <v>0</v>
      </c>
      <c r="L6728" s="1" t="str">
        <f t="shared" si="12313"/>
        <v>0</v>
      </c>
      <c r="M6728" s="1" t="str">
        <f t="shared" si="12313"/>
        <v>0</v>
      </c>
      <c r="N6728" s="1" t="str">
        <f t="shared" si="12313"/>
        <v>0</v>
      </c>
      <c r="O6728" s="1" t="str">
        <f t="shared" si="12313"/>
        <v>0</v>
      </c>
      <c r="P6728" s="1" t="str">
        <f t="shared" si="12313"/>
        <v>0</v>
      </c>
      <c r="Q6728" s="1" t="str">
        <f t="shared" si="12307"/>
        <v>0.0070</v>
      </c>
      <c r="R6728" s="1" t="s">
        <v>25</v>
      </c>
      <c r="T6728" s="1" t="str">
        <f t="shared" si="12308"/>
        <v>0</v>
      </c>
      <c r="U6728" s="1" t="str">
        <f t="shared" ref="U6728:U6740" si="12314">"0.0070"</f>
        <v>0.0070</v>
      </c>
    </row>
    <row r="6729" s="1" customFormat="1" spans="1:21">
      <c r="A6729" s="1" t="str">
        <f>"4601992291041"</f>
        <v>4601992291041</v>
      </c>
      <c r="B6729" s="1" t="s">
        <v>6752</v>
      </c>
      <c r="C6729" s="1" t="s">
        <v>24</v>
      </c>
      <c r="D6729" s="1" t="str">
        <f t="shared" si="12305"/>
        <v>2021</v>
      </c>
      <c r="E6729" s="1" t="str">
        <f t="shared" ref="E6729:P6729" si="12315">"0"</f>
        <v>0</v>
      </c>
      <c r="F6729" s="1" t="str">
        <f t="shared" si="12315"/>
        <v>0</v>
      </c>
      <c r="G6729" s="1" t="str">
        <f t="shared" si="12315"/>
        <v>0</v>
      </c>
      <c r="H6729" s="1" t="str">
        <f t="shared" si="12315"/>
        <v>0</v>
      </c>
      <c r="I6729" s="1" t="str">
        <f t="shared" si="12315"/>
        <v>0</v>
      </c>
      <c r="J6729" s="1" t="str">
        <f t="shared" si="12315"/>
        <v>0</v>
      </c>
      <c r="K6729" s="1" t="str">
        <f t="shared" si="12315"/>
        <v>0</v>
      </c>
      <c r="L6729" s="1" t="str">
        <f t="shared" si="12315"/>
        <v>0</v>
      </c>
      <c r="M6729" s="1" t="str">
        <f t="shared" si="12315"/>
        <v>0</v>
      </c>
      <c r="N6729" s="1" t="str">
        <f t="shared" si="12315"/>
        <v>0</v>
      </c>
      <c r="O6729" s="1" t="str">
        <f t="shared" si="12315"/>
        <v>0</v>
      </c>
      <c r="P6729" s="1" t="str">
        <f t="shared" si="12315"/>
        <v>0</v>
      </c>
      <c r="Q6729" s="1" t="str">
        <f t="shared" si="12307"/>
        <v>0.0070</v>
      </c>
      <c r="R6729" s="1" t="s">
        <v>25</v>
      </c>
      <c r="T6729" s="1" t="str">
        <f t="shared" si="12308"/>
        <v>0</v>
      </c>
      <c r="U6729" s="1" t="str">
        <f t="shared" si="12314"/>
        <v>0.0070</v>
      </c>
    </row>
    <row r="6730" s="1" customFormat="1" spans="1:21">
      <c r="A6730" s="1" t="str">
        <f>"4601992287494"</f>
        <v>4601992287494</v>
      </c>
      <c r="B6730" s="1" t="s">
        <v>6753</v>
      </c>
      <c r="C6730" s="1" t="s">
        <v>24</v>
      </c>
      <c r="D6730" s="1" t="str">
        <f t="shared" si="12305"/>
        <v>2021</v>
      </c>
      <c r="E6730" s="1" t="str">
        <f t="shared" ref="E6730:P6730" si="12316">"0"</f>
        <v>0</v>
      </c>
      <c r="F6730" s="1" t="str">
        <f t="shared" si="12316"/>
        <v>0</v>
      </c>
      <c r="G6730" s="1" t="str">
        <f t="shared" si="12316"/>
        <v>0</v>
      </c>
      <c r="H6730" s="1" t="str">
        <f t="shared" si="12316"/>
        <v>0</v>
      </c>
      <c r="I6730" s="1" t="str">
        <f t="shared" si="12316"/>
        <v>0</v>
      </c>
      <c r="J6730" s="1" t="str">
        <f t="shared" si="12316"/>
        <v>0</v>
      </c>
      <c r="K6730" s="1" t="str">
        <f t="shared" si="12316"/>
        <v>0</v>
      </c>
      <c r="L6730" s="1" t="str">
        <f t="shared" si="12316"/>
        <v>0</v>
      </c>
      <c r="M6730" s="1" t="str">
        <f t="shared" si="12316"/>
        <v>0</v>
      </c>
      <c r="N6730" s="1" t="str">
        <f t="shared" si="12316"/>
        <v>0</v>
      </c>
      <c r="O6730" s="1" t="str">
        <f t="shared" si="12316"/>
        <v>0</v>
      </c>
      <c r="P6730" s="1" t="str">
        <f t="shared" si="12316"/>
        <v>0</v>
      </c>
      <c r="Q6730" s="1" t="str">
        <f t="shared" si="12307"/>
        <v>0.0070</v>
      </c>
      <c r="R6730" s="1" t="s">
        <v>25</v>
      </c>
      <c r="T6730" s="1" t="str">
        <f t="shared" si="12308"/>
        <v>0</v>
      </c>
      <c r="U6730" s="1" t="str">
        <f t="shared" si="12314"/>
        <v>0.0070</v>
      </c>
    </row>
    <row r="6731" s="1" customFormat="1" spans="1:21">
      <c r="A6731" s="1" t="str">
        <f>"4601992291058"</f>
        <v>4601992291058</v>
      </c>
      <c r="B6731" s="1" t="s">
        <v>6754</v>
      </c>
      <c r="C6731" s="1" t="s">
        <v>24</v>
      </c>
      <c r="D6731" s="1" t="str">
        <f t="shared" si="12305"/>
        <v>2021</v>
      </c>
      <c r="E6731" s="1" t="str">
        <f t="shared" ref="E6731:P6731" si="12317">"0"</f>
        <v>0</v>
      </c>
      <c r="F6731" s="1" t="str">
        <f t="shared" si="12317"/>
        <v>0</v>
      </c>
      <c r="G6731" s="1" t="str">
        <f t="shared" si="12317"/>
        <v>0</v>
      </c>
      <c r="H6731" s="1" t="str">
        <f t="shared" si="12317"/>
        <v>0</v>
      </c>
      <c r="I6731" s="1" t="str">
        <f t="shared" si="12317"/>
        <v>0</v>
      </c>
      <c r="J6731" s="1" t="str">
        <f t="shared" si="12317"/>
        <v>0</v>
      </c>
      <c r="K6731" s="1" t="str">
        <f t="shared" si="12317"/>
        <v>0</v>
      </c>
      <c r="L6731" s="1" t="str">
        <f t="shared" si="12317"/>
        <v>0</v>
      </c>
      <c r="M6731" s="1" t="str">
        <f t="shared" si="12317"/>
        <v>0</v>
      </c>
      <c r="N6731" s="1" t="str">
        <f t="shared" si="12317"/>
        <v>0</v>
      </c>
      <c r="O6731" s="1" t="str">
        <f t="shared" si="12317"/>
        <v>0</v>
      </c>
      <c r="P6731" s="1" t="str">
        <f t="shared" si="12317"/>
        <v>0</v>
      </c>
      <c r="Q6731" s="1" t="str">
        <f t="shared" si="12307"/>
        <v>0.0070</v>
      </c>
      <c r="R6731" s="1" t="s">
        <v>25</v>
      </c>
      <c r="T6731" s="1" t="str">
        <f t="shared" si="12308"/>
        <v>0</v>
      </c>
      <c r="U6731" s="1" t="str">
        <f t="shared" si="12314"/>
        <v>0.0070</v>
      </c>
    </row>
    <row r="6732" s="1" customFormat="1" spans="1:21">
      <c r="A6732" s="1" t="str">
        <f>"4601992291259"</f>
        <v>4601992291259</v>
      </c>
      <c r="B6732" s="1" t="s">
        <v>6755</v>
      </c>
      <c r="C6732" s="1" t="s">
        <v>24</v>
      </c>
      <c r="D6732" s="1" t="str">
        <f t="shared" si="12305"/>
        <v>2021</v>
      </c>
      <c r="E6732" s="1" t="str">
        <f t="shared" ref="E6732:P6732" si="12318">"0"</f>
        <v>0</v>
      </c>
      <c r="F6732" s="1" t="str">
        <f t="shared" si="12318"/>
        <v>0</v>
      </c>
      <c r="G6732" s="1" t="str">
        <f t="shared" si="12318"/>
        <v>0</v>
      </c>
      <c r="H6732" s="1" t="str">
        <f t="shared" si="12318"/>
        <v>0</v>
      </c>
      <c r="I6732" s="1" t="str">
        <f t="shared" si="12318"/>
        <v>0</v>
      </c>
      <c r="J6732" s="1" t="str">
        <f t="shared" si="12318"/>
        <v>0</v>
      </c>
      <c r="K6732" s="1" t="str">
        <f t="shared" si="12318"/>
        <v>0</v>
      </c>
      <c r="L6732" s="1" t="str">
        <f t="shared" si="12318"/>
        <v>0</v>
      </c>
      <c r="M6732" s="1" t="str">
        <f t="shared" si="12318"/>
        <v>0</v>
      </c>
      <c r="N6732" s="1" t="str">
        <f t="shared" si="12318"/>
        <v>0</v>
      </c>
      <c r="O6732" s="1" t="str">
        <f t="shared" si="12318"/>
        <v>0</v>
      </c>
      <c r="P6732" s="1" t="str">
        <f t="shared" si="12318"/>
        <v>0</v>
      </c>
      <c r="Q6732" s="1" t="str">
        <f t="shared" si="12307"/>
        <v>0.0070</v>
      </c>
      <c r="R6732" s="1" t="s">
        <v>25</v>
      </c>
      <c r="T6732" s="1" t="str">
        <f t="shared" si="12308"/>
        <v>0</v>
      </c>
      <c r="U6732" s="1" t="str">
        <f t="shared" si="12314"/>
        <v>0.0070</v>
      </c>
    </row>
    <row r="6733" s="1" customFormat="1" spans="1:21">
      <c r="A6733" s="1" t="str">
        <f>"4601992291493"</f>
        <v>4601992291493</v>
      </c>
      <c r="B6733" s="1" t="s">
        <v>6756</v>
      </c>
      <c r="C6733" s="1" t="s">
        <v>24</v>
      </c>
      <c r="D6733" s="1" t="str">
        <f t="shared" si="12305"/>
        <v>2021</v>
      </c>
      <c r="E6733" s="1" t="str">
        <f t="shared" ref="E6733:P6733" si="12319">"0"</f>
        <v>0</v>
      </c>
      <c r="F6733" s="1" t="str">
        <f t="shared" si="12319"/>
        <v>0</v>
      </c>
      <c r="G6733" s="1" t="str">
        <f t="shared" si="12319"/>
        <v>0</v>
      </c>
      <c r="H6733" s="1" t="str">
        <f t="shared" si="12319"/>
        <v>0</v>
      </c>
      <c r="I6733" s="1" t="str">
        <f t="shared" si="12319"/>
        <v>0</v>
      </c>
      <c r="J6733" s="1" t="str">
        <f t="shared" si="12319"/>
        <v>0</v>
      </c>
      <c r="K6733" s="1" t="str">
        <f t="shared" si="12319"/>
        <v>0</v>
      </c>
      <c r="L6733" s="1" t="str">
        <f t="shared" si="12319"/>
        <v>0</v>
      </c>
      <c r="M6733" s="1" t="str">
        <f t="shared" si="12319"/>
        <v>0</v>
      </c>
      <c r="N6733" s="1" t="str">
        <f t="shared" si="12319"/>
        <v>0</v>
      </c>
      <c r="O6733" s="1" t="str">
        <f t="shared" si="12319"/>
        <v>0</v>
      </c>
      <c r="P6733" s="1" t="str">
        <f t="shared" si="12319"/>
        <v>0</v>
      </c>
      <c r="Q6733" s="1" t="str">
        <f t="shared" si="12307"/>
        <v>0.0070</v>
      </c>
      <c r="R6733" s="1" t="s">
        <v>25</v>
      </c>
      <c r="T6733" s="1" t="str">
        <f t="shared" si="12308"/>
        <v>0</v>
      </c>
      <c r="U6733" s="1" t="str">
        <f t="shared" si="12314"/>
        <v>0.0070</v>
      </c>
    </row>
    <row r="6734" s="1" customFormat="1" spans="1:21">
      <c r="A6734" s="1" t="str">
        <f>"4601992291432"</f>
        <v>4601992291432</v>
      </c>
      <c r="B6734" s="1" t="s">
        <v>6757</v>
      </c>
      <c r="C6734" s="1" t="s">
        <v>24</v>
      </c>
      <c r="D6734" s="1" t="str">
        <f t="shared" si="12305"/>
        <v>2021</v>
      </c>
      <c r="E6734" s="1" t="str">
        <f t="shared" ref="E6734:P6734" si="12320">"0"</f>
        <v>0</v>
      </c>
      <c r="F6734" s="1" t="str">
        <f t="shared" si="12320"/>
        <v>0</v>
      </c>
      <c r="G6734" s="1" t="str">
        <f t="shared" si="12320"/>
        <v>0</v>
      </c>
      <c r="H6734" s="1" t="str">
        <f t="shared" si="12320"/>
        <v>0</v>
      </c>
      <c r="I6734" s="1" t="str">
        <f t="shared" si="12320"/>
        <v>0</v>
      </c>
      <c r="J6734" s="1" t="str">
        <f t="shared" si="12320"/>
        <v>0</v>
      </c>
      <c r="K6734" s="1" t="str">
        <f t="shared" si="12320"/>
        <v>0</v>
      </c>
      <c r="L6734" s="1" t="str">
        <f t="shared" si="12320"/>
        <v>0</v>
      </c>
      <c r="M6734" s="1" t="str">
        <f t="shared" si="12320"/>
        <v>0</v>
      </c>
      <c r="N6734" s="1" t="str">
        <f t="shared" si="12320"/>
        <v>0</v>
      </c>
      <c r="O6734" s="1" t="str">
        <f t="shared" si="12320"/>
        <v>0</v>
      </c>
      <c r="P6734" s="1" t="str">
        <f t="shared" si="12320"/>
        <v>0</v>
      </c>
      <c r="Q6734" s="1" t="str">
        <f t="shared" si="12307"/>
        <v>0.0070</v>
      </c>
      <c r="R6734" s="1" t="s">
        <v>25</v>
      </c>
      <c r="T6734" s="1" t="str">
        <f t="shared" si="12308"/>
        <v>0</v>
      </c>
      <c r="U6734" s="1" t="str">
        <f t="shared" si="12314"/>
        <v>0.0070</v>
      </c>
    </row>
    <row r="6735" s="1" customFormat="1" spans="1:21">
      <c r="A6735" s="1" t="str">
        <f>"4601992291577"</f>
        <v>4601992291577</v>
      </c>
      <c r="B6735" s="1" t="s">
        <v>6758</v>
      </c>
      <c r="C6735" s="1" t="s">
        <v>24</v>
      </c>
      <c r="D6735" s="1" t="str">
        <f t="shared" si="12305"/>
        <v>2021</v>
      </c>
      <c r="E6735" s="1" t="str">
        <f t="shared" ref="E6735:P6735" si="12321">"0"</f>
        <v>0</v>
      </c>
      <c r="F6735" s="1" t="str">
        <f t="shared" si="12321"/>
        <v>0</v>
      </c>
      <c r="G6735" s="1" t="str">
        <f t="shared" si="12321"/>
        <v>0</v>
      </c>
      <c r="H6735" s="1" t="str">
        <f t="shared" si="12321"/>
        <v>0</v>
      </c>
      <c r="I6735" s="1" t="str">
        <f t="shared" si="12321"/>
        <v>0</v>
      </c>
      <c r="J6735" s="1" t="str">
        <f t="shared" si="12321"/>
        <v>0</v>
      </c>
      <c r="K6735" s="1" t="str">
        <f t="shared" si="12321"/>
        <v>0</v>
      </c>
      <c r="L6735" s="1" t="str">
        <f t="shared" si="12321"/>
        <v>0</v>
      </c>
      <c r="M6735" s="1" t="str">
        <f t="shared" si="12321"/>
        <v>0</v>
      </c>
      <c r="N6735" s="1" t="str">
        <f t="shared" si="12321"/>
        <v>0</v>
      </c>
      <c r="O6735" s="1" t="str">
        <f t="shared" si="12321"/>
        <v>0</v>
      </c>
      <c r="P6735" s="1" t="str">
        <f t="shared" si="12321"/>
        <v>0</v>
      </c>
      <c r="Q6735" s="1" t="str">
        <f t="shared" si="12307"/>
        <v>0.0070</v>
      </c>
      <c r="R6735" s="1" t="s">
        <v>25</v>
      </c>
      <c r="T6735" s="1" t="str">
        <f t="shared" si="12308"/>
        <v>0</v>
      </c>
      <c r="U6735" s="1" t="str">
        <f t="shared" si="12314"/>
        <v>0.0070</v>
      </c>
    </row>
    <row r="6736" s="1" customFormat="1" spans="1:21">
      <c r="A6736" s="1" t="str">
        <f>"4601992291580"</f>
        <v>4601992291580</v>
      </c>
      <c r="B6736" s="1" t="s">
        <v>6759</v>
      </c>
      <c r="C6736" s="1" t="s">
        <v>24</v>
      </c>
      <c r="D6736" s="1" t="str">
        <f t="shared" si="12305"/>
        <v>2021</v>
      </c>
      <c r="E6736" s="1" t="str">
        <f t="shared" ref="E6736:P6736" si="12322">"0"</f>
        <v>0</v>
      </c>
      <c r="F6736" s="1" t="str">
        <f t="shared" si="12322"/>
        <v>0</v>
      </c>
      <c r="G6736" s="1" t="str">
        <f t="shared" si="12322"/>
        <v>0</v>
      </c>
      <c r="H6736" s="1" t="str">
        <f t="shared" si="12322"/>
        <v>0</v>
      </c>
      <c r="I6736" s="1" t="str">
        <f t="shared" si="12322"/>
        <v>0</v>
      </c>
      <c r="J6736" s="1" t="str">
        <f t="shared" si="12322"/>
        <v>0</v>
      </c>
      <c r="K6736" s="1" t="str">
        <f t="shared" si="12322"/>
        <v>0</v>
      </c>
      <c r="L6736" s="1" t="str">
        <f t="shared" si="12322"/>
        <v>0</v>
      </c>
      <c r="M6736" s="1" t="str">
        <f t="shared" si="12322"/>
        <v>0</v>
      </c>
      <c r="N6736" s="1" t="str">
        <f t="shared" si="12322"/>
        <v>0</v>
      </c>
      <c r="O6736" s="1" t="str">
        <f t="shared" si="12322"/>
        <v>0</v>
      </c>
      <c r="P6736" s="1" t="str">
        <f t="shared" si="12322"/>
        <v>0</v>
      </c>
      <c r="Q6736" s="1" t="str">
        <f t="shared" si="12307"/>
        <v>0.0070</v>
      </c>
      <c r="R6736" s="1" t="s">
        <v>25</v>
      </c>
      <c r="T6736" s="1" t="str">
        <f t="shared" si="12308"/>
        <v>0</v>
      </c>
      <c r="U6736" s="1" t="str">
        <f t="shared" si="12314"/>
        <v>0.0070</v>
      </c>
    </row>
    <row r="6737" s="1" customFormat="1" spans="1:21">
      <c r="A6737" s="1" t="str">
        <f>"4601992291723"</f>
        <v>4601992291723</v>
      </c>
      <c r="B6737" s="1" t="s">
        <v>6760</v>
      </c>
      <c r="C6737" s="1" t="s">
        <v>24</v>
      </c>
      <c r="D6737" s="1" t="str">
        <f t="shared" si="12305"/>
        <v>2021</v>
      </c>
      <c r="E6737" s="1" t="str">
        <f t="shared" ref="E6737:P6737" si="12323">"0"</f>
        <v>0</v>
      </c>
      <c r="F6737" s="1" t="str">
        <f t="shared" si="12323"/>
        <v>0</v>
      </c>
      <c r="G6737" s="1" t="str">
        <f t="shared" si="12323"/>
        <v>0</v>
      </c>
      <c r="H6737" s="1" t="str">
        <f t="shared" si="12323"/>
        <v>0</v>
      </c>
      <c r="I6737" s="1" t="str">
        <f t="shared" si="12323"/>
        <v>0</v>
      </c>
      <c r="J6737" s="1" t="str">
        <f t="shared" si="12323"/>
        <v>0</v>
      </c>
      <c r="K6737" s="1" t="str">
        <f t="shared" si="12323"/>
        <v>0</v>
      </c>
      <c r="L6737" s="1" t="str">
        <f t="shared" si="12323"/>
        <v>0</v>
      </c>
      <c r="M6737" s="1" t="str">
        <f t="shared" si="12323"/>
        <v>0</v>
      </c>
      <c r="N6737" s="1" t="str">
        <f t="shared" si="12323"/>
        <v>0</v>
      </c>
      <c r="O6737" s="1" t="str">
        <f t="shared" si="12323"/>
        <v>0</v>
      </c>
      <c r="P6737" s="1" t="str">
        <f t="shared" si="12323"/>
        <v>0</v>
      </c>
      <c r="Q6737" s="1" t="str">
        <f t="shared" si="12307"/>
        <v>0.0070</v>
      </c>
      <c r="R6737" s="1" t="s">
        <v>25</v>
      </c>
      <c r="T6737" s="1" t="str">
        <f t="shared" si="12308"/>
        <v>0</v>
      </c>
      <c r="U6737" s="1" t="str">
        <f t="shared" si="12314"/>
        <v>0.0070</v>
      </c>
    </row>
    <row r="6738" s="1" customFormat="1" spans="1:21">
      <c r="A6738" s="1" t="str">
        <f>"4601992291814"</f>
        <v>4601992291814</v>
      </c>
      <c r="B6738" s="1" t="s">
        <v>6761</v>
      </c>
      <c r="C6738" s="1" t="s">
        <v>24</v>
      </c>
      <c r="D6738" s="1" t="str">
        <f t="shared" si="12305"/>
        <v>2021</v>
      </c>
      <c r="E6738" s="1" t="str">
        <f t="shared" ref="E6738:P6738" si="12324">"0"</f>
        <v>0</v>
      </c>
      <c r="F6738" s="1" t="str">
        <f t="shared" si="12324"/>
        <v>0</v>
      </c>
      <c r="G6738" s="1" t="str">
        <f t="shared" si="12324"/>
        <v>0</v>
      </c>
      <c r="H6738" s="1" t="str">
        <f t="shared" si="12324"/>
        <v>0</v>
      </c>
      <c r="I6738" s="1" t="str">
        <f t="shared" si="12324"/>
        <v>0</v>
      </c>
      <c r="J6738" s="1" t="str">
        <f t="shared" si="12324"/>
        <v>0</v>
      </c>
      <c r="K6738" s="1" t="str">
        <f t="shared" si="12324"/>
        <v>0</v>
      </c>
      <c r="L6738" s="1" t="str">
        <f t="shared" si="12324"/>
        <v>0</v>
      </c>
      <c r="M6738" s="1" t="str">
        <f t="shared" si="12324"/>
        <v>0</v>
      </c>
      <c r="N6738" s="1" t="str">
        <f t="shared" si="12324"/>
        <v>0</v>
      </c>
      <c r="O6738" s="1" t="str">
        <f t="shared" si="12324"/>
        <v>0</v>
      </c>
      <c r="P6738" s="1" t="str">
        <f t="shared" si="12324"/>
        <v>0</v>
      </c>
      <c r="Q6738" s="1" t="str">
        <f t="shared" si="12307"/>
        <v>0.0070</v>
      </c>
      <c r="R6738" s="1" t="s">
        <v>25</v>
      </c>
      <c r="T6738" s="1" t="str">
        <f t="shared" si="12308"/>
        <v>0</v>
      </c>
      <c r="U6738" s="1" t="str">
        <f t="shared" si="12314"/>
        <v>0.0070</v>
      </c>
    </row>
    <row r="6739" s="1" customFormat="1" spans="1:21">
      <c r="A6739" s="1" t="str">
        <f>"4601992291831"</f>
        <v>4601992291831</v>
      </c>
      <c r="B6739" s="1" t="s">
        <v>6762</v>
      </c>
      <c r="C6739" s="1" t="s">
        <v>24</v>
      </c>
      <c r="D6739" s="1" t="str">
        <f t="shared" si="12305"/>
        <v>2021</v>
      </c>
      <c r="E6739" s="1" t="str">
        <f t="shared" ref="E6739:P6739" si="12325">"0"</f>
        <v>0</v>
      </c>
      <c r="F6739" s="1" t="str">
        <f t="shared" si="12325"/>
        <v>0</v>
      </c>
      <c r="G6739" s="1" t="str">
        <f t="shared" si="12325"/>
        <v>0</v>
      </c>
      <c r="H6739" s="1" t="str">
        <f t="shared" si="12325"/>
        <v>0</v>
      </c>
      <c r="I6739" s="1" t="str">
        <f t="shared" si="12325"/>
        <v>0</v>
      </c>
      <c r="J6739" s="1" t="str">
        <f t="shared" si="12325"/>
        <v>0</v>
      </c>
      <c r="K6739" s="1" t="str">
        <f t="shared" si="12325"/>
        <v>0</v>
      </c>
      <c r="L6739" s="1" t="str">
        <f t="shared" si="12325"/>
        <v>0</v>
      </c>
      <c r="M6739" s="1" t="str">
        <f t="shared" si="12325"/>
        <v>0</v>
      </c>
      <c r="N6739" s="1" t="str">
        <f t="shared" si="12325"/>
        <v>0</v>
      </c>
      <c r="O6739" s="1" t="str">
        <f t="shared" si="12325"/>
        <v>0</v>
      </c>
      <c r="P6739" s="1" t="str">
        <f t="shared" si="12325"/>
        <v>0</v>
      </c>
      <c r="Q6739" s="1" t="str">
        <f t="shared" si="12307"/>
        <v>0.0070</v>
      </c>
      <c r="R6739" s="1" t="s">
        <v>25</v>
      </c>
      <c r="T6739" s="1" t="str">
        <f t="shared" si="12308"/>
        <v>0</v>
      </c>
      <c r="U6739" s="1" t="str">
        <f t="shared" si="12314"/>
        <v>0.0070</v>
      </c>
    </row>
    <row r="6740" s="1" customFormat="1" spans="1:21">
      <c r="A6740" s="1" t="str">
        <f>"4601992291915"</f>
        <v>4601992291915</v>
      </c>
      <c r="B6740" s="1" t="s">
        <v>6763</v>
      </c>
      <c r="C6740" s="1" t="s">
        <v>24</v>
      </c>
      <c r="D6740" s="1" t="str">
        <f t="shared" si="12305"/>
        <v>2021</v>
      </c>
      <c r="E6740" s="1" t="str">
        <f t="shared" ref="E6740:P6740" si="12326">"0"</f>
        <v>0</v>
      </c>
      <c r="F6740" s="1" t="str">
        <f t="shared" si="12326"/>
        <v>0</v>
      </c>
      <c r="G6740" s="1" t="str">
        <f t="shared" si="12326"/>
        <v>0</v>
      </c>
      <c r="H6740" s="1" t="str">
        <f t="shared" si="12326"/>
        <v>0</v>
      </c>
      <c r="I6740" s="1" t="str">
        <f t="shared" si="12326"/>
        <v>0</v>
      </c>
      <c r="J6740" s="1" t="str">
        <f t="shared" si="12326"/>
        <v>0</v>
      </c>
      <c r="K6740" s="1" t="str">
        <f t="shared" si="12326"/>
        <v>0</v>
      </c>
      <c r="L6740" s="1" t="str">
        <f t="shared" si="12326"/>
        <v>0</v>
      </c>
      <c r="M6740" s="1" t="str">
        <f t="shared" si="12326"/>
        <v>0</v>
      </c>
      <c r="N6740" s="1" t="str">
        <f t="shared" si="12326"/>
        <v>0</v>
      </c>
      <c r="O6740" s="1" t="str">
        <f t="shared" si="12326"/>
        <v>0</v>
      </c>
      <c r="P6740" s="1" t="str">
        <f t="shared" si="12326"/>
        <v>0</v>
      </c>
      <c r="Q6740" s="1" t="str">
        <f t="shared" si="12307"/>
        <v>0.0070</v>
      </c>
      <c r="R6740" s="1" t="s">
        <v>25</v>
      </c>
      <c r="T6740" s="1" t="str">
        <f t="shared" si="12308"/>
        <v>0</v>
      </c>
      <c r="U6740" s="1" t="str">
        <f t="shared" si="12314"/>
        <v>0.0070</v>
      </c>
    </row>
    <row r="6741" s="1" customFormat="1" spans="1:21">
      <c r="A6741" s="1" t="str">
        <f>"4601992042996"</f>
        <v>4601992042996</v>
      </c>
      <c r="B6741" s="1" t="s">
        <v>6764</v>
      </c>
      <c r="C6741" s="1" t="s">
        <v>24</v>
      </c>
      <c r="D6741" s="1" t="str">
        <f t="shared" si="12305"/>
        <v>2021</v>
      </c>
      <c r="E6741" s="1" t="str">
        <f>"12.09"</f>
        <v>12.09</v>
      </c>
      <c r="F6741" s="1" t="str">
        <f t="shared" ref="F6741:I6741" si="12327">"0"</f>
        <v>0</v>
      </c>
      <c r="G6741" s="1" t="str">
        <f t="shared" si="12327"/>
        <v>0</v>
      </c>
      <c r="H6741" s="1" t="str">
        <f t="shared" si="12327"/>
        <v>0</v>
      </c>
      <c r="I6741" s="1" t="str">
        <f t="shared" si="12327"/>
        <v>0</v>
      </c>
      <c r="J6741" s="1" t="str">
        <f>"1"</f>
        <v>1</v>
      </c>
      <c r="K6741" s="1" t="str">
        <f t="shared" ref="K6741:P6741" si="12328">"0"</f>
        <v>0</v>
      </c>
      <c r="L6741" s="1" t="str">
        <f t="shared" si="12328"/>
        <v>0</v>
      </c>
      <c r="M6741" s="1" t="str">
        <f t="shared" si="12328"/>
        <v>0</v>
      </c>
      <c r="N6741" s="1" t="str">
        <f t="shared" si="12328"/>
        <v>0</v>
      </c>
      <c r="O6741" s="1" t="str">
        <f t="shared" si="12328"/>
        <v>0</v>
      </c>
      <c r="P6741" s="1" t="str">
        <f t="shared" si="12328"/>
        <v>0</v>
      </c>
      <c r="Q6741" s="1" t="str">
        <f t="shared" si="12307"/>
        <v>0.0070</v>
      </c>
      <c r="R6741" s="1" t="s">
        <v>29</v>
      </c>
      <c r="S6741" s="1">
        <v>-0.0014</v>
      </c>
      <c r="T6741" s="1" t="str">
        <f t="shared" si="12308"/>
        <v>0</v>
      </c>
      <c r="U6741" s="1" t="str">
        <f>"0.0056"</f>
        <v>0.0056</v>
      </c>
    </row>
    <row r="6742" s="1" customFormat="1" spans="1:21">
      <c r="A6742" s="1" t="str">
        <f>"4601992291977"</f>
        <v>4601992291977</v>
      </c>
      <c r="B6742" s="1" t="s">
        <v>6765</v>
      </c>
      <c r="C6742" s="1" t="s">
        <v>24</v>
      </c>
      <c r="D6742" s="1" t="str">
        <f t="shared" si="12305"/>
        <v>2021</v>
      </c>
      <c r="E6742" s="1" t="str">
        <f t="shared" ref="E6742:P6742" si="12329">"0"</f>
        <v>0</v>
      </c>
      <c r="F6742" s="1" t="str">
        <f t="shared" si="12329"/>
        <v>0</v>
      </c>
      <c r="G6742" s="1" t="str">
        <f t="shared" si="12329"/>
        <v>0</v>
      </c>
      <c r="H6742" s="1" t="str">
        <f t="shared" si="12329"/>
        <v>0</v>
      </c>
      <c r="I6742" s="1" t="str">
        <f t="shared" si="12329"/>
        <v>0</v>
      </c>
      <c r="J6742" s="1" t="str">
        <f t="shared" si="12329"/>
        <v>0</v>
      </c>
      <c r="K6742" s="1" t="str">
        <f t="shared" si="12329"/>
        <v>0</v>
      </c>
      <c r="L6742" s="1" t="str">
        <f t="shared" si="12329"/>
        <v>0</v>
      </c>
      <c r="M6742" s="1" t="str">
        <f t="shared" si="12329"/>
        <v>0</v>
      </c>
      <c r="N6742" s="1" t="str">
        <f t="shared" si="12329"/>
        <v>0</v>
      </c>
      <c r="O6742" s="1" t="str">
        <f t="shared" si="12329"/>
        <v>0</v>
      </c>
      <c r="P6742" s="1" t="str">
        <f t="shared" si="12329"/>
        <v>0</v>
      </c>
      <c r="Q6742" s="1" t="str">
        <f t="shared" si="12307"/>
        <v>0.0070</v>
      </c>
      <c r="R6742" s="1" t="s">
        <v>25</v>
      </c>
      <c r="T6742" s="1" t="str">
        <f t="shared" si="12308"/>
        <v>0</v>
      </c>
      <c r="U6742" s="1" t="str">
        <f t="shared" ref="U6742:U6749" si="12330">"0.0070"</f>
        <v>0.0070</v>
      </c>
    </row>
    <row r="6743" s="1" customFormat="1" spans="1:21">
      <c r="A6743" s="1" t="str">
        <f>"4601992292080"</f>
        <v>4601992292080</v>
      </c>
      <c r="B6743" s="1" t="s">
        <v>6766</v>
      </c>
      <c r="C6743" s="1" t="s">
        <v>24</v>
      </c>
      <c r="D6743" s="1" t="str">
        <f t="shared" si="12305"/>
        <v>2021</v>
      </c>
      <c r="E6743" s="1" t="str">
        <f t="shared" ref="E6743:P6743" si="12331">"0"</f>
        <v>0</v>
      </c>
      <c r="F6743" s="1" t="str">
        <f t="shared" si="12331"/>
        <v>0</v>
      </c>
      <c r="G6743" s="1" t="str">
        <f t="shared" si="12331"/>
        <v>0</v>
      </c>
      <c r="H6743" s="1" t="str">
        <f t="shared" si="12331"/>
        <v>0</v>
      </c>
      <c r="I6743" s="1" t="str">
        <f t="shared" si="12331"/>
        <v>0</v>
      </c>
      <c r="J6743" s="1" t="str">
        <f t="shared" si="12331"/>
        <v>0</v>
      </c>
      <c r="K6743" s="1" t="str">
        <f t="shared" si="12331"/>
        <v>0</v>
      </c>
      <c r="L6743" s="1" t="str">
        <f t="shared" si="12331"/>
        <v>0</v>
      </c>
      <c r="M6743" s="1" t="str">
        <f t="shared" si="12331"/>
        <v>0</v>
      </c>
      <c r="N6743" s="1" t="str">
        <f t="shared" si="12331"/>
        <v>0</v>
      </c>
      <c r="O6743" s="1" t="str">
        <f t="shared" si="12331"/>
        <v>0</v>
      </c>
      <c r="P6743" s="1" t="str">
        <f t="shared" si="12331"/>
        <v>0</v>
      </c>
      <c r="Q6743" s="1" t="str">
        <f t="shared" si="12307"/>
        <v>0.0070</v>
      </c>
      <c r="R6743" s="1" t="s">
        <v>25</v>
      </c>
      <c r="T6743" s="1" t="str">
        <f t="shared" si="12308"/>
        <v>0</v>
      </c>
      <c r="U6743" s="1" t="str">
        <f t="shared" si="12330"/>
        <v>0.0070</v>
      </c>
    </row>
    <row r="6744" s="1" customFormat="1" spans="1:21">
      <c r="A6744" s="1" t="str">
        <f>"4601992292316"</f>
        <v>4601992292316</v>
      </c>
      <c r="B6744" s="1" t="s">
        <v>6767</v>
      </c>
      <c r="C6744" s="1" t="s">
        <v>24</v>
      </c>
      <c r="D6744" s="1" t="str">
        <f t="shared" si="12305"/>
        <v>2021</v>
      </c>
      <c r="E6744" s="1" t="str">
        <f t="shared" ref="E6744:P6744" si="12332">"0"</f>
        <v>0</v>
      </c>
      <c r="F6744" s="1" t="str">
        <f t="shared" si="12332"/>
        <v>0</v>
      </c>
      <c r="G6744" s="1" t="str">
        <f t="shared" si="12332"/>
        <v>0</v>
      </c>
      <c r="H6744" s="1" t="str">
        <f t="shared" si="12332"/>
        <v>0</v>
      </c>
      <c r="I6744" s="1" t="str">
        <f t="shared" si="12332"/>
        <v>0</v>
      </c>
      <c r="J6744" s="1" t="str">
        <f t="shared" si="12332"/>
        <v>0</v>
      </c>
      <c r="K6744" s="1" t="str">
        <f t="shared" si="12332"/>
        <v>0</v>
      </c>
      <c r="L6744" s="1" t="str">
        <f t="shared" si="12332"/>
        <v>0</v>
      </c>
      <c r="M6744" s="1" t="str">
        <f t="shared" si="12332"/>
        <v>0</v>
      </c>
      <c r="N6744" s="1" t="str">
        <f t="shared" si="12332"/>
        <v>0</v>
      </c>
      <c r="O6744" s="1" t="str">
        <f t="shared" si="12332"/>
        <v>0</v>
      </c>
      <c r="P6744" s="1" t="str">
        <f t="shared" si="12332"/>
        <v>0</v>
      </c>
      <c r="Q6744" s="1" t="str">
        <f t="shared" si="12307"/>
        <v>0.0070</v>
      </c>
      <c r="R6744" s="1" t="s">
        <v>25</v>
      </c>
      <c r="T6744" s="1" t="str">
        <f t="shared" si="12308"/>
        <v>0</v>
      </c>
      <c r="U6744" s="1" t="str">
        <f t="shared" si="12330"/>
        <v>0.0070</v>
      </c>
    </row>
    <row r="6745" s="1" customFormat="1" spans="1:21">
      <c r="A6745" s="1" t="str">
        <f>"4601992292470"</f>
        <v>4601992292470</v>
      </c>
      <c r="B6745" s="1" t="s">
        <v>6768</v>
      </c>
      <c r="C6745" s="1" t="s">
        <v>24</v>
      </c>
      <c r="D6745" s="1" t="str">
        <f t="shared" si="12305"/>
        <v>2021</v>
      </c>
      <c r="E6745" s="1" t="str">
        <f t="shared" ref="E6745:P6745" si="12333">"0"</f>
        <v>0</v>
      </c>
      <c r="F6745" s="1" t="str">
        <f t="shared" si="12333"/>
        <v>0</v>
      </c>
      <c r="G6745" s="1" t="str">
        <f t="shared" si="12333"/>
        <v>0</v>
      </c>
      <c r="H6745" s="1" t="str">
        <f t="shared" si="12333"/>
        <v>0</v>
      </c>
      <c r="I6745" s="1" t="str">
        <f t="shared" si="12333"/>
        <v>0</v>
      </c>
      <c r="J6745" s="1" t="str">
        <f t="shared" si="12333"/>
        <v>0</v>
      </c>
      <c r="K6745" s="1" t="str">
        <f t="shared" si="12333"/>
        <v>0</v>
      </c>
      <c r="L6745" s="1" t="str">
        <f t="shared" si="12333"/>
        <v>0</v>
      </c>
      <c r="M6745" s="1" t="str">
        <f t="shared" si="12333"/>
        <v>0</v>
      </c>
      <c r="N6745" s="1" t="str">
        <f t="shared" si="12333"/>
        <v>0</v>
      </c>
      <c r="O6745" s="1" t="str">
        <f t="shared" si="12333"/>
        <v>0</v>
      </c>
      <c r="P6745" s="1" t="str">
        <f t="shared" si="12333"/>
        <v>0</v>
      </c>
      <c r="Q6745" s="1" t="str">
        <f t="shared" si="12307"/>
        <v>0.0070</v>
      </c>
      <c r="R6745" s="1" t="s">
        <v>25</v>
      </c>
      <c r="T6745" s="1" t="str">
        <f t="shared" si="12308"/>
        <v>0</v>
      </c>
      <c r="U6745" s="1" t="str">
        <f t="shared" si="12330"/>
        <v>0.0070</v>
      </c>
    </row>
    <row r="6746" s="1" customFormat="1" spans="1:21">
      <c r="A6746" s="1" t="str">
        <f>"4601992292329"</f>
        <v>4601992292329</v>
      </c>
      <c r="B6746" s="1" t="s">
        <v>6769</v>
      </c>
      <c r="C6746" s="1" t="s">
        <v>24</v>
      </c>
      <c r="D6746" s="1" t="str">
        <f t="shared" si="12305"/>
        <v>2021</v>
      </c>
      <c r="E6746" s="1" t="str">
        <f t="shared" ref="E6746:P6746" si="12334">"0"</f>
        <v>0</v>
      </c>
      <c r="F6746" s="1" t="str">
        <f t="shared" si="12334"/>
        <v>0</v>
      </c>
      <c r="G6746" s="1" t="str">
        <f t="shared" si="12334"/>
        <v>0</v>
      </c>
      <c r="H6746" s="1" t="str">
        <f t="shared" si="12334"/>
        <v>0</v>
      </c>
      <c r="I6746" s="1" t="str">
        <f t="shared" si="12334"/>
        <v>0</v>
      </c>
      <c r="J6746" s="1" t="str">
        <f t="shared" si="12334"/>
        <v>0</v>
      </c>
      <c r="K6746" s="1" t="str">
        <f t="shared" si="12334"/>
        <v>0</v>
      </c>
      <c r="L6746" s="1" t="str">
        <f t="shared" si="12334"/>
        <v>0</v>
      </c>
      <c r="M6746" s="1" t="str">
        <f t="shared" si="12334"/>
        <v>0</v>
      </c>
      <c r="N6746" s="1" t="str">
        <f t="shared" si="12334"/>
        <v>0</v>
      </c>
      <c r="O6746" s="1" t="str">
        <f t="shared" si="12334"/>
        <v>0</v>
      </c>
      <c r="P6746" s="1" t="str">
        <f t="shared" si="12334"/>
        <v>0</v>
      </c>
      <c r="Q6746" s="1" t="str">
        <f t="shared" si="12307"/>
        <v>0.0070</v>
      </c>
      <c r="R6746" s="1" t="s">
        <v>25</v>
      </c>
      <c r="T6746" s="1" t="str">
        <f t="shared" si="12308"/>
        <v>0</v>
      </c>
      <c r="U6746" s="1" t="str">
        <f t="shared" si="12330"/>
        <v>0.0070</v>
      </c>
    </row>
    <row r="6747" s="1" customFormat="1" spans="1:21">
      <c r="A6747" s="1" t="str">
        <f>"4601992292482"</f>
        <v>4601992292482</v>
      </c>
      <c r="B6747" s="1" t="s">
        <v>6770</v>
      </c>
      <c r="C6747" s="1" t="s">
        <v>24</v>
      </c>
      <c r="D6747" s="1" t="str">
        <f t="shared" si="12305"/>
        <v>2021</v>
      </c>
      <c r="E6747" s="1" t="str">
        <f t="shared" ref="E6747:P6747" si="12335">"0"</f>
        <v>0</v>
      </c>
      <c r="F6747" s="1" t="str">
        <f t="shared" si="12335"/>
        <v>0</v>
      </c>
      <c r="G6747" s="1" t="str">
        <f t="shared" si="12335"/>
        <v>0</v>
      </c>
      <c r="H6747" s="1" t="str">
        <f t="shared" si="12335"/>
        <v>0</v>
      </c>
      <c r="I6747" s="1" t="str">
        <f t="shared" si="12335"/>
        <v>0</v>
      </c>
      <c r="J6747" s="1" t="str">
        <f t="shared" si="12335"/>
        <v>0</v>
      </c>
      <c r="K6747" s="1" t="str">
        <f t="shared" si="12335"/>
        <v>0</v>
      </c>
      <c r="L6747" s="1" t="str">
        <f t="shared" si="12335"/>
        <v>0</v>
      </c>
      <c r="M6747" s="1" t="str">
        <f t="shared" si="12335"/>
        <v>0</v>
      </c>
      <c r="N6747" s="1" t="str">
        <f t="shared" si="12335"/>
        <v>0</v>
      </c>
      <c r="O6747" s="1" t="str">
        <f t="shared" si="12335"/>
        <v>0</v>
      </c>
      <c r="P6747" s="1" t="str">
        <f t="shared" si="12335"/>
        <v>0</v>
      </c>
      <c r="Q6747" s="1" t="str">
        <f t="shared" si="12307"/>
        <v>0.0070</v>
      </c>
      <c r="R6747" s="1" t="s">
        <v>25</v>
      </c>
      <c r="T6747" s="1" t="str">
        <f t="shared" si="12308"/>
        <v>0</v>
      </c>
      <c r="U6747" s="1" t="str">
        <f t="shared" si="12330"/>
        <v>0.0070</v>
      </c>
    </row>
    <row r="6748" s="1" customFormat="1" spans="1:21">
      <c r="A6748" s="1" t="str">
        <f>"4601992292518"</f>
        <v>4601992292518</v>
      </c>
      <c r="B6748" s="1" t="s">
        <v>6771</v>
      </c>
      <c r="C6748" s="1" t="s">
        <v>24</v>
      </c>
      <c r="D6748" s="1" t="str">
        <f t="shared" si="12305"/>
        <v>2021</v>
      </c>
      <c r="E6748" s="1" t="str">
        <f t="shared" ref="E6748:P6748" si="12336">"0"</f>
        <v>0</v>
      </c>
      <c r="F6748" s="1" t="str">
        <f t="shared" si="12336"/>
        <v>0</v>
      </c>
      <c r="G6748" s="1" t="str">
        <f t="shared" si="12336"/>
        <v>0</v>
      </c>
      <c r="H6748" s="1" t="str">
        <f t="shared" si="12336"/>
        <v>0</v>
      </c>
      <c r="I6748" s="1" t="str">
        <f t="shared" si="12336"/>
        <v>0</v>
      </c>
      <c r="J6748" s="1" t="str">
        <f t="shared" si="12336"/>
        <v>0</v>
      </c>
      <c r="K6748" s="1" t="str">
        <f t="shared" si="12336"/>
        <v>0</v>
      </c>
      <c r="L6748" s="1" t="str">
        <f t="shared" si="12336"/>
        <v>0</v>
      </c>
      <c r="M6748" s="1" t="str">
        <f t="shared" si="12336"/>
        <v>0</v>
      </c>
      <c r="N6748" s="1" t="str">
        <f t="shared" si="12336"/>
        <v>0</v>
      </c>
      <c r="O6748" s="1" t="str">
        <f t="shared" si="12336"/>
        <v>0</v>
      </c>
      <c r="P6748" s="1" t="str">
        <f t="shared" si="12336"/>
        <v>0</v>
      </c>
      <c r="Q6748" s="1" t="str">
        <f t="shared" si="12307"/>
        <v>0.0070</v>
      </c>
      <c r="R6748" s="1" t="s">
        <v>25</v>
      </c>
      <c r="T6748" s="1" t="str">
        <f t="shared" si="12308"/>
        <v>0</v>
      </c>
      <c r="U6748" s="1" t="str">
        <f t="shared" si="12330"/>
        <v>0.0070</v>
      </c>
    </row>
    <row r="6749" s="1" customFormat="1" spans="1:21">
      <c r="A6749" s="1" t="str">
        <f>"4601992292655"</f>
        <v>4601992292655</v>
      </c>
      <c r="B6749" s="1" t="s">
        <v>6772</v>
      </c>
      <c r="C6749" s="1" t="s">
        <v>24</v>
      </c>
      <c r="D6749" s="1" t="str">
        <f t="shared" si="12305"/>
        <v>2021</v>
      </c>
      <c r="E6749" s="1" t="str">
        <f t="shared" ref="E6749:P6749" si="12337">"0"</f>
        <v>0</v>
      </c>
      <c r="F6749" s="1" t="str">
        <f t="shared" si="12337"/>
        <v>0</v>
      </c>
      <c r="G6749" s="1" t="str">
        <f t="shared" si="12337"/>
        <v>0</v>
      </c>
      <c r="H6749" s="1" t="str">
        <f t="shared" si="12337"/>
        <v>0</v>
      </c>
      <c r="I6749" s="1" t="str">
        <f t="shared" si="12337"/>
        <v>0</v>
      </c>
      <c r="J6749" s="1" t="str">
        <f t="shared" si="12337"/>
        <v>0</v>
      </c>
      <c r="K6749" s="1" t="str">
        <f t="shared" si="12337"/>
        <v>0</v>
      </c>
      <c r="L6749" s="1" t="str">
        <f t="shared" si="12337"/>
        <v>0</v>
      </c>
      <c r="M6749" s="1" t="str">
        <f t="shared" si="12337"/>
        <v>0</v>
      </c>
      <c r="N6749" s="1" t="str">
        <f t="shared" si="12337"/>
        <v>0</v>
      </c>
      <c r="O6749" s="1" t="str">
        <f t="shared" si="12337"/>
        <v>0</v>
      </c>
      <c r="P6749" s="1" t="str">
        <f t="shared" si="12337"/>
        <v>0</v>
      </c>
      <c r="Q6749" s="1" t="str">
        <f t="shared" si="12307"/>
        <v>0.0070</v>
      </c>
      <c r="R6749" s="1" t="s">
        <v>25</v>
      </c>
      <c r="T6749" s="1" t="str">
        <f t="shared" si="12308"/>
        <v>0</v>
      </c>
      <c r="U6749" s="1" t="str">
        <f t="shared" si="12330"/>
        <v>0.0070</v>
      </c>
    </row>
    <row r="6750" s="1" customFormat="1" spans="1:21">
      <c r="A6750" s="1" t="str">
        <f>"4601991401507"</f>
        <v>4601991401507</v>
      </c>
      <c r="B6750" s="1" t="s">
        <v>6773</v>
      </c>
      <c r="C6750" s="1" t="s">
        <v>24</v>
      </c>
      <c r="D6750" s="1" t="str">
        <f t="shared" si="12305"/>
        <v>2021</v>
      </c>
      <c r="E6750" s="1" t="str">
        <f>"9.67"</f>
        <v>9.67</v>
      </c>
      <c r="F6750" s="1" t="str">
        <f t="shared" ref="F6750:I6750" si="12338">"0"</f>
        <v>0</v>
      </c>
      <c r="G6750" s="1" t="str">
        <f t="shared" si="12338"/>
        <v>0</v>
      </c>
      <c r="H6750" s="1" t="str">
        <f t="shared" si="12338"/>
        <v>0</v>
      </c>
      <c r="I6750" s="1" t="str">
        <f t="shared" si="12338"/>
        <v>0</v>
      </c>
      <c r="J6750" s="1" t="str">
        <f>"1"</f>
        <v>1</v>
      </c>
      <c r="K6750" s="1" t="str">
        <f t="shared" ref="K6750:P6750" si="12339">"0"</f>
        <v>0</v>
      </c>
      <c r="L6750" s="1" t="str">
        <f t="shared" si="12339"/>
        <v>0</v>
      </c>
      <c r="M6750" s="1" t="str">
        <f t="shared" si="12339"/>
        <v>0</v>
      </c>
      <c r="N6750" s="1" t="str">
        <f t="shared" si="12339"/>
        <v>0</v>
      </c>
      <c r="O6750" s="1" t="str">
        <f t="shared" si="12339"/>
        <v>0</v>
      </c>
      <c r="P6750" s="1" t="str">
        <f t="shared" si="12339"/>
        <v>0</v>
      </c>
      <c r="Q6750" s="1" t="str">
        <f t="shared" si="12307"/>
        <v>0.0070</v>
      </c>
      <c r="R6750" s="1" t="s">
        <v>29</v>
      </c>
      <c r="S6750" s="1">
        <v>-0.0014</v>
      </c>
      <c r="T6750" s="1" t="str">
        <f t="shared" si="12308"/>
        <v>0</v>
      </c>
      <c r="U6750" s="1" t="str">
        <f>"0.0056"</f>
        <v>0.0056</v>
      </c>
    </row>
    <row r="6751" s="1" customFormat="1" spans="1:21">
      <c r="A6751" s="1" t="str">
        <f>"4601992292679"</f>
        <v>4601992292679</v>
      </c>
      <c r="B6751" s="1" t="s">
        <v>6774</v>
      </c>
      <c r="C6751" s="1" t="s">
        <v>24</v>
      </c>
      <c r="D6751" s="1" t="str">
        <f t="shared" si="12305"/>
        <v>2021</v>
      </c>
      <c r="E6751" s="1" t="str">
        <f t="shared" ref="E6751:P6751" si="12340">"0"</f>
        <v>0</v>
      </c>
      <c r="F6751" s="1" t="str">
        <f t="shared" si="12340"/>
        <v>0</v>
      </c>
      <c r="G6751" s="1" t="str">
        <f t="shared" si="12340"/>
        <v>0</v>
      </c>
      <c r="H6751" s="1" t="str">
        <f t="shared" si="12340"/>
        <v>0</v>
      </c>
      <c r="I6751" s="1" t="str">
        <f t="shared" si="12340"/>
        <v>0</v>
      </c>
      <c r="J6751" s="1" t="str">
        <f t="shared" si="12340"/>
        <v>0</v>
      </c>
      <c r="K6751" s="1" t="str">
        <f t="shared" si="12340"/>
        <v>0</v>
      </c>
      <c r="L6751" s="1" t="str">
        <f t="shared" si="12340"/>
        <v>0</v>
      </c>
      <c r="M6751" s="1" t="str">
        <f t="shared" si="12340"/>
        <v>0</v>
      </c>
      <c r="N6751" s="1" t="str">
        <f t="shared" si="12340"/>
        <v>0</v>
      </c>
      <c r="O6751" s="1" t="str">
        <f t="shared" si="12340"/>
        <v>0</v>
      </c>
      <c r="P6751" s="1" t="str">
        <f t="shared" si="12340"/>
        <v>0</v>
      </c>
      <c r="Q6751" s="1" t="str">
        <f t="shared" si="12307"/>
        <v>0.0070</v>
      </c>
      <c r="R6751" s="1" t="s">
        <v>25</v>
      </c>
      <c r="T6751" s="1" t="str">
        <f t="shared" si="12308"/>
        <v>0</v>
      </c>
      <c r="U6751" s="1" t="str">
        <f t="shared" ref="U6751:U6800" si="12341">"0.0070"</f>
        <v>0.0070</v>
      </c>
    </row>
    <row r="6752" s="1" customFormat="1" spans="1:21">
      <c r="A6752" s="1" t="str">
        <f>"4601992292792"</f>
        <v>4601992292792</v>
      </c>
      <c r="B6752" s="1" t="s">
        <v>6775</v>
      </c>
      <c r="C6752" s="1" t="s">
        <v>24</v>
      </c>
      <c r="D6752" s="1" t="str">
        <f t="shared" si="12305"/>
        <v>2021</v>
      </c>
      <c r="E6752" s="1" t="str">
        <f t="shared" ref="E6752:P6752" si="12342">"0"</f>
        <v>0</v>
      </c>
      <c r="F6752" s="1" t="str">
        <f t="shared" si="12342"/>
        <v>0</v>
      </c>
      <c r="G6752" s="1" t="str">
        <f t="shared" si="12342"/>
        <v>0</v>
      </c>
      <c r="H6752" s="1" t="str">
        <f t="shared" si="12342"/>
        <v>0</v>
      </c>
      <c r="I6752" s="1" t="str">
        <f t="shared" si="12342"/>
        <v>0</v>
      </c>
      <c r="J6752" s="1" t="str">
        <f t="shared" si="12342"/>
        <v>0</v>
      </c>
      <c r="K6752" s="1" t="str">
        <f t="shared" si="12342"/>
        <v>0</v>
      </c>
      <c r="L6752" s="1" t="str">
        <f t="shared" si="12342"/>
        <v>0</v>
      </c>
      <c r="M6752" s="1" t="str">
        <f t="shared" si="12342"/>
        <v>0</v>
      </c>
      <c r="N6752" s="1" t="str">
        <f t="shared" si="12342"/>
        <v>0</v>
      </c>
      <c r="O6752" s="1" t="str">
        <f t="shared" si="12342"/>
        <v>0</v>
      </c>
      <c r="P6752" s="1" t="str">
        <f t="shared" si="12342"/>
        <v>0</v>
      </c>
      <c r="Q6752" s="1" t="str">
        <f t="shared" si="12307"/>
        <v>0.0070</v>
      </c>
      <c r="R6752" s="1" t="s">
        <v>25</v>
      </c>
      <c r="T6752" s="1" t="str">
        <f t="shared" si="12308"/>
        <v>0</v>
      </c>
      <c r="U6752" s="1" t="str">
        <f t="shared" si="12341"/>
        <v>0.0070</v>
      </c>
    </row>
    <row r="6753" s="1" customFormat="1" spans="1:21">
      <c r="A6753" s="1" t="str">
        <f>"4601992292708"</f>
        <v>4601992292708</v>
      </c>
      <c r="B6753" s="1" t="s">
        <v>6776</v>
      </c>
      <c r="C6753" s="1" t="s">
        <v>24</v>
      </c>
      <c r="D6753" s="1" t="str">
        <f t="shared" si="12305"/>
        <v>2021</v>
      </c>
      <c r="E6753" s="1" t="str">
        <f t="shared" ref="E6753:P6753" si="12343">"0"</f>
        <v>0</v>
      </c>
      <c r="F6753" s="1" t="str">
        <f t="shared" si="12343"/>
        <v>0</v>
      </c>
      <c r="G6753" s="1" t="str">
        <f t="shared" si="12343"/>
        <v>0</v>
      </c>
      <c r="H6753" s="1" t="str">
        <f t="shared" si="12343"/>
        <v>0</v>
      </c>
      <c r="I6753" s="1" t="str">
        <f t="shared" si="12343"/>
        <v>0</v>
      </c>
      <c r="J6753" s="1" t="str">
        <f t="shared" si="12343"/>
        <v>0</v>
      </c>
      <c r="K6753" s="1" t="str">
        <f t="shared" si="12343"/>
        <v>0</v>
      </c>
      <c r="L6753" s="1" t="str">
        <f t="shared" si="12343"/>
        <v>0</v>
      </c>
      <c r="M6753" s="1" t="str">
        <f t="shared" si="12343"/>
        <v>0</v>
      </c>
      <c r="N6753" s="1" t="str">
        <f t="shared" si="12343"/>
        <v>0</v>
      </c>
      <c r="O6753" s="1" t="str">
        <f t="shared" si="12343"/>
        <v>0</v>
      </c>
      <c r="P6753" s="1" t="str">
        <f t="shared" si="12343"/>
        <v>0</v>
      </c>
      <c r="Q6753" s="1" t="str">
        <f t="shared" si="12307"/>
        <v>0.0070</v>
      </c>
      <c r="R6753" s="1" t="s">
        <v>25</v>
      </c>
      <c r="T6753" s="1" t="str">
        <f t="shared" si="12308"/>
        <v>0</v>
      </c>
      <c r="U6753" s="1" t="str">
        <f t="shared" si="12341"/>
        <v>0.0070</v>
      </c>
    </row>
    <row r="6754" s="1" customFormat="1" spans="1:21">
      <c r="A6754" s="1" t="str">
        <f>"4601992292959"</f>
        <v>4601992292959</v>
      </c>
      <c r="B6754" s="1" t="s">
        <v>6777</v>
      </c>
      <c r="C6754" s="1" t="s">
        <v>24</v>
      </c>
      <c r="D6754" s="1" t="str">
        <f t="shared" si="12305"/>
        <v>2021</v>
      </c>
      <c r="E6754" s="1" t="str">
        <f t="shared" ref="E6754:P6754" si="12344">"0"</f>
        <v>0</v>
      </c>
      <c r="F6754" s="1" t="str">
        <f t="shared" si="12344"/>
        <v>0</v>
      </c>
      <c r="G6754" s="1" t="str">
        <f t="shared" si="12344"/>
        <v>0</v>
      </c>
      <c r="H6754" s="1" t="str">
        <f t="shared" si="12344"/>
        <v>0</v>
      </c>
      <c r="I6754" s="1" t="str">
        <f t="shared" si="12344"/>
        <v>0</v>
      </c>
      <c r="J6754" s="1" t="str">
        <f t="shared" si="12344"/>
        <v>0</v>
      </c>
      <c r="K6754" s="1" t="str">
        <f t="shared" si="12344"/>
        <v>0</v>
      </c>
      <c r="L6754" s="1" t="str">
        <f t="shared" si="12344"/>
        <v>0</v>
      </c>
      <c r="M6754" s="1" t="str">
        <f t="shared" si="12344"/>
        <v>0</v>
      </c>
      <c r="N6754" s="1" t="str">
        <f t="shared" si="12344"/>
        <v>0</v>
      </c>
      <c r="O6754" s="1" t="str">
        <f t="shared" si="12344"/>
        <v>0</v>
      </c>
      <c r="P6754" s="1" t="str">
        <f t="shared" si="12344"/>
        <v>0</v>
      </c>
      <c r="Q6754" s="1" t="str">
        <f t="shared" si="12307"/>
        <v>0.0070</v>
      </c>
      <c r="R6754" s="1" t="s">
        <v>25</v>
      </c>
      <c r="T6754" s="1" t="str">
        <f t="shared" si="12308"/>
        <v>0</v>
      </c>
      <c r="U6754" s="1" t="str">
        <f t="shared" si="12341"/>
        <v>0.0070</v>
      </c>
    </row>
    <row r="6755" s="1" customFormat="1" spans="1:21">
      <c r="A6755" s="1" t="str">
        <f>"4601992293095"</f>
        <v>4601992293095</v>
      </c>
      <c r="B6755" s="1" t="s">
        <v>6778</v>
      </c>
      <c r="C6755" s="1" t="s">
        <v>24</v>
      </c>
      <c r="D6755" s="1" t="str">
        <f t="shared" si="12305"/>
        <v>2021</v>
      </c>
      <c r="E6755" s="1" t="str">
        <f t="shared" ref="E6755:P6755" si="12345">"0"</f>
        <v>0</v>
      </c>
      <c r="F6755" s="1" t="str">
        <f t="shared" si="12345"/>
        <v>0</v>
      </c>
      <c r="G6755" s="1" t="str">
        <f t="shared" si="12345"/>
        <v>0</v>
      </c>
      <c r="H6755" s="1" t="str">
        <f t="shared" si="12345"/>
        <v>0</v>
      </c>
      <c r="I6755" s="1" t="str">
        <f t="shared" si="12345"/>
        <v>0</v>
      </c>
      <c r="J6755" s="1" t="str">
        <f t="shared" si="12345"/>
        <v>0</v>
      </c>
      <c r="K6755" s="1" t="str">
        <f t="shared" si="12345"/>
        <v>0</v>
      </c>
      <c r="L6755" s="1" t="str">
        <f t="shared" si="12345"/>
        <v>0</v>
      </c>
      <c r="M6755" s="1" t="str">
        <f t="shared" si="12345"/>
        <v>0</v>
      </c>
      <c r="N6755" s="1" t="str">
        <f t="shared" si="12345"/>
        <v>0</v>
      </c>
      <c r="O6755" s="1" t="str">
        <f t="shared" si="12345"/>
        <v>0</v>
      </c>
      <c r="P6755" s="1" t="str">
        <f t="shared" si="12345"/>
        <v>0</v>
      </c>
      <c r="Q6755" s="1" t="str">
        <f t="shared" si="12307"/>
        <v>0.0070</v>
      </c>
      <c r="R6755" s="1" t="s">
        <v>25</v>
      </c>
      <c r="T6755" s="1" t="str">
        <f t="shared" si="12308"/>
        <v>0</v>
      </c>
      <c r="U6755" s="1" t="str">
        <f t="shared" si="12341"/>
        <v>0.0070</v>
      </c>
    </row>
    <row r="6756" s="1" customFormat="1" spans="1:21">
      <c r="A6756" s="1" t="str">
        <f>"4601992293157"</f>
        <v>4601992293157</v>
      </c>
      <c r="B6756" s="1" t="s">
        <v>6779</v>
      </c>
      <c r="C6756" s="1" t="s">
        <v>24</v>
      </c>
      <c r="D6756" s="1" t="str">
        <f t="shared" si="12305"/>
        <v>2021</v>
      </c>
      <c r="E6756" s="1" t="str">
        <f t="shared" ref="E6756:P6756" si="12346">"0"</f>
        <v>0</v>
      </c>
      <c r="F6756" s="1" t="str">
        <f t="shared" si="12346"/>
        <v>0</v>
      </c>
      <c r="G6756" s="1" t="str">
        <f t="shared" si="12346"/>
        <v>0</v>
      </c>
      <c r="H6756" s="1" t="str">
        <f t="shared" si="12346"/>
        <v>0</v>
      </c>
      <c r="I6756" s="1" t="str">
        <f t="shared" si="12346"/>
        <v>0</v>
      </c>
      <c r="J6756" s="1" t="str">
        <f t="shared" si="12346"/>
        <v>0</v>
      </c>
      <c r="K6756" s="1" t="str">
        <f t="shared" si="12346"/>
        <v>0</v>
      </c>
      <c r="L6756" s="1" t="str">
        <f t="shared" si="12346"/>
        <v>0</v>
      </c>
      <c r="M6756" s="1" t="str">
        <f t="shared" si="12346"/>
        <v>0</v>
      </c>
      <c r="N6756" s="1" t="str">
        <f t="shared" si="12346"/>
        <v>0</v>
      </c>
      <c r="O6756" s="1" t="str">
        <f t="shared" si="12346"/>
        <v>0</v>
      </c>
      <c r="P6756" s="1" t="str">
        <f t="shared" si="12346"/>
        <v>0</v>
      </c>
      <c r="Q6756" s="1" t="str">
        <f t="shared" si="12307"/>
        <v>0.0070</v>
      </c>
      <c r="R6756" s="1" t="s">
        <v>25</v>
      </c>
      <c r="T6756" s="1" t="str">
        <f t="shared" si="12308"/>
        <v>0</v>
      </c>
      <c r="U6756" s="1" t="str">
        <f t="shared" si="12341"/>
        <v>0.0070</v>
      </c>
    </row>
    <row r="6757" s="1" customFormat="1" spans="1:21">
      <c r="A6757" s="1" t="str">
        <f>"4601992293207"</f>
        <v>4601992293207</v>
      </c>
      <c r="B6757" s="1" t="s">
        <v>6780</v>
      </c>
      <c r="C6757" s="1" t="s">
        <v>24</v>
      </c>
      <c r="D6757" s="1" t="str">
        <f t="shared" si="12305"/>
        <v>2021</v>
      </c>
      <c r="E6757" s="1" t="str">
        <f t="shared" ref="E6757:P6757" si="12347">"0"</f>
        <v>0</v>
      </c>
      <c r="F6757" s="1" t="str">
        <f t="shared" si="12347"/>
        <v>0</v>
      </c>
      <c r="G6757" s="1" t="str">
        <f t="shared" si="12347"/>
        <v>0</v>
      </c>
      <c r="H6757" s="1" t="str">
        <f t="shared" si="12347"/>
        <v>0</v>
      </c>
      <c r="I6757" s="1" t="str">
        <f t="shared" si="12347"/>
        <v>0</v>
      </c>
      <c r="J6757" s="1" t="str">
        <f t="shared" si="12347"/>
        <v>0</v>
      </c>
      <c r="K6757" s="1" t="str">
        <f t="shared" si="12347"/>
        <v>0</v>
      </c>
      <c r="L6757" s="1" t="str">
        <f t="shared" si="12347"/>
        <v>0</v>
      </c>
      <c r="M6757" s="1" t="str">
        <f t="shared" si="12347"/>
        <v>0</v>
      </c>
      <c r="N6757" s="1" t="str">
        <f t="shared" si="12347"/>
        <v>0</v>
      </c>
      <c r="O6757" s="1" t="str">
        <f t="shared" si="12347"/>
        <v>0</v>
      </c>
      <c r="P6757" s="1" t="str">
        <f t="shared" si="12347"/>
        <v>0</v>
      </c>
      <c r="Q6757" s="1" t="str">
        <f t="shared" si="12307"/>
        <v>0.0070</v>
      </c>
      <c r="R6757" s="1" t="s">
        <v>25</v>
      </c>
      <c r="T6757" s="1" t="str">
        <f t="shared" si="12308"/>
        <v>0</v>
      </c>
      <c r="U6757" s="1" t="str">
        <f t="shared" si="12341"/>
        <v>0.0070</v>
      </c>
    </row>
    <row r="6758" s="1" customFormat="1" spans="1:21">
      <c r="A6758" s="1" t="str">
        <f>"4601992293212"</f>
        <v>4601992293212</v>
      </c>
      <c r="B6758" s="1" t="s">
        <v>6781</v>
      </c>
      <c r="C6758" s="1" t="s">
        <v>24</v>
      </c>
      <c r="D6758" s="1" t="str">
        <f t="shared" si="12305"/>
        <v>2021</v>
      </c>
      <c r="E6758" s="1" t="str">
        <f t="shared" ref="E6758:P6758" si="12348">"0"</f>
        <v>0</v>
      </c>
      <c r="F6758" s="1" t="str">
        <f t="shared" si="12348"/>
        <v>0</v>
      </c>
      <c r="G6758" s="1" t="str">
        <f t="shared" si="12348"/>
        <v>0</v>
      </c>
      <c r="H6758" s="1" t="str">
        <f t="shared" si="12348"/>
        <v>0</v>
      </c>
      <c r="I6758" s="1" t="str">
        <f t="shared" si="12348"/>
        <v>0</v>
      </c>
      <c r="J6758" s="1" t="str">
        <f t="shared" si="12348"/>
        <v>0</v>
      </c>
      <c r="K6758" s="1" t="str">
        <f t="shared" si="12348"/>
        <v>0</v>
      </c>
      <c r="L6758" s="1" t="str">
        <f t="shared" si="12348"/>
        <v>0</v>
      </c>
      <c r="M6758" s="1" t="str">
        <f t="shared" si="12348"/>
        <v>0</v>
      </c>
      <c r="N6758" s="1" t="str">
        <f t="shared" si="12348"/>
        <v>0</v>
      </c>
      <c r="O6758" s="1" t="str">
        <f t="shared" si="12348"/>
        <v>0</v>
      </c>
      <c r="P6758" s="1" t="str">
        <f t="shared" si="12348"/>
        <v>0</v>
      </c>
      <c r="Q6758" s="1" t="str">
        <f t="shared" si="12307"/>
        <v>0.0070</v>
      </c>
      <c r="R6758" s="1" t="s">
        <v>25</v>
      </c>
      <c r="T6758" s="1" t="str">
        <f t="shared" si="12308"/>
        <v>0</v>
      </c>
      <c r="U6758" s="1" t="str">
        <f t="shared" si="12341"/>
        <v>0.0070</v>
      </c>
    </row>
    <row r="6759" s="1" customFormat="1" spans="1:21">
      <c r="A6759" s="1" t="str">
        <f>"4601992293223"</f>
        <v>4601992293223</v>
      </c>
      <c r="B6759" s="1" t="s">
        <v>6782</v>
      </c>
      <c r="C6759" s="1" t="s">
        <v>24</v>
      </c>
      <c r="D6759" s="1" t="str">
        <f t="shared" si="12305"/>
        <v>2021</v>
      </c>
      <c r="E6759" s="1" t="str">
        <f t="shared" ref="E6759:P6759" si="12349">"0"</f>
        <v>0</v>
      </c>
      <c r="F6759" s="1" t="str">
        <f t="shared" si="12349"/>
        <v>0</v>
      </c>
      <c r="G6759" s="1" t="str">
        <f t="shared" si="12349"/>
        <v>0</v>
      </c>
      <c r="H6759" s="1" t="str">
        <f t="shared" si="12349"/>
        <v>0</v>
      </c>
      <c r="I6759" s="1" t="str">
        <f t="shared" si="12349"/>
        <v>0</v>
      </c>
      <c r="J6759" s="1" t="str">
        <f t="shared" si="12349"/>
        <v>0</v>
      </c>
      <c r="K6759" s="1" t="str">
        <f t="shared" si="12349"/>
        <v>0</v>
      </c>
      <c r="L6759" s="1" t="str">
        <f t="shared" si="12349"/>
        <v>0</v>
      </c>
      <c r="M6759" s="1" t="str">
        <f t="shared" si="12349"/>
        <v>0</v>
      </c>
      <c r="N6759" s="1" t="str">
        <f t="shared" si="12349"/>
        <v>0</v>
      </c>
      <c r="O6759" s="1" t="str">
        <f t="shared" si="12349"/>
        <v>0</v>
      </c>
      <c r="P6759" s="1" t="str">
        <f t="shared" si="12349"/>
        <v>0</v>
      </c>
      <c r="Q6759" s="1" t="str">
        <f t="shared" si="12307"/>
        <v>0.0070</v>
      </c>
      <c r="R6759" s="1" t="s">
        <v>25</v>
      </c>
      <c r="T6759" s="1" t="str">
        <f t="shared" si="12308"/>
        <v>0</v>
      </c>
      <c r="U6759" s="1" t="str">
        <f t="shared" si="12341"/>
        <v>0.0070</v>
      </c>
    </row>
    <row r="6760" s="1" customFormat="1" spans="1:21">
      <c r="A6760" s="1" t="str">
        <f>"4601992293242"</f>
        <v>4601992293242</v>
      </c>
      <c r="B6760" s="1" t="s">
        <v>6783</v>
      </c>
      <c r="C6760" s="1" t="s">
        <v>24</v>
      </c>
      <c r="D6760" s="1" t="str">
        <f t="shared" si="12305"/>
        <v>2021</v>
      </c>
      <c r="E6760" s="1" t="str">
        <f t="shared" ref="E6760:P6760" si="12350">"0"</f>
        <v>0</v>
      </c>
      <c r="F6760" s="1" t="str">
        <f t="shared" si="12350"/>
        <v>0</v>
      </c>
      <c r="G6760" s="1" t="str">
        <f t="shared" si="12350"/>
        <v>0</v>
      </c>
      <c r="H6760" s="1" t="str">
        <f t="shared" si="12350"/>
        <v>0</v>
      </c>
      <c r="I6760" s="1" t="str">
        <f t="shared" si="12350"/>
        <v>0</v>
      </c>
      <c r="J6760" s="1" t="str">
        <f t="shared" si="12350"/>
        <v>0</v>
      </c>
      <c r="K6760" s="1" t="str">
        <f t="shared" si="12350"/>
        <v>0</v>
      </c>
      <c r="L6760" s="1" t="str">
        <f t="shared" si="12350"/>
        <v>0</v>
      </c>
      <c r="M6760" s="1" t="str">
        <f t="shared" si="12350"/>
        <v>0</v>
      </c>
      <c r="N6760" s="1" t="str">
        <f t="shared" si="12350"/>
        <v>0</v>
      </c>
      <c r="O6760" s="1" t="str">
        <f t="shared" si="12350"/>
        <v>0</v>
      </c>
      <c r="P6760" s="1" t="str">
        <f t="shared" si="12350"/>
        <v>0</v>
      </c>
      <c r="Q6760" s="1" t="str">
        <f t="shared" si="12307"/>
        <v>0.0070</v>
      </c>
      <c r="R6760" s="1" t="s">
        <v>25</v>
      </c>
      <c r="T6760" s="1" t="str">
        <f t="shared" si="12308"/>
        <v>0</v>
      </c>
      <c r="U6760" s="1" t="str">
        <f t="shared" si="12341"/>
        <v>0.0070</v>
      </c>
    </row>
    <row r="6761" s="1" customFormat="1" spans="1:21">
      <c r="A6761" s="1" t="str">
        <f>"4601992293290"</f>
        <v>4601992293290</v>
      </c>
      <c r="B6761" s="1" t="s">
        <v>6784</v>
      </c>
      <c r="C6761" s="1" t="s">
        <v>24</v>
      </c>
      <c r="D6761" s="1" t="str">
        <f t="shared" si="12305"/>
        <v>2021</v>
      </c>
      <c r="E6761" s="1" t="str">
        <f t="shared" ref="E6761:P6761" si="12351">"0"</f>
        <v>0</v>
      </c>
      <c r="F6761" s="1" t="str">
        <f t="shared" si="12351"/>
        <v>0</v>
      </c>
      <c r="G6761" s="1" t="str">
        <f t="shared" si="12351"/>
        <v>0</v>
      </c>
      <c r="H6761" s="1" t="str">
        <f t="shared" si="12351"/>
        <v>0</v>
      </c>
      <c r="I6761" s="1" t="str">
        <f t="shared" si="12351"/>
        <v>0</v>
      </c>
      <c r="J6761" s="1" t="str">
        <f t="shared" si="12351"/>
        <v>0</v>
      </c>
      <c r="K6761" s="1" t="str">
        <f t="shared" si="12351"/>
        <v>0</v>
      </c>
      <c r="L6761" s="1" t="str">
        <f t="shared" si="12351"/>
        <v>0</v>
      </c>
      <c r="M6761" s="1" t="str">
        <f t="shared" si="12351"/>
        <v>0</v>
      </c>
      <c r="N6761" s="1" t="str">
        <f t="shared" si="12351"/>
        <v>0</v>
      </c>
      <c r="O6761" s="1" t="str">
        <f t="shared" si="12351"/>
        <v>0</v>
      </c>
      <c r="P6761" s="1" t="str">
        <f t="shared" si="12351"/>
        <v>0</v>
      </c>
      <c r="Q6761" s="1" t="str">
        <f t="shared" si="12307"/>
        <v>0.0070</v>
      </c>
      <c r="R6761" s="1" t="s">
        <v>25</v>
      </c>
      <c r="T6761" s="1" t="str">
        <f t="shared" si="12308"/>
        <v>0</v>
      </c>
      <c r="U6761" s="1" t="str">
        <f t="shared" si="12341"/>
        <v>0.0070</v>
      </c>
    </row>
    <row r="6762" s="1" customFormat="1" spans="1:21">
      <c r="A6762" s="1" t="str">
        <f>"4601992293251"</f>
        <v>4601992293251</v>
      </c>
      <c r="B6762" s="1" t="s">
        <v>6785</v>
      </c>
      <c r="C6762" s="1" t="s">
        <v>24</v>
      </c>
      <c r="D6762" s="1" t="str">
        <f t="shared" si="12305"/>
        <v>2021</v>
      </c>
      <c r="E6762" s="1" t="str">
        <f t="shared" ref="E6762:P6762" si="12352">"0"</f>
        <v>0</v>
      </c>
      <c r="F6762" s="1" t="str">
        <f t="shared" si="12352"/>
        <v>0</v>
      </c>
      <c r="G6762" s="1" t="str">
        <f t="shared" si="12352"/>
        <v>0</v>
      </c>
      <c r="H6762" s="1" t="str">
        <f t="shared" si="12352"/>
        <v>0</v>
      </c>
      <c r="I6762" s="1" t="str">
        <f t="shared" si="12352"/>
        <v>0</v>
      </c>
      <c r="J6762" s="1" t="str">
        <f t="shared" si="12352"/>
        <v>0</v>
      </c>
      <c r="K6762" s="1" t="str">
        <f t="shared" si="12352"/>
        <v>0</v>
      </c>
      <c r="L6762" s="1" t="str">
        <f t="shared" si="12352"/>
        <v>0</v>
      </c>
      <c r="M6762" s="1" t="str">
        <f t="shared" si="12352"/>
        <v>0</v>
      </c>
      <c r="N6762" s="1" t="str">
        <f t="shared" si="12352"/>
        <v>0</v>
      </c>
      <c r="O6762" s="1" t="str">
        <f t="shared" si="12352"/>
        <v>0</v>
      </c>
      <c r="P6762" s="1" t="str">
        <f t="shared" si="12352"/>
        <v>0</v>
      </c>
      <c r="Q6762" s="1" t="str">
        <f t="shared" si="12307"/>
        <v>0.0070</v>
      </c>
      <c r="R6762" s="1" t="s">
        <v>25</v>
      </c>
      <c r="T6762" s="1" t="str">
        <f t="shared" si="12308"/>
        <v>0</v>
      </c>
      <c r="U6762" s="1" t="str">
        <f t="shared" si="12341"/>
        <v>0.0070</v>
      </c>
    </row>
    <row r="6763" s="1" customFormat="1" spans="1:21">
      <c r="A6763" s="1" t="str">
        <f>"4601992293360"</f>
        <v>4601992293360</v>
      </c>
      <c r="B6763" s="1" t="s">
        <v>6786</v>
      </c>
      <c r="C6763" s="1" t="s">
        <v>24</v>
      </c>
      <c r="D6763" s="1" t="str">
        <f t="shared" si="12305"/>
        <v>2021</v>
      </c>
      <c r="E6763" s="1" t="str">
        <f t="shared" ref="E6763:P6763" si="12353">"0"</f>
        <v>0</v>
      </c>
      <c r="F6763" s="1" t="str">
        <f t="shared" si="12353"/>
        <v>0</v>
      </c>
      <c r="G6763" s="1" t="str">
        <f t="shared" si="12353"/>
        <v>0</v>
      </c>
      <c r="H6763" s="1" t="str">
        <f t="shared" si="12353"/>
        <v>0</v>
      </c>
      <c r="I6763" s="1" t="str">
        <f t="shared" si="12353"/>
        <v>0</v>
      </c>
      <c r="J6763" s="1" t="str">
        <f t="shared" si="12353"/>
        <v>0</v>
      </c>
      <c r="K6763" s="1" t="str">
        <f t="shared" si="12353"/>
        <v>0</v>
      </c>
      <c r="L6763" s="1" t="str">
        <f t="shared" si="12353"/>
        <v>0</v>
      </c>
      <c r="M6763" s="1" t="str">
        <f t="shared" si="12353"/>
        <v>0</v>
      </c>
      <c r="N6763" s="1" t="str">
        <f t="shared" si="12353"/>
        <v>0</v>
      </c>
      <c r="O6763" s="1" t="str">
        <f t="shared" si="12353"/>
        <v>0</v>
      </c>
      <c r="P6763" s="1" t="str">
        <f t="shared" si="12353"/>
        <v>0</v>
      </c>
      <c r="Q6763" s="1" t="str">
        <f t="shared" si="12307"/>
        <v>0.0070</v>
      </c>
      <c r="R6763" s="1" t="s">
        <v>25</v>
      </c>
      <c r="T6763" s="1" t="str">
        <f t="shared" si="12308"/>
        <v>0</v>
      </c>
      <c r="U6763" s="1" t="str">
        <f t="shared" si="12341"/>
        <v>0.0070</v>
      </c>
    </row>
    <row r="6764" s="1" customFormat="1" spans="1:21">
      <c r="A6764" s="1" t="str">
        <f>"4601992293486"</f>
        <v>4601992293486</v>
      </c>
      <c r="B6764" s="1" t="s">
        <v>6787</v>
      </c>
      <c r="C6764" s="1" t="s">
        <v>24</v>
      </c>
      <c r="D6764" s="1" t="str">
        <f t="shared" si="12305"/>
        <v>2021</v>
      </c>
      <c r="E6764" s="1" t="str">
        <f t="shared" ref="E6764:P6764" si="12354">"0"</f>
        <v>0</v>
      </c>
      <c r="F6764" s="1" t="str">
        <f t="shared" si="12354"/>
        <v>0</v>
      </c>
      <c r="G6764" s="1" t="str">
        <f t="shared" si="12354"/>
        <v>0</v>
      </c>
      <c r="H6764" s="1" t="str">
        <f t="shared" si="12354"/>
        <v>0</v>
      </c>
      <c r="I6764" s="1" t="str">
        <f t="shared" si="12354"/>
        <v>0</v>
      </c>
      <c r="J6764" s="1" t="str">
        <f t="shared" si="12354"/>
        <v>0</v>
      </c>
      <c r="K6764" s="1" t="str">
        <f t="shared" si="12354"/>
        <v>0</v>
      </c>
      <c r="L6764" s="1" t="str">
        <f t="shared" si="12354"/>
        <v>0</v>
      </c>
      <c r="M6764" s="1" t="str">
        <f t="shared" si="12354"/>
        <v>0</v>
      </c>
      <c r="N6764" s="1" t="str">
        <f t="shared" si="12354"/>
        <v>0</v>
      </c>
      <c r="O6764" s="1" t="str">
        <f t="shared" si="12354"/>
        <v>0</v>
      </c>
      <c r="P6764" s="1" t="str">
        <f t="shared" si="12354"/>
        <v>0</v>
      </c>
      <c r="Q6764" s="1" t="str">
        <f t="shared" si="12307"/>
        <v>0.0070</v>
      </c>
      <c r="R6764" s="1" t="s">
        <v>25</v>
      </c>
      <c r="T6764" s="1" t="str">
        <f t="shared" si="12308"/>
        <v>0</v>
      </c>
      <c r="U6764" s="1" t="str">
        <f t="shared" si="12341"/>
        <v>0.0070</v>
      </c>
    </row>
    <row r="6765" s="1" customFormat="1" spans="1:21">
      <c r="A6765" s="1" t="str">
        <f>"4601992293415"</f>
        <v>4601992293415</v>
      </c>
      <c r="B6765" s="1" t="s">
        <v>6788</v>
      </c>
      <c r="C6765" s="1" t="s">
        <v>24</v>
      </c>
      <c r="D6765" s="1" t="str">
        <f t="shared" si="12305"/>
        <v>2021</v>
      </c>
      <c r="E6765" s="1" t="str">
        <f t="shared" ref="E6765:P6765" si="12355">"0"</f>
        <v>0</v>
      </c>
      <c r="F6765" s="1" t="str">
        <f t="shared" si="12355"/>
        <v>0</v>
      </c>
      <c r="G6765" s="1" t="str">
        <f t="shared" si="12355"/>
        <v>0</v>
      </c>
      <c r="H6765" s="1" t="str">
        <f t="shared" si="12355"/>
        <v>0</v>
      </c>
      <c r="I6765" s="1" t="str">
        <f t="shared" si="12355"/>
        <v>0</v>
      </c>
      <c r="J6765" s="1" t="str">
        <f t="shared" si="12355"/>
        <v>0</v>
      </c>
      <c r="K6765" s="1" t="str">
        <f t="shared" si="12355"/>
        <v>0</v>
      </c>
      <c r="L6765" s="1" t="str">
        <f t="shared" si="12355"/>
        <v>0</v>
      </c>
      <c r="M6765" s="1" t="str">
        <f t="shared" si="12355"/>
        <v>0</v>
      </c>
      <c r="N6765" s="1" t="str">
        <f t="shared" si="12355"/>
        <v>0</v>
      </c>
      <c r="O6765" s="1" t="str">
        <f t="shared" si="12355"/>
        <v>0</v>
      </c>
      <c r="P6765" s="1" t="str">
        <f t="shared" si="12355"/>
        <v>0</v>
      </c>
      <c r="Q6765" s="1" t="str">
        <f t="shared" si="12307"/>
        <v>0.0070</v>
      </c>
      <c r="R6765" s="1" t="s">
        <v>25</v>
      </c>
      <c r="T6765" s="1" t="str">
        <f t="shared" si="12308"/>
        <v>0</v>
      </c>
      <c r="U6765" s="1" t="str">
        <f t="shared" si="12341"/>
        <v>0.0070</v>
      </c>
    </row>
    <row r="6766" s="1" customFormat="1" spans="1:21">
      <c r="A6766" s="1" t="str">
        <f>"4601992293572"</f>
        <v>4601992293572</v>
      </c>
      <c r="B6766" s="1" t="s">
        <v>6789</v>
      </c>
      <c r="C6766" s="1" t="s">
        <v>24</v>
      </c>
      <c r="D6766" s="1" t="str">
        <f t="shared" si="12305"/>
        <v>2021</v>
      </c>
      <c r="E6766" s="1" t="str">
        <f t="shared" ref="E6766:P6766" si="12356">"0"</f>
        <v>0</v>
      </c>
      <c r="F6766" s="1" t="str">
        <f t="shared" si="12356"/>
        <v>0</v>
      </c>
      <c r="G6766" s="1" t="str">
        <f t="shared" si="12356"/>
        <v>0</v>
      </c>
      <c r="H6766" s="1" t="str">
        <f t="shared" si="12356"/>
        <v>0</v>
      </c>
      <c r="I6766" s="1" t="str">
        <f t="shared" si="12356"/>
        <v>0</v>
      </c>
      <c r="J6766" s="1" t="str">
        <f t="shared" si="12356"/>
        <v>0</v>
      </c>
      <c r="K6766" s="1" t="str">
        <f t="shared" si="12356"/>
        <v>0</v>
      </c>
      <c r="L6766" s="1" t="str">
        <f t="shared" si="12356"/>
        <v>0</v>
      </c>
      <c r="M6766" s="1" t="str">
        <f t="shared" si="12356"/>
        <v>0</v>
      </c>
      <c r="N6766" s="1" t="str">
        <f t="shared" si="12356"/>
        <v>0</v>
      </c>
      <c r="O6766" s="1" t="str">
        <f t="shared" si="12356"/>
        <v>0</v>
      </c>
      <c r="P6766" s="1" t="str">
        <f t="shared" si="12356"/>
        <v>0</v>
      </c>
      <c r="Q6766" s="1" t="str">
        <f t="shared" si="12307"/>
        <v>0.0070</v>
      </c>
      <c r="R6766" s="1" t="s">
        <v>25</v>
      </c>
      <c r="T6766" s="1" t="str">
        <f t="shared" si="12308"/>
        <v>0</v>
      </c>
      <c r="U6766" s="1" t="str">
        <f t="shared" si="12341"/>
        <v>0.0070</v>
      </c>
    </row>
    <row r="6767" s="1" customFormat="1" spans="1:21">
      <c r="A6767" s="1" t="str">
        <f>"4601992293580"</f>
        <v>4601992293580</v>
      </c>
      <c r="B6767" s="1" t="s">
        <v>6790</v>
      </c>
      <c r="C6767" s="1" t="s">
        <v>24</v>
      </c>
      <c r="D6767" s="1" t="str">
        <f t="shared" si="12305"/>
        <v>2021</v>
      </c>
      <c r="E6767" s="1" t="str">
        <f t="shared" ref="E6767:P6767" si="12357">"0"</f>
        <v>0</v>
      </c>
      <c r="F6767" s="1" t="str">
        <f t="shared" si="12357"/>
        <v>0</v>
      </c>
      <c r="G6767" s="1" t="str">
        <f t="shared" si="12357"/>
        <v>0</v>
      </c>
      <c r="H6767" s="1" t="str">
        <f t="shared" si="12357"/>
        <v>0</v>
      </c>
      <c r="I6767" s="1" t="str">
        <f t="shared" si="12357"/>
        <v>0</v>
      </c>
      <c r="J6767" s="1" t="str">
        <f t="shared" si="12357"/>
        <v>0</v>
      </c>
      <c r="K6767" s="1" t="str">
        <f t="shared" si="12357"/>
        <v>0</v>
      </c>
      <c r="L6767" s="1" t="str">
        <f t="shared" si="12357"/>
        <v>0</v>
      </c>
      <c r="M6767" s="1" t="str">
        <f t="shared" si="12357"/>
        <v>0</v>
      </c>
      <c r="N6767" s="1" t="str">
        <f t="shared" si="12357"/>
        <v>0</v>
      </c>
      <c r="O6767" s="1" t="str">
        <f t="shared" si="12357"/>
        <v>0</v>
      </c>
      <c r="P6767" s="1" t="str">
        <f t="shared" si="12357"/>
        <v>0</v>
      </c>
      <c r="Q6767" s="1" t="str">
        <f t="shared" si="12307"/>
        <v>0.0070</v>
      </c>
      <c r="R6767" s="1" t="s">
        <v>25</v>
      </c>
      <c r="T6767" s="1" t="str">
        <f t="shared" si="12308"/>
        <v>0</v>
      </c>
      <c r="U6767" s="1" t="str">
        <f t="shared" si="12341"/>
        <v>0.0070</v>
      </c>
    </row>
    <row r="6768" s="1" customFormat="1" spans="1:21">
      <c r="A6768" s="1" t="str">
        <f>"4601992293780"</f>
        <v>4601992293780</v>
      </c>
      <c r="B6768" s="1" t="s">
        <v>6791</v>
      </c>
      <c r="C6768" s="1" t="s">
        <v>24</v>
      </c>
      <c r="D6768" s="1" t="str">
        <f t="shared" si="12305"/>
        <v>2021</v>
      </c>
      <c r="E6768" s="1" t="str">
        <f t="shared" ref="E6768:P6768" si="12358">"0"</f>
        <v>0</v>
      </c>
      <c r="F6768" s="1" t="str">
        <f t="shared" si="12358"/>
        <v>0</v>
      </c>
      <c r="G6768" s="1" t="str">
        <f t="shared" si="12358"/>
        <v>0</v>
      </c>
      <c r="H6768" s="1" t="str">
        <f t="shared" si="12358"/>
        <v>0</v>
      </c>
      <c r="I6768" s="1" t="str">
        <f t="shared" si="12358"/>
        <v>0</v>
      </c>
      <c r="J6768" s="1" t="str">
        <f t="shared" si="12358"/>
        <v>0</v>
      </c>
      <c r="K6768" s="1" t="str">
        <f t="shared" si="12358"/>
        <v>0</v>
      </c>
      <c r="L6768" s="1" t="str">
        <f t="shared" si="12358"/>
        <v>0</v>
      </c>
      <c r="M6768" s="1" t="str">
        <f t="shared" si="12358"/>
        <v>0</v>
      </c>
      <c r="N6768" s="1" t="str">
        <f t="shared" si="12358"/>
        <v>0</v>
      </c>
      <c r="O6768" s="1" t="str">
        <f t="shared" si="12358"/>
        <v>0</v>
      </c>
      <c r="P6768" s="1" t="str">
        <f t="shared" si="12358"/>
        <v>0</v>
      </c>
      <c r="Q6768" s="1" t="str">
        <f t="shared" si="12307"/>
        <v>0.0070</v>
      </c>
      <c r="R6768" s="1" t="s">
        <v>25</v>
      </c>
      <c r="T6768" s="1" t="str">
        <f t="shared" si="12308"/>
        <v>0</v>
      </c>
      <c r="U6768" s="1" t="str">
        <f t="shared" si="12341"/>
        <v>0.0070</v>
      </c>
    </row>
    <row r="6769" s="1" customFormat="1" spans="1:21">
      <c r="A6769" s="1" t="str">
        <f>"4601992293622"</f>
        <v>4601992293622</v>
      </c>
      <c r="B6769" s="1" t="s">
        <v>6792</v>
      </c>
      <c r="C6769" s="1" t="s">
        <v>24</v>
      </c>
      <c r="D6769" s="1" t="str">
        <f t="shared" si="12305"/>
        <v>2021</v>
      </c>
      <c r="E6769" s="1" t="str">
        <f t="shared" ref="E6769:P6769" si="12359">"0"</f>
        <v>0</v>
      </c>
      <c r="F6769" s="1" t="str">
        <f t="shared" si="12359"/>
        <v>0</v>
      </c>
      <c r="G6769" s="1" t="str">
        <f t="shared" si="12359"/>
        <v>0</v>
      </c>
      <c r="H6769" s="1" t="str">
        <f t="shared" si="12359"/>
        <v>0</v>
      </c>
      <c r="I6769" s="1" t="str">
        <f t="shared" si="12359"/>
        <v>0</v>
      </c>
      <c r="J6769" s="1" t="str">
        <f t="shared" si="12359"/>
        <v>0</v>
      </c>
      <c r="K6769" s="1" t="str">
        <f t="shared" si="12359"/>
        <v>0</v>
      </c>
      <c r="L6769" s="1" t="str">
        <f t="shared" si="12359"/>
        <v>0</v>
      </c>
      <c r="M6769" s="1" t="str">
        <f t="shared" si="12359"/>
        <v>0</v>
      </c>
      <c r="N6769" s="1" t="str">
        <f t="shared" si="12359"/>
        <v>0</v>
      </c>
      <c r="O6769" s="1" t="str">
        <f t="shared" si="12359"/>
        <v>0</v>
      </c>
      <c r="P6769" s="1" t="str">
        <f t="shared" si="12359"/>
        <v>0</v>
      </c>
      <c r="Q6769" s="1" t="str">
        <f t="shared" si="12307"/>
        <v>0.0070</v>
      </c>
      <c r="R6769" s="1" t="s">
        <v>25</v>
      </c>
      <c r="T6769" s="1" t="str">
        <f t="shared" si="12308"/>
        <v>0</v>
      </c>
      <c r="U6769" s="1" t="str">
        <f t="shared" si="12341"/>
        <v>0.0070</v>
      </c>
    </row>
    <row r="6770" s="1" customFormat="1" spans="1:21">
      <c r="A6770" s="1" t="str">
        <f>"4601992293899"</f>
        <v>4601992293899</v>
      </c>
      <c r="B6770" s="1" t="s">
        <v>6793</v>
      </c>
      <c r="C6770" s="1" t="s">
        <v>24</v>
      </c>
      <c r="D6770" s="1" t="str">
        <f t="shared" si="12305"/>
        <v>2021</v>
      </c>
      <c r="E6770" s="1" t="str">
        <f t="shared" ref="E6770:P6770" si="12360">"0"</f>
        <v>0</v>
      </c>
      <c r="F6770" s="1" t="str">
        <f t="shared" si="12360"/>
        <v>0</v>
      </c>
      <c r="G6770" s="1" t="str">
        <f t="shared" si="12360"/>
        <v>0</v>
      </c>
      <c r="H6770" s="1" t="str">
        <f t="shared" si="12360"/>
        <v>0</v>
      </c>
      <c r="I6770" s="1" t="str">
        <f t="shared" si="12360"/>
        <v>0</v>
      </c>
      <c r="J6770" s="1" t="str">
        <f t="shared" si="12360"/>
        <v>0</v>
      </c>
      <c r="K6770" s="1" t="str">
        <f t="shared" si="12360"/>
        <v>0</v>
      </c>
      <c r="L6770" s="1" t="str">
        <f t="shared" si="12360"/>
        <v>0</v>
      </c>
      <c r="M6770" s="1" t="str">
        <f t="shared" si="12360"/>
        <v>0</v>
      </c>
      <c r="N6770" s="1" t="str">
        <f t="shared" si="12360"/>
        <v>0</v>
      </c>
      <c r="O6770" s="1" t="str">
        <f t="shared" si="12360"/>
        <v>0</v>
      </c>
      <c r="P6770" s="1" t="str">
        <f t="shared" si="12360"/>
        <v>0</v>
      </c>
      <c r="Q6770" s="1" t="str">
        <f t="shared" si="12307"/>
        <v>0.0070</v>
      </c>
      <c r="R6770" s="1" t="s">
        <v>25</v>
      </c>
      <c r="T6770" s="1" t="str">
        <f t="shared" si="12308"/>
        <v>0</v>
      </c>
      <c r="U6770" s="1" t="str">
        <f t="shared" si="12341"/>
        <v>0.0070</v>
      </c>
    </row>
    <row r="6771" s="1" customFormat="1" spans="1:21">
      <c r="A6771" s="1" t="str">
        <f>"4601992293957"</f>
        <v>4601992293957</v>
      </c>
      <c r="B6771" s="1" t="s">
        <v>6794</v>
      </c>
      <c r="C6771" s="1" t="s">
        <v>24</v>
      </c>
      <c r="D6771" s="1" t="str">
        <f t="shared" si="12305"/>
        <v>2021</v>
      </c>
      <c r="E6771" s="1" t="str">
        <f t="shared" ref="E6771:P6771" si="12361">"0"</f>
        <v>0</v>
      </c>
      <c r="F6771" s="1" t="str">
        <f t="shared" si="12361"/>
        <v>0</v>
      </c>
      <c r="G6771" s="1" t="str">
        <f t="shared" si="12361"/>
        <v>0</v>
      </c>
      <c r="H6771" s="1" t="str">
        <f t="shared" si="12361"/>
        <v>0</v>
      </c>
      <c r="I6771" s="1" t="str">
        <f t="shared" si="12361"/>
        <v>0</v>
      </c>
      <c r="J6771" s="1" t="str">
        <f t="shared" si="12361"/>
        <v>0</v>
      </c>
      <c r="K6771" s="1" t="str">
        <f t="shared" si="12361"/>
        <v>0</v>
      </c>
      <c r="L6771" s="1" t="str">
        <f t="shared" si="12361"/>
        <v>0</v>
      </c>
      <c r="M6771" s="1" t="str">
        <f t="shared" si="12361"/>
        <v>0</v>
      </c>
      <c r="N6771" s="1" t="str">
        <f t="shared" si="12361"/>
        <v>0</v>
      </c>
      <c r="O6771" s="1" t="str">
        <f t="shared" si="12361"/>
        <v>0</v>
      </c>
      <c r="P6771" s="1" t="str">
        <f t="shared" si="12361"/>
        <v>0</v>
      </c>
      <c r="Q6771" s="1" t="str">
        <f t="shared" si="12307"/>
        <v>0.0070</v>
      </c>
      <c r="R6771" s="1" t="s">
        <v>25</v>
      </c>
      <c r="T6771" s="1" t="str">
        <f t="shared" si="12308"/>
        <v>0</v>
      </c>
      <c r="U6771" s="1" t="str">
        <f t="shared" si="12341"/>
        <v>0.0070</v>
      </c>
    </row>
    <row r="6772" s="1" customFormat="1" spans="1:21">
      <c r="A6772" s="1" t="str">
        <f>"4601992294126"</f>
        <v>4601992294126</v>
      </c>
      <c r="B6772" s="1" t="s">
        <v>6795</v>
      </c>
      <c r="C6772" s="1" t="s">
        <v>24</v>
      </c>
      <c r="D6772" s="1" t="str">
        <f t="shared" si="12305"/>
        <v>2021</v>
      </c>
      <c r="E6772" s="1" t="str">
        <f t="shared" ref="E6772:P6772" si="12362">"0"</f>
        <v>0</v>
      </c>
      <c r="F6772" s="1" t="str">
        <f t="shared" si="12362"/>
        <v>0</v>
      </c>
      <c r="G6772" s="1" t="str">
        <f t="shared" si="12362"/>
        <v>0</v>
      </c>
      <c r="H6772" s="1" t="str">
        <f t="shared" si="12362"/>
        <v>0</v>
      </c>
      <c r="I6772" s="1" t="str">
        <f t="shared" si="12362"/>
        <v>0</v>
      </c>
      <c r="J6772" s="1" t="str">
        <f t="shared" si="12362"/>
        <v>0</v>
      </c>
      <c r="K6772" s="1" t="str">
        <f t="shared" si="12362"/>
        <v>0</v>
      </c>
      <c r="L6772" s="1" t="str">
        <f t="shared" si="12362"/>
        <v>0</v>
      </c>
      <c r="M6772" s="1" t="str">
        <f t="shared" si="12362"/>
        <v>0</v>
      </c>
      <c r="N6772" s="1" t="str">
        <f t="shared" si="12362"/>
        <v>0</v>
      </c>
      <c r="O6772" s="1" t="str">
        <f t="shared" si="12362"/>
        <v>0</v>
      </c>
      <c r="P6772" s="1" t="str">
        <f t="shared" si="12362"/>
        <v>0</v>
      </c>
      <c r="Q6772" s="1" t="str">
        <f t="shared" si="12307"/>
        <v>0.0070</v>
      </c>
      <c r="R6772" s="1" t="s">
        <v>25</v>
      </c>
      <c r="T6772" s="1" t="str">
        <f t="shared" si="12308"/>
        <v>0</v>
      </c>
      <c r="U6772" s="1" t="str">
        <f t="shared" si="12341"/>
        <v>0.0070</v>
      </c>
    </row>
    <row r="6773" s="1" customFormat="1" spans="1:21">
      <c r="A6773" s="1" t="str">
        <f>"4601992294176"</f>
        <v>4601992294176</v>
      </c>
      <c r="B6773" s="1" t="s">
        <v>6796</v>
      </c>
      <c r="C6773" s="1" t="s">
        <v>24</v>
      </c>
      <c r="D6773" s="1" t="str">
        <f t="shared" si="12305"/>
        <v>2021</v>
      </c>
      <c r="E6773" s="1" t="str">
        <f t="shared" ref="E6773:P6773" si="12363">"0"</f>
        <v>0</v>
      </c>
      <c r="F6773" s="1" t="str">
        <f t="shared" si="12363"/>
        <v>0</v>
      </c>
      <c r="G6773" s="1" t="str">
        <f t="shared" si="12363"/>
        <v>0</v>
      </c>
      <c r="H6773" s="1" t="str">
        <f t="shared" si="12363"/>
        <v>0</v>
      </c>
      <c r="I6773" s="1" t="str">
        <f t="shared" si="12363"/>
        <v>0</v>
      </c>
      <c r="J6773" s="1" t="str">
        <f t="shared" si="12363"/>
        <v>0</v>
      </c>
      <c r="K6773" s="1" t="str">
        <f t="shared" si="12363"/>
        <v>0</v>
      </c>
      <c r="L6773" s="1" t="str">
        <f t="shared" si="12363"/>
        <v>0</v>
      </c>
      <c r="M6773" s="1" t="str">
        <f t="shared" si="12363"/>
        <v>0</v>
      </c>
      <c r="N6773" s="1" t="str">
        <f t="shared" si="12363"/>
        <v>0</v>
      </c>
      <c r="O6773" s="1" t="str">
        <f t="shared" si="12363"/>
        <v>0</v>
      </c>
      <c r="P6773" s="1" t="str">
        <f t="shared" si="12363"/>
        <v>0</v>
      </c>
      <c r="Q6773" s="1" t="str">
        <f t="shared" si="12307"/>
        <v>0.0070</v>
      </c>
      <c r="R6773" s="1" t="s">
        <v>25</v>
      </c>
      <c r="T6773" s="1" t="str">
        <f t="shared" si="12308"/>
        <v>0</v>
      </c>
      <c r="U6773" s="1" t="str">
        <f t="shared" si="12341"/>
        <v>0.0070</v>
      </c>
    </row>
    <row r="6774" s="1" customFormat="1" spans="1:21">
      <c r="A6774" s="1" t="str">
        <f>"4601992294166"</f>
        <v>4601992294166</v>
      </c>
      <c r="B6774" s="1" t="s">
        <v>6797</v>
      </c>
      <c r="C6774" s="1" t="s">
        <v>24</v>
      </c>
      <c r="D6774" s="1" t="str">
        <f t="shared" si="12305"/>
        <v>2021</v>
      </c>
      <c r="E6774" s="1" t="str">
        <f t="shared" ref="E6774:P6774" si="12364">"0"</f>
        <v>0</v>
      </c>
      <c r="F6774" s="1" t="str">
        <f t="shared" si="12364"/>
        <v>0</v>
      </c>
      <c r="G6774" s="1" t="str">
        <f t="shared" si="12364"/>
        <v>0</v>
      </c>
      <c r="H6774" s="1" t="str">
        <f t="shared" si="12364"/>
        <v>0</v>
      </c>
      <c r="I6774" s="1" t="str">
        <f t="shared" si="12364"/>
        <v>0</v>
      </c>
      <c r="J6774" s="1" t="str">
        <f t="shared" si="12364"/>
        <v>0</v>
      </c>
      <c r="K6774" s="1" t="str">
        <f t="shared" si="12364"/>
        <v>0</v>
      </c>
      <c r="L6774" s="1" t="str">
        <f t="shared" si="12364"/>
        <v>0</v>
      </c>
      <c r="M6774" s="1" t="str">
        <f t="shared" si="12364"/>
        <v>0</v>
      </c>
      <c r="N6774" s="1" t="str">
        <f t="shared" si="12364"/>
        <v>0</v>
      </c>
      <c r="O6774" s="1" t="str">
        <f t="shared" si="12364"/>
        <v>0</v>
      </c>
      <c r="P6774" s="1" t="str">
        <f t="shared" si="12364"/>
        <v>0</v>
      </c>
      <c r="Q6774" s="1" t="str">
        <f t="shared" si="12307"/>
        <v>0.0070</v>
      </c>
      <c r="R6774" s="1" t="s">
        <v>25</v>
      </c>
      <c r="T6774" s="1" t="str">
        <f t="shared" si="12308"/>
        <v>0</v>
      </c>
      <c r="U6774" s="1" t="str">
        <f t="shared" si="12341"/>
        <v>0.0070</v>
      </c>
    </row>
    <row r="6775" s="1" customFormat="1" spans="1:21">
      <c r="A6775" s="1" t="str">
        <f>"4601992294302"</f>
        <v>4601992294302</v>
      </c>
      <c r="B6775" s="1" t="s">
        <v>6798</v>
      </c>
      <c r="C6775" s="1" t="s">
        <v>24</v>
      </c>
      <c r="D6775" s="1" t="str">
        <f t="shared" si="12305"/>
        <v>2021</v>
      </c>
      <c r="E6775" s="1" t="str">
        <f t="shared" ref="E6775:P6775" si="12365">"0"</f>
        <v>0</v>
      </c>
      <c r="F6775" s="1" t="str">
        <f t="shared" si="12365"/>
        <v>0</v>
      </c>
      <c r="G6775" s="1" t="str">
        <f t="shared" si="12365"/>
        <v>0</v>
      </c>
      <c r="H6775" s="1" t="str">
        <f t="shared" si="12365"/>
        <v>0</v>
      </c>
      <c r="I6775" s="1" t="str">
        <f t="shared" si="12365"/>
        <v>0</v>
      </c>
      <c r="J6775" s="1" t="str">
        <f t="shared" si="12365"/>
        <v>0</v>
      </c>
      <c r="K6775" s="1" t="str">
        <f t="shared" si="12365"/>
        <v>0</v>
      </c>
      <c r="L6775" s="1" t="str">
        <f t="shared" si="12365"/>
        <v>0</v>
      </c>
      <c r="M6775" s="1" t="str">
        <f t="shared" si="12365"/>
        <v>0</v>
      </c>
      <c r="N6775" s="1" t="str">
        <f t="shared" si="12365"/>
        <v>0</v>
      </c>
      <c r="O6775" s="1" t="str">
        <f t="shared" si="12365"/>
        <v>0</v>
      </c>
      <c r="P6775" s="1" t="str">
        <f t="shared" si="12365"/>
        <v>0</v>
      </c>
      <c r="Q6775" s="1" t="str">
        <f t="shared" si="12307"/>
        <v>0.0070</v>
      </c>
      <c r="R6775" s="1" t="s">
        <v>25</v>
      </c>
      <c r="T6775" s="1" t="str">
        <f t="shared" si="12308"/>
        <v>0</v>
      </c>
      <c r="U6775" s="1" t="str">
        <f t="shared" si="12341"/>
        <v>0.0070</v>
      </c>
    </row>
    <row r="6776" s="1" customFormat="1" spans="1:21">
      <c r="A6776" s="1" t="str">
        <f>"4601992294346"</f>
        <v>4601992294346</v>
      </c>
      <c r="B6776" s="1" t="s">
        <v>6799</v>
      </c>
      <c r="C6776" s="1" t="s">
        <v>24</v>
      </c>
      <c r="D6776" s="1" t="str">
        <f t="shared" si="12305"/>
        <v>2021</v>
      </c>
      <c r="E6776" s="1" t="str">
        <f t="shared" ref="E6776:P6776" si="12366">"0"</f>
        <v>0</v>
      </c>
      <c r="F6776" s="1" t="str">
        <f t="shared" si="12366"/>
        <v>0</v>
      </c>
      <c r="G6776" s="1" t="str">
        <f t="shared" si="12366"/>
        <v>0</v>
      </c>
      <c r="H6776" s="1" t="str">
        <f t="shared" si="12366"/>
        <v>0</v>
      </c>
      <c r="I6776" s="1" t="str">
        <f t="shared" si="12366"/>
        <v>0</v>
      </c>
      <c r="J6776" s="1" t="str">
        <f t="shared" si="12366"/>
        <v>0</v>
      </c>
      <c r="K6776" s="1" t="str">
        <f t="shared" si="12366"/>
        <v>0</v>
      </c>
      <c r="L6776" s="1" t="str">
        <f t="shared" si="12366"/>
        <v>0</v>
      </c>
      <c r="M6776" s="1" t="str">
        <f t="shared" si="12366"/>
        <v>0</v>
      </c>
      <c r="N6776" s="1" t="str">
        <f t="shared" si="12366"/>
        <v>0</v>
      </c>
      <c r="O6776" s="1" t="str">
        <f t="shared" si="12366"/>
        <v>0</v>
      </c>
      <c r="P6776" s="1" t="str">
        <f t="shared" si="12366"/>
        <v>0</v>
      </c>
      <c r="Q6776" s="1" t="str">
        <f t="shared" si="12307"/>
        <v>0.0070</v>
      </c>
      <c r="R6776" s="1" t="s">
        <v>25</v>
      </c>
      <c r="T6776" s="1" t="str">
        <f t="shared" si="12308"/>
        <v>0</v>
      </c>
      <c r="U6776" s="1" t="str">
        <f t="shared" si="12341"/>
        <v>0.0070</v>
      </c>
    </row>
    <row r="6777" s="1" customFormat="1" spans="1:21">
      <c r="A6777" s="1" t="str">
        <f>"4601992294455"</f>
        <v>4601992294455</v>
      </c>
      <c r="B6777" s="1" t="s">
        <v>6800</v>
      </c>
      <c r="C6777" s="1" t="s">
        <v>24</v>
      </c>
      <c r="D6777" s="1" t="str">
        <f t="shared" si="12305"/>
        <v>2021</v>
      </c>
      <c r="E6777" s="1" t="str">
        <f t="shared" ref="E6777:P6777" si="12367">"0"</f>
        <v>0</v>
      </c>
      <c r="F6777" s="1" t="str">
        <f t="shared" si="12367"/>
        <v>0</v>
      </c>
      <c r="G6777" s="1" t="str">
        <f t="shared" si="12367"/>
        <v>0</v>
      </c>
      <c r="H6777" s="1" t="str">
        <f t="shared" si="12367"/>
        <v>0</v>
      </c>
      <c r="I6777" s="1" t="str">
        <f t="shared" si="12367"/>
        <v>0</v>
      </c>
      <c r="J6777" s="1" t="str">
        <f t="shared" si="12367"/>
        <v>0</v>
      </c>
      <c r="K6777" s="1" t="str">
        <f t="shared" si="12367"/>
        <v>0</v>
      </c>
      <c r="L6777" s="1" t="str">
        <f t="shared" si="12367"/>
        <v>0</v>
      </c>
      <c r="M6777" s="1" t="str">
        <f t="shared" si="12367"/>
        <v>0</v>
      </c>
      <c r="N6777" s="1" t="str">
        <f t="shared" si="12367"/>
        <v>0</v>
      </c>
      <c r="O6777" s="1" t="str">
        <f t="shared" si="12367"/>
        <v>0</v>
      </c>
      <c r="P6777" s="1" t="str">
        <f t="shared" si="12367"/>
        <v>0</v>
      </c>
      <c r="Q6777" s="1" t="str">
        <f t="shared" si="12307"/>
        <v>0.0070</v>
      </c>
      <c r="R6777" s="1" t="s">
        <v>25</v>
      </c>
      <c r="T6777" s="1" t="str">
        <f t="shared" si="12308"/>
        <v>0</v>
      </c>
      <c r="U6777" s="1" t="str">
        <f t="shared" si="12341"/>
        <v>0.0070</v>
      </c>
    </row>
    <row r="6778" s="1" customFormat="1" spans="1:21">
      <c r="A6778" s="1" t="str">
        <f>"4601992294390"</f>
        <v>4601992294390</v>
      </c>
      <c r="B6778" s="1" t="s">
        <v>6801</v>
      </c>
      <c r="C6778" s="1" t="s">
        <v>24</v>
      </c>
      <c r="D6778" s="1" t="str">
        <f t="shared" si="12305"/>
        <v>2021</v>
      </c>
      <c r="E6778" s="1" t="str">
        <f t="shared" ref="E6778:P6778" si="12368">"0"</f>
        <v>0</v>
      </c>
      <c r="F6778" s="1" t="str">
        <f t="shared" si="12368"/>
        <v>0</v>
      </c>
      <c r="G6778" s="1" t="str">
        <f t="shared" si="12368"/>
        <v>0</v>
      </c>
      <c r="H6778" s="1" t="str">
        <f t="shared" si="12368"/>
        <v>0</v>
      </c>
      <c r="I6778" s="1" t="str">
        <f t="shared" si="12368"/>
        <v>0</v>
      </c>
      <c r="J6778" s="1" t="str">
        <f t="shared" si="12368"/>
        <v>0</v>
      </c>
      <c r="K6778" s="1" t="str">
        <f t="shared" si="12368"/>
        <v>0</v>
      </c>
      <c r="L6778" s="1" t="str">
        <f t="shared" si="12368"/>
        <v>0</v>
      </c>
      <c r="M6778" s="1" t="str">
        <f t="shared" si="12368"/>
        <v>0</v>
      </c>
      <c r="N6778" s="1" t="str">
        <f t="shared" si="12368"/>
        <v>0</v>
      </c>
      <c r="O6778" s="1" t="str">
        <f t="shared" si="12368"/>
        <v>0</v>
      </c>
      <c r="P6778" s="1" t="str">
        <f t="shared" si="12368"/>
        <v>0</v>
      </c>
      <c r="Q6778" s="1" t="str">
        <f t="shared" si="12307"/>
        <v>0.0070</v>
      </c>
      <c r="R6778" s="1" t="s">
        <v>25</v>
      </c>
      <c r="T6778" s="1" t="str">
        <f t="shared" si="12308"/>
        <v>0</v>
      </c>
      <c r="U6778" s="1" t="str">
        <f t="shared" si="12341"/>
        <v>0.0070</v>
      </c>
    </row>
    <row r="6779" s="1" customFormat="1" spans="1:21">
      <c r="A6779" s="1" t="str">
        <f>"4601992294574"</f>
        <v>4601992294574</v>
      </c>
      <c r="B6779" s="1" t="s">
        <v>6802</v>
      </c>
      <c r="C6779" s="1" t="s">
        <v>24</v>
      </c>
      <c r="D6779" s="1" t="str">
        <f t="shared" si="12305"/>
        <v>2021</v>
      </c>
      <c r="E6779" s="1" t="str">
        <f t="shared" ref="E6779:P6779" si="12369">"0"</f>
        <v>0</v>
      </c>
      <c r="F6779" s="1" t="str">
        <f t="shared" si="12369"/>
        <v>0</v>
      </c>
      <c r="G6779" s="1" t="str">
        <f t="shared" si="12369"/>
        <v>0</v>
      </c>
      <c r="H6779" s="1" t="str">
        <f t="shared" si="12369"/>
        <v>0</v>
      </c>
      <c r="I6779" s="1" t="str">
        <f t="shared" si="12369"/>
        <v>0</v>
      </c>
      <c r="J6779" s="1" t="str">
        <f t="shared" si="12369"/>
        <v>0</v>
      </c>
      <c r="K6779" s="1" t="str">
        <f t="shared" si="12369"/>
        <v>0</v>
      </c>
      <c r="L6779" s="1" t="str">
        <f t="shared" si="12369"/>
        <v>0</v>
      </c>
      <c r="M6779" s="1" t="str">
        <f t="shared" si="12369"/>
        <v>0</v>
      </c>
      <c r="N6779" s="1" t="str">
        <f t="shared" si="12369"/>
        <v>0</v>
      </c>
      <c r="O6779" s="1" t="str">
        <f t="shared" si="12369"/>
        <v>0</v>
      </c>
      <c r="P6779" s="1" t="str">
        <f t="shared" si="12369"/>
        <v>0</v>
      </c>
      <c r="Q6779" s="1" t="str">
        <f t="shared" si="12307"/>
        <v>0.0070</v>
      </c>
      <c r="R6779" s="1" t="s">
        <v>25</v>
      </c>
      <c r="T6779" s="1" t="str">
        <f t="shared" si="12308"/>
        <v>0</v>
      </c>
      <c r="U6779" s="1" t="str">
        <f t="shared" si="12341"/>
        <v>0.0070</v>
      </c>
    </row>
    <row r="6780" s="1" customFormat="1" spans="1:21">
      <c r="A6780" s="1" t="str">
        <f>"4601992294691"</f>
        <v>4601992294691</v>
      </c>
      <c r="B6780" s="1" t="s">
        <v>6803</v>
      </c>
      <c r="C6780" s="1" t="s">
        <v>24</v>
      </c>
      <c r="D6780" s="1" t="str">
        <f t="shared" si="12305"/>
        <v>2021</v>
      </c>
      <c r="E6780" s="1" t="str">
        <f t="shared" ref="E6780:P6780" si="12370">"0"</f>
        <v>0</v>
      </c>
      <c r="F6780" s="1" t="str">
        <f t="shared" si="12370"/>
        <v>0</v>
      </c>
      <c r="G6780" s="1" t="str">
        <f t="shared" si="12370"/>
        <v>0</v>
      </c>
      <c r="H6780" s="1" t="str">
        <f t="shared" si="12370"/>
        <v>0</v>
      </c>
      <c r="I6780" s="1" t="str">
        <f t="shared" si="12370"/>
        <v>0</v>
      </c>
      <c r="J6780" s="1" t="str">
        <f t="shared" si="12370"/>
        <v>0</v>
      </c>
      <c r="K6780" s="1" t="str">
        <f t="shared" si="12370"/>
        <v>0</v>
      </c>
      <c r="L6780" s="1" t="str">
        <f t="shared" si="12370"/>
        <v>0</v>
      </c>
      <c r="M6780" s="1" t="str">
        <f t="shared" si="12370"/>
        <v>0</v>
      </c>
      <c r="N6780" s="1" t="str">
        <f t="shared" si="12370"/>
        <v>0</v>
      </c>
      <c r="O6780" s="1" t="str">
        <f t="shared" si="12370"/>
        <v>0</v>
      </c>
      <c r="P6780" s="1" t="str">
        <f t="shared" si="12370"/>
        <v>0</v>
      </c>
      <c r="Q6780" s="1" t="str">
        <f t="shared" si="12307"/>
        <v>0.0070</v>
      </c>
      <c r="R6780" s="1" t="s">
        <v>25</v>
      </c>
      <c r="T6780" s="1" t="str">
        <f t="shared" si="12308"/>
        <v>0</v>
      </c>
      <c r="U6780" s="1" t="str">
        <f t="shared" si="12341"/>
        <v>0.0070</v>
      </c>
    </row>
    <row r="6781" s="1" customFormat="1" spans="1:21">
      <c r="A6781" s="1" t="str">
        <f>"4601992294748"</f>
        <v>4601992294748</v>
      </c>
      <c r="B6781" s="1" t="s">
        <v>6804</v>
      </c>
      <c r="C6781" s="1" t="s">
        <v>24</v>
      </c>
      <c r="D6781" s="1" t="str">
        <f t="shared" si="12305"/>
        <v>2021</v>
      </c>
      <c r="E6781" s="1" t="str">
        <f t="shared" ref="E6781:P6781" si="12371">"0"</f>
        <v>0</v>
      </c>
      <c r="F6781" s="1" t="str">
        <f t="shared" si="12371"/>
        <v>0</v>
      </c>
      <c r="G6781" s="1" t="str">
        <f t="shared" si="12371"/>
        <v>0</v>
      </c>
      <c r="H6781" s="1" t="str">
        <f t="shared" si="12371"/>
        <v>0</v>
      </c>
      <c r="I6781" s="1" t="str">
        <f t="shared" si="12371"/>
        <v>0</v>
      </c>
      <c r="J6781" s="1" t="str">
        <f t="shared" si="12371"/>
        <v>0</v>
      </c>
      <c r="K6781" s="1" t="str">
        <f t="shared" si="12371"/>
        <v>0</v>
      </c>
      <c r="L6781" s="1" t="str">
        <f t="shared" si="12371"/>
        <v>0</v>
      </c>
      <c r="M6781" s="1" t="str">
        <f t="shared" si="12371"/>
        <v>0</v>
      </c>
      <c r="N6781" s="1" t="str">
        <f t="shared" si="12371"/>
        <v>0</v>
      </c>
      <c r="O6781" s="1" t="str">
        <f t="shared" si="12371"/>
        <v>0</v>
      </c>
      <c r="P6781" s="1" t="str">
        <f t="shared" si="12371"/>
        <v>0</v>
      </c>
      <c r="Q6781" s="1" t="str">
        <f t="shared" si="12307"/>
        <v>0.0070</v>
      </c>
      <c r="R6781" s="1" t="s">
        <v>25</v>
      </c>
      <c r="T6781" s="1" t="str">
        <f t="shared" si="12308"/>
        <v>0</v>
      </c>
      <c r="U6781" s="1" t="str">
        <f t="shared" si="12341"/>
        <v>0.0070</v>
      </c>
    </row>
    <row r="6782" s="1" customFormat="1" spans="1:21">
      <c r="A6782" s="1" t="str">
        <f>"4601992294627"</f>
        <v>4601992294627</v>
      </c>
      <c r="B6782" s="1" t="s">
        <v>6805</v>
      </c>
      <c r="C6782" s="1" t="s">
        <v>24</v>
      </c>
      <c r="D6782" s="1" t="str">
        <f t="shared" si="12305"/>
        <v>2021</v>
      </c>
      <c r="E6782" s="1" t="str">
        <f t="shared" ref="E6782:P6782" si="12372">"0"</f>
        <v>0</v>
      </c>
      <c r="F6782" s="1" t="str">
        <f t="shared" si="12372"/>
        <v>0</v>
      </c>
      <c r="G6782" s="1" t="str">
        <f t="shared" si="12372"/>
        <v>0</v>
      </c>
      <c r="H6782" s="1" t="str">
        <f t="shared" si="12372"/>
        <v>0</v>
      </c>
      <c r="I6782" s="1" t="str">
        <f t="shared" si="12372"/>
        <v>0</v>
      </c>
      <c r="J6782" s="1" t="str">
        <f t="shared" si="12372"/>
        <v>0</v>
      </c>
      <c r="K6782" s="1" t="str">
        <f t="shared" si="12372"/>
        <v>0</v>
      </c>
      <c r="L6782" s="1" t="str">
        <f t="shared" si="12372"/>
        <v>0</v>
      </c>
      <c r="M6782" s="1" t="str">
        <f t="shared" si="12372"/>
        <v>0</v>
      </c>
      <c r="N6782" s="1" t="str">
        <f t="shared" si="12372"/>
        <v>0</v>
      </c>
      <c r="O6782" s="1" t="str">
        <f t="shared" si="12372"/>
        <v>0</v>
      </c>
      <c r="P6782" s="1" t="str">
        <f t="shared" si="12372"/>
        <v>0</v>
      </c>
      <c r="Q6782" s="1" t="str">
        <f t="shared" si="12307"/>
        <v>0.0070</v>
      </c>
      <c r="R6782" s="1" t="s">
        <v>25</v>
      </c>
      <c r="T6782" s="1" t="str">
        <f t="shared" si="12308"/>
        <v>0</v>
      </c>
      <c r="U6782" s="1" t="str">
        <f t="shared" si="12341"/>
        <v>0.0070</v>
      </c>
    </row>
    <row r="6783" s="1" customFormat="1" spans="1:21">
      <c r="A6783" s="1" t="str">
        <f>"4601992294808"</f>
        <v>4601992294808</v>
      </c>
      <c r="B6783" s="1" t="s">
        <v>6806</v>
      </c>
      <c r="C6783" s="1" t="s">
        <v>24</v>
      </c>
      <c r="D6783" s="1" t="str">
        <f t="shared" si="12305"/>
        <v>2021</v>
      </c>
      <c r="E6783" s="1" t="str">
        <f t="shared" ref="E6783:P6783" si="12373">"0"</f>
        <v>0</v>
      </c>
      <c r="F6783" s="1" t="str">
        <f t="shared" si="12373"/>
        <v>0</v>
      </c>
      <c r="G6783" s="1" t="str">
        <f t="shared" si="12373"/>
        <v>0</v>
      </c>
      <c r="H6783" s="1" t="str">
        <f t="shared" si="12373"/>
        <v>0</v>
      </c>
      <c r="I6783" s="1" t="str">
        <f t="shared" si="12373"/>
        <v>0</v>
      </c>
      <c r="J6783" s="1" t="str">
        <f t="shared" si="12373"/>
        <v>0</v>
      </c>
      <c r="K6783" s="1" t="str">
        <f t="shared" si="12373"/>
        <v>0</v>
      </c>
      <c r="L6783" s="1" t="str">
        <f t="shared" si="12373"/>
        <v>0</v>
      </c>
      <c r="M6783" s="1" t="str">
        <f t="shared" si="12373"/>
        <v>0</v>
      </c>
      <c r="N6783" s="1" t="str">
        <f t="shared" si="12373"/>
        <v>0</v>
      </c>
      <c r="O6783" s="1" t="str">
        <f t="shared" si="12373"/>
        <v>0</v>
      </c>
      <c r="P6783" s="1" t="str">
        <f t="shared" si="12373"/>
        <v>0</v>
      </c>
      <c r="Q6783" s="1" t="str">
        <f t="shared" si="12307"/>
        <v>0.0070</v>
      </c>
      <c r="R6783" s="1" t="s">
        <v>25</v>
      </c>
      <c r="T6783" s="1" t="str">
        <f t="shared" si="12308"/>
        <v>0</v>
      </c>
      <c r="U6783" s="1" t="str">
        <f t="shared" si="12341"/>
        <v>0.0070</v>
      </c>
    </row>
    <row r="6784" s="1" customFormat="1" spans="1:21">
      <c r="A6784" s="1" t="str">
        <f>"4601992294892"</f>
        <v>4601992294892</v>
      </c>
      <c r="B6784" s="1" t="s">
        <v>6807</v>
      </c>
      <c r="C6784" s="1" t="s">
        <v>24</v>
      </c>
      <c r="D6784" s="1" t="str">
        <f t="shared" si="12305"/>
        <v>2021</v>
      </c>
      <c r="E6784" s="1" t="str">
        <f t="shared" ref="E6784:P6784" si="12374">"0"</f>
        <v>0</v>
      </c>
      <c r="F6784" s="1" t="str">
        <f t="shared" si="12374"/>
        <v>0</v>
      </c>
      <c r="G6784" s="1" t="str">
        <f t="shared" si="12374"/>
        <v>0</v>
      </c>
      <c r="H6784" s="1" t="str">
        <f t="shared" si="12374"/>
        <v>0</v>
      </c>
      <c r="I6784" s="1" t="str">
        <f t="shared" si="12374"/>
        <v>0</v>
      </c>
      <c r="J6784" s="1" t="str">
        <f t="shared" si="12374"/>
        <v>0</v>
      </c>
      <c r="K6784" s="1" t="str">
        <f t="shared" si="12374"/>
        <v>0</v>
      </c>
      <c r="L6784" s="1" t="str">
        <f t="shared" si="12374"/>
        <v>0</v>
      </c>
      <c r="M6784" s="1" t="str">
        <f t="shared" si="12374"/>
        <v>0</v>
      </c>
      <c r="N6784" s="1" t="str">
        <f t="shared" si="12374"/>
        <v>0</v>
      </c>
      <c r="O6784" s="1" t="str">
        <f t="shared" si="12374"/>
        <v>0</v>
      </c>
      <c r="P6784" s="1" t="str">
        <f t="shared" si="12374"/>
        <v>0</v>
      </c>
      <c r="Q6784" s="1" t="str">
        <f t="shared" si="12307"/>
        <v>0.0070</v>
      </c>
      <c r="R6784" s="1" t="s">
        <v>25</v>
      </c>
      <c r="T6784" s="1" t="str">
        <f t="shared" si="12308"/>
        <v>0</v>
      </c>
      <c r="U6784" s="1" t="str">
        <f t="shared" si="12341"/>
        <v>0.0070</v>
      </c>
    </row>
    <row r="6785" s="1" customFormat="1" spans="1:21">
      <c r="A6785" s="1" t="str">
        <f>"4601992295078"</f>
        <v>4601992295078</v>
      </c>
      <c r="B6785" s="1" t="s">
        <v>6808</v>
      </c>
      <c r="C6785" s="1" t="s">
        <v>24</v>
      </c>
      <c r="D6785" s="1" t="str">
        <f t="shared" si="12305"/>
        <v>2021</v>
      </c>
      <c r="E6785" s="1" t="str">
        <f t="shared" ref="E6785:P6785" si="12375">"0"</f>
        <v>0</v>
      </c>
      <c r="F6785" s="1" t="str">
        <f t="shared" si="12375"/>
        <v>0</v>
      </c>
      <c r="G6785" s="1" t="str">
        <f t="shared" si="12375"/>
        <v>0</v>
      </c>
      <c r="H6785" s="1" t="str">
        <f t="shared" si="12375"/>
        <v>0</v>
      </c>
      <c r="I6785" s="1" t="str">
        <f t="shared" si="12375"/>
        <v>0</v>
      </c>
      <c r="J6785" s="1" t="str">
        <f t="shared" si="12375"/>
        <v>0</v>
      </c>
      <c r="K6785" s="1" t="str">
        <f t="shared" si="12375"/>
        <v>0</v>
      </c>
      <c r="L6785" s="1" t="str">
        <f t="shared" si="12375"/>
        <v>0</v>
      </c>
      <c r="M6785" s="1" t="str">
        <f t="shared" si="12375"/>
        <v>0</v>
      </c>
      <c r="N6785" s="1" t="str">
        <f t="shared" si="12375"/>
        <v>0</v>
      </c>
      <c r="O6785" s="1" t="str">
        <f t="shared" si="12375"/>
        <v>0</v>
      </c>
      <c r="P6785" s="1" t="str">
        <f t="shared" si="12375"/>
        <v>0</v>
      </c>
      <c r="Q6785" s="1" t="str">
        <f t="shared" si="12307"/>
        <v>0.0070</v>
      </c>
      <c r="R6785" s="1" t="s">
        <v>25</v>
      </c>
      <c r="T6785" s="1" t="str">
        <f t="shared" si="12308"/>
        <v>0</v>
      </c>
      <c r="U6785" s="1" t="str">
        <f t="shared" si="12341"/>
        <v>0.0070</v>
      </c>
    </row>
    <row r="6786" s="1" customFormat="1" spans="1:21">
      <c r="A6786" s="1" t="str">
        <f>"4601992295150"</f>
        <v>4601992295150</v>
      </c>
      <c r="B6786" s="1" t="s">
        <v>6809</v>
      </c>
      <c r="C6786" s="1" t="s">
        <v>24</v>
      </c>
      <c r="D6786" s="1" t="str">
        <f t="shared" si="12305"/>
        <v>2021</v>
      </c>
      <c r="E6786" s="1" t="str">
        <f t="shared" ref="E6786:P6786" si="12376">"0"</f>
        <v>0</v>
      </c>
      <c r="F6786" s="1" t="str">
        <f t="shared" si="12376"/>
        <v>0</v>
      </c>
      <c r="G6786" s="1" t="str">
        <f t="shared" si="12376"/>
        <v>0</v>
      </c>
      <c r="H6786" s="1" t="str">
        <f t="shared" si="12376"/>
        <v>0</v>
      </c>
      <c r="I6786" s="1" t="str">
        <f t="shared" si="12376"/>
        <v>0</v>
      </c>
      <c r="J6786" s="1" t="str">
        <f t="shared" si="12376"/>
        <v>0</v>
      </c>
      <c r="K6786" s="1" t="str">
        <f t="shared" si="12376"/>
        <v>0</v>
      </c>
      <c r="L6786" s="1" t="str">
        <f t="shared" si="12376"/>
        <v>0</v>
      </c>
      <c r="M6786" s="1" t="str">
        <f t="shared" si="12376"/>
        <v>0</v>
      </c>
      <c r="N6786" s="1" t="str">
        <f t="shared" si="12376"/>
        <v>0</v>
      </c>
      <c r="O6786" s="1" t="str">
        <f t="shared" si="12376"/>
        <v>0</v>
      </c>
      <c r="P6786" s="1" t="str">
        <f t="shared" si="12376"/>
        <v>0</v>
      </c>
      <c r="Q6786" s="1" t="str">
        <f t="shared" si="12307"/>
        <v>0.0070</v>
      </c>
      <c r="R6786" s="1" t="s">
        <v>25</v>
      </c>
      <c r="T6786" s="1" t="str">
        <f t="shared" si="12308"/>
        <v>0</v>
      </c>
      <c r="U6786" s="1" t="str">
        <f t="shared" si="12341"/>
        <v>0.0070</v>
      </c>
    </row>
    <row r="6787" s="1" customFormat="1" spans="1:21">
      <c r="A6787" s="1" t="str">
        <f>"4601992295374"</f>
        <v>4601992295374</v>
      </c>
      <c r="B6787" s="1" t="s">
        <v>6810</v>
      </c>
      <c r="C6787" s="1" t="s">
        <v>24</v>
      </c>
      <c r="D6787" s="1" t="str">
        <f t="shared" ref="D6787:D6850" si="12377">"2021"</f>
        <v>2021</v>
      </c>
      <c r="E6787" s="1" t="str">
        <f t="shared" ref="E6787:P6787" si="12378">"0"</f>
        <v>0</v>
      </c>
      <c r="F6787" s="1" t="str">
        <f t="shared" si="12378"/>
        <v>0</v>
      </c>
      <c r="G6787" s="1" t="str">
        <f t="shared" si="12378"/>
        <v>0</v>
      </c>
      <c r="H6787" s="1" t="str">
        <f t="shared" si="12378"/>
        <v>0</v>
      </c>
      <c r="I6787" s="1" t="str">
        <f t="shared" si="12378"/>
        <v>0</v>
      </c>
      <c r="J6787" s="1" t="str">
        <f t="shared" si="12378"/>
        <v>0</v>
      </c>
      <c r="K6787" s="1" t="str">
        <f t="shared" si="12378"/>
        <v>0</v>
      </c>
      <c r="L6787" s="1" t="str">
        <f t="shared" si="12378"/>
        <v>0</v>
      </c>
      <c r="M6787" s="1" t="str">
        <f t="shared" si="12378"/>
        <v>0</v>
      </c>
      <c r="N6787" s="1" t="str">
        <f t="shared" si="12378"/>
        <v>0</v>
      </c>
      <c r="O6787" s="1" t="str">
        <f t="shared" si="12378"/>
        <v>0</v>
      </c>
      <c r="P6787" s="1" t="str">
        <f t="shared" si="12378"/>
        <v>0</v>
      </c>
      <c r="Q6787" s="1" t="str">
        <f t="shared" ref="Q6787:Q6850" si="12379">"0.0070"</f>
        <v>0.0070</v>
      </c>
      <c r="R6787" s="1" t="s">
        <v>25</v>
      </c>
      <c r="T6787" s="1" t="str">
        <f t="shared" ref="T6787:T6850" si="12380">"0"</f>
        <v>0</v>
      </c>
      <c r="U6787" s="1" t="str">
        <f t="shared" si="12341"/>
        <v>0.0070</v>
      </c>
    </row>
    <row r="6788" s="1" customFormat="1" spans="1:21">
      <c r="A6788" s="1" t="str">
        <f>"4601992295398"</f>
        <v>4601992295398</v>
      </c>
      <c r="B6788" s="1" t="s">
        <v>6811</v>
      </c>
      <c r="C6788" s="1" t="s">
        <v>24</v>
      </c>
      <c r="D6788" s="1" t="str">
        <f t="shared" si="12377"/>
        <v>2021</v>
      </c>
      <c r="E6788" s="1" t="str">
        <f t="shared" ref="E6788:P6788" si="12381">"0"</f>
        <v>0</v>
      </c>
      <c r="F6788" s="1" t="str">
        <f t="shared" si="12381"/>
        <v>0</v>
      </c>
      <c r="G6788" s="1" t="str">
        <f t="shared" si="12381"/>
        <v>0</v>
      </c>
      <c r="H6788" s="1" t="str">
        <f t="shared" si="12381"/>
        <v>0</v>
      </c>
      <c r="I6788" s="1" t="str">
        <f t="shared" si="12381"/>
        <v>0</v>
      </c>
      <c r="J6788" s="1" t="str">
        <f t="shared" si="12381"/>
        <v>0</v>
      </c>
      <c r="K6788" s="1" t="str">
        <f t="shared" si="12381"/>
        <v>0</v>
      </c>
      <c r="L6788" s="1" t="str">
        <f t="shared" si="12381"/>
        <v>0</v>
      </c>
      <c r="M6788" s="1" t="str">
        <f t="shared" si="12381"/>
        <v>0</v>
      </c>
      <c r="N6788" s="1" t="str">
        <f t="shared" si="12381"/>
        <v>0</v>
      </c>
      <c r="O6788" s="1" t="str">
        <f t="shared" si="12381"/>
        <v>0</v>
      </c>
      <c r="P6788" s="1" t="str">
        <f t="shared" si="12381"/>
        <v>0</v>
      </c>
      <c r="Q6788" s="1" t="str">
        <f t="shared" si="12379"/>
        <v>0.0070</v>
      </c>
      <c r="R6788" s="1" t="s">
        <v>25</v>
      </c>
      <c r="T6788" s="1" t="str">
        <f t="shared" si="12380"/>
        <v>0</v>
      </c>
      <c r="U6788" s="1" t="str">
        <f t="shared" si="12341"/>
        <v>0.0070</v>
      </c>
    </row>
    <row r="6789" s="1" customFormat="1" spans="1:21">
      <c r="A6789" s="1" t="str">
        <f>"4601992295487"</f>
        <v>4601992295487</v>
      </c>
      <c r="B6789" s="1" t="s">
        <v>6812</v>
      </c>
      <c r="C6789" s="1" t="s">
        <v>24</v>
      </c>
      <c r="D6789" s="1" t="str">
        <f t="shared" si="12377"/>
        <v>2021</v>
      </c>
      <c r="E6789" s="1" t="str">
        <f t="shared" ref="E6789:P6789" si="12382">"0"</f>
        <v>0</v>
      </c>
      <c r="F6789" s="1" t="str">
        <f t="shared" si="12382"/>
        <v>0</v>
      </c>
      <c r="G6789" s="1" t="str">
        <f t="shared" si="12382"/>
        <v>0</v>
      </c>
      <c r="H6789" s="1" t="str">
        <f t="shared" si="12382"/>
        <v>0</v>
      </c>
      <c r="I6789" s="1" t="str">
        <f t="shared" si="12382"/>
        <v>0</v>
      </c>
      <c r="J6789" s="1" t="str">
        <f t="shared" si="12382"/>
        <v>0</v>
      </c>
      <c r="K6789" s="1" t="str">
        <f t="shared" si="12382"/>
        <v>0</v>
      </c>
      <c r="L6789" s="1" t="str">
        <f t="shared" si="12382"/>
        <v>0</v>
      </c>
      <c r="M6789" s="1" t="str">
        <f t="shared" si="12382"/>
        <v>0</v>
      </c>
      <c r="N6789" s="1" t="str">
        <f t="shared" si="12382"/>
        <v>0</v>
      </c>
      <c r="O6789" s="1" t="str">
        <f t="shared" si="12382"/>
        <v>0</v>
      </c>
      <c r="P6789" s="1" t="str">
        <f t="shared" si="12382"/>
        <v>0</v>
      </c>
      <c r="Q6789" s="1" t="str">
        <f t="shared" si="12379"/>
        <v>0.0070</v>
      </c>
      <c r="R6789" s="1" t="s">
        <v>25</v>
      </c>
      <c r="T6789" s="1" t="str">
        <f t="shared" si="12380"/>
        <v>0</v>
      </c>
      <c r="U6789" s="1" t="str">
        <f t="shared" si="12341"/>
        <v>0.0070</v>
      </c>
    </row>
    <row r="6790" s="1" customFormat="1" spans="1:21">
      <c r="A6790" s="1" t="str">
        <f>"4601992295663"</f>
        <v>4601992295663</v>
      </c>
      <c r="B6790" s="1" t="s">
        <v>6813</v>
      </c>
      <c r="C6790" s="1" t="s">
        <v>24</v>
      </c>
      <c r="D6790" s="1" t="str">
        <f t="shared" si="12377"/>
        <v>2021</v>
      </c>
      <c r="E6790" s="1" t="str">
        <f t="shared" ref="E6790:P6790" si="12383">"0"</f>
        <v>0</v>
      </c>
      <c r="F6790" s="1" t="str">
        <f t="shared" si="12383"/>
        <v>0</v>
      </c>
      <c r="G6790" s="1" t="str">
        <f t="shared" si="12383"/>
        <v>0</v>
      </c>
      <c r="H6790" s="1" t="str">
        <f t="shared" si="12383"/>
        <v>0</v>
      </c>
      <c r="I6790" s="1" t="str">
        <f t="shared" si="12383"/>
        <v>0</v>
      </c>
      <c r="J6790" s="1" t="str">
        <f t="shared" si="12383"/>
        <v>0</v>
      </c>
      <c r="K6790" s="1" t="str">
        <f t="shared" si="12383"/>
        <v>0</v>
      </c>
      <c r="L6790" s="1" t="str">
        <f t="shared" si="12383"/>
        <v>0</v>
      </c>
      <c r="M6790" s="1" t="str">
        <f t="shared" si="12383"/>
        <v>0</v>
      </c>
      <c r="N6790" s="1" t="str">
        <f t="shared" si="12383"/>
        <v>0</v>
      </c>
      <c r="O6790" s="1" t="str">
        <f t="shared" si="12383"/>
        <v>0</v>
      </c>
      <c r="P6790" s="1" t="str">
        <f t="shared" si="12383"/>
        <v>0</v>
      </c>
      <c r="Q6790" s="1" t="str">
        <f t="shared" si="12379"/>
        <v>0.0070</v>
      </c>
      <c r="R6790" s="1" t="s">
        <v>25</v>
      </c>
      <c r="T6790" s="1" t="str">
        <f t="shared" si="12380"/>
        <v>0</v>
      </c>
      <c r="U6790" s="1" t="str">
        <f t="shared" si="12341"/>
        <v>0.0070</v>
      </c>
    </row>
    <row r="6791" s="1" customFormat="1" spans="1:21">
      <c r="A6791" s="1" t="str">
        <f>"4601992295683"</f>
        <v>4601992295683</v>
      </c>
      <c r="B6791" s="1" t="s">
        <v>6814</v>
      </c>
      <c r="C6791" s="1" t="s">
        <v>24</v>
      </c>
      <c r="D6791" s="1" t="str">
        <f t="shared" si="12377"/>
        <v>2021</v>
      </c>
      <c r="E6791" s="1" t="str">
        <f t="shared" ref="E6791:P6791" si="12384">"0"</f>
        <v>0</v>
      </c>
      <c r="F6791" s="1" t="str">
        <f t="shared" si="12384"/>
        <v>0</v>
      </c>
      <c r="G6791" s="1" t="str">
        <f t="shared" si="12384"/>
        <v>0</v>
      </c>
      <c r="H6791" s="1" t="str">
        <f t="shared" si="12384"/>
        <v>0</v>
      </c>
      <c r="I6791" s="1" t="str">
        <f t="shared" si="12384"/>
        <v>0</v>
      </c>
      <c r="J6791" s="1" t="str">
        <f t="shared" si="12384"/>
        <v>0</v>
      </c>
      <c r="K6791" s="1" t="str">
        <f t="shared" si="12384"/>
        <v>0</v>
      </c>
      <c r="L6791" s="1" t="str">
        <f t="shared" si="12384"/>
        <v>0</v>
      </c>
      <c r="M6791" s="1" t="str">
        <f t="shared" si="12384"/>
        <v>0</v>
      </c>
      <c r="N6791" s="1" t="str">
        <f t="shared" si="12384"/>
        <v>0</v>
      </c>
      <c r="O6791" s="1" t="str">
        <f t="shared" si="12384"/>
        <v>0</v>
      </c>
      <c r="P6791" s="1" t="str">
        <f t="shared" si="12384"/>
        <v>0</v>
      </c>
      <c r="Q6791" s="1" t="str">
        <f t="shared" si="12379"/>
        <v>0.0070</v>
      </c>
      <c r="R6791" s="1" t="s">
        <v>25</v>
      </c>
      <c r="T6791" s="1" t="str">
        <f t="shared" si="12380"/>
        <v>0</v>
      </c>
      <c r="U6791" s="1" t="str">
        <f t="shared" si="12341"/>
        <v>0.0070</v>
      </c>
    </row>
    <row r="6792" s="1" customFormat="1" spans="1:21">
      <c r="A6792" s="1" t="str">
        <f>"4601992295885"</f>
        <v>4601992295885</v>
      </c>
      <c r="B6792" s="1" t="s">
        <v>6815</v>
      </c>
      <c r="C6792" s="1" t="s">
        <v>24</v>
      </c>
      <c r="D6792" s="1" t="str">
        <f t="shared" si="12377"/>
        <v>2021</v>
      </c>
      <c r="E6792" s="1" t="str">
        <f t="shared" ref="E6792:P6792" si="12385">"0"</f>
        <v>0</v>
      </c>
      <c r="F6792" s="1" t="str">
        <f t="shared" si="12385"/>
        <v>0</v>
      </c>
      <c r="G6792" s="1" t="str">
        <f t="shared" si="12385"/>
        <v>0</v>
      </c>
      <c r="H6792" s="1" t="str">
        <f t="shared" si="12385"/>
        <v>0</v>
      </c>
      <c r="I6792" s="1" t="str">
        <f t="shared" si="12385"/>
        <v>0</v>
      </c>
      <c r="J6792" s="1" t="str">
        <f t="shared" si="12385"/>
        <v>0</v>
      </c>
      <c r="K6792" s="1" t="str">
        <f t="shared" si="12385"/>
        <v>0</v>
      </c>
      <c r="L6792" s="1" t="str">
        <f t="shared" si="12385"/>
        <v>0</v>
      </c>
      <c r="M6792" s="1" t="str">
        <f t="shared" si="12385"/>
        <v>0</v>
      </c>
      <c r="N6792" s="1" t="str">
        <f t="shared" si="12385"/>
        <v>0</v>
      </c>
      <c r="O6792" s="1" t="str">
        <f t="shared" si="12385"/>
        <v>0</v>
      </c>
      <c r="P6792" s="1" t="str">
        <f t="shared" si="12385"/>
        <v>0</v>
      </c>
      <c r="Q6792" s="1" t="str">
        <f t="shared" si="12379"/>
        <v>0.0070</v>
      </c>
      <c r="R6792" s="1" t="s">
        <v>25</v>
      </c>
      <c r="T6792" s="1" t="str">
        <f t="shared" si="12380"/>
        <v>0</v>
      </c>
      <c r="U6792" s="1" t="str">
        <f t="shared" si="12341"/>
        <v>0.0070</v>
      </c>
    </row>
    <row r="6793" s="1" customFormat="1" spans="1:21">
      <c r="A6793" s="1" t="str">
        <f>"4601992295931"</f>
        <v>4601992295931</v>
      </c>
      <c r="B6793" s="1" t="s">
        <v>6816</v>
      </c>
      <c r="C6793" s="1" t="s">
        <v>24</v>
      </c>
      <c r="D6793" s="1" t="str">
        <f t="shared" si="12377"/>
        <v>2021</v>
      </c>
      <c r="E6793" s="1" t="str">
        <f t="shared" ref="E6793:P6793" si="12386">"0"</f>
        <v>0</v>
      </c>
      <c r="F6793" s="1" t="str">
        <f t="shared" si="12386"/>
        <v>0</v>
      </c>
      <c r="G6793" s="1" t="str">
        <f t="shared" si="12386"/>
        <v>0</v>
      </c>
      <c r="H6793" s="1" t="str">
        <f t="shared" si="12386"/>
        <v>0</v>
      </c>
      <c r="I6793" s="1" t="str">
        <f t="shared" si="12386"/>
        <v>0</v>
      </c>
      <c r="J6793" s="1" t="str">
        <f t="shared" si="12386"/>
        <v>0</v>
      </c>
      <c r="K6793" s="1" t="str">
        <f t="shared" si="12386"/>
        <v>0</v>
      </c>
      <c r="L6793" s="1" t="str">
        <f t="shared" si="12386"/>
        <v>0</v>
      </c>
      <c r="M6793" s="1" t="str">
        <f t="shared" si="12386"/>
        <v>0</v>
      </c>
      <c r="N6793" s="1" t="str">
        <f t="shared" si="12386"/>
        <v>0</v>
      </c>
      <c r="O6793" s="1" t="str">
        <f t="shared" si="12386"/>
        <v>0</v>
      </c>
      <c r="P6793" s="1" t="str">
        <f t="shared" si="12386"/>
        <v>0</v>
      </c>
      <c r="Q6793" s="1" t="str">
        <f t="shared" si="12379"/>
        <v>0.0070</v>
      </c>
      <c r="R6793" s="1" t="s">
        <v>25</v>
      </c>
      <c r="T6793" s="1" t="str">
        <f t="shared" si="12380"/>
        <v>0</v>
      </c>
      <c r="U6793" s="1" t="str">
        <f t="shared" si="12341"/>
        <v>0.0070</v>
      </c>
    </row>
    <row r="6794" s="1" customFormat="1" spans="1:21">
      <c r="A6794" s="1" t="str">
        <f>"4601992295825"</f>
        <v>4601992295825</v>
      </c>
      <c r="B6794" s="1" t="s">
        <v>6817</v>
      </c>
      <c r="C6794" s="1" t="s">
        <v>24</v>
      </c>
      <c r="D6794" s="1" t="str">
        <f t="shared" si="12377"/>
        <v>2021</v>
      </c>
      <c r="E6794" s="1" t="str">
        <f t="shared" ref="E6794:P6794" si="12387">"0"</f>
        <v>0</v>
      </c>
      <c r="F6794" s="1" t="str">
        <f t="shared" si="12387"/>
        <v>0</v>
      </c>
      <c r="G6794" s="1" t="str">
        <f t="shared" si="12387"/>
        <v>0</v>
      </c>
      <c r="H6794" s="1" t="str">
        <f t="shared" si="12387"/>
        <v>0</v>
      </c>
      <c r="I6794" s="1" t="str">
        <f t="shared" si="12387"/>
        <v>0</v>
      </c>
      <c r="J6794" s="1" t="str">
        <f t="shared" si="12387"/>
        <v>0</v>
      </c>
      <c r="K6794" s="1" t="str">
        <f t="shared" si="12387"/>
        <v>0</v>
      </c>
      <c r="L6794" s="1" t="str">
        <f t="shared" si="12387"/>
        <v>0</v>
      </c>
      <c r="M6794" s="1" t="str">
        <f t="shared" si="12387"/>
        <v>0</v>
      </c>
      <c r="N6794" s="1" t="str">
        <f t="shared" si="12387"/>
        <v>0</v>
      </c>
      <c r="O6794" s="1" t="str">
        <f t="shared" si="12387"/>
        <v>0</v>
      </c>
      <c r="P6794" s="1" t="str">
        <f t="shared" si="12387"/>
        <v>0</v>
      </c>
      <c r="Q6794" s="1" t="str">
        <f t="shared" si="12379"/>
        <v>0.0070</v>
      </c>
      <c r="R6794" s="1" t="s">
        <v>25</v>
      </c>
      <c r="T6794" s="1" t="str">
        <f t="shared" si="12380"/>
        <v>0</v>
      </c>
      <c r="U6794" s="1" t="str">
        <f t="shared" si="12341"/>
        <v>0.0070</v>
      </c>
    </row>
    <row r="6795" s="1" customFormat="1" spans="1:21">
      <c r="A6795" s="1" t="str">
        <f>"4601992296258"</f>
        <v>4601992296258</v>
      </c>
      <c r="B6795" s="1" t="s">
        <v>6818</v>
      </c>
      <c r="C6795" s="1" t="s">
        <v>24</v>
      </c>
      <c r="D6795" s="1" t="str">
        <f t="shared" si="12377"/>
        <v>2021</v>
      </c>
      <c r="E6795" s="1" t="str">
        <f t="shared" ref="E6795:P6795" si="12388">"0"</f>
        <v>0</v>
      </c>
      <c r="F6795" s="1" t="str">
        <f t="shared" si="12388"/>
        <v>0</v>
      </c>
      <c r="G6795" s="1" t="str">
        <f t="shared" si="12388"/>
        <v>0</v>
      </c>
      <c r="H6795" s="1" t="str">
        <f t="shared" si="12388"/>
        <v>0</v>
      </c>
      <c r="I6795" s="1" t="str">
        <f t="shared" si="12388"/>
        <v>0</v>
      </c>
      <c r="J6795" s="1" t="str">
        <f t="shared" si="12388"/>
        <v>0</v>
      </c>
      <c r="K6795" s="1" t="str">
        <f t="shared" si="12388"/>
        <v>0</v>
      </c>
      <c r="L6795" s="1" t="str">
        <f t="shared" si="12388"/>
        <v>0</v>
      </c>
      <c r="M6795" s="1" t="str">
        <f t="shared" si="12388"/>
        <v>0</v>
      </c>
      <c r="N6795" s="1" t="str">
        <f t="shared" si="12388"/>
        <v>0</v>
      </c>
      <c r="O6795" s="1" t="str">
        <f t="shared" si="12388"/>
        <v>0</v>
      </c>
      <c r="P6795" s="1" t="str">
        <f t="shared" si="12388"/>
        <v>0</v>
      </c>
      <c r="Q6795" s="1" t="str">
        <f t="shared" si="12379"/>
        <v>0.0070</v>
      </c>
      <c r="R6795" s="1" t="s">
        <v>25</v>
      </c>
      <c r="T6795" s="1" t="str">
        <f t="shared" si="12380"/>
        <v>0</v>
      </c>
      <c r="U6795" s="1" t="str">
        <f t="shared" si="12341"/>
        <v>0.0070</v>
      </c>
    </row>
    <row r="6796" s="1" customFormat="1" spans="1:21">
      <c r="A6796" s="1" t="str">
        <f>"4601992296107"</f>
        <v>4601992296107</v>
      </c>
      <c r="B6796" s="1" t="s">
        <v>6819</v>
      </c>
      <c r="C6796" s="1" t="s">
        <v>24</v>
      </c>
      <c r="D6796" s="1" t="str">
        <f t="shared" si="12377"/>
        <v>2021</v>
      </c>
      <c r="E6796" s="1" t="str">
        <f t="shared" ref="E6796:P6796" si="12389">"0"</f>
        <v>0</v>
      </c>
      <c r="F6796" s="1" t="str">
        <f t="shared" si="12389"/>
        <v>0</v>
      </c>
      <c r="G6796" s="1" t="str">
        <f t="shared" si="12389"/>
        <v>0</v>
      </c>
      <c r="H6796" s="1" t="str">
        <f t="shared" si="12389"/>
        <v>0</v>
      </c>
      <c r="I6796" s="1" t="str">
        <f t="shared" si="12389"/>
        <v>0</v>
      </c>
      <c r="J6796" s="1" t="str">
        <f t="shared" si="12389"/>
        <v>0</v>
      </c>
      <c r="K6796" s="1" t="str">
        <f t="shared" si="12389"/>
        <v>0</v>
      </c>
      <c r="L6796" s="1" t="str">
        <f t="shared" si="12389"/>
        <v>0</v>
      </c>
      <c r="M6796" s="1" t="str">
        <f t="shared" si="12389"/>
        <v>0</v>
      </c>
      <c r="N6796" s="1" t="str">
        <f t="shared" si="12389"/>
        <v>0</v>
      </c>
      <c r="O6796" s="1" t="str">
        <f t="shared" si="12389"/>
        <v>0</v>
      </c>
      <c r="P6796" s="1" t="str">
        <f t="shared" si="12389"/>
        <v>0</v>
      </c>
      <c r="Q6796" s="1" t="str">
        <f t="shared" si="12379"/>
        <v>0.0070</v>
      </c>
      <c r="R6796" s="1" t="s">
        <v>25</v>
      </c>
      <c r="T6796" s="1" t="str">
        <f t="shared" si="12380"/>
        <v>0</v>
      </c>
      <c r="U6796" s="1" t="str">
        <f t="shared" si="12341"/>
        <v>0.0070</v>
      </c>
    </row>
    <row r="6797" s="1" customFormat="1" spans="1:21">
      <c r="A6797" s="1" t="str">
        <f>"4601992296154"</f>
        <v>4601992296154</v>
      </c>
      <c r="B6797" s="1" t="s">
        <v>6820</v>
      </c>
      <c r="C6797" s="1" t="s">
        <v>24</v>
      </c>
      <c r="D6797" s="1" t="str">
        <f t="shared" si="12377"/>
        <v>2021</v>
      </c>
      <c r="E6797" s="1" t="str">
        <f t="shared" ref="E6797:P6797" si="12390">"0"</f>
        <v>0</v>
      </c>
      <c r="F6797" s="1" t="str">
        <f t="shared" si="12390"/>
        <v>0</v>
      </c>
      <c r="G6797" s="1" t="str">
        <f t="shared" si="12390"/>
        <v>0</v>
      </c>
      <c r="H6797" s="1" t="str">
        <f t="shared" si="12390"/>
        <v>0</v>
      </c>
      <c r="I6797" s="1" t="str">
        <f t="shared" si="12390"/>
        <v>0</v>
      </c>
      <c r="J6797" s="1" t="str">
        <f t="shared" si="12390"/>
        <v>0</v>
      </c>
      <c r="K6797" s="1" t="str">
        <f t="shared" si="12390"/>
        <v>0</v>
      </c>
      <c r="L6797" s="1" t="str">
        <f t="shared" si="12390"/>
        <v>0</v>
      </c>
      <c r="M6797" s="1" t="str">
        <f t="shared" si="12390"/>
        <v>0</v>
      </c>
      <c r="N6797" s="1" t="str">
        <f t="shared" si="12390"/>
        <v>0</v>
      </c>
      <c r="O6797" s="1" t="str">
        <f t="shared" si="12390"/>
        <v>0</v>
      </c>
      <c r="P6797" s="1" t="str">
        <f t="shared" si="12390"/>
        <v>0</v>
      </c>
      <c r="Q6797" s="1" t="str">
        <f t="shared" si="12379"/>
        <v>0.0070</v>
      </c>
      <c r="R6797" s="1" t="s">
        <v>25</v>
      </c>
      <c r="T6797" s="1" t="str">
        <f t="shared" si="12380"/>
        <v>0</v>
      </c>
      <c r="U6797" s="1" t="str">
        <f t="shared" si="12341"/>
        <v>0.0070</v>
      </c>
    </row>
    <row r="6798" s="1" customFormat="1" spans="1:21">
      <c r="A6798" s="1" t="str">
        <f>"4601992296319"</f>
        <v>4601992296319</v>
      </c>
      <c r="B6798" s="1" t="s">
        <v>6821</v>
      </c>
      <c r="C6798" s="1" t="s">
        <v>24</v>
      </c>
      <c r="D6798" s="1" t="str">
        <f t="shared" si="12377"/>
        <v>2021</v>
      </c>
      <c r="E6798" s="1" t="str">
        <f t="shared" ref="E6798:P6798" si="12391">"0"</f>
        <v>0</v>
      </c>
      <c r="F6798" s="1" t="str">
        <f t="shared" si="12391"/>
        <v>0</v>
      </c>
      <c r="G6798" s="1" t="str">
        <f t="shared" si="12391"/>
        <v>0</v>
      </c>
      <c r="H6798" s="1" t="str">
        <f t="shared" si="12391"/>
        <v>0</v>
      </c>
      <c r="I6798" s="1" t="str">
        <f t="shared" si="12391"/>
        <v>0</v>
      </c>
      <c r="J6798" s="1" t="str">
        <f t="shared" si="12391"/>
        <v>0</v>
      </c>
      <c r="K6798" s="1" t="str">
        <f t="shared" si="12391"/>
        <v>0</v>
      </c>
      <c r="L6798" s="1" t="str">
        <f t="shared" si="12391"/>
        <v>0</v>
      </c>
      <c r="M6798" s="1" t="str">
        <f t="shared" si="12391"/>
        <v>0</v>
      </c>
      <c r="N6798" s="1" t="str">
        <f t="shared" si="12391"/>
        <v>0</v>
      </c>
      <c r="O6798" s="1" t="str">
        <f t="shared" si="12391"/>
        <v>0</v>
      </c>
      <c r="P6798" s="1" t="str">
        <f t="shared" si="12391"/>
        <v>0</v>
      </c>
      <c r="Q6798" s="1" t="str">
        <f t="shared" si="12379"/>
        <v>0.0070</v>
      </c>
      <c r="R6798" s="1" t="s">
        <v>25</v>
      </c>
      <c r="T6798" s="1" t="str">
        <f t="shared" si="12380"/>
        <v>0</v>
      </c>
      <c r="U6798" s="1" t="str">
        <f t="shared" si="12341"/>
        <v>0.0070</v>
      </c>
    </row>
    <row r="6799" s="1" customFormat="1" spans="1:21">
      <c r="A6799" s="1" t="str">
        <f>"4601992296274"</f>
        <v>4601992296274</v>
      </c>
      <c r="B6799" s="1" t="s">
        <v>6822</v>
      </c>
      <c r="C6799" s="1" t="s">
        <v>24</v>
      </c>
      <c r="D6799" s="1" t="str">
        <f t="shared" si="12377"/>
        <v>2021</v>
      </c>
      <c r="E6799" s="1" t="str">
        <f t="shared" ref="E6799:P6799" si="12392">"0"</f>
        <v>0</v>
      </c>
      <c r="F6799" s="1" t="str">
        <f t="shared" si="12392"/>
        <v>0</v>
      </c>
      <c r="G6799" s="1" t="str">
        <f t="shared" si="12392"/>
        <v>0</v>
      </c>
      <c r="H6799" s="1" t="str">
        <f t="shared" si="12392"/>
        <v>0</v>
      </c>
      <c r="I6799" s="1" t="str">
        <f t="shared" si="12392"/>
        <v>0</v>
      </c>
      <c r="J6799" s="1" t="str">
        <f t="shared" si="12392"/>
        <v>0</v>
      </c>
      <c r="K6799" s="1" t="str">
        <f t="shared" si="12392"/>
        <v>0</v>
      </c>
      <c r="L6799" s="1" t="str">
        <f t="shared" si="12392"/>
        <v>0</v>
      </c>
      <c r="M6799" s="1" t="str">
        <f t="shared" si="12392"/>
        <v>0</v>
      </c>
      <c r="N6799" s="1" t="str">
        <f t="shared" si="12392"/>
        <v>0</v>
      </c>
      <c r="O6799" s="1" t="str">
        <f t="shared" si="12392"/>
        <v>0</v>
      </c>
      <c r="P6799" s="1" t="str">
        <f t="shared" si="12392"/>
        <v>0</v>
      </c>
      <c r="Q6799" s="1" t="str">
        <f t="shared" si="12379"/>
        <v>0.0070</v>
      </c>
      <c r="R6799" s="1" t="s">
        <v>25</v>
      </c>
      <c r="T6799" s="1" t="str">
        <f t="shared" si="12380"/>
        <v>0</v>
      </c>
      <c r="U6799" s="1" t="str">
        <f t="shared" si="12341"/>
        <v>0.0070</v>
      </c>
    </row>
    <row r="6800" s="1" customFormat="1" spans="1:21">
      <c r="A6800" s="1" t="str">
        <f>"4601992296344"</f>
        <v>4601992296344</v>
      </c>
      <c r="B6800" s="1" t="s">
        <v>6823</v>
      </c>
      <c r="C6800" s="1" t="s">
        <v>24</v>
      </c>
      <c r="D6800" s="1" t="str">
        <f t="shared" si="12377"/>
        <v>2021</v>
      </c>
      <c r="E6800" s="1" t="str">
        <f t="shared" ref="E6800:P6800" si="12393">"0"</f>
        <v>0</v>
      </c>
      <c r="F6800" s="1" t="str">
        <f t="shared" si="12393"/>
        <v>0</v>
      </c>
      <c r="G6800" s="1" t="str">
        <f t="shared" si="12393"/>
        <v>0</v>
      </c>
      <c r="H6800" s="1" t="str">
        <f t="shared" si="12393"/>
        <v>0</v>
      </c>
      <c r="I6800" s="1" t="str">
        <f t="shared" si="12393"/>
        <v>0</v>
      </c>
      <c r="J6800" s="1" t="str">
        <f t="shared" si="12393"/>
        <v>0</v>
      </c>
      <c r="K6800" s="1" t="str">
        <f t="shared" si="12393"/>
        <v>0</v>
      </c>
      <c r="L6800" s="1" t="str">
        <f t="shared" si="12393"/>
        <v>0</v>
      </c>
      <c r="M6800" s="1" t="str">
        <f t="shared" si="12393"/>
        <v>0</v>
      </c>
      <c r="N6800" s="1" t="str">
        <f t="shared" si="12393"/>
        <v>0</v>
      </c>
      <c r="O6800" s="1" t="str">
        <f t="shared" si="12393"/>
        <v>0</v>
      </c>
      <c r="P6800" s="1" t="str">
        <f t="shared" si="12393"/>
        <v>0</v>
      </c>
      <c r="Q6800" s="1" t="str">
        <f t="shared" si="12379"/>
        <v>0.0070</v>
      </c>
      <c r="R6800" s="1" t="s">
        <v>25</v>
      </c>
      <c r="T6800" s="1" t="str">
        <f t="shared" si="12380"/>
        <v>0</v>
      </c>
      <c r="U6800" s="1" t="str">
        <f t="shared" si="12341"/>
        <v>0.0070</v>
      </c>
    </row>
    <row r="6801" s="1" customFormat="1" spans="1:21">
      <c r="A6801" s="1" t="str">
        <f>"4601992046370"</f>
        <v>4601992046370</v>
      </c>
      <c r="B6801" s="1" t="s">
        <v>6824</v>
      </c>
      <c r="C6801" s="1" t="s">
        <v>24</v>
      </c>
      <c r="D6801" s="1" t="str">
        <f t="shared" si="12377"/>
        <v>2021</v>
      </c>
      <c r="E6801" s="1" t="str">
        <f>"24.18"</f>
        <v>24.18</v>
      </c>
      <c r="F6801" s="1" t="str">
        <f t="shared" ref="F6801:I6801" si="12394">"0"</f>
        <v>0</v>
      </c>
      <c r="G6801" s="1" t="str">
        <f t="shared" si="12394"/>
        <v>0</v>
      </c>
      <c r="H6801" s="1" t="str">
        <f t="shared" si="12394"/>
        <v>0</v>
      </c>
      <c r="I6801" s="1" t="str">
        <f t="shared" si="12394"/>
        <v>0</v>
      </c>
      <c r="J6801" s="1" t="str">
        <f>"2"</f>
        <v>2</v>
      </c>
      <c r="K6801" s="1" t="str">
        <f t="shared" ref="K6801:P6801" si="12395">"0"</f>
        <v>0</v>
      </c>
      <c r="L6801" s="1" t="str">
        <f t="shared" si="12395"/>
        <v>0</v>
      </c>
      <c r="M6801" s="1" t="str">
        <f t="shared" si="12395"/>
        <v>0</v>
      </c>
      <c r="N6801" s="1" t="str">
        <f t="shared" si="12395"/>
        <v>0</v>
      </c>
      <c r="O6801" s="1" t="str">
        <f t="shared" si="12395"/>
        <v>0</v>
      </c>
      <c r="P6801" s="1" t="str">
        <f t="shared" si="12395"/>
        <v>0</v>
      </c>
      <c r="Q6801" s="1" t="str">
        <f t="shared" si="12379"/>
        <v>0.0070</v>
      </c>
      <c r="R6801" s="1" t="s">
        <v>29</v>
      </c>
      <c r="S6801" s="1">
        <v>-0.0014</v>
      </c>
      <c r="T6801" s="1" t="str">
        <f t="shared" si="12380"/>
        <v>0</v>
      </c>
      <c r="U6801" s="1" t="str">
        <f>"0.0056"</f>
        <v>0.0056</v>
      </c>
    </row>
    <row r="6802" s="1" customFormat="1" spans="1:21">
      <c r="A6802" s="1" t="str">
        <f>"4601992296473"</f>
        <v>4601992296473</v>
      </c>
      <c r="B6802" s="1" t="s">
        <v>6825</v>
      </c>
      <c r="C6802" s="1" t="s">
        <v>24</v>
      </c>
      <c r="D6802" s="1" t="str">
        <f t="shared" si="12377"/>
        <v>2021</v>
      </c>
      <c r="E6802" s="1" t="str">
        <f t="shared" ref="E6802:P6802" si="12396">"0"</f>
        <v>0</v>
      </c>
      <c r="F6802" s="1" t="str">
        <f t="shared" si="12396"/>
        <v>0</v>
      </c>
      <c r="G6802" s="1" t="str">
        <f t="shared" si="12396"/>
        <v>0</v>
      </c>
      <c r="H6802" s="1" t="str">
        <f t="shared" si="12396"/>
        <v>0</v>
      </c>
      <c r="I6802" s="1" t="str">
        <f t="shared" si="12396"/>
        <v>0</v>
      </c>
      <c r="J6802" s="1" t="str">
        <f t="shared" si="12396"/>
        <v>0</v>
      </c>
      <c r="K6802" s="1" t="str">
        <f t="shared" si="12396"/>
        <v>0</v>
      </c>
      <c r="L6802" s="1" t="str">
        <f t="shared" si="12396"/>
        <v>0</v>
      </c>
      <c r="M6802" s="1" t="str">
        <f t="shared" si="12396"/>
        <v>0</v>
      </c>
      <c r="N6802" s="1" t="str">
        <f t="shared" si="12396"/>
        <v>0</v>
      </c>
      <c r="O6802" s="1" t="str">
        <f t="shared" si="12396"/>
        <v>0</v>
      </c>
      <c r="P6802" s="1" t="str">
        <f t="shared" si="12396"/>
        <v>0</v>
      </c>
      <c r="Q6802" s="1" t="str">
        <f t="shared" si="12379"/>
        <v>0.0070</v>
      </c>
      <c r="R6802" s="1" t="s">
        <v>25</v>
      </c>
      <c r="T6802" s="1" t="str">
        <f t="shared" si="12380"/>
        <v>0</v>
      </c>
      <c r="U6802" s="1" t="str">
        <f t="shared" ref="U6802:U6834" si="12397">"0.0070"</f>
        <v>0.0070</v>
      </c>
    </row>
    <row r="6803" s="1" customFormat="1" spans="1:21">
      <c r="A6803" s="1" t="str">
        <f>"4601992296396"</f>
        <v>4601992296396</v>
      </c>
      <c r="B6803" s="1" t="s">
        <v>6826</v>
      </c>
      <c r="C6803" s="1" t="s">
        <v>24</v>
      </c>
      <c r="D6803" s="1" t="str">
        <f t="shared" si="12377"/>
        <v>2021</v>
      </c>
      <c r="E6803" s="1" t="str">
        <f t="shared" ref="E6803:P6803" si="12398">"0"</f>
        <v>0</v>
      </c>
      <c r="F6803" s="1" t="str">
        <f t="shared" si="12398"/>
        <v>0</v>
      </c>
      <c r="G6803" s="1" t="str">
        <f t="shared" si="12398"/>
        <v>0</v>
      </c>
      <c r="H6803" s="1" t="str">
        <f t="shared" si="12398"/>
        <v>0</v>
      </c>
      <c r="I6803" s="1" t="str">
        <f t="shared" si="12398"/>
        <v>0</v>
      </c>
      <c r="J6803" s="1" t="str">
        <f t="shared" si="12398"/>
        <v>0</v>
      </c>
      <c r="K6803" s="1" t="str">
        <f t="shared" si="12398"/>
        <v>0</v>
      </c>
      <c r="L6803" s="1" t="str">
        <f t="shared" si="12398"/>
        <v>0</v>
      </c>
      <c r="M6803" s="1" t="str">
        <f t="shared" si="12398"/>
        <v>0</v>
      </c>
      <c r="N6803" s="1" t="str">
        <f t="shared" si="12398"/>
        <v>0</v>
      </c>
      <c r="O6803" s="1" t="str">
        <f t="shared" si="12398"/>
        <v>0</v>
      </c>
      <c r="P6803" s="1" t="str">
        <f t="shared" si="12398"/>
        <v>0</v>
      </c>
      <c r="Q6803" s="1" t="str">
        <f t="shared" si="12379"/>
        <v>0.0070</v>
      </c>
      <c r="R6803" s="1" t="s">
        <v>25</v>
      </c>
      <c r="T6803" s="1" t="str">
        <f t="shared" si="12380"/>
        <v>0</v>
      </c>
      <c r="U6803" s="1" t="str">
        <f t="shared" si="12397"/>
        <v>0.0070</v>
      </c>
    </row>
    <row r="6804" s="1" customFormat="1" spans="1:21">
      <c r="A6804" s="1" t="str">
        <f>"4601992296486"</f>
        <v>4601992296486</v>
      </c>
      <c r="B6804" s="1" t="s">
        <v>6827</v>
      </c>
      <c r="C6804" s="1" t="s">
        <v>24</v>
      </c>
      <c r="D6804" s="1" t="str">
        <f t="shared" si="12377"/>
        <v>2021</v>
      </c>
      <c r="E6804" s="1" t="str">
        <f t="shared" ref="E6804:P6804" si="12399">"0"</f>
        <v>0</v>
      </c>
      <c r="F6804" s="1" t="str">
        <f t="shared" si="12399"/>
        <v>0</v>
      </c>
      <c r="G6804" s="1" t="str">
        <f t="shared" si="12399"/>
        <v>0</v>
      </c>
      <c r="H6804" s="1" t="str">
        <f t="shared" si="12399"/>
        <v>0</v>
      </c>
      <c r="I6804" s="1" t="str">
        <f t="shared" si="12399"/>
        <v>0</v>
      </c>
      <c r="J6804" s="1" t="str">
        <f t="shared" si="12399"/>
        <v>0</v>
      </c>
      <c r="K6804" s="1" t="str">
        <f t="shared" si="12399"/>
        <v>0</v>
      </c>
      <c r="L6804" s="1" t="str">
        <f t="shared" si="12399"/>
        <v>0</v>
      </c>
      <c r="M6804" s="1" t="str">
        <f t="shared" si="12399"/>
        <v>0</v>
      </c>
      <c r="N6804" s="1" t="str">
        <f t="shared" si="12399"/>
        <v>0</v>
      </c>
      <c r="O6804" s="1" t="str">
        <f t="shared" si="12399"/>
        <v>0</v>
      </c>
      <c r="P6804" s="1" t="str">
        <f t="shared" si="12399"/>
        <v>0</v>
      </c>
      <c r="Q6804" s="1" t="str">
        <f t="shared" si="12379"/>
        <v>0.0070</v>
      </c>
      <c r="R6804" s="1" t="s">
        <v>25</v>
      </c>
      <c r="T6804" s="1" t="str">
        <f t="shared" si="12380"/>
        <v>0</v>
      </c>
      <c r="U6804" s="1" t="str">
        <f t="shared" si="12397"/>
        <v>0.0070</v>
      </c>
    </row>
    <row r="6805" s="1" customFormat="1" spans="1:21">
      <c r="A6805" s="1" t="str">
        <f>"4601992296520"</f>
        <v>4601992296520</v>
      </c>
      <c r="B6805" s="1" t="s">
        <v>6828</v>
      </c>
      <c r="C6805" s="1" t="s">
        <v>24</v>
      </c>
      <c r="D6805" s="1" t="str">
        <f t="shared" si="12377"/>
        <v>2021</v>
      </c>
      <c r="E6805" s="1" t="str">
        <f t="shared" ref="E6805:P6805" si="12400">"0"</f>
        <v>0</v>
      </c>
      <c r="F6805" s="1" t="str">
        <f t="shared" si="12400"/>
        <v>0</v>
      </c>
      <c r="G6805" s="1" t="str">
        <f t="shared" si="12400"/>
        <v>0</v>
      </c>
      <c r="H6805" s="1" t="str">
        <f t="shared" si="12400"/>
        <v>0</v>
      </c>
      <c r="I6805" s="1" t="str">
        <f t="shared" si="12400"/>
        <v>0</v>
      </c>
      <c r="J6805" s="1" t="str">
        <f t="shared" si="12400"/>
        <v>0</v>
      </c>
      <c r="K6805" s="1" t="str">
        <f t="shared" si="12400"/>
        <v>0</v>
      </c>
      <c r="L6805" s="1" t="str">
        <f t="shared" si="12400"/>
        <v>0</v>
      </c>
      <c r="M6805" s="1" t="str">
        <f t="shared" si="12400"/>
        <v>0</v>
      </c>
      <c r="N6805" s="1" t="str">
        <f t="shared" si="12400"/>
        <v>0</v>
      </c>
      <c r="O6805" s="1" t="str">
        <f t="shared" si="12400"/>
        <v>0</v>
      </c>
      <c r="P6805" s="1" t="str">
        <f t="shared" si="12400"/>
        <v>0</v>
      </c>
      <c r="Q6805" s="1" t="str">
        <f t="shared" si="12379"/>
        <v>0.0070</v>
      </c>
      <c r="R6805" s="1" t="s">
        <v>25</v>
      </c>
      <c r="T6805" s="1" t="str">
        <f t="shared" si="12380"/>
        <v>0</v>
      </c>
      <c r="U6805" s="1" t="str">
        <f t="shared" si="12397"/>
        <v>0.0070</v>
      </c>
    </row>
    <row r="6806" s="1" customFormat="1" spans="1:21">
      <c r="A6806" s="1" t="str">
        <f>"4601992296725"</f>
        <v>4601992296725</v>
      </c>
      <c r="B6806" s="1" t="s">
        <v>6829</v>
      </c>
      <c r="C6806" s="1" t="s">
        <v>24</v>
      </c>
      <c r="D6806" s="1" t="str">
        <f t="shared" si="12377"/>
        <v>2021</v>
      </c>
      <c r="E6806" s="1" t="str">
        <f t="shared" ref="E6806:P6806" si="12401">"0"</f>
        <v>0</v>
      </c>
      <c r="F6806" s="1" t="str">
        <f t="shared" si="12401"/>
        <v>0</v>
      </c>
      <c r="G6806" s="1" t="str">
        <f t="shared" si="12401"/>
        <v>0</v>
      </c>
      <c r="H6806" s="1" t="str">
        <f t="shared" si="12401"/>
        <v>0</v>
      </c>
      <c r="I6806" s="1" t="str">
        <f t="shared" si="12401"/>
        <v>0</v>
      </c>
      <c r="J6806" s="1" t="str">
        <f t="shared" si="12401"/>
        <v>0</v>
      </c>
      <c r="K6806" s="1" t="str">
        <f t="shared" si="12401"/>
        <v>0</v>
      </c>
      <c r="L6806" s="1" t="str">
        <f t="shared" si="12401"/>
        <v>0</v>
      </c>
      <c r="M6806" s="1" t="str">
        <f t="shared" si="12401"/>
        <v>0</v>
      </c>
      <c r="N6806" s="1" t="str">
        <f t="shared" si="12401"/>
        <v>0</v>
      </c>
      <c r="O6806" s="1" t="str">
        <f t="shared" si="12401"/>
        <v>0</v>
      </c>
      <c r="P6806" s="1" t="str">
        <f t="shared" si="12401"/>
        <v>0</v>
      </c>
      <c r="Q6806" s="1" t="str">
        <f t="shared" si="12379"/>
        <v>0.0070</v>
      </c>
      <c r="R6806" s="1" t="s">
        <v>25</v>
      </c>
      <c r="T6806" s="1" t="str">
        <f t="shared" si="12380"/>
        <v>0</v>
      </c>
      <c r="U6806" s="1" t="str">
        <f t="shared" si="12397"/>
        <v>0.0070</v>
      </c>
    </row>
    <row r="6807" s="1" customFormat="1" spans="1:21">
      <c r="A6807" s="1" t="str">
        <f>"4601992296700"</f>
        <v>4601992296700</v>
      </c>
      <c r="B6807" s="1" t="s">
        <v>6830</v>
      </c>
      <c r="C6807" s="1" t="s">
        <v>24</v>
      </c>
      <c r="D6807" s="1" t="str">
        <f t="shared" si="12377"/>
        <v>2021</v>
      </c>
      <c r="E6807" s="1" t="str">
        <f t="shared" ref="E6807:P6807" si="12402">"0"</f>
        <v>0</v>
      </c>
      <c r="F6807" s="1" t="str">
        <f t="shared" si="12402"/>
        <v>0</v>
      </c>
      <c r="G6807" s="1" t="str">
        <f t="shared" si="12402"/>
        <v>0</v>
      </c>
      <c r="H6807" s="1" t="str">
        <f t="shared" si="12402"/>
        <v>0</v>
      </c>
      <c r="I6807" s="1" t="str">
        <f t="shared" si="12402"/>
        <v>0</v>
      </c>
      <c r="J6807" s="1" t="str">
        <f t="shared" si="12402"/>
        <v>0</v>
      </c>
      <c r="K6807" s="1" t="str">
        <f t="shared" si="12402"/>
        <v>0</v>
      </c>
      <c r="L6807" s="1" t="str">
        <f t="shared" si="12402"/>
        <v>0</v>
      </c>
      <c r="M6807" s="1" t="str">
        <f t="shared" si="12402"/>
        <v>0</v>
      </c>
      <c r="N6807" s="1" t="str">
        <f t="shared" si="12402"/>
        <v>0</v>
      </c>
      <c r="O6807" s="1" t="str">
        <f t="shared" si="12402"/>
        <v>0</v>
      </c>
      <c r="P6807" s="1" t="str">
        <f t="shared" si="12402"/>
        <v>0</v>
      </c>
      <c r="Q6807" s="1" t="str">
        <f t="shared" si="12379"/>
        <v>0.0070</v>
      </c>
      <c r="R6807" s="1" t="s">
        <v>25</v>
      </c>
      <c r="T6807" s="1" t="str">
        <f t="shared" si="12380"/>
        <v>0</v>
      </c>
      <c r="U6807" s="1" t="str">
        <f t="shared" si="12397"/>
        <v>0.0070</v>
      </c>
    </row>
    <row r="6808" s="1" customFormat="1" spans="1:21">
      <c r="A6808" s="1" t="str">
        <f>"4601992296733"</f>
        <v>4601992296733</v>
      </c>
      <c r="B6808" s="1" t="s">
        <v>6831</v>
      </c>
      <c r="C6808" s="1" t="s">
        <v>24</v>
      </c>
      <c r="D6808" s="1" t="str">
        <f t="shared" si="12377"/>
        <v>2021</v>
      </c>
      <c r="E6808" s="1" t="str">
        <f t="shared" ref="E6808:P6808" si="12403">"0"</f>
        <v>0</v>
      </c>
      <c r="F6808" s="1" t="str">
        <f t="shared" si="12403"/>
        <v>0</v>
      </c>
      <c r="G6808" s="1" t="str">
        <f t="shared" si="12403"/>
        <v>0</v>
      </c>
      <c r="H6808" s="1" t="str">
        <f t="shared" si="12403"/>
        <v>0</v>
      </c>
      <c r="I6808" s="1" t="str">
        <f t="shared" si="12403"/>
        <v>0</v>
      </c>
      <c r="J6808" s="1" t="str">
        <f t="shared" si="12403"/>
        <v>0</v>
      </c>
      <c r="K6808" s="1" t="str">
        <f t="shared" si="12403"/>
        <v>0</v>
      </c>
      <c r="L6808" s="1" t="str">
        <f t="shared" si="12403"/>
        <v>0</v>
      </c>
      <c r="M6808" s="1" t="str">
        <f t="shared" si="12403"/>
        <v>0</v>
      </c>
      <c r="N6808" s="1" t="str">
        <f t="shared" si="12403"/>
        <v>0</v>
      </c>
      <c r="O6808" s="1" t="str">
        <f t="shared" si="12403"/>
        <v>0</v>
      </c>
      <c r="P6808" s="1" t="str">
        <f t="shared" si="12403"/>
        <v>0</v>
      </c>
      <c r="Q6808" s="1" t="str">
        <f t="shared" si="12379"/>
        <v>0.0070</v>
      </c>
      <c r="R6808" s="1" t="s">
        <v>25</v>
      </c>
      <c r="T6808" s="1" t="str">
        <f t="shared" si="12380"/>
        <v>0</v>
      </c>
      <c r="U6808" s="1" t="str">
        <f t="shared" si="12397"/>
        <v>0.0070</v>
      </c>
    </row>
    <row r="6809" s="1" customFormat="1" spans="1:21">
      <c r="A6809" s="1" t="str">
        <f>"4601992296711"</f>
        <v>4601992296711</v>
      </c>
      <c r="B6809" s="1" t="s">
        <v>6832</v>
      </c>
      <c r="C6809" s="1" t="s">
        <v>24</v>
      </c>
      <c r="D6809" s="1" t="str">
        <f t="shared" si="12377"/>
        <v>2021</v>
      </c>
      <c r="E6809" s="1" t="str">
        <f t="shared" ref="E6809:P6809" si="12404">"0"</f>
        <v>0</v>
      </c>
      <c r="F6809" s="1" t="str">
        <f t="shared" si="12404"/>
        <v>0</v>
      </c>
      <c r="G6809" s="1" t="str">
        <f t="shared" si="12404"/>
        <v>0</v>
      </c>
      <c r="H6809" s="1" t="str">
        <f t="shared" si="12404"/>
        <v>0</v>
      </c>
      <c r="I6809" s="1" t="str">
        <f t="shared" si="12404"/>
        <v>0</v>
      </c>
      <c r="J6809" s="1" t="str">
        <f t="shared" si="12404"/>
        <v>0</v>
      </c>
      <c r="K6809" s="1" t="str">
        <f t="shared" si="12404"/>
        <v>0</v>
      </c>
      <c r="L6809" s="1" t="str">
        <f t="shared" si="12404"/>
        <v>0</v>
      </c>
      <c r="M6809" s="1" t="str">
        <f t="shared" si="12404"/>
        <v>0</v>
      </c>
      <c r="N6809" s="1" t="str">
        <f t="shared" si="12404"/>
        <v>0</v>
      </c>
      <c r="O6809" s="1" t="str">
        <f t="shared" si="12404"/>
        <v>0</v>
      </c>
      <c r="P6809" s="1" t="str">
        <f t="shared" si="12404"/>
        <v>0</v>
      </c>
      <c r="Q6809" s="1" t="str">
        <f t="shared" si="12379"/>
        <v>0.0070</v>
      </c>
      <c r="R6809" s="1" t="s">
        <v>25</v>
      </c>
      <c r="T6809" s="1" t="str">
        <f t="shared" si="12380"/>
        <v>0</v>
      </c>
      <c r="U6809" s="1" t="str">
        <f t="shared" si="12397"/>
        <v>0.0070</v>
      </c>
    </row>
    <row r="6810" s="1" customFormat="1" spans="1:21">
      <c r="A6810" s="1" t="str">
        <f>"4601992296813"</f>
        <v>4601992296813</v>
      </c>
      <c r="B6810" s="1" t="s">
        <v>6833</v>
      </c>
      <c r="C6810" s="1" t="s">
        <v>24</v>
      </c>
      <c r="D6810" s="1" t="str">
        <f t="shared" si="12377"/>
        <v>2021</v>
      </c>
      <c r="E6810" s="1" t="str">
        <f t="shared" ref="E6810:P6810" si="12405">"0"</f>
        <v>0</v>
      </c>
      <c r="F6810" s="1" t="str">
        <f t="shared" si="12405"/>
        <v>0</v>
      </c>
      <c r="G6810" s="1" t="str">
        <f t="shared" si="12405"/>
        <v>0</v>
      </c>
      <c r="H6810" s="1" t="str">
        <f t="shared" si="12405"/>
        <v>0</v>
      </c>
      <c r="I6810" s="1" t="str">
        <f t="shared" si="12405"/>
        <v>0</v>
      </c>
      <c r="J6810" s="1" t="str">
        <f t="shared" si="12405"/>
        <v>0</v>
      </c>
      <c r="K6810" s="1" t="str">
        <f t="shared" si="12405"/>
        <v>0</v>
      </c>
      <c r="L6810" s="1" t="str">
        <f t="shared" si="12405"/>
        <v>0</v>
      </c>
      <c r="M6810" s="1" t="str">
        <f t="shared" si="12405"/>
        <v>0</v>
      </c>
      <c r="N6810" s="1" t="str">
        <f t="shared" si="12405"/>
        <v>0</v>
      </c>
      <c r="O6810" s="1" t="str">
        <f t="shared" si="12405"/>
        <v>0</v>
      </c>
      <c r="P6810" s="1" t="str">
        <f t="shared" si="12405"/>
        <v>0</v>
      </c>
      <c r="Q6810" s="1" t="str">
        <f t="shared" si="12379"/>
        <v>0.0070</v>
      </c>
      <c r="R6810" s="1" t="s">
        <v>25</v>
      </c>
      <c r="T6810" s="1" t="str">
        <f t="shared" si="12380"/>
        <v>0</v>
      </c>
      <c r="U6810" s="1" t="str">
        <f t="shared" si="12397"/>
        <v>0.0070</v>
      </c>
    </row>
    <row r="6811" s="1" customFormat="1" spans="1:21">
      <c r="A6811" s="1" t="str">
        <f>"4601992296839"</f>
        <v>4601992296839</v>
      </c>
      <c r="B6811" s="1" t="s">
        <v>6834</v>
      </c>
      <c r="C6811" s="1" t="s">
        <v>24</v>
      </c>
      <c r="D6811" s="1" t="str">
        <f t="shared" si="12377"/>
        <v>2021</v>
      </c>
      <c r="E6811" s="1" t="str">
        <f t="shared" ref="E6811:P6811" si="12406">"0"</f>
        <v>0</v>
      </c>
      <c r="F6811" s="1" t="str">
        <f t="shared" si="12406"/>
        <v>0</v>
      </c>
      <c r="G6811" s="1" t="str">
        <f t="shared" si="12406"/>
        <v>0</v>
      </c>
      <c r="H6811" s="1" t="str">
        <f t="shared" si="12406"/>
        <v>0</v>
      </c>
      <c r="I6811" s="1" t="str">
        <f t="shared" si="12406"/>
        <v>0</v>
      </c>
      <c r="J6811" s="1" t="str">
        <f t="shared" si="12406"/>
        <v>0</v>
      </c>
      <c r="K6811" s="1" t="str">
        <f t="shared" si="12406"/>
        <v>0</v>
      </c>
      <c r="L6811" s="1" t="str">
        <f t="shared" si="12406"/>
        <v>0</v>
      </c>
      <c r="M6811" s="1" t="str">
        <f t="shared" si="12406"/>
        <v>0</v>
      </c>
      <c r="N6811" s="1" t="str">
        <f t="shared" si="12406"/>
        <v>0</v>
      </c>
      <c r="O6811" s="1" t="str">
        <f t="shared" si="12406"/>
        <v>0</v>
      </c>
      <c r="P6811" s="1" t="str">
        <f t="shared" si="12406"/>
        <v>0</v>
      </c>
      <c r="Q6811" s="1" t="str">
        <f t="shared" si="12379"/>
        <v>0.0070</v>
      </c>
      <c r="R6811" s="1" t="s">
        <v>25</v>
      </c>
      <c r="T6811" s="1" t="str">
        <f t="shared" si="12380"/>
        <v>0</v>
      </c>
      <c r="U6811" s="1" t="str">
        <f t="shared" si="12397"/>
        <v>0.0070</v>
      </c>
    </row>
    <row r="6812" s="1" customFormat="1" spans="1:21">
      <c r="A6812" s="1" t="str">
        <f>"4601992296841"</f>
        <v>4601992296841</v>
      </c>
      <c r="B6812" s="1" t="s">
        <v>6835</v>
      </c>
      <c r="C6812" s="1" t="s">
        <v>24</v>
      </c>
      <c r="D6812" s="1" t="str">
        <f t="shared" si="12377"/>
        <v>2021</v>
      </c>
      <c r="E6812" s="1" t="str">
        <f t="shared" ref="E6812:P6812" si="12407">"0"</f>
        <v>0</v>
      </c>
      <c r="F6812" s="1" t="str">
        <f t="shared" si="12407"/>
        <v>0</v>
      </c>
      <c r="G6812" s="1" t="str">
        <f t="shared" si="12407"/>
        <v>0</v>
      </c>
      <c r="H6812" s="1" t="str">
        <f t="shared" si="12407"/>
        <v>0</v>
      </c>
      <c r="I6812" s="1" t="str">
        <f t="shared" si="12407"/>
        <v>0</v>
      </c>
      <c r="J6812" s="1" t="str">
        <f t="shared" si="12407"/>
        <v>0</v>
      </c>
      <c r="K6812" s="1" t="str">
        <f t="shared" si="12407"/>
        <v>0</v>
      </c>
      <c r="L6812" s="1" t="str">
        <f t="shared" si="12407"/>
        <v>0</v>
      </c>
      <c r="M6812" s="1" t="str">
        <f t="shared" si="12407"/>
        <v>0</v>
      </c>
      <c r="N6812" s="1" t="str">
        <f t="shared" si="12407"/>
        <v>0</v>
      </c>
      <c r="O6812" s="1" t="str">
        <f t="shared" si="12407"/>
        <v>0</v>
      </c>
      <c r="P6812" s="1" t="str">
        <f t="shared" si="12407"/>
        <v>0</v>
      </c>
      <c r="Q6812" s="1" t="str">
        <f t="shared" si="12379"/>
        <v>0.0070</v>
      </c>
      <c r="R6812" s="1" t="s">
        <v>25</v>
      </c>
      <c r="T6812" s="1" t="str">
        <f t="shared" si="12380"/>
        <v>0</v>
      </c>
      <c r="U6812" s="1" t="str">
        <f t="shared" si="12397"/>
        <v>0.0070</v>
      </c>
    </row>
    <row r="6813" s="1" customFormat="1" spans="1:21">
      <c r="A6813" s="1" t="str">
        <f>"4601992296886"</f>
        <v>4601992296886</v>
      </c>
      <c r="B6813" s="1" t="s">
        <v>6836</v>
      </c>
      <c r="C6813" s="1" t="s">
        <v>24</v>
      </c>
      <c r="D6813" s="1" t="str">
        <f t="shared" si="12377"/>
        <v>2021</v>
      </c>
      <c r="E6813" s="1" t="str">
        <f t="shared" ref="E6813:P6813" si="12408">"0"</f>
        <v>0</v>
      </c>
      <c r="F6813" s="1" t="str">
        <f t="shared" si="12408"/>
        <v>0</v>
      </c>
      <c r="G6813" s="1" t="str">
        <f t="shared" si="12408"/>
        <v>0</v>
      </c>
      <c r="H6813" s="1" t="str">
        <f t="shared" si="12408"/>
        <v>0</v>
      </c>
      <c r="I6813" s="1" t="str">
        <f t="shared" si="12408"/>
        <v>0</v>
      </c>
      <c r="J6813" s="1" t="str">
        <f t="shared" si="12408"/>
        <v>0</v>
      </c>
      <c r="K6813" s="1" t="str">
        <f t="shared" si="12408"/>
        <v>0</v>
      </c>
      <c r="L6813" s="1" t="str">
        <f t="shared" si="12408"/>
        <v>0</v>
      </c>
      <c r="M6813" s="1" t="str">
        <f t="shared" si="12408"/>
        <v>0</v>
      </c>
      <c r="N6813" s="1" t="str">
        <f t="shared" si="12408"/>
        <v>0</v>
      </c>
      <c r="O6813" s="1" t="str">
        <f t="shared" si="12408"/>
        <v>0</v>
      </c>
      <c r="P6813" s="1" t="str">
        <f t="shared" si="12408"/>
        <v>0</v>
      </c>
      <c r="Q6813" s="1" t="str">
        <f t="shared" si="12379"/>
        <v>0.0070</v>
      </c>
      <c r="R6813" s="1" t="s">
        <v>25</v>
      </c>
      <c r="T6813" s="1" t="str">
        <f t="shared" si="12380"/>
        <v>0</v>
      </c>
      <c r="U6813" s="1" t="str">
        <f t="shared" si="12397"/>
        <v>0.0070</v>
      </c>
    </row>
    <row r="6814" s="1" customFormat="1" spans="1:21">
      <c r="A6814" s="1" t="str">
        <f>"4601992297010"</f>
        <v>4601992297010</v>
      </c>
      <c r="B6814" s="1" t="s">
        <v>6837</v>
      </c>
      <c r="C6814" s="1" t="s">
        <v>24</v>
      </c>
      <c r="D6814" s="1" t="str">
        <f t="shared" si="12377"/>
        <v>2021</v>
      </c>
      <c r="E6814" s="1" t="str">
        <f t="shared" ref="E6814:P6814" si="12409">"0"</f>
        <v>0</v>
      </c>
      <c r="F6814" s="1" t="str">
        <f t="shared" si="12409"/>
        <v>0</v>
      </c>
      <c r="G6814" s="1" t="str">
        <f t="shared" si="12409"/>
        <v>0</v>
      </c>
      <c r="H6814" s="1" t="str">
        <f t="shared" si="12409"/>
        <v>0</v>
      </c>
      <c r="I6814" s="1" t="str">
        <f t="shared" si="12409"/>
        <v>0</v>
      </c>
      <c r="J6814" s="1" t="str">
        <f t="shared" si="12409"/>
        <v>0</v>
      </c>
      <c r="K6814" s="1" t="str">
        <f t="shared" si="12409"/>
        <v>0</v>
      </c>
      <c r="L6814" s="1" t="str">
        <f t="shared" si="12409"/>
        <v>0</v>
      </c>
      <c r="M6814" s="1" t="str">
        <f t="shared" si="12409"/>
        <v>0</v>
      </c>
      <c r="N6814" s="1" t="str">
        <f t="shared" si="12409"/>
        <v>0</v>
      </c>
      <c r="O6814" s="1" t="str">
        <f t="shared" si="12409"/>
        <v>0</v>
      </c>
      <c r="P6814" s="1" t="str">
        <f t="shared" si="12409"/>
        <v>0</v>
      </c>
      <c r="Q6814" s="1" t="str">
        <f t="shared" si="12379"/>
        <v>0.0070</v>
      </c>
      <c r="R6814" s="1" t="s">
        <v>25</v>
      </c>
      <c r="T6814" s="1" t="str">
        <f t="shared" si="12380"/>
        <v>0</v>
      </c>
      <c r="U6814" s="1" t="str">
        <f t="shared" si="12397"/>
        <v>0.0070</v>
      </c>
    </row>
    <row r="6815" s="1" customFormat="1" spans="1:21">
      <c r="A6815" s="1" t="str">
        <f>"4601992297011"</f>
        <v>4601992297011</v>
      </c>
      <c r="B6815" s="1" t="s">
        <v>6838</v>
      </c>
      <c r="C6815" s="1" t="s">
        <v>24</v>
      </c>
      <c r="D6815" s="1" t="str">
        <f t="shared" si="12377"/>
        <v>2021</v>
      </c>
      <c r="E6815" s="1" t="str">
        <f t="shared" ref="E6815:P6815" si="12410">"0"</f>
        <v>0</v>
      </c>
      <c r="F6815" s="1" t="str">
        <f t="shared" si="12410"/>
        <v>0</v>
      </c>
      <c r="G6815" s="1" t="str">
        <f t="shared" si="12410"/>
        <v>0</v>
      </c>
      <c r="H6815" s="1" t="str">
        <f t="shared" si="12410"/>
        <v>0</v>
      </c>
      <c r="I6815" s="1" t="str">
        <f t="shared" si="12410"/>
        <v>0</v>
      </c>
      <c r="J6815" s="1" t="str">
        <f t="shared" si="12410"/>
        <v>0</v>
      </c>
      <c r="K6815" s="1" t="str">
        <f t="shared" si="12410"/>
        <v>0</v>
      </c>
      <c r="L6815" s="1" t="str">
        <f t="shared" si="12410"/>
        <v>0</v>
      </c>
      <c r="M6815" s="1" t="str">
        <f t="shared" si="12410"/>
        <v>0</v>
      </c>
      <c r="N6815" s="1" t="str">
        <f t="shared" si="12410"/>
        <v>0</v>
      </c>
      <c r="O6815" s="1" t="str">
        <f t="shared" si="12410"/>
        <v>0</v>
      </c>
      <c r="P6815" s="1" t="str">
        <f t="shared" si="12410"/>
        <v>0</v>
      </c>
      <c r="Q6815" s="1" t="str">
        <f t="shared" si="12379"/>
        <v>0.0070</v>
      </c>
      <c r="R6815" s="1" t="s">
        <v>25</v>
      </c>
      <c r="T6815" s="1" t="str">
        <f t="shared" si="12380"/>
        <v>0</v>
      </c>
      <c r="U6815" s="1" t="str">
        <f t="shared" si="12397"/>
        <v>0.0070</v>
      </c>
    </row>
    <row r="6816" s="1" customFormat="1" spans="1:21">
      <c r="A6816" s="1" t="str">
        <f>"4601992297020"</f>
        <v>4601992297020</v>
      </c>
      <c r="B6816" s="1" t="s">
        <v>6839</v>
      </c>
      <c r="C6816" s="1" t="s">
        <v>24</v>
      </c>
      <c r="D6816" s="1" t="str">
        <f t="shared" si="12377"/>
        <v>2021</v>
      </c>
      <c r="E6816" s="1" t="str">
        <f t="shared" ref="E6816:P6816" si="12411">"0"</f>
        <v>0</v>
      </c>
      <c r="F6816" s="1" t="str">
        <f t="shared" si="12411"/>
        <v>0</v>
      </c>
      <c r="G6816" s="1" t="str">
        <f t="shared" si="12411"/>
        <v>0</v>
      </c>
      <c r="H6816" s="1" t="str">
        <f t="shared" si="12411"/>
        <v>0</v>
      </c>
      <c r="I6816" s="1" t="str">
        <f t="shared" si="12411"/>
        <v>0</v>
      </c>
      <c r="J6816" s="1" t="str">
        <f t="shared" si="12411"/>
        <v>0</v>
      </c>
      <c r="K6816" s="1" t="str">
        <f t="shared" si="12411"/>
        <v>0</v>
      </c>
      <c r="L6816" s="1" t="str">
        <f t="shared" si="12411"/>
        <v>0</v>
      </c>
      <c r="M6816" s="1" t="str">
        <f t="shared" si="12411"/>
        <v>0</v>
      </c>
      <c r="N6816" s="1" t="str">
        <f t="shared" si="12411"/>
        <v>0</v>
      </c>
      <c r="O6816" s="1" t="str">
        <f t="shared" si="12411"/>
        <v>0</v>
      </c>
      <c r="P6816" s="1" t="str">
        <f t="shared" si="12411"/>
        <v>0</v>
      </c>
      <c r="Q6816" s="1" t="str">
        <f t="shared" si="12379"/>
        <v>0.0070</v>
      </c>
      <c r="R6816" s="1" t="s">
        <v>25</v>
      </c>
      <c r="T6816" s="1" t="str">
        <f t="shared" si="12380"/>
        <v>0</v>
      </c>
      <c r="U6816" s="1" t="str">
        <f t="shared" si="12397"/>
        <v>0.0070</v>
      </c>
    </row>
    <row r="6817" s="1" customFormat="1" spans="1:21">
      <c r="A6817" s="1" t="str">
        <f>"4601992297026"</f>
        <v>4601992297026</v>
      </c>
      <c r="B6817" s="1" t="s">
        <v>6840</v>
      </c>
      <c r="C6817" s="1" t="s">
        <v>24</v>
      </c>
      <c r="D6817" s="1" t="str">
        <f t="shared" si="12377"/>
        <v>2021</v>
      </c>
      <c r="E6817" s="1" t="str">
        <f t="shared" ref="E6817:P6817" si="12412">"0"</f>
        <v>0</v>
      </c>
      <c r="F6817" s="1" t="str">
        <f t="shared" si="12412"/>
        <v>0</v>
      </c>
      <c r="G6817" s="1" t="str">
        <f t="shared" si="12412"/>
        <v>0</v>
      </c>
      <c r="H6817" s="1" t="str">
        <f t="shared" si="12412"/>
        <v>0</v>
      </c>
      <c r="I6817" s="1" t="str">
        <f t="shared" si="12412"/>
        <v>0</v>
      </c>
      <c r="J6817" s="1" t="str">
        <f t="shared" si="12412"/>
        <v>0</v>
      </c>
      <c r="K6817" s="1" t="str">
        <f t="shared" si="12412"/>
        <v>0</v>
      </c>
      <c r="L6817" s="1" t="str">
        <f t="shared" si="12412"/>
        <v>0</v>
      </c>
      <c r="M6817" s="1" t="str">
        <f t="shared" si="12412"/>
        <v>0</v>
      </c>
      <c r="N6817" s="1" t="str">
        <f t="shared" si="12412"/>
        <v>0</v>
      </c>
      <c r="O6817" s="1" t="str">
        <f t="shared" si="12412"/>
        <v>0</v>
      </c>
      <c r="P6817" s="1" t="str">
        <f t="shared" si="12412"/>
        <v>0</v>
      </c>
      <c r="Q6817" s="1" t="str">
        <f t="shared" si="12379"/>
        <v>0.0070</v>
      </c>
      <c r="R6817" s="1" t="s">
        <v>25</v>
      </c>
      <c r="T6817" s="1" t="str">
        <f t="shared" si="12380"/>
        <v>0</v>
      </c>
      <c r="U6817" s="1" t="str">
        <f t="shared" si="12397"/>
        <v>0.0070</v>
      </c>
    </row>
    <row r="6818" s="1" customFormat="1" spans="1:21">
      <c r="A6818" s="1" t="str">
        <f>"4601992297041"</f>
        <v>4601992297041</v>
      </c>
      <c r="B6818" s="1" t="s">
        <v>6841</v>
      </c>
      <c r="C6818" s="1" t="s">
        <v>24</v>
      </c>
      <c r="D6818" s="1" t="str">
        <f t="shared" si="12377"/>
        <v>2021</v>
      </c>
      <c r="E6818" s="1" t="str">
        <f t="shared" ref="E6818:P6818" si="12413">"0"</f>
        <v>0</v>
      </c>
      <c r="F6818" s="1" t="str">
        <f t="shared" si="12413"/>
        <v>0</v>
      </c>
      <c r="G6818" s="1" t="str">
        <f t="shared" si="12413"/>
        <v>0</v>
      </c>
      <c r="H6818" s="1" t="str">
        <f t="shared" si="12413"/>
        <v>0</v>
      </c>
      <c r="I6818" s="1" t="str">
        <f t="shared" si="12413"/>
        <v>0</v>
      </c>
      <c r="J6818" s="1" t="str">
        <f t="shared" si="12413"/>
        <v>0</v>
      </c>
      <c r="K6818" s="1" t="str">
        <f t="shared" si="12413"/>
        <v>0</v>
      </c>
      <c r="L6818" s="1" t="str">
        <f t="shared" si="12413"/>
        <v>0</v>
      </c>
      <c r="M6818" s="1" t="str">
        <f t="shared" si="12413"/>
        <v>0</v>
      </c>
      <c r="N6818" s="1" t="str">
        <f t="shared" si="12413"/>
        <v>0</v>
      </c>
      <c r="O6818" s="1" t="str">
        <f t="shared" si="12413"/>
        <v>0</v>
      </c>
      <c r="P6818" s="1" t="str">
        <f t="shared" si="12413"/>
        <v>0</v>
      </c>
      <c r="Q6818" s="1" t="str">
        <f t="shared" si="12379"/>
        <v>0.0070</v>
      </c>
      <c r="R6818" s="1" t="s">
        <v>25</v>
      </c>
      <c r="T6818" s="1" t="str">
        <f t="shared" si="12380"/>
        <v>0</v>
      </c>
      <c r="U6818" s="1" t="str">
        <f t="shared" si="12397"/>
        <v>0.0070</v>
      </c>
    </row>
    <row r="6819" s="1" customFormat="1" spans="1:21">
      <c r="A6819" s="1" t="str">
        <f>"4601992297111"</f>
        <v>4601992297111</v>
      </c>
      <c r="B6819" s="1" t="s">
        <v>6842</v>
      </c>
      <c r="C6819" s="1" t="s">
        <v>24</v>
      </c>
      <c r="D6819" s="1" t="str">
        <f t="shared" si="12377"/>
        <v>2021</v>
      </c>
      <c r="E6819" s="1" t="str">
        <f t="shared" ref="E6819:P6819" si="12414">"0"</f>
        <v>0</v>
      </c>
      <c r="F6819" s="1" t="str">
        <f t="shared" si="12414"/>
        <v>0</v>
      </c>
      <c r="G6819" s="1" t="str">
        <f t="shared" si="12414"/>
        <v>0</v>
      </c>
      <c r="H6819" s="1" t="str">
        <f t="shared" si="12414"/>
        <v>0</v>
      </c>
      <c r="I6819" s="1" t="str">
        <f t="shared" si="12414"/>
        <v>0</v>
      </c>
      <c r="J6819" s="1" t="str">
        <f t="shared" si="12414"/>
        <v>0</v>
      </c>
      <c r="K6819" s="1" t="str">
        <f t="shared" si="12414"/>
        <v>0</v>
      </c>
      <c r="L6819" s="1" t="str">
        <f t="shared" si="12414"/>
        <v>0</v>
      </c>
      <c r="M6819" s="1" t="str">
        <f t="shared" si="12414"/>
        <v>0</v>
      </c>
      <c r="N6819" s="1" t="str">
        <f t="shared" si="12414"/>
        <v>0</v>
      </c>
      <c r="O6819" s="1" t="str">
        <f t="shared" si="12414"/>
        <v>0</v>
      </c>
      <c r="P6819" s="1" t="str">
        <f t="shared" si="12414"/>
        <v>0</v>
      </c>
      <c r="Q6819" s="1" t="str">
        <f t="shared" si="12379"/>
        <v>0.0070</v>
      </c>
      <c r="R6819" s="1" t="s">
        <v>25</v>
      </c>
      <c r="T6819" s="1" t="str">
        <f t="shared" si="12380"/>
        <v>0</v>
      </c>
      <c r="U6819" s="1" t="str">
        <f t="shared" si="12397"/>
        <v>0.0070</v>
      </c>
    </row>
    <row r="6820" s="1" customFormat="1" spans="1:21">
      <c r="A6820" s="1" t="str">
        <f>"4601992297148"</f>
        <v>4601992297148</v>
      </c>
      <c r="B6820" s="1" t="s">
        <v>6843</v>
      </c>
      <c r="C6820" s="1" t="s">
        <v>24</v>
      </c>
      <c r="D6820" s="1" t="str">
        <f t="shared" si="12377"/>
        <v>2021</v>
      </c>
      <c r="E6820" s="1" t="str">
        <f t="shared" ref="E6820:P6820" si="12415">"0"</f>
        <v>0</v>
      </c>
      <c r="F6820" s="1" t="str">
        <f t="shared" si="12415"/>
        <v>0</v>
      </c>
      <c r="G6820" s="1" t="str">
        <f t="shared" si="12415"/>
        <v>0</v>
      </c>
      <c r="H6820" s="1" t="str">
        <f t="shared" si="12415"/>
        <v>0</v>
      </c>
      <c r="I6820" s="1" t="str">
        <f t="shared" si="12415"/>
        <v>0</v>
      </c>
      <c r="J6820" s="1" t="str">
        <f t="shared" si="12415"/>
        <v>0</v>
      </c>
      <c r="K6820" s="1" t="str">
        <f t="shared" si="12415"/>
        <v>0</v>
      </c>
      <c r="L6820" s="1" t="str">
        <f t="shared" si="12415"/>
        <v>0</v>
      </c>
      <c r="M6820" s="1" t="str">
        <f t="shared" si="12415"/>
        <v>0</v>
      </c>
      <c r="N6820" s="1" t="str">
        <f t="shared" si="12415"/>
        <v>0</v>
      </c>
      <c r="O6820" s="1" t="str">
        <f t="shared" si="12415"/>
        <v>0</v>
      </c>
      <c r="P6820" s="1" t="str">
        <f t="shared" si="12415"/>
        <v>0</v>
      </c>
      <c r="Q6820" s="1" t="str">
        <f t="shared" si="12379"/>
        <v>0.0070</v>
      </c>
      <c r="R6820" s="1" t="s">
        <v>25</v>
      </c>
      <c r="T6820" s="1" t="str">
        <f t="shared" si="12380"/>
        <v>0</v>
      </c>
      <c r="U6820" s="1" t="str">
        <f t="shared" si="12397"/>
        <v>0.0070</v>
      </c>
    </row>
    <row r="6821" s="1" customFormat="1" spans="1:21">
      <c r="A6821" s="1" t="str">
        <f>"4601992297161"</f>
        <v>4601992297161</v>
      </c>
      <c r="B6821" s="1" t="s">
        <v>6844</v>
      </c>
      <c r="C6821" s="1" t="s">
        <v>24</v>
      </c>
      <c r="D6821" s="1" t="str">
        <f t="shared" si="12377"/>
        <v>2021</v>
      </c>
      <c r="E6821" s="1" t="str">
        <f t="shared" ref="E6821:P6821" si="12416">"0"</f>
        <v>0</v>
      </c>
      <c r="F6821" s="1" t="str">
        <f t="shared" si="12416"/>
        <v>0</v>
      </c>
      <c r="G6821" s="1" t="str">
        <f t="shared" si="12416"/>
        <v>0</v>
      </c>
      <c r="H6821" s="1" t="str">
        <f t="shared" si="12416"/>
        <v>0</v>
      </c>
      <c r="I6821" s="1" t="str">
        <f t="shared" si="12416"/>
        <v>0</v>
      </c>
      <c r="J6821" s="1" t="str">
        <f t="shared" si="12416"/>
        <v>0</v>
      </c>
      <c r="K6821" s="1" t="str">
        <f t="shared" si="12416"/>
        <v>0</v>
      </c>
      <c r="L6821" s="1" t="str">
        <f t="shared" si="12416"/>
        <v>0</v>
      </c>
      <c r="M6821" s="1" t="str">
        <f t="shared" si="12416"/>
        <v>0</v>
      </c>
      <c r="N6821" s="1" t="str">
        <f t="shared" si="12416"/>
        <v>0</v>
      </c>
      <c r="O6821" s="1" t="str">
        <f t="shared" si="12416"/>
        <v>0</v>
      </c>
      <c r="P6821" s="1" t="str">
        <f t="shared" si="12416"/>
        <v>0</v>
      </c>
      <c r="Q6821" s="1" t="str">
        <f t="shared" si="12379"/>
        <v>0.0070</v>
      </c>
      <c r="R6821" s="1" t="s">
        <v>25</v>
      </c>
      <c r="T6821" s="1" t="str">
        <f t="shared" si="12380"/>
        <v>0</v>
      </c>
      <c r="U6821" s="1" t="str">
        <f t="shared" si="12397"/>
        <v>0.0070</v>
      </c>
    </row>
    <row r="6822" s="1" customFormat="1" spans="1:21">
      <c r="A6822" s="1" t="str">
        <f>"4601992297231"</f>
        <v>4601992297231</v>
      </c>
      <c r="B6822" s="1" t="s">
        <v>6845</v>
      </c>
      <c r="C6822" s="1" t="s">
        <v>24</v>
      </c>
      <c r="D6822" s="1" t="str">
        <f t="shared" si="12377"/>
        <v>2021</v>
      </c>
      <c r="E6822" s="1" t="str">
        <f t="shared" ref="E6822:P6822" si="12417">"0"</f>
        <v>0</v>
      </c>
      <c r="F6822" s="1" t="str">
        <f t="shared" si="12417"/>
        <v>0</v>
      </c>
      <c r="G6822" s="1" t="str">
        <f t="shared" si="12417"/>
        <v>0</v>
      </c>
      <c r="H6822" s="1" t="str">
        <f t="shared" si="12417"/>
        <v>0</v>
      </c>
      <c r="I6822" s="1" t="str">
        <f t="shared" si="12417"/>
        <v>0</v>
      </c>
      <c r="J6822" s="1" t="str">
        <f t="shared" si="12417"/>
        <v>0</v>
      </c>
      <c r="K6822" s="1" t="str">
        <f t="shared" si="12417"/>
        <v>0</v>
      </c>
      <c r="L6822" s="1" t="str">
        <f t="shared" si="12417"/>
        <v>0</v>
      </c>
      <c r="M6822" s="1" t="str">
        <f t="shared" si="12417"/>
        <v>0</v>
      </c>
      <c r="N6822" s="1" t="str">
        <f t="shared" si="12417"/>
        <v>0</v>
      </c>
      <c r="O6822" s="1" t="str">
        <f t="shared" si="12417"/>
        <v>0</v>
      </c>
      <c r="P6822" s="1" t="str">
        <f t="shared" si="12417"/>
        <v>0</v>
      </c>
      <c r="Q6822" s="1" t="str">
        <f t="shared" si="12379"/>
        <v>0.0070</v>
      </c>
      <c r="R6822" s="1" t="s">
        <v>25</v>
      </c>
      <c r="T6822" s="1" t="str">
        <f t="shared" si="12380"/>
        <v>0</v>
      </c>
      <c r="U6822" s="1" t="str">
        <f t="shared" si="12397"/>
        <v>0.0070</v>
      </c>
    </row>
    <row r="6823" s="1" customFormat="1" spans="1:21">
      <c r="A6823" s="1" t="str">
        <f>"4601992297408"</f>
        <v>4601992297408</v>
      </c>
      <c r="B6823" s="1" t="s">
        <v>6846</v>
      </c>
      <c r="C6823" s="1" t="s">
        <v>24</v>
      </c>
      <c r="D6823" s="1" t="str">
        <f t="shared" si="12377"/>
        <v>2021</v>
      </c>
      <c r="E6823" s="1" t="str">
        <f t="shared" ref="E6823:P6823" si="12418">"0"</f>
        <v>0</v>
      </c>
      <c r="F6823" s="1" t="str">
        <f t="shared" si="12418"/>
        <v>0</v>
      </c>
      <c r="G6823" s="1" t="str">
        <f t="shared" si="12418"/>
        <v>0</v>
      </c>
      <c r="H6823" s="1" t="str">
        <f t="shared" si="12418"/>
        <v>0</v>
      </c>
      <c r="I6823" s="1" t="str">
        <f t="shared" si="12418"/>
        <v>0</v>
      </c>
      <c r="J6823" s="1" t="str">
        <f t="shared" si="12418"/>
        <v>0</v>
      </c>
      <c r="K6823" s="1" t="str">
        <f t="shared" si="12418"/>
        <v>0</v>
      </c>
      <c r="L6823" s="1" t="str">
        <f t="shared" si="12418"/>
        <v>0</v>
      </c>
      <c r="M6823" s="1" t="str">
        <f t="shared" si="12418"/>
        <v>0</v>
      </c>
      <c r="N6823" s="1" t="str">
        <f t="shared" si="12418"/>
        <v>0</v>
      </c>
      <c r="O6823" s="1" t="str">
        <f t="shared" si="12418"/>
        <v>0</v>
      </c>
      <c r="P6823" s="1" t="str">
        <f t="shared" si="12418"/>
        <v>0</v>
      </c>
      <c r="Q6823" s="1" t="str">
        <f t="shared" si="12379"/>
        <v>0.0070</v>
      </c>
      <c r="R6823" s="1" t="s">
        <v>25</v>
      </c>
      <c r="T6823" s="1" t="str">
        <f t="shared" si="12380"/>
        <v>0</v>
      </c>
      <c r="U6823" s="1" t="str">
        <f t="shared" si="12397"/>
        <v>0.0070</v>
      </c>
    </row>
    <row r="6824" s="1" customFormat="1" spans="1:21">
      <c r="A6824" s="1" t="str">
        <f>"4601992297434"</f>
        <v>4601992297434</v>
      </c>
      <c r="B6824" s="1" t="s">
        <v>6847</v>
      </c>
      <c r="C6824" s="1" t="s">
        <v>24</v>
      </c>
      <c r="D6824" s="1" t="str">
        <f t="shared" si="12377"/>
        <v>2021</v>
      </c>
      <c r="E6824" s="1" t="str">
        <f t="shared" ref="E6824:P6824" si="12419">"0"</f>
        <v>0</v>
      </c>
      <c r="F6824" s="1" t="str">
        <f t="shared" si="12419"/>
        <v>0</v>
      </c>
      <c r="G6824" s="1" t="str">
        <f t="shared" si="12419"/>
        <v>0</v>
      </c>
      <c r="H6824" s="1" t="str">
        <f t="shared" si="12419"/>
        <v>0</v>
      </c>
      <c r="I6824" s="1" t="str">
        <f t="shared" si="12419"/>
        <v>0</v>
      </c>
      <c r="J6824" s="1" t="str">
        <f t="shared" si="12419"/>
        <v>0</v>
      </c>
      <c r="K6824" s="1" t="str">
        <f t="shared" si="12419"/>
        <v>0</v>
      </c>
      <c r="L6824" s="1" t="str">
        <f t="shared" si="12419"/>
        <v>0</v>
      </c>
      <c r="M6824" s="1" t="str">
        <f t="shared" si="12419"/>
        <v>0</v>
      </c>
      <c r="N6824" s="1" t="str">
        <f t="shared" si="12419"/>
        <v>0</v>
      </c>
      <c r="O6824" s="1" t="str">
        <f t="shared" si="12419"/>
        <v>0</v>
      </c>
      <c r="P6824" s="1" t="str">
        <f t="shared" si="12419"/>
        <v>0</v>
      </c>
      <c r="Q6824" s="1" t="str">
        <f t="shared" si="12379"/>
        <v>0.0070</v>
      </c>
      <c r="R6824" s="1" t="s">
        <v>25</v>
      </c>
      <c r="T6824" s="1" t="str">
        <f t="shared" si="12380"/>
        <v>0</v>
      </c>
      <c r="U6824" s="1" t="str">
        <f t="shared" si="12397"/>
        <v>0.0070</v>
      </c>
    </row>
    <row r="6825" s="1" customFormat="1" spans="1:21">
      <c r="A6825" s="1" t="str">
        <f>"4601992297473"</f>
        <v>4601992297473</v>
      </c>
      <c r="B6825" s="1" t="s">
        <v>6848</v>
      </c>
      <c r="C6825" s="1" t="s">
        <v>24</v>
      </c>
      <c r="D6825" s="1" t="str">
        <f t="shared" si="12377"/>
        <v>2021</v>
      </c>
      <c r="E6825" s="1" t="str">
        <f t="shared" ref="E6825:P6825" si="12420">"0"</f>
        <v>0</v>
      </c>
      <c r="F6825" s="1" t="str">
        <f t="shared" si="12420"/>
        <v>0</v>
      </c>
      <c r="G6825" s="1" t="str">
        <f t="shared" si="12420"/>
        <v>0</v>
      </c>
      <c r="H6825" s="1" t="str">
        <f t="shared" si="12420"/>
        <v>0</v>
      </c>
      <c r="I6825" s="1" t="str">
        <f t="shared" si="12420"/>
        <v>0</v>
      </c>
      <c r="J6825" s="1" t="str">
        <f t="shared" si="12420"/>
        <v>0</v>
      </c>
      <c r="K6825" s="1" t="str">
        <f t="shared" si="12420"/>
        <v>0</v>
      </c>
      <c r="L6825" s="1" t="str">
        <f t="shared" si="12420"/>
        <v>0</v>
      </c>
      <c r="M6825" s="1" t="str">
        <f t="shared" si="12420"/>
        <v>0</v>
      </c>
      <c r="N6825" s="1" t="str">
        <f t="shared" si="12420"/>
        <v>0</v>
      </c>
      <c r="O6825" s="1" t="str">
        <f t="shared" si="12420"/>
        <v>0</v>
      </c>
      <c r="P6825" s="1" t="str">
        <f t="shared" si="12420"/>
        <v>0</v>
      </c>
      <c r="Q6825" s="1" t="str">
        <f t="shared" si="12379"/>
        <v>0.0070</v>
      </c>
      <c r="R6825" s="1" t="s">
        <v>25</v>
      </c>
      <c r="T6825" s="1" t="str">
        <f t="shared" si="12380"/>
        <v>0</v>
      </c>
      <c r="U6825" s="1" t="str">
        <f t="shared" si="12397"/>
        <v>0.0070</v>
      </c>
    </row>
    <row r="6826" s="1" customFormat="1" spans="1:21">
      <c r="A6826" s="1" t="str">
        <f>"4601992297537"</f>
        <v>4601992297537</v>
      </c>
      <c r="B6826" s="1" t="s">
        <v>6849</v>
      </c>
      <c r="C6826" s="1" t="s">
        <v>24</v>
      </c>
      <c r="D6826" s="1" t="str">
        <f t="shared" si="12377"/>
        <v>2021</v>
      </c>
      <c r="E6826" s="1" t="str">
        <f t="shared" ref="E6826:P6826" si="12421">"0"</f>
        <v>0</v>
      </c>
      <c r="F6826" s="1" t="str">
        <f t="shared" si="12421"/>
        <v>0</v>
      </c>
      <c r="G6826" s="1" t="str">
        <f t="shared" si="12421"/>
        <v>0</v>
      </c>
      <c r="H6826" s="1" t="str">
        <f t="shared" si="12421"/>
        <v>0</v>
      </c>
      <c r="I6826" s="1" t="str">
        <f t="shared" si="12421"/>
        <v>0</v>
      </c>
      <c r="J6826" s="1" t="str">
        <f t="shared" si="12421"/>
        <v>0</v>
      </c>
      <c r="K6826" s="1" t="str">
        <f t="shared" si="12421"/>
        <v>0</v>
      </c>
      <c r="L6826" s="1" t="str">
        <f t="shared" si="12421"/>
        <v>0</v>
      </c>
      <c r="M6826" s="1" t="str">
        <f t="shared" si="12421"/>
        <v>0</v>
      </c>
      <c r="N6826" s="1" t="str">
        <f t="shared" si="12421"/>
        <v>0</v>
      </c>
      <c r="O6826" s="1" t="str">
        <f t="shared" si="12421"/>
        <v>0</v>
      </c>
      <c r="P6826" s="1" t="str">
        <f t="shared" si="12421"/>
        <v>0</v>
      </c>
      <c r="Q6826" s="1" t="str">
        <f t="shared" si="12379"/>
        <v>0.0070</v>
      </c>
      <c r="R6826" s="1" t="s">
        <v>25</v>
      </c>
      <c r="T6826" s="1" t="str">
        <f t="shared" si="12380"/>
        <v>0</v>
      </c>
      <c r="U6826" s="1" t="str">
        <f t="shared" si="12397"/>
        <v>0.0070</v>
      </c>
    </row>
    <row r="6827" s="1" customFormat="1" spans="1:21">
      <c r="A6827" s="1" t="str">
        <f>"4601992297610"</f>
        <v>4601992297610</v>
      </c>
      <c r="B6827" s="1" t="s">
        <v>6850</v>
      </c>
      <c r="C6827" s="1" t="s">
        <v>24</v>
      </c>
      <c r="D6827" s="1" t="str">
        <f t="shared" si="12377"/>
        <v>2021</v>
      </c>
      <c r="E6827" s="1" t="str">
        <f t="shared" ref="E6827:P6827" si="12422">"0"</f>
        <v>0</v>
      </c>
      <c r="F6827" s="1" t="str">
        <f t="shared" si="12422"/>
        <v>0</v>
      </c>
      <c r="G6827" s="1" t="str">
        <f t="shared" si="12422"/>
        <v>0</v>
      </c>
      <c r="H6827" s="1" t="str">
        <f t="shared" si="12422"/>
        <v>0</v>
      </c>
      <c r="I6827" s="1" t="str">
        <f t="shared" si="12422"/>
        <v>0</v>
      </c>
      <c r="J6827" s="1" t="str">
        <f t="shared" si="12422"/>
        <v>0</v>
      </c>
      <c r="K6827" s="1" t="str">
        <f t="shared" si="12422"/>
        <v>0</v>
      </c>
      <c r="L6827" s="1" t="str">
        <f t="shared" si="12422"/>
        <v>0</v>
      </c>
      <c r="M6827" s="1" t="str">
        <f t="shared" si="12422"/>
        <v>0</v>
      </c>
      <c r="N6827" s="1" t="str">
        <f t="shared" si="12422"/>
        <v>0</v>
      </c>
      <c r="O6827" s="1" t="str">
        <f t="shared" si="12422"/>
        <v>0</v>
      </c>
      <c r="P6827" s="1" t="str">
        <f t="shared" si="12422"/>
        <v>0</v>
      </c>
      <c r="Q6827" s="1" t="str">
        <f t="shared" si="12379"/>
        <v>0.0070</v>
      </c>
      <c r="R6827" s="1" t="s">
        <v>25</v>
      </c>
      <c r="T6827" s="1" t="str">
        <f t="shared" si="12380"/>
        <v>0</v>
      </c>
      <c r="U6827" s="1" t="str">
        <f t="shared" si="12397"/>
        <v>0.0070</v>
      </c>
    </row>
    <row r="6828" s="1" customFormat="1" spans="1:21">
      <c r="A6828" s="1" t="str">
        <f>"4601992297684"</f>
        <v>4601992297684</v>
      </c>
      <c r="B6828" s="1" t="s">
        <v>6851</v>
      </c>
      <c r="C6828" s="1" t="s">
        <v>24</v>
      </c>
      <c r="D6828" s="1" t="str">
        <f t="shared" si="12377"/>
        <v>2021</v>
      </c>
      <c r="E6828" s="1" t="str">
        <f t="shared" ref="E6828:P6828" si="12423">"0"</f>
        <v>0</v>
      </c>
      <c r="F6828" s="1" t="str">
        <f t="shared" si="12423"/>
        <v>0</v>
      </c>
      <c r="G6828" s="1" t="str">
        <f t="shared" si="12423"/>
        <v>0</v>
      </c>
      <c r="H6828" s="1" t="str">
        <f t="shared" si="12423"/>
        <v>0</v>
      </c>
      <c r="I6828" s="1" t="str">
        <f t="shared" si="12423"/>
        <v>0</v>
      </c>
      <c r="J6828" s="1" t="str">
        <f t="shared" si="12423"/>
        <v>0</v>
      </c>
      <c r="K6828" s="1" t="str">
        <f t="shared" si="12423"/>
        <v>0</v>
      </c>
      <c r="L6828" s="1" t="str">
        <f t="shared" si="12423"/>
        <v>0</v>
      </c>
      <c r="M6828" s="1" t="str">
        <f t="shared" si="12423"/>
        <v>0</v>
      </c>
      <c r="N6828" s="1" t="str">
        <f t="shared" si="12423"/>
        <v>0</v>
      </c>
      <c r="O6828" s="1" t="str">
        <f t="shared" si="12423"/>
        <v>0</v>
      </c>
      <c r="P6828" s="1" t="str">
        <f t="shared" si="12423"/>
        <v>0</v>
      </c>
      <c r="Q6828" s="1" t="str">
        <f t="shared" si="12379"/>
        <v>0.0070</v>
      </c>
      <c r="R6828" s="1" t="s">
        <v>25</v>
      </c>
      <c r="T6828" s="1" t="str">
        <f t="shared" si="12380"/>
        <v>0</v>
      </c>
      <c r="U6828" s="1" t="str">
        <f t="shared" si="12397"/>
        <v>0.0070</v>
      </c>
    </row>
    <row r="6829" s="1" customFormat="1" spans="1:21">
      <c r="A6829" s="1" t="str">
        <f>"4601992297685"</f>
        <v>4601992297685</v>
      </c>
      <c r="B6829" s="1" t="s">
        <v>6852</v>
      </c>
      <c r="C6829" s="1" t="s">
        <v>24</v>
      </c>
      <c r="D6829" s="1" t="str">
        <f t="shared" si="12377"/>
        <v>2021</v>
      </c>
      <c r="E6829" s="1" t="str">
        <f t="shared" ref="E6829:P6829" si="12424">"0"</f>
        <v>0</v>
      </c>
      <c r="F6829" s="1" t="str">
        <f t="shared" si="12424"/>
        <v>0</v>
      </c>
      <c r="G6829" s="1" t="str">
        <f t="shared" si="12424"/>
        <v>0</v>
      </c>
      <c r="H6829" s="1" t="str">
        <f t="shared" si="12424"/>
        <v>0</v>
      </c>
      <c r="I6829" s="1" t="str">
        <f t="shared" si="12424"/>
        <v>0</v>
      </c>
      <c r="J6829" s="1" t="str">
        <f t="shared" si="12424"/>
        <v>0</v>
      </c>
      <c r="K6829" s="1" t="str">
        <f t="shared" si="12424"/>
        <v>0</v>
      </c>
      <c r="L6829" s="1" t="str">
        <f t="shared" si="12424"/>
        <v>0</v>
      </c>
      <c r="M6829" s="1" t="str">
        <f t="shared" si="12424"/>
        <v>0</v>
      </c>
      <c r="N6829" s="1" t="str">
        <f t="shared" si="12424"/>
        <v>0</v>
      </c>
      <c r="O6829" s="1" t="str">
        <f t="shared" si="12424"/>
        <v>0</v>
      </c>
      <c r="P6829" s="1" t="str">
        <f t="shared" si="12424"/>
        <v>0</v>
      </c>
      <c r="Q6829" s="1" t="str">
        <f t="shared" si="12379"/>
        <v>0.0070</v>
      </c>
      <c r="R6829" s="1" t="s">
        <v>25</v>
      </c>
      <c r="T6829" s="1" t="str">
        <f t="shared" si="12380"/>
        <v>0</v>
      </c>
      <c r="U6829" s="1" t="str">
        <f t="shared" si="12397"/>
        <v>0.0070</v>
      </c>
    </row>
    <row r="6830" s="1" customFormat="1" spans="1:21">
      <c r="A6830" s="1" t="str">
        <f>"4601992297787"</f>
        <v>4601992297787</v>
      </c>
      <c r="B6830" s="1" t="s">
        <v>6853</v>
      </c>
      <c r="C6830" s="1" t="s">
        <v>24</v>
      </c>
      <c r="D6830" s="1" t="str">
        <f t="shared" si="12377"/>
        <v>2021</v>
      </c>
      <c r="E6830" s="1" t="str">
        <f t="shared" ref="E6830:P6830" si="12425">"0"</f>
        <v>0</v>
      </c>
      <c r="F6830" s="1" t="str">
        <f t="shared" si="12425"/>
        <v>0</v>
      </c>
      <c r="G6830" s="1" t="str">
        <f t="shared" si="12425"/>
        <v>0</v>
      </c>
      <c r="H6830" s="1" t="str">
        <f t="shared" si="12425"/>
        <v>0</v>
      </c>
      <c r="I6830" s="1" t="str">
        <f t="shared" si="12425"/>
        <v>0</v>
      </c>
      <c r="J6830" s="1" t="str">
        <f t="shared" si="12425"/>
        <v>0</v>
      </c>
      <c r="K6830" s="1" t="str">
        <f t="shared" si="12425"/>
        <v>0</v>
      </c>
      <c r="L6830" s="1" t="str">
        <f t="shared" si="12425"/>
        <v>0</v>
      </c>
      <c r="M6830" s="1" t="str">
        <f t="shared" si="12425"/>
        <v>0</v>
      </c>
      <c r="N6830" s="1" t="str">
        <f t="shared" si="12425"/>
        <v>0</v>
      </c>
      <c r="O6830" s="1" t="str">
        <f t="shared" si="12425"/>
        <v>0</v>
      </c>
      <c r="P6830" s="1" t="str">
        <f t="shared" si="12425"/>
        <v>0</v>
      </c>
      <c r="Q6830" s="1" t="str">
        <f t="shared" si="12379"/>
        <v>0.0070</v>
      </c>
      <c r="R6830" s="1" t="s">
        <v>25</v>
      </c>
      <c r="T6830" s="1" t="str">
        <f t="shared" si="12380"/>
        <v>0</v>
      </c>
      <c r="U6830" s="1" t="str">
        <f t="shared" si="12397"/>
        <v>0.0070</v>
      </c>
    </row>
    <row r="6831" s="1" customFormat="1" spans="1:21">
      <c r="A6831" s="1" t="str">
        <f>"4601992297811"</f>
        <v>4601992297811</v>
      </c>
      <c r="B6831" s="1" t="s">
        <v>6854</v>
      </c>
      <c r="C6831" s="1" t="s">
        <v>24</v>
      </c>
      <c r="D6831" s="1" t="str">
        <f t="shared" si="12377"/>
        <v>2021</v>
      </c>
      <c r="E6831" s="1" t="str">
        <f t="shared" ref="E6831:P6831" si="12426">"0"</f>
        <v>0</v>
      </c>
      <c r="F6831" s="1" t="str">
        <f t="shared" si="12426"/>
        <v>0</v>
      </c>
      <c r="G6831" s="1" t="str">
        <f t="shared" si="12426"/>
        <v>0</v>
      </c>
      <c r="H6831" s="1" t="str">
        <f t="shared" si="12426"/>
        <v>0</v>
      </c>
      <c r="I6831" s="1" t="str">
        <f t="shared" si="12426"/>
        <v>0</v>
      </c>
      <c r="J6831" s="1" t="str">
        <f t="shared" si="12426"/>
        <v>0</v>
      </c>
      <c r="K6831" s="1" t="str">
        <f t="shared" si="12426"/>
        <v>0</v>
      </c>
      <c r="L6831" s="1" t="str">
        <f t="shared" si="12426"/>
        <v>0</v>
      </c>
      <c r="M6831" s="1" t="str">
        <f t="shared" si="12426"/>
        <v>0</v>
      </c>
      <c r="N6831" s="1" t="str">
        <f t="shared" si="12426"/>
        <v>0</v>
      </c>
      <c r="O6831" s="1" t="str">
        <f t="shared" si="12426"/>
        <v>0</v>
      </c>
      <c r="P6831" s="1" t="str">
        <f t="shared" si="12426"/>
        <v>0</v>
      </c>
      <c r="Q6831" s="1" t="str">
        <f t="shared" si="12379"/>
        <v>0.0070</v>
      </c>
      <c r="R6831" s="1" t="s">
        <v>25</v>
      </c>
      <c r="T6831" s="1" t="str">
        <f t="shared" si="12380"/>
        <v>0</v>
      </c>
      <c r="U6831" s="1" t="str">
        <f t="shared" si="12397"/>
        <v>0.0070</v>
      </c>
    </row>
    <row r="6832" s="1" customFormat="1" spans="1:21">
      <c r="A6832" s="1" t="str">
        <f>"4601992297838"</f>
        <v>4601992297838</v>
      </c>
      <c r="B6832" s="1" t="s">
        <v>6855</v>
      </c>
      <c r="C6832" s="1" t="s">
        <v>24</v>
      </c>
      <c r="D6832" s="1" t="str">
        <f t="shared" si="12377"/>
        <v>2021</v>
      </c>
      <c r="E6832" s="1" t="str">
        <f t="shared" ref="E6832:P6832" si="12427">"0"</f>
        <v>0</v>
      </c>
      <c r="F6832" s="1" t="str">
        <f t="shared" si="12427"/>
        <v>0</v>
      </c>
      <c r="G6832" s="1" t="str">
        <f t="shared" si="12427"/>
        <v>0</v>
      </c>
      <c r="H6832" s="1" t="str">
        <f t="shared" si="12427"/>
        <v>0</v>
      </c>
      <c r="I6832" s="1" t="str">
        <f t="shared" si="12427"/>
        <v>0</v>
      </c>
      <c r="J6832" s="1" t="str">
        <f t="shared" si="12427"/>
        <v>0</v>
      </c>
      <c r="K6832" s="1" t="str">
        <f t="shared" si="12427"/>
        <v>0</v>
      </c>
      <c r="L6832" s="1" t="str">
        <f t="shared" si="12427"/>
        <v>0</v>
      </c>
      <c r="M6832" s="1" t="str">
        <f t="shared" si="12427"/>
        <v>0</v>
      </c>
      <c r="N6832" s="1" t="str">
        <f t="shared" si="12427"/>
        <v>0</v>
      </c>
      <c r="O6832" s="1" t="str">
        <f t="shared" si="12427"/>
        <v>0</v>
      </c>
      <c r="P6832" s="1" t="str">
        <f t="shared" si="12427"/>
        <v>0</v>
      </c>
      <c r="Q6832" s="1" t="str">
        <f t="shared" si="12379"/>
        <v>0.0070</v>
      </c>
      <c r="R6832" s="1" t="s">
        <v>25</v>
      </c>
      <c r="T6832" s="1" t="str">
        <f t="shared" si="12380"/>
        <v>0</v>
      </c>
      <c r="U6832" s="1" t="str">
        <f t="shared" si="12397"/>
        <v>0.0070</v>
      </c>
    </row>
    <row r="6833" s="1" customFormat="1" spans="1:21">
      <c r="A6833" s="1" t="str">
        <f>"4601992297909"</f>
        <v>4601992297909</v>
      </c>
      <c r="B6833" s="1" t="s">
        <v>6856</v>
      </c>
      <c r="C6833" s="1" t="s">
        <v>24</v>
      </c>
      <c r="D6833" s="1" t="str">
        <f t="shared" si="12377"/>
        <v>2021</v>
      </c>
      <c r="E6833" s="1" t="str">
        <f t="shared" ref="E6833:P6833" si="12428">"0"</f>
        <v>0</v>
      </c>
      <c r="F6833" s="1" t="str">
        <f t="shared" si="12428"/>
        <v>0</v>
      </c>
      <c r="G6833" s="1" t="str">
        <f t="shared" si="12428"/>
        <v>0</v>
      </c>
      <c r="H6833" s="1" t="str">
        <f t="shared" si="12428"/>
        <v>0</v>
      </c>
      <c r="I6833" s="1" t="str">
        <f t="shared" si="12428"/>
        <v>0</v>
      </c>
      <c r="J6833" s="1" t="str">
        <f t="shared" si="12428"/>
        <v>0</v>
      </c>
      <c r="K6833" s="1" t="str">
        <f t="shared" si="12428"/>
        <v>0</v>
      </c>
      <c r="L6833" s="1" t="str">
        <f t="shared" si="12428"/>
        <v>0</v>
      </c>
      <c r="M6833" s="1" t="str">
        <f t="shared" si="12428"/>
        <v>0</v>
      </c>
      <c r="N6833" s="1" t="str">
        <f t="shared" si="12428"/>
        <v>0</v>
      </c>
      <c r="O6833" s="1" t="str">
        <f t="shared" si="12428"/>
        <v>0</v>
      </c>
      <c r="P6833" s="1" t="str">
        <f t="shared" si="12428"/>
        <v>0</v>
      </c>
      <c r="Q6833" s="1" t="str">
        <f t="shared" si="12379"/>
        <v>0.0070</v>
      </c>
      <c r="R6833" s="1" t="s">
        <v>25</v>
      </c>
      <c r="T6833" s="1" t="str">
        <f t="shared" si="12380"/>
        <v>0</v>
      </c>
      <c r="U6833" s="1" t="str">
        <f t="shared" si="12397"/>
        <v>0.0070</v>
      </c>
    </row>
    <row r="6834" s="1" customFormat="1" spans="1:21">
      <c r="A6834" s="1" t="str">
        <f>"4601992298274"</f>
        <v>4601992298274</v>
      </c>
      <c r="B6834" s="1" t="s">
        <v>6857</v>
      </c>
      <c r="C6834" s="1" t="s">
        <v>24</v>
      </c>
      <c r="D6834" s="1" t="str">
        <f t="shared" si="12377"/>
        <v>2021</v>
      </c>
      <c r="E6834" s="1" t="str">
        <f t="shared" ref="E6834:P6834" si="12429">"0"</f>
        <v>0</v>
      </c>
      <c r="F6834" s="1" t="str">
        <f t="shared" si="12429"/>
        <v>0</v>
      </c>
      <c r="G6834" s="1" t="str">
        <f t="shared" si="12429"/>
        <v>0</v>
      </c>
      <c r="H6834" s="1" t="str">
        <f t="shared" si="12429"/>
        <v>0</v>
      </c>
      <c r="I6834" s="1" t="str">
        <f t="shared" si="12429"/>
        <v>0</v>
      </c>
      <c r="J6834" s="1" t="str">
        <f t="shared" si="12429"/>
        <v>0</v>
      </c>
      <c r="K6834" s="1" t="str">
        <f t="shared" si="12429"/>
        <v>0</v>
      </c>
      <c r="L6834" s="1" t="str">
        <f t="shared" si="12429"/>
        <v>0</v>
      </c>
      <c r="M6834" s="1" t="str">
        <f t="shared" si="12429"/>
        <v>0</v>
      </c>
      <c r="N6834" s="1" t="str">
        <f t="shared" si="12429"/>
        <v>0</v>
      </c>
      <c r="O6834" s="1" t="str">
        <f t="shared" si="12429"/>
        <v>0</v>
      </c>
      <c r="P6834" s="1" t="str">
        <f t="shared" si="12429"/>
        <v>0</v>
      </c>
      <c r="Q6834" s="1" t="str">
        <f t="shared" si="12379"/>
        <v>0.0070</v>
      </c>
      <c r="R6834" s="1" t="s">
        <v>25</v>
      </c>
      <c r="T6834" s="1" t="str">
        <f t="shared" si="12380"/>
        <v>0</v>
      </c>
      <c r="U6834" s="1" t="str">
        <f t="shared" si="12397"/>
        <v>0.0070</v>
      </c>
    </row>
    <row r="6835" s="1" customFormat="1" spans="1:21">
      <c r="A6835" s="1" t="str">
        <f>"4601991405208"</f>
        <v>4601991405208</v>
      </c>
      <c r="B6835" s="1" t="s">
        <v>6858</v>
      </c>
      <c r="C6835" s="1" t="s">
        <v>24</v>
      </c>
      <c r="D6835" s="1" t="str">
        <f t="shared" si="12377"/>
        <v>2021</v>
      </c>
      <c r="E6835" s="1" t="str">
        <f>"29679.65"</f>
        <v>29679.65</v>
      </c>
      <c r="F6835" s="1" t="str">
        <f t="shared" ref="F6835:I6835" si="12430">"0"</f>
        <v>0</v>
      </c>
      <c r="G6835" s="1" t="str">
        <f t="shared" si="12430"/>
        <v>0</v>
      </c>
      <c r="H6835" s="1" t="str">
        <f t="shared" si="12430"/>
        <v>0</v>
      </c>
      <c r="I6835" s="1" t="str">
        <f t="shared" si="12430"/>
        <v>0</v>
      </c>
      <c r="J6835" s="1" t="str">
        <f>"191"</f>
        <v>191</v>
      </c>
      <c r="K6835" s="1" t="str">
        <f t="shared" ref="K6835:P6835" si="12431">"0"</f>
        <v>0</v>
      </c>
      <c r="L6835" s="1" t="str">
        <f t="shared" si="12431"/>
        <v>0</v>
      </c>
      <c r="M6835" s="1" t="str">
        <f t="shared" si="12431"/>
        <v>0</v>
      </c>
      <c r="N6835" s="1" t="str">
        <f t="shared" si="12431"/>
        <v>0</v>
      </c>
      <c r="O6835" s="1" t="str">
        <f t="shared" si="12431"/>
        <v>0</v>
      </c>
      <c r="P6835" s="1" t="str">
        <f t="shared" si="12431"/>
        <v>0</v>
      </c>
      <c r="Q6835" s="1" t="str">
        <f t="shared" si="12379"/>
        <v>0.0070</v>
      </c>
      <c r="R6835" s="1" t="s">
        <v>29</v>
      </c>
      <c r="S6835" s="1">
        <v>-0.0014</v>
      </c>
      <c r="T6835" s="1" t="str">
        <f t="shared" si="12380"/>
        <v>0</v>
      </c>
      <c r="U6835" s="1" t="str">
        <f>"0.0056"</f>
        <v>0.0056</v>
      </c>
    </row>
    <row r="6836" s="1" customFormat="1" spans="1:21">
      <c r="A6836" s="1" t="str">
        <f>"4601992298502"</f>
        <v>4601992298502</v>
      </c>
      <c r="B6836" s="1" t="s">
        <v>6859</v>
      </c>
      <c r="C6836" s="1" t="s">
        <v>24</v>
      </c>
      <c r="D6836" s="1" t="str">
        <f t="shared" si="12377"/>
        <v>2021</v>
      </c>
      <c r="E6836" s="1" t="str">
        <f t="shared" ref="E6836:P6836" si="12432">"0"</f>
        <v>0</v>
      </c>
      <c r="F6836" s="1" t="str">
        <f t="shared" si="12432"/>
        <v>0</v>
      </c>
      <c r="G6836" s="1" t="str">
        <f t="shared" si="12432"/>
        <v>0</v>
      </c>
      <c r="H6836" s="1" t="str">
        <f t="shared" si="12432"/>
        <v>0</v>
      </c>
      <c r="I6836" s="1" t="str">
        <f t="shared" si="12432"/>
        <v>0</v>
      </c>
      <c r="J6836" s="1" t="str">
        <f t="shared" si="12432"/>
        <v>0</v>
      </c>
      <c r="K6836" s="1" t="str">
        <f t="shared" si="12432"/>
        <v>0</v>
      </c>
      <c r="L6836" s="1" t="str">
        <f t="shared" si="12432"/>
        <v>0</v>
      </c>
      <c r="M6836" s="1" t="str">
        <f t="shared" si="12432"/>
        <v>0</v>
      </c>
      <c r="N6836" s="1" t="str">
        <f t="shared" si="12432"/>
        <v>0</v>
      </c>
      <c r="O6836" s="1" t="str">
        <f t="shared" si="12432"/>
        <v>0</v>
      </c>
      <c r="P6836" s="1" t="str">
        <f t="shared" si="12432"/>
        <v>0</v>
      </c>
      <c r="Q6836" s="1" t="str">
        <f t="shared" si="12379"/>
        <v>0.0070</v>
      </c>
      <c r="R6836" s="1" t="s">
        <v>25</v>
      </c>
      <c r="T6836" s="1" t="str">
        <f t="shared" si="12380"/>
        <v>0</v>
      </c>
      <c r="U6836" s="1" t="str">
        <f t="shared" ref="U6836:U6858" si="12433">"0.0070"</f>
        <v>0.0070</v>
      </c>
    </row>
    <row r="6837" s="1" customFormat="1" spans="1:21">
      <c r="A6837" s="1" t="str">
        <f>"4601992298705"</f>
        <v>4601992298705</v>
      </c>
      <c r="B6837" s="1" t="s">
        <v>6860</v>
      </c>
      <c r="C6837" s="1" t="s">
        <v>24</v>
      </c>
      <c r="D6837" s="1" t="str">
        <f t="shared" si="12377"/>
        <v>2021</v>
      </c>
      <c r="E6837" s="1" t="str">
        <f t="shared" ref="E6837:P6837" si="12434">"0"</f>
        <v>0</v>
      </c>
      <c r="F6837" s="1" t="str">
        <f t="shared" si="12434"/>
        <v>0</v>
      </c>
      <c r="G6837" s="1" t="str">
        <f t="shared" si="12434"/>
        <v>0</v>
      </c>
      <c r="H6837" s="1" t="str">
        <f t="shared" si="12434"/>
        <v>0</v>
      </c>
      <c r="I6837" s="1" t="str">
        <f t="shared" si="12434"/>
        <v>0</v>
      </c>
      <c r="J6837" s="1" t="str">
        <f t="shared" si="12434"/>
        <v>0</v>
      </c>
      <c r="K6837" s="1" t="str">
        <f t="shared" si="12434"/>
        <v>0</v>
      </c>
      <c r="L6837" s="1" t="str">
        <f t="shared" si="12434"/>
        <v>0</v>
      </c>
      <c r="M6837" s="1" t="str">
        <f t="shared" si="12434"/>
        <v>0</v>
      </c>
      <c r="N6837" s="1" t="str">
        <f t="shared" si="12434"/>
        <v>0</v>
      </c>
      <c r="O6837" s="1" t="str">
        <f t="shared" si="12434"/>
        <v>0</v>
      </c>
      <c r="P6837" s="1" t="str">
        <f t="shared" si="12434"/>
        <v>0</v>
      </c>
      <c r="Q6837" s="1" t="str">
        <f t="shared" si="12379"/>
        <v>0.0070</v>
      </c>
      <c r="R6837" s="1" t="s">
        <v>25</v>
      </c>
      <c r="T6837" s="1" t="str">
        <f t="shared" si="12380"/>
        <v>0</v>
      </c>
      <c r="U6837" s="1" t="str">
        <f t="shared" si="12433"/>
        <v>0.0070</v>
      </c>
    </row>
    <row r="6838" s="1" customFormat="1" spans="1:21">
      <c r="A6838" s="1" t="str">
        <f>"4601992298763"</f>
        <v>4601992298763</v>
      </c>
      <c r="B6838" s="1" t="s">
        <v>6861</v>
      </c>
      <c r="C6838" s="1" t="s">
        <v>24</v>
      </c>
      <c r="D6838" s="1" t="str">
        <f t="shared" si="12377"/>
        <v>2021</v>
      </c>
      <c r="E6838" s="1" t="str">
        <f t="shared" ref="E6838:P6838" si="12435">"0"</f>
        <v>0</v>
      </c>
      <c r="F6838" s="1" t="str">
        <f t="shared" si="12435"/>
        <v>0</v>
      </c>
      <c r="G6838" s="1" t="str">
        <f t="shared" si="12435"/>
        <v>0</v>
      </c>
      <c r="H6838" s="1" t="str">
        <f t="shared" si="12435"/>
        <v>0</v>
      </c>
      <c r="I6838" s="1" t="str">
        <f t="shared" si="12435"/>
        <v>0</v>
      </c>
      <c r="J6838" s="1" t="str">
        <f t="shared" si="12435"/>
        <v>0</v>
      </c>
      <c r="K6838" s="1" t="str">
        <f t="shared" si="12435"/>
        <v>0</v>
      </c>
      <c r="L6838" s="1" t="str">
        <f t="shared" si="12435"/>
        <v>0</v>
      </c>
      <c r="M6838" s="1" t="str">
        <f t="shared" si="12435"/>
        <v>0</v>
      </c>
      <c r="N6838" s="1" t="str">
        <f t="shared" si="12435"/>
        <v>0</v>
      </c>
      <c r="O6838" s="1" t="str">
        <f t="shared" si="12435"/>
        <v>0</v>
      </c>
      <c r="P6838" s="1" t="str">
        <f t="shared" si="12435"/>
        <v>0</v>
      </c>
      <c r="Q6838" s="1" t="str">
        <f t="shared" si="12379"/>
        <v>0.0070</v>
      </c>
      <c r="R6838" s="1" t="s">
        <v>25</v>
      </c>
      <c r="T6838" s="1" t="str">
        <f t="shared" si="12380"/>
        <v>0</v>
      </c>
      <c r="U6838" s="1" t="str">
        <f t="shared" si="12433"/>
        <v>0.0070</v>
      </c>
    </row>
    <row r="6839" s="1" customFormat="1" spans="1:21">
      <c r="A6839" s="1" t="str">
        <f>"4601992298799"</f>
        <v>4601992298799</v>
      </c>
      <c r="B6839" s="1" t="s">
        <v>6862</v>
      </c>
      <c r="C6839" s="1" t="s">
        <v>24</v>
      </c>
      <c r="D6839" s="1" t="str">
        <f t="shared" si="12377"/>
        <v>2021</v>
      </c>
      <c r="E6839" s="1" t="str">
        <f t="shared" ref="E6839:P6839" si="12436">"0"</f>
        <v>0</v>
      </c>
      <c r="F6839" s="1" t="str">
        <f t="shared" si="12436"/>
        <v>0</v>
      </c>
      <c r="G6839" s="1" t="str">
        <f t="shared" si="12436"/>
        <v>0</v>
      </c>
      <c r="H6839" s="1" t="str">
        <f t="shared" si="12436"/>
        <v>0</v>
      </c>
      <c r="I6839" s="1" t="str">
        <f t="shared" si="12436"/>
        <v>0</v>
      </c>
      <c r="J6839" s="1" t="str">
        <f t="shared" si="12436"/>
        <v>0</v>
      </c>
      <c r="K6839" s="1" t="str">
        <f t="shared" si="12436"/>
        <v>0</v>
      </c>
      <c r="L6839" s="1" t="str">
        <f t="shared" si="12436"/>
        <v>0</v>
      </c>
      <c r="M6839" s="1" t="str">
        <f t="shared" si="12436"/>
        <v>0</v>
      </c>
      <c r="N6839" s="1" t="str">
        <f t="shared" si="12436"/>
        <v>0</v>
      </c>
      <c r="O6839" s="1" t="str">
        <f t="shared" si="12436"/>
        <v>0</v>
      </c>
      <c r="P6839" s="1" t="str">
        <f t="shared" si="12436"/>
        <v>0</v>
      </c>
      <c r="Q6839" s="1" t="str">
        <f t="shared" si="12379"/>
        <v>0.0070</v>
      </c>
      <c r="R6839" s="1" t="s">
        <v>25</v>
      </c>
      <c r="T6839" s="1" t="str">
        <f t="shared" si="12380"/>
        <v>0</v>
      </c>
      <c r="U6839" s="1" t="str">
        <f t="shared" si="12433"/>
        <v>0.0070</v>
      </c>
    </row>
    <row r="6840" s="1" customFormat="1" spans="1:21">
      <c r="A6840" s="1" t="str">
        <f>"4601992298813"</f>
        <v>4601992298813</v>
      </c>
      <c r="B6840" s="1" t="s">
        <v>6863</v>
      </c>
      <c r="C6840" s="1" t="s">
        <v>24</v>
      </c>
      <c r="D6840" s="1" t="str">
        <f t="shared" si="12377"/>
        <v>2021</v>
      </c>
      <c r="E6840" s="1" t="str">
        <f t="shared" ref="E6840:P6840" si="12437">"0"</f>
        <v>0</v>
      </c>
      <c r="F6840" s="1" t="str">
        <f t="shared" si="12437"/>
        <v>0</v>
      </c>
      <c r="G6840" s="1" t="str">
        <f t="shared" si="12437"/>
        <v>0</v>
      </c>
      <c r="H6840" s="1" t="str">
        <f t="shared" si="12437"/>
        <v>0</v>
      </c>
      <c r="I6840" s="1" t="str">
        <f t="shared" si="12437"/>
        <v>0</v>
      </c>
      <c r="J6840" s="1" t="str">
        <f t="shared" si="12437"/>
        <v>0</v>
      </c>
      <c r="K6840" s="1" t="str">
        <f t="shared" si="12437"/>
        <v>0</v>
      </c>
      <c r="L6840" s="1" t="str">
        <f t="shared" si="12437"/>
        <v>0</v>
      </c>
      <c r="M6840" s="1" t="str">
        <f t="shared" si="12437"/>
        <v>0</v>
      </c>
      <c r="N6840" s="1" t="str">
        <f t="shared" si="12437"/>
        <v>0</v>
      </c>
      <c r="O6840" s="1" t="str">
        <f t="shared" si="12437"/>
        <v>0</v>
      </c>
      <c r="P6840" s="1" t="str">
        <f t="shared" si="12437"/>
        <v>0</v>
      </c>
      <c r="Q6840" s="1" t="str">
        <f t="shared" si="12379"/>
        <v>0.0070</v>
      </c>
      <c r="R6840" s="1" t="s">
        <v>25</v>
      </c>
      <c r="T6840" s="1" t="str">
        <f t="shared" si="12380"/>
        <v>0</v>
      </c>
      <c r="U6840" s="1" t="str">
        <f t="shared" si="12433"/>
        <v>0.0070</v>
      </c>
    </row>
    <row r="6841" s="1" customFormat="1" spans="1:21">
      <c r="A6841" s="1" t="str">
        <f>"4601992298853"</f>
        <v>4601992298853</v>
      </c>
      <c r="B6841" s="1" t="s">
        <v>6864</v>
      </c>
      <c r="C6841" s="1" t="s">
        <v>24</v>
      </c>
      <c r="D6841" s="1" t="str">
        <f t="shared" si="12377"/>
        <v>2021</v>
      </c>
      <c r="E6841" s="1" t="str">
        <f t="shared" ref="E6841:P6841" si="12438">"0"</f>
        <v>0</v>
      </c>
      <c r="F6841" s="1" t="str">
        <f t="shared" si="12438"/>
        <v>0</v>
      </c>
      <c r="G6841" s="1" t="str">
        <f t="shared" si="12438"/>
        <v>0</v>
      </c>
      <c r="H6841" s="1" t="str">
        <f t="shared" si="12438"/>
        <v>0</v>
      </c>
      <c r="I6841" s="1" t="str">
        <f t="shared" si="12438"/>
        <v>0</v>
      </c>
      <c r="J6841" s="1" t="str">
        <f t="shared" si="12438"/>
        <v>0</v>
      </c>
      <c r="K6841" s="1" t="str">
        <f t="shared" si="12438"/>
        <v>0</v>
      </c>
      <c r="L6841" s="1" t="str">
        <f t="shared" si="12438"/>
        <v>0</v>
      </c>
      <c r="M6841" s="1" t="str">
        <f t="shared" si="12438"/>
        <v>0</v>
      </c>
      <c r="N6841" s="1" t="str">
        <f t="shared" si="12438"/>
        <v>0</v>
      </c>
      <c r="O6841" s="1" t="str">
        <f t="shared" si="12438"/>
        <v>0</v>
      </c>
      <c r="P6841" s="1" t="str">
        <f t="shared" si="12438"/>
        <v>0</v>
      </c>
      <c r="Q6841" s="1" t="str">
        <f t="shared" si="12379"/>
        <v>0.0070</v>
      </c>
      <c r="R6841" s="1" t="s">
        <v>25</v>
      </c>
      <c r="T6841" s="1" t="str">
        <f t="shared" si="12380"/>
        <v>0</v>
      </c>
      <c r="U6841" s="1" t="str">
        <f t="shared" si="12433"/>
        <v>0.0070</v>
      </c>
    </row>
    <row r="6842" s="1" customFormat="1" spans="1:21">
      <c r="A6842" s="1" t="str">
        <f>"4601992298837"</f>
        <v>4601992298837</v>
      </c>
      <c r="B6842" s="1" t="s">
        <v>6865</v>
      </c>
      <c r="C6842" s="1" t="s">
        <v>24</v>
      </c>
      <c r="D6842" s="1" t="str">
        <f t="shared" si="12377"/>
        <v>2021</v>
      </c>
      <c r="E6842" s="1" t="str">
        <f t="shared" ref="E6842:P6842" si="12439">"0"</f>
        <v>0</v>
      </c>
      <c r="F6842" s="1" t="str">
        <f t="shared" si="12439"/>
        <v>0</v>
      </c>
      <c r="G6842" s="1" t="str">
        <f t="shared" si="12439"/>
        <v>0</v>
      </c>
      <c r="H6842" s="1" t="str">
        <f t="shared" si="12439"/>
        <v>0</v>
      </c>
      <c r="I6842" s="1" t="str">
        <f t="shared" si="12439"/>
        <v>0</v>
      </c>
      <c r="J6842" s="1" t="str">
        <f t="shared" si="12439"/>
        <v>0</v>
      </c>
      <c r="K6842" s="1" t="str">
        <f t="shared" si="12439"/>
        <v>0</v>
      </c>
      <c r="L6842" s="1" t="str">
        <f t="shared" si="12439"/>
        <v>0</v>
      </c>
      <c r="M6842" s="1" t="str">
        <f t="shared" si="12439"/>
        <v>0</v>
      </c>
      <c r="N6842" s="1" t="str">
        <f t="shared" si="12439"/>
        <v>0</v>
      </c>
      <c r="O6842" s="1" t="str">
        <f t="shared" si="12439"/>
        <v>0</v>
      </c>
      <c r="P6842" s="1" t="str">
        <f t="shared" si="12439"/>
        <v>0</v>
      </c>
      <c r="Q6842" s="1" t="str">
        <f t="shared" si="12379"/>
        <v>0.0070</v>
      </c>
      <c r="R6842" s="1" t="s">
        <v>25</v>
      </c>
      <c r="T6842" s="1" t="str">
        <f t="shared" si="12380"/>
        <v>0</v>
      </c>
      <c r="U6842" s="1" t="str">
        <f t="shared" si="12433"/>
        <v>0.0070</v>
      </c>
    </row>
    <row r="6843" s="1" customFormat="1" spans="1:21">
      <c r="A6843" s="1" t="str">
        <f>"4601992265242"</f>
        <v>4601992265242</v>
      </c>
      <c r="B6843" s="1" t="s">
        <v>6866</v>
      </c>
      <c r="C6843" s="1" t="s">
        <v>24</v>
      </c>
      <c r="D6843" s="1" t="str">
        <f t="shared" si="12377"/>
        <v>2021</v>
      </c>
      <c r="E6843" s="1" t="str">
        <f t="shared" ref="E6843:P6843" si="12440">"0"</f>
        <v>0</v>
      </c>
      <c r="F6843" s="1" t="str">
        <f t="shared" si="12440"/>
        <v>0</v>
      </c>
      <c r="G6843" s="1" t="str">
        <f t="shared" si="12440"/>
        <v>0</v>
      </c>
      <c r="H6843" s="1" t="str">
        <f t="shared" si="12440"/>
        <v>0</v>
      </c>
      <c r="I6843" s="1" t="str">
        <f t="shared" si="12440"/>
        <v>0</v>
      </c>
      <c r="J6843" s="1" t="str">
        <f t="shared" si="12440"/>
        <v>0</v>
      </c>
      <c r="K6843" s="1" t="str">
        <f t="shared" si="12440"/>
        <v>0</v>
      </c>
      <c r="L6843" s="1" t="str">
        <f t="shared" si="12440"/>
        <v>0</v>
      </c>
      <c r="M6843" s="1" t="str">
        <f t="shared" si="12440"/>
        <v>0</v>
      </c>
      <c r="N6843" s="1" t="str">
        <f t="shared" si="12440"/>
        <v>0</v>
      </c>
      <c r="O6843" s="1" t="str">
        <f t="shared" si="12440"/>
        <v>0</v>
      </c>
      <c r="P6843" s="1" t="str">
        <f t="shared" si="12440"/>
        <v>0</v>
      </c>
      <c r="Q6843" s="1" t="str">
        <f t="shared" si="12379"/>
        <v>0.0070</v>
      </c>
      <c r="R6843" s="1" t="s">
        <v>25</v>
      </c>
      <c r="T6843" s="1" t="str">
        <f t="shared" si="12380"/>
        <v>0</v>
      </c>
      <c r="U6843" s="1" t="str">
        <f t="shared" si="12433"/>
        <v>0.0070</v>
      </c>
    </row>
    <row r="6844" s="1" customFormat="1" spans="1:21">
      <c r="A6844" s="1" t="str">
        <f>"4601992298926"</f>
        <v>4601992298926</v>
      </c>
      <c r="B6844" s="1" t="s">
        <v>6867</v>
      </c>
      <c r="C6844" s="1" t="s">
        <v>24</v>
      </c>
      <c r="D6844" s="1" t="str">
        <f t="shared" si="12377"/>
        <v>2021</v>
      </c>
      <c r="E6844" s="1" t="str">
        <f t="shared" ref="E6844:P6844" si="12441">"0"</f>
        <v>0</v>
      </c>
      <c r="F6844" s="1" t="str">
        <f t="shared" si="12441"/>
        <v>0</v>
      </c>
      <c r="G6844" s="1" t="str">
        <f t="shared" si="12441"/>
        <v>0</v>
      </c>
      <c r="H6844" s="1" t="str">
        <f t="shared" si="12441"/>
        <v>0</v>
      </c>
      <c r="I6844" s="1" t="str">
        <f t="shared" si="12441"/>
        <v>0</v>
      </c>
      <c r="J6844" s="1" t="str">
        <f t="shared" si="12441"/>
        <v>0</v>
      </c>
      <c r="K6844" s="1" t="str">
        <f t="shared" si="12441"/>
        <v>0</v>
      </c>
      <c r="L6844" s="1" t="str">
        <f t="shared" si="12441"/>
        <v>0</v>
      </c>
      <c r="M6844" s="1" t="str">
        <f t="shared" si="12441"/>
        <v>0</v>
      </c>
      <c r="N6844" s="1" t="str">
        <f t="shared" si="12441"/>
        <v>0</v>
      </c>
      <c r="O6844" s="1" t="str">
        <f t="shared" si="12441"/>
        <v>0</v>
      </c>
      <c r="P6844" s="1" t="str">
        <f t="shared" si="12441"/>
        <v>0</v>
      </c>
      <c r="Q6844" s="1" t="str">
        <f t="shared" si="12379"/>
        <v>0.0070</v>
      </c>
      <c r="R6844" s="1" t="s">
        <v>25</v>
      </c>
      <c r="T6844" s="1" t="str">
        <f t="shared" si="12380"/>
        <v>0</v>
      </c>
      <c r="U6844" s="1" t="str">
        <f t="shared" si="12433"/>
        <v>0.0070</v>
      </c>
    </row>
    <row r="6845" s="1" customFormat="1" spans="1:21">
      <c r="A6845" s="1" t="str">
        <f>"4601992298951"</f>
        <v>4601992298951</v>
      </c>
      <c r="B6845" s="1" t="s">
        <v>6868</v>
      </c>
      <c r="C6845" s="1" t="s">
        <v>24</v>
      </c>
      <c r="D6845" s="1" t="str">
        <f t="shared" si="12377"/>
        <v>2021</v>
      </c>
      <c r="E6845" s="1" t="str">
        <f t="shared" ref="E6845:P6845" si="12442">"0"</f>
        <v>0</v>
      </c>
      <c r="F6845" s="1" t="str">
        <f t="shared" si="12442"/>
        <v>0</v>
      </c>
      <c r="G6845" s="1" t="str">
        <f t="shared" si="12442"/>
        <v>0</v>
      </c>
      <c r="H6845" s="1" t="str">
        <f t="shared" si="12442"/>
        <v>0</v>
      </c>
      <c r="I6845" s="1" t="str">
        <f t="shared" si="12442"/>
        <v>0</v>
      </c>
      <c r="J6845" s="1" t="str">
        <f t="shared" si="12442"/>
        <v>0</v>
      </c>
      <c r="K6845" s="1" t="str">
        <f t="shared" si="12442"/>
        <v>0</v>
      </c>
      <c r="L6845" s="1" t="str">
        <f t="shared" si="12442"/>
        <v>0</v>
      </c>
      <c r="M6845" s="1" t="str">
        <f t="shared" si="12442"/>
        <v>0</v>
      </c>
      <c r="N6845" s="1" t="str">
        <f t="shared" si="12442"/>
        <v>0</v>
      </c>
      <c r="O6845" s="1" t="str">
        <f t="shared" si="12442"/>
        <v>0</v>
      </c>
      <c r="P6845" s="1" t="str">
        <f t="shared" si="12442"/>
        <v>0</v>
      </c>
      <c r="Q6845" s="1" t="str">
        <f t="shared" si="12379"/>
        <v>0.0070</v>
      </c>
      <c r="R6845" s="1" t="s">
        <v>25</v>
      </c>
      <c r="T6845" s="1" t="str">
        <f t="shared" si="12380"/>
        <v>0</v>
      </c>
      <c r="U6845" s="1" t="str">
        <f t="shared" si="12433"/>
        <v>0.0070</v>
      </c>
    </row>
    <row r="6846" s="1" customFormat="1" spans="1:21">
      <c r="A6846" s="1" t="str">
        <f>"4601992299085"</f>
        <v>4601992299085</v>
      </c>
      <c r="B6846" s="1" t="s">
        <v>6869</v>
      </c>
      <c r="C6846" s="1" t="s">
        <v>24</v>
      </c>
      <c r="D6846" s="1" t="str">
        <f t="shared" si="12377"/>
        <v>2021</v>
      </c>
      <c r="E6846" s="1" t="str">
        <f t="shared" ref="E6846:P6846" si="12443">"0"</f>
        <v>0</v>
      </c>
      <c r="F6846" s="1" t="str">
        <f t="shared" si="12443"/>
        <v>0</v>
      </c>
      <c r="G6846" s="1" t="str">
        <f t="shared" si="12443"/>
        <v>0</v>
      </c>
      <c r="H6846" s="1" t="str">
        <f t="shared" si="12443"/>
        <v>0</v>
      </c>
      <c r="I6846" s="1" t="str">
        <f t="shared" si="12443"/>
        <v>0</v>
      </c>
      <c r="J6846" s="1" t="str">
        <f t="shared" si="12443"/>
        <v>0</v>
      </c>
      <c r="K6846" s="1" t="str">
        <f t="shared" si="12443"/>
        <v>0</v>
      </c>
      <c r="L6846" s="1" t="str">
        <f t="shared" si="12443"/>
        <v>0</v>
      </c>
      <c r="M6846" s="1" t="str">
        <f t="shared" si="12443"/>
        <v>0</v>
      </c>
      <c r="N6846" s="1" t="str">
        <f t="shared" si="12443"/>
        <v>0</v>
      </c>
      <c r="O6846" s="1" t="str">
        <f t="shared" si="12443"/>
        <v>0</v>
      </c>
      <c r="P6846" s="1" t="str">
        <f t="shared" si="12443"/>
        <v>0</v>
      </c>
      <c r="Q6846" s="1" t="str">
        <f t="shared" si="12379"/>
        <v>0.0070</v>
      </c>
      <c r="R6846" s="1" t="s">
        <v>25</v>
      </c>
      <c r="T6846" s="1" t="str">
        <f t="shared" si="12380"/>
        <v>0</v>
      </c>
      <c r="U6846" s="1" t="str">
        <f t="shared" si="12433"/>
        <v>0.0070</v>
      </c>
    </row>
    <row r="6847" s="1" customFormat="1" spans="1:21">
      <c r="A6847" s="1" t="str">
        <f>"4601992298966"</f>
        <v>4601992298966</v>
      </c>
      <c r="B6847" s="1" t="s">
        <v>6870</v>
      </c>
      <c r="C6847" s="1" t="s">
        <v>24</v>
      </c>
      <c r="D6847" s="1" t="str">
        <f t="shared" si="12377"/>
        <v>2021</v>
      </c>
      <c r="E6847" s="1" t="str">
        <f t="shared" ref="E6847:P6847" si="12444">"0"</f>
        <v>0</v>
      </c>
      <c r="F6847" s="1" t="str">
        <f t="shared" si="12444"/>
        <v>0</v>
      </c>
      <c r="G6847" s="1" t="str">
        <f t="shared" si="12444"/>
        <v>0</v>
      </c>
      <c r="H6847" s="1" t="str">
        <f t="shared" si="12444"/>
        <v>0</v>
      </c>
      <c r="I6847" s="1" t="str">
        <f t="shared" si="12444"/>
        <v>0</v>
      </c>
      <c r="J6847" s="1" t="str">
        <f t="shared" si="12444"/>
        <v>0</v>
      </c>
      <c r="K6847" s="1" t="str">
        <f t="shared" si="12444"/>
        <v>0</v>
      </c>
      <c r="L6847" s="1" t="str">
        <f t="shared" si="12444"/>
        <v>0</v>
      </c>
      <c r="M6847" s="1" t="str">
        <f t="shared" si="12444"/>
        <v>0</v>
      </c>
      <c r="N6847" s="1" t="str">
        <f t="shared" si="12444"/>
        <v>0</v>
      </c>
      <c r="O6847" s="1" t="str">
        <f t="shared" si="12444"/>
        <v>0</v>
      </c>
      <c r="P6847" s="1" t="str">
        <f t="shared" si="12444"/>
        <v>0</v>
      </c>
      <c r="Q6847" s="1" t="str">
        <f t="shared" si="12379"/>
        <v>0.0070</v>
      </c>
      <c r="R6847" s="1" t="s">
        <v>25</v>
      </c>
      <c r="T6847" s="1" t="str">
        <f t="shared" si="12380"/>
        <v>0</v>
      </c>
      <c r="U6847" s="1" t="str">
        <f t="shared" si="12433"/>
        <v>0.0070</v>
      </c>
    </row>
    <row r="6848" s="1" customFormat="1" spans="1:21">
      <c r="A6848" s="1" t="str">
        <f>"4601992299201"</f>
        <v>4601992299201</v>
      </c>
      <c r="B6848" s="1" t="s">
        <v>6871</v>
      </c>
      <c r="C6848" s="1" t="s">
        <v>24</v>
      </c>
      <c r="D6848" s="1" t="str">
        <f t="shared" si="12377"/>
        <v>2021</v>
      </c>
      <c r="E6848" s="1" t="str">
        <f t="shared" ref="E6848:P6848" si="12445">"0"</f>
        <v>0</v>
      </c>
      <c r="F6848" s="1" t="str">
        <f t="shared" si="12445"/>
        <v>0</v>
      </c>
      <c r="G6848" s="1" t="str">
        <f t="shared" si="12445"/>
        <v>0</v>
      </c>
      <c r="H6848" s="1" t="str">
        <f t="shared" si="12445"/>
        <v>0</v>
      </c>
      <c r="I6848" s="1" t="str">
        <f t="shared" si="12445"/>
        <v>0</v>
      </c>
      <c r="J6848" s="1" t="str">
        <f t="shared" si="12445"/>
        <v>0</v>
      </c>
      <c r="K6848" s="1" t="str">
        <f t="shared" si="12445"/>
        <v>0</v>
      </c>
      <c r="L6848" s="1" t="str">
        <f t="shared" si="12445"/>
        <v>0</v>
      </c>
      <c r="M6848" s="1" t="str">
        <f t="shared" si="12445"/>
        <v>0</v>
      </c>
      <c r="N6848" s="1" t="str">
        <f t="shared" si="12445"/>
        <v>0</v>
      </c>
      <c r="O6848" s="1" t="str">
        <f t="shared" si="12445"/>
        <v>0</v>
      </c>
      <c r="P6848" s="1" t="str">
        <f t="shared" si="12445"/>
        <v>0</v>
      </c>
      <c r="Q6848" s="1" t="str">
        <f t="shared" si="12379"/>
        <v>0.0070</v>
      </c>
      <c r="R6848" s="1" t="s">
        <v>25</v>
      </c>
      <c r="T6848" s="1" t="str">
        <f t="shared" si="12380"/>
        <v>0</v>
      </c>
      <c r="U6848" s="1" t="str">
        <f t="shared" si="12433"/>
        <v>0.0070</v>
      </c>
    </row>
    <row r="6849" s="1" customFormat="1" spans="1:21">
      <c r="A6849" s="1" t="str">
        <f>"4601992299133"</f>
        <v>4601992299133</v>
      </c>
      <c r="B6849" s="1" t="s">
        <v>6872</v>
      </c>
      <c r="C6849" s="1" t="s">
        <v>24</v>
      </c>
      <c r="D6849" s="1" t="str">
        <f t="shared" si="12377"/>
        <v>2021</v>
      </c>
      <c r="E6849" s="1" t="str">
        <f t="shared" ref="E6849:P6849" si="12446">"0"</f>
        <v>0</v>
      </c>
      <c r="F6849" s="1" t="str">
        <f t="shared" si="12446"/>
        <v>0</v>
      </c>
      <c r="G6849" s="1" t="str">
        <f t="shared" si="12446"/>
        <v>0</v>
      </c>
      <c r="H6849" s="1" t="str">
        <f t="shared" si="12446"/>
        <v>0</v>
      </c>
      <c r="I6849" s="1" t="str">
        <f t="shared" si="12446"/>
        <v>0</v>
      </c>
      <c r="J6849" s="1" t="str">
        <f t="shared" si="12446"/>
        <v>0</v>
      </c>
      <c r="K6849" s="1" t="str">
        <f t="shared" si="12446"/>
        <v>0</v>
      </c>
      <c r="L6849" s="1" t="str">
        <f t="shared" si="12446"/>
        <v>0</v>
      </c>
      <c r="M6849" s="1" t="str">
        <f t="shared" si="12446"/>
        <v>0</v>
      </c>
      <c r="N6849" s="1" t="str">
        <f t="shared" si="12446"/>
        <v>0</v>
      </c>
      <c r="O6849" s="1" t="str">
        <f t="shared" si="12446"/>
        <v>0</v>
      </c>
      <c r="P6849" s="1" t="str">
        <f t="shared" si="12446"/>
        <v>0</v>
      </c>
      <c r="Q6849" s="1" t="str">
        <f t="shared" si="12379"/>
        <v>0.0070</v>
      </c>
      <c r="R6849" s="1" t="s">
        <v>25</v>
      </c>
      <c r="T6849" s="1" t="str">
        <f t="shared" si="12380"/>
        <v>0</v>
      </c>
      <c r="U6849" s="1" t="str">
        <f t="shared" si="12433"/>
        <v>0.0070</v>
      </c>
    </row>
    <row r="6850" s="1" customFormat="1" spans="1:21">
      <c r="A6850" s="1" t="str">
        <f>"4601992299401"</f>
        <v>4601992299401</v>
      </c>
      <c r="B6850" s="1" t="s">
        <v>6873</v>
      </c>
      <c r="C6850" s="1" t="s">
        <v>24</v>
      </c>
      <c r="D6850" s="1" t="str">
        <f t="shared" si="12377"/>
        <v>2021</v>
      </c>
      <c r="E6850" s="1" t="str">
        <f t="shared" ref="E6850:P6850" si="12447">"0"</f>
        <v>0</v>
      </c>
      <c r="F6850" s="1" t="str">
        <f t="shared" si="12447"/>
        <v>0</v>
      </c>
      <c r="G6850" s="1" t="str">
        <f t="shared" si="12447"/>
        <v>0</v>
      </c>
      <c r="H6850" s="1" t="str">
        <f t="shared" si="12447"/>
        <v>0</v>
      </c>
      <c r="I6850" s="1" t="str">
        <f t="shared" si="12447"/>
        <v>0</v>
      </c>
      <c r="J6850" s="1" t="str">
        <f t="shared" si="12447"/>
        <v>0</v>
      </c>
      <c r="K6850" s="1" t="str">
        <f t="shared" si="12447"/>
        <v>0</v>
      </c>
      <c r="L6850" s="1" t="str">
        <f t="shared" si="12447"/>
        <v>0</v>
      </c>
      <c r="M6850" s="1" t="str">
        <f t="shared" si="12447"/>
        <v>0</v>
      </c>
      <c r="N6850" s="1" t="str">
        <f t="shared" si="12447"/>
        <v>0</v>
      </c>
      <c r="O6850" s="1" t="str">
        <f t="shared" si="12447"/>
        <v>0</v>
      </c>
      <c r="P6850" s="1" t="str">
        <f t="shared" si="12447"/>
        <v>0</v>
      </c>
      <c r="Q6850" s="1" t="str">
        <f t="shared" si="12379"/>
        <v>0.0070</v>
      </c>
      <c r="R6850" s="1" t="s">
        <v>25</v>
      </c>
      <c r="T6850" s="1" t="str">
        <f t="shared" si="12380"/>
        <v>0</v>
      </c>
      <c r="U6850" s="1" t="str">
        <f t="shared" si="12433"/>
        <v>0.0070</v>
      </c>
    </row>
    <row r="6851" s="1" customFormat="1" spans="1:21">
      <c r="A6851" s="1" t="str">
        <f>"4601992299475"</f>
        <v>4601992299475</v>
      </c>
      <c r="B6851" s="1" t="s">
        <v>6874</v>
      </c>
      <c r="C6851" s="1" t="s">
        <v>24</v>
      </c>
      <c r="D6851" s="1" t="str">
        <f t="shared" ref="D6851:D6914" si="12448">"2021"</f>
        <v>2021</v>
      </c>
      <c r="E6851" s="1" t="str">
        <f t="shared" ref="E6851:P6851" si="12449">"0"</f>
        <v>0</v>
      </c>
      <c r="F6851" s="1" t="str">
        <f t="shared" si="12449"/>
        <v>0</v>
      </c>
      <c r="G6851" s="1" t="str">
        <f t="shared" si="12449"/>
        <v>0</v>
      </c>
      <c r="H6851" s="1" t="str">
        <f t="shared" si="12449"/>
        <v>0</v>
      </c>
      <c r="I6851" s="1" t="str">
        <f t="shared" si="12449"/>
        <v>0</v>
      </c>
      <c r="J6851" s="1" t="str">
        <f t="shared" si="12449"/>
        <v>0</v>
      </c>
      <c r="K6851" s="1" t="str">
        <f t="shared" si="12449"/>
        <v>0</v>
      </c>
      <c r="L6851" s="1" t="str">
        <f t="shared" si="12449"/>
        <v>0</v>
      </c>
      <c r="M6851" s="1" t="str">
        <f t="shared" si="12449"/>
        <v>0</v>
      </c>
      <c r="N6851" s="1" t="str">
        <f t="shared" si="12449"/>
        <v>0</v>
      </c>
      <c r="O6851" s="1" t="str">
        <f t="shared" si="12449"/>
        <v>0</v>
      </c>
      <c r="P6851" s="1" t="str">
        <f t="shared" si="12449"/>
        <v>0</v>
      </c>
      <c r="Q6851" s="1" t="str">
        <f t="shared" ref="Q6851:Q6914" si="12450">"0.0070"</f>
        <v>0.0070</v>
      </c>
      <c r="R6851" s="1" t="s">
        <v>25</v>
      </c>
      <c r="T6851" s="1" t="str">
        <f t="shared" ref="T6851:T6914" si="12451">"0"</f>
        <v>0</v>
      </c>
      <c r="U6851" s="1" t="str">
        <f t="shared" si="12433"/>
        <v>0.0070</v>
      </c>
    </row>
    <row r="6852" s="1" customFormat="1" spans="1:21">
      <c r="A6852" s="1" t="str">
        <f>"4601992299407"</f>
        <v>4601992299407</v>
      </c>
      <c r="B6852" s="1" t="s">
        <v>6875</v>
      </c>
      <c r="C6852" s="1" t="s">
        <v>24</v>
      </c>
      <c r="D6852" s="1" t="str">
        <f t="shared" si="12448"/>
        <v>2021</v>
      </c>
      <c r="E6852" s="1" t="str">
        <f t="shared" ref="E6852:P6852" si="12452">"0"</f>
        <v>0</v>
      </c>
      <c r="F6852" s="1" t="str">
        <f t="shared" si="12452"/>
        <v>0</v>
      </c>
      <c r="G6852" s="1" t="str">
        <f t="shared" si="12452"/>
        <v>0</v>
      </c>
      <c r="H6852" s="1" t="str">
        <f t="shared" si="12452"/>
        <v>0</v>
      </c>
      <c r="I6852" s="1" t="str">
        <f t="shared" si="12452"/>
        <v>0</v>
      </c>
      <c r="J6852" s="1" t="str">
        <f t="shared" si="12452"/>
        <v>0</v>
      </c>
      <c r="K6852" s="1" t="str">
        <f t="shared" si="12452"/>
        <v>0</v>
      </c>
      <c r="L6852" s="1" t="str">
        <f t="shared" si="12452"/>
        <v>0</v>
      </c>
      <c r="M6852" s="1" t="str">
        <f t="shared" si="12452"/>
        <v>0</v>
      </c>
      <c r="N6852" s="1" t="str">
        <f t="shared" si="12452"/>
        <v>0</v>
      </c>
      <c r="O6852" s="1" t="str">
        <f t="shared" si="12452"/>
        <v>0</v>
      </c>
      <c r="P6852" s="1" t="str">
        <f t="shared" si="12452"/>
        <v>0</v>
      </c>
      <c r="Q6852" s="1" t="str">
        <f t="shared" si="12450"/>
        <v>0.0070</v>
      </c>
      <c r="R6852" s="1" t="s">
        <v>25</v>
      </c>
      <c r="T6852" s="1" t="str">
        <f t="shared" si="12451"/>
        <v>0</v>
      </c>
      <c r="U6852" s="1" t="str">
        <f t="shared" si="12433"/>
        <v>0.0070</v>
      </c>
    </row>
    <row r="6853" s="1" customFormat="1" spans="1:21">
      <c r="A6853" s="1" t="str">
        <f>"4601992299476"</f>
        <v>4601992299476</v>
      </c>
      <c r="B6853" s="1" t="s">
        <v>6876</v>
      </c>
      <c r="C6853" s="1" t="s">
        <v>24</v>
      </c>
      <c r="D6853" s="1" t="str">
        <f t="shared" si="12448"/>
        <v>2021</v>
      </c>
      <c r="E6853" s="1" t="str">
        <f t="shared" ref="E6853:P6853" si="12453">"0"</f>
        <v>0</v>
      </c>
      <c r="F6853" s="1" t="str">
        <f t="shared" si="12453"/>
        <v>0</v>
      </c>
      <c r="G6853" s="1" t="str">
        <f t="shared" si="12453"/>
        <v>0</v>
      </c>
      <c r="H6853" s="1" t="str">
        <f t="shared" si="12453"/>
        <v>0</v>
      </c>
      <c r="I6853" s="1" t="str">
        <f t="shared" si="12453"/>
        <v>0</v>
      </c>
      <c r="J6853" s="1" t="str">
        <f t="shared" si="12453"/>
        <v>0</v>
      </c>
      <c r="K6853" s="1" t="str">
        <f t="shared" si="12453"/>
        <v>0</v>
      </c>
      <c r="L6853" s="1" t="str">
        <f t="shared" si="12453"/>
        <v>0</v>
      </c>
      <c r="M6853" s="1" t="str">
        <f t="shared" si="12453"/>
        <v>0</v>
      </c>
      <c r="N6853" s="1" t="str">
        <f t="shared" si="12453"/>
        <v>0</v>
      </c>
      <c r="O6853" s="1" t="str">
        <f t="shared" si="12453"/>
        <v>0</v>
      </c>
      <c r="P6853" s="1" t="str">
        <f t="shared" si="12453"/>
        <v>0</v>
      </c>
      <c r="Q6853" s="1" t="str">
        <f t="shared" si="12450"/>
        <v>0.0070</v>
      </c>
      <c r="R6853" s="1" t="s">
        <v>25</v>
      </c>
      <c r="T6853" s="1" t="str">
        <f t="shared" si="12451"/>
        <v>0</v>
      </c>
      <c r="U6853" s="1" t="str">
        <f t="shared" si="12433"/>
        <v>0.0070</v>
      </c>
    </row>
    <row r="6854" s="1" customFormat="1" spans="1:21">
      <c r="A6854" s="1" t="str">
        <f>"4601992299496"</f>
        <v>4601992299496</v>
      </c>
      <c r="B6854" s="1" t="s">
        <v>6877</v>
      </c>
      <c r="C6854" s="1" t="s">
        <v>24</v>
      </c>
      <c r="D6854" s="1" t="str">
        <f t="shared" si="12448"/>
        <v>2021</v>
      </c>
      <c r="E6854" s="1" t="str">
        <f t="shared" ref="E6854:P6854" si="12454">"0"</f>
        <v>0</v>
      </c>
      <c r="F6854" s="1" t="str">
        <f t="shared" si="12454"/>
        <v>0</v>
      </c>
      <c r="G6854" s="1" t="str">
        <f t="shared" si="12454"/>
        <v>0</v>
      </c>
      <c r="H6854" s="1" t="str">
        <f t="shared" si="12454"/>
        <v>0</v>
      </c>
      <c r="I6854" s="1" t="str">
        <f t="shared" si="12454"/>
        <v>0</v>
      </c>
      <c r="J6854" s="1" t="str">
        <f t="shared" si="12454"/>
        <v>0</v>
      </c>
      <c r="K6854" s="1" t="str">
        <f t="shared" si="12454"/>
        <v>0</v>
      </c>
      <c r="L6854" s="1" t="str">
        <f t="shared" si="12454"/>
        <v>0</v>
      </c>
      <c r="M6854" s="1" t="str">
        <f t="shared" si="12454"/>
        <v>0</v>
      </c>
      <c r="N6854" s="1" t="str">
        <f t="shared" si="12454"/>
        <v>0</v>
      </c>
      <c r="O6854" s="1" t="str">
        <f t="shared" si="12454"/>
        <v>0</v>
      </c>
      <c r="P6854" s="1" t="str">
        <f t="shared" si="12454"/>
        <v>0</v>
      </c>
      <c r="Q6854" s="1" t="str">
        <f t="shared" si="12450"/>
        <v>0.0070</v>
      </c>
      <c r="R6854" s="1" t="s">
        <v>25</v>
      </c>
      <c r="T6854" s="1" t="str">
        <f t="shared" si="12451"/>
        <v>0</v>
      </c>
      <c r="U6854" s="1" t="str">
        <f t="shared" si="12433"/>
        <v>0.0070</v>
      </c>
    </row>
    <row r="6855" s="1" customFormat="1" spans="1:21">
      <c r="A6855" s="1" t="str">
        <f>"4601992299483"</f>
        <v>4601992299483</v>
      </c>
      <c r="B6855" s="1" t="s">
        <v>6878</v>
      </c>
      <c r="C6855" s="1" t="s">
        <v>24</v>
      </c>
      <c r="D6855" s="1" t="str">
        <f t="shared" si="12448"/>
        <v>2021</v>
      </c>
      <c r="E6855" s="1" t="str">
        <f t="shared" ref="E6855:P6855" si="12455">"0"</f>
        <v>0</v>
      </c>
      <c r="F6855" s="1" t="str">
        <f t="shared" si="12455"/>
        <v>0</v>
      </c>
      <c r="G6855" s="1" t="str">
        <f t="shared" si="12455"/>
        <v>0</v>
      </c>
      <c r="H6855" s="1" t="str">
        <f t="shared" si="12455"/>
        <v>0</v>
      </c>
      <c r="I6855" s="1" t="str">
        <f t="shared" si="12455"/>
        <v>0</v>
      </c>
      <c r="J6855" s="1" t="str">
        <f t="shared" si="12455"/>
        <v>0</v>
      </c>
      <c r="K6855" s="1" t="str">
        <f t="shared" si="12455"/>
        <v>0</v>
      </c>
      <c r="L6855" s="1" t="str">
        <f t="shared" si="12455"/>
        <v>0</v>
      </c>
      <c r="M6855" s="1" t="str">
        <f t="shared" si="12455"/>
        <v>0</v>
      </c>
      <c r="N6855" s="1" t="str">
        <f t="shared" si="12455"/>
        <v>0</v>
      </c>
      <c r="O6855" s="1" t="str">
        <f t="shared" si="12455"/>
        <v>0</v>
      </c>
      <c r="P6855" s="1" t="str">
        <f t="shared" si="12455"/>
        <v>0</v>
      </c>
      <c r="Q6855" s="1" t="str">
        <f t="shared" si="12450"/>
        <v>0.0070</v>
      </c>
      <c r="R6855" s="1" t="s">
        <v>25</v>
      </c>
      <c r="T6855" s="1" t="str">
        <f t="shared" si="12451"/>
        <v>0</v>
      </c>
      <c r="U6855" s="1" t="str">
        <f t="shared" si="12433"/>
        <v>0.0070</v>
      </c>
    </row>
    <row r="6856" s="1" customFormat="1" spans="1:21">
      <c r="A6856" s="1" t="str">
        <f>"4601992299482"</f>
        <v>4601992299482</v>
      </c>
      <c r="B6856" s="1" t="s">
        <v>6879</v>
      </c>
      <c r="C6856" s="1" t="s">
        <v>24</v>
      </c>
      <c r="D6856" s="1" t="str">
        <f t="shared" si="12448"/>
        <v>2021</v>
      </c>
      <c r="E6856" s="1" t="str">
        <f t="shared" ref="E6856:P6856" si="12456">"0"</f>
        <v>0</v>
      </c>
      <c r="F6856" s="1" t="str">
        <f t="shared" si="12456"/>
        <v>0</v>
      </c>
      <c r="G6856" s="1" t="str">
        <f t="shared" si="12456"/>
        <v>0</v>
      </c>
      <c r="H6856" s="1" t="str">
        <f t="shared" si="12456"/>
        <v>0</v>
      </c>
      <c r="I6856" s="1" t="str">
        <f t="shared" si="12456"/>
        <v>0</v>
      </c>
      <c r="J6856" s="1" t="str">
        <f t="shared" si="12456"/>
        <v>0</v>
      </c>
      <c r="K6856" s="1" t="str">
        <f t="shared" si="12456"/>
        <v>0</v>
      </c>
      <c r="L6856" s="1" t="str">
        <f t="shared" si="12456"/>
        <v>0</v>
      </c>
      <c r="M6856" s="1" t="str">
        <f t="shared" si="12456"/>
        <v>0</v>
      </c>
      <c r="N6856" s="1" t="str">
        <f t="shared" si="12456"/>
        <v>0</v>
      </c>
      <c r="O6856" s="1" t="str">
        <f t="shared" si="12456"/>
        <v>0</v>
      </c>
      <c r="P6856" s="1" t="str">
        <f t="shared" si="12456"/>
        <v>0</v>
      </c>
      <c r="Q6856" s="1" t="str">
        <f t="shared" si="12450"/>
        <v>0.0070</v>
      </c>
      <c r="R6856" s="1" t="s">
        <v>25</v>
      </c>
      <c r="T6856" s="1" t="str">
        <f t="shared" si="12451"/>
        <v>0</v>
      </c>
      <c r="U6856" s="1" t="str">
        <f t="shared" si="12433"/>
        <v>0.0070</v>
      </c>
    </row>
    <row r="6857" s="1" customFormat="1" spans="1:21">
      <c r="A6857" s="1" t="str">
        <f>"4601992299524"</f>
        <v>4601992299524</v>
      </c>
      <c r="B6857" s="1" t="s">
        <v>6880</v>
      </c>
      <c r="C6857" s="1" t="s">
        <v>24</v>
      </c>
      <c r="D6857" s="1" t="str">
        <f t="shared" si="12448"/>
        <v>2021</v>
      </c>
      <c r="E6857" s="1" t="str">
        <f t="shared" ref="E6857:P6857" si="12457">"0"</f>
        <v>0</v>
      </c>
      <c r="F6857" s="1" t="str">
        <f t="shared" si="12457"/>
        <v>0</v>
      </c>
      <c r="G6857" s="1" t="str">
        <f t="shared" si="12457"/>
        <v>0</v>
      </c>
      <c r="H6857" s="1" t="str">
        <f t="shared" si="12457"/>
        <v>0</v>
      </c>
      <c r="I6857" s="1" t="str">
        <f t="shared" si="12457"/>
        <v>0</v>
      </c>
      <c r="J6857" s="1" t="str">
        <f t="shared" si="12457"/>
        <v>0</v>
      </c>
      <c r="K6857" s="1" t="str">
        <f t="shared" si="12457"/>
        <v>0</v>
      </c>
      <c r="L6857" s="1" t="str">
        <f t="shared" si="12457"/>
        <v>0</v>
      </c>
      <c r="M6857" s="1" t="str">
        <f t="shared" si="12457"/>
        <v>0</v>
      </c>
      <c r="N6857" s="1" t="str">
        <f t="shared" si="12457"/>
        <v>0</v>
      </c>
      <c r="O6857" s="1" t="str">
        <f t="shared" si="12457"/>
        <v>0</v>
      </c>
      <c r="P6857" s="1" t="str">
        <f t="shared" si="12457"/>
        <v>0</v>
      </c>
      <c r="Q6857" s="1" t="str">
        <f t="shared" si="12450"/>
        <v>0.0070</v>
      </c>
      <c r="R6857" s="1" t="s">
        <v>25</v>
      </c>
      <c r="T6857" s="1" t="str">
        <f t="shared" si="12451"/>
        <v>0</v>
      </c>
      <c r="U6857" s="1" t="str">
        <f t="shared" si="12433"/>
        <v>0.0070</v>
      </c>
    </row>
    <row r="6858" s="1" customFormat="1" spans="1:21">
      <c r="A6858" s="1" t="str">
        <f>"4601992299739"</f>
        <v>4601992299739</v>
      </c>
      <c r="B6858" s="1" t="s">
        <v>6881</v>
      </c>
      <c r="C6858" s="1" t="s">
        <v>24</v>
      </c>
      <c r="D6858" s="1" t="str">
        <f t="shared" si="12448"/>
        <v>2021</v>
      </c>
      <c r="E6858" s="1" t="str">
        <f t="shared" ref="E6858:P6858" si="12458">"0"</f>
        <v>0</v>
      </c>
      <c r="F6858" s="1" t="str">
        <f t="shared" si="12458"/>
        <v>0</v>
      </c>
      <c r="G6858" s="1" t="str">
        <f t="shared" si="12458"/>
        <v>0</v>
      </c>
      <c r="H6858" s="1" t="str">
        <f t="shared" si="12458"/>
        <v>0</v>
      </c>
      <c r="I6858" s="1" t="str">
        <f t="shared" si="12458"/>
        <v>0</v>
      </c>
      <c r="J6858" s="1" t="str">
        <f t="shared" si="12458"/>
        <v>0</v>
      </c>
      <c r="K6858" s="1" t="str">
        <f t="shared" si="12458"/>
        <v>0</v>
      </c>
      <c r="L6858" s="1" t="str">
        <f t="shared" si="12458"/>
        <v>0</v>
      </c>
      <c r="M6858" s="1" t="str">
        <f t="shared" si="12458"/>
        <v>0</v>
      </c>
      <c r="N6858" s="1" t="str">
        <f t="shared" si="12458"/>
        <v>0</v>
      </c>
      <c r="O6858" s="1" t="str">
        <f t="shared" si="12458"/>
        <v>0</v>
      </c>
      <c r="P6858" s="1" t="str">
        <f t="shared" si="12458"/>
        <v>0</v>
      </c>
      <c r="Q6858" s="1" t="str">
        <f t="shared" si="12450"/>
        <v>0.0070</v>
      </c>
      <c r="R6858" s="1" t="s">
        <v>25</v>
      </c>
      <c r="T6858" s="1" t="str">
        <f t="shared" si="12451"/>
        <v>0</v>
      </c>
      <c r="U6858" s="1" t="str">
        <f t="shared" si="12433"/>
        <v>0.0070</v>
      </c>
    </row>
    <row r="6859" s="1" customFormat="1" spans="1:21">
      <c r="A6859" s="1" t="str">
        <f>"4601992013718"</f>
        <v>4601992013718</v>
      </c>
      <c r="B6859" s="1" t="s">
        <v>6882</v>
      </c>
      <c r="C6859" s="1" t="s">
        <v>24</v>
      </c>
      <c r="D6859" s="1" t="str">
        <f t="shared" si="12448"/>
        <v>2021</v>
      </c>
      <c r="E6859" s="1" t="str">
        <f>"24.18"</f>
        <v>24.18</v>
      </c>
      <c r="F6859" s="1" t="str">
        <f t="shared" ref="F6859:I6859" si="12459">"0"</f>
        <v>0</v>
      </c>
      <c r="G6859" s="1" t="str">
        <f t="shared" si="12459"/>
        <v>0</v>
      </c>
      <c r="H6859" s="1" t="str">
        <f t="shared" si="12459"/>
        <v>0</v>
      </c>
      <c r="I6859" s="1" t="str">
        <f t="shared" si="12459"/>
        <v>0</v>
      </c>
      <c r="J6859" s="1" t="str">
        <f>"3"</f>
        <v>3</v>
      </c>
      <c r="K6859" s="1" t="str">
        <f t="shared" ref="K6859:P6859" si="12460">"0"</f>
        <v>0</v>
      </c>
      <c r="L6859" s="1" t="str">
        <f t="shared" si="12460"/>
        <v>0</v>
      </c>
      <c r="M6859" s="1" t="str">
        <f t="shared" si="12460"/>
        <v>0</v>
      </c>
      <c r="N6859" s="1" t="str">
        <f t="shared" si="12460"/>
        <v>0</v>
      </c>
      <c r="O6859" s="1" t="str">
        <f t="shared" si="12460"/>
        <v>0</v>
      </c>
      <c r="P6859" s="1" t="str">
        <f t="shared" si="12460"/>
        <v>0</v>
      </c>
      <c r="Q6859" s="1" t="str">
        <f t="shared" si="12450"/>
        <v>0.0070</v>
      </c>
      <c r="R6859" s="1" t="s">
        <v>29</v>
      </c>
      <c r="S6859" s="1">
        <v>-0.0014</v>
      </c>
      <c r="T6859" s="1" t="str">
        <f t="shared" si="12451"/>
        <v>0</v>
      </c>
      <c r="U6859" s="1" t="str">
        <f>"0.0056"</f>
        <v>0.0056</v>
      </c>
    </row>
    <row r="6860" s="1" customFormat="1" spans="1:21">
      <c r="A6860" s="1" t="str">
        <f>"4601991407309"</f>
        <v>4601991407309</v>
      </c>
      <c r="B6860" s="1" t="s">
        <v>6883</v>
      </c>
      <c r="C6860" s="1" t="s">
        <v>24</v>
      </c>
      <c r="D6860" s="1" t="str">
        <f t="shared" si="12448"/>
        <v>2021</v>
      </c>
      <c r="E6860" s="1" t="str">
        <f>"2897.23"</f>
        <v>2897.23</v>
      </c>
      <c r="F6860" s="1" t="str">
        <f>"688.50"</f>
        <v>688.50</v>
      </c>
      <c r="G6860" s="1" t="str">
        <f t="shared" ref="G6860:L6860" si="12461">"0"</f>
        <v>0</v>
      </c>
      <c r="H6860" s="1" t="str">
        <f t="shared" si="12461"/>
        <v>0</v>
      </c>
      <c r="I6860" s="1" t="str">
        <f>"0.2376"</f>
        <v>0.2376</v>
      </c>
      <c r="J6860" s="1" t="str">
        <f>"242"</f>
        <v>242</v>
      </c>
      <c r="K6860" s="1" t="str">
        <f>"1"</f>
        <v>1</v>
      </c>
      <c r="L6860" s="1" t="str">
        <f t="shared" si="12461"/>
        <v>0</v>
      </c>
      <c r="M6860" s="1" t="str">
        <f>"0.0041"</f>
        <v>0.0041</v>
      </c>
      <c r="N6860" s="1" t="str">
        <f t="shared" ref="N6860:P6860" si="12462">"0"</f>
        <v>0</v>
      </c>
      <c r="O6860" s="1" t="str">
        <f t="shared" si="12462"/>
        <v>0</v>
      </c>
      <c r="P6860" s="1" t="str">
        <f t="shared" si="12462"/>
        <v>0</v>
      </c>
      <c r="Q6860" s="1" t="str">
        <f t="shared" si="12450"/>
        <v>0.0070</v>
      </c>
      <c r="R6860" s="1" t="s">
        <v>29</v>
      </c>
      <c r="S6860" s="1">
        <v>-0.0014</v>
      </c>
      <c r="T6860" s="1" t="str">
        <f t="shared" si="12451"/>
        <v>0</v>
      </c>
      <c r="U6860" s="1" t="str">
        <f>"0.0056"</f>
        <v>0.0056</v>
      </c>
    </row>
    <row r="6861" s="1" customFormat="1" spans="1:21">
      <c r="A6861" s="1" t="str">
        <f>"4601992299743"</f>
        <v>4601992299743</v>
      </c>
      <c r="B6861" s="1" t="s">
        <v>6884</v>
      </c>
      <c r="C6861" s="1" t="s">
        <v>24</v>
      </c>
      <c r="D6861" s="1" t="str">
        <f t="shared" si="12448"/>
        <v>2021</v>
      </c>
      <c r="E6861" s="1" t="str">
        <f t="shared" ref="E6861:P6861" si="12463">"0"</f>
        <v>0</v>
      </c>
      <c r="F6861" s="1" t="str">
        <f t="shared" si="12463"/>
        <v>0</v>
      </c>
      <c r="G6861" s="1" t="str">
        <f t="shared" si="12463"/>
        <v>0</v>
      </c>
      <c r="H6861" s="1" t="str">
        <f t="shared" si="12463"/>
        <v>0</v>
      </c>
      <c r="I6861" s="1" t="str">
        <f t="shared" si="12463"/>
        <v>0</v>
      </c>
      <c r="J6861" s="1" t="str">
        <f t="shared" si="12463"/>
        <v>0</v>
      </c>
      <c r="K6861" s="1" t="str">
        <f t="shared" si="12463"/>
        <v>0</v>
      </c>
      <c r="L6861" s="1" t="str">
        <f t="shared" si="12463"/>
        <v>0</v>
      </c>
      <c r="M6861" s="1" t="str">
        <f t="shared" si="12463"/>
        <v>0</v>
      </c>
      <c r="N6861" s="1" t="str">
        <f t="shared" si="12463"/>
        <v>0</v>
      </c>
      <c r="O6861" s="1" t="str">
        <f t="shared" si="12463"/>
        <v>0</v>
      </c>
      <c r="P6861" s="1" t="str">
        <f t="shared" si="12463"/>
        <v>0</v>
      </c>
      <c r="Q6861" s="1" t="str">
        <f t="shared" si="12450"/>
        <v>0.0070</v>
      </c>
      <c r="R6861" s="1" t="s">
        <v>25</v>
      </c>
      <c r="T6861" s="1" t="str">
        <f t="shared" si="12451"/>
        <v>0</v>
      </c>
      <c r="U6861" s="1" t="str">
        <f t="shared" ref="U6861:U6874" si="12464">"0.0070"</f>
        <v>0.0070</v>
      </c>
    </row>
    <row r="6862" s="1" customFormat="1" spans="1:21">
      <c r="A6862" s="1" t="str">
        <f>"4601992299764"</f>
        <v>4601992299764</v>
      </c>
      <c r="B6862" s="1" t="s">
        <v>6885</v>
      </c>
      <c r="C6862" s="1" t="s">
        <v>24</v>
      </c>
      <c r="D6862" s="1" t="str">
        <f t="shared" si="12448"/>
        <v>2021</v>
      </c>
      <c r="E6862" s="1" t="str">
        <f t="shared" ref="E6862:P6862" si="12465">"0"</f>
        <v>0</v>
      </c>
      <c r="F6862" s="1" t="str">
        <f t="shared" si="12465"/>
        <v>0</v>
      </c>
      <c r="G6862" s="1" t="str">
        <f t="shared" si="12465"/>
        <v>0</v>
      </c>
      <c r="H6862" s="1" t="str">
        <f t="shared" si="12465"/>
        <v>0</v>
      </c>
      <c r="I6862" s="1" t="str">
        <f t="shared" si="12465"/>
        <v>0</v>
      </c>
      <c r="J6862" s="1" t="str">
        <f t="shared" si="12465"/>
        <v>0</v>
      </c>
      <c r="K6862" s="1" t="str">
        <f t="shared" si="12465"/>
        <v>0</v>
      </c>
      <c r="L6862" s="1" t="str">
        <f t="shared" si="12465"/>
        <v>0</v>
      </c>
      <c r="M6862" s="1" t="str">
        <f t="shared" si="12465"/>
        <v>0</v>
      </c>
      <c r="N6862" s="1" t="str">
        <f t="shared" si="12465"/>
        <v>0</v>
      </c>
      <c r="O6862" s="1" t="str">
        <f t="shared" si="12465"/>
        <v>0</v>
      </c>
      <c r="P6862" s="1" t="str">
        <f t="shared" si="12465"/>
        <v>0</v>
      </c>
      <c r="Q6862" s="1" t="str">
        <f t="shared" si="12450"/>
        <v>0.0070</v>
      </c>
      <c r="R6862" s="1" t="s">
        <v>25</v>
      </c>
      <c r="T6862" s="1" t="str">
        <f t="shared" si="12451"/>
        <v>0</v>
      </c>
      <c r="U6862" s="1" t="str">
        <f t="shared" si="12464"/>
        <v>0.0070</v>
      </c>
    </row>
    <row r="6863" s="1" customFormat="1" spans="1:21">
      <c r="A6863" s="1" t="str">
        <f>"4601992299835"</f>
        <v>4601992299835</v>
      </c>
      <c r="B6863" s="1" t="s">
        <v>6886</v>
      </c>
      <c r="C6863" s="1" t="s">
        <v>24</v>
      </c>
      <c r="D6863" s="1" t="str">
        <f t="shared" si="12448"/>
        <v>2021</v>
      </c>
      <c r="E6863" s="1" t="str">
        <f t="shared" ref="E6863:P6863" si="12466">"0"</f>
        <v>0</v>
      </c>
      <c r="F6863" s="1" t="str">
        <f t="shared" si="12466"/>
        <v>0</v>
      </c>
      <c r="G6863" s="1" t="str">
        <f t="shared" si="12466"/>
        <v>0</v>
      </c>
      <c r="H6863" s="1" t="str">
        <f t="shared" si="12466"/>
        <v>0</v>
      </c>
      <c r="I6863" s="1" t="str">
        <f t="shared" si="12466"/>
        <v>0</v>
      </c>
      <c r="J6863" s="1" t="str">
        <f t="shared" si="12466"/>
        <v>0</v>
      </c>
      <c r="K6863" s="1" t="str">
        <f t="shared" si="12466"/>
        <v>0</v>
      </c>
      <c r="L6863" s="1" t="str">
        <f t="shared" si="12466"/>
        <v>0</v>
      </c>
      <c r="M6863" s="1" t="str">
        <f t="shared" si="12466"/>
        <v>0</v>
      </c>
      <c r="N6863" s="1" t="str">
        <f t="shared" si="12466"/>
        <v>0</v>
      </c>
      <c r="O6863" s="1" t="str">
        <f t="shared" si="12466"/>
        <v>0</v>
      </c>
      <c r="P6863" s="1" t="str">
        <f t="shared" si="12466"/>
        <v>0</v>
      </c>
      <c r="Q6863" s="1" t="str">
        <f t="shared" si="12450"/>
        <v>0.0070</v>
      </c>
      <c r="R6863" s="1" t="s">
        <v>25</v>
      </c>
      <c r="T6863" s="1" t="str">
        <f t="shared" si="12451"/>
        <v>0</v>
      </c>
      <c r="U6863" s="1" t="str">
        <f t="shared" si="12464"/>
        <v>0.0070</v>
      </c>
    </row>
    <row r="6864" s="1" customFormat="1" spans="1:21">
      <c r="A6864" s="1" t="str">
        <f>"4601992300024"</f>
        <v>4601992300024</v>
      </c>
      <c r="B6864" s="1" t="s">
        <v>6887</v>
      </c>
      <c r="C6864" s="1" t="s">
        <v>24</v>
      </c>
      <c r="D6864" s="1" t="str">
        <f t="shared" si="12448"/>
        <v>2021</v>
      </c>
      <c r="E6864" s="1" t="str">
        <f t="shared" ref="E6864:P6864" si="12467">"0"</f>
        <v>0</v>
      </c>
      <c r="F6864" s="1" t="str">
        <f t="shared" si="12467"/>
        <v>0</v>
      </c>
      <c r="G6864" s="1" t="str">
        <f t="shared" si="12467"/>
        <v>0</v>
      </c>
      <c r="H6864" s="1" t="str">
        <f t="shared" si="12467"/>
        <v>0</v>
      </c>
      <c r="I6864" s="1" t="str">
        <f t="shared" si="12467"/>
        <v>0</v>
      </c>
      <c r="J6864" s="1" t="str">
        <f t="shared" si="12467"/>
        <v>0</v>
      </c>
      <c r="K6864" s="1" t="str">
        <f t="shared" si="12467"/>
        <v>0</v>
      </c>
      <c r="L6864" s="1" t="str">
        <f t="shared" si="12467"/>
        <v>0</v>
      </c>
      <c r="M6864" s="1" t="str">
        <f t="shared" si="12467"/>
        <v>0</v>
      </c>
      <c r="N6864" s="1" t="str">
        <f t="shared" si="12467"/>
        <v>0</v>
      </c>
      <c r="O6864" s="1" t="str">
        <f t="shared" si="12467"/>
        <v>0</v>
      </c>
      <c r="P6864" s="1" t="str">
        <f t="shared" si="12467"/>
        <v>0</v>
      </c>
      <c r="Q6864" s="1" t="str">
        <f t="shared" si="12450"/>
        <v>0.0070</v>
      </c>
      <c r="R6864" s="1" t="s">
        <v>25</v>
      </c>
      <c r="T6864" s="1" t="str">
        <f t="shared" si="12451"/>
        <v>0</v>
      </c>
      <c r="U6864" s="1" t="str">
        <f t="shared" si="12464"/>
        <v>0.0070</v>
      </c>
    </row>
    <row r="6865" s="1" customFormat="1" spans="1:21">
      <c r="A6865" s="1" t="str">
        <f>"4601992300094"</f>
        <v>4601992300094</v>
      </c>
      <c r="B6865" s="1" t="s">
        <v>6888</v>
      </c>
      <c r="C6865" s="1" t="s">
        <v>24</v>
      </c>
      <c r="D6865" s="1" t="str">
        <f t="shared" si="12448"/>
        <v>2021</v>
      </c>
      <c r="E6865" s="1" t="str">
        <f t="shared" ref="E6865:P6865" si="12468">"0"</f>
        <v>0</v>
      </c>
      <c r="F6865" s="1" t="str">
        <f t="shared" si="12468"/>
        <v>0</v>
      </c>
      <c r="G6865" s="1" t="str">
        <f t="shared" si="12468"/>
        <v>0</v>
      </c>
      <c r="H6865" s="1" t="str">
        <f t="shared" si="12468"/>
        <v>0</v>
      </c>
      <c r="I6865" s="1" t="str">
        <f t="shared" si="12468"/>
        <v>0</v>
      </c>
      <c r="J6865" s="1" t="str">
        <f t="shared" si="12468"/>
        <v>0</v>
      </c>
      <c r="K6865" s="1" t="str">
        <f t="shared" si="12468"/>
        <v>0</v>
      </c>
      <c r="L6865" s="1" t="str">
        <f t="shared" si="12468"/>
        <v>0</v>
      </c>
      <c r="M6865" s="1" t="str">
        <f t="shared" si="12468"/>
        <v>0</v>
      </c>
      <c r="N6865" s="1" t="str">
        <f t="shared" si="12468"/>
        <v>0</v>
      </c>
      <c r="O6865" s="1" t="str">
        <f t="shared" si="12468"/>
        <v>0</v>
      </c>
      <c r="P6865" s="1" t="str">
        <f t="shared" si="12468"/>
        <v>0</v>
      </c>
      <c r="Q6865" s="1" t="str">
        <f t="shared" si="12450"/>
        <v>0.0070</v>
      </c>
      <c r="R6865" s="1" t="s">
        <v>25</v>
      </c>
      <c r="T6865" s="1" t="str">
        <f t="shared" si="12451"/>
        <v>0</v>
      </c>
      <c r="U6865" s="1" t="str">
        <f t="shared" si="12464"/>
        <v>0.0070</v>
      </c>
    </row>
    <row r="6866" s="1" customFormat="1" spans="1:21">
      <c r="A6866" s="1" t="str">
        <f>"4601992300139"</f>
        <v>4601992300139</v>
      </c>
      <c r="B6866" s="1" t="s">
        <v>6889</v>
      </c>
      <c r="C6866" s="1" t="s">
        <v>24</v>
      </c>
      <c r="D6866" s="1" t="str">
        <f t="shared" si="12448"/>
        <v>2021</v>
      </c>
      <c r="E6866" s="1" t="str">
        <f t="shared" ref="E6866:P6866" si="12469">"0"</f>
        <v>0</v>
      </c>
      <c r="F6866" s="1" t="str">
        <f t="shared" si="12469"/>
        <v>0</v>
      </c>
      <c r="G6866" s="1" t="str">
        <f t="shared" si="12469"/>
        <v>0</v>
      </c>
      <c r="H6866" s="1" t="str">
        <f t="shared" si="12469"/>
        <v>0</v>
      </c>
      <c r="I6866" s="1" t="str">
        <f t="shared" si="12469"/>
        <v>0</v>
      </c>
      <c r="J6866" s="1" t="str">
        <f t="shared" si="12469"/>
        <v>0</v>
      </c>
      <c r="K6866" s="1" t="str">
        <f t="shared" si="12469"/>
        <v>0</v>
      </c>
      <c r="L6866" s="1" t="str">
        <f t="shared" si="12469"/>
        <v>0</v>
      </c>
      <c r="M6866" s="1" t="str">
        <f t="shared" si="12469"/>
        <v>0</v>
      </c>
      <c r="N6866" s="1" t="str">
        <f t="shared" si="12469"/>
        <v>0</v>
      </c>
      <c r="O6866" s="1" t="str">
        <f t="shared" si="12469"/>
        <v>0</v>
      </c>
      <c r="P6866" s="1" t="str">
        <f t="shared" si="12469"/>
        <v>0</v>
      </c>
      <c r="Q6866" s="1" t="str">
        <f t="shared" si="12450"/>
        <v>0.0070</v>
      </c>
      <c r="R6866" s="1" t="s">
        <v>25</v>
      </c>
      <c r="T6866" s="1" t="str">
        <f t="shared" si="12451"/>
        <v>0</v>
      </c>
      <c r="U6866" s="1" t="str">
        <f t="shared" si="12464"/>
        <v>0.0070</v>
      </c>
    </row>
    <row r="6867" s="1" customFormat="1" spans="1:21">
      <c r="A6867" s="1" t="str">
        <f>"4601992300121"</f>
        <v>4601992300121</v>
      </c>
      <c r="B6867" s="1" t="s">
        <v>6890</v>
      </c>
      <c r="C6867" s="1" t="s">
        <v>24</v>
      </c>
      <c r="D6867" s="1" t="str">
        <f t="shared" si="12448"/>
        <v>2021</v>
      </c>
      <c r="E6867" s="1" t="str">
        <f t="shared" ref="E6867:P6867" si="12470">"0"</f>
        <v>0</v>
      </c>
      <c r="F6867" s="1" t="str">
        <f t="shared" si="12470"/>
        <v>0</v>
      </c>
      <c r="G6867" s="1" t="str">
        <f t="shared" si="12470"/>
        <v>0</v>
      </c>
      <c r="H6867" s="1" t="str">
        <f t="shared" si="12470"/>
        <v>0</v>
      </c>
      <c r="I6867" s="1" t="str">
        <f t="shared" si="12470"/>
        <v>0</v>
      </c>
      <c r="J6867" s="1" t="str">
        <f t="shared" si="12470"/>
        <v>0</v>
      </c>
      <c r="K6867" s="1" t="str">
        <f t="shared" si="12470"/>
        <v>0</v>
      </c>
      <c r="L6867" s="1" t="str">
        <f t="shared" si="12470"/>
        <v>0</v>
      </c>
      <c r="M6867" s="1" t="str">
        <f t="shared" si="12470"/>
        <v>0</v>
      </c>
      <c r="N6867" s="1" t="str">
        <f t="shared" si="12470"/>
        <v>0</v>
      </c>
      <c r="O6867" s="1" t="str">
        <f t="shared" si="12470"/>
        <v>0</v>
      </c>
      <c r="P6867" s="1" t="str">
        <f t="shared" si="12470"/>
        <v>0</v>
      </c>
      <c r="Q6867" s="1" t="str">
        <f t="shared" si="12450"/>
        <v>0.0070</v>
      </c>
      <c r="R6867" s="1" t="s">
        <v>25</v>
      </c>
      <c r="T6867" s="1" t="str">
        <f t="shared" si="12451"/>
        <v>0</v>
      </c>
      <c r="U6867" s="1" t="str">
        <f t="shared" si="12464"/>
        <v>0.0070</v>
      </c>
    </row>
    <row r="6868" s="1" customFormat="1" spans="1:21">
      <c r="A6868" s="1" t="str">
        <f>"4601992300221"</f>
        <v>4601992300221</v>
      </c>
      <c r="B6868" s="1" t="s">
        <v>6891</v>
      </c>
      <c r="C6868" s="1" t="s">
        <v>24</v>
      </c>
      <c r="D6868" s="1" t="str">
        <f t="shared" si="12448"/>
        <v>2021</v>
      </c>
      <c r="E6868" s="1" t="str">
        <f t="shared" ref="E6868:P6868" si="12471">"0"</f>
        <v>0</v>
      </c>
      <c r="F6868" s="1" t="str">
        <f t="shared" si="12471"/>
        <v>0</v>
      </c>
      <c r="G6868" s="1" t="str">
        <f t="shared" si="12471"/>
        <v>0</v>
      </c>
      <c r="H6868" s="1" t="str">
        <f t="shared" si="12471"/>
        <v>0</v>
      </c>
      <c r="I6868" s="1" t="str">
        <f t="shared" si="12471"/>
        <v>0</v>
      </c>
      <c r="J6868" s="1" t="str">
        <f t="shared" si="12471"/>
        <v>0</v>
      </c>
      <c r="K6868" s="1" t="str">
        <f t="shared" si="12471"/>
        <v>0</v>
      </c>
      <c r="L6868" s="1" t="str">
        <f t="shared" si="12471"/>
        <v>0</v>
      </c>
      <c r="M6868" s="1" t="str">
        <f t="shared" si="12471"/>
        <v>0</v>
      </c>
      <c r="N6868" s="1" t="str">
        <f t="shared" si="12471"/>
        <v>0</v>
      </c>
      <c r="O6868" s="1" t="str">
        <f t="shared" si="12471"/>
        <v>0</v>
      </c>
      <c r="P6868" s="1" t="str">
        <f t="shared" si="12471"/>
        <v>0</v>
      </c>
      <c r="Q6868" s="1" t="str">
        <f t="shared" si="12450"/>
        <v>0.0070</v>
      </c>
      <c r="R6868" s="1" t="s">
        <v>25</v>
      </c>
      <c r="T6868" s="1" t="str">
        <f t="shared" si="12451"/>
        <v>0</v>
      </c>
      <c r="U6868" s="1" t="str">
        <f t="shared" si="12464"/>
        <v>0.0070</v>
      </c>
    </row>
    <row r="6869" s="1" customFormat="1" spans="1:21">
      <c r="A6869" s="1" t="str">
        <f>"4601992300506"</f>
        <v>4601992300506</v>
      </c>
      <c r="B6869" s="1" t="s">
        <v>6892</v>
      </c>
      <c r="C6869" s="1" t="s">
        <v>24</v>
      </c>
      <c r="D6869" s="1" t="str">
        <f t="shared" si="12448"/>
        <v>2021</v>
      </c>
      <c r="E6869" s="1" t="str">
        <f t="shared" ref="E6869:P6869" si="12472">"0"</f>
        <v>0</v>
      </c>
      <c r="F6869" s="1" t="str">
        <f t="shared" si="12472"/>
        <v>0</v>
      </c>
      <c r="G6869" s="1" t="str">
        <f t="shared" si="12472"/>
        <v>0</v>
      </c>
      <c r="H6869" s="1" t="str">
        <f t="shared" si="12472"/>
        <v>0</v>
      </c>
      <c r="I6869" s="1" t="str">
        <f t="shared" si="12472"/>
        <v>0</v>
      </c>
      <c r="J6869" s="1" t="str">
        <f t="shared" si="12472"/>
        <v>0</v>
      </c>
      <c r="K6869" s="1" t="str">
        <f t="shared" si="12472"/>
        <v>0</v>
      </c>
      <c r="L6869" s="1" t="str">
        <f t="shared" si="12472"/>
        <v>0</v>
      </c>
      <c r="M6869" s="1" t="str">
        <f t="shared" si="12472"/>
        <v>0</v>
      </c>
      <c r="N6869" s="1" t="str">
        <f t="shared" si="12472"/>
        <v>0</v>
      </c>
      <c r="O6869" s="1" t="str">
        <f t="shared" si="12472"/>
        <v>0</v>
      </c>
      <c r="P6869" s="1" t="str">
        <f t="shared" si="12472"/>
        <v>0</v>
      </c>
      <c r="Q6869" s="1" t="str">
        <f t="shared" si="12450"/>
        <v>0.0070</v>
      </c>
      <c r="R6869" s="1" t="s">
        <v>25</v>
      </c>
      <c r="T6869" s="1" t="str">
        <f t="shared" si="12451"/>
        <v>0</v>
      </c>
      <c r="U6869" s="1" t="str">
        <f t="shared" si="12464"/>
        <v>0.0070</v>
      </c>
    </row>
    <row r="6870" s="1" customFormat="1" spans="1:21">
      <c r="A6870" s="1" t="str">
        <f>"4601992300556"</f>
        <v>4601992300556</v>
      </c>
      <c r="B6870" s="1" t="s">
        <v>6893</v>
      </c>
      <c r="C6870" s="1" t="s">
        <v>24</v>
      </c>
      <c r="D6870" s="1" t="str">
        <f t="shared" si="12448"/>
        <v>2021</v>
      </c>
      <c r="E6870" s="1" t="str">
        <f t="shared" ref="E6870:P6870" si="12473">"0"</f>
        <v>0</v>
      </c>
      <c r="F6870" s="1" t="str">
        <f t="shared" si="12473"/>
        <v>0</v>
      </c>
      <c r="G6870" s="1" t="str">
        <f t="shared" si="12473"/>
        <v>0</v>
      </c>
      <c r="H6870" s="1" t="str">
        <f t="shared" si="12473"/>
        <v>0</v>
      </c>
      <c r="I6870" s="1" t="str">
        <f t="shared" si="12473"/>
        <v>0</v>
      </c>
      <c r="J6870" s="1" t="str">
        <f t="shared" si="12473"/>
        <v>0</v>
      </c>
      <c r="K6870" s="1" t="str">
        <f t="shared" si="12473"/>
        <v>0</v>
      </c>
      <c r="L6870" s="1" t="str">
        <f t="shared" si="12473"/>
        <v>0</v>
      </c>
      <c r="M6870" s="1" t="str">
        <f t="shared" si="12473"/>
        <v>0</v>
      </c>
      <c r="N6870" s="1" t="str">
        <f t="shared" si="12473"/>
        <v>0</v>
      </c>
      <c r="O6870" s="1" t="str">
        <f t="shared" si="12473"/>
        <v>0</v>
      </c>
      <c r="P6870" s="1" t="str">
        <f t="shared" si="12473"/>
        <v>0</v>
      </c>
      <c r="Q6870" s="1" t="str">
        <f t="shared" si="12450"/>
        <v>0.0070</v>
      </c>
      <c r="R6870" s="1" t="s">
        <v>25</v>
      </c>
      <c r="T6870" s="1" t="str">
        <f t="shared" si="12451"/>
        <v>0</v>
      </c>
      <c r="U6870" s="1" t="str">
        <f t="shared" si="12464"/>
        <v>0.0070</v>
      </c>
    </row>
    <row r="6871" s="1" customFormat="1" spans="1:21">
      <c r="A6871" s="1" t="str">
        <f>"4601992300658"</f>
        <v>4601992300658</v>
      </c>
      <c r="B6871" s="1" t="s">
        <v>6894</v>
      </c>
      <c r="C6871" s="1" t="s">
        <v>24</v>
      </c>
      <c r="D6871" s="1" t="str">
        <f t="shared" si="12448"/>
        <v>2021</v>
      </c>
      <c r="E6871" s="1" t="str">
        <f t="shared" ref="E6871:P6871" si="12474">"0"</f>
        <v>0</v>
      </c>
      <c r="F6871" s="1" t="str">
        <f t="shared" si="12474"/>
        <v>0</v>
      </c>
      <c r="G6871" s="1" t="str">
        <f t="shared" si="12474"/>
        <v>0</v>
      </c>
      <c r="H6871" s="1" t="str">
        <f t="shared" si="12474"/>
        <v>0</v>
      </c>
      <c r="I6871" s="1" t="str">
        <f t="shared" si="12474"/>
        <v>0</v>
      </c>
      <c r="J6871" s="1" t="str">
        <f t="shared" si="12474"/>
        <v>0</v>
      </c>
      <c r="K6871" s="1" t="str">
        <f t="shared" si="12474"/>
        <v>0</v>
      </c>
      <c r="L6871" s="1" t="str">
        <f t="shared" si="12474"/>
        <v>0</v>
      </c>
      <c r="M6871" s="1" t="str">
        <f t="shared" si="12474"/>
        <v>0</v>
      </c>
      <c r="N6871" s="1" t="str">
        <f t="shared" si="12474"/>
        <v>0</v>
      </c>
      <c r="O6871" s="1" t="str">
        <f t="shared" si="12474"/>
        <v>0</v>
      </c>
      <c r="P6871" s="1" t="str">
        <f t="shared" si="12474"/>
        <v>0</v>
      </c>
      <c r="Q6871" s="1" t="str">
        <f t="shared" si="12450"/>
        <v>0.0070</v>
      </c>
      <c r="R6871" s="1" t="s">
        <v>25</v>
      </c>
      <c r="T6871" s="1" t="str">
        <f t="shared" si="12451"/>
        <v>0</v>
      </c>
      <c r="U6871" s="1" t="str">
        <f t="shared" si="12464"/>
        <v>0.0070</v>
      </c>
    </row>
    <row r="6872" s="1" customFormat="1" spans="1:21">
      <c r="A6872" s="1" t="str">
        <f>"4601992300725"</f>
        <v>4601992300725</v>
      </c>
      <c r="B6872" s="1" t="s">
        <v>6895</v>
      </c>
      <c r="C6872" s="1" t="s">
        <v>24</v>
      </c>
      <c r="D6872" s="1" t="str">
        <f t="shared" si="12448"/>
        <v>2021</v>
      </c>
      <c r="E6872" s="1" t="str">
        <f t="shared" ref="E6872:P6872" si="12475">"0"</f>
        <v>0</v>
      </c>
      <c r="F6872" s="1" t="str">
        <f t="shared" si="12475"/>
        <v>0</v>
      </c>
      <c r="G6872" s="1" t="str">
        <f t="shared" si="12475"/>
        <v>0</v>
      </c>
      <c r="H6872" s="1" t="str">
        <f t="shared" si="12475"/>
        <v>0</v>
      </c>
      <c r="I6872" s="1" t="str">
        <f t="shared" si="12475"/>
        <v>0</v>
      </c>
      <c r="J6872" s="1" t="str">
        <f t="shared" si="12475"/>
        <v>0</v>
      </c>
      <c r="K6872" s="1" t="str">
        <f t="shared" si="12475"/>
        <v>0</v>
      </c>
      <c r="L6872" s="1" t="str">
        <f t="shared" si="12475"/>
        <v>0</v>
      </c>
      <c r="M6872" s="1" t="str">
        <f t="shared" si="12475"/>
        <v>0</v>
      </c>
      <c r="N6872" s="1" t="str">
        <f t="shared" si="12475"/>
        <v>0</v>
      </c>
      <c r="O6872" s="1" t="str">
        <f t="shared" si="12475"/>
        <v>0</v>
      </c>
      <c r="P6872" s="1" t="str">
        <f t="shared" si="12475"/>
        <v>0</v>
      </c>
      <c r="Q6872" s="1" t="str">
        <f t="shared" si="12450"/>
        <v>0.0070</v>
      </c>
      <c r="R6872" s="1" t="s">
        <v>25</v>
      </c>
      <c r="T6872" s="1" t="str">
        <f t="shared" si="12451"/>
        <v>0</v>
      </c>
      <c r="U6872" s="1" t="str">
        <f t="shared" si="12464"/>
        <v>0.0070</v>
      </c>
    </row>
    <row r="6873" s="1" customFormat="1" spans="1:21">
      <c r="A6873" s="1" t="str">
        <f>"4601992301220"</f>
        <v>4601992301220</v>
      </c>
      <c r="B6873" s="1" t="s">
        <v>6896</v>
      </c>
      <c r="C6873" s="1" t="s">
        <v>24</v>
      </c>
      <c r="D6873" s="1" t="str">
        <f t="shared" si="12448"/>
        <v>2021</v>
      </c>
      <c r="E6873" s="1" t="str">
        <f t="shared" ref="E6873:P6873" si="12476">"0"</f>
        <v>0</v>
      </c>
      <c r="F6873" s="1" t="str">
        <f t="shared" si="12476"/>
        <v>0</v>
      </c>
      <c r="G6873" s="1" t="str">
        <f t="shared" si="12476"/>
        <v>0</v>
      </c>
      <c r="H6873" s="1" t="str">
        <f t="shared" si="12476"/>
        <v>0</v>
      </c>
      <c r="I6873" s="1" t="str">
        <f t="shared" si="12476"/>
        <v>0</v>
      </c>
      <c r="J6873" s="1" t="str">
        <f t="shared" si="12476"/>
        <v>0</v>
      </c>
      <c r="K6873" s="1" t="str">
        <f t="shared" si="12476"/>
        <v>0</v>
      </c>
      <c r="L6873" s="1" t="str">
        <f t="shared" si="12476"/>
        <v>0</v>
      </c>
      <c r="M6873" s="1" t="str">
        <f t="shared" si="12476"/>
        <v>0</v>
      </c>
      <c r="N6873" s="1" t="str">
        <f t="shared" si="12476"/>
        <v>0</v>
      </c>
      <c r="O6873" s="1" t="str">
        <f t="shared" si="12476"/>
        <v>0</v>
      </c>
      <c r="P6873" s="1" t="str">
        <f t="shared" si="12476"/>
        <v>0</v>
      </c>
      <c r="Q6873" s="1" t="str">
        <f t="shared" si="12450"/>
        <v>0.0070</v>
      </c>
      <c r="R6873" s="1" t="s">
        <v>25</v>
      </c>
      <c r="T6873" s="1" t="str">
        <f t="shared" si="12451"/>
        <v>0</v>
      </c>
      <c r="U6873" s="1" t="str">
        <f t="shared" si="12464"/>
        <v>0.0070</v>
      </c>
    </row>
    <row r="6874" s="1" customFormat="1" spans="1:21">
      <c r="A6874" s="1" t="str">
        <f>"4601992137727"</f>
        <v>4601992137727</v>
      </c>
      <c r="B6874" s="1" t="s">
        <v>6897</v>
      </c>
      <c r="C6874" s="1" t="s">
        <v>24</v>
      </c>
      <c r="D6874" s="1" t="str">
        <f t="shared" si="12448"/>
        <v>2021</v>
      </c>
      <c r="E6874" s="1" t="str">
        <f t="shared" ref="E6874:P6874" si="12477">"0"</f>
        <v>0</v>
      </c>
      <c r="F6874" s="1" t="str">
        <f t="shared" si="12477"/>
        <v>0</v>
      </c>
      <c r="G6874" s="1" t="str">
        <f t="shared" si="12477"/>
        <v>0</v>
      </c>
      <c r="H6874" s="1" t="str">
        <f t="shared" si="12477"/>
        <v>0</v>
      </c>
      <c r="I6874" s="1" t="str">
        <f t="shared" si="12477"/>
        <v>0</v>
      </c>
      <c r="J6874" s="1" t="str">
        <f t="shared" si="12477"/>
        <v>0</v>
      </c>
      <c r="K6874" s="1" t="str">
        <f t="shared" si="12477"/>
        <v>0</v>
      </c>
      <c r="L6874" s="1" t="str">
        <f t="shared" si="12477"/>
        <v>0</v>
      </c>
      <c r="M6874" s="1" t="str">
        <f t="shared" si="12477"/>
        <v>0</v>
      </c>
      <c r="N6874" s="1" t="str">
        <f t="shared" si="12477"/>
        <v>0</v>
      </c>
      <c r="O6874" s="1" t="str">
        <f t="shared" si="12477"/>
        <v>0</v>
      </c>
      <c r="P6874" s="1" t="str">
        <f t="shared" si="12477"/>
        <v>0</v>
      </c>
      <c r="Q6874" s="1" t="str">
        <f t="shared" si="12450"/>
        <v>0.0070</v>
      </c>
      <c r="R6874" s="1" t="s">
        <v>25</v>
      </c>
      <c r="T6874" s="1" t="str">
        <f t="shared" si="12451"/>
        <v>0</v>
      </c>
      <c r="U6874" s="1" t="str">
        <f t="shared" si="12464"/>
        <v>0.0070</v>
      </c>
    </row>
    <row r="6875" s="1" customFormat="1" spans="1:21">
      <c r="A6875" s="1" t="str">
        <f>"4601991402696"</f>
        <v>4601991402696</v>
      </c>
      <c r="B6875" s="1" t="s">
        <v>6898</v>
      </c>
      <c r="C6875" s="1" t="s">
        <v>24</v>
      </c>
      <c r="D6875" s="1" t="str">
        <f t="shared" si="12448"/>
        <v>2021</v>
      </c>
      <c r="E6875" s="1" t="str">
        <f>"1926.68"</f>
        <v>1926.68</v>
      </c>
      <c r="F6875" s="1" t="str">
        <f t="shared" ref="F6875:I6875" si="12478">"0"</f>
        <v>0</v>
      </c>
      <c r="G6875" s="1" t="str">
        <f t="shared" si="12478"/>
        <v>0</v>
      </c>
      <c r="H6875" s="1" t="str">
        <f t="shared" si="12478"/>
        <v>0</v>
      </c>
      <c r="I6875" s="1" t="str">
        <f t="shared" si="12478"/>
        <v>0</v>
      </c>
      <c r="J6875" s="1" t="str">
        <f>"195"</f>
        <v>195</v>
      </c>
      <c r="K6875" s="1" t="str">
        <f t="shared" ref="K6875:P6875" si="12479">"0"</f>
        <v>0</v>
      </c>
      <c r="L6875" s="1" t="str">
        <f t="shared" si="12479"/>
        <v>0</v>
      </c>
      <c r="M6875" s="1" t="str">
        <f t="shared" si="12479"/>
        <v>0</v>
      </c>
      <c r="N6875" s="1" t="str">
        <f t="shared" si="12479"/>
        <v>0</v>
      </c>
      <c r="O6875" s="1" t="str">
        <f t="shared" si="12479"/>
        <v>0</v>
      </c>
      <c r="P6875" s="1" t="str">
        <f t="shared" si="12479"/>
        <v>0</v>
      </c>
      <c r="Q6875" s="1" t="str">
        <f t="shared" si="12450"/>
        <v>0.0070</v>
      </c>
      <c r="R6875" s="1" t="s">
        <v>29</v>
      </c>
      <c r="S6875" s="1">
        <v>-0.0014</v>
      </c>
      <c r="T6875" s="1" t="str">
        <f t="shared" si="12451"/>
        <v>0</v>
      </c>
      <c r="U6875" s="1" t="str">
        <f>"0.0056"</f>
        <v>0.0056</v>
      </c>
    </row>
    <row r="6876" s="1" customFormat="1" spans="1:21">
      <c r="A6876" s="1" t="str">
        <f>"4601992301303"</f>
        <v>4601992301303</v>
      </c>
      <c r="B6876" s="1" t="s">
        <v>6899</v>
      </c>
      <c r="C6876" s="1" t="s">
        <v>24</v>
      </c>
      <c r="D6876" s="1" t="str">
        <f t="shared" si="12448"/>
        <v>2021</v>
      </c>
      <c r="E6876" s="1" t="str">
        <f t="shared" ref="E6876:P6876" si="12480">"0"</f>
        <v>0</v>
      </c>
      <c r="F6876" s="1" t="str">
        <f t="shared" si="12480"/>
        <v>0</v>
      </c>
      <c r="G6876" s="1" t="str">
        <f t="shared" si="12480"/>
        <v>0</v>
      </c>
      <c r="H6876" s="1" t="str">
        <f t="shared" si="12480"/>
        <v>0</v>
      </c>
      <c r="I6876" s="1" t="str">
        <f t="shared" si="12480"/>
        <v>0</v>
      </c>
      <c r="J6876" s="1" t="str">
        <f t="shared" si="12480"/>
        <v>0</v>
      </c>
      <c r="K6876" s="1" t="str">
        <f t="shared" si="12480"/>
        <v>0</v>
      </c>
      <c r="L6876" s="1" t="str">
        <f t="shared" si="12480"/>
        <v>0</v>
      </c>
      <c r="M6876" s="1" t="str">
        <f t="shared" si="12480"/>
        <v>0</v>
      </c>
      <c r="N6876" s="1" t="str">
        <f t="shared" si="12480"/>
        <v>0</v>
      </c>
      <c r="O6876" s="1" t="str">
        <f t="shared" si="12480"/>
        <v>0</v>
      </c>
      <c r="P6876" s="1" t="str">
        <f t="shared" si="12480"/>
        <v>0</v>
      </c>
      <c r="Q6876" s="1" t="str">
        <f t="shared" si="12450"/>
        <v>0.0070</v>
      </c>
      <c r="R6876" s="1" t="s">
        <v>25</v>
      </c>
      <c r="T6876" s="1" t="str">
        <f t="shared" si="12451"/>
        <v>0</v>
      </c>
      <c r="U6876" s="1" t="str">
        <f t="shared" ref="U6876:U6884" si="12481">"0.0070"</f>
        <v>0.0070</v>
      </c>
    </row>
    <row r="6877" s="1" customFormat="1" spans="1:21">
      <c r="A6877" s="1" t="str">
        <f>"4601992301316"</f>
        <v>4601992301316</v>
      </c>
      <c r="B6877" s="1" t="s">
        <v>6900</v>
      </c>
      <c r="C6877" s="1" t="s">
        <v>24</v>
      </c>
      <c r="D6877" s="1" t="str">
        <f t="shared" si="12448"/>
        <v>2021</v>
      </c>
      <c r="E6877" s="1" t="str">
        <f t="shared" ref="E6877:P6877" si="12482">"0"</f>
        <v>0</v>
      </c>
      <c r="F6877" s="1" t="str">
        <f t="shared" si="12482"/>
        <v>0</v>
      </c>
      <c r="G6877" s="1" t="str">
        <f t="shared" si="12482"/>
        <v>0</v>
      </c>
      <c r="H6877" s="1" t="str">
        <f t="shared" si="12482"/>
        <v>0</v>
      </c>
      <c r="I6877" s="1" t="str">
        <f t="shared" si="12482"/>
        <v>0</v>
      </c>
      <c r="J6877" s="1" t="str">
        <f t="shared" si="12482"/>
        <v>0</v>
      </c>
      <c r="K6877" s="1" t="str">
        <f t="shared" si="12482"/>
        <v>0</v>
      </c>
      <c r="L6877" s="1" t="str">
        <f t="shared" si="12482"/>
        <v>0</v>
      </c>
      <c r="M6877" s="1" t="str">
        <f t="shared" si="12482"/>
        <v>0</v>
      </c>
      <c r="N6877" s="1" t="str">
        <f t="shared" si="12482"/>
        <v>0</v>
      </c>
      <c r="O6877" s="1" t="str">
        <f t="shared" si="12482"/>
        <v>0</v>
      </c>
      <c r="P6877" s="1" t="str">
        <f t="shared" si="12482"/>
        <v>0</v>
      </c>
      <c r="Q6877" s="1" t="str">
        <f t="shared" si="12450"/>
        <v>0.0070</v>
      </c>
      <c r="R6877" s="1" t="s">
        <v>25</v>
      </c>
      <c r="T6877" s="1" t="str">
        <f t="shared" si="12451"/>
        <v>0</v>
      </c>
      <c r="U6877" s="1" t="str">
        <f t="shared" si="12481"/>
        <v>0.0070</v>
      </c>
    </row>
    <row r="6878" s="1" customFormat="1" spans="1:21">
      <c r="A6878" s="1" t="str">
        <f>"4601992301328"</f>
        <v>4601992301328</v>
      </c>
      <c r="B6878" s="1" t="s">
        <v>6901</v>
      </c>
      <c r="C6878" s="1" t="s">
        <v>24</v>
      </c>
      <c r="D6878" s="1" t="str">
        <f t="shared" si="12448"/>
        <v>2021</v>
      </c>
      <c r="E6878" s="1" t="str">
        <f t="shared" ref="E6878:P6878" si="12483">"0"</f>
        <v>0</v>
      </c>
      <c r="F6878" s="1" t="str">
        <f t="shared" si="12483"/>
        <v>0</v>
      </c>
      <c r="G6878" s="1" t="str">
        <f t="shared" si="12483"/>
        <v>0</v>
      </c>
      <c r="H6878" s="1" t="str">
        <f t="shared" si="12483"/>
        <v>0</v>
      </c>
      <c r="I6878" s="1" t="str">
        <f t="shared" si="12483"/>
        <v>0</v>
      </c>
      <c r="J6878" s="1" t="str">
        <f t="shared" si="12483"/>
        <v>0</v>
      </c>
      <c r="K6878" s="1" t="str">
        <f t="shared" si="12483"/>
        <v>0</v>
      </c>
      <c r="L6878" s="1" t="str">
        <f t="shared" si="12483"/>
        <v>0</v>
      </c>
      <c r="M6878" s="1" t="str">
        <f t="shared" si="12483"/>
        <v>0</v>
      </c>
      <c r="N6878" s="1" t="str">
        <f t="shared" si="12483"/>
        <v>0</v>
      </c>
      <c r="O6878" s="1" t="str">
        <f t="shared" si="12483"/>
        <v>0</v>
      </c>
      <c r="P6878" s="1" t="str">
        <f t="shared" si="12483"/>
        <v>0</v>
      </c>
      <c r="Q6878" s="1" t="str">
        <f t="shared" si="12450"/>
        <v>0.0070</v>
      </c>
      <c r="R6878" s="1" t="s">
        <v>25</v>
      </c>
      <c r="T6878" s="1" t="str">
        <f t="shared" si="12451"/>
        <v>0</v>
      </c>
      <c r="U6878" s="1" t="str">
        <f t="shared" si="12481"/>
        <v>0.0070</v>
      </c>
    </row>
    <row r="6879" s="1" customFormat="1" spans="1:21">
      <c r="A6879" s="1" t="str">
        <f>"4601992301398"</f>
        <v>4601992301398</v>
      </c>
      <c r="B6879" s="1" t="s">
        <v>6902</v>
      </c>
      <c r="C6879" s="1" t="s">
        <v>24</v>
      </c>
      <c r="D6879" s="1" t="str">
        <f t="shared" si="12448"/>
        <v>2021</v>
      </c>
      <c r="E6879" s="1" t="str">
        <f t="shared" ref="E6879:P6879" si="12484">"0"</f>
        <v>0</v>
      </c>
      <c r="F6879" s="1" t="str">
        <f t="shared" si="12484"/>
        <v>0</v>
      </c>
      <c r="G6879" s="1" t="str">
        <f t="shared" si="12484"/>
        <v>0</v>
      </c>
      <c r="H6879" s="1" t="str">
        <f t="shared" si="12484"/>
        <v>0</v>
      </c>
      <c r="I6879" s="1" t="str">
        <f t="shared" si="12484"/>
        <v>0</v>
      </c>
      <c r="J6879" s="1" t="str">
        <f t="shared" si="12484"/>
        <v>0</v>
      </c>
      <c r="K6879" s="1" t="str">
        <f t="shared" si="12484"/>
        <v>0</v>
      </c>
      <c r="L6879" s="1" t="str">
        <f t="shared" si="12484"/>
        <v>0</v>
      </c>
      <c r="M6879" s="1" t="str">
        <f t="shared" si="12484"/>
        <v>0</v>
      </c>
      <c r="N6879" s="1" t="str">
        <f t="shared" si="12484"/>
        <v>0</v>
      </c>
      <c r="O6879" s="1" t="str">
        <f t="shared" si="12484"/>
        <v>0</v>
      </c>
      <c r="P6879" s="1" t="str">
        <f t="shared" si="12484"/>
        <v>0</v>
      </c>
      <c r="Q6879" s="1" t="str">
        <f t="shared" si="12450"/>
        <v>0.0070</v>
      </c>
      <c r="R6879" s="1" t="s">
        <v>25</v>
      </c>
      <c r="T6879" s="1" t="str">
        <f t="shared" si="12451"/>
        <v>0</v>
      </c>
      <c r="U6879" s="1" t="str">
        <f t="shared" si="12481"/>
        <v>0.0070</v>
      </c>
    </row>
    <row r="6880" s="1" customFormat="1" spans="1:21">
      <c r="A6880" s="1" t="str">
        <f>"4601992301549"</f>
        <v>4601992301549</v>
      </c>
      <c r="B6880" s="1" t="s">
        <v>6903</v>
      </c>
      <c r="C6880" s="1" t="s">
        <v>24</v>
      </c>
      <c r="D6880" s="1" t="str">
        <f t="shared" si="12448"/>
        <v>2021</v>
      </c>
      <c r="E6880" s="1" t="str">
        <f t="shared" ref="E6880:P6880" si="12485">"0"</f>
        <v>0</v>
      </c>
      <c r="F6880" s="1" t="str">
        <f t="shared" si="12485"/>
        <v>0</v>
      </c>
      <c r="G6880" s="1" t="str">
        <f t="shared" si="12485"/>
        <v>0</v>
      </c>
      <c r="H6880" s="1" t="str">
        <f t="shared" si="12485"/>
        <v>0</v>
      </c>
      <c r="I6880" s="1" t="str">
        <f t="shared" si="12485"/>
        <v>0</v>
      </c>
      <c r="J6880" s="1" t="str">
        <f t="shared" si="12485"/>
        <v>0</v>
      </c>
      <c r="K6880" s="1" t="str">
        <f t="shared" si="12485"/>
        <v>0</v>
      </c>
      <c r="L6880" s="1" t="str">
        <f t="shared" si="12485"/>
        <v>0</v>
      </c>
      <c r="M6880" s="1" t="str">
        <f t="shared" si="12485"/>
        <v>0</v>
      </c>
      <c r="N6880" s="1" t="str">
        <f t="shared" si="12485"/>
        <v>0</v>
      </c>
      <c r="O6880" s="1" t="str">
        <f t="shared" si="12485"/>
        <v>0</v>
      </c>
      <c r="P6880" s="1" t="str">
        <f t="shared" si="12485"/>
        <v>0</v>
      </c>
      <c r="Q6880" s="1" t="str">
        <f t="shared" si="12450"/>
        <v>0.0070</v>
      </c>
      <c r="R6880" s="1" t="s">
        <v>25</v>
      </c>
      <c r="T6880" s="1" t="str">
        <f t="shared" si="12451"/>
        <v>0</v>
      </c>
      <c r="U6880" s="1" t="str">
        <f t="shared" si="12481"/>
        <v>0.0070</v>
      </c>
    </row>
    <row r="6881" s="1" customFormat="1" spans="1:21">
      <c r="A6881" s="1" t="str">
        <f>"4601992249341"</f>
        <v>4601992249341</v>
      </c>
      <c r="B6881" s="1" t="s">
        <v>6904</v>
      </c>
      <c r="C6881" s="1" t="s">
        <v>24</v>
      </c>
      <c r="D6881" s="1" t="str">
        <f t="shared" si="12448"/>
        <v>2021</v>
      </c>
      <c r="E6881" s="1" t="str">
        <f t="shared" ref="E6881:I6881" si="12486">"0"</f>
        <v>0</v>
      </c>
      <c r="F6881" s="1" t="str">
        <f t="shared" si="12486"/>
        <v>0</v>
      </c>
      <c r="G6881" s="1" t="str">
        <f t="shared" si="12486"/>
        <v>0</v>
      </c>
      <c r="H6881" s="1" t="str">
        <f t="shared" si="12486"/>
        <v>0</v>
      </c>
      <c r="I6881" s="1" t="str">
        <f t="shared" si="12486"/>
        <v>0</v>
      </c>
      <c r="J6881" s="1" t="str">
        <f>"2"</f>
        <v>2</v>
      </c>
      <c r="K6881" s="1" t="str">
        <f t="shared" ref="K6881:P6881" si="12487">"0"</f>
        <v>0</v>
      </c>
      <c r="L6881" s="1" t="str">
        <f t="shared" si="12487"/>
        <v>0</v>
      </c>
      <c r="M6881" s="1" t="str">
        <f t="shared" si="12487"/>
        <v>0</v>
      </c>
      <c r="N6881" s="1" t="str">
        <f t="shared" si="12487"/>
        <v>0</v>
      </c>
      <c r="O6881" s="1" t="str">
        <f t="shared" si="12487"/>
        <v>0</v>
      </c>
      <c r="P6881" s="1" t="str">
        <f t="shared" si="12487"/>
        <v>0</v>
      </c>
      <c r="Q6881" s="1" t="str">
        <f t="shared" si="12450"/>
        <v>0.0070</v>
      </c>
      <c r="R6881" s="1" t="s">
        <v>25</v>
      </c>
      <c r="T6881" s="1" t="str">
        <f t="shared" si="12451"/>
        <v>0</v>
      </c>
      <c r="U6881" s="1" t="str">
        <f t="shared" si="12481"/>
        <v>0.0070</v>
      </c>
    </row>
    <row r="6882" s="1" customFormat="1" spans="1:21">
      <c r="A6882" s="1" t="str">
        <f>"4601992301581"</f>
        <v>4601992301581</v>
      </c>
      <c r="B6882" s="1" t="s">
        <v>6905</v>
      </c>
      <c r="C6882" s="1" t="s">
        <v>24</v>
      </c>
      <c r="D6882" s="1" t="str">
        <f t="shared" si="12448"/>
        <v>2021</v>
      </c>
      <c r="E6882" s="1" t="str">
        <f t="shared" ref="E6882:P6882" si="12488">"0"</f>
        <v>0</v>
      </c>
      <c r="F6882" s="1" t="str">
        <f t="shared" si="12488"/>
        <v>0</v>
      </c>
      <c r="G6882" s="1" t="str">
        <f t="shared" si="12488"/>
        <v>0</v>
      </c>
      <c r="H6882" s="1" t="str">
        <f t="shared" si="12488"/>
        <v>0</v>
      </c>
      <c r="I6882" s="1" t="str">
        <f t="shared" si="12488"/>
        <v>0</v>
      </c>
      <c r="J6882" s="1" t="str">
        <f t="shared" si="12488"/>
        <v>0</v>
      </c>
      <c r="K6882" s="1" t="str">
        <f t="shared" si="12488"/>
        <v>0</v>
      </c>
      <c r="L6882" s="1" t="str">
        <f t="shared" si="12488"/>
        <v>0</v>
      </c>
      <c r="M6882" s="1" t="str">
        <f t="shared" si="12488"/>
        <v>0</v>
      </c>
      <c r="N6882" s="1" t="str">
        <f t="shared" si="12488"/>
        <v>0</v>
      </c>
      <c r="O6882" s="1" t="str">
        <f t="shared" si="12488"/>
        <v>0</v>
      </c>
      <c r="P6882" s="1" t="str">
        <f t="shared" si="12488"/>
        <v>0</v>
      </c>
      <c r="Q6882" s="1" t="str">
        <f t="shared" si="12450"/>
        <v>0.0070</v>
      </c>
      <c r="R6882" s="1" t="s">
        <v>25</v>
      </c>
      <c r="T6882" s="1" t="str">
        <f t="shared" si="12451"/>
        <v>0</v>
      </c>
      <c r="U6882" s="1" t="str">
        <f t="shared" si="12481"/>
        <v>0.0070</v>
      </c>
    </row>
    <row r="6883" s="1" customFormat="1" spans="1:21">
      <c r="A6883" s="1" t="str">
        <f>"4601992301637"</f>
        <v>4601992301637</v>
      </c>
      <c r="B6883" s="1" t="s">
        <v>6906</v>
      </c>
      <c r="C6883" s="1" t="s">
        <v>24</v>
      </c>
      <c r="D6883" s="1" t="str">
        <f t="shared" si="12448"/>
        <v>2021</v>
      </c>
      <c r="E6883" s="1" t="str">
        <f t="shared" ref="E6883:P6883" si="12489">"0"</f>
        <v>0</v>
      </c>
      <c r="F6883" s="1" t="str">
        <f t="shared" si="12489"/>
        <v>0</v>
      </c>
      <c r="G6883" s="1" t="str">
        <f t="shared" si="12489"/>
        <v>0</v>
      </c>
      <c r="H6883" s="1" t="str">
        <f t="shared" si="12489"/>
        <v>0</v>
      </c>
      <c r="I6883" s="1" t="str">
        <f t="shared" si="12489"/>
        <v>0</v>
      </c>
      <c r="J6883" s="1" t="str">
        <f t="shared" si="12489"/>
        <v>0</v>
      </c>
      <c r="K6883" s="1" t="str">
        <f t="shared" si="12489"/>
        <v>0</v>
      </c>
      <c r="L6883" s="1" t="str">
        <f t="shared" si="12489"/>
        <v>0</v>
      </c>
      <c r="M6883" s="1" t="str">
        <f t="shared" si="12489"/>
        <v>0</v>
      </c>
      <c r="N6883" s="1" t="str">
        <f t="shared" si="12489"/>
        <v>0</v>
      </c>
      <c r="O6883" s="1" t="str">
        <f t="shared" si="12489"/>
        <v>0</v>
      </c>
      <c r="P6883" s="1" t="str">
        <f t="shared" si="12489"/>
        <v>0</v>
      </c>
      <c r="Q6883" s="1" t="str">
        <f t="shared" si="12450"/>
        <v>0.0070</v>
      </c>
      <c r="R6883" s="1" t="s">
        <v>25</v>
      </c>
      <c r="T6883" s="1" t="str">
        <f t="shared" si="12451"/>
        <v>0</v>
      </c>
      <c r="U6883" s="1" t="str">
        <f t="shared" si="12481"/>
        <v>0.0070</v>
      </c>
    </row>
    <row r="6884" s="1" customFormat="1" spans="1:21">
      <c r="A6884" s="1" t="str">
        <f>"4601992301718"</f>
        <v>4601992301718</v>
      </c>
      <c r="B6884" s="1" t="s">
        <v>6907</v>
      </c>
      <c r="C6884" s="1" t="s">
        <v>24</v>
      </c>
      <c r="D6884" s="1" t="str">
        <f t="shared" si="12448"/>
        <v>2021</v>
      </c>
      <c r="E6884" s="1" t="str">
        <f t="shared" ref="E6884:P6884" si="12490">"0"</f>
        <v>0</v>
      </c>
      <c r="F6884" s="1" t="str">
        <f t="shared" si="12490"/>
        <v>0</v>
      </c>
      <c r="G6884" s="1" t="str">
        <f t="shared" si="12490"/>
        <v>0</v>
      </c>
      <c r="H6884" s="1" t="str">
        <f t="shared" si="12490"/>
        <v>0</v>
      </c>
      <c r="I6884" s="1" t="str">
        <f t="shared" si="12490"/>
        <v>0</v>
      </c>
      <c r="J6884" s="1" t="str">
        <f t="shared" si="12490"/>
        <v>0</v>
      </c>
      <c r="K6884" s="1" t="str">
        <f t="shared" si="12490"/>
        <v>0</v>
      </c>
      <c r="L6884" s="1" t="str">
        <f t="shared" si="12490"/>
        <v>0</v>
      </c>
      <c r="M6884" s="1" t="str">
        <f t="shared" si="12490"/>
        <v>0</v>
      </c>
      <c r="N6884" s="1" t="str">
        <f t="shared" si="12490"/>
        <v>0</v>
      </c>
      <c r="O6884" s="1" t="str">
        <f t="shared" si="12490"/>
        <v>0</v>
      </c>
      <c r="P6884" s="1" t="str">
        <f t="shared" si="12490"/>
        <v>0</v>
      </c>
      <c r="Q6884" s="1" t="str">
        <f t="shared" si="12450"/>
        <v>0.0070</v>
      </c>
      <c r="R6884" s="1" t="s">
        <v>25</v>
      </c>
      <c r="T6884" s="1" t="str">
        <f t="shared" si="12451"/>
        <v>0</v>
      </c>
      <c r="U6884" s="1" t="str">
        <f t="shared" si="12481"/>
        <v>0.0070</v>
      </c>
    </row>
    <row r="6885" s="1" customFormat="1" spans="1:21">
      <c r="A6885" s="1" t="str">
        <f>"4601992042792"</f>
        <v>4601992042792</v>
      </c>
      <c r="B6885" s="1" t="s">
        <v>6908</v>
      </c>
      <c r="C6885" s="1" t="s">
        <v>24</v>
      </c>
      <c r="D6885" s="1" t="str">
        <f t="shared" si="12448"/>
        <v>2021</v>
      </c>
      <c r="E6885" s="1" t="str">
        <f>"12.09"</f>
        <v>12.09</v>
      </c>
      <c r="F6885" s="1" t="str">
        <f t="shared" ref="F6885:I6885" si="12491">"0"</f>
        <v>0</v>
      </c>
      <c r="G6885" s="1" t="str">
        <f t="shared" si="12491"/>
        <v>0</v>
      </c>
      <c r="H6885" s="1" t="str">
        <f t="shared" si="12491"/>
        <v>0</v>
      </c>
      <c r="I6885" s="1" t="str">
        <f t="shared" si="12491"/>
        <v>0</v>
      </c>
      <c r="J6885" s="1" t="str">
        <f>"1"</f>
        <v>1</v>
      </c>
      <c r="K6885" s="1" t="str">
        <f t="shared" ref="K6885:P6885" si="12492">"0"</f>
        <v>0</v>
      </c>
      <c r="L6885" s="1" t="str">
        <f t="shared" si="12492"/>
        <v>0</v>
      </c>
      <c r="M6885" s="1" t="str">
        <f t="shared" si="12492"/>
        <v>0</v>
      </c>
      <c r="N6885" s="1" t="str">
        <f t="shared" si="12492"/>
        <v>0</v>
      </c>
      <c r="O6885" s="1" t="str">
        <f t="shared" si="12492"/>
        <v>0</v>
      </c>
      <c r="P6885" s="1" t="str">
        <f t="shared" si="12492"/>
        <v>0</v>
      </c>
      <c r="Q6885" s="1" t="str">
        <f t="shared" si="12450"/>
        <v>0.0070</v>
      </c>
      <c r="R6885" s="1" t="s">
        <v>29</v>
      </c>
      <c r="S6885" s="1">
        <v>-0.0014</v>
      </c>
      <c r="T6885" s="1" t="str">
        <f t="shared" si="12451"/>
        <v>0</v>
      </c>
      <c r="U6885" s="1" t="str">
        <f>"0.0056"</f>
        <v>0.0056</v>
      </c>
    </row>
    <row r="6886" s="1" customFormat="1" spans="1:21">
      <c r="A6886" s="1" t="str">
        <f>"4601992301745"</f>
        <v>4601992301745</v>
      </c>
      <c r="B6886" s="1" t="s">
        <v>6909</v>
      </c>
      <c r="C6886" s="1" t="s">
        <v>24</v>
      </c>
      <c r="D6886" s="1" t="str">
        <f t="shared" si="12448"/>
        <v>2021</v>
      </c>
      <c r="E6886" s="1" t="str">
        <f t="shared" ref="E6886:P6886" si="12493">"0"</f>
        <v>0</v>
      </c>
      <c r="F6886" s="1" t="str">
        <f t="shared" si="12493"/>
        <v>0</v>
      </c>
      <c r="G6886" s="1" t="str">
        <f t="shared" si="12493"/>
        <v>0</v>
      </c>
      <c r="H6886" s="1" t="str">
        <f t="shared" si="12493"/>
        <v>0</v>
      </c>
      <c r="I6886" s="1" t="str">
        <f t="shared" si="12493"/>
        <v>0</v>
      </c>
      <c r="J6886" s="1" t="str">
        <f t="shared" si="12493"/>
        <v>0</v>
      </c>
      <c r="K6886" s="1" t="str">
        <f t="shared" si="12493"/>
        <v>0</v>
      </c>
      <c r="L6886" s="1" t="str">
        <f t="shared" si="12493"/>
        <v>0</v>
      </c>
      <c r="M6886" s="1" t="str">
        <f t="shared" si="12493"/>
        <v>0</v>
      </c>
      <c r="N6886" s="1" t="str">
        <f t="shared" si="12493"/>
        <v>0</v>
      </c>
      <c r="O6886" s="1" t="str">
        <f t="shared" si="12493"/>
        <v>0</v>
      </c>
      <c r="P6886" s="1" t="str">
        <f t="shared" si="12493"/>
        <v>0</v>
      </c>
      <c r="Q6886" s="1" t="str">
        <f t="shared" si="12450"/>
        <v>0.0070</v>
      </c>
      <c r="R6886" s="1" t="s">
        <v>25</v>
      </c>
      <c r="T6886" s="1" t="str">
        <f t="shared" si="12451"/>
        <v>0</v>
      </c>
      <c r="U6886" s="1" t="str">
        <f t="shared" ref="U6886:U6949" si="12494">"0.0070"</f>
        <v>0.0070</v>
      </c>
    </row>
    <row r="6887" s="1" customFormat="1" spans="1:21">
      <c r="A6887" s="1" t="str">
        <f>"4601992301746"</f>
        <v>4601992301746</v>
      </c>
      <c r="B6887" s="1" t="s">
        <v>6910</v>
      </c>
      <c r="C6887" s="1" t="s">
        <v>24</v>
      </c>
      <c r="D6887" s="1" t="str">
        <f t="shared" si="12448"/>
        <v>2021</v>
      </c>
      <c r="E6887" s="1" t="str">
        <f t="shared" ref="E6887:P6887" si="12495">"0"</f>
        <v>0</v>
      </c>
      <c r="F6887" s="1" t="str">
        <f t="shared" si="12495"/>
        <v>0</v>
      </c>
      <c r="G6887" s="1" t="str">
        <f t="shared" si="12495"/>
        <v>0</v>
      </c>
      <c r="H6887" s="1" t="str">
        <f t="shared" si="12495"/>
        <v>0</v>
      </c>
      <c r="I6887" s="1" t="str">
        <f t="shared" si="12495"/>
        <v>0</v>
      </c>
      <c r="J6887" s="1" t="str">
        <f t="shared" si="12495"/>
        <v>0</v>
      </c>
      <c r="K6887" s="1" t="str">
        <f t="shared" si="12495"/>
        <v>0</v>
      </c>
      <c r="L6887" s="1" t="str">
        <f t="shared" si="12495"/>
        <v>0</v>
      </c>
      <c r="M6887" s="1" t="str">
        <f t="shared" si="12495"/>
        <v>0</v>
      </c>
      <c r="N6887" s="1" t="str">
        <f t="shared" si="12495"/>
        <v>0</v>
      </c>
      <c r="O6887" s="1" t="str">
        <f t="shared" si="12495"/>
        <v>0</v>
      </c>
      <c r="P6887" s="1" t="str">
        <f t="shared" si="12495"/>
        <v>0</v>
      </c>
      <c r="Q6887" s="1" t="str">
        <f t="shared" si="12450"/>
        <v>0.0070</v>
      </c>
      <c r="R6887" s="1" t="s">
        <v>25</v>
      </c>
      <c r="T6887" s="1" t="str">
        <f t="shared" si="12451"/>
        <v>0</v>
      </c>
      <c r="U6887" s="1" t="str">
        <f t="shared" si="12494"/>
        <v>0.0070</v>
      </c>
    </row>
    <row r="6888" s="1" customFormat="1" spans="1:21">
      <c r="A6888" s="1" t="str">
        <f>"4601992301753"</f>
        <v>4601992301753</v>
      </c>
      <c r="B6888" s="1" t="s">
        <v>6911</v>
      </c>
      <c r="C6888" s="1" t="s">
        <v>24</v>
      </c>
      <c r="D6888" s="1" t="str">
        <f t="shared" si="12448"/>
        <v>2021</v>
      </c>
      <c r="E6888" s="1" t="str">
        <f t="shared" ref="E6888:P6888" si="12496">"0"</f>
        <v>0</v>
      </c>
      <c r="F6888" s="1" t="str">
        <f t="shared" si="12496"/>
        <v>0</v>
      </c>
      <c r="G6888" s="1" t="str">
        <f t="shared" si="12496"/>
        <v>0</v>
      </c>
      <c r="H6888" s="1" t="str">
        <f t="shared" si="12496"/>
        <v>0</v>
      </c>
      <c r="I6888" s="1" t="str">
        <f t="shared" si="12496"/>
        <v>0</v>
      </c>
      <c r="J6888" s="1" t="str">
        <f t="shared" si="12496"/>
        <v>0</v>
      </c>
      <c r="K6888" s="1" t="str">
        <f t="shared" si="12496"/>
        <v>0</v>
      </c>
      <c r="L6888" s="1" t="str">
        <f t="shared" si="12496"/>
        <v>0</v>
      </c>
      <c r="M6888" s="1" t="str">
        <f t="shared" si="12496"/>
        <v>0</v>
      </c>
      <c r="N6888" s="1" t="str">
        <f t="shared" si="12496"/>
        <v>0</v>
      </c>
      <c r="O6888" s="1" t="str">
        <f t="shared" si="12496"/>
        <v>0</v>
      </c>
      <c r="P6888" s="1" t="str">
        <f t="shared" si="12496"/>
        <v>0</v>
      </c>
      <c r="Q6888" s="1" t="str">
        <f t="shared" si="12450"/>
        <v>0.0070</v>
      </c>
      <c r="R6888" s="1" t="s">
        <v>25</v>
      </c>
      <c r="T6888" s="1" t="str">
        <f t="shared" si="12451"/>
        <v>0</v>
      </c>
      <c r="U6888" s="1" t="str">
        <f t="shared" si="12494"/>
        <v>0.0070</v>
      </c>
    </row>
    <row r="6889" s="1" customFormat="1" spans="1:21">
      <c r="A6889" s="1" t="str">
        <f>"4601992302222"</f>
        <v>4601992302222</v>
      </c>
      <c r="B6889" s="1" t="s">
        <v>6912</v>
      </c>
      <c r="C6889" s="1" t="s">
        <v>24</v>
      </c>
      <c r="D6889" s="1" t="str">
        <f t="shared" si="12448"/>
        <v>2021</v>
      </c>
      <c r="E6889" s="1" t="str">
        <f t="shared" ref="E6889:P6889" si="12497">"0"</f>
        <v>0</v>
      </c>
      <c r="F6889" s="1" t="str">
        <f t="shared" si="12497"/>
        <v>0</v>
      </c>
      <c r="G6889" s="1" t="str">
        <f t="shared" si="12497"/>
        <v>0</v>
      </c>
      <c r="H6889" s="1" t="str">
        <f t="shared" si="12497"/>
        <v>0</v>
      </c>
      <c r="I6889" s="1" t="str">
        <f t="shared" si="12497"/>
        <v>0</v>
      </c>
      <c r="J6889" s="1" t="str">
        <f t="shared" si="12497"/>
        <v>0</v>
      </c>
      <c r="K6889" s="1" t="str">
        <f t="shared" si="12497"/>
        <v>0</v>
      </c>
      <c r="L6889" s="1" t="str">
        <f t="shared" si="12497"/>
        <v>0</v>
      </c>
      <c r="M6889" s="1" t="str">
        <f t="shared" si="12497"/>
        <v>0</v>
      </c>
      <c r="N6889" s="1" t="str">
        <f t="shared" si="12497"/>
        <v>0</v>
      </c>
      <c r="O6889" s="1" t="str">
        <f t="shared" si="12497"/>
        <v>0</v>
      </c>
      <c r="P6889" s="1" t="str">
        <f t="shared" si="12497"/>
        <v>0</v>
      </c>
      <c r="Q6889" s="1" t="str">
        <f t="shared" si="12450"/>
        <v>0.0070</v>
      </c>
      <c r="R6889" s="1" t="s">
        <v>25</v>
      </c>
      <c r="T6889" s="1" t="str">
        <f t="shared" si="12451"/>
        <v>0</v>
      </c>
      <c r="U6889" s="1" t="str">
        <f t="shared" si="12494"/>
        <v>0.0070</v>
      </c>
    </row>
    <row r="6890" s="1" customFormat="1" spans="1:21">
      <c r="A6890" s="1" t="str">
        <f>"4601992302274"</f>
        <v>4601992302274</v>
      </c>
      <c r="B6890" s="1" t="s">
        <v>6913</v>
      </c>
      <c r="C6890" s="1" t="s">
        <v>24</v>
      </c>
      <c r="D6890" s="1" t="str">
        <f t="shared" si="12448"/>
        <v>2021</v>
      </c>
      <c r="E6890" s="1" t="str">
        <f t="shared" ref="E6890:P6890" si="12498">"0"</f>
        <v>0</v>
      </c>
      <c r="F6890" s="1" t="str">
        <f t="shared" si="12498"/>
        <v>0</v>
      </c>
      <c r="G6890" s="1" t="str">
        <f t="shared" si="12498"/>
        <v>0</v>
      </c>
      <c r="H6890" s="1" t="str">
        <f t="shared" si="12498"/>
        <v>0</v>
      </c>
      <c r="I6890" s="1" t="str">
        <f t="shared" si="12498"/>
        <v>0</v>
      </c>
      <c r="J6890" s="1" t="str">
        <f t="shared" si="12498"/>
        <v>0</v>
      </c>
      <c r="K6890" s="1" t="str">
        <f t="shared" si="12498"/>
        <v>0</v>
      </c>
      <c r="L6890" s="1" t="str">
        <f t="shared" si="12498"/>
        <v>0</v>
      </c>
      <c r="M6890" s="1" t="str">
        <f t="shared" si="12498"/>
        <v>0</v>
      </c>
      <c r="N6890" s="1" t="str">
        <f t="shared" si="12498"/>
        <v>0</v>
      </c>
      <c r="O6890" s="1" t="str">
        <f t="shared" si="12498"/>
        <v>0</v>
      </c>
      <c r="P6890" s="1" t="str">
        <f t="shared" si="12498"/>
        <v>0</v>
      </c>
      <c r="Q6890" s="1" t="str">
        <f t="shared" si="12450"/>
        <v>0.0070</v>
      </c>
      <c r="R6890" s="1" t="s">
        <v>25</v>
      </c>
      <c r="T6890" s="1" t="str">
        <f t="shared" si="12451"/>
        <v>0</v>
      </c>
      <c r="U6890" s="1" t="str">
        <f t="shared" si="12494"/>
        <v>0.0070</v>
      </c>
    </row>
    <row r="6891" s="1" customFormat="1" spans="1:21">
      <c r="A6891" s="1" t="str">
        <f>"4601992302325"</f>
        <v>4601992302325</v>
      </c>
      <c r="B6891" s="1" t="s">
        <v>6914</v>
      </c>
      <c r="C6891" s="1" t="s">
        <v>24</v>
      </c>
      <c r="D6891" s="1" t="str">
        <f t="shared" si="12448"/>
        <v>2021</v>
      </c>
      <c r="E6891" s="1" t="str">
        <f t="shared" ref="E6891:P6891" si="12499">"0"</f>
        <v>0</v>
      </c>
      <c r="F6891" s="1" t="str">
        <f t="shared" si="12499"/>
        <v>0</v>
      </c>
      <c r="G6891" s="1" t="str">
        <f t="shared" si="12499"/>
        <v>0</v>
      </c>
      <c r="H6891" s="1" t="str">
        <f t="shared" si="12499"/>
        <v>0</v>
      </c>
      <c r="I6891" s="1" t="str">
        <f t="shared" si="12499"/>
        <v>0</v>
      </c>
      <c r="J6891" s="1" t="str">
        <f t="shared" si="12499"/>
        <v>0</v>
      </c>
      <c r="K6891" s="1" t="str">
        <f t="shared" si="12499"/>
        <v>0</v>
      </c>
      <c r="L6891" s="1" t="str">
        <f t="shared" si="12499"/>
        <v>0</v>
      </c>
      <c r="M6891" s="1" t="str">
        <f t="shared" si="12499"/>
        <v>0</v>
      </c>
      <c r="N6891" s="1" t="str">
        <f t="shared" si="12499"/>
        <v>0</v>
      </c>
      <c r="O6891" s="1" t="str">
        <f t="shared" si="12499"/>
        <v>0</v>
      </c>
      <c r="P6891" s="1" t="str">
        <f t="shared" si="12499"/>
        <v>0</v>
      </c>
      <c r="Q6891" s="1" t="str">
        <f t="shared" si="12450"/>
        <v>0.0070</v>
      </c>
      <c r="R6891" s="1" t="s">
        <v>25</v>
      </c>
      <c r="T6891" s="1" t="str">
        <f t="shared" si="12451"/>
        <v>0</v>
      </c>
      <c r="U6891" s="1" t="str">
        <f t="shared" si="12494"/>
        <v>0.0070</v>
      </c>
    </row>
    <row r="6892" s="1" customFormat="1" spans="1:21">
      <c r="A6892" s="1" t="str">
        <f>"4601992302383"</f>
        <v>4601992302383</v>
      </c>
      <c r="B6892" s="1" t="s">
        <v>6915</v>
      </c>
      <c r="C6892" s="1" t="s">
        <v>24</v>
      </c>
      <c r="D6892" s="1" t="str">
        <f t="shared" si="12448"/>
        <v>2021</v>
      </c>
      <c r="E6892" s="1" t="str">
        <f t="shared" ref="E6892:P6892" si="12500">"0"</f>
        <v>0</v>
      </c>
      <c r="F6892" s="1" t="str">
        <f t="shared" si="12500"/>
        <v>0</v>
      </c>
      <c r="G6892" s="1" t="str">
        <f t="shared" si="12500"/>
        <v>0</v>
      </c>
      <c r="H6892" s="1" t="str">
        <f t="shared" si="12500"/>
        <v>0</v>
      </c>
      <c r="I6892" s="1" t="str">
        <f t="shared" si="12500"/>
        <v>0</v>
      </c>
      <c r="J6892" s="1" t="str">
        <f t="shared" si="12500"/>
        <v>0</v>
      </c>
      <c r="K6892" s="1" t="str">
        <f t="shared" si="12500"/>
        <v>0</v>
      </c>
      <c r="L6892" s="1" t="str">
        <f t="shared" si="12500"/>
        <v>0</v>
      </c>
      <c r="M6892" s="1" t="str">
        <f t="shared" si="12500"/>
        <v>0</v>
      </c>
      <c r="N6892" s="1" t="str">
        <f t="shared" si="12500"/>
        <v>0</v>
      </c>
      <c r="O6892" s="1" t="str">
        <f t="shared" si="12500"/>
        <v>0</v>
      </c>
      <c r="P6892" s="1" t="str">
        <f t="shared" si="12500"/>
        <v>0</v>
      </c>
      <c r="Q6892" s="1" t="str">
        <f t="shared" si="12450"/>
        <v>0.0070</v>
      </c>
      <c r="R6892" s="1" t="s">
        <v>25</v>
      </c>
      <c r="T6892" s="1" t="str">
        <f t="shared" si="12451"/>
        <v>0</v>
      </c>
      <c r="U6892" s="1" t="str">
        <f t="shared" si="12494"/>
        <v>0.0070</v>
      </c>
    </row>
    <row r="6893" s="1" customFormat="1" spans="1:21">
      <c r="A6893" s="1" t="str">
        <f>"4601992302433"</f>
        <v>4601992302433</v>
      </c>
      <c r="B6893" s="1" t="s">
        <v>6916</v>
      </c>
      <c r="C6893" s="1" t="s">
        <v>24</v>
      </c>
      <c r="D6893" s="1" t="str">
        <f t="shared" si="12448"/>
        <v>2021</v>
      </c>
      <c r="E6893" s="1" t="str">
        <f t="shared" ref="E6893:P6893" si="12501">"0"</f>
        <v>0</v>
      </c>
      <c r="F6893" s="1" t="str">
        <f t="shared" si="12501"/>
        <v>0</v>
      </c>
      <c r="G6893" s="1" t="str">
        <f t="shared" si="12501"/>
        <v>0</v>
      </c>
      <c r="H6893" s="1" t="str">
        <f t="shared" si="12501"/>
        <v>0</v>
      </c>
      <c r="I6893" s="1" t="str">
        <f t="shared" si="12501"/>
        <v>0</v>
      </c>
      <c r="J6893" s="1" t="str">
        <f t="shared" si="12501"/>
        <v>0</v>
      </c>
      <c r="K6893" s="1" t="str">
        <f t="shared" si="12501"/>
        <v>0</v>
      </c>
      <c r="L6893" s="1" t="str">
        <f t="shared" si="12501"/>
        <v>0</v>
      </c>
      <c r="M6893" s="1" t="str">
        <f t="shared" si="12501"/>
        <v>0</v>
      </c>
      <c r="N6893" s="1" t="str">
        <f t="shared" si="12501"/>
        <v>0</v>
      </c>
      <c r="O6893" s="1" t="str">
        <f t="shared" si="12501"/>
        <v>0</v>
      </c>
      <c r="P6893" s="1" t="str">
        <f t="shared" si="12501"/>
        <v>0</v>
      </c>
      <c r="Q6893" s="1" t="str">
        <f t="shared" si="12450"/>
        <v>0.0070</v>
      </c>
      <c r="R6893" s="1" t="s">
        <v>25</v>
      </c>
      <c r="T6893" s="1" t="str">
        <f t="shared" si="12451"/>
        <v>0</v>
      </c>
      <c r="U6893" s="1" t="str">
        <f t="shared" si="12494"/>
        <v>0.0070</v>
      </c>
    </row>
    <row r="6894" s="1" customFormat="1" spans="1:21">
      <c r="A6894" s="1" t="str">
        <f>"4601992302535"</f>
        <v>4601992302535</v>
      </c>
      <c r="B6894" s="1" t="s">
        <v>6917</v>
      </c>
      <c r="C6894" s="1" t="s">
        <v>24</v>
      </c>
      <c r="D6894" s="1" t="str">
        <f t="shared" si="12448"/>
        <v>2021</v>
      </c>
      <c r="E6894" s="1" t="str">
        <f t="shared" ref="E6894:P6894" si="12502">"0"</f>
        <v>0</v>
      </c>
      <c r="F6894" s="1" t="str">
        <f t="shared" si="12502"/>
        <v>0</v>
      </c>
      <c r="G6894" s="1" t="str">
        <f t="shared" si="12502"/>
        <v>0</v>
      </c>
      <c r="H6894" s="1" t="str">
        <f t="shared" si="12502"/>
        <v>0</v>
      </c>
      <c r="I6894" s="1" t="str">
        <f t="shared" si="12502"/>
        <v>0</v>
      </c>
      <c r="J6894" s="1" t="str">
        <f t="shared" si="12502"/>
        <v>0</v>
      </c>
      <c r="K6894" s="1" t="str">
        <f t="shared" si="12502"/>
        <v>0</v>
      </c>
      <c r="L6894" s="1" t="str">
        <f t="shared" si="12502"/>
        <v>0</v>
      </c>
      <c r="M6894" s="1" t="str">
        <f t="shared" si="12502"/>
        <v>0</v>
      </c>
      <c r="N6894" s="1" t="str">
        <f t="shared" si="12502"/>
        <v>0</v>
      </c>
      <c r="O6894" s="1" t="str">
        <f t="shared" si="12502"/>
        <v>0</v>
      </c>
      <c r="P6894" s="1" t="str">
        <f t="shared" si="12502"/>
        <v>0</v>
      </c>
      <c r="Q6894" s="1" t="str">
        <f t="shared" si="12450"/>
        <v>0.0070</v>
      </c>
      <c r="R6894" s="1" t="s">
        <v>25</v>
      </c>
      <c r="T6894" s="1" t="str">
        <f t="shared" si="12451"/>
        <v>0</v>
      </c>
      <c r="U6894" s="1" t="str">
        <f t="shared" si="12494"/>
        <v>0.0070</v>
      </c>
    </row>
    <row r="6895" s="1" customFormat="1" spans="1:21">
      <c r="A6895" s="1" t="str">
        <f>"4601992302436"</f>
        <v>4601992302436</v>
      </c>
      <c r="B6895" s="1" t="s">
        <v>6918</v>
      </c>
      <c r="C6895" s="1" t="s">
        <v>24</v>
      </c>
      <c r="D6895" s="1" t="str">
        <f t="shared" si="12448"/>
        <v>2021</v>
      </c>
      <c r="E6895" s="1" t="str">
        <f t="shared" ref="E6895:P6895" si="12503">"0"</f>
        <v>0</v>
      </c>
      <c r="F6895" s="1" t="str">
        <f t="shared" si="12503"/>
        <v>0</v>
      </c>
      <c r="G6895" s="1" t="str">
        <f t="shared" si="12503"/>
        <v>0</v>
      </c>
      <c r="H6895" s="1" t="str">
        <f t="shared" si="12503"/>
        <v>0</v>
      </c>
      <c r="I6895" s="1" t="str">
        <f t="shared" si="12503"/>
        <v>0</v>
      </c>
      <c r="J6895" s="1" t="str">
        <f t="shared" si="12503"/>
        <v>0</v>
      </c>
      <c r="K6895" s="1" t="str">
        <f t="shared" si="12503"/>
        <v>0</v>
      </c>
      <c r="L6895" s="1" t="str">
        <f t="shared" si="12503"/>
        <v>0</v>
      </c>
      <c r="M6895" s="1" t="str">
        <f t="shared" si="12503"/>
        <v>0</v>
      </c>
      <c r="N6895" s="1" t="str">
        <f t="shared" si="12503"/>
        <v>0</v>
      </c>
      <c r="O6895" s="1" t="str">
        <f t="shared" si="12503"/>
        <v>0</v>
      </c>
      <c r="P6895" s="1" t="str">
        <f t="shared" si="12503"/>
        <v>0</v>
      </c>
      <c r="Q6895" s="1" t="str">
        <f t="shared" si="12450"/>
        <v>0.0070</v>
      </c>
      <c r="R6895" s="1" t="s">
        <v>25</v>
      </c>
      <c r="T6895" s="1" t="str">
        <f t="shared" si="12451"/>
        <v>0</v>
      </c>
      <c r="U6895" s="1" t="str">
        <f t="shared" si="12494"/>
        <v>0.0070</v>
      </c>
    </row>
    <row r="6896" s="1" customFormat="1" spans="1:21">
      <c r="A6896" s="1" t="str">
        <f>"4601992302545"</f>
        <v>4601992302545</v>
      </c>
      <c r="B6896" s="1" t="s">
        <v>6919</v>
      </c>
      <c r="C6896" s="1" t="s">
        <v>24</v>
      </c>
      <c r="D6896" s="1" t="str">
        <f t="shared" si="12448"/>
        <v>2021</v>
      </c>
      <c r="E6896" s="1" t="str">
        <f t="shared" ref="E6896:P6896" si="12504">"0"</f>
        <v>0</v>
      </c>
      <c r="F6896" s="1" t="str">
        <f t="shared" si="12504"/>
        <v>0</v>
      </c>
      <c r="G6896" s="1" t="str">
        <f t="shared" si="12504"/>
        <v>0</v>
      </c>
      <c r="H6896" s="1" t="str">
        <f t="shared" si="12504"/>
        <v>0</v>
      </c>
      <c r="I6896" s="1" t="str">
        <f t="shared" si="12504"/>
        <v>0</v>
      </c>
      <c r="J6896" s="1" t="str">
        <f t="shared" si="12504"/>
        <v>0</v>
      </c>
      <c r="K6896" s="1" t="str">
        <f t="shared" si="12504"/>
        <v>0</v>
      </c>
      <c r="L6896" s="1" t="str">
        <f t="shared" si="12504"/>
        <v>0</v>
      </c>
      <c r="M6896" s="1" t="str">
        <f t="shared" si="12504"/>
        <v>0</v>
      </c>
      <c r="N6896" s="1" t="str">
        <f t="shared" si="12504"/>
        <v>0</v>
      </c>
      <c r="O6896" s="1" t="str">
        <f t="shared" si="12504"/>
        <v>0</v>
      </c>
      <c r="P6896" s="1" t="str">
        <f t="shared" si="12504"/>
        <v>0</v>
      </c>
      <c r="Q6896" s="1" t="str">
        <f t="shared" si="12450"/>
        <v>0.0070</v>
      </c>
      <c r="R6896" s="1" t="s">
        <v>25</v>
      </c>
      <c r="T6896" s="1" t="str">
        <f t="shared" si="12451"/>
        <v>0</v>
      </c>
      <c r="U6896" s="1" t="str">
        <f t="shared" si="12494"/>
        <v>0.0070</v>
      </c>
    </row>
    <row r="6897" s="1" customFormat="1" spans="1:21">
      <c r="A6897" s="1" t="str">
        <f>"4601992302520"</f>
        <v>4601992302520</v>
      </c>
      <c r="B6897" s="1" t="s">
        <v>6920</v>
      </c>
      <c r="C6897" s="1" t="s">
        <v>24</v>
      </c>
      <c r="D6897" s="1" t="str">
        <f t="shared" si="12448"/>
        <v>2021</v>
      </c>
      <c r="E6897" s="1" t="str">
        <f t="shared" ref="E6897:P6897" si="12505">"0"</f>
        <v>0</v>
      </c>
      <c r="F6897" s="1" t="str">
        <f t="shared" si="12505"/>
        <v>0</v>
      </c>
      <c r="G6897" s="1" t="str">
        <f t="shared" si="12505"/>
        <v>0</v>
      </c>
      <c r="H6897" s="1" t="str">
        <f t="shared" si="12505"/>
        <v>0</v>
      </c>
      <c r="I6897" s="1" t="str">
        <f t="shared" si="12505"/>
        <v>0</v>
      </c>
      <c r="J6897" s="1" t="str">
        <f t="shared" si="12505"/>
        <v>0</v>
      </c>
      <c r="K6897" s="1" t="str">
        <f t="shared" si="12505"/>
        <v>0</v>
      </c>
      <c r="L6897" s="1" t="str">
        <f t="shared" si="12505"/>
        <v>0</v>
      </c>
      <c r="M6897" s="1" t="str">
        <f t="shared" si="12505"/>
        <v>0</v>
      </c>
      <c r="N6897" s="1" t="str">
        <f t="shared" si="12505"/>
        <v>0</v>
      </c>
      <c r="O6897" s="1" t="str">
        <f t="shared" si="12505"/>
        <v>0</v>
      </c>
      <c r="P6897" s="1" t="str">
        <f t="shared" si="12505"/>
        <v>0</v>
      </c>
      <c r="Q6897" s="1" t="str">
        <f t="shared" si="12450"/>
        <v>0.0070</v>
      </c>
      <c r="R6897" s="1" t="s">
        <v>25</v>
      </c>
      <c r="T6897" s="1" t="str">
        <f t="shared" si="12451"/>
        <v>0</v>
      </c>
      <c r="U6897" s="1" t="str">
        <f t="shared" si="12494"/>
        <v>0.0070</v>
      </c>
    </row>
    <row r="6898" s="1" customFormat="1" spans="1:21">
      <c r="A6898" s="1" t="str">
        <f>"4601992302586"</f>
        <v>4601992302586</v>
      </c>
      <c r="B6898" s="1" t="s">
        <v>6921</v>
      </c>
      <c r="C6898" s="1" t="s">
        <v>24</v>
      </c>
      <c r="D6898" s="1" t="str">
        <f t="shared" si="12448"/>
        <v>2021</v>
      </c>
      <c r="E6898" s="1" t="str">
        <f t="shared" ref="E6898:P6898" si="12506">"0"</f>
        <v>0</v>
      </c>
      <c r="F6898" s="1" t="str">
        <f t="shared" si="12506"/>
        <v>0</v>
      </c>
      <c r="G6898" s="1" t="str">
        <f t="shared" si="12506"/>
        <v>0</v>
      </c>
      <c r="H6898" s="1" t="str">
        <f t="shared" si="12506"/>
        <v>0</v>
      </c>
      <c r="I6898" s="1" t="str">
        <f t="shared" si="12506"/>
        <v>0</v>
      </c>
      <c r="J6898" s="1" t="str">
        <f t="shared" si="12506"/>
        <v>0</v>
      </c>
      <c r="K6898" s="1" t="str">
        <f t="shared" si="12506"/>
        <v>0</v>
      </c>
      <c r="L6898" s="1" t="str">
        <f t="shared" si="12506"/>
        <v>0</v>
      </c>
      <c r="M6898" s="1" t="str">
        <f t="shared" si="12506"/>
        <v>0</v>
      </c>
      <c r="N6898" s="1" t="str">
        <f t="shared" si="12506"/>
        <v>0</v>
      </c>
      <c r="O6898" s="1" t="str">
        <f t="shared" si="12506"/>
        <v>0</v>
      </c>
      <c r="P6898" s="1" t="str">
        <f t="shared" si="12506"/>
        <v>0</v>
      </c>
      <c r="Q6898" s="1" t="str">
        <f t="shared" si="12450"/>
        <v>0.0070</v>
      </c>
      <c r="R6898" s="1" t="s">
        <v>25</v>
      </c>
      <c r="T6898" s="1" t="str">
        <f t="shared" si="12451"/>
        <v>0</v>
      </c>
      <c r="U6898" s="1" t="str">
        <f t="shared" si="12494"/>
        <v>0.0070</v>
      </c>
    </row>
    <row r="6899" s="1" customFormat="1" spans="1:21">
      <c r="A6899" s="1" t="str">
        <f>"4601992302742"</f>
        <v>4601992302742</v>
      </c>
      <c r="B6899" s="1" t="s">
        <v>6922</v>
      </c>
      <c r="C6899" s="1" t="s">
        <v>24</v>
      </c>
      <c r="D6899" s="1" t="str">
        <f t="shared" si="12448"/>
        <v>2021</v>
      </c>
      <c r="E6899" s="1" t="str">
        <f t="shared" ref="E6899:P6899" si="12507">"0"</f>
        <v>0</v>
      </c>
      <c r="F6899" s="1" t="str">
        <f t="shared" si="12507"/>
        <v>0</v>
      </c>
      <c r="G6899" s="1" t="str">
        <f t="shared" si="12507"/>
        <v>0</v>
      </c>
      <c r="H6899" s="1" t="str">
        <f t="shared" si="12507"/>
        <v>0</v>
      </c>
      <c r="I6899" s="1" t="str">
        <f t="shared" si="12507"/>
        <v>0</v>
      </c>
      <c r="J6899" s="1" t="str">
        <f t="shared" si="12507"/>
        <v>0</v>
      </c>
      <c r="K6899" s="1" t="str">
        <f t="shared" si="12507"/>
        <v>0</v>
      </c>
      <c r="L6899" s="1" t="str">
        <f t="shared" si="12507"/>
        <v>0</v>
      </c>
      <c r="M6899" s="1" t="str">
        <f t="shared" si="12507"/>
        <v>0</v>
      </c>
      <c r="N6899" s="1" t="str">
        <f t="shared" si="12507"/>
        <v>0</v>
      </c>
      <c r="O6899" s="1" t="str">
        <f t="shared" si="12507"/>
        <v>0</v>
      </c>
      <c r="P6899" s="1" t="str">
        <f t="shared" si="12507"/>
        <v>0</v>
      </c>
      <c r="Q6899" s="1" t="str">
        <f t="shared" si="12450"/>
        <v>0.0070</v>
      </c>
      <c r="R6899" s="1" t="s">
        <v>25</v>
      </c>
      <c r="T6899" s="1" t="str">
        <f t="shared" si="12451"/>
        <v>0</v>
      </c>
      <c r="U6899" s="1" t="str">
        <f t="shared" si="12494"/>
        <v>0.0070</v>
      </c>
    </row>
    <row r="6900" s="1" customFormat="1" spans="1:21">
      <c r="A6900" s="1" t="str">
        <f>"4601992302712"</f>
        <v>4601992302712</v>
      </c>
      <c r="B6900" s="1" t="s">
        <v>6923</v>
      </c>
      <c r="C6900" s="1" t="s">
        <v>24</v>
      </c>
      <c r="D6900" s="1" t="str">
        <f t="shared" si="12448"/>
        <v>2021</v>
      </c>
      <c r="E6900" s="1" t="str">
        <f t="shared" ref="E6900:P6900" si="12508">"0"</f>
        <v>0</v>
      </c>
      <c r="F6900" s="1" t="str">
        <f t="shared" si="12508"/>
        <v>0</v>
      </c>
      <c r="G6900" s="1" t="str">
        <f t="shared" si="12508"/>
        <v>0</v>
      </c>
      <c r="H6900" s="1" t="str">
        <f t="shared" si="12508"/>
        <v>0</v>
      </c>
      <c r="I6900" s="1" t="str">
        <f t="shared" si="12508"/>
        <v>0</v>
      </c>
      <c r="J6900" s="1" t="str">
        <f t="shared" si="12508"/>
        <v>0</v>
      </c>
      <c r="K6900" s="1" t="str">
        <f t="shared" si="12508"/>
        <v>0</v>
      </c>
      <c r="L6900" s="1" t="str">
        <f t="shared" si="12508"/>
        <v>0</v>
      </c>
      <c r="M6900" s="1" t="str">
        <f t="shared" si="12508"/>
        <v>0</v>
      </c>
      <c r="N6900" s="1" t="str">
        <f t="shared" si="12508"/>
        <v>0</v>
      </c>
      <c r="O6900" s="1" t="str">
        <f t="shared" si="12508"/>
        <v>0</v>
      </c>
      <c r="P6900" s="1" t="str">
        <f t="shared" si="12508"/>
        <v>0</v>
      </c>
      <c r="Q6900" s="1" t="str">
        <f t="shared" si="12450"/>
        <v>0.0070</v>
      </c>
      <c r="R6900" s="1" t="s">
        <v>25</v>
      </c>
      <c r="T6900" s="1" t="str">
        <f t="shared" si="12451"/>
        <v>0</v>
      </c>
      <c r="U6900" s="1" t="str">
        <f t="shared" si="12494"/>
        <v>0.0070</v>
      </c>
    </row>
    <row r="6901" s="1" customFormat="1" spans="1:21">
      <c r="A6901" s="1" t="str">
        <f>"4601992302611"</f>
        <v>4601992302611</v>
      </c>
      <c r="B6901" s="1" t="s">
        <v>6924</v>
      </c>
      <c r="C6901" s="1" t="s">
        <v>24</v>
      </c>
      <c r="D6901" s="1" t="str">
        <f t="shared" si="12448"/>
        <v>2021</v>
      </c>
      <c r="E6901" s="1" t="str">
        <f t="shared" ref="E6901:P6901" si="12509">"0"</f>
        <v>0</v>
      </c>
      <c r="F6901" s="1" t="str">
        <f t="shared" si="12509"/>
        <v>0</v>
      </c>
      <c r="G6901" s="1" t="str">
        <f t="shared" si="12509"/>
        <v>0</v>
      </c>
      <c r="H6901" s="1" t="str">
        <f t="shared" si="12509"/>
        <v>0</v>
      </c>
      <c r="I6901" s="1" t="str">
        <f t="shared" si="12509"/>
        <v>0</v>
      </c>
      <c r="J6901" s="1" t="str">
        <f t="shared" si="12509"/>
        <v>0</v>
      </c>
      <c r="K6901" s="1" t="str">
        <f t="shared" si="12509"/>
        <v>0</v>
      </c>
      <c r="L6901" s="1" t="str">
        <f t="shared" si="12509"/>
        <v>0</v>
      </c>
      <c r="M6901" s="1" t="str">
        <f t="shared" si="12509"/>
        <v>0</v>
      </c>
      <c r="N6901" s="1" t="str">
        <f t="shared" si="12509"/>
        <v>0</v>
      </c>
      <c r="O6901" s="1" t="str">
        <f t="shared" si="12509"/>
        <v>0</v>
      </c>
      <c r="P6901" s="1" t="str">
        <f t="shared" si="12509"/>
        <v>0</v>
      </c>
      <c r="Q6901" s="1" t="str">
        <f t="shared" si="12450"/>
        <v>0.0070</v>
      </c>
      <c r="R6901" s="1" t="s">
        <v>25</v>
      </c>
      <c r="T6901" s="1" t="str">
        <f t="shared" si="12451"/>
        <v>0</v>
      </c>
      <c r="U6901" s="1" t="str">
        <f t="shared" si="12494"/>
        <v>0.0070</v>
      </c>
    </row>
    <row r="6902" s="1" customFormat="1" spans="1:21">
      <c r="A6902" s="1" t="str">
        <f>"4601992302880"</f>
        <v>4601992302880</v>
      </c>
      <c r="B6902" s="1" t="s">
        <v>6925</v>
      </c>
      <c r="C6902" s="1" t="s">
        <v>24</v>
      </c>
      <c r="D6902" s="1" t="str">
        <f t="shared" si="12448"/>
        <v>2021</v>
      </c>
      <c r="E6902" s="1" t="str">
        <f t="shared" ref="E6902:P6902" si="12510">"0"</f>
        <v>0</v>
      </c>
      <c r="F6902" s="1" t="str">
        <f t="shared" si="12510"/>
        <v>0</v>
      </c>
      <c r="G6902" s="1" t="str">
        <f t="shared" si="12510"/>
        <v>0</v>
      </c>
      <c r="H6902" s="1" t="str">
        <f t="shared" si="12510"/>
        <v>0</v>
      </c>
      <c r="I6902" s="1" t="str">
        <f t="shared" si="12510"/>
        <v>0</v>
      </c>
      <c r="J6902" s="1" t="str">
        <f t="shared" si="12510"/>
        <v>0</v>
      </c>
      <c r="K6902" s="1" t="str">
        <f t="shared" si="12510"/>
        <v>0</v>
      </c>
      <c r="L6902" s="1" t="str">
        <f t="shared" si="12510"/>
        <v>0</v>
      </c>
      <c r="M6902" s="1" t="str">
        <f t="shared" si="12510"/>
        <v>0</v>
      </c>
      <c r="N6902" s="1" t="str">
        <f t="shared" si="12510"/>
        <v>0</v>
      </c>
      <c r="O6902" s="1" t="str">
        <f t="shared" si="12510"/>
        <v>0</v>
      </c>
      <c r="P6902" s="1" t="str">
        <f t="shared" si="12510"/>
        <v>0</v>
      </c>
      <c r="Q6902" s="1" t="str">
        <f t="shared" si="12450"/>
        <v>0.0070</v>
      </c>
      <c r="R6902" s="1" t="s">
        <v>25</v>
      </c>
      <c r="T6902" s="1" t="str">
        <f t="shared" si="12451"/>
        <v>0</v>
      </c>
      <c r="U6902" s="1" t="str">
        <f t="shared" si="12494"/>
        <v>0.0070</v>
      </c>
    </row>
    <row r="6903" s="1" customFormat="1" spans="1:21">
      <c r="A6903" s="1" t="str">
        <f>"4601992302843"</f>
        <v>4601992302843</v>
      </c>
      <c r="B6903" s="1" t="s">
        <v>6926</v>
      </c>
      <c r="C6903" s="1" t="s">
        <v>24</v>
      </c>
      <c r="D6903" s="1" t="str">
        <f t="shared" si="12448"/>
        <v>2021</v>
      </c>
      <c r="E6903" s="1" t="str">
        <f t="shared" ref="E6903:P6903" si="12511">"0"</f>
        <v>0</v>
      </c>
      <c r="F6903" s="1" t="str">
        <f t="shared" si="12511"/>
        <v>0</v>
      </c>
      <c r="G6903" s="1" t="str">
        <f t="shared" si="12511"/>
        <v>0</v>
      </c>
      <c r="H6903" s="1" t="str">
        <f t="shared" si="12511"/>
        <v>0</v>
      </c>
      <c r="I6903" s="1" t="str">
        <f t="shared" si="12511"/>
        <v>0</v>
      </c>
      <c r="J6903" s="1" t="str">
        <f t="shared" si="12511"/>
        <v>0</v>
      </c>
      <c r="K6903" s="1" t="str">
        <f t="shared" si="12511"/>
        <v>0</v>
      </c>
      <c r="L6903" s="1" t="str">
        <f t="shared" si="12511"/>
        <v>0</v>
      </c>
      <c r="M6903" s="1" t="str">
        <f t="shared" si="12511"/>
        <v>0</v>
      </c>
      <c r="N6903" s="1" t="str">
        <f t="shared" si="12511"/>
        <v>0</v>
      </c>
      <c r="O6903" s="1" t="str">
        <f t="shared" si="12511"/>
        <v>0</v>
      </c>
      <c r="P6903" s="1" t="str">
        <f t="shared" si="12511"/>
        <v>0</v>
      </c>
      <c r="Q6903" s="1" t="str">
        <f t="shared" si="12450"/>
        <v>0.0070</v>
      </c>
      <c r="R6903" s="1" t="s">
        <v>25</v>
      </c>
      <c r="T6903" s="1" t="str">
        <f t="shared" si="12451"/>
        <v>0</v>
      </c>
      <c r="U6903" s="1" t="str">
        <f t="shared" si="12494"/>
        <v>0.0070</v>
      </c>
    </row>
    <row r="6904" s="1" customFormat="1" spans="1:21">
      <c r="A6904" s="1" t="str">
        <f>"4601992302890"</f>
        <v>4601992302890</v>
      </c>
      <c r="B6904" s="1" t="s">
        <v>6927</v>
      </c>
      <c r="C6904" s="1" t="s">
        <v>24</v>
      </c>
      <c r="D6904" s="1" t="str">
        <f t="shared" si="12448"/>
        <v>2021</v>
      </c>
      <c r="E6904" s="1" t="str">
        <f t="shared" ref="E6904:P6904" si="12512">"0"</f>
        <v>0</v>
      </c>
      <c r="F6904" s="1" t="str">
        <f t="shared" si="12512"/>
        <v>0</v>
      </c>
      <c r="G6904" s="1" t="str">
        <f t="shared" si="12512"/>
        <v>0</v>
      </c>
      <c r="H6904" s="1" t="str">
        <f t="shared" si="12512"/>
        <v>0</v>
      </c>
      <c r="I6904" s="1" t="str">
        <f t="shared" si="12512"/>
        <v>0</v>
      </c>
      <c r="J6904" s="1" t="str">
        <f t="shared" si="12512"/>
        <v>0</v>
      </c>
      <c r="K6904" s="1" t="str">
        <f t="shared" si="12512"/>
        <v>0</v>
      </c>
      <c r="L6904" s="1" t="str">
        <f t="shared" si="12512"/>
        <v>0</v>
      </c>
      <c r="M6904" s="1" t="str">
        <f t="shared" si="12512"/>
        <v>0</v>
      </c>
      <c r="N6904" s="1" t="str">
        <f t="shared" si="12512"/>
        <v>0</v>
      </c>
      <c r="O6904" s="1" t="str">
        <f t="shared" si="12512"/>
        <v>0</v>
      </c>
      <c r="P6904" s="1" t="str">
        <f t="shared" si="12512"/>
        <v>0</v>
      </c>
      <c r="Q6904" s="1" t="str">
        <f t="shared" si="12450"/>
        <v>0.0070</v>
      </c>
      <c r="R6904" s="1" t="s">
        <v>25</v>
      </c>
      <c r="T6904" s="1" t="str">
        <f t="shared" si="12451"/>
        <v>0</v>
      </c>
      <c r="U6904" s="1" t="str">
        <f t="shared" si="12494"/>
        <v>0.0070</v>
      </c>
    </row>
    <row r="6905" s="1" customFormat="1" spans="1:21">
      <c r="A6905" s="1" t="str">
        <f>"4601992302944"</f>
        <v>4601992302944</v>
      </c>
      <c r="B6905" s="1" t="s">
        <v>6928</v>
      </c>
      <c r="C6905" s="1" t="s">
        <v>24</v>
      </c>
      <c r="D6905" s="1" t="str">
        <f t="shared" si="12448"/>
        <v>2021</v>
      </c>
      <c r="E6905" s="1" t="str">
        <f t="shared" ref="E6905:P6905" si="12513">"0"</f>
        <v>0</v>
      </c>
      <c r="F6905" s="1" t="str">
        <f t="shared" si="12513"/>
        <v>0</v>
      </c>
      <c r="G6905" s="1" t="str">
        <f t="shared" si="12513"/>
        <v>0</v>
      </c>
      <c r="H6905" s="1" t="str">
        <f t="shared" si="12513"/>
        <v>0</v>
      </c>
      <c r="I6905" s="1" t="str">
        <f t="shared" si="12513"/>
        <v>0</v>
      </c>
      <c r="J6905" s="1" t="str">
        <f t="shared" si="12513"/>
        <v>0</v>
      </c>
      <c r="K6905" s="1" t="str">
        <f t="shared" si="12513"/>
        <v>0</v>
      </c>
      <c r="L6905" s="1" t="str">
        <f t="shared" si="12513"/>
        <v>0</v>
      </c>
      <c r="M6905" s="1" t="str">
        <f t="shared" si="12513"/>
        <v>0</v>
      </c>
      <c r="N6905" s="1" t="str">
        <f t="shared" si="12513"/>
        <v>0</v>
      </c>
      <c r="O6905" s="1" t="str">
        <f t="shared" si="12513"/>
        <v>0</v>
      </c>
      <c r="P6905" s="1" t="str">
        <f t="shared" si="12513"/>
        <v>0</v>
      </c>
      <c r="Q6905" s="1" t="str">
        <f t="shared" si="12450"/>
        <v>0.0070</v>
      </c>
      <c r="R6905" s="1" t="s">
        <v>25</v>
      </c>
      <c r="T6905" s="1" t="str">
        <f t="shared" si="12451"/>
        <v>0</v>
      </c>
      <c r="U6905" s="1" t="str">
        <f t="shared" si="12494"/>
        <v>0.0070</v>
      </c>
    </row>
    <row r="6906" s="1" customFormat="1" spans="1:21">
      <c r="A6906" s="1" t="str">
        <f>"4601992302985"</f>
        <v>4601992302985</v>
      </c>
      <c r="B6906" s="1" t="s">
        <v>6929</v>
      </c>
      <c r="C6906" s="1" t="s">
        <v>24</v>
      </c>
      <c r="D6906" s="1" t="str">
        <f t="shared" si="12448"/>
        <v>2021</v>
      </c>
      <c r="E6906" s="1" t="str">
        <f t="shared" ref="E6906:P6906" si="12514">"0"</f>
        <v>0</v>
      </c>
      <c r="F6906" s="1" t="str">
        <f t="shared" si="12514"/>
        <v>0</v>
      </c>
      <c r="G6906" s="1" t="str">
        <f t="shared" si="12514"/>
        <v>0</v>
      </c>
      <c r="H6906" s="1" t="str">
        <f t="shared" si="12514"/>
        <v>0</v>
      </c>
      <c r="I6906" s="1" t="str">
        <f t="shared" si="12514"/>
        <v>0</v>
      </c>
      <c r="J6906" s="1" t="str">
        <f t="shared" si="12514"/>
        <v>0</v>
      </c>
      <c r="K6906" s="1" t="str">
        <f t="shared" si="12514"/>
        <v>0</v>
      </c>
      <c r="L6906" s="1" t="str">
        <f t="shared" si="12514"/>
        <v>0</v>
      </c>
      <c r="M6906" s="1" t="str">
        <f t="shared" si="12514"/>
        <v>0</v>
      </c>
      <c r="N6906" s="1" t="str">
        <f t="shared" si="12514"/>
        <v>0</v>
      </c>
      <c r="O6906" s="1" t="str">
        <f t="shared" si="12514"/>
        <v>0</v>
      </c>
      <c r="P6906" s="1" t="str">
        <f t="shared" si="12514"/>
        <v>0</v>
      </c>
      <c r="Q6906" s="1" t="str">
        <f t="shared" si="12450"/>
        <v>0.0070</v>
      </c>
      <c r="R6906" s="1" t="s">
        <v>25</v>
      </c>
      <c r="T6906" s="1" t="str">
        <f t="shared" si="12451"/>
        <v>0</v>
      </c>
      <c r="U6906" s="1" t="str">
        <f t="shared" si="12494"/>
        <v>0.0070</v>
      </c>
    </row>
    <row r="6907" s="1" customFormat="1" spans="1:21">
      <c r="A6907" s="1" t="str">
        <f>"4601992303002"</f>
        <v>4601992303002</v>
      </c>
      <c r="B6907" s="1" t="s">
        <v>6930</v>
      </c>
      <c r="C6907" s="1" t="s">
        <v>24</v>
      </c>
      <c r="D6907" s="1" t="str">
        <f t="shared" si="12448"/>
        <v>2021</v>
      </c>
      <c r="E6907" s="1" t="str">
        <f t="shared" ref="E6907:P6907" si="12515">"0"</f>
        <v>0</v>
      </c>
      <c r="F6907" s="1" t="str">
        <f t="shared" si="12515"/>
        <v>0</v>
      </c>
      <c r="G6907" s="1" t="str">
        <f t="shared" si="12515"/>
        <v>0</v>
      </c>
      <c r="H6907" s="1" t="str">
        <f t="shared" si="12515"/>
        <v>0</v>
      </c>
      <c r="I6907" s="1" t="str">
        <f t="shared" si="12515"/>
        <v>0</v>
      </c>
      <c r="J6907" s="1" t="str">
        <f t="shared" si="12515"/>
        <v>0</v>
      </c>
      <c r="K6907" s="1" t="str">
        <f t="shared" si="12515"/>
        <v>0</v>
      </c>
      <c r="L6907" s="1" t="str">
        <f t="shared" si="12515"/>
        <v>0</v>
      </c>
      <c r="M6907" s="1" t="str">
        <f t="shared" si="12515"/>
        <v>0</v>
      </c>
      <c r="N6907" s="1" t="str">
        <f t="shared" si="12515"/>
        <v>0</v>
      </c>
      <c r="O6907" s="1" t="str">
        <f t="shared" si="12515"/>
        <v>0</v>
      </c>
      <c r="P6907" s="1" t="str">
        <f t="shared" si="12515"/>
        <v>0</v>
      </c>
      <c r="Q6907" s="1" t="str">
        <f t="shared" si="12450"/>
        <v>0.0070</v>
      </c>
      <c r="R6907" s="1" t="s">
        <v>25</v>
      </c>
      <c r="T6907" s="1" t="str">
        <f t="shared" si="12451"/>
        <v>0</v>
      </c>
      <c r="U6907" s="1" t="str">
        <f t="shared" si="12494"/>
        <v>0.0070</v>
      </c>
    </row>
    <row r="6908" s="1" customFormat="1" spans="1:21">
      <c r="A6908" s="1" t="str">
        <f>"4601992302951"</f>
        <v>4601992302951</v>
      </c>
      <c r="B6908" s="1" t="s">
        <v>6931</v>
      </c>
      <c r="C6908" s="1" t="s">
        <v>24</v>
      </c>
      <c r="D6908" s="1" t="str">
        <f t="shared" si="12448"/>
        <v>2021</v>
      </c>
      <c r="E6908" s="1" t="str">
        <f t="shared" ref="E6908:P6908" si="12516">"0"</f>
        <v>0</v>
      </c>
      <c r="F6908" s="1" t="str">
        <f t="shared" si="12516"/>
        <v>0</v>
      </c>
      <c r="G6908" s="1" t="str">
        <f t="shared" si="12516"/>
        <v>0</v>
      </c>
      <c r="H6908" s="1" t="str">
        <f t="shared" si="12516"/>
        <v>0</v>
      </c>
      <c r="I6908" s="1" t="str">
        <f t="shared" si="12516"/>
        <v>0</v>
      </c>
      <c r="J6908" s="1" t="str">
        <f t="shared" si="12516"/>
        <v>0</v>
      </c>
      <c r="K6908" s="1" t="str">
        <f t="shared" si="12516"/>
        <v>0</v>
      </c>
      <c r="L6908" s="1" t="str">
        <f t="shared" si="12516"/>
        <v>0</v>
      </c>
      <c r="M6908" s="1" t="str">
        <f t="shared" si="12516"/>
        <v>0</v>
      </c>
      <c r="N6908" s="1" t="str">
        <f t="shared" si="12516"/>
        <v>0</v>
      </c>
      <c r="O6908" s="1" t="str">
        <f t="shared" si="12516"/>
        <v>0</v>
      </c>
      <c r="P6908" s="1" t="str">
        <f t="shared" si="12516"/>
        <v>0</v>
      </c>
      <c r="Q6908" s="1" t="str">
        <f t="shared" si="12450"/>
        <v>0.0070</v>
      </c>
      <c r="R6908" s="1" t="s">
        <v>25</v>
      </c>
      <c r="T6908" s="1" t="str">
        <f t="shared" si="12451"/>
        <v>0</v>
      </c>
      <c r="U6908" s="1" t="str">
        <f t="shared" si="12494"/>
        <v>0.0070</v>
      </c>
    </row>
    <row r="6909" s="1" customFormat="1" spans="1:21">
      <c r="A6909" s="1" t="str">
        <f>"4601992303045"</f>
        <v>4601992303045</v>
      </c>
      <c r="B6909" s="1" t="s">
        <v>6932</v>
      </c>
      <c r="C6909" s="1" t="s">
        <v>24</v>
      </c>
      <c r="D6909" s="1" t="str">
        <f t="shared" si="12448"/>
        <v>2021</v>
      </c>
      <c r="E6909" s="1" t="str">
        <f t="shared" ref="E6909:P6909" si="12517">"0"</f>
        <v>0</v>
      </c>
      <c r="F6909" s="1" t="str">
        <f t="shared" si="12517"/>
        <v>0</v>
      </c>
      <c r="G6909" s="1" t="str">
        <f t="shared" si="12517"/>
        <v>0</v>
      </c>
      <c r="H6909" s="1" t="str">
        <f t="shared" si="12517"/>
        <v>0</v>
      </c>
      <c r="I6909" s="1" t="str">
        <f t="shared" si="12517"/>
        <v>0</v>
      </c>
      <c r="J6909" s="1" t="str">
        <f t="shared" si="12517"/>
        <v>0</v>
      </c>
      <c r="K6909" s="1" t="str">
        <f t="shared" si="12517"/>
        <v>0</v>
      </c>
      <c r="L6909" s="1" t="str">
        <f t="shared" si="12517"/>
        <v>0</v>
      </c>
      <c r="M6909" s="1" t="str">
        <f t="shared" si="12517"/>
        <v>0</v>
      </c>
      <c r="N6909" s="1" t="str">
        <f t="shared" si="12517"/>
        <v>0</v>
      </c>
      <c r="O6909" s="1" t="str">
        <f t="shared" si="12517"/>
        <v>0</v>
      </c>
      <c r="P6909" s="1" t="str">
        <f t="shared" si="12517"/>
        <v>0</v>
      </c>
      <c r="Q6909" s="1" t="str">
        <f t="shared" si="12450"/>
        <v>0.0070</v>
      </c>
      <c r="R6909" s="1" t="s">
        <v>25</v>
      </c>
      <c r="T6909" s="1" t="str">
        <f t="shared" si="12451"/>
        <v>0</v>
      </c>
      <c r="U6909" s="1" t="str">
        <f t="shared" si="12494"/>
        <v>0.0070</v>
      </c>
    </row>
    <row r="6910" s="1" customFormat="1" spans="1:21">
      <c r="A6910" s="1" t="str">
        <f>"4601992303211"</f>
        <v>4601992303211</v>
      </c>
      <c r="B6910" s="1" t="s">
        <v>6933</v>
      </c>
      <c r="C6910" s="1" t="s">
        <v>24</v>
      </c>
      <c r="D6910" s="1" t="str">
        <f t="shared" si="12448"/>
        <v>2021</v>
      </c>
      <c r="E6910" s="1" t="str">
        <f t="shared" ref="E6910:P6910" si="12518">"0"</f>
        <v>0</v>
      </c>
      <c r="F6910" s="1" t="str">
        <f t="shared" si="12518"/>
        <v>0</v>
      </c>
      <c r="G6910" s="1" t="str">
        <f t="shared" si="12518"/>
        <v>0</v>
      </c>
      <c r="H6910" s="1" t="str">
        <f t="shared" si="12518"/>
        <v>0</v>
      </c>
      <c r="I6910" s="1" t="str">
        <f t="shared" si="12518"/>
        <v>0</v>
      </c>
      <c r="J6910" s="1" t="str">
        <f t="shared" si="12518"/>
        <v>0</v>
      </c>
      <c r="K6910" s="1" t="str">
        <f t="shared" si="12518"/>
        <v>0</v>
      </c>
      <c r="L6910" s="1" t="str">
        <f t="shared" si="12518"/>
        <v>0</v>
      </c>
      <c r="M6910" s="1" t="str">
        <f t="shared" si="12518"/>
        <v>0</v>
      </c>
      <c r="N6910" s="1" t="str">
        <f t="shared" si="12518"/>
        <v>0</v>
      </c>
      <c r="O6910" s="1" t="str">
        <f t="shared" si="12518"/>
        <v>0</v>
      </c>
      <c r="P6910" s="1" t="str">
        <f t="shared" si="12518"/>
        <v>0</v>
      </c>
      <c r="Q6910" s="1" t="str">
        <f t="shared" si="12450"/>
        <v>0.0070</v>
      </c>
      <c r="R6910" s="1" t="s">
        <v>25</v>
      </c>
      <c r="T6910" s="1" t="str">
        <f t="shared" si="12451"/>
        <v>0</v>
      </c>
      <c r="U6910" s="1" t="str">
        <f t="shared" si="12494"/>
        <v>0.0070</v>
      </c>
    </row>
    <row r="6911" s="1" customFormat="1" spans="1:21">
      <c r="A6911" s="1" t="str">
        <f>"4601992303206"</f>
        <v>4601992303206</v>
      </c>
      <c r="B6911" s="1" t="s">
        <v>6934</v>
      </c>
      <c r="C6911" s="1" t="s">
        <v>24</v>
      </c>
      <c r="D6911" s="1" t="str">
        <f t="shared" si="12448"/>
        <v>2021</v>
      </c>
      <c r="E6911" s="1" t="str">
        <f t="shared" ref="E6911:P6911" si="12519">"0"</f>
        <v>0</v>
      </c>
      <c r="F6911" s="1" t="str">
        <f t="shared" si="12519"/>
        <v>0</v>
      </c>
      <c r="G6911" s="1" t="str">
        <f t="shared" si="12519"/>
        <v>0</v>
      </c>
      <c r="H6911" s="1" t="str">
        <f t="shared" si="12519"/>
        <v>0</v>
      </c>
      <c r="I6911" s="1" t="str">
        <f t="shared" si="12519"/>
        <v>0</v>
      </c>
      <c r="J6911" s="1" t="str">
        <f t="shared" si="12519"/>
        <v>0</v>
      </c>
      <c r="K6911" s="1" t="str">
        <f t="shared" si="12519"/>
        <v>0</v>
      </c>
      <c r="L6911" s="1" t="str">
        <f t="shared" si="12519"/>
        <v>0</v>
      </c>
      <c r="M6911" s="1" t="str">
        <f t="shared" si="12519"/>
        <v>0</v>
      </c>
      <c r="N6911" s="1" t="str">
        <f t="shared" si="12519"/>
        <v>0</v>
      </c>
      <c r="O6911" s="1" t="str">
        <f t="shared" si="12519"/>
        <v>0</v>
      </c>
      <c r="P6911" s="1" t="str">
        <f t="shared" si="12519"/>
        <v>0</v>
      </c>
      <c r="Q6911" s="1" t="str">
        <f t="shared" si="12450"/>
        <v>0.0070</v>
      </c>
      <c r="R6911" s="1" t="s">
        <v>25</v>
      </c>
      <c r="T6911" s="1" t="str">
        <f t="shared" si="12451"/>
        <v>0</v>
      </c>
      <c r="U6911" s="1" t="str">
        <f t="shared" si="12494"/>
        <v>0.0070</v>
      </c>
    </row>
    <row r="6912" s="1" customFormat="1" spans="1:21">
      <c r="A6912" s="1" t="str">
        <f>"4601992303170"</f>
        <v>4601992303170</v>
      </c>
      <c r="B6912" s="1" t="s">
        <v>6935</v>
      </c>
      <c r="C6912" s="1" t="s">
        <v>24</v>
      </c>
      <c r="D6912" s="1" t="str">
        <f t="shared" si="12448"/>
        <v>2021</v>
      </c>
      <c r="E6912" s="1" t="str">
        <f t="shared" ref="E6912:P6912" si="12520">"0"</f>
        <v>0</v>
      </c>
      <c r="F6912" s="1" t="str">
        <f t="shared" si="12520"/>
        <v>0</v>
      </c>
      <c r="G6912" s="1" t="str">
        <f t="shared" si="12520"/>
        <v>0</v>
      </c>
      <c r="H6912" s="1" t="str">
        <f t="shared" si="12520"/>
        <v>0</v>
      </c>
      <c r="I6912" s="1" t="str">
        <f t="shared" si="12520"/>
        <v>0</v>
      </c>
      <c r="J6912" s="1" t="str">
        <f t="shared" si="12520"/>
        <v>0</v>
      </c>
      <c r="K6912" s="1" t="str">
        <f t="shared" si="12520"/>
        <v>0</v>
      </c>
      <c r="L6912" s="1" t="str">
        <f t="shared" si="12520"/>
        <v>0</v>
      </c>
      <c r="M6912" s="1" t="str">
        <f t="shared" si="12520"/>
        <v>0</v>
      </c>
      <c r="N6912" s="1" t="str">
        <f t="shared" si="12520"/>
        <v>0</v>
      </c>
      <c r="O6912" s="1" t="str">
        <f t="shared" si="12520"/>
        <v>0</v>
      </c>
      <c r="P6912" s="1" t="str">
        <f t="shared" si="12520"/>
        <v>0</v>
      </c>
      <c r="Q6912" s="1" t="str">
        <f t="shared" si="12450"/>
        <v>0.0070</v>
      </c>
      <c r="R6912" s="1" t="s">
        <v>25</v>
      </c>
      <c r="T6912" s="1" t="str">
        <f t="shared" si="12451"/>
        <v>0</v>
      </c>
      <c r="U6912" s="1" t="str">
        <f t="shared" si="12494"/>
        <v>0.0070</v>
      </c>
    </row>
    <row r="6913" s="1" customFormat="1" spans="1:21">
      <c r="A6913" s="1" t="str">
        <f>"4601992303256"</f>
        <v>4601992303256</v>
      </c>
      <c r="B6913" s="1" t="s">
        <v>6936</v>
      </c>
      <c r="C6913" s="1" t="s">
        <v>24</v>
      </c>
      <c r="D6913" s="1" t="str">
        <f t="shared" si="12448"/>
        <v>2021</v>
      </c>
      <c r="E6913" s="1" t="str">
        <f t="shared" ref="E6913:P6913" si="12521">"0"</f>
        <v>0</v>
      </c>
      <c r="F6913" s="1" t="str">
        <f t="shared" si="12521"/>
        <v>0</v>
      </c>
      <c r="G6913" s="1" t="str">
        <f t="shared" si="12521"/>
        <v>0</v>
      </c>
      <c r="H6913" s="1" t="str">
        <f t="shared" si="12521"/>
        <v>0</v>
      </c>
      <c r="I6913" s="1" t="str">
        <f t="shared" si="12521"/>
        <v>0</v>
      </c>
      <c r="J6913" s="1" t="str">
        <f t="shared" si="12521"/>
        <v>0</v>
      </c>
      <c r="K6913" s="1" t="str">
        <f t="shared" si="12521"/>
        <v>0</v>
      </c>
      <c r="L6913" s="1" t="str">
        <f t="shared" si="12521"/>
        <v>0</v>
      </c>
      <c r="M6913" s="1" t="str">
        <f t="shared" si="12521"/>
        <v>0</v>
      </c>
      <c r="N6913" s="1" t="str">
        <f t="shared" si="12521"/>
        <v>0</v>
      </c>
      <c r="O6913" s="1" t="str">
        <f t="shared" si="12521"/>
        <v>0</v>
      </c>
      <c r="P6913" s="1" t="str">
        <f t="shared" si="12521"/>
        <v>0</v>
      </c>
      <c r="Q6913" s="1" t="str">
        <f t="shared" si="12450"/>
        <v>0.0070</v>
      </c>
      <c r="R6913" s="1" t="s">
        <v>25</v>
      </c>
      <c r="T6913" s="1" t="str">
        <f t="shared" si="12451"/>
        <v>0</v>
      </c>
      <c r="U6913" s="1" t="str">
        <f t="shared" si="12494"/>
        <v>0.0070</v>
      </c>
    </row>
    <row r="6914" s="1" customFormat="1" spans="1:21">
      <c r="A6914" s="1" t="str">
        <f>"4601992303341"</f>
        <v>4601992303341</v>
      </c>
      <c r="B6914" s="1" t="s">
        <v>6937</v>
      </c>
      <c r="C6914" s="1" t="s">
        <v>24</v>
      </c>
      <c r="D6914" s="1" t="str">
        <f t="shared" si="12448"/>
        <v>2021</v>
      </c>
      <c r="E6914" s="1" t="str">
        <f t="shared" ref="E6914:P6914" si="12522">"0"</f>
        <v>0</v>
      </c>
      <c r="F6914" s="1" t="str">
        <f t="shared" si="12522"/>
        <v>0</v>
      </c>
      <c r="G6914" s="1" t="str">
        <f t="shared" si="12522"/>
        <v>0</v>
      </c>
      <c r="H6914" s="1" t="str">
        <f t="shared" si="12522"/>
        <v>0</v>
      </c>
      <c r="I6914" s="1" t="str">
        <f t="shared" si="12522"/>
        <v>0</v>
      </c>
      <c r="J6914" s="1" t="str">
        <f t="shared" si="12522"/>
        <v>0</v>
      </c>
      <c r="K6914" s="1" t="str">
        <f t="shared" si="12522"/>
        <v>0</v>
      </c>
      <c r="L6914" s="1" t="str">
        <f t="shared" si="12522"/>
        <v>0</v>
      </c>
      <c r="M6914" s="1" t="str">
        <f t="shared" si="12522"/>
        <v>0</v>
      </c>
      <c r="N6914" s="1" t="str">
        <f t="shared" si="12522"/>
        <v>0</v>
      </c>
      <c r="O6914" s="1" t="str">
        <f t="shared" si="12522"/>
        <v>0</v>
      </c>
      <c r="P6914" s="1" t="str">
        <f t="shared" si="12522"/>
        <v>0</v>
      </c>
      <c r="Q6914" s="1" t="str">
        <f t="shared" si="12450"/>
        <v>0.0070</v>
      </c>
      <c r="R6914" s="1" t="s">
        <v>25</v>
      </c>
      <c r="T6914" s="1" t="str">
        <f t="shared" si="12451"/>
        <v>0</v>
      </c>
      <c r="U6914" s="1" t="str">
        <f t="shared" si="12494"/>
        <v>0.0070</v>
      </c>
    </row>
    <row r="6915" s="1" customFormat="1" spans="1:21">
      <c r="A6915" s="1" t="str">
        <f>"4601992303315"</f>
        <v>4601992303315</v>
      </c>
      <c r="B6915" s="1" t="s">
        <v>6938</v>
      </c>
      <c r="C6915" s="1" t="s">
        <v>24</v>
      </c>
      <c r="D6915" s="1" t="str">
        <f t="shared" ref="D6915:D6978" si="12523">"2021"</f>
        <v>2021</v>
      </c>
      <c r="E6915" s="1" t="str">
        <f t="shared" ref="E6915:P6915" si="12524">"0"</f>
        <v>0</v>
      </c>
      <c r="F6915" s="1" t="str">
        <f t="shared" si="12524"/>
        <v>0</v>
      </c>
      <c r="G6915" s="1" t="str">
        <f t="shared" si="12524"/>
        <v>0</v>
      </c>
      <c r="H6915" s="1" t="str">
        <f t="shared" si="12524"/>
        <v>0</v>
      </c>
      <c r="I6915" s="1" t="str">
        <f t="shared" si="12524"/>
        <v>0</v>
      </c>
      <c r="J6915" s="1" t="str">
        <f t="shared" si="12524"/>
        <v>0</v>
      </c>
      <c r="K6915" s="1" t="str">
        <f t="shared" si="12524"/>
        <v>0</v>
      </c>
      <c r="L6915" s="1" t="str">
        <f t="shared" si="12524"/>
        <v>0</v>
      </c>
      <c r="M6915" s="1" t="str">
        <f t="shared" si="12524"/>
        <v>0</v>
      </c>
      <c r="N6915" s="1" t="str">
        <f t="shared" si="12524"/>
        <v>0</v>
      </c>
      <c r="O6915" s="1" t="str">
        <f t="shared" si="12524"/>
        <v>0</v>
      </c>
      <c r="P6915" s="1" t="str">
        <f t="shared" si="12524"/>
        <v>0</v>
      </c>
      <c r="Q6915" s="1" t="str">
        <f t="shared" ref="Q6915:Q6978" si="12525">"0.0070"</f>
        <v>0.0070</v>
      </c>
      <c r="R6915" s="1" t="s">
        <v>25</v>
      </c>
      <c r="T6915" s="1" t="str">
        <f t="shared" ref="T6915:T6978" si="12526">"0"</f>
        <v>0</v>
      </c>
      <c r="U6915" s="1" t="str">
        <f t="shared" si="12494"/>
        <v>0.0070</v>
      </c>
    </row>
    <row r="6916" s="1" customFormat="1" spans="1:21">
      <c r="A6916" s="1" t="str">
        <f>"4601992303418"</f>
        <v>4601992303418</v>
      </c>
      <c r="B6916" s="1" t="s">
        <v>6939</v>
      </c>
      <c r="C6916" s="1" t="s">
        <v>24</v>
      </c>
      <c r="D6916" s="1" t="str">
        <f t="shared" si="12523"/>
        <v>2021</v>
      </c>
      <c r="E6916" s="1" t="str">
        <f t="shared" ref="E6916:P6916" si="12527">"0"</f>
        <v>0</v>
      </c>
      <c r="F6916" s="1" t="str">
        <f t="shared" si="12527"/>
        <v>0</v>
      </c>
      <c r="G6916" s="1" t="str">
        <f t="shared" si="12527"/>
        <v>0</v>
      </c>
      <c r="H6916" s="1" t="str">
        <f t="shared" si="12527"/>
        <v>0</v>
      </c>
      <c r="I6916" s="1" t="str">
        <f t="shared" si="12527"/>
        <v>0</v>
      </c>
      <c r="J6916" s="1" t="str">
        <f t="shared" si="12527"/>
        <v>0</v>
      </c>
      <c r="K6916" s="1" t="str">
        <f t="shared" si="12527"/>
        <v>0</v>
      </c>
      <c r="L6916" s="1" t="str">
        <f t="shared" si="12527"/>
        <v>0</v>
      </c>
      <c r="M6916" s="1" t="str">
        <f t="shared" si="12527"/>
        <v>0</v>
      </c>
      <c r="N6916" s="1" t="str">
        <f t="shared" si="12527"/>
        <v>0</v>
      </c>
      <c r="O6916" s="1" t="str">
        <f t="shared" si="12527"/>
        <v>0</v>
      </c>
      <c r="P6916" s="1" t="str">
        <f t="shared" si="12527"/>
        <v>0</v>
      </c>
      <c r="Q6916" s="1" t="str">
        <f t="shared" si="12525"/>
        <v>0.0070</v>
      </c>
      <c r="R6916" s="1" t="s">
        <v>25</v>
      </c>
      <c r="T6916" s="1" t="str">
        <f t="shared" si="12526"/>
        <v>0</v>
      </c>
      <c r="U6916" s="1" t="str">
        <f t="shared" si="12494"/>
        <v>0.0070</v>
      </c>
    </row>
    <row r="6917" s="1" customFormat="1" spans="1:21">
      <c r="A6917" s="1" t="str">
        <f>"4601992303396"</f>
        <v>4601992303396</v>
      </c>
      <c r="B6917" s="1" t="s">
        <v>6940</v>
      </c>
      <c r="C6917" s="1" t="s">
        <v>24</v>
      </c>
      <c r="D6917" s="1" t="str">
        <f t="shared" si="12523"/>
        <v>2021</v>
      </c>
      <c r="E6917" s="1" t="str">
        <f t="shared" ref="E6917:P6917" si="12528">"0"</f>
        <v>0</v>
      </c>
      <c r="F6917" s="1" t="str">
        <f t="shared" si="12528"/>
        <v>0</v>
      </c>
      <c r="G6917" s="1" t="str">
        <f t="shared" si="12528"/>
        <v>0</v>
      </c>
      <c r="H6917" s="1" t="str">
        <f t="shared" si="12528"/>
        <v>0</v>
      </c>
      <c r="I6917" s="1" t="str">
        <f t="shared" si="12528"/>
        <v>0</v>
      </c>
      <c r="J6917" s="1" t="str">
        <f t="shared" si="12528"/>
        <v>0</v>
      </c>
      <c r="K6917" s="1" t="str">
        <f t="shared" si="12528"/>
        <v>0</v>
      </c>
      <c r="L6917" s="1" t="str">
        <f t="shared" si="12528"/>
        <v>0</v>
      </c>
      <c r="M6917" s="1" t="str">
        <f t="shared" si="12528"/>
        <v>0</v>
      </c>
      <c r="N6917" s="1" t="str">
        <f t="shared" si="12528"/>
        <v>0</v>
      </c>
      <c r="O6917" s="1" t="str">
        <f t="shared" si="12528"/>
        <v>0</v>
      </c>
      <c r="P6917" s="1" t="str">
        <f t="shared" si="12528"/>
        <v>0</v>
      </c>
      <c r="Q6917" s="1" t="str">
        <f t="shared" si="12525"/>
        <v>0.0070</v>
      </c>
      <c r="R6917" s="1" t="s">
        <v>25</v>
      </c>
      <c r="T6917" s="1" t="str">
        <f t="shared" si="12526"/>
        <v>0</v>
      </c>
      <c r="U6917" s="1" t="str">
        <f t="shared" si="12494"/>
        <v>0.0070</v>
      </c>
    </row>
    <row r="6918" s="1" customFormat="1" spans="1:21">
      <c r="A6918" s="1" t="str">
        <f>"4601992303444"</f>
        <v>4601992303444</v>
      </c>
      <c r="B6918" s="1" t="s">
        <v>6941</v>
      </c>
      <c r="C6918" s="1" t="s">
        <v>24</v>
      </c>
      <c r="D6918" s="1" t="str">
        <f t="shared" si="12523"/>
        <v>2021</v>
      </c>
      <c r="E6918" s="1" t="str">
        <f t="shared" ref="E6918:P6918" si="12529">"0"</f>
        <v>0</v>
      </c>
      <c r="F6918" s="1" t="str">
        <f t="shared" si="12529"/>
        <v>0</v>
      </c>
      <c r="G6918" s="1" t="str">
        <f t="shared" si="12529"/>
        <v>0</v>
      </c>
      <c r="H6918" s="1" t="str">
        <f t="shared" si="12529"/>
        <v>0</v>
      </c>
      <c r="I6918" s="1" t="str">
        <f t="shared" si="12529"/>
        <v>0</v>
      </c>
      <c r="J6918" s="1" t="str">
        <f t="shared" si="12529"/>
        <v>0</v>
      </c>
      <c r="K6918" s="1" t="str">
        <f t="shared" si="12529"/>
        <v>0</v>
      </c>
      <c r="L6918" s="1" t="str">
        <f t="shared" si="12529"/>
        <v>0</v>
      </c>
      <c r="M6918" s="1" t="str">
        <f t="shared" si="12529"/>
        <v>0</v>
      </c>
      <c r="N6918" s="1" t="str">
        <f t="shared" si="12529"/>
        <v>0</v>
      </c>
      <c r="O6918" s="1" t="str">
        <f t="shared" si="12529"/>
        <v>0</v>
      </c>
      <c r="P6918" s="1" t="str">
        <f t="shared" si="12529"/>
        <v>0</v>
      </c>
      <c r="Q6918" s="1" t="str">
        <f t="shared" si="12525"/>
        <v>0.0070</v>
      </c>
      <c r="R6918" s="1" t="s">
        <v>25</v>
      </c>
      <c r="T6918" s="1" t="str">
        <f t="shared" si="12526"/>
        <v>0</v>
      </c>
      <c r="U6918" s="1" t="str">
        <f t="shared" si="12494"/>
        <v>0.0070</v>
      </c>
    </row>
    <row r="6919" s="1" customFormat="1" spans="1:21">
      <c r="A6919" s="1" t="str">
        <f>"4601992303564"</f>
        <v>4601992303564</v>
      </c>
      <c r="B6919" s="1" t="s">
        <v>6942</v>
      </c>
      <c r="C6919" s="1" t="s">
        <v>24</v>
      </c>
      <c r="D6919" s="1" t="str">
        <f t="shared" si="12523"/>
        <v>2021</v>
      </c>
      <c r="E6919" s="1" t="str">
        <f t="shared" ref="E6919:P6919" si="12530">"0"</f>
        <v>0</v>
      </c>
      <c r="F6919" s="1" t="str">
        <f t="shared" si="12530"/>
        <v>0</v>
      </c>
      <c r="G6919" s="1" t="str">
        <f t="shared" si="12530"/>
        <v>0</v>
      </c>
      <c r="H6919" s="1" t="str">
        <f t="shared" si="12530"/>
        <v>0</v>
      </c>
      <c r="I6919" s="1" t="str">
        <f t="shared" si="12530"/>
        <v>0</v>
      </c>
      <c r="J6919" s="1" t="str">
        <f t="shared" si="12530"/>
        <v>0</v>
      </c>
      <c r="K6919" s="1" t="str">
        <f t="shared" si="12530"/>
        <v>0</v>
      </c>
      <c r="L6919" s="1" t="str">
        <f t="shared" si="12530"/>
        <v>0</v>
      </c>
      <c r="M6919" s="1" t="str">
        <f t="shared" si="12530"/>
        <v>0</v>
      </c>
      <c r="N6919" s="1" t="str">
        <f t="shared" si="12530"/>
        <v>0</v>
      </c>
      <c r="O6919" s="1" t="str">
        <f t="shared" si="12530"/>
        <v>0</v>
      </c>
      <c r="P6919" s="1" t="str">
        <f t="shared" si="12530"/>
        <v>0</v>
      </c>
      <c r="Q6919" s="1" t="str">
        <f t="shared" si="12525"/>
        <v>0.0070</v>
      </c>
      <c r="R6919" s="1" t="s">
        <v>25</v>
      </c>
      <c r="T6919" s="1" t="str">
        <f t="shared" si="12526"/>
        <v>0</v>
      </c>
      <c r="U6919" s="1" t="str">
        <f t="shared" si="12494"/>
        <v>0.0070</v>
      </c>
    </row>
    <row r="6920" s="1" customFormat="1" spans="1:21">
      <c r="A6920" s="1" t="str">
        <f>"4601992303493"</f>
        <v>4601992303493</v>
      </c>
      <c r="B6920" s="1" t="s">
        <v>6943</v>
      </c>
      <c r="C6920" s="1" t="s">
        <v>24</v>
      </c>
      <c r="D6920" s="1" t="str">
        <f t="shared" si="12523"/>
        <v>2021</v>
      </c>
      <c r="E6920" s="1" t="str">
        <f t="shared" ref="E6920:P6920" si="12531">"0"</f>
        <v>0</v>
      </c>
      <c r="F6920" s="1" t="str">
        <f t="shared" si="12531"/>
        <v>0</v>
      </c>
      <c r="G6920" s="1" t="str">
        <f t="shared" si="12531"/>
        <v>0</v>
      </c>
      <c r="H6920" s="1" t="str">
        <f t="shared" si="12531"/>
        <v>0</v>
      </c>
      <c r="I6920" s="1" t="str">
        <f t="shared" si="12531"/>
        <v>0</v>
      </c>
      <c r="J6920" s="1" t="str">
        <f t="shared" si="12531"/>
        <v>0</v>
      </c>
      <c r="K6920" s="1" t="str">
        <f t="shared" si="12531"/>
        <v>0</v>
      </c>
      <c r="L6920" s="1" t="str">
        <f t="shared" si="12531"/>
        <v>0</v>
      </c>
      <c r="M6920" s="1" t="str">
        <f t="shared" si="12531"/>
        <v>0</v>
      </c>
      <c r="N6920" s="1" t="str">
        <f t="shared" si="12531"/>
        <v>0</v>
      </c>
      <c r="O6920" s="1" t="str">
        <f t="shared" si="12531"/>
        <v>0</v>
      </c>
      <c r="P6920" s="1" t="str">
        <f t="shared" si="12531"/>
        <v>0</v>
      </c>
      <c r="Q6920" s="1" t="str">
        <f t="shared" si="12525"/>
        <v>0.0070</v>
      </c>
      <c r="R6920" s="1" t="s">
        <v>25</v>
      </c>
      <c r="T6920" s="1" t="str">
        <f t="shared" si="12526"/>
        <v>0</v>
      </c>
      <c r="U6920" s="1" t="str">
        <f t="shared" si="12494"/>
        <v>0.0070</v>
      </c>
    </row>
    <row r="6921" s="1" customFormat="1" spans="1:21">
      <c r="A6921" s="1" t="str">
        <f>"4601992303528"</f>
        <v>4601992303528</v>
      </c>
      <c r="B6921" s="1" t="s">
        <v>6944</v>
      </c>
      <c r="C6921" s="1" t="s">
        <v>24</v>
      </c>
      <c r="D6921" s="1" t="str">
        <f t="shared" si="12523"/>
        <v>2021</v>
      </c>
      <c r="E6921" s="1" t="str">
        <f t="shared" ref="E6921:P6921" si="12532">"0"</f>
        <v>0</v>
      </c>
      <c r="F6921" s="1" t="str">
        <f t="shared" si="12532"/>
        <v>0</v>
      </c>
      <c r="G6921" s="1" t="str">
        <f t="shared" si="12532"/>
        <v>0</v>
      </c>
      <c r="H6921" s="1" t="str">
        <f t="shared" si="12532"/>
        <v>0</v>
      </c>
      <c r="I6921" s="1" t="str">
        <f t="shared" si="12532"/>
        <v>0</v>
      </c>
      <c r="J6921" s="1" t="str">
        <f t="shared" si="12532"/>
        <v>0</v>
      </c>
      <c r="K6921" s="1" t="str">
        <f t="shared" si="12532"/>
        <v>0</v>
      </c>
      <c r="L6921" s="1" t="str">
        <f t="shared" si="12532"/>
        <v>0</v>
      </c>
      <c r="M6921" s="1" t="str">
        <f t="shared" si="12532"/>
        <v>0</v>
      </c>
      <c r="N6921" s="1" t="str">
        <f t="shared" si="12532"/>
        <v>0</v>
      </c>
      <c r="O6921" s="1" t="str">
        <f t="shared" si="12532"/>
        <v>0</v>
      </c>
      <c r="P6921" s="1" t="str">
        <f t="shared" si="12532"/>
        <v>0</v>
      </c>
      <c r="Q6921" s="1" t="str">
        <f t="shared" si="12525"/>
        <v>0.0070</v>
      </c>
      <c r="R6921" s="1" t="s">
        <v>25</v>
      </c>
      <c r="T6921" s="1" t="str">
        <f t="shared" si="12526"/>
        <v>0</v>
      </c>
      <c r="U6921" s="1" t="str">
        <f t="shared" si="12494"/>
        <v>0.0070</v>
      </c>
    </row>
    <row r="6922" s="1" customFormat="1" spans="1:21">
      <c r="A6922" s="1" t="str">
        <f>"4601992303648"</f>
        <v>4601992303648</v>
      </c>
      <c r="B6922" s="1" t="s">
        <v>6945</v>
      </c>
      <c r="C6922" s="1" t="s">
        <v>24</v>
      </c>
      <c r="D6922" s="1" t="str">
        <f t="shared" si="12523"/>
        <v>2021</v>
      </c>
      <c r="E6922" s="1" t="str">
        <f t="shared" ref="E6922:P6922" si="12533">"0"</f>
        <v>0</v>
      </c>
      <c r="F6922" s="1" t="str">
        <f t="shared" si="12533"/>
        <v>0</v>
      </c>
      <c r="G6922" s="1" t="str">
        <f t="shared" si="12533"/>
        <v>0</v>
      </c>
      <c r="H6922" s="1" t="str">
        <f t="shared" si="12533"/>
        <v>0</v>
      </c>
      <c r="I6922" s="1" t="str">
        <f t="shared" si="12533"/>
        <v>0</v>
      </c>
      <c r="J6922" s="1" t="str">
        <f t="shared" si="12533"/>
        <v>0</v>
      </c>
      <c r="K6922" s="1" t="str">
        <f t="shared" si="12533"/>
        <v>0</v>
      </c>
      <c r="L6922" s="1" t="str">
        <f t="shared" si="12533"/>
        <v>0</v>
      </c>
      <c r="M6922" s="1" t="str">
        <f t="shared" si="12533"/>
        <v>0</v>
      </c>
      <c r="N6922" s="1" t="str">
        <f t="shared" si="12533"/>
        <v>0</v>
      </c>
      <c r="O6922" s="1" t="str">
        <f t="shared" si="12533"/>
        <v>0</v>
      </c>
      <c r="P6922" s="1" t="str">
        <f t="shared" si="12533"/>
        <v>0</v>
      </c>
      <c r="Q6922" s="1" t="str">
        <f t="shared" si="12525"/>
        <v>0.0070</v>
      </c>
      <c r="R6922" s="1" t="s">
        <v>25</v>
      </c>
      <c r="T6922" s="1" t="str">
        <f t="shared" si="12526"/>
        <v>0</v>
      </c>
      <c r="U6922" s="1" t="str">
        <f t="shared" si="12494"/>
        <v>0.0070</v>
      </c>
    </row>
    <row r="6923" s="1" customFormat="1" spans="1:21">
      <c r="A6923" s="1" t="str">
        <f>"4601992303739"</f>
        <v>4601992303739</v>
      </c>
      <c r="B6923" s="1" t="s">
        <v>6946</v>
      </c>
      <c r="C6923" s="1" t="s">
        <v>24</v>
      </c>
      <c r="D6923" s="1" t="str">
        <f t="shared" si="12523"/>
        <v>2021</v>
      </c>
      <c r="E6923" s="1" t="str">
        <f t="shared" ref="E6923:P6923" si="12534">"0"</f>
        <v>0</v>
      </c>
      <c r="F6923" s="1" t="str">
        <f t="shared" si="12534"/>
        <v>0</v>
      </c>
      <c r="G6923" s="1" t="str">
        <f t="shared" si="12534"/>
        <v>0</v>
      </c>
      <c r="H6923" s="1" t="str">
        <f t="shared" si="12534"/>
        <v>0</v>
      </c>
      <c r="I6923" s="1" t="str">
        <f t="shared" si="12534"/>
        <v>0</v>
      </c>
      <c r="J6923" s="1" t="str">
        <f t="shared" si="12534"/>
        <v>0</v>
      </c>
      <c r="K6923" s="1" t="str">
        <f t="shared" si="12534"/>
        <v>0</v>
      </c>
      <c r="L6923" s="1" t="str">
        <f t="shared" si="12534"/>
        <v>0</v>
      </c>
      <c r="M6923" s="1" t="str">
        <f t="shared" si="12534"/>
        <v>0</v>
      </c>
      <c r="N6923" s="1" t="str">
        <f t="shared" si="12534"/>
        <v>0</v>
      </c>
      <c r="O6923" s="1" t="str">
        <f t="shared" si="12534"/>
        <v>0</v>
      </c>
      <c r="P6923" s="1" t="str">
        <f t="shared" si="12534"/>
        <v>0</v>
      </c>
      <c r="Q6923" s="1" t="str">
        <f t="shared" si="12525"/>
        <v>0.0070</v>
      </c>
      <c r="R6923" s="1" t="s">
        <v>25</v>
      </c>
      <c r="T6923" s="1" t="str">
        <f t="shared" si="12526"/>
        <v>0</v>
      </c>
      <c r="U6923" s="1" t="str">
        <f t="shared" si="12494"/>
        <v>0.0070</v>
      </c>
    </row>
    <row r="6924" s="1" customFormat="1" spans="1:21">
      <c r="A6924" s="1" t="str">
        <f>"4601992303720"</f>
        <v>4601992303720</v>
      </c>
      <c r="B6924" s="1" t="s">
        <v>6947</v>
      </c>
      <c r="C6924" s="1" t="s">
        <v>24</v>
      </c>
      <c r="D6924" s="1" t="str">
        <f t="shared" si="12523"/>
        <v>2021</v>
      </c>
      <c r="E6924" s="1" t="str">
        <f t="shared" ref="E6924:P6924" si="12535">"0"</f>
        <v>0</v>
      </c>
      <c r="F6924" s="1" t="str">
        <f t="shared" si="12535"/>
        <v>0</v>
      </c>
      <c r="G6924" s="1" t="str">
        <f t="shared" si="12535"/>
        <v>0</v>
      </c>
      <c r="H6924" s="1" t="str">
        <f t="shared" si="12535"/>
        <v>0</v>
      </c>
      <c r="I6924" s="1" t="str">
        <f t="shared" si="12535"/>
        <v>0</v>
      </c>
      <c r="J6924" s="1" t="str">
        <f t="shared" si="12535"/>
        <v>0</v>
      </c>
      <c r="K6924" s="1" t="str">
        <f t="shared" si="12535"/>
        <v>0</v>
      </c>
      <c r="L6924" s="1" t="str">
        <f t="shared" si="12535"/>
        <v>0</v>
      </c>
      <c r="M6924" s="1" t="str">
        <f t="shared" si="12535"/>
        <v>0</v>
      </c>
      <c r="N6924" s="1" t="str">
        <f t="shared" si="12535"/>
        <v>0</v>
      </c>
      <c r="O6924" s="1" t="str">
        <f t="shared" si="12535"/>
        <v>0</v>
      </c>
      <c r="P6924" s="1" t="str">
        <f t="shared" si="12535"/>
        <v>0</v>
      </c>
      <c r="Q6924" s="1" t="str">
        <f t="shared" si="12525"/>
        <v>0.0070</v>
      </c>
      <c r="R6924" s="1" t="s">
        <v>25</v>
      </c>
      <c r="T6924" s="1" t="str">
        <f t="shared" si="12526"/>
        <v>0</v>
      </c>
      <c r="U6924" s="1" t="str">
        <f t="shared" si="12494"/>
        <v>0.0070</v>
      </c>
    </row>
    <row r="6925" s="1" customFormat="1" spans="1:21">
      <c r="A6925" s="1" t="str">
        <f>"4601992303696"</f>
        <v>4601992303696</v>
      </c>
      <c r="B6925" s="1" t="s">
        <v>6948</v>
      </c>
      <c r="C6925" s="1" t="s">
        <v>24</v>
      </c>
      <c r="D6925" s="1" t="str">
        <f t="shared" si="12523"/>
        <v>2021</v>
      </c>
      <c r="E6925" s="1" t="str">
        <f t="shared" ref="E6925:P6925" si="12536">"0"</f>
        <v>0</v>
      </c>
      <c r="F6925" s="1" t="str">
        <f t="shared" si="12536"/>
        <v>0</v>
      </c>
      <c r="G6925" s="1" t="str">
        <f t="shared" si="12536"/>
        <v>0</v>
      </c>
      <c r="H6925" s="1" t="str">
        <f t="shared" si="12536"/>
        <v>0</v>
      </c>
      <c r="I6925" s="1" t="str">
        <f t="shared" si="12536"/>
        <v>0</v>
      </c>
      <c r="J6925" s="1" t="str">
        <f t="shared" si="12536"/>
        <v>0</v>
      </c>
      <c r="K6925" s="1" t="str">
        <f t="shared" si="12536"/>
        <v>0</v>
      </c>
      <c r="L6925" s="1" t="str">
        <f t="shared" si="12536"/>
        <v>0</v>
      </c>
      <c r="M6925" s="1" t="str">
        <f t="shared" si="12536"/>
        <v>0</v>
      </c>
      <c r="N6925" s="1" t="str">
        <f t="shared" si="12536"/>
        <v>0</v>
      </c>
      <c r="O6925" s="1" t="str">
        <f t="shared" si="12536"/>
        <v>0</v>
      </c>
      <c r="P6925" s="1" t="str">
        <f t="shared" si="12536"/>
        <v>0</v>
      </c>
      <c r="Q6925" s="1" t="str">
        <f t="shared" si="12525"/>
        <v>0.0070</v>
      </c>
      <c r="R6925" s="1" t="s">
        <v>25</v>
      </c>
      <c r="T6925" s="1" t="str">
        <f t="shared" si="12526"/>
        <v>0</v>
      </c>
      <c r="U6925" s="1" t="str">
        <f t="shared" si="12494"/>
        <v>0.0070</v>
      </c>
    </row>
    <row r="6926" s="1" customFormat="1" spans="1:21">
      <c r="A6926" s="1" t="str">
        <f>"4601992303826"</f>
        <v>4601992303826</v>
      </c>
      <c r="B6926" s="1" t="s">
        <v>6949</v>
      </c>
      <c r="C6926" s="1" t="s">
        <v>24</v>
      </c>
      <c r="D6926" s="1" t="str">
        <f t="shared" si="12523"/>
        <v>2021</v>
      </c>
      <c r="E6926" s="1" t="str">
        <f t="shared" ref="E6926:P6926" si="12537">"0"</f>
        <v>0</v>
      </c>
      <c r="F6926" s="1" t="str">
        <f t="shared" si="12537"/>
        <v>0</v>
      </c>
      <c r="G6926" s="1" t="str">
        <f t="shared" si="12537"/>
        <v>0</v>
      </c>
      <c r="H6926" s="1" t="str">
        <f t="shared" si="12537"/>
        <v>0</v>
      </c>
      <c r="I6926" s="1" t="str">
        <f t="shared" si="12537"/>
        <v>0</v>
      </c>
      <c r="J6926" s="1" t="str">
        <f t="shared" si="12537"/>
        <v>0</v>
      </c>
      <c r="K6926" s="1" t="str">
        <f t="shared" si="12537"/>
        <v>0</v>
      </c>
      <c r="L6926" s="1" t="str">
        <f t="shared" si="12537"/>
        <v>0</v>
      </c>
      <c r="M6926" s="1" t="str">
        <f t="shared" si="12537"/>
        <v>0</v>
      </c>
      <c r="N6926" s="1" t="str">
        <f t="shared" si="12537"/>
        <v>0</v>
      </c>
      <c r="O6926" s="1" t="str">
        <f t="shared" si="12537"/>
        <v>0</v>
      </c>
      <c r="P6926" s="1" t="str">
        <f t="shared" si="12537"/>
        <v>0</v>
      </c>
      <c r="Q6926" s="1" t="str">
        <f t="shared" si="12525"/>
        <v>0.0070</v>
      </c>
      <c r="R6926" s="1" t="s">
        <v>25</v>
      </c>
      <c r="T6926" s="1" t="str">
        <f t="shared" si="12526"/>
        <v>0</v>
      </c>
      <c r="U6926" s="1" t="str">
        <f t="shared" si="12494"/>
        <v>0.0070</v>
      </c>
    </row>
    <row r="6927" s="1" customFormat="1" spans="1:21">
      <c r="A6927" s="1" t="str">
        <f>"4601992303791"</f>
        <v>4601992303791</v>
      </c>
      <c r="B6927" s="1" t="s">
        <v>6950</v>
      </c>
      <c r="C6927" s="1" t="s">
        <v>24</v>
      </c>
      <c r="D6927" s="1" t="str">
        <f t="shared" si="12523"/>
        <v>2021</v>
      </c>
      <c r="E6927" s="1" t="str">
        <f t="shared" ref="E6927:P6927" si="12538">"0"</f>
        <v>0</v>
      </c>
      <c r="F6927" s="1" t="str">
        <f t="shared" si="12538"/>
        <v>0</v>
      </c>
      <c r="G6927" s="1" t="str">
        <f t="shared" si="12538"/>
        <v>0</v>
      </c>
      <c r="H6927" s="1" t="str">
        <f t="shared" si="12538"/>
        <v>0</v>
      </c>
      <c r="I6927" s="1" t="str">
        <f t="shared" si="12538"/>
        <v>0</v>
      </c>
      <c r="J6927" s="1" t="str">
        <f t="shared" si="12538"/>
        <v>0</v>
      </c>
      <c r="K6927" s="1" t="str">
        <f t="shared" si="12538"/>
        <v>0</v>
      </c>
      <c r="L6927" s="1" t="str">
        <f t="shared" si="12538"/>
        <v>0</v>
      </c>
      <c r="M6927" s="1" t="str">
        <f t="shared" si="12538"/>
        <v>0</v>
      </c>
      <c r="N6927" s="1" t="str">
        <f t="shared" si="12538"/>
        <v>0</v>
      </c>
      <c r="O6927" s="1" t="str">
        <f t="shared" si="12538"/>
        <v>0</v>
      </c>
      <c r="P6927" s="1" t="str">
        <f t="shared" si="12538"/>
        <v>0</v>
      </c>
      <c r="Q6927" s="1" t="str">
        <f t="shared" si="12525"/>
        <v>0.0070</v>
      </c>
      <c r="R6927" s="1" t="s">
        <v>25</v>
      </c>
      <c r="T6927" s="1" t="str">
        <f t="shared" si="12526"/>
        <v>0</v>
      </c>
      <c r="U6927" s="1" t="str">
        <f t="shared" si="12494"/>
        <v>0.0070</v>
      </c>
    </row>
    <row r="6928" s="1" customFormat="1" spans="1:21">
      <c r="A6928" s="1" t="str">
        <f>"4601992303801"</f>
        <v>4601992303801</v>
      </c>
      <c r="B6928" s="1" t="s">
        <v>6951</v>
      </c>
      <c r="C6928" s="1" t="s">
        <v>24</v>
      </c>
      <c r="D6928" s="1" t="str">
        <f t="shared" si="12523"/>
        <v>2021</v>
      </c>
      <c r="E6928" s="1" t="str">
        <f t="shared" ref="E6928:P6928" si="12539">"0"</f>
        <v>0</v>
      </c>
      <c r="F6928" s="1" t="str">
        <f t="shared" si="12539"/>
        <v>0</v>
      </c>
      <c r="G6928" s="1" t="str">
        <f t="shared" si="12539"/>
        <v>0</v>
      </c>
      <c r="H6928" s="1" t="str">
        <f t="shared" si="12539"/>
        <v>0</v>
      </c>
      <c r="I6928" s="1" t="str">
        <f t="shared" si="12539"/>
        <v>0</v>
      </c>
      <c r="J6928" s="1" t="str">
        <f t="shared" si="12539"/>
        <v>0</v>
      </c>
      <c r="K6928" s="1" t="str">
        <f t="shared" si="12539"/>
        <v>0</v>
      </c>
      <c r="L6928" s="1" t="str">
        <f t="shared" si="12539"/>
        <v>0</v>
      </c>
      <c r="M6928" s="1" t="str">
        <f t="shared" si="12539"/>
        <v>0</v>
      </c>
      <c r="N6928" s="1" t="str">
        <f t="shared" si="12539"/>
        <v>0</v>
      </c>
      <c r="O6928" s="1" t="str">
        <f t="shared" si="12539"/>
        <v>0</v>
      </c>
      <c r="P6928" s="1" t="str">
        <f t="shared" si="12539"/>
        <v>0</v>
      </c>
      <c r="Q6928" s="1" t="str">
        <f t="shared" si="12525"/>
        <v>0.0070</v>
      </c>
      <c r="R6928" s="1" t="s">
        <v>25</v>
      </c>
      <c r="T6928" s="1" t="str">
        <f t="shared" si="12526"/>
        <v>0</v>
      </c>
      <c r="U6928" s="1" t="str">
        <f t="shared" si="12494"/>
        <v>0.0070</v>
      </c>
    </row>
    <row r="6929" s="1" customFormat="1" spans="1:21">
      <c r="A6929" s="1" t="str">
        <f>"4601992303778"</f>
        <v>4601992303778</v>
      </c>
      <c r="B6929" s="1" t="s">
        <v>6952</v>
      </c>
      <c r="C6929" s="1" t="s">
        <v>24</v>
      </c>
      <c r="D6929" s="1" t="str">
        <f t="shared" si="12523"/>
        <v>2021</v>
      </c>
      <c r="E6929" s="1" t="str">
        <f t="shared" ref="E6929:P6929" si="12540">"0"</f>
        <v>0</v>
      </c>
      <c r="F6929" s="1" t="str">
        <f t="shared" si="12540"/>
        <v>0</v>
      </c>
      <c r="G6929" s="1" t="str">
        <f t="shared" si="12540"/>
        <v>0</v>
      </c>
      <c r="H6929" s="1" t="str">
        <f t="shared" si="12540"/>
        <v>0</v>
      </c>
      <c r="I6929" s="1" t="str">
        <f t="shared" si="12540"/>
        <v>0</v>
      </c>
      <c r="J6929" s="1" t="str">
        <f t="shared" si="12540"/>
        <v>0</v>
      </c>
      <c r="K6929" s="1" t="str">
        <f t="shared" si="12540"/>
        <v>0</v>
      </c>
      <c r="L6929" s="1" t="str">
        <f t="shared" si="12540"/>
        <v>0</v>
      </c>
      <c r="M6929" s="1" t="str">
        <f t="shared" si="12540"/>
        <v>0</v>
      </c>
      <c r="N6929" s="1" t="str">
        <f t="shared" si="12540"/>
        <v>0</v>
      </c>
      <c r="O6929" s="1" t="str">
        <f t="shared" si="12540"/>
        <v>0</v>
      </c>
      <c r="P6929" s="1" t="str">
        <f t="shared" si="12540"/>
        <v>0</v>
      </c>
      <c r="Q6929" s="1" t="str">
        <f t="shared" si="12525"/>
        <v>0.0070</v>
      </c>
      <c r="R6929" s="1" t="s">
        <v>25</v>
      </c>
      <c r="T6929" s="1" t="str">
        <f t="shared" si="12526"/>
        <v>0</v>
      </c>
      <c r="U6929" s="1" t="str">
        <f t="shared" si="12494"/>
        <v>0.0070</v>
      </c>
    </row>
    <row r="6930" s="1" customFormat="1" spans="1:21">
      <c r="A6930" s="1" t="str">
        <f>"4601992303908"</f>
        <v>4601992303908</v>
      </c>
      <c r="B6930" s="1" t="s">
        <v>6953</v>
      </c>
      <c r="C6930" s="1" t="s">
        <v>24</v>
      </c>
      <c r="D6930" s="1" t="str">
        <f t="shared" si="12523"/>
        <v>2021</v>
      </c>
      <c r="E6930" s="1" t="str">
        <f t="shared" ref="E6930:P6930" si="12541">"0"</f>
        <v>0</v>
      </c>
      <c r="F6930" s="1" t="str">
        <f t="shared" si="12541"/>
        <v>0</v>
      </c>
      <c r="G6930" s="1" t="str">
        <f t="shared" si="12541"/>
        <v>0</v>
      </c>
      <c r="H6930" s="1" t="str">
        <f t="shared" si="12541"/>
        <v>0</v>
      </c>
      <c r="I6930" s="1" t="str">
        <f t="shared" si="12541"/>
        <v>0</v>
      </c>
      <c r="J6930" s="1" t="str">
        <f t="shared" si="12541"/>
        <v>0</v>
      </c>
      <c r="K6930" s="1" t="str">
        <f t="shared" si="12541"/>
        <v>0</v>
      </c>
      <c r="L6930" s="1" t="str">
        <f t="shared" si="12541"/>
        <v>0</v>
      </c>
      <c r="M6930" s="1" t="str">
        <f t="shared" si="12541"/>
        <v>0</v>
      </c>
      <c r="N6930" s="1" t="str">
        <f t="shared" si="12541"/>
        <v>0</v>
      </c>
      <c r="O6930" s="1" t="str">
        <f t="shared" si="12541"/>
        <v>0</v>
      </c>
      <c r="P6930" s="1" t="str">
        <f t="shared" si="12541"/>
        <v>0</v>
      </c>
      <c r="Q6930" s="1" t="str">
        <f t="shared" si="12525"/>
        <v>0.0070</v>
      </c>
      <c r="R6930" s="1" t="s">
        <v>25</v>
      </c>
      <c r="T6930" s="1" t="str">
        <f t="shared" si="12526"/>
        <v>0</v>
      </c>
      <c r="U6930" s="1" t="str">
        <f t="shared" si="12494"/>
        <v>0.0070</v>
      </c>
    </row>
    <row r="6931" s="1" customFormat="1" spans="1:21">
      <c r="A6931" s="1" t="str">
        <f>"4601992303910"</f>
        <v>4601992303910</v>
      </c>
      <c r="B6931" s="1" t="s">
        <v>6954</v>
      </c>
      <c r="C6931" s="1" t="s">
        <v>24</v>
      </c>
      <c r="D6931" s="1" t="str">
        <f t="shared" si="12523"/>
        <v>2021</v>
      </c>
      <c r="E6931" s="1" t="str">
        <f t="shared" ref="E6931:P6931" si="12542">"0"</f>
        <v>0</v>
      </c>
      <c r="F6931" s="1" t="str">
        <f t="shared" si="12542"/>
        <v>0</v>
      </c>
      <c r="G6931" s="1" t="str">
        <f t="shared" si="12542"/>
        <v>0</v>
      </c>
      <c r="H6931" s="1" t="str">
        <f t="shared" si="12542"/>
        <v>0</v>
      </c>
      <c r="I6931" s="1" t="str">
        <f t="shared" si="12542"/>
        <v>0</v>
      </c>
      <c r="J6931" s="1" t="str">
        <f t="shared" si="12542"/>
        <v>0</v>
      </c>
      <c r="K6931" s="1" t="str">
        <f t="shared" si="12542"/>
        <v>0</v>
      </c>
      <c r="L6931" s="1" t="str">
        <f t="shared" si="12542"/>
        <v>0</v>
      </c>
      <c r="M6931" s="1" t="str">
        <f t="shared" si="12542"/>
        <v>0</v>
      </c>
      <c r="N6931" s="1" t="str">
        <f t="shared" si="12542"/>
        <v>0</v>
      </c>
      <c r="O6931" s="1" t="str">
        <f t="shared" si="12542"/>
        <v>0</v>
      </c>
      <c r="P6931" s="1" t="str">
        <f t="shared" si="12542"/>
        <v>0</v>
      </c>
      <c r="Q6931" s="1" t="str">
        <f t="shared" si="12525"/>
        <v>0.0070</v>
      </c>
      <c r="R6931" s="1" t="s">
        <v>25</v>
      </c>
      <c r="T6931" s="1" t="str">
        <f t="shared" si="12526"/>
        <v>0</v>
      </c>
      <c r="U6931" s="1" t="str">
        <f t="shared" si="12494"/>
        <v>0.0070</v>
      </c>
    </row>
    <row r="6932" s="1" customFormat="1" spans="1:21">
      <c r="A6932" s="1" t="str">
        <f>"4601992303925"</f>
        <v>4601992303925</v>
      </c>
      <c r="B6932" s="1" t="s">
        <v>6955</v>
      </c>
      <c r="C6932" s="1" t="s">
        <v>24</v>
      </c>
      <c r="D6932" s="1" t="str">
        <f t="shared" si="12523"/>
        <v>2021</v>
      </c>
      <c r="E6932" s="1" t="str">
        <f t="shared" ref="E6932:P6932" si="12543">"0"</f>
        <v>0</v>
      </c>
      <c r="F6932" s="1" t="str">
        <f t="shared" si="12543"/>
        <v>0</v>
      </c>
      <c r="G6932" s="1" t="str">
        <f t="shared" si="12543"/>
        <v>0</v>
      </c>
      <c r="H6932" s="1" t="str">
        <f t="shared" si="12543"/>
        <v>0</v>
      </c>
      <c r="I6932" s="1" t="str">
        <f t="shared" si="12543"/>
        <v>0</v>
      </c>
      <c r="J6932" s="1" t="str">
        <f t="shared" si="12543"/>
        <v>0</v>
      </c>
      <c r="K6932" s="1" t="str">
        <f t="shared" si="12543"/>
        <v>0</v>
      </c>
      <c r="L6932" s="1" t="str">
        <f t="shared" si="12543"/>
        <v>0</v>
      </c>
      <c r="M6932" s="1" t="str">
        <f t="shared" si="12543"/>
        <v>0</v>
      </c>
      <c r="N6932" s="1" t="str">
        <f t="shared" si="12543"/>
        <v>0</v>
      </c>
      <c r="O6932" s="1" t="str">
        <f t="shared" si="12543"/>
        <v>0</v>
      </c>
      <c r="P6932" s="1" t="str">
        <f t="shared" si="12543"/>
        <v>0</v>
      </c>
      <c r="Q6932" s="1" t="str">
        <f t="shared" si="12525"/>
        <v>0.0070</v>
      </c>
      <c r="R6932" s="1" t="s">
        <v>25</v>
      </c>
      <c r="T6932" s="1" t="str">
        <f t="shared" si="12526"/>
        <v>0</v>
      </c>
      <c r="U6932" s="1" t="str">
        <f t="shared" si="12494"/>
        <v>0.0070</v>
      </c>
    </row>
    <row r="6933" s="1" customFormat="1" spans="1:21">
      <c r="A6933" s="1" t="str">
        <f>"4601992303965"</f>
        <v>4601992303965</v>
      </c>
      <c r="B6933" s="1" t="s">
        <v>6956</v>
      </c>
      <c r="C6933" s="1" t="s">
        <v>24</v>
      </c>
      <c r="D6933" s="1" t="str">
        <f t="shared" si="12523"/>
        <v>2021</v>
      </c>
      <c r="E6933" s="1" t="str">
        <f t="shared" ref="E6933:P6933" si="12544">"0"</f>
        <v>0</v>
      </c>
      <c r="F6933" s="1" t="str">
        <f t="shared" si="12544"/>
        <v>0</v>
      </c>
      <c r="G6933" s="1" t="str">
        <f t="shared" si="12544"/>
        <v>0</v>
      </c>
      <c r="H6933" s="1" t="str">
        <f t="shared" si="12544"/>
        <v>0</v>
      </c>
      <c r="I6933" s="1" t="str">
        <f t="shared" si="12544"/>
        <v>0</v>
      </c>
      <c r="J6933" s="1" t="str">
        <f t="shared" si="12544"/>
        <v>0</v>
      </c>
      <c r="K6933" s="1" t="str">
        <f t="shared" si="12544"/>
        <v>0</v>
      </c>
      <c r="L6933" s="1" t="str">
        <f t="shared" si="12544"/>
        <v>0</v>
      </c>
      <c r="M6933" s="1" t="str">
        <f t="shared" si="12544"/>
        <v>0</v>
      </c>
      <c r="N6933" s="1" t="str">
        <f t="shared" si="12544"/>
        <v>0</v>
      </c>
      <c r="O6933" s="1" t="str">
        <f t="shared" si="12544"/>
        <v>0</v>
      </c>
      <c r="P6933" s="1" t="str">
        <f t="shared" si="12544"/>
        <v>0</v>
      </c>
      <c r="Q6933" s="1" t="str">
        <f t="shared" si="12525"/>
        <v>0.0070</v>
      </c>
      <c r="R6933" s="1" t="s">
        <v>25</v>
      </c>
      <c r="T6933" s="1" t="str">
        <f t="shared" si="12526"/>
        <v>0</v>
      </c>
      <c r="U6933" s="1" t="str">
        <f t="shared" si="12494"/>
        <v>0.0070</v>
      </c>
    </row>
    <row r="6934" s="1" customFormat="1" spans="1:21">
      <c r="A6934" s="1" t="str">
        <f>"4601992304003"</f>
        <v>4601992304003</v>
      </c>
      <c r="B6934" s="1" t="s">
        <v>6957</v>
      </c>
      <c r="C6934" s="1" t="s">
        <v>24</v>
      </c>
      <c r="D6934" s="1" t="str">
        <f t="shared" si="12523"/>
        <v>2021</v>
      </c>
      <c r="E6934" s="1" t="str">
        <f t="shared" ref="E6934:P6934" si="12545">"0"</f>
        <v>0</v>
      </c>
      <c r="F6934" s="1" t="str">
        <f t="shared" si="12545"/>
        <v>0</v>
      </c>
      <c r="G6934" s="1" t="str">
        <f t="shared" si="12545"/>
        <v>0</v>
      </c>
      <c r="H6934" s="1" t="str">
        <f t="shared" si="12545"/>
        <v>0</v>
      </c>
      <c r="I6934" s="1" t="str">
        <f t="shared" si="12545"/>
        <v>0</v>
      </c>
      <c r="J6934" s="1" t="str">
        <f t="shared" si="12545"/>
        <v>0</v>
      </c>
      <c r="K6934" s="1" t="str">
        <f t="shared" si="12545"/>
        <v>0</v>
      </c>
      <c r="L6934" s="1" t="str">
        <f t="shared" si="12545"/>
        <v>0</v>
      </c>
      <c r="M6934" s="1" t="str">
        <f t="shared" si="12545"/>
        <v>0</v>
      </c>
      <c r="N6934" s="1" t="str">
        <f t="shared" si="12545"/>
        <v>0</v>
      </c>
      <c r="O6934" s="1" t="str">
        <f t="shared" si="12545"/>
        <v>0</v>
      </c>
      <c r="P6934" s="1" t="str">
        <f t="shared" si="12545"/>
        <v>0</v>
      </c>
      <c r="Q6934" s="1" t="str">
        <f t="shared" si="12525"/>
        <v>0.0070</v>
      </c>
      <c r="R6934" s="1" t="s">
        <v>25</v>
      </c>
      <c r="T6934" s="1" t="str">
        <f t="shared" si="12526"/>
        <v>0</v>
      </c>
      <c r="U6934" s="1" t="str">
        <f t="shared" si="12494"/>
        <v>0.0070</v>
      </c>
    </row>
    <row r="6935" s="1" customFormat="1" spans="1:21">
      <c r="A6935" s="1" t="str">
        <f>"4601992304019"</f>
        <v>4601992304019</v>
      </c>
      <c r="B6935" s="1" t="s">
        <v>6958</v>
      </c>
      <c r="C6935" s="1" t="s">
        <v>24</v>
      </c>
      <c r="D6935" s="1" t="str">
        <f t="shared" si="12523"/>
        <v>2021</v>
      </c>
      <c r="E6935" s="1" t="str">
        <f t="shared" ref="E6935:P6935" si="12546">"0"</f>
        <v>0</v>
      </c>
      <c r="F6935" s="1" t="str">
        <f t="shared" si="12546"/>
        <v>0</v>
      </c>
      <c r="G6935" s="1" t="str">
        <f t="shared" si="12546"/>
        <v>0</v>
      </c>
      <c r="H6935" s="1" t="str">
        <f t="shared" si="12546"/>
        <v>0</v>
      </c>
      <c r="I6935" s="1" t="str">
        <f t="shared" si="12546"/>
        <v>0</v>
      </c>
      <c r="J6935" s="1" t="str">
        <f t="shared" si="12546"/>
        <v>0</v>
      </c>
      <c r="K6935" s="1" t="str">
        <f t="shared" si="12546"/>
        <v>0</v>
      </c>
      <c r="L6935" s="1" t="str">
        <f t="shared" si="12546"/>
        <v>0</v>
      </c>
      <c r="M6935" s="1" t="str">
        <f t="shared" si="12546"/>
        <v>0</v>
      </c>
      <c r="N6935" s="1" t="str">
        <f t="shared" si="12546"/>
        <v>0</v>
      </c>
      <c r="O6935" s="1" t="str">
        <f t="shared" si="12546"/>
        <v>0</v>
      </c>
      <c r="P6935" s="1" t="str">
        <f t="shared" si="12546"/>
        <v>0</v>
      </c>
      <c r="Q6935" s="1" t="str">
        <f t="shared" si="12525"/>
        <v>0.0070</v>
      </c>
      <c r="R6935" s="1" t="s">
        <v>25</v>
      </c>
      <c r="T6935" s="1" t="str">
        <f t="shared" si="12526"/>
        <v>0</v>
      </c>
      <c r="U6935" s="1" t="str">
        <f t="shared" si="12494"/>
        <v>0.0070</v>
      </c>
    </row>
    <row r="6936" s="1" customFormat="1" spans="1:21">
      <c r="A6936" s="1" t="str">
        <f>"4601992304024"</f>
        <v>4601992304024</v>
      </c>
      <c r="B6936" s="1" t="s">
        <v>6959</v>
      </c>
      <c r="C6936" s="1" t="s">
        <v>24</v>
      </c>
      <c r="D6936" s="1" t="str">
        <f t="shared" si="12523"/>
        <v>2021</v>
      </c>
      <c r="E6936" s="1" t="str">
        <f t="shared" ref="E6936:P6936" si="12547">"0"</f>
        <v>0</v>
      </c>
      <c r="F6936" s="1" t="str">
        <f t="shared" si="12547"/>
        <v>0</v>
      </c>
      <c r="G6936" s="1" t="str">
        <f t="shared" si="12547"/>
        <v>0</v>
      </c>
      <c r="H6936" s="1" t="str">
        <f t="shared" si="12547"/>
        <v>0</v>
      </c>
      <c r="I6936" s="1" t="str">
        <f t="shared" si="12547"/>
        <v>0</v>
      </c>
      <c r="J6936" s="1" t="str">
        <f t="shared" si="12547"/>
        <v>0</v>
      </c>
      <c r="K6936" s="1" t="str">
        <f t="shared" si="12547"/>
        <v>0</v>
      </c>
      <c r="L6936" s="1" t="str">
        <f t="shared" si="12547"/>
        <v>0</v>
      </c>
      <c r="M6936" s="1" t="str">
        <f t="shared" si="12547"/>
        <v>0</v>
      </c>
      <c r="N6936" s="1" t="str">
        <f t="shared" si="12547"/>
        <v>0</v>
      </c>
      <c r="O6936" s="1" t="str">
        <f t="shared" si="12547"/>
        <v>0</v>
      </c>
      <c r="P6936" s="1" t="str">
        <f t="shared" si="12547"/>
        <v>0</v>
      </c>
      <c r="Q6936" s="1" t="str">
        <f t="shared" si="12525"/>
        <v>0.0070</v>
      </c>
      <c r="R6936" s="1" t="s">
        <v>25</v>
      </c>
      <c r="T6936" s="1" t="str">
        <f t="shared" si="12526"/>
        <v>0</v>
      </c>
      <c r="U6936" s="1" t="str">
        <f t="shared" si="12494"/>
        <v>0.0070</v>
      </c>
    </row>
    <row r="6937" s="1" customFormat="1" spans="1:21">
      <c r="A6937" s="1" t="str">
        <f>"4601992304168"</f>
        <v>4601992304168</v>
      </c>
      <c r="B6937" s="1" t="s">
        <v>6960</v>
      </c>
      <c r="C6937" s="1" t="s">
        <v>24</v>
      </c>
      <c r="D6937" s="1" t="str">
        <f t="shared" si="12523"/>
        <v>2021</v>
      </c>
      <c r="E6937" s="1" t="str">
        <f t="shared" ref="E6937:P6937" si="12548">"0"</f>
        <v>0</v>
      </c>
      <c r="F6937" s="1" t="str">
        <f t="shared" si="12548"/>
        <v>0</v>
      </c>
      <c r="G6937" s="1" t="str">
        <f t="shared" si="12548"/>
        <v>0</v>
      </c>
      <c r="H6937" s="1" t="str">
        <f t="shared" si="12548"/>
        <v>0</v>
      </c>
      <c r="I6937" s="1" t="str">
        <f t="shared" si="12548"/>
        <v>0</v>
      </c>
      <c r="J6937" s="1" t="str">
        <f t="shared" si="12548"/>
        <v>0</v>
      </c>
      <c r="K6937" s="1" t="str">
        <f t="shared" si="12548"/>
        <v>0</v>
      </c>
      <c r="L6937" s="1" t="str">
        <f t="shared" si="12548"/>
        <v>0</v>
      </c>
      <c r="M6937" s="1" t="str">
        <f t="shared" si="12548"/>
        <v>0</v>
      </c>
      <c r="N6937" s="1" t="str">
        <f t="shared" si="12548"/>
        <v>0</v>
      </c>
      <c r="O6937" s="1" t="str">
        <f t="shared" si="12548"/>
        <v>0</v>
      </c>
      <c r="P6937" s="1" t="str">
        <f t="shared" si="12548"/>
        <v>0</v>
      </c>
      <c r="Q6937" s="1" t="str">
        <f t="shared" si="12525"/>
        <v>0.0070</v>
      </c>
      <c r="R6937" s="1" t="s">
        <v>25</v>
      </c>
      <c r="T6937" s="1" t="str">
        <f t="shared" si="12526"/>
        <v>0</v>
      </c>
      <c r="U6937" s="1" t="str">
        <f t="shared" si="12494"/>
        <v>0.0070</v>
      </c>
    </row>
    <row r="6938" s="1" customFormat="1" spans="1:21">
      <c r="A6938" s="1" t="str">
        <f>"4601992304200"</f>
        <v>4601992304200</v>
      </c>
      <c r="B6938" s="1" t="s">
        <v>6961</v>
      </c>
      <c r="C6938" s="1" t="s">
        <v>24</v>
      </c>
      <c r="D6938" s="1" t="str">
        <f t="shared" si="12523"/>
        <v>2021</v>
      </c>
      <c r="E6938" s="1" t="str">
        <f t="shared" ref="E6938:P6938" si="12549">"0"</f>
        <v>0</v>
      </c>
      <c r="F6938" s="1" t="str">
        <f t="shared" si="12549"/>
        <v>0</v>
      </c>
      <c r="G6938" s="1" t="str">
        <f t="shared" si="12549"/>
        <v>0</v>
      </c>
      <c r="H6938" s="1" t="str">
        <f t="shared" si="12549"/>
        <v>0</v>
      </c>
      <c r="I6938" s="1" t="str">
        <f t="shared" si="12549"/>
        <v>0</v>
      </c>
      <c r="J6938" s="1" t="str">
        <f t="shared" si="12549"/>
        <v>0</v>
      </c>
      <c r="K6938" s="1" t="str">
        <f t="shared" si="12549"/>
        <v>0</v>
      </c>
      <c r="L6938" s="1" t="str">
        <f t="shared" si="12549"/>
        <v>0</v>
      </c>
      <c r="M6938" s="1" t="str">
        <f t="shared" si="12549"/>
        <v>0</v>
      </c>
      <c r="N6938" s="1" t="str">
        <f t="shared" si="12549"/>
        <v>0</v>
      </c>
      <c r="O6938" s="1" t="str">
        <f t="shared" si="12549"/>
        <v>0</v>
      </c>
      <c r="P6938" s="1" t="str">
        <f t="shared" si="12549"/>
        <v>0</v>
      </c>
      <c r="Q6938" s="1" t="str">
        <f t="shared" si="12525"/>
        <v>0.0070</v>
      </c>
      <c r="R6938" s="1" t="s">
        <v>25</v>
      </c>
      <c r="T6938" s="1" t="str">
        <f t="shared" si="12526"/>
        <v>0</v>
      </c>
      <c r="U6938" s="1" t="str">
        <f t="shared" si="12494"/>
        <v>0.0070</v>
      </c>
    </row>
    <row r="6939" s="1" customFormat="1" spans="1:21">
      <c r="A6939" s="1" t="str">
        <f>"4601992304201"</f>
        <v>4601992304201</v>
      </c>
      <c r="B6939" s="1" t="s">
        <v>6962</v>
      </c>
      <c r="C6939" s="1" t="s">
        <v>24</v>
      </c>
      <c r="D6939" s="1" t="str">
        <f t="shared" si="12523"/>
        <v>2021</v>
      </c>
      <c r="E6939" s="1" t="str">
        <f t="shared" ref="E6939:P6939" si="12550">"0"</f>
        <v>0</v>
      </c>
      <c r="F6939" s="1" t="str">
        <f t="shared" si="12550"/>
        <v>0</v>
      </c>
      <c r="G6939" s="1" t="str">
        <f t="shared" si="12550"/>
        <v>0</v>
      </c>
      <c r="H6939" s="1" t="str">
        <f t="shared" si="12550"/>
        <v>0</v>
      </c>
      <c r="I6939" s="1" t="str">
        <f t="shared" si="12550"/>
        <v>0</v>
      </c>
      <c r="J6939" s="1" t="str">
        <f t="shared" si="12550"/>
        <v>0</v>
      </c>
      <c r="K6939" s="1" t="str">
        <f t="shared" si="12550"/>
        <v>0</v>
      </c>
      <c r="L6939" s="1" t="str">
        <f t="shared" si="12550"/>
        <v>0</v>
      </c>
      <c r="M6939" s="1" t="str">
        <f t="shared" si="12550"/>
        <v>0</v>
      </c>
      <c r="N6939" s="1" t="str">
        <f t="shared" si="12550"/>
        <v>0</v>
      </c>
      <c r="O6939" s="1" t="str">
        <f t="shared" si="12550"/>
        <v>0</v>
      </c>
      <c r="P6939" s="1" t="str">
        <f t="shared" si="12550"/>
        <v>0</v>
      </c>
      <c r="Q6939" s="1" t="str">
        <f t="shared" si="12525"/>
        <v>0.0070</v>
      </c>
      <c r="R6939" s="1" t="s">
        <v>25</v>
      </c>
      <c r="T6939" s="1" t="str">
        <f t="shared" si="12526"/>
        <v>0</v>
      </c>
      <c r="U6939" s="1" t="str">
        <f t="shared" si="12494"/>
        <v>0.0070</v>
      </c>
    </row>
    <row r="6940" s="1" customFormat="1" spans="1:21">
      <c r="A6940" s="1" t="str">
        <f>"4601992304373"</f>
        <v>4601992304373</v>
      </c>
      <c r="B6940" s="1" t="s">
        <v>6963</v>
      </c>
      <c r="C6940" s="1" t="s">
        <v>24</v>
      </c>
      <c r="D6940" s="1" t="str">
        <f t="shared" si="12523"/>
        <v>2021</v>
      </c>
      <c r="E6940" s="1" t="str">
        <f t="shared" ref="E6940:P6940" si="12551">"0"</f>
        <v>0</v>
      </c>
      <c r="F6940" s="1" t="str">
        <f t="shared" si="12551"/>
        <v>0</v>
      </c>
      <c r="G6940" s="1" t="str">
        <f t="shared" si="12551"/>
        <v>0</v>
      </c>
      <c r="H6940" s="1" t="str">
        <f t="shared" si="12551"/>
        <v>0</v>
      </c>
      <c r="I6940" s="1" t="str">
        <f t="shared" si="12551"/>
        <v>0</v>
      </c>
      <c r="J6940" s="1" t="str">
        <f t="shared" si="12551"/>
        <v>0</v>
      </c>
      <c r="K6940" s="1" t="str">
        <f t="shared" si="12551"/>
        <v>0</v>
      </c>
      <c r="L6940" s="1" t="str">
        <f t="shared" si="12551"/>
        <v>0</v>
      </c>
      <c r="M6940" s="1" t="str">
        <f t="shared" si="12551"/>
        <v>0</v>
      </c>
      <c r="N6940" s="1" t="str">
        <f t="shared" si="12551"/>
        <v>0</v>
      </c>
      <c r="O6940" s="1" t="str">
        <f t="shared" si="12551"/>
        <v>0</v>
      </c>
      <c r="P6940" s="1" t="str">
        <f t="shared" si="12551"/>
        <v>0</v>
      </c>
      <c r="Q6940" s="1" t="str">
        <f t="shared" si="12525"/>
        <v>0.0070</v>
      </c>
      <c r="R6940" s="1" t="s">
        <v>25</v>
      </c>
      <c r="T6940" s="1" t="str">
        <f t="shared" si="12526"/>
        <v>0</v>
      </c>
      <c r="U6940" s="1" t="str">
        <f t="shared" si="12494"/>
        <v>0.0070</v>
      </c>
    </row>
    <row r="6941" s="1" customFormat="1" spans="1:21">
      <c r="A6941" s="1" t="str">
        <f>"4601992304389"</f>
        <v>4601992304389</v>
      </c>
      <c r="B6941" s="1" t="s">
        <v>6964</v>
      </c>
      <c r="C6941" s="1" t="s">
        <v>24</v>
      </c>
      <c r="D6941" s="1" t="str">
        <f t="shared" si="12523"/>
        <v>2021</v>
      </c>
      <c r="E6941" s="1" t="str">
        <f t="shared" ref="E6941:P6941" si="12552">"0"</f>
        <v>0</v>
      </c>
      <c r="F6941" s="1" t="str">
        <f t="shared" si="12552"/>
        <v>0</v>
      </c>
      <c r="G6941" s="1" t="str">
        <f t="shared" si="12552"/>
        <v>0</v>
      </c>
      <c r="H6941" s="1" t="str">
        <f t="shared" si="12552"/>
        <v>0</v>
      </c>
      <c r="I6941" s="1" t="str">
        <f t="shared" si="12552"/>
        <v>0</v>
      </c>
      <c r="J6941" s="1" t="str">
        <f t="shared" si="12552"/>
        <v>0</v>
      </c>
      <c r="K6941" s="1" t="str">
        <f t="shared" si="12552"/>
        <v>0</v>
      </c>
      <c r="L6941" s="1" t="str">
        <f t="shared" si="12552"/>
        <v>0</v>
      </c>
      <c r="M6941" s="1" t="str">
        <f t="shared" si="12552"/>
        <v>0</v>
      </c>
      <c r="N6941" s="1" t="str">
        <f t="shared" si="12552"/>
        <v>0</v>
      </c>
      <c r="O6941" s="1" t="str">
        <f t="shared" si="12552"/>
        <v>0</v>
      </c>
      <c r="P6941" s="1" t="str">
        <f t="shared" si="12552"/>
        <v>0</v>
      </c>
      <c r="Q6941" s="1" t="str">
        <f t="shared" si="12525"/>
        <v>0.0070</v>
      </c>
      <c r="R6941" s="1" t="s">
        <v>25</v>
      </c>
      <c r="T6941" s="1" t="str">
        <f t="shared" si="12526"/>
        <v>0</v>
      </c>
      <c r="U6941" s="1" t="str">
        <f t="shared" si="12494"/>
        <v>0.0070</v>
      </c>
    </row>
    <row r="6942" s="1" customFormat="1" spans="1:21">
      <c r="A6942" s="1" t="str">
        <f>"4601992304567"</f>
        <v>4601992304567</v>
      </c>
      <c r="B6942" s="1" t="s">
        <v>6965</v>
      </c>
      <c r="C6942" s="1" t="s">
        <v>24</v>
      </c>
      <c r="D6942" s="1" t="str">
        <f t="shared" si="12523"/>
        <v>2021</v>
      </c>
      <c r="E6942" s="1" t="str">
        <f t="shared" ref="E6942:P6942" si="12553">"0"</f>
        <v>0</v>
      </c>
      <c r="F6942" s="1" t="str">
        <f t="shared" si="12553"/>
        <v>0</v>
      </c>
      <c r="G6942" s="1" t="str">
        <f t="shared" si="12553"/>
        <v>0</v>
      </c>
      <c r="H6942" s="1" t="str">
        <f t="shared" si="12553"/>
        <v>0</v>
      </c>
      <c r="I6942" s="1" t="str">
        <f t="shared" si="12553"/>
        <v>0</v>
      </c>
      <c r="J6942" s="1" t="str">
        <f t="shared" si="12553"/>
        <v>0</v>
      </c>
      <c r="K6942" s="1" t="str">
        <f t="shared" si="12553"/>
        <v>0</v>
      </c>
      <c r="L6942" s="1" t="str">
        <f t="shared" si="12553"/>
        <v>0</v>
      </c>
      <c r="M6942" s="1" t="str">
        <f t="shared" si="12553"/>
        <v>0</v>
      </c>
      <c r="N6942" s="1" t="str">
        <f t="shared" si="12553"/>
        <v>0</v>
      </c>
      <c r="O6942" s="1" t="str">
        <f t="shared" si="12553"/>
        <v>0</v>
      </c>
      <c r="P6942" s="1" t="str">
        <f t="shared" si="12553"/>
        <v>0</v>
      </c>
      <c r="Q6942" s="1" t="str">
        <f t="shared" si="12525"/>
        <v>0.0070</v>
      </c>
      <c r="R6942" s="1" t="s">
        <v>25</v>
      </c>
      <c r="T6942" s="1" t="str">
        <f t="shared" si="12526"/>
        <v>0</v>
      </c>
      <c r="U6942" s="1" t="str">
        <f t="shared" si="12494"/>
        <v>0.0070</v>
      </c>
    </row>
    <row r="6943" s="1" customFormat="1" spans="1:21">
      <c r="A6943" s="1" t="str">
        <f>"4601992304631"</f>
        <v>4601992304631</v>
      </c>
      <c r="B6943" s="1" t="s">
        <v>6966</v>
      </c>
      <c r="C6943" s="1" t="s">
        <v>24</v>
      </c>
      <c r="D6943" s="1" t="str">
        <f t="shared" si="12523"/>
        <v>2021</v>
      </c>
      <c r="E6943" s="1" t="str">
        <f t="shared" ref="E6943:P6943" si="12554">"0"</f>
        <v>0</v>
      </c>
      <c r="F6943" s="1" t="str">
        <f t="shared" si="12554"/>
        <v>0</v>
      </c>
      <c r="G6943" s="1" t="str">
        <f t="shared" si="12554"/>
        <v>0</v>
      </c>
      <c r="H6943" s="1" t="str">
        <f t="shared" si="12554"/>
        <v>0</v>
      </c>
      <c r="I6943" s="1" t="str">
        <f t="shared" si="12554"/>
        <v>0</v>
      </c>
      <c r="J6943" s="1" t="str">
        <f t="shared" si="12554"/>
        <v>0</v>
      </c>
      <c r="K6943" s="1" t="str">
        <f t="shared" si="12554"/>
        <v>0</v>
      </c>
      <c r="L6943" s="1" t="str">
        <f t="shared" si="12554"/>
        <v>0</v>
      </c>
      <c r="M6943" s="1" t="str">
        <f t="shared" si="12554"/>
        <v>0</v>
      </c>
      <c r="N6943" s="1" t="str">
        <f t="shared" si="12554"/>
        <v>0</v>
      </c>
      <c r="O6943" s="1" t="str">
        <f t="shared" si="12554"/>
        <v>0</v>
      </c>
      <c r="P6943" s="1" t="str">
        <f t="shared" si="12554"/>
        <v>0</v>
      </c>
      <c r="Q6943" s="1" t="str">
        <f t="shared" si="12525"/>
        <v>0.0070</v>
      </c>
      <c r="R6943" s="1" t="s">
        <v>25</v>
      </c>
      <c r="T6943" s="1" t="str">
        <f t="shared" si="12526"/>
        <v>0</v>
      </c>
      <c r="U6943" s="1" t="str">
        <f t="shared" si="12494"/>
        <v>0.0070</v>
      </c>
    </row>
    <row r="6944" s="1" customFormat="1" spans="1:21">
      <c r="A6944" s="1" t="str">
        <f>"4601992304470"</f>
        <v>4601992304470</v>
      </c>
      <c r="B6944" s="1" t="s">
        <v>6967</v>
      </c>
      <c r="C6944" s="1" t="s">
        <v>24</v>
      </c>
      <c r="D6944" s="1" t="str">
        <f t="shared" si="12523"/>
        <v>2021</v>
      </c>
      <c r="E6944" s="1" t="str">
        <f t="shared" ref="E6944:P6944" si="12555">"0"</f>
        <v>0</v>
      </c>
      <c r="F6944" s="1" t="str">
        <f t="shared" si="12555"/>
        <v>0</v>
      </c>
      <c r="G6944" s="1" t="str">
        <f t="shared" si="12555"/>
        <v>0</v>
      </c>
      <c r="H6944" s="1" t="str">
        <f t="shared" si="12555"/>
        <v>0</v>
      </c>
      <c r="I6944" s="1" t="str">
        <f t="shared" si="12555"/>
        <v>0</v>
      </c>
      <c r="J6944" s="1" t="str">
        <f t="shared" si="12555"/>
        <v>0</v>
      </c>
      <c r="K6944" s="1" t="str">
        <f t="shared" si="12555"/>
        <v>0</v>
      </c>
      <c r="L6944" s="1" t="str">
        <f t="shared" si="12555"/>
        <v>0</v>
      </c>
      <c r="M6944" s="1" t="str">
        <f t="shared" si="12555"/>
        <v>0</v>
      </c>
      <c r="N6944" s="1" t="str">
        <f t="shared" si="12555"/>
        <v>0</v>
      </c>
      <c r="O6944" s="1" t="str">
        <f t="shared" si="12555"/>
        <v>0</v>
      </c>
      <c r="P6944" s="1" t="str">
        <f t="shared" si="12555"/>
        <v>0</v>
      </c>
      <c r="Q6944" s="1" t="str">
        <f t="shared" si="12525"/>
        <v>0.0070</v>
      </c>
      <c r="R6944" s="1" t="s">
        <v>25</v>
      </c>
      <c r="T6944" s="1" t="str">
        <f t="shared" si="12526"/>
        <v>0</v>
      </c>
      <c r="U6944" s="1" t="str">
        <f t="shared" si="12494"/>
        <v>0.0070</v>
      </c>
    </row>
    <row r="6945" s="1" customFormat="1" spans="1:21">
      <c r="A6945" s="1" t="str">
        <f>"4601992304690"</f>
        <v>4601992304690</v>
      </c>
      <c r="B6945" s="1" t="s">
        <v>6968</v>
      </c>
      <c r="C6945" s="1" t="s">
        <v>24</v>
      </c>
      <c r="D6945" s="1" t="str">
        <f t="shared" si="12523"/>
        <v>2021</v>
      </c>
      <c r="E6945" s="1" t="str">
        <f t="shared" ref="E6945:P6945" si="12556">"0"</f>
        <v>0</v>
      </c>
      <c r="F6945" s="1" t="str">
        <f t="shared" si="12556"/>
        <v>0</v>
      </c>
      <c r="G6945" s="1" t="str">
        <f t="shared" si="12556"/>
        <v>0</v>
      </c>
      <c r="H6945" s="1" t="str">
        <f t="shared" si="12556"/>
        <v>0</v>
      </c>
      <c r="I6945" s="1" t="str">
        <f t="shared" si="12556"/>
        <v>0</v>
      </c>
      <c r="J6945" s="1" t="str">
        <f t="shared" si="12556"/>
        <v>0</v>
      </c>
      <c r="K6945" s="1" t="str">
        <f t="shared" si="12556"/>
        <v>0</v>
      </c>
      <c r="L6945" s="1" t="str">
        <f t="shared" si="12556"/>
        <v>0</v>
      </c>
      <c r="M6945" s="1" t="str">
        <f t="shared" si="12556"/>
        <v>0</v>
      </c>
      <c r="N6945" s="1" t="str">
        <f t="shared" si="12556"/>
        <v>0</v>
      </c>
      <c r="O6945" s="1" t="str">
        <f t="shared" si="12556"/>
        <v>0</v>
      </c>
      <c r="P6945" s="1" t="str">
        <f t="shared" si="12556"/>
        <v>0</v>
      </c>
      <c r="Q6945" s="1" t="str">
        <f t="shared" si="12525"/>
        <v>0.0070</v>
      </c>
      <c r="R6945" s="1" t="s">
        <v>25</v>
      </c>
      <c r="T6945" s="1" t="str">
        <f t="shared" si="12526"/>
        <v>0</v>
      </c>
      <c r="U6945" s="1" t="str">
        <f t="shared" si="12494"/>
        <v>0.0070</v>
      </c>
    </row>
    <row r="6946" s="1" customFormat="1" spans="1:21">
      <c r="A6946" s="1" t="str">
        <f>"4601992304843"</f>
        <v>4601992304843</v>
      </c>
      <c r="B6946" s="1" t="s">
        <v>6969</v>
      </c>
      <c r="C6946" s="1" t="s">
        <v>24</v>
      </c>
      <c r="D6946" s="1" t="str">
        <f t="shared" si="12523"/>
        <v>2021</v>
      </c>
      <c r="E6946" s="1" t="str">
        <f t="shared" ref="E6946:P6946" si="12557">"0"</f>
        <v>0</v>
      </c>
      <c r="F6946" s="1" t="str">
        <f t="shared" si="12557"/>
        <v>0</v>
      </c>
      <c r="G6946" s="1" t="str">
        <f t="shared" si="12557"/>
        <v>0</v>
      </c>
      <c r="H6946" s="1" t="str">
        <f t="shared" si="12557"/>
        <v>0</v>
      </c>
      <c r="I6946" s="1" t="str">
        <f t="shared" si="12557"/>
        <v>0</v>
      </c>
      <c r="J6946" s="1" t="str">
        <f t="shared" si="12557"/>
        <v>0</v>
      </c>
      <c r="K6946" s="1" t="str">
        <f t="shared" si="12557"/>
        <v>0</v>
      </c>
      <c r="L6946" s="1" t="str">
        <f t="shared" si="12557"/>
        <v>0</v>
      </c>
      <c r="M6946" s="1" t="str">
        <f t="shared" si="12557"/>
        <v>0</v>
      </c>
      <c r="N6946" s="1" t="str">
        <f t="shared" si="12557"/>
        <v>0</v>
      </c>
      <c r="O6946" s="1" t="str">
        <f t="shared" si="12557"/>
        <v>0</v>
      </c>
      <c r="P6946" s="1" t="str">
        <f t="shared" si="12557"/>
        <v>0</v>
      </c>
      <c r="Q6946" s="1" t="str">
        <f t="shared" si="12525"/>
        <v>0.0070</v>
      </c>
      <c r="R6946" s="1" t="s">
        <v>25</v>
      </c>
      <c r="T6946" s="1" t="str">
        <f t="shared" si="12526"/>
        <v>0</v>
      </c>
      <c r="U6946" s="1" t="str">
        <f t="shared" si="12494"/>
        <v>0.0070</v>
      </c>
    </row>
    <row r="6947" s="1" customFormat="1" spans="1:21">
      <c r="A6947" s="1" t="str">
        <f>"4601992304735"</f>
        <v>4601992304735</v>
      </c>
      <c r="B6947" s="1" t="s">
        <v>6970</v>
      </c>
      <c r="C6947" s="1" t="s">
        <v>24</v>
      </c>
      <c r="D6947" s="1" t="str">
        <f t="shared" si="12523"/>
        <v>2021</v>
      </c>
      <c r="E6947" s="1" t="str">
        <f t="shared" ref="E6947:P6947" si="12558">"0"</f>
        <v>0</v>
      </c>
      <c r="F6947" s="1" t="str">
        <f t="shared" si="12558"/>
        <v>0</v>
      </c>
      <c r="G6947" s="1" t="str">
        <f t="shared" si="12558"/>
        <v>0</v>
      </c>
      <c r="H6947" s="1" t="str">
        <f t="shared" si="12558"/>
        <v>0</v>
      </c>
      <c r="I6947" s="1" t="str">
        <f t="shared" si="12558"/>
        <v>0</v>
      </c>
      <c r="J6947" s="1" t="str">
        <f t="shared" si="12558"/>
        <v>0</v>
      </c>
      <c r="K6947" s="1" t="str">
        <f t="shared" si="12558"/>
        <v>0</v>
      </c>
      <c r="L6947" s="1" t="str">
        <f t="shared" si="12558"/>
        <v>0</v>
      </c>
      <c r="M6947" s="1" t="str">
        <f t="shared" si="12558"/>
        <v>0</v>
      </c>
      <c r="N6947" s="1" t="str">
        <f t="shared" si="12558"/>
        <v>0</v>
      </c>
      <c r="O6947" s="1" t="str">
        <f t="shared" si="12558"/>
        <v>0</v>
      </c>
      <c r="P6947" s="1" t="str">
        <f t="shared" si="12558"/>
        <v>0</v>
      </c>
      <c r="Q6947" s="1" t="str">
        <f t="shared" si="12525"/>
        <v>0.0070</v>
      </c>
      <c r="R6947" s="1" t="s">
        <v>25</v>
      </c>
      <c r="T6947" s="1" t="str">
        <f t="shared" si="12526"/>
        <v>0</v>
      </c>
      <c r="U6947" s="1" t="str">
        <f t="shared" si="12494"/>
        <v>0.0070</v>
      </c>
    </row>
    <row r="6948" s="1" customFormat="1" spans="1:21">
      <c r="A6948" s="1" t="str">
        <f>"4601992304936"</f>
        <v>4601992304936</v>
      </c>
      <c r="B6948" s="1" t="s">
        <v>6971</v>
      </c>
      <c r="C6948" s="1" t="s">
        <v>24</v>
      </c>
      <c r="D6948" s="1" t="str">
        <f t="shared" si="12523"/>
        <v>2021</v>
      </c>
      <c r="E6948" s="1" t="str">
        <f t="shared" ref="E6948:P6948" si="12559">"0"</f>
        <v>0</v>
      </c>
      <c r="F6948" s="1" t="str">
        <f t="shared" si="12559"/>
        <v>0</v>
      </c>
      <c r="G6948" s="1" t="str">
        <f t="shared" si="12559"/>
        <v>0</v>
      </c>
      <c r="H6948" s="1" t="str">
        <f t="shared" si="12559"/>
        <v>0</v>
      </c>
      <c r="I6948" s="1" t="str">
        <f t="shared" si="12559"/>
        <v>0</v>
      </c>
      <c r="J6948" s="1" t="str">
        <f t="shared" si="12559"/>
        <v>0</v>
      </c>
      <c r="K6948" s="1" t="str">
        <f t="shared" si="12559"/>
        <v>0</v>
      </c>
      <c r="L6948" s="1" t="str">
        <f t="shared" si="12559"/>
        <v>0</v>
      </c>
      <c r="M6948" s="1" t="str">
        <f t="shared" si="12559"/>
        <v>0</v>
      </c>
      <c r="N6948" s="1" t="str">
        <f t="shared" si="12559"/>
        <v>0</v>
      </c>
      <c r="O6948" s="1" t="str">
        <f t="shared" si="12559"/>
        <v>0</v>
      </c>
      <c r="P6948" s="1" t="str">
        <f t="shared" si="12559"/>
        <v>0</v>
      </c>
      <c r="Q6948" s="1" t="str">
        <f t="shared" si="12525"/>
        <v>0.0070</v>
      </c>
      <c r="R6948" s="1" t="s">
        <v>25</v>
      </c>
      <c r="T6948" s="1" t="str">
        <f t="shared" si="12526"/>
        <v>0</v>
      </c>
      <c r="U6948" s="1" t="str">
        <f t="shared" si="12494"/>
        <v>0.0070</v>
      </c>
    </row>
    <row r="6949" s="1" customFormat="1" spans="1:21">
      <c r="A6949" s="1" t="str">
        <f>"4601992304972"</f>
        <v>4601992304972</v>
      </c>
      <c r="B6949" s="1" t="s">
        <v>6972</v>
      </c>
      <c r="C6949" s="1" t="s">
        <v>24</v>
      </c>
      <c r="D6949" s="1" t="str">
        <f t="shared" si="12523"/>
        <v>2021</v>
      </c>
      <c r="E6949" s="1" t="str">
        <f t="shared" ref="E6949:P6949" si="12560">"0"</f>
        <v>0</v>
      </c>
      <c r="F6949" s="1" t="str">
        <f t="shared" si="12560"/>
        <v>0</v>
      </c>
      <c r="G6949" s="1" t="str">
        <f t="shared" si="12560"/>
        <v>0</v>
      </c>
      <c r="H6949" s="1" t="str">
        <f t="shared" si="12560"/>
        <v>0</v>
      </c>
      <c r="I6949" s="1" t="str">
        <f t="shared" si="12560"/>
        <v>0</v>
      </c>
      <c r="J6949" s="1" t="str">
        <f t="shared" si="12560"/>
        <v>0</v>
      </c>
      <c r="K6949" s="1" t="str">
        <f t="shared" si="12560"/>
        <v>0</v>
      </c>
      <c r="L6949" s="1" t="str">
        <f t="shared" si="12560"/>
        <v>0</v>
      </c>
      <c r="M6949" s="1" t="str">
        <f t="shared" si="12560"/>
        <v>0</v>
      </c>
      <c r="N6949" s="1" t="str">
        <f t="shared" si="12560"/>
        <v>0</v>
      </c>
      <c r="O6949" s="1" t="str">
        <f t="shared" si="12560"/>
        <v>0</v>
      </c>
      <c r="P6949" s="1" t="str">
        <f t="shared" si="12560"/>
        <v>0</v>
      </c>
      <c r="Q6949" s="1" t="str">
        <f t="shared" si="12525"/>
        <v>0.0070</v>
      </c>
      <c r="R6949" s="1" t="s">
        <v>25</v>
      </c>
      <c r="T6949" s="1" t="str">
        <f t="shared" si="12526"/>
        <v>0</v>
      </c>
      <c r="U6949" s="1" t="str">
        <f t="shared" si="12494"/>
        <v>0.0070</v>
      </c>
    </row>
    <row r="6950" s="1" customFormat="1" spans="1:21">
      <c r="A6950" s="1" t="str">
        <f>"4601992305214"</f>
        <v>4601992305214</v>
      </c>
      <c r="B6950" s="1" t="s">
        <v>6973</v>
      </c>
      <c r="C6950" s="1" t="s">
        <v>24</v>
      </c>
      <c r="D6950" s="1" t="str">
        <f t="shared" si="12523"/>
        <v>2021</v>
      </c>
      <c r="E6950" s="1" t="str">
        <f t="shared" ref="E6950:P6950" si="12561">"0"</f>
        <v>0</v>
      </c>
      <c r="F6950" s="1" t="str">
        <f t="shared" si="12561"/>
        <v>0</v>
      </c>
      <c r="G6950" s="1" t="str">
        <f t="shared" si="12561"/>
        <v>0</v>
      </c>
      <c r="H6950" s="1" t="str">
        <f t="shared" si="12561"/>
        <v>0</v>
      </c>
      <c r="I6950" s="1" t="str">
        <f t="shared" si="12561"/>
        <v>0</v>
      </c>
      <c r="J6950" s="1" t="str">
        <f t="shared" si="12561"/>
        <v>0</v>
      </c>
      <c r="K6950" s="1" t="str">
        <f t="shared" si="12561"/>
        <v>0</v>
      </c>
      <c r="L6950" s="1" t="str">
        <f t="shared" si="12561"/>
        <v>0</v>
      </c>
      <c r="M6950" s="1" t="str">
        <f t="shared" si="12561"/>
        <v>0</v>
      </c>
      <c r="N6950" s="1" t="str">
        <f t="shared" si="12561"/>
        <v>0</v>
      </c>
      <c r="O6950" s="1" t="str">
        <f t="shared" si="12561"/>
        <v>0</v>
      </c>
      <c r="P6950" s="1" t="str">
        <f t="shared" si="12561"/>
        <v>0</v>
      </c>
      <c r="Q6950" s="1" t="str">
        <f t="shared" si="12525"/>
        <v>0.0070</v>
      </c>
      <c r="R6950" s="1" t="s">
        <v>25</v>
      </c>
      <c r="T6950" s="1" t="str">
        <f t="shared" si="12526"/>
        <v>0</v>
      </c>
      <c r="U6950" s="1" t="str">
        <f t="shared" ref="U6950:U7013" si="12562">"0.0070"</f>
        <v>0.0070</v>
      </c>
    </row>
    <row r="6951" s="1" customFormat="1" spans="1:21">
      <c r="A6951" s="1" t="str">
        <f>"4601992305163"</f>
        <v>4601992305163</v>
      </c>
      <c r="B6951" s="1" t="s">
        <v>6974</v>
      </c>
      <c r="C6951" s="1" t="s">
        <v>24</v>
      </c>
      <c r="D6951" s="1" t="str">
        <f t="shared" si="12523"/>
        <v>2021</v>
      </c>
      <c r="E6951" s="1" t="str">
        <f t="shared" ref="E6951:P6951" si="12563">"0"</f>
        <v>0</v>
      </c>
      <c r="F6951" s="1" t="str">
        <f t="shared" si="12563"/>
        <v>0</v>
      </c>
      <c r="G6951" s="1" t="str">
        <f t="shared" si="12563"/>
        <v>0</v>
      </c>
      <c r="H6951" s="1" t="str">
        <f t="shared" si="12563"/>
        <v>0</v>
      </c>
      <c r="I6951" s="1" t="str">
        <f t="shared" si="12563"/>
        <v>0</v>
      </c>
      <c r="J6951" s="1" t="str">
        <f t="shared" si="12563"/>
        <v>0</v>
      </c>
      <c r="K6951" s="1" t="str">
        <f t="shared" si="12563"/>
        <v>0</v>
      </c>
      <c r="L6951" s="1" t="str">
        <f t="shared" si="12563"/>
        <v>0</v>
      </c>
      <c r="M6951" s="1" t="str">
        <f t="shared" si="12563"/>
        <v>0</v>
      </c>
      <c r="N6951" s="1" t="str">
        <f t="shared" si="12563"/>
        <v>0</v>
      </c>
      <c r="O6951" s="1" t="str">
        <f t="shared" si="12563"/>
        <v>0</v>
      </c>
      <c r="P6951" s="1" t="str">
        <f t="shared" si="12563"/>
        <v>0</v>
      </c>
      <c r="Q6951" s="1" t="str">
        <f t="shared" si="12525"/>
        <v>0.0070</v>
      </c>
      <c r="R6951" s="1" t="s">
        <v>25</v>
      </c>
      <c r="T6951" s="1" t="str">
        <f t="shared" si="12526"/>
        <v>0</v>
      </c>
      <c r="U6951" s="1" t="str">
        <f t="shared" si="12562"/>
        <v>0.0070</v>
      </c>
    </row>
    <row r="6952" s="1" customFormat="1" spans="1:21">
      <c r="A6952" s="1" t="str">
        <f>"4601992305126"</f>
        <v>4601992305126</v>
      </c>
      <c r="B6952" s="1" t="s">
        <v>6975</v>
      </c>
      <c r="C6952" s="1" t="s">
        <v>24</v>
      </c>
      <c r="D6952" s="1" t="str">
        <f t="shared" si="12523"/>
        <v>2021</v>
      </c>
      <c r="E6952" s="1" t="str">
        <f t="shared" ref="E6952:P6952" si="12564">"0"</f>
        <v>0</v>
      </c>
      <c r="F6952" s="1" t="str">
        <f t="shared" si="12564"/>
        <v>0</v>
      </c>
      <c r="G6952" s="1" t="str">
        <f t="shared" si="12564"/>
        <v>0</v>
      </c>
      <c r="H6952" s="1" t="str">
        <f t="shared" si="12564"/>
        <v>0</v>
      </c>
      <c r="I6952" s="1" t="str">
        <f t="shared" si="12564"/>
        <v>0</v>
      </c>
      <c r="J6952" s="1" t="str">
        <f t="shared" si="12564"/>
        <v>0</v>
      </c>
      <c r="K6952" s="1" t="str">
        <f t="shared" si="12564"/>
        <v>0</v>
      </c>
      <c r="L6952" s="1" t="str">
        <f t="shared" si="12564"/>
        <v>0</v>
      </c>
      <c r="M6952" s="1" t="str">
        <f t="shared" si="12564"/>
        <v>0</v>
      </c>
      <c r="N6952" s="1" t="str">
        <f t="shared" si="12564"/>
        <v>0</v>
      </c>
      <c r="O6952" s="1" t="str">
        <f t="shared" si="12564"/>
        <v>0</v>
      </c>
      <c r="P6952" s="1" t="str">
        <f t="shared" si="12564"/>
        <v>0</v>
      </c>
      <c r="Q6952" s="1" t="str">
        <f t="shared" si="12525"/>
        <v>0.0070</v>
      </c>
      <c r="R6952" s="1" t="s">
        <v>25</v>
      </c>
      <c r="T6952" s="1" t="str">
        <f t="shared" si="12526"/>
        <v>0</v>
      </c>
      <c r="U6952" s="1" t="str">
        <f t="shared" si="12562"/>
        <v>0.0070</v>
      </c>
    </row>
    <row r="6953" s="1" customFormat="1" spans="1:21">
      <c r="A6953" s="1" t="str">
        <f>"4601992305396"</f>
        <v>4601992305396</v>
      </c>
      <c r="B6953" s="1" t="s">
        <v>6976</v>
      </c>
      <c r="C6953" s="1" t="s">
        <v>24</v>
      </c>
      <c r="D6953" s="1" t="str">
        <f t="shared" si="12523"/>
        <v>2021</v>
      </c>
      <c r="E6953" s="1" t="str">
        <f t="shared" ref="E6953:P6953" si="12565">"0"</f>
        <v>0</v>
      </c>
      <c r="F6953" s="1" t="str">
        <f t="shared" si="12565"/>
        <v>0</v>
      </c>
      <c r="G6953" s="1" t="str">
        <f t="shared" si="12565"/>
        <v>0</v>
      </c>
      <c r="H6953" s="1" t="str">
        <f t="shared" si="12565"/>
        <v>0</v>
      </c>
      <c r="I6953" s="1" t="str">
        <f t="shared" si="12565"/>
        <v>0</v>
      </c>
      <c r="J6953" s="1" t="str">
        <f t="shared" si="12565"/>
        <v>0</v>
      </c>
      <c r="K6953" s="1" t="str">
        <f t="shared" si="12565"/>
        <v>0</v>
      </c>
      <c r="L6953" s="1" t="str">
        <f t="shared" si="12565"/>
        <v>0</v>
      </c>
      <c r="M6953" s="1" t="str">
        <f t="shared" si="12565"/>
        <v>0</v>
      </c>
      <c r="N6953" s="1" t="str">
        <f t="shared" si="12565"/>
        <v>0</v>
      </c>
      <c r="O6953" s="1" t="str">
        <f t="shared" si="12565"/>
        <v>0</v>
      </c>
      <c r="P6953" s="1" t="str">
        <f t="shared" si="12565"/>
        <v>0</v>
      </c>
      <c r="Q6953" s="1" t="str">
        <f t="shared" si="12525"/>
        <v>0.0070</v>
      </c>
      <c r="R6953" s="1" t="s">
        <v>25</v>
      </c>
      <c r="T6953" s="1" t="str">
        <f t="shared" si="12526"/>
        <v>0</v>
      </c>
      <c r="U6953" s="1" t="str">
        <f t="shared" si="12562"/>
        <v>0.0070</v>
      </c>
    </row>
    <row r="6954" s="1" customFormat="1" spans="1:21">
      <c r="A6954" s="1" t="str">
        <f>"4601992305423"</f>
        <v>4601992305423</v>
      </c>
      <c r="B6954" s="1" t="s">
        <v>6977</v>
      </c>
      <c r="C6954" s="1" t="s">
        <v>24</v>
      </c>
      <c r="D6954" s="1" t="str">
        <f t="shared" si="12523"/>
        <v>2021</v>
      </c>
      <c r="E6954" s="1" t="str">
        <f t="shared" ref="E6954:P6954" si="12566">"0"</f>
        <v>0</v>
      </c>
      <c r="F6954" s="1" t="str">
        <f t="shared" si="12566"/>
        <v>0</v>
      </c>
      <c r="G6954" s="1" t="str">
        <f t="shared" si="12566"/>
        <v>0</v>
      </c>
      <c r="H6954" s="1" t="str">
        <f t="shared" si="12566"/>
        <v>0</v>
      </c>
      <c r="I6954" s="1" t="str">
        <f t="shared" si="12566"/>
        <v>0</v>
      </c>
      <c r="J6954" s="1" t="str">
        <f t="shared" si="12566"/>
        <v>0</v>
      </c>
      <c r="K6954" s="1" t="str">
        <f t="shared" si="12566"/>
        <v>0</v>
      </c>
      <c r="L6954" s="1" t="str">
        <f t="shared" si="12566"/>
        <v>0</v>
      </c>
      <c r="M6954" s="1" t="str">
        <f t="shared" si="12566"/>
        <v>0</v>
      </c>
      <c r="N6954" s="1" t="str">
        <f t="shared" si="12566"/>
        <v>0</v>
      </c>
      <c r="O6954" s="1" t="str">
        <f t="shared" si="12566"/>
        <v>0</v>
      </c>
      <c r="P6954" s="1" t="str">
        <f t="shared" si="12566"/>
        <v>0</v>
      </c>
      <c r="Q6954" s="1" t="str">
        <f t="shared" si="12525"/>
        <v>0.0070</v>
      </c>
      <c r="R6954" s="1" t="s">
        <v>25</v>
      </c>
      <c r="T6954" s="1" t="str">
        <f t="shared" si="12526"/>
        <v>0</v>
      </c>
      <c r="U6954" s="1" t="str">
        <f t="shared" si="12562"/>
        <v>0.0070</v>
      </c>
    </row>
    <row r="6955" s="1" customFormat="1" spans="1:21">
      <c r="A6955" s="1" t="str">
        <f>"4601992305540"</f>
        <v>4601992305540</v>
      </c>
      <c r="B6955" s="1" t="s">
        <v>6978</v>
      </c>
      <c r="C6955" s="1" t="s">
        <v>24</v>
      </c>
      <c r="D6955" s="1" t="str">
        <f t="shared" si="12523"/>
        <v>2021</v>
      </c>
      <c r="E6955" s="1" t="str">
        <f t="shared" ref="E6955:P6955" si="12567">"0"</f>
        <v>0</v>
      </c>
      <c r="F6955" s="1" t="str">
        <f t="shared" si="12567"/>
        <v>0</v>
      </c>
      <c r="G6955" s="1" t="str">
        <f t="shared" si="12567"/>
        <v>0</v>
      </c>
      <c r="H6955" s="1" t="str">
        <f t="shared" si="12567"/>
        <v>0</v>
      </c>
      <c r="I6955" s="1" t="str">
        <f t="shared" si="12567"/>
        <v>0</v>
      </c>
      <c r="J6955" s="1" t="str">
        <f t="shared" si="12567"/>
        <v>0</v>
      </c>
      <c r="K6955" s="1" t="str">
        <f t="shared" si="12567"/>
        <v>0</v>
      </c>
      <c r="L6955" s="1" t="str">
        <f t="shared" si="12567"/>
        <v>0</v>
      </c>
      <c r="M6955" s="1" t="str">
        <f t="shared" si="12567"/>
        <v>0</v>
      </c>
      <c r="N6955" s="1" t="str">
        <f t="shared" si="12567"/>
        <v>0</v>
      </c>
      <c r="O6955" s="1" t="str">
        <f t="shared" si="12567"/>
        <v>0</v>
      </c>
      <c r="P6955" s="1" t="str">
        <f t="shared" si="12567"/>
        <v>0</v>
      </c>
      <c r="Q6955" s="1" t="str">
        <f t="shared" si="12525"/>
        <v>0.0070</v>
      </c>
      <c r="R6955" s="1" t="s">
        <v>25</v>
      </c>
      <c r="T6955" s="1" t="str">
        <f t="shared" si="12526"/>
        <v>0</v>
      </c>
      <c r="U6955" s="1" t="str">
        <f t="shared" si="12562"/>
        <v>0.0070</v>
      </c>
    </row>
    <row r="6956" s="1" customFormat="1" spans="1:21">
      <c r="A6956" s="1" t="str">
        <f>"4601992305439"</f>
        <v>4601992305439</v>
      </c>
      <c r="B6956" s="1" t="s">
        <v>6979</v>
      </c>
      <c r="C6956" s="1" t="s">
        <v>24</v>
      </c>
      <c r="D6956" s="1" t="str">
        <f t="shared" si="12523"/>
        <v>2021</v>
      </c>
      <c r="E6956" s="1" t="str">
        <f t="shared" ref="E6956:P6956" si="12568">"0"</f>
        <v>0</v>
      </c>
      <c r="F6956" s="1" t="str">
        <f t="shared" si="12568"/>
        <v>0</v>
      </c>
      <c r="G6956" s="1" t="str">
        <f t="shared" si="12568"/>
        <v>0</v>
      </c>
      <c r="H6956" s="1" t="str">
        <f t="shared" si="12568"/>
        <v>0</v>
      </c>
      <c r="I6956" s="1" t="str">
        <f t="shared" si="12568"/>
        <v>0</v>
      </c>
      <c r="J6956" s="1" t="str">
        <f t="shared" si="12568"/>
        <v>0</v>
      </c>
      <c r="K6956" s="1" t="str">
        <f t="shared" si="12568"/>
        <v>0</v>
      </c>
      <c r="L6956" s="1" t="str">
        <f t="shared" si="12568"/>
        <v>0</v>
      </c>
      <c r="M6956" s="1" t="str">
        <f t="shared" si="12568"/>
        <v>0</v>
      </c>
      <c r="N6956" s="1" t="str">
        <f t="shared" si="12568"/>
        <v>0</v>
      </c>
      <c r="O6956" s="1" t="str">
        <f t="shared" si="12568"/>
        <v>0</v>
      </c>
      <c r="P6956" s="1" t="str">
        <f t="shared" si="12568"/>
        <v>0</v>
      </c>
      <c r="Q6956" s="1" t="str">
        <f t="shared" si="12525"/>
        <v>0.0070</v>
      </c>
      <c r="R6956" s="1" t="s">
        <v>25</v>
      </c>
      <c r="T6956" s="1" t="str">
        <f t="shared" si="12526"/>
        <v>0</v>
      </c>
      <c r="U6956" s="1" t="str">
        <f t="shared" si="12562"/>
        <v>0.0070</v>
      </c>
    </row>
    <row r="6957" s="1" customFormat="1" spans="1:21">
      <c r="A6957" s="1" t="str">
        <f>"4601992305655"</f>
        <v>4601992305655</v>
      </c>
      <c r="B6957" s="1" t="s">
        <v>6980</v>
      </c>
      <c r="C6957" s="1" t="s">
        <v>24</v>
      </c>
      <c r="D6957" s="1" t="str">
        <f t="shared" si="12523"/>
        <v>2021</v>
      </c>
      <c r="E6957" s="1" t="str">
        <f t="shared" ref="E6957:P6957" si="12569">"0"</f>
        <v>0</v>
      </c>
      <c r="F6957" s="1" t="str">
        <f t="shared" si="12569"/>
        <v>0</v>
      </c>
      <c r="G6957" s="1" t="str">
        <f t="shared" si="12569"/>
        <v>0</v>
      </c>
      <c r="H6957" s="1" t="str">
        <f t="shared" si="12569"/>
        <v>0</v>
      </c>
      <c r="I6957" s="1" t="str">
        <f t="shared" si="12569"/>
        <v>0</v>
      </c>
      <c r="J6957" s="1" t="str">
        <f t="shared" si="12569"/>
        <v>0</v>
      </c>
      <c r="K6957" s="1" t="str">
        <f t="shared" si="12569"/>
        <v>0</v>
      </c>
      <c r="L6957" s="1" t="str">
        <f t="shared" si="12569"/>
        <v>0</v>
      </c>
      <c r="M6957" s="1" t="str">
        <f t="shared" si="12569"/>
        <v>0</v>
      </c>
      <c r="N6957" s="1" t="str">
        <f t="shared" si="12569"/>
        <v>0</v>
      </c>
      <c r="O6957" s="1" t="str">
        <f t="shared" si="12569"/>
        <v>0</v>
      </c>
      <c r="P6957" s="1" t="str">
        <f t="shared" si="12569"/>
        <v>0</v>
      </c>
      <c r="Q6957" s="1" t="str">
        <f t="shared" si="12525"/>
        <v>0.0070</v>
      </c>
      <c r="R6957" s="1" t="s">
        <v>25</v>
      </c>
      <c r="T6957" s="1" t="str">
        <f t="shared" si="12526"/>
        <v>0</v>
      </c>
      <c r="U6957" s="1" t="str">
        <f t="shared" si="12562"/>
        <v>0.0070</v>
      </c>
    </row>
    <row r="6958" s="1" customFormat="1" spans="1:21">
      <c r="A6958" s="1" t="str">
        <f>"4601992305685"</f>
        <v>4601992305685</v>
      </c>
      <c r="B6958" s="1" t="s">
        <v>6981</v>
      </c>
      <c r="C6958" s="1" t="s">
        <v>24</v>
      </c>
      <c r="D6958" s="1" t="str">
        <f t="shared" si="12523"/>
        <v>2021</v>
      </c>
      <c r="E6958" s="1" t="str">
        <f t="shared" ref="E6958:P6958" si="12570">"0"</f>
        <v>0</v>
      </c>
      <c r="F6958" s="1" t="str">
        <f t="shared" si="12570"/>
        <v>0</v>
      </c>
      <c r="G6958" s="1" t="str">
        <f t="shared" si="12570"/>
        <v>0</v>
      </c>
      <c r="H6958" s="1" t="str">
        <f t="shared" si="12570"/>
        <v>0</v>
      </c>
      <c r="I6958" s="1" t="str">
        <f t="shared" si="12570"/>
        <v>0</v>
      </c>
      <c r="J6958" s="1" t="str">
        <f t="shared" si="12570"/>
        <v>0</v>
      </c>
      <c r="K6958" s="1" t="str">
        <f t="shared" si="12570"/>
        <v>0</v>
      </c>
      <c r="L6958" s="1" t="str">
        <f t="shared" si="12570"/>
        <v>0</v>
      </c>
      <c r="M6958" s="1" t="str">
        <f t="shared" si="12570"/>
        <v>0</v>
      </c>
      <c r="N6958" s="1" t="str">
        <f t="shared" si="12570"/>
        <v>0</v>
      </c>
      <c r="O6958" s="1" t="str">
        <f t="shared" si="12570"/>
        <v>0</v>
      </c>
      <c r="P6958" s="1" t="str">
        <f t="shared" si="12570"/>
        <v>0</v>
      </c>
      <c r="Q6958" s="1" t="str">
        <f t="shared" si="12525"/>
        <v>0.0070</v>
      </c>
      <c r="R6958" s="1" t="s">
        <v>25</v>
      </c>
      <c r="T6958" s="1" t="str">
        <f t="shared" si="12526"/>
        <v>0</v>
      </c>
      <c r="U6958" s="1" t="str">
        <f t="shared" si="12562"/>
        <v>0.0070</v>
      </c>
    </row>
    <row r="6959" s="1" customFormat="1" spans="1:21">
      <c r="A6959" s="1" t="str">
        <f>"4601992305822"</f>
        <v>4601992305822</v>
      </c>
      <c r="B6959" s="1" t="s">
        <v>6982</v>
      </c>
      <c r="C6959" s="1" t="s">
        <v>24</v>
      </c>
      <c r="D6959" s="1" t="str">
        <f t="shared" si="12523"/>
        <v>2021</v>
      </c>
      <c r="E6959" s="1" t="str">
        <f t="shared" ref="E6959:P6959" si="12571">"0"</f>
        <v>0</v>
      </c>
      <c r="F6959" s="1" t="str">
        <f t="shared" si="12571"/>
        <v>0</v>
      </c>
      <c r="G6959" s="1" t="str">
        <f t="shared" si="12571"/>
        <v>0</v>
      </c>
      <c r="H6959" s="1" t="str">
        <f t="shared" si="12571"/>
        <v>0</v>
      </c>
      <c r="I6959" s="1" t="str">
        <f t="shared" si="12571"/>
        <v>0</v>
      </c>
      <c r="J6959" s="1" t="str">
        <f t="shared" si="12571"/>
        <v>0</v>
      </c>
      <c r="K6959" s="1" t="str">
        <f t="shared" si="12571"/>
        <v>0</v>
      </c>
      <c r="L6959" s="1" t="str">
        <f t="shared" si="12571"/>
        <v>0</v>
      </c>
      <c r="M6959" s="1" t="str">
        <f t="shared" si="12571"/>
        <v>0</v>
      </c>
      <c r="N6959" s="1" t="str">
        <f t="shared" si="12571"/>
        <v>0</v>
      </c>
      <c r="O6959" s="1" t="str">
        <f t="shared" si="12571"/>
        <v>0</v>
      </c>
      <c r="P6959" s="1" t="str">
        <f t="shared" si="12571"/>
        <v>0</v>
      </c>
      <c r="Q6959" s="1" t="str">
        <f t="shared" si="12525"/>
        <v>0.0070</v>
      </c>
      <c r="R6959" s="1" t="s">
        <v>25</v>
      </c>
      <c r="T6959" s="1" t="str">
        <f t="shared" si="12526"/>
        <v>0</v>
      </c>
      <c r="U6959" s="1" t="str">
        <f t="shared" si="12562"/>
        <v>0.0070</v>
      </c>
    </row>
    <row r="6960" s="1" customFormat="1" spans="1:21">
      <c r="A6960" s="1" t="str">
        <f>"4601992305751"</f>
        <v>4601992305751</v>
      </c>
      <c r="B6960" s="1" t="s">
        <v>6983</v>
      </c>
      <c r="C6960" s="1" t="s">
        <v>24</v>
      </c>
      <c r="D6960" s="1" t="str">
        <f t="shared" si="12523"/>
        <v>2021</v>
      </c>
      <c r="E6960" s="1" t="str">
        <f t="shared" ref="E6960:P6960" si="12572">"0"</f>
        <v>0</v>
      </c>
      <c r="F6960" s="1" t="str">
        <f t="shared" si="12572"/>
        <v>0</v>
      </c>
      <c r="G6960" s="1" t="str">
        <f t="shared" si="12572"/>
        <v>0</v>
      </c>
      <c r="H6960" s="1" t="str">
        <f t="shared" si="12572"/>
        <v>0</v>
      </c>
      <c r="I6960" s="1" t="str">
        <f t="shared" si="12572"/>
        <v>0</v>
      </c>
      <c r="J6960" s="1" t="str">
        <f t="shared" si="12572"/>
        <v>0</v>
      </c>
      <c r="K6960" s="1" t="str">
        <f t="shared" si="12572"/>
        <v>0</v>
      </c>
      <c r="L6960" s="1" t="str">
        <f t="shared" si="12572"/>
        <v>0</v>
      </c>
      <c r="M6960" s="1" t="str">
        <f t="shared" si="12572"/>
        <v>0</v>
      </c>
      <c r="N6960" s="1" t="str">
        <f t="shared" si="12572"/>
        <v>0</v>
      </c>
      <c r="O6960" s="1" t="str">
        <f t="shared" si="12572"/>
        <v>0</v>
      </c>
      <c r="P6960" s="1" t="str">
        <f t="shared" si="12572"/>
        <v>0</v>
      </c>
      <c r="Q6960" s="1" t="str">
        <f t="shared" si="12525"/>
        <v>0.0070</v>
      </c>
      <c r="R6960" s="1" t="s">
        <v>25</v>
      </c>
      <c r="T6960" s="1" t="str">
        <f t="shared" si="12526"/>
        <v>0</v>
      </c>
      <c r="U6960" s="1" t="str">
        <f t="shared" si="12562"/>
        <v>0.0070</v>
      </c>
    </row>
    <row r="6961" s="1" customFormat="1" spans="1:21">
      <c r="A6961" s="1" t="str">
        <f>"4601992305994"</f>
        <v>4601992305994</v>
      </c>
      <c r="B6961" s="1" t="s">
        <v>6984</v>
      </c>
      <c r="C6961" s="1" t="s">
        <v>24</v>
      </c>
      <c r="D6961" s="1" t="str">
        <f t="shared" si="12523"/>
        <v>2021</v>
      </c>
      <c r="E6961" s="1" t="str">
        <f t="shared" ref="E6961:P6961" si="12573">"0"</f>
        <v>0</v>
      </c>
      <c r="F6961" s="1" t="str">
        <f t="shared" si="12573"/>
        <v>0</v>
      </c>
      <c r="G6961" s="1" t="str">
        <f t="shared" si="12573"/>
        <v>0</v>
      </c>
      <c r="H6961" s="1" t="str">
        <f t="shared" si="12573"/>
        <v>0</v>
      </c>
      <c r="I6961" s="1" t="str">
        <f t="shared" si="12573"/>
        <v>0</v>
      </c>
      <c r="J6961" s="1" t="str">
        <f t="shared" si="12573"/>
        <v>0</v>
      </c>
      <c r="K6961" s="1" t="str">
        <f t="shared" si="12573"/>
        <v>0</v>
      </c>
      <c r="L6961" s="1" t="str">
        <f t="shared" si="12573"/>
        <v>0</v>
      </c>
      <c r="M6961" s="1" t="str">
        <f t="shared" si="12573"/>
        <v>0</v>
      </c>
      <c r="N6961" s="1" t="str">
        <f t="shared" si="12573"/>
        <v>0</v>
      </c>
      <c r="O6961" s="1" t="str">
        <f t="shared" si="12573"/>
        <v>0</v>
      </c>
      <c r="P6961" s="1" t="str">
        <f t="shared" si="12573"/>
        <v>0</v>
      </c>
      <c r="Q6961" s="1" t="str">
        <f t="shared" si="12525"/>
        <v>0.0070</v>
      </c>
      <c r="R6961" s="1" t="s">
        <v>25</v>
      </c>
      <c r="T6961" s="1" t="str">
        <f t="shared" si="12526"/>
        <v>0</v>
      </c>
      <c r="U6961" s="1" t="str">
        <f t="shared" si="12562"/>
        <v>0.0070</v>
      </c>
    </row>
    <row r="6962" s="1" customFormat="1" spans="1:21">
      <c r="A6962" s="1" t="str">
        <f>"4601992306006"</f>
        <v>4601992306006</v>
      </c>
      <c r="B6962" s="1" t="s">
        <v>6985</v>
      </c>
      <c r="C6962" s="1" t="s">
        <v>24</v>
      </c>
      <c r="D6962" s="1" t="str">
        <f t="shared" si="12523"/>
        <v>2021</v>
      </c>
      <c r="E6962" s="1" t="str">
        <f t="shared" ref="E6962:P6962" si="12574">"0"</f>
        <v>0</v>
      </c>
      <c r="F6962" s="1" t="str">
        <f t="shared" si="12574"/>
        <v>0</v>
      </c>
      <c r="G6962" s="1" t="str">
        <f t="shared" si="12574"/>
        <v>0</v>
      </c>
      <c r="H6962" s="1" t="str">
        <f t="shared" si="12574"/>
        <v>0</v>
      </c>
      <c r="I6962" s="1" t="str">
        <f t="shared" si="12574"/>
        <v>0</v>
      </c>
      <c r="J6962" s="1" t="str">
        <f t="shared" si="12574"/>
        <v>0</v>
      </c>
      <c r="K6962" s="1" t="str">
        <f t="shared" si="12574"/>
        <v>0</v>
      </c>
      <c r="L6962" s="1" t="str">
        <f t="shared" si="12574"/>
        <v>0</v>
      </c>
      <c r="M6962" s="1" t="str">
        <f t="shared" si="12574"/>
        <v>0</v>
      </c>
      <c r="N6962" s="1" t="str">
        <f t="shared" si="12574"/>
        <v>0</v>
      </c>
      <c r="O6962" s="1" t="str">
        <f t="shared" si="12574"/>
        <v>0</v>
      </c>
      <c r="P6962" s="1" t="str">
        <f t="shared" si="12574"/>
        <v>0</v>
      </c>
      <c r="Q6962" s="1" t="str">
        <f t="shared" si="12525"/>
        <v>0.0070</v>
      </c>
      <c r="R6962" s="1" t="s">
        <v>25</v>
      </c>
      <c r="T6962" s="1" t="str">
        <f t="shared" si="12526"/>
        <v>0</v>
      </c>
      <c r="U6962" s="1" t="str">
        <f t="shared" si="12562"/>
        <v>0.0070</v>
      </c>
    </row>
    <row r="6963" s="1" customFormat="1" spans="1:21">
      <c r="A6963" s="1" t="str">
        <f>"4601992306029"</f>
        <v>4601992306029</v>
      </c>
      <c r="B6963" s="1" t="s">
        <v>6986</v>
      </c>
      <c r="C6963" s="1" t="s">
        <v>24</v>
      </c>
      <c r="D6963" s="1" t="str">
        <f t="shared" si="12523"/>
        <v>2021</v>
      </c>
      <c r="E6963" s="1" t="str">
        <f t="shared" ref="E6963:P6963" si="12575">"0"</f>
        <v>0</v>
      </c>
      <c r="F6963" s="1" t="str">
        <f t="shared" si="12575"/>
        <v>0</v>
      </c>
      <c r="G6963" s="1" t="str">
        <f t="shared" si="12575"/>
        <v>0</v>
      </c>
      <c r="H6963" s="1" t="str">
        <f t="shared" si="12575"/>
        <v>0</v>
      </c>
      <c r="I6963" s="1" t="str">
        <f t="shared" si="12575"/>
        <v>0</v>
      </c>
      <c r="J6963" s="1" t="str">
        <f t="shared" si="12575"/>
        <v>0</v>
      </c>
      <c r="K6963" s="1" t="str">
        <f t="shared" si="12575"/>
        <v>0</v>
      </c>
      <c r="L6963" s="1" t="str">
        <f t="shared" si="12575"/>
        <v>0</v>
      </c>
      <c r="M6963" s="1" t="str">
        <f t="shared" si="12575"/>
        <v>0</v>
      </c>
      <c r="N6963" s="1" t="str">
        <f t="shared" si="12575"/>
        <v>0</v>
      </c>
      <c r="O6963" s="1" t="str">
        <f t="shared" si="12575"/>
        <v>0</v>
      </c>
      <c r="P6963" s="1" t="str">
        <f t="shared" si="12575"/>
        <v>0</v>
      </c>
      <c r="Q6963" s="1" t="str">
        <f t="shared" si="12525"/>
        <v>0.0070</v>
      </c>
      <c r="R6963" s="1" t="s">
        <v>25</v>
      </c>
      <c r="T6963" s="1" t="str">
        <f t="shared" si="12526"/>
        <v>0</v>
      </c>
      <c r="U6963" s="1" t="str">
        <f t="shared" si="12562"/>
        <v>0.0070</v>
      </c>
    </row>
    <row r="6964" s="1" customFormat="1" spans="1:21">
      <c r="A6964" s="1" t="str">
        <f>"4601992306207"</f>
        <v>4601992306207</v>
      </c>
      <c r="B6964" s="1" t="s">
        <v>6987</v>
      </c>
      <c r="C6964" s="1" t="s">
        <v>24</v>
      </c>
      <c r="D6964" s="1" t="str">
        <f t="shared" si="12523"/>
        <v>2021</v>
      </c>
      <c r="E6964" s="1" t="str">
        <f t="shared" ref="E6964:P6964" si="12576">"0"</f>
        <v>0</v>
      </c>
      <c r="F6964" s="1" t="str">
        <f t="shared" si="12576"/>
        <v>0</v>
      </c>
      <c r="G6964" s="1" t="str">
        <f t="shared" si="12576"/>
        <v>0</v>
      </c>
      <c r="H6964" s="1" t="str">
        <f t="shared" si="12576"/>
        <v>0</v>
      </c>
      <c r="I6964" s="1" t="str">
        <f t="shared" si="12576"/>
        <v>0</v>
      </c>
      <c r="J6964" s="1" t="str">
        <f t="shared" si="12576"/>
        <v>0</v>
      </c>
      <c r="K6964" s="1" t="str">
        <f t="shared" si="12576"/>
        <v>0</v>
      </c>
      <c r="L6964" s="1" t="str">
        <f t="shared" si="12576"/>
        <v>0</v>
      </c>
      <c r="M6964" s="1" t="str">
        <f t="shared" si="12576"/>
        <v>0</v>
      </c>
      <c r="N6964" s="1" t="str">
        <f t="shared" si="12576"/>
        <v>0</v>
      </c>
      <c r="O6964" s="1" t="str">
        <f t="shared" si="12576"/>
        <v>0</v>
      </c>
      <c r="P6964" s="1" t="str">
        <f t="shared" si="12576"/>
        <v>0</v>
      </c>
      <c r="Q6964" s="1" t="str">
        <f t="shared" si="12525"/>
        <v>0.0070</v>
      </c>
      <c r="R6964" s="1" t="s">
        <v>25</v>
      </c>
      <c r="T6964" s="1" t="str">
        <f t="shared" si="12526"/>
        <v>0</v>
      </c>
      <c r="U6964" s="1" t="str">
        <f t="shared" si="12562"/>
        <v>0.0070</v>
      </c>
    </row>
    <row r="6965" s="1" customFormat="1" spans="1:21">
      <c r="A6965" s="1" t="str">
        <f>"4601992306017"</f>
        <v>4601992306017</v>
      </c>
      <c r="B6965" s="1" t="s">
        <v>6988</v>
      </c>
      <c r="C6965" s="1" t="s">
        <v>24</v>
      </c>
      <c r="D6965" s="1" t="str">
        <f t="shared" si="12523"/>
        <v>2021</v>
      </c>
      <c r="E6965" s="1" t="str">
        <f t="shared" ref="E6965:P6965" si="12577">"0"</f>
        <v>0</v>
      </c>
      <c r="F6965" s="1" t="str">
        <f t="shared" si="12577"/>
        <v>0</v>
      </c>
      <c r="G6965" s="1" t="str">
        <f t="shared" si="12577"/>
        <v>0</v>
      </c>
      <c r="H6965" s="1" t="str">
        <f t="shared" si="12577"/>
        <v>0</v>
      </c>
      <c r="I6965" s="1" t="str">
        <f t="shared" si="12577"/>
        <v>0</v>
      </c>
      <c r="J6965" s="1" t="str">
        <f t="shared" si="12577"/>
        <v>0</v>
      </c>
      <c r="K6965" s="1" t="str">
        <f t="shared" si="12577"/>
        <v>0</v>
      </c>
      <c r="L6965" s="1" t="str">
        <f t="shared" si="12577"/>
        <v>0</v>
      </c>
      <c r="M6965" s="1" t="str">
        <f t="shared" si="12577"/>
        <v>0</v>
      </c>
      <c r="N6965" s="1" t="str">
        <f t="shared" si="12577"/>
        <v>0</v>
      </c>
      <c r="O6965" s="1" t="str">
        <f t="shared" si="12577"/>
        <v>0</v>
      </c>
      <c r="P6965" s="1" t="str">
        <f t="shared" si="12577"/>
        <v>0</v>
      </c>
      <c r="Q6965" s="1" t="str">
        <f t="shared" si="12525"/>
        <v>0.0070</v>
      </c>
      <c r="R6965" s="1" t="s">
        <v>25</v>
      </c>
      <c r="T6965" s="1" t="str">
        <f t="shared" si="12526"/>
        <v>0</v>
      </c>
      <c r="U6965" s="1" t="str">
        <f t="shared" si="12562"/>
        <v>0.0070</v>
      </c>
    </row>
    <row r="6966" s="1" customFormat="1" spans="1:21">
      <c r="A6966" s="1" t="str">
        <f>"4601992306289"</f>
        <v>4601992306289</v>
      </c>
      <c r="B6966" s="1" t="s">
        <v>6989</v>
      </c>
      <c r="C6966" s="1" t="s">
        <v>24</v>
      </c>
      <c r="D6966" s="1" t="str">
        <f t="shared" si="12523"/>
        <v>2021</v>
      </c>
      <c r="E6966" s="1" t="str">
        <f t="shared" ref="E6966:P6966" si="12578">"0"</f>
        <v>0</v>
      </c>
      <c r="F6966" s="1" t="str">
        <f t="shared" si="12578"/>
        <v>0</v>
      </c>
      <c r="G6966" s="1" t="str">
        <f t="shared" si="12578"/>
        <v>0</v>
      </c>
      <c r="H6966" s="1" t="str">
        <f t="shared" si="12578"/>
        <v>0</v>
      </c>
      <c r="I6966" s="1" t="str">
        <f t="shared" si="12578"/>
        <v>0</v>
      </c>
      <c r="J6966" s="1" t="str">
        <f t="shared" si="12578"/>
        <v>0</v>
      </c>
      <c r="K6966" s="1" t="str">
        <f t="shared" si="12578"/>
        <v>0</v>
      </c>
      <c r="L6966" s="1" t="str">
        <f t="shared" si="12578"/>
        <v>0</v>
      </c>
      <c r="M6966" s="1" t="str">
        <f t="shared" si="12578"/>
        <v>0</v>
      </c>
      <c r="N6966" s="1" t="str">
        <f t="shared" si="12578"/>
        <v>0</v>
      </c>
      <c r="O6966" s="1" t="str">
        <f t="shared" si="12578"/>
        <v>0</v>
      </c>
      <c r="P6966" s="1" t="str">
        <f t="shared" si="12578"/>
        <v>0</v>
      </c>
      <c r="Q6966" s="1" t="str">
        <f t="shared" si="12525"/>
        <v>0.0070</v>
      </c>
      <c r="R6966" s="1" t="s">
        <v>25</v>
      </c>
      <c r="T6966" s="1" t="str">
        <f t="shared" si="12526"/>
        <v>0</v>
      </c>
      <c r="U6966" s="1" t="str">
        <f t="shared" si="12562"/>
        <v>0.0070</v>
      </c>
    </row>
    <row r="6967" s="1" customFormat="1" spans="1:21">
      <c r="A6967" s="1" t="str">
        <f>"4601992306417"</f>
        <v>4601992306417</v>
      </c>
      <c r="B6967" s="1" t="s">
        <v>6990</v>
      </c>
      <c r="C6967" s="1" t="s">
        <v>24</v>
      </c>
      <c r="D6967" s="1" t="str">
        <f t="shared" si="12523"/>
        <v>2021</v>
      </c>
      <c r="E6967" s="1" t="str">
        <f t="shared" ref="E6967:P6967" si="12579">"0"</f>
        <v>0</v>
      </c>
      <c r="F6967" s="1" t="str">
        <f t="shared" si="12579"/>
        <v>0</v>
      </c>
      <c r="G6967" s="1" t="str">
        <f t="shared" si="12579"/>
        <v>0</v>
      </c>
      <c r="H6967" s="1" t="str">
        <f t="shared" si="12579"/>
        <v>0</v>
      </c>
      <c r="I6967" s="1" t="str">
        <f t="shared" si="12579"/>
        <v>0</v>
      </c>
      <c r="J6967" s="1" t="str">
        <f t="shared" si="12579"/>
        <v>0</v>
      </c>
      <c r="K6967" s="1" t="str">
        <f t="shared" si="12579"/>
        <v>0</v>
      </c>
      <c r="L6967" s="1" t="str">
        <f t="shared" si="12579"/>
        <v>0</v>
      </c>
      <c r="M6967" s="1" t="str">
        <f t="shared" si="12579"/>
        <v>0</v>
      </c>
      <c r="N6967" s="1" t="str">
        <f t="shared" si="12579"/>
        <v>0</v>
      </c>
      <c r="O6967" s="1" t="str">
        <f t="shared" si="12579"/>
        <v>0</v>
      </c>
      <c r="P6967" s="1" t="str">
        <f t="shared" si="12579"/>
        <v>0</v>
      </c>
      <c r="Q6967" s="1" t="str">
        <f t="shared" si="12525"/>
        <v>0.0070</v>
      </c>
      <c r="R6967" s="1" t="s">
        <v>25</v>
      </c>
      <c r="T6967" s="1" t="str">
        <f t="shared" si="12526"/>
        <v>0</v>
      </c>
      <c r="U6967" s="1" t="str">
        <f t="shared" si="12562"/>
        <v>0.0070</v>
      </c>
    </row>
    <row r="6968" s="1" customFormat="1" spans="1:21">
      <c r="A6968" s="1" t="str">
        <f>"4601992306531"</f>
        <v>4601992306531</v>
      </c>
      <c r="B6968" s="1" t="s">
        <v>6991</v>
      </c>
      <c r="C6968" s="1" t="s">
        <v>24</v>
      </c>
      <c r="D6968" s="1" t="str">
        <f t="shared" si="12523"/>
        <v>2021</v>
      </c>
      <c r="E6968" s="1" t="str">
        <f t="shared" ref="E6968:P6968" si="12580">"0"</f>
        <v>0</v>
      </c>
      <c r="F6968" s="1" t="str">
        <f t="shared" si="12580"/>
        <v>0</v>
      </c>
      <c r="G6968" s="1" t="str">
        <f t="shared" si="12580"/>
        <v>0</v>
      </c>
      <c r="H6968" s="1" t="str">
        <f t="shared" si="12580"/>
        <v>0</v>
      </c>
      <c r="I6968" s="1" t="str">
        <f t="shared" si="12580"/>
        <v>0</v>
      </c>
      <c r="J6968" s="1" t="str">
        <f t="shared" si="12580"/>
        <v>0</v>
      </c>
      <c r="K6968" s="1" t="str">
        <f t="shared" si="12580"/>
        <v>0</v>
      </c>
      <c r="L6968" s="1" t="str">
        <f t="shared" si="12580"/>
        <v>0</v>
      </c>
      <c r="M6968" s="1" t="str">
        <f t="shared" si="12580"/>
        <v>0</v>
      </c>
      <c r="N6968" s="1" t="str">
        <f t="shared" si="12580"/>
        <v>0</v>
      </c>
      <c r="O6968" s="1" t="str">
        <f t="shared" si="12580"/>
        <v>0</v>
      </c>
      <c r="P6968" s="1" t="str">
        <f t="shared" si="12580"/>
        <v>0</v>
      </c>
      <c r="Q6968" s="1" t="str">
        <f t="shared" si="12525"/>
        <v>0.0070</v>
      </c>
      <c r="R6968" s="1" t="s">
        <v>25</v>
      </c>
      <c r="T6968" s="1" t="str">
        <f t="shared" si="12526"/>
        <v>0</v>
      </c>
      <c r="U6968" s="1" t="str">
        <f t="shared" si="12562"/>
        <v>0.0070</v>
      </c>
    </row>
    <row r="6969" s="1" customFormat="1" spans="1:21">
      <c r="A6969" s="1" t="str">
        <f>"4601992306214"</f>
        <v>4601992306214</v>
      </c>
      <c r="B6969" s="1" t="s">
        <v>6992</v>
      </c>
      <c r="C6969" s="1" t="s">
        <v>24</v>
      </c>
      <c r="D6969" s="1" t="str">
        <f t="shared" si="12523"/>
        <v>2021</v>
      </c>
      <c r="E6969" s="1" t="str">
        <f t="shared" ref="E6969:P6969" si="12581">"0"</f>
        <v>0</v>
      </c>
      <c r="F6969" s="1" t="str">
        <f t="shared" si="12581"/>
        <v>0</v>
      </c>
      <c r="G6969" s="1" t="str">
        <f t="shared" si="12581"/>
        <v>0</v>
      </c>
      <c r="H6969" s="1" t="str">
        <f t="shared" si="12581"/>
        <v>0</v>
      </c>
      <c r="I6969" s="1" t="str">
        <f t="shared" si="12581"/>
        <v>0</v>
      </c>
      <c r="J6969" s="1" t="str">
        <f t="shared" si="12581"/>
        <v>0</v>
      </c>
      <c r="K6969" s="1" t="str">
        <f t="shared" si="12581"/>
        <v>0</v>
      </c>
      <c r="L6969" s="1" t="str">
        <f t="shared" si="12581"/>
        <v>0</v>
      </c>
      <c r="M6969" s="1" t="str">
        <f t="shared" si="12581"/>
        <v>0</v>
      </c>
      <c r="N6969" s="1" t="str">
        <f t="shared" si="12581"/>
        <v>0</v>
      </c>
      <c r="O6969" s="1" t="str">
        <f t="shared" si="12581"/>
        <v>0</v>
      </c>
      <c r="P6969" s="1" t="str">
        <f t="shared" si="12581"/>
        <v>0</v>
      </c>
      <c r="Q6969" s="1" t="str">
        <f t="shared" si="12525"/>
        <v>0.0070</v>
      </c>
      <c r="R6969" s="1" t="s">
        <v>25</v>
      </c>
      <c r="T6969" s="1" t="str">
        <f t="shared" si="12526"/>
        <v>0</v>
      </c>
      <c r="U6969" s="1" t="str">
        <f t="shared" si="12562"/>
        <v>0.0070</v>
      </c>
    </row>
    <row r="6970" s="1" customFormat="1" spans="1:21">
      <c r="A6970" s="1" t="str">
        <f>"4601992306674"</f>
        <v>4601992306674</v>
      </c>
      <c r="B6970" s="1" t="s">
        <v>6993</v>
      </c>
      <c r="C6970" s="1" t="s">
        <v>24</v>
      </c>
      <c r="D6970" s="1" t="str">
        <f t="shared" si="12523"/>
        <v>2021</v>
      </c>
      <c r="E6970" s="1" t="str">
        <f t="shared" ref="E6970:P6970" si="12582">"0"</f>
        <v>0</v>
      </c>
      <c r="F6970" s="1" t="str">
        <f t="shared" si="12582"/>
        <v>0</v>
      </c>
      <c r="G6970" s="1" t="str">
        <f t="shared" si="12582"/>
        <v>0</v>
      </c>
      <c r="H6970" s="1" t="str">
        <f t="shared" si="12582"/>
        <v>0</v>
      </c>
      <c r="I6970" s="1" t="str">
        <f t="shared" si="12582"/>
        <v>0</v>
      </c>
      <c r="J6970" s="1" t="str">
        <f t="shared" si="12582"/>
        <v>0</v>
      </c>
      <c r="K6970" s="1" t="str">
        <f t="shared" si="12582"/>
        <v>0</v>
      </c>
      <c r="L6970" s="1" t="str">
        <f t="shared" si="12582"/>
        <v>0</v>
      </c>
      <c r="M6970" s="1" t="str">
        <f t="shared" si="12582"/>
        <v>0</v>
      </c>
      <c r="N6970" s="1" t="str">
        <f t="shared" si="12582"/>
        <v>0</v>
      </c>
      <c r="O6970" s="1" t="str">
        <f t="shared" si="12582"/>
        <v>0</v>
      </c>
      <c r="P6970" s="1" t="str">
        <f t="shared" si="12582"/>
        <v>0</v>
      </c>
      <c r="Q6970" s="1" t="str">
        <f t="shared" si="12525"/>
        <v>0.0070</v>
      </c>
      <c r="R6970" s="1" t="s">
        <v>25</v>
      </c>
      <c r="T6970" s="1" t="str">
        <f t="shared" si="12526"/>
        <v>0</v>
      </c>
      <c r="U6970" s="1" t="str">
        <f t="shared" si="12562"/>
        <v>0.0070</v>
      </c>
    </row>
    <row r="6971" s="1" customFormat="1" spans="1:21">
      <c r="A6971" s="1" t="str">
        <f>"4601992306727"</f>
        <v>4601992306727</v>
      </c>
      <c r="B6971" s="1" t="s">
        <v>6994</v>
      </c>
      <c r="C6971" s="1" t="s">
        <v>24</v>
      </c>
      <c r="D6971" s="1" t="str">
        <f t="shared" si="12523"/>
        <v>2021</v>
      </c>
      <c r="E6971" s="1" t="str">
        <f t="shared" ref="E6971:P6971" si="12583">"0"</f>
        <v>0</v>
      </c>
      <c r="F6971" s="1" t="str">
        <f t="shared" si="12583"/>
        <v>0</v>
      </c>
      <c r="G6971" s="1" t="str">
        <f t="shared" si="12583"/>
        <v>0</v>
      </c>
      <c r="H6971" s="1" t="str">
        <f t="shared" si="12583"/>
        <v>0</v>
      </c>
      <c r="I6971" s="1" t="str">
        <f t="shared" si="12583"/>
        <v>0</v>
      </c>
      <c r="J6971" s="1" t="str">
        <f t="shared" si="12583"/>
        <v>0</v>
      </c>
      <c r="K6971" s="1" t="str">
        <f t="shared" si="12583"/>
        <v>0</v>
      </c>
      <c r="L6971" s="1" t="str">
        <f t="shared" si="12583"/>
        <v>0</v>
      </c>
      <c r="M6971" s="1" t="str">
        <f t="shared" si="12583"/>
        <v>0</v>
      </c>
      <c r="N6971" s="1" t="str">
        <f t="shared" si="12583"/>
        <v>0</v>
      </c>
      <c r="O6971" s="1" t="str">
        <f t="shared" si="12583"/>
        <v>0</v>
      </c>
      <c r="P6971" s="1" t="str">
        <f t="shared" si="12583"/>
        <v>0</v>
      </c>
      <c r="Q6971" s="1" t="str">
        <f t="shared" si="12525"/>
        <v>0.0070</v>
      </c>
      <c r="R6971" s="1" t="s">
        <v>25</v>
      </c>
      <c r="T6971" s="1" t="str">
        <f t="shared" si="12526"/>
        <v>0</v>
      </c>
      <c r="U6971" s="1" t="str">
        <f t="shared" si="12562"/>
        <v>0.0070</v>
      </c>
    </row>
    <row r="6972" s="1" customFormat="1" spans="1:21">
      <c r="A6972" s="1" t="str">
        <f>"4601992306701"</f>
        <v>4601992306701</v>
      </c>
      <c r="B6972" s="1" t="s">
        <v>6995</v>
      </c>
      <c r="C6972" s="1" t="s">
        <v>24</v>
      </c>
      <c r="D6972" s="1" t="str">
        <f t="shared" si="12523"/>
        <v>2021</v>
      </c>
      <c r="E6972" s="1" t="str">
        <f t="shared" ref="E6972:P6972" si="12584">"0"</f>
        <v>0</v>
      </c>
      <c r="F6972" s="1" t="str">
        <f t="shared" si="12584"/>
        <v>0</v>
      </c>
      <c r="G6972" s="1" t="str">
        <f t="shared" si="12584"/>
        <v>0</v>
      </c>
      <c r="H6972" s="1" t="str">
        <f t="shared" si="12584"/>
        <v>0</v>
      </c>
      <c r="I6972" s="1" t="str">
        <f t="shared" si="12584"/>
        <v>0</v>
      </c>
      <c r="J6972" s="1" t="str">
        <f t="shared" si="12584"/>
        <v>0</v>
      </c>
      <c r="K6972" s="1" t="str">
        <f t="shared" si="12584"/>
        <v>0</v>
      </c>
      <c r="L6972" s="1" t="str">
        <f t="shared" si="12584"/>
        <v>0</v>
      </c>
      <c r="M6972" s="1" t="str">
        <f t="shared" si="12584"/>
        <v>0</v>
      </c>
      <c r="N6972" s="1" t="str">
        <f t="shared" si="12584"/>
        <v>0</v>
      </c>
      <c r="O6972" s="1" t="str">
        <f t="shared" si="12584"/>
        <v>0</v>
      </c>
      <c r="P6972" s="1" t="str">
        <f t="shared" si="12584"/>
        <v>0</v>
      </c>
      <c r="Q6972" s="1" t="str">
        <f t="shared" si="12525"/>
        <v>0.0070</v>
      </c>
      <c r="R6972" s="1" t="s">
        <v>25</v>
      </c>
      <c r="T6972" s="1" t="str">
        <f t="shared" si="12526"/>
        <v>0</v>
      </c>
      <c r="U6972" s="1" t="str">
        <f t="shared" si="12562"/>
        <v>0.0070</v>
      </c>
    </row>
    <row r="6973" s="1" customFormat="1" spans="1:21">
      <c r="A6973" s="1" t="str">
        <f>"4601992306736"</f>
        <v>4601992306736</v>
      </c>
      <c r="B6973" s="1" t="s">
        <v>6996</v>
      </c>
      <c r="C6973" s="1" t="s">
        <v>24</v>
      </c>
      <c r="D6973" s="1" t="str">
        <f t="shared" si="12523"/>
        <v>2021</v>
      </c>
      <c r="E6973" s="1" t="str">
        <f t="shared" ref="E6973:P6973" si="12585">"0"</f>
        <v>0</v>
      </c>
      <c r="F6973" s="1" t="str">
        <f t="shared" si="12585"/>
        <v>0</v>
      </c>
      <c r="G6973" s="1" t="str">
        <f t="shared" si="12585"/>
        <v>0</v>
      </c>
      <c r="H6973" s="1" t="str">
        <f t="shared" si="12585"/>
        <v>0</v>
      </c>
      <c r="I6973" s="1" t="str">
        <f t="shared" si="12585"/>
        <v>0</v>
      </c>
      <c r="J6973" s="1" t="str">
        <f t="shared" si="12585"/>
        <v>0</v>
      </c>
      <c r="K6973" s="1" t="str">
        <f t="shared" si="12585"/>
        <v>0</v>
      </c>
      <c r="L6973" s="1" t="str">
        <f t="shared" si="12585"/>
        <v>0</v>
      </c>
      <c r="M6973" s="1" t="str">
        <f t="shared" si="12585"/>
        <v>0</v>
      </c>
      <c r="N6973" s="1" t="str">
        <f t="shared" si="12585"/>
        <v>0</v>
      </c>
      <c r="O6973" s="1" t="str">
        <f t="shared" si="12585"/>
        <v>0</v>
      </c>
      <c r="P6973" s="1" t="str">
        <f t="shared" si="12585"/>
        <v>0</v>
      </c>
      <c r="Q6973" s="1" t="str">
        <f t="shared" si="12525"/>
        <v>0.0070</v>
      </c>
      <c r="R6973" s="1" t="s">
        <v>25</v>
      </c>
      <c r="T6973" s="1" t="str">
        <f t="shared" si="12526"/>
        <v>0</v>
      </c>
      <c r="U6973" s="1" t="str">
        <f t="shared" si="12562"/>
        <v>0.0070</v>
      </c>
    </row>
    <row r="6974" s="1" customFormat="1" spans="1:21">
      <c r="A6974" s="1" t="str">
        <f>"4601992306793"</f>
        <v>4601992306793</v>
      </c>
      <c r="B6974" s="1" t="s">
        <v>6997</v>
      </c>
      <c r="C6974" s="1" t="s">
        <v>24</v>
      </c>
      <c r="D6974" s="1" t="str">
        <f t="shared" si="12523"/>
        <v>2021</v>
      </c>
      <c r="E6974" s="1" t="str">
        <f t="shared" ref="E6974:P6974" si="12586">"0"</f>
        <v>0</v>
      </c>
      <c r="F6974" s="1" t="str">
        <f t="shared" si="12586"/>
        <v>0</v>
      </c>
      <c r="G6974" s="1" t="str">
        <f t="shared" si="12586"/>
        <v>0</v>
      </c>
      <c r="H6974" s="1" t="str">
        <f t="shared" si="12586"/>
        <v>0</v>
      </c>
      <c r="I6974" s="1" t="str">
        <f t="shared" si="12586"/>
        <v>0</v>
      </c>
      <c r="J6974" s="1" t="str">
        <f t="shared" si="12586"/>
        <v>0</v>
      </c>
      <c r="K6974" s="1" t="str">
        <f t="shared" si="12586"/>
        <v>0</v>
      </c>
      <c r="L6974" s="1" t="str">
        <f t="shared" si="12586"/>
        <v>0</v>
      </c>
      <c r="M6974" s="1" t="str">
        <f t="shared" si="12586"/>
        <v>0</v>
      </c>
      <c r="N6974" s="1" t="str">
        <f t="shared" si="12586"/>
        <v>0</v>
      </c>
      <c r="O6974" s="1" t="str">
        <f t="shared" si="12586"/>
        <v>0</v>
      </c>
      <c r="P6974" s="1" t="str">
        <f t="shared" si="12586"/>
        <v>0</v>
      </c>
      <c r="Q6974" s="1" t="str">
        <f t="shared" si="12525"/>
        <v>0.0070</v>
      </c>
      <c r="R6974" s="1" t="s">
        <v>25</v>
      </c>
      <c r="T6974" s="1" t="str">
        <f t="shared" si="12526"/>
        <v>0</v>
      </c>
      <c r="U6974" s="1" t="str">
        <f t="shared" si="12562"/>
        <v>0.0070</v>
      </c>
    </row>
    <row r="6975" s="1" customFormat="1" spans="1:21">
      <c r="A6975" s="1" t="str">
        <f>"4601992306753"</f>
        <v>4601992306753</v>
      </c>
      <c r="B6975" s="1" t="s">
        <v>6998</v>
      </c>
      <c r="C6975" s="1" t="s">
        <v>24</v>
      </c>
      <c r="D6975" s="1" t="str">
        <f t="shared" si="12523"/>
        <v>2021</v>
      </c>
      <c r="E6975" s="1" t="str">
        <f t="shared" ref="E6975:P6975" si="12587">"0"</f>
        <v>0</v>
      </c>
      <c r="F6975" s="1" t="str">
        <f t="shared" si="12587"/>
        <v>0</v>
      </c>
      <c r="G6975" s="1" t="str">
        <f t="shared" si="12587"/>
        <v>0</v>
      </c>
      <c r="H6975" s="1" t="str">
        <f t="shared" si="12587"/>
        <v>0</v>
      </c>
      <c r="I6975" s="1" t="str">
        <f t="shared" si="12587"/>
        <v>0</v>
      </c>
      <c r="J6975" s="1" t="str">
        <f t="shared" si="12587"/>
        <v>0</v>
      </c>
      <c r="K6975" s="1" t="str">
        <f t="shared" si="12587"/>
        <v>0</v>
      </c>
      <c r="L6975" s="1" t="str">
        <f t="shared" si="12587"/>
        <v>0</v>
      </c>
      <c r="M6975" s="1" t="str">
        <f t="shared" si="12587"/>
        <v>0</v>
      </c>
      <c r="N6975" s="1" t="str">
        <f t="shared" si="12587"/>
        <v>0</v>
      </c>
      <c r="O6975" s="1" t="str">
        <f t="shared" si="12587"/>
        <v>0</v>
      </c>
      <c r="P6975" s="1" t="str">
        <f t="shared" si="12587"/>
        <v>0</v>
      </c>
      <c r="Q6975" s="1" t="str">
        <f t="shared" si="12525"/>
        <v>0.0070</v>
      </c>
      <c r="R6975" s="1" t="s">
        <v>25</v>
      </c>
      <c r="T6975" s="1" t="str">
        <f t="shared" si="12526"/>
        <v>0</v>
      </c>
      <c r="U6975" s="1" t="str">
        <f t="shared" si="12562"/>
        <v>0.0070</v>
      </c>
    </row>
    <row r="6976" s="1" customFormat="1" spans="1:21">
      <c r="A6976" s="1" t="str">
        <f>"4601992306857"</f>
        <v>4601992306857</v>
      </c>
      <c r="B6976" s="1" t="s">
        <v>6999</v>
      </c>
      <c r="C6976" s="1" t="s">
        <v>24</v>
      </c>
      <c r="D6976" s="1" t="str">
        <f t="shared" si="12523"/>
        <v>2021</v>
      </c>
      <c r="E6976" s="1" t="str">
        <f t="shared" ref="E6976:P6976" si="12588">"0"</f>
        <v>0</v>
      </c>
      <c r="F6976" s="1" t="str">
        <f t="shared" si="12588"/>
        <v>0</v>
      </c>
      <c r="G6976" s="1" t="str">
        <f t="shared" si="12588"/>
        <v>0</v>
      </c>
      <c r="H6976" s="1" t="str">
        <f t="shared" si="12588"/>
        <v>0</v>
      </c>
      <c r="I6976" s="1" t="str">
        <f t="shared" si="12588"/>
        <v>0</v>
      </c>
      <c r="J6976" s="1" t="str">
        <f t="shared" si="12588"/>
        <v>0</v>
      </c>
      <c r="K6976" s="1" t="str">
        <f t="shared" si="12588"/>
        <v>0</v>
      </c>
      <c r="L6976" s="1" t="str">
        <f t="shared" si="12588"/>
        <v>0</v>
      </c>
      <c r="M6976" s="1" t="str">
        <f t="shared" si="12588"/>
        <v>0</v>
      </c>
      <c r="N6976" s="1" t="str">
        <f t="shared" si="12588"/>
        <v>0</v>
      </c>
      <c r="O6976" s="1" t="str">
        <f t="shared" si="12588"/>
        <v>0</v>
      </c>
      <c r="P6976" s="1" t="str">
        <f t="shared" si="12588"/>
        <v>0</v>
      </c>
      <c r="Q6976" s="1" t="str">
        <f t="shared" si="12525"/>
        <v>0.0070</v>
      </c>
      <c r="R6976" s="1" t="s">
        <v>25</v>
      </c>
      <c r="T6976" s="1" t="str">
        <f t="shared" si="12526"/>
        <v>0</v>
      </c>
      <c r="U6976" s="1" t="str">
        <f t="shared" si="12562"/>
        <v>0.0070</v>
      </c>
    </row>
    <row r="6977" s="1" customFormat="1" spans="1:21">
      <c r="A6977" s="1" t="str">
        <f>"4601992306881"</f>
        <v>4601992306881</v>
      </c>
      <c r="B6977" s="1" t="s">
        <v>7000</v>
      </c>
      <c r="C6977" s="1" t="s">
        <v>24</v>
      </c>
      <c r="D6977" s="1" t="str">
        <f t="shared" si="12523"/>
        <v>2021</v>
      </c>
      <c r="E6977" s="1" t="str">
        <f t="shared" ref="E6977:P6977" si="12589">"0"</f>
        <v>0</v>
      </c>
      <c r="F6977" s="1" t="str">
        <f t="shared" si="12589"/>
        <v>0</v>
      </c>
      <c r="G6977" s="1" t="str">
        <f t="shared" si="12589"/>
        <v>0</v>
      </c>
      <c r="H6977" s="1" t="str">
        <f t="shared" si="12589"/>
        <v>0</v>
      </c>
      <c r="I6977" s="1" t="str">
        <f t="shared" si="12589"/>
        <v>0</v>
      </c>
      <c r="J6977" s="1" t="str">
        <f t="shared" si="12589"/>
        <v>0</v>
      </c>
      <c r="K6977" s="1" t="str">
        <f t="shared" si="12589"/>
        <v>0</v>
      </c>
      <c r="L6977" s="1" t="str">
        <f t="shared" si="12589"/>
        <v>0</v>
      </c>
      <c r="M6977" s="1" t="str">
        <f t="shared" si="12589"/>
        <v>0</v>
      </c>
      <c r="N6977" s="1" t="str">
        <f t="shared" si="12589"/>
        <v>0</v>
      </c>
      <c r="O6977" s="1" t="str">
        <f t="shared" si="12589"/>
        <v>0</v>
      </c>
      <c r="P6977" s="1" t="str">
        <f t="shared" si="12589"/>
        <v>0</v>
      </c>
      <c r="Q6977" s="1" t="str">
        <f t="shared" si="12525"/>
        <v>0.0070</v>
      </c>
      <c r="R6977" s="1" t="s">
        <v>25</v>
      </c>
      <c r="T6977" s="1" t="str">
        <f t="shared" si="12526"/>
        <v>0</v>
      </c>
      <c r="U6977" s="1" t="str">
        <f t="shared" si="12562"/>
        <v>0.0070</v>
      </c>
    </row>
    <row r="6978" s="1" customFormat="1" spans="1:21">
      <c r="A6978" s="1" t="str">
        <f>"4601992306961"</f>
        <v>4601992306961</v>
      </c>
      <c r="B6978" s="1" t="s">
        <v>7001</v>
      </c>
      <c r="C6978" s="1" t="s">
        <v>24</v>
      </c>
      <c r="D6978" s="1" t="str">
        <f t="shared" si="12523"/>
        <v>2021</v>
      </c>
      <c r="E6978" s="1" t="str">
        <f t="shared" ref="E6978:P6978" si="12590">"0"</f>
        <v>0</v>
      </c>
      <c r="F6978" s="1" t="str">
        <f t="shared" si="12590"/>
        <v>0</v>
      </c>
      <c r="G6978" s="1" t="str">
        <f t="shared" si="12590"/>
        <v>0</v>
      </c>
      <c r="H6978" s="1" t="str">
        <f t="shared" si="12590"/>
        <v>0</v>
      </c>
      <c r="I6978" s="1" t="str">
        <f t="shared" si="12590"/>
        <v>0</v>
      </c>
      <c r="J6978" s="1" t="str">
        <f t="shared" si="12590"/>
        <v>0</v>
      </c>
      <c r="K6978" s="1" t="str">
        <f t="shared" si="12590"/>
        <v>0</v>
      </c>
      <c r="L6978" s="1" t="str">
        <f t="shared" si="12590"/>
        <v>0</v>
      </c>
      <c r="M6978" s="1" t="str">
        <f t="shared" si="12590"/>
        <v>0</v>
      </c>
      <c r="N6978" s="1" t="str">
        <f t="shared" si="12590"/>
        <v>0</v>
      </c>
      <c r="O6978" s="1" t="str">
        <f t="shared" si="12590"/>
        <v>0</v>
      </c>
      <c r="P6978" s="1" t="str">
        <f t="shared" si="12590"/>
        <v>0</v>
      </c>
      <c r="Q6978" s="1" t="str">
        <f t="shared" si="12525"/>
        <v>0.0070</v>
      </c>
      <c r="R6978" s="1" t="s">
        <v>25</v>
      </c>
      <c r="T6978" s="1" t="str">
        <f t="shared" si="12526"/>
        <v>0</v>
      </c>
      <c r="U6978" s="1" t="str">
        <f t="shared" si="12562"/>
        <v>0.0070</v>
      </c>
    </row>
    <row r="6979" s="1" customFormat="1" spans="1:21">
      <c r="A6979" s="1" t="str">
        <f>"4601992306939"</f>
        <v>4601992306939</v>
      </c>
      <c r="B6979" s="1" t="s">
        <v>7002</v>
      </c>
      <c r="C6979" s="1" t="s">
        <v>24</v>
      </c>
      <c r="D6979" s="1" t="str">
        <f t="shared" ref="D6979:D7042" si="12591">"2021"</f>
        <v>2021</v>
      </c>
      <c r="E6979" s="1" t="str">
        <f t="shared" ref="E6979:P6979" si="12592">"0"</f>
        <v>0</v>
      </c>
      <c r="F6979" s="1" t="str">
        <f t="shared" si="12592"/>
        <v>0</v>
      </c>
      <c r="G6979" s="1" t="str">
        <f t="shared" si="12592"/>
        <v>0</v>
      </c>
      <c r="H6979" s="1" t="str">
        <f t="shared" si="12592"/>
        <v>0</v>
      </c>
      <c r="I6979" s="1" t="str">
        <f t="shared" si="12592"/>
        <v>0</v>
      </c>
      <c r="J6979" s="1" t="str">
        <f t="shared" si="12592"/>
        <v>0</v>
      </c>
      <c r="K6979" s="1" t="str">
        <f t="shared" si="12592"/>
        <v>0</v>
      </c>
      <c r="L6979" s="1" t="str">
        <f t="shared" si="12592"/>
        <v>0</v>
      </c>
      <c r="M6979" s="1" t="str">
        <f t="shared" si="12592"/>
        <v>0</v>
      </c>
      <c r="N6979" s="1" t="str">
        <f t="shared" si="12592"/>
        <v>0</v>
      </c>
      <c r="O6979" s="1" t="str">
        <f t="shared" si="12592"/>
        <v>0</v>
      </c>
      <c r="P6979" s="1" t="str">
        <f t="shared" si="12592"/>
        <v>0</v>
      </c>
      <c r="Q6979" s="1" t="str">
        <f t="shared" ref="Q6979:Q7042" si="12593">"0.0070"</f>
        <v>0.0070</v>
      </c>
      <c r="R6979" s="1" t="s">
        <v>25</v>
      </c>
      <c r="T6979" s="1" t="str">
        <f t="shared" ref="T6979:T7042" si="12594">"0"</f>
        <v>0</v>
      </c>
      <c r="U6979" s="1" t="str">
        <f t="shared" si="12562"/>
        <v>0.0070</v>
      </c>
    </row>
    <row r="6980" s="1" customFormat="1" spans="1:21">
      <c r="A6980" s="1" t="str">
        <f>"4601992306999"</f>
        <v>4601992306999</v>
      </c>
      <c r="B6980" s="1" t="s">
        <v>7003</v>
      </c>
      <c r="C6980" s="1" t="s">
        <v>24</v>
      </c>
      <c r="D6980" s="1" t="str">
        <f t="shared" si="12591"/>
        <v>2021</v>
      </c>
      <c r="E6980" s="1" t="str">
        <f t="shared" ref="E6980:P6980" si="12595">"0"</f>
        <v>0</v>
      </c>
      <c r="F6980" s="1" t="str">
        <f t="shared" si="12595"/>
        <v>0</v>
      </c>
      <c r="G6980" s="1" t="str">
        <f t="shared" si="12595"/>
        <v>0</v>
      </c>
      <c r="H6980" s="1" t="str">
        <f t="shared" si="12595"/>
        <v>0</v>
      </c>
      <c r="I6980" s="1" t="str">
        <f t="shared" si="12595"/>
        <v>0</v>
      </c>
      <c r="J6980" s="1" t="str">
        <f t="shared" si="12595"/>
        <v>0</v>
      </c>
      <c r="K6980" s="1" t="str">
        <f t="shared" si="12595"/>
        <v>0</v>
      </c>
      <c r="L6980" s="1" t="str">
        <f t="shared" si="12595"/>
        <v>0</v>
      </c>
      <c r="M6980" s="1" t="str">
        <f t="shared" si="12595"/>
        <v>0</v>
      </c>
      <c r="N6980" s="1" t="str">
        <f t="shared" si="12595"/>
        <v>0</v>
      </c>
      <c r="O6980" s="1" t="str">
        <f t="shared" si="12595"/>
        <v>0</v>
      </c>
      <c r="P6980" s="1" t="str">
        <f t="shared" si="12595"/>
        <v>0</v>
      </c>
      <c r="Q6980" s="1" t="str">
        <f t="shared" si="12593"/>
        <v>0.0070</v>
      </c>
      <c r="R6980" s="1" t="s">
        <v>25</v>
      </c>
      <c r="T6980" s="1" t="str">
        <f t="shared" si="12594"/>
        <v>0</v>
      </c>
      <c r="U6980" s="1" t="str">
        <f t="shared" si="12562"/>
        <v>0.0070</v>
      </c>
    </row>
    <row r="6981" s="1" customFormat="1" spans="1:21">
      <c r="A6981" s="1" t="str">
        <f>"4601992306987"</f>
        <v>4601992306987</v>
      </c>
      <c r="B6981" s="1" t="s">
        <v>7004</v>
      </c>
      <c r="C6981" s="1" t="s">
        <v>24</v>
      </c>
      <c r="D6981" s="1" t="str">
        <f t="shared" si="12591"/>
        <v>2021</v>
      </c>
      <c r="E6981" s="1" t="str">
        <f t="shared" ref="E6981:P6981" si="12596">"0"</f>
        <v>0</v>
      </c>
      <c r="F6981" s="1" t="str">
        <f t="shared" si="12596"/>
        <v>0</v>
      </c>
      <c r="G6981" s="1" t="str">
        <f t="shared" si="12596"/>
        <v>0</v>
      </c>
      <c r="H6981" s="1" t="str">
        <f t="shared" si="12596"/>
        <v>0</v>
      </c>
      <c r="I6981" s="1" t="str">
        <f t="shared" si="12596"/>
        <v>0</v>
      </c>
      <c r="J6981" s="1" t="str">
        <f t="shared" si="12596"/>
        <v>0</v>
      </c>
      <c r="K6981" s="1" t="str">
        <f t="shared" si="12596"/>
        <v>0</v>
      </c>
      <c r="L6981" s="1" t="str">
        <f t="shared" si="12596"/>
        <v>0</v>
      </c>
      <c r="M6981" s="1" t="str">
        <f t="shared" si="12596"/>
        <v>0</v>
      </c>
      <c r="N6981" s="1" t="str">
        <f t="shared" si="12596"/>
        <v>0</v>
      </c>
      <c r="O6981" s="1" t="str">
        <f t="shared" si="12596"/>
        <v>0</v>
      </c>
      <c r="P6981" s="1" t="str">
        <f t="shared" si="12596"/>
        <v>0</v>
      </c>
      <c r="Q6981" s="1" t="str">
        <f t="shared" si="12593"/>
        <v>0.0070</v>
      </c>
      <c r="R6981" s="1" t="s">
        <v>25</v>
      </c>
      <c r="T6981" s="1" t="str">
        <f t="shared" si="12594"/>
        <v>0</v>
      </c>
      <c r="U6981" s="1" t="str">
        <f t="shared" si="12562"/>
        <v>0.0070</v>
      </c>
    </row>
    <row r="6982" s="1" customFormat="1" spans="1:21">
      <c r="A6982" s="1" t="str">
        <f>"4601992307147"</f>
        <v>4601992307147</v>
      </c>
      <c r="B6982" s="1" t="s">
        <v>7005</v>
      </c>
      <c r="C6982" s="1" t="s">
        <v>24</v>
      </c>
      <c r="D6982" s="1" t="str">
        <f t="shared" si="12591"/>
        <v>2021</v>
      </c>
      <c r="E6982" s="1" t="str">
        <f t="shared" ref="E6982:P6982" si="12597">"0"</f>
        <v>0</v>
      </c>
      <c r="F6982" s="1" t="str">
        <f t="shared" si="12597"/>
        <v>0</v>
      </c>
      <c r="G6982" s="1" t="str">
        <f t="shared" si="12597"/>
        <v>0</v>
      </c>
      <c r="H6982" s="1" t="str">
        <f t="shared" si="12597"/>
        <v>0</v>
      </c>
      <c r="I6982" s="1" t="str">
        <f t="shared" si="12597"/>
        <v>0</v>
      </c>
      <c r="J6982" s="1" t="str">
        <f t="shared" si="12597"/>
        <v>0</v>
      </c>
      <c r="K6982" s="1" t="str">
        <f t="shared" si="12597"/>
        <v>0</v>
      </c>
      <c r="L6982" s="1" t="str">
        <f t="shared" si="12597"/>
        <v>0</v>
      </c>
      <c r="M6982" s="1" t="str">
        <f t="shared" si="12597"/>
        <v>0</v>
      </c>
      <c r="N6982" s="1" t="str">
        <f t="shared" si="12597"/>
        <v>0</v>
      </c>
      <c r="O6982" s="1" t="str">
        <f t="shared" si="12597"/>
        <v>0</v>
      </c>
      <c r="P6982" s="1" t="str">
        <f t="shared" si="12597"/>
        <v>0</v>
      </c>
      <c r="Q6982" s="1" t="str">
        <f t="shared" si="12593"/>
        <v>0.0070</v>
      </c>
      <c r="R6982" s="1" t="s">
        <v>25</v>
      </c>
      <c r="T6982" s="1" t="str">
        <f t="shared" si="12594"/>
        <v>0</v>
      </c>
      <c r="U6982" s="1" t="str">
        <f t="shared" si="12562"/>
        <v>0.0070</v>
      </c>
    </row>
    <row r="6983" s="1" customFormat="1" spans="1:21">
      <c r="A6983" s="1" t="str">
        <f>"4601992307134"</f>
        <v>4601992307134</v>
      </c>
      <c r="B6983" s="1" t="s">
        <v>7006</v>
      </c>
      <c r="C6983" s="1" t="s">
        <v>24</v>
      </c>
      <c r="D6983" s="1" t="str">
        <f t="shared" si="12591"/>
        <v>2021</v>
      </c>
      <c r="E6983" s="1" t="str">
        <f t="shared" ref="E6983:P6983" si="12598">"0"</f>
        <v>0</v>
      </c>
      <c r="F6983" s="1" t="str">
        <f t="shared" si="12598"/>
        <v>0</v>
      </c>
      <c r="G6983" s="1" t="str">
        <f t="shared" si="12598"/>
        <v>0</v>
      </c>
      <c r="H6983" s="1" t="str">
        <f t="shared" si="12598"/>
        <v>0</v>
      </c>
      <c r="I6983" s="1" t="str">
        <f t="shared" si="12598"/>
        <v>0</v>
      </c>
      <c r="J6983" s="1" t="str">
        <f t="shared" si="12598"/>
        <v>0</v>
      </c>
      <c r="K6983" s="1" t="str">
        <f t="shared" si="12598"/>
        <v>0</v>
      </c>
      <c r="L6983" s="1" t="str">
        <f t="shared" si="12598"/>
        <v>0</v>
      </c>
      <c r="M6983" s="1" t="str">
        <f t="shared" si="12598"/>
        <v>0</v>
      </c>
      <c r="N6983" s="1" t="str">
        <f t="shared" si="12598"/>
        <v>0</v>
      </c>
      <c r="O6983" s="1" t="str">
        <f t="shared" si="12598"/>
        <v>0</v>
      </c>
      <c r="P6983" s="1" t="str">
        <f t="shared" si="12598"/>
        <v>0</v>
      </c>
      <c r="Q6983" s="1" t="str">
        <f t="shared" si="12593"/>
        <v>0.0070</v>
      </c>
      <c r="R6983" s="1" t="s">
        <v>25</v>
      </c>
      <c r="T6983" s="1" t="str">
        <f t="shared" si="12594"/>
        <v>0</v>
      </c>
      <c r="U6983" s="1" t="str">
        <f t="shared" si="12562"/>
        <v>0.0070</v>
      </c>
    </row>
    <row r="6984" s="1" customFormat="1" spans="1:21">
      <c r="A6984" s="1" t="str">
        <f>"4601992307182"</f>
        <v>4601992307182</v>
      </c>
      <c r="B6984" s="1" t="s">
        <v>7007</v>
      </c>
      <c r="C6984" s="1" t="s">
        <v>24</v>
      </c>
      <c r="D6984" s="1" t="str">
        <f t="shared" si="12591"/>
        <v>2021</v>
      </c>
      <c r="E6984" s="1" t="str">
        <f t="shared" ref="E6984:P6984" si="12599">"0"</f>
        <v>0</v>
      </c>
      <c r="F6984" s="1" t="str">
        <f t="shared" si="12599"/>
        <v>0</v>
      </c>
      <c r="G6984" s="1" t="str">
        <f t="shared" si="12599"/>
        <v>0</v>
      </c>
      <c r="H6984" s="1" t="str">
        <f t="shared" si="12599"/>
        <v>0</v>
      </c>
      <c r="I6984" s="1" t="str">
        <f t="shared" si="12599"/>
        <v>0</v>
      </c>
      <c r="J6984" s="1" t="str">
        <f t="shared" si="12599"/>
        <v>0</v>
      </c>
      <c r="K6984" s="1" t="str">
        <f t="shared" si="12599"/>
        <v>0</v>
      </c>
      <c r="L6984" s="1" t="str">
        <f t="shared" si="12599"/>
        <v>0</v>
      </c>
      <c r="M6984" s="1" t="str">
        <f t="shared" si="12599"/>
        <v>0</v>
      </c>
      <c r="N6984" s="1" t="str">
        <f t="shared" si="12599"/>
        <v>0</v>
      </c>
      <c r="O6984" s="1" t="str">
        <f t="shared" si="12599"/>
        <v>0</v>
      </c>
      <c r="P6984" s="1" t="str">
        <f t="shared" si="12599"/>
        <v>0</v>
      </c>
      <c r="Q6984" s="1" t="str">
        <f t="shared" si="12593"/>
        <v>0.0070</v>
      </c>
      <c r="R6984" s="1" t="s">
        <v>25</v>
      </c>
      <c r="T6984" s="1" t="str">
        <f t="shared" si="12594"/>
        <v>0</v>
      </c>
      <c r="U6984" s="1" t="str">
        <f t="shared" si="12562"/>
        <v>0.0070</v>
      </c>
    </row>
    <row r="6985" s="1" customFormat="1" spans="1:21">
      <c r="A6985" s="1" t="str">
        <f>"4601992307243"</f>
        <v>4601992307243</v>
      </c>
      <c r="B6985" s="1" t="s">
        <v>7008</v>
      </c>
      <c r="C6985" s="1" t="s">
        <v>24</v>
      </c>
      <c r="D6985" s="1" t="str">
        <f t="shared" si="12591"/>
        <v>2021</v>
      </c>
      <c r="E6985" s="1" t="str">
        <f t="shared" ref="E6985:P6985" si="12600">"0"</f>
        <v>0</v>
      </c>
      <c r="F6985" s="1" t="str">
        <f t="shared" si="12600"/>
        <v>0</v>
      </c>
      <c r="G6985" s="1" t="str">
        <f t="shared" si="12600"/>
        <v>0</v>
      </c>
      <c r="H6985" s="1" t="str">
        <f t="shared" si="12600"/>
        <v>0</v>
      </c>
      <c r="I6985" s="1" t="str">
        <f t="shared" si="12600"/>
        <v>0</v>
      </c>
      <c r="J6985" s="1" t="str">
        <f t="shared" si="12600"/>
        <v>0</v>
      </c>
      <c r="K6985" s="1" t="str">
        <f t="shared" si="12600"/>
        <v>0</v>
      </c>
      <c r="L6985" s="1" t="str">
        <f t="shared" si="12600"/>
        <v>0</v>
      </c>
      <c r="M6985" s="1" t="str">
        <f t="shared" si="12600"/>
        <v>0</v>
      </c>
      <c r="N6985" s="1" t="str">
        <f t="shared" si="12600"/>
        <v>0</v>
      </c>
      <c r="O6985" s="1" t="str">
        <f t="shared" si="12600"/>
        <v>0</v>
      </c>
      <c r="P6985" s="1" t="str">
        <f t="shared" si="12600"/>
        <v>0</v>
      </c>
      <c r="Q6985" s="1" t="str">
        <f t="shared" si="12593"/>
        <v>0.0070</v>
      </c>
      <c r="R6985" s="1" t="s">
        <v>25</v>
      </c>
      <c r="T6985" s="1" t="str">
        <f t="shared" si="12594"/>
        <v>0</v>
      </c>
      <c r="U6985" s="1" t="str">
        <f t="shared" si="12562"/>
        <v>0.0070</v>
      </c>
    </row>
    <row r="6986" s="1" customFormat="1" spans="1:21">
      <c r="A6986" s="1" t="str">
        <f>"4601992307297"</f>
        <v>4601992307297</v>
      </c>
      <c r="B6986" s="1" t="s">
        <v>7009</v>
      </c>
      <c r="C6986" s="1" t="s">
        <v>24</v>
      </c>
      <c r="D6986" s="1" t="str">
        <f t="shared" si="12591"/>
        <v>2021</v>
      </c>
      <c r="E6986" s="1" t="str">
        <f t="shared" ref="E6986:P6986" si="12601">"0"</f>
        <v>0</v>
      </c>
      <c r="F6986" s="1" t="str">
        <f t="shared" si="12601"/>
        <v>0</v>
      </c>
      <c r="G6986" s="1" t="str">
        <f t="shared" si="12601"/>
        <v>0</v>
      </c>
      <c r="H6986" s="1" t="str">
        <f t="shared" si="12601"/>
        <v>0</v>
      </c>
      <c r="I6986" s="1" t="str">
        <f t="shared" si="12601"/>
        <v>0</v>
      </c>
      <c r="J6986" s="1" t="str">
        <f t="shared" si="12601"/>
        <v>0</v>
      </c>
      <c r="K6986" s="1" t="str">
        <f t="shared" si="12601"/>
        <v>0</v>
      </c>
      <c r="L6986" s="1" t="str">
        <f t="shared" si="12601"/>
        <v>0</v>
      </c>
      <c r="M6986" s="1" t="str">
        <f t="shared" si="12601"/>
        <v>0</v>
      </c>
      <c r="N6986" s="1" t="str">
        <f t="shared" si="12601"/>
        <v>0</v>
      </c>
      <c r="O6986" s="1" t="str">
        <f t="shared" si="12601"/>
        <v>0</v>
      </c>
      <c r="P6986" s="1" t="str">
        <f t="shared" si="12601"/>
        <v>0</v>
      </c>
      <c r="Q6986" s="1" t="str">
        <f t="shared" si="12593"/>
        <v>0.0070</v>
      </c>
      <c r="R6986" s="1" t="s">
        <v>25</v>
      </c>
      <c r="T6986" s="1" t="str">
        <f t="shared" si="12594"/>
        <v>0</v>
      </c>
      <c r="U6986" s="1" t="str">
        <f t="shared" si="12562"/>
        <v>0.0070</v>
      </c>
    </row>
    <row r="6987" s="1" customFormat="1" spans="1:21">
      <c r="A6987" s="1" t="str">
        <f>"4601992307626"</f>
        <v>4601992307626</v>
      </c>
      <c r="B6987" s="1" t="s">
        <v>7010</v>
      </c>
      <c r="C6987" s="1" t="s">
        <v>24</v>
      </c>
      <c r="D6987" s="1" t="str">
        <f t="shared" si="12591"/>
        <v>2021</v>
      </c>
      <c r="E6987" s="1" t="str">
        <f t="shared" ref="E6987:P6987" si="12602">"0"</f>
        <v>0</v>
      </c>
      <c r="F6987" s="1" t="str">
        <f t="shared" si="12602"/>
        <v>0</v>
      </c>
      <c r="G6987" s="1" t="str">
        <f t="shared" si="12602"/>
        <v>0</v>
      </c>
      <c r="H6987" s="1" t="str">
        <f t="shared" si="12602"/>
        <v>0</v>
      </c>
      <c r="I6987" s="1" t="str">
        <f t="shared" si="12602"/>
        <v>0</v>
      </c>
      <c r="J6987" s="1" t="str">
        <f t="shared" si="12602"/>
        <v>0</v>
      </c>
      <c r="K6987" s="1" t="str">
        <f t="shared" si="12602"/>
        <v>0</v>
      </c>
      <c r="L6987" s="1" t="str">
        <f t="shared" si="12602"/>
        <v>0</v>
      </c>
      <c r="M6987" s="1" t="str">
        <f t="shared" si="12602"/>
        <v>0</v>
      </c>
      <c r="N6987" s="1" t="str">
        <f t="shared" si="12602"/>
        <v>0</v>
      </c>
      <c r="O6987" s="1" t="str">
        <f t="shared" si="12602"/>
        <v>0</v>
      </c>
      <c r="P6987" s="1" t="str">
        <f t="shared" si="12602"/>
        <v>0</v>
      </c>
      <c r="Q6987" s="1" t="str">
        <f t="shared" si="12593"/>
        <v>0.0070</v>
      </c>
      <c r="R6987" s="1" t="s">
        <v>25</v>
      </c>
      <c r="T6987" s="1" t="str">
        <f t="shared" si="12594"/>
        <v>0</v>
      </c>
      <c r="U6987" s="1" t="str">
        <f t="shared" si="12562"/>
        <v>0.0070</v>
      </c>
    </row>
    <row r="6988" s="1" customFormat="1" spans="1:21">
      <c r="A6988" s="1" t="str">
        <f>"4601992307497"</f>
        <v>4601992307497</v>
      </c>
      <c r="B6988" s="1" t="s">
        <v>7011</v>
      </c>
      <c r="C6988" s="1" t="s">
        <v>24</v>
      </c>
      <c r="D6988" s="1" t="str">
        <f t="shared" si="12591"/>
        <v>2021</v>
      </c>
      <c r="E6988" s="1" t="str">
        <f t="shared" ref="E6988:P6988" si="12603">"0"</f>
        <v>0</v>
      </c>
      <c r="F6988" s="1" t="str">
        <f t="shared" si="12603"/>
        <v>0</v>
      </c>
      <c r="G6988" s="1" t="str">
        <f t="shared" si="12603"/>
        <v>0</v>
      </c>
      <c r="H6988" s="1" t="str">
        <f t="shared" si="12603"/>
        <v>0</v>
      </c>
      <c r="I6988" s="1" t="str">
        <f t="shared" si="12603"/>
        <v>0</v>
      </c>
      <c r="J6988" s="1" t="str">
        <f t="shared" si="12603"/>
        <v>0</v>
      </c>
      <c r="K6988" s="1" t="str">
        <f t="shared" si="12603"/>
        <v>0</v>
      </c>
      <c r="L6988" s="1" t="str">
        <f t="shared" si="12603"/>
        <v>0</v>
      </c>
      <c r="M6988" s="1" t="str">
        <f t="shared" si="12603"/>
        <v>0</v>
      </c>
      <c r="N6988" s="1" t="str">
        <f t="shared" si="12603"/>
        <v>0</v>
      </c>
      <c r="O6988" s="1" t="str">
        <f t="shared" si="12603"/>
        <v>0</v>
      </c>
      <c r="P6988" s="1" t="str">
        <f t="shared" si="12603"/>
        <v>0</v>
      </c>
      <c r="Q6988" s="1" t="str">
        <f t="shared" si="12593"/>
        <v>0.0070</v>
      </c>
      <c r="R6988" s="1" t="s">
        <v>25</v>
      </c>
      <c r="T6988" s="1" t="str">
        <f t="shared" si="12594"/>
        <v>0</v>
      </c>
      <c r="U6988" s="1" t="str">
        <f t="shared" si="12562"/>
        <v>0.0070</v>
      </c>
    </row>
    <row r="6989" s="1" customFormat="1" spans="1:21">
      <c r="A6989" s="1" t="str">
        <f>"4601992307347"</f>
        <v>4601992307347</v>
      </c>
      <c r="B6989" s="1" t="s">
        <v>7012</v>
      </c>
      <c r="C6989" s="1" t="s">
        <v>24</v>
      </c>
      <c r="D6989" s="1" t="str">
        <f t="shared" si="12591"/>
        <v>2021</v>
      </c>
      <c r="E6989" s="1" t="str">
        <f t="shared" ref="E6989:P6989" si="12604">"0"</f>
        <v>0</v>
      </c>
      <c r="F6989" s="1" t="str">
        <f t="shared" si="12604"/>
        <v>0</v>
      </c>
      <c r="G6989" s="1" t="str">
        <f t="shared" si="12604"/>
        <v>0</v>
      </c>
      <c r="H6989" s="1" t="str">
        <f t="shared" si="12604"/>
        <v>0</v>
      </c>
      <c r="I6989" s="1" t="str">
        <f t="shared" si="12604"/>
        <v>0</v>
      </c>
      <c r="J6989" s="1" t="str">
        <f t="shared" si="12604"/>
        <v>0</v>
      </c>
      <c r="K6989" s="1" t="str">
        <f t="shared" si="12604"/>
        <v>0</v>
      </c>
      <c r="L6989" s="1" t="str">
        <f t="shared" si="12604"/>
        <v>0</v>
      </c>
      <c r="M6989" s="1" t="str">
        <f t="shared" si="12604"/>
        <v>0</v>
      </c>
      <c r="N6989" s="1" t="str">
        <f t="shared" si="12604"/>
        <v>0</v>
      </c>
      <c r="O6989" s="1" t="str">
        <f t="shared" si="12604"/>
        <v>0</v>
      </c>
      <c r="P6989" s="1" t="str">
        <f t="shared" si="12604"/>
        <v>0</v>
      </c>
      <c r="Q6989" s="1" t="str">
        <f t="shared" si="12593"/>
        <v>0.0070</v>
      </c>
      <c r="R6989" s="1" t="s">
        <v>25</v>
      </c>
      <c r="T6989" s="1" t="str">
        <f t="shared" si="12594"/>
        <v>0</v>
      </c>
      <c r="U6989" s="1" t="str">
        <f t="shared" si="12562"/>
        <v>0.0070</v>
      </c>
    </row>
    <row r="6990" s="1" customFormat="1" spans="1:21">
      <c r="A6990" s="1" t="str">
        <f>"4601992307730"</f>
        <v>4601992307730</v>
      </c>
      <c r="B6990" s="1" t="s">
        <v>7013</v>
      </c>
      <c r="C6990" s="1" t="s">
        <v>24</v>
      </c>
      <c r="D6990" s="1" t="str">
        <f t="shared" si="12591"/>
        <v>2021</v>
      </c>
      <c r="E6990" s="1" t="str">
        <f t="shared" ref="E6990:P6990" si="12605">"0"</f>
        <v>0</v>
      </c>
      <c r="F6990" s="1" t="str">
        <f t="shared" si="12605"/>
        <v>0</v>
      </c>
      <c r="G6990" s="1" t="str">
        <f t="shared" si="12605"/>
        <v>0</v>
      </c>
      <c r="H6990" s="1" t="str">
        <f t="shared" si="12605"/>
        <v>0</v>
      </c>
      <c r="I6990" s="1" t="str">
        <f t="shared" si="12605"/>
        <v>0</v>
      </c>
      <c r="J6990" s="1" t="str">
        <f t="shared" si="12605"/>
        <v>0</v>
      </c>
      <c r="K6990" s="1" t="str">
        <f t="shared" si="12605"/>
        <v>0</v>
      </c>
      <c r="L6990" s="1" t="str">
        <f t="shared" si="12605"/>
        <v>0</v>
      </c>
      <c r="M6990" s="1" t="str">
        <f t="shared" si="12605"/>
        <v>0</v>
      </c>
      <c r="N6990" s="1" t="str">
        <f t="shared" si="12605"/>
        <v>0</v>
      </c>
      <c r="O6990" s="1" t="str">
        <f t="shared" si="12605"/>
        <v>0</v>
      </c>
      <c r="P6990" s="1" t="str">
        <f t="shared" si="12605"/>
        <v>0</v>
      </c>
      <c r="Q6990" s="1" t="str">
        <f t="shared" si="12593"/>
        <v>0.0070</v>
      </c>
      <c r="R6990" s="1" t="s">
        <v>25</v>
      </c>
      <c r="T6990" s="1" t="str">
        <f t="shared" si="12594"/>
        <v>0</v>
      </c>
      <c r="U6990" s="1" t="str">
        <f t="shared" si="12562"/>
        <v>0.0070</v>
      </c>
    </row>
    <row r="6991" s="1" customFormat="1" spans="1:21">
      <c r="A6991" s="1" t="str">
        <f>"4601992307787"</f>
        <v>4601992307787</v>
      </c>
      <c r="B6991" s="1" t="s">
        <v>7014</v>
      </c>
      <c r="C6991" s="1" t="s">
        <v>24</v>
      </c>
      <c r="D6991" s="1" t="str">
        <f t="shared" si="12591"/>
        <v>2021</v>
      </c>
      <c r="E6991" s="1" t="str">
        <f t="shared" ref="E6991:P6991" si="12606">"0"</f>
        <v>0</v>
      </c>
      <c r="F6991" s="1" t="str">
        <f t="shared" si="12606"/>
        <v>0</v>
      </c>
      <c r="G6991" s="1" t="str">
        <f t="shared" si="12606"/>
        <v>0</v>
      </c>
      <c r="H6991" s="1" t="str">
        <f t="shared" si="12606"/>
        <v>0</v>
      </c>
      <c r="I6991" s="1" t="str">
        <f t="shared" si="12606"/>
        <v>0</v>
      </c>
      <c r="J6991" s="1" t="str">
        <f t="shared" si="12606"/>
        <v>0</v>
      </c>
      <c r="K6991" s="1" t="str">
        <f t="shared" si="12606"/>
        <v>0</v>
      </c>
      <c r="L6991" s="1" t="str">
        <f t="shared" si="12606"/>
        <v>0</v>
      </c>
      <c r="M6991" s="1" t="str">
        <f t="shared" si="12606"/>
        <v>0</v>
      </c>
      <c r="N6991" s="1" t="str">
        <f t="shared" si="12606"/>
        <v>0</v>
      </c>
      <c r="O6991" s="1" t="str">
        <f t="shared" si="12606"/>
        <v>0</v>
      </c>
      <c r="P6991" s="1" t="str">
        <f t="shared" si="12606"/>
        <v>0</v>
      </c>
      <c r="Q6991" s="1" t="str">
        <f t="shared" si="12593"/>
        <v>0.0070</v>
      </c>
      <c r="R6991" s="1" t="s">
        <v>25</v>
      </c>
      <c r="T6991" s="1" t="str">
        <f t="shared" si="12594"/>
        <v>0</v>
      </c>
      <c r="U6991" s="1" t="str">
        <f t="shared" si="12562"/>
        <v>0.0070</v>
      </c>
    </row>
    <row r="6992" s="1" customFormat="1" spans="1:21">
      <c r="A6992" s="1" t="str">
        <f>"4601992307640"</f>
        <v>4601992307640</v>
      </c>
      <c r="B6992" s="1" t="s">
        <v>7015</v>
      </c>
      <c r="C6992" s="1" t="s">
        <v>24</v>
      </c>
      <c r="D6992" s="1" t="str">
        <f t="shared" si="12591"/>
        <v>2021</v>
      </c>
      <c r="E6992" s="1" t="str">
        <f t="shared" ref="E6992:P6992" si="12607">"0"</f>
        <v>0</v>
      </c>
      <c r="F6992" s="1" t="str">
        <f t="shared" si="12607"/>
        <v>0</v>
      </c>
      <c r="G6992" s="1" t="str">
        <f t="shared" si="12607"/>
        <v>0</v>
      </c>
      <c r="H6992" s="1" t="str">
        <f t="shared" si="12607"/>
        <v>0</v>
      </c>
      <c r="I6992" s="1" t="str">
        <f t="shared" si="12607"/>
        <v>0</v>
      </c>
      <c r="J6992" s="1" t="str">
        <f t="shared" si="12607"/>
        <v>0</v>
      </c>
      <c r="K6992" s="1" t="str">
        <f t="shared" si="12607"/>
        <v>0</v>
      </c>
      <c r="L6992" s="1" t="str">
        <f t="shared" si="12607"/>
        <v>0</v>
      </c>
      <c r="M6992" s="1" t="str">
        <f t="shared" si="12607"/>
        <v>0</v>
      </c>
      <c r="N6992" s="1" t="str">
        <f t="shared" si="12607"/>
        <v>0</v>
      </c>
      <c r="O6992" s="1" t="str">
        <f t="shared" si="12607"/>
        <v>0</v>
      </c>
      <c r="P6992" s="1" t="str">
        <f t="shared" si="12607"/>
        <v>0</v>
      </c>
      <c r="Q6992" s="1" t="str">
        <f t="shared" si="12593"/>
        <v>0.0070</v>
      </c>
      <c r="R6992" s="1" t="s">
        <v>25</v>
      </c>
      <c r="T6992" s="1" t="str">
        <f t="shared" si="12594"/>
        <v>0</v>
      </c>
      <c r="U6992" s="1" t="str">
        <f t="shared" si="12562"/>
        <v>0.0070</v>
      </c>
    </row>
    <row r="6993" s="1" customFormat="1" spans="1:21">
      <c r="A6993" s="1" t="str">
        <f>"4601992307671"</f>
        <v>4601992307671</v>
      </c>
      <c r="B6993" s="1" t="s">
        <v>7016</v>
      </c>
      <c r="C6993" s="1" t="s">
        <v>24</v>
      </c>
      <c r="D6993" s="1" t="str">
        <f t="shared" si="12591"/>
        <v>2021</v>
      </c>
      <c r="E6993" s="1" t="str">
        <f t="shared" ref="E6993:P6993" si="12608">"0"</f>
        <v>0</v>
      </c>
      <c r="F6993" s="1" t="str">
        <f t="shared" si="12608"/>
        <v>0</v>
      </c>
      <c r="G6993" s="1" t="str">
        <f t="shared" si="12608"/>
        <v>0</v>
      </c>
      <c r="H6993" s="1" t="str">
        <f t="shared" si="12608"/>
        <v>0</v>
      </c>
      <c r="I6993" s="1" t="str">
        <f t="shared" si="12608"/>
        <v>0</v>
      </c>
      <c r="J6993" s="1" t="str">
        <f t="shared" si="12608"/>
        <v>0</v>
      </c>
      <c r="K6993" s="1" t="str">
        <f t="shared" si="12608"/>
        <v>0</v>
      </c>
      <c r="L6993" s="1" t="str">
        <f t="shared" si="12608"/>
        <v>0</v>
      </c>
      <c r="M6993" s="1" t="str">
        <f t="shared" si="12608"/>
        <v>0</v>
      </c>
      <c r="N6993" s="1" t="str">
        <f t="shared" si="12608"/>
        <v>0</v>
      </c>
      <c r="O6993" s="1" t="str">
        <f t="shared" si="12608"/>
        <v>0</v>
      </c>
      <c r="P6993" s="1" t="str">
        <f t="shared" si="12608"/>
        <v>0</v>
      </c>
      <c r="Q6993" s="1" t="str">
        <f t="shared" si="12593"/>
        <v>0.0070</v>
      </c>
      <c r="R6993" s="1" t="s">
        <v>25</v>
      </c>
      <c r="T6993" s="1" t="str">
        <f t="shared" si="12594"/>
        <v>0</v>
      </c>
      <c r="U6993" s="1" t="str">
        <f t="shared" si="12562"/>
        <v>0.0070</v>
      </c>
    </row>
    <row r="6994" s="1" customFormat="1" spans="1:21">
      <c r="A6994" s="1" t="str">
        <f>"4601992307865"</f>
        <v>4601992307865</v>
      </c>
      <c r="B6994" s="1" t="s">
        <v>7017</v>
      </c>
      <c r="C6994" s="1" t="s">
        <v>24</v>
      </c>
      <c r="D6994" s="1" t="str">
        <f t="shared" si="12591"/>
        <v>2021</v>
      </c>
      <c r="E6994" s="1" t="str">
        <f t="shared" ref="E6994:P6994" si="12609">"0"</f>
        <v>0</v>
      </c>
      <c r="F6994" s="1" t="str">
        <f t="shared" si="12609"/>
        <v>0</v>
      </c>
      <c r="G6994" s="1" t="str">
        <f t="shared" si="12609"/>
        <v>0</v>
      </c>
      <c r="H6994" s="1" t="str">
        <f t="shared" si="12609"/>
        <v>0</v>
      </c>
      <c r="I6994" s="1" t="str">
        <f t="shared" si="12609"/>
        <v>0</v>
      </c>
      <c r="J6994" s="1" t="str">
        <f t="shared" si="12609"/>
        <v>0</v>
      </c>
      <c r="K6994" s="1" t="str">
        <f t="shared" si="12609"/>
        <v>0</v>
      </c>
      <c r="L6994" s="1" t="str">
        <f t="shared" si="12609"/>
        <v>0</v>
      </c>
      <c r="M6994" s="1" t="str">
        <f t="shared" si="12609"/>
        <v>0</v>
      </c>
      <c r="N6994" s="1" t="str">
        <f t="shared" si="12609"/>
        <v>0</v>
      </c>
      <c r="O6994" s="1" t="str">
        <f t="shared" si="12609"/>
        <v>0</v>
      </c>
      <c r="P6994" s="1" t="str">
        <f t="shared" si="12609"/>
        <v>0</v>
      </c>
      <c r="Q6994" s="1" t="str">
        <f t="shared" si="12593"/>
        <v>0.0070</v>
      </c>
      <c r="R6994" s="1" t="s">
        <v>25</v>
      </c>
      <c r="T6994" s="1" t="str">
        <f t="shared" si="12594"/>
        <v>0</v>
      </c>
      <c r="U6994" s="1" t="str">
        <f t="shared" si="12562"/>
        <v>0.0070</v>
      </c>
    </row>
    <row r="6995" s="1" customFormat="1" spans="1:21">
      <c r="A6995" s="1" t="str">
        <f>"4601992307804"</f>
        <v>4601992307804</v>
      </c>
      <c r="B6995" s="1" t="s">
        <v>7018</v>
      </c>
      <c r="C6995" s="1" t="s">
        <v>24</v>
      </c>
      <c r="D6995" s="1" t="str">
        <f t="shared" si="12591"/>
        <v>2021</v>
      </c>
      <c r="E6995" s="1" t="str">
        <f t="shared" ref="E6995:P6995" si="12610">"0"</f>
        <v>0</v>
      </c>
      <c r="F6995" s="1" t="str">
        <f t="shared" si="12610"/>
        <v>0</v>
      </c>
      <c r="G6995" s="1" t="str">
        <f t="shared" si="12610"/>
        <v>0</v>
      </c>
      <c r="H6995" s="1" t="str">
        <f t="shared" si="12610"/>
        <v>0</v>
      </c>
      <c r="I6995" s="1" t="str">
        <f t="shared" si="12610"/>
        <v>0</v>
      </c>
      <c r="J6995" s="1" t="str">
        <f t="shared" si="12610"/>
        <v>0</v>
      </c>
      <c r="K6995" s="1" t="str">
        <f t="shared" si="12610"/>
        <v>0</v>
      </c>
      <c r="L6995" s="1" t="str">
        <f t="shared" si="12610"/>
        <v>0</v>
      </c>
      <c r="M6995" s="1" t="str">
        <f t="shared" si="12610"/>
        <v>0</v>
      </c>
      <c r="N6995" s="1" t="str">
        <f t="shared" si="12610"/>
        <v>0</v>
      </c>
      <c r="O6995" s="1" t="str">
        <f t="shared" si="12610"/>
        <v>0</v>
      </c>
      <c r="P6995" s="1" t="str">
        <f t="shared" si="12610"/>
        <v>0</v>
      </c>
      <c r="Q6995" s="1" t="str">
        <f t="shared" si="12593"/>
        <v>0.0070</v>
      </c>
      <c r="R6995" s="1" t="s">
        <v>25</v>
      </c>
      <c r="T6995" s="1" t="str">
        <f t="shared" si="12594"/>
        <v>0</v>
      </c>
      <c r="U6995" s="1" t="str">
        <f t="shared" si="12562"/>
        <v>0.0070</v>
      </c>
    </row>
    <row r="6996" s="1" customFormat="1" spans="1:21">
      <c r="A6996" s="1" t="str">
        <f>"4601992307927"</f>
        <v>4601992307927</v>
      </c>
      <c r="B6996" s="1" t="s">
        <v>7019</v>
      </c>
      <c r="C6996" s="1" t="s">
        <v>24</v>
      </c>
      <c r="D6996" s="1" t="str">
        <f t="shared" si="12591"/>
        <v>2021</v>
      </c>
      <c r="E6996" s="1" t="str">
        <f t="shared" ref="E6996:P6996" si="12611">"0"</f>
        <v>0</v>
      </c>
      <c r="F6996" s="1" t="str">
        <f t="shared" si="12611"/>
        <v>0</v>
      </c>
      <c r="G6996" s="1" t="str">
        <f t="shared" si="12611"/>
        <v>0</v>
      </c>
      <c r="H6996" s="1" t="str">
        <f t="shared" si="12611"/>
        <v>0</v>
      </c>
      <c r="I6996" s="1" t="str">
        <f t="shared" si="12611"/>
        <v>0</v>
      </c>
      <c r="J6996" s="1" t="str">
        <f t="shared" si="12611"/>
        <v>0</v>
      </c>
      <c r="K6996" s="1" t="str">
        <f t="shared" si="12611"/>
        <v>0</v>
      </c>
      <c r="L6996" s="1" t="str">
        <f t="shared" si="12611"/>
        <v>0</v>
      </c>
      <c r="M6996" s="1" t="str">
        <f t="shared" si="12611"/>
        <v>0</v>
      </c>
      <c r="N6996" s="1" t="str">
        <f t="shared" si="12611"/>
        <v>0</v>
      </c>
      <c r="O6996" s="1" t="str">
        <f t="shared" si="12611"/>
        <v>0</v>
      </c>
      <c r="P6996" s="1" t="str">
        <f t="shared" si="12611"/>
        <v>0</v>
      </c>
      <c r="Q6996" s="1" t="str">
        <f t="shared" si="12593"/>
        <v>0.0070</v>
      </c>
      <c r="R6996" s="1" t="s">
        <v>25</v>
      </c>
      <c r="T6996" s="1" t="str">
        <f t="shared" si="12594"/>
        <v>0</v>
      </c>
      <c r="U6996" s="1" t="str">
        <f t="shared" si="12562"/>
        <v>0.0070</v>
      </c>
    </row>
    <row r="6997" s="1" customFormat="1" spans="1:21">
      <c r="A6997" s="1" t="str">
        <f>"4601992308050"</f>
        <v>4601992308050</v>
      </c>
      <c r="B6997" s="1" t="s">
        <v>7020</v>
      </c>
      <c r="C6997" s="1" t="s">
        <v>24</v>
      </c>
      <c r="D6997" s="1" t="str">
        <f t="shared" si="12591"/>
        <v>2021</v>
      </c>
      <c r="E6997" s="1" t="str">
        <f t="shared" ref="E6997:P6997" si="12612">"0"</f>
        <v>0</v>
      </c>
      <c r="F6997" s="1" t="str">
        <f t="shared" si="12612"/>
        <v>0</v>
      </c>
      <c r="G6997" s="1" t="str">
        <f t="shared" si="12612"/>
        <v>0</v>
      </c>
      <c r="H6997" s="1" t="str">
        <f t="shared" si="12612"/>
        <v>0</v>
      </c>
      <c r="I6997" s="1" t="str">
        <f t="shared" si="12612"/>
        <v>0</v>
      </c>
      <c r="J6997" s="1" t="str">
        <f t="shared" si="12612"/>
        <v>0</v>
      </c>
      <c r="K6997" s="1" t="str">
        <f t="shared" si="12612"/>
        <v>0</v>
      </c>
      <c r="L6997" s="1" t="str">
        <f t="shared" si="12612"/>
        <v>0</v>
      </c>
      <c r="M6997" s="1" t="str">
        <f t="shared" si="12612"/>
        <v>0</v>
      </c>
      <c r="N6997" s="1" t="str">
        <f t="shared" si="12612"/>
        <v>0</v>
      </c>
      <c r="O6997" s="1" t="str">
        <f t="shared" si="12612"/>
        <v>0</v>
      </c>
      <c r="P6997" s="1" t="str">
        <f t="shared" si="12612"/>
        <v>0</v>
      </c>
      <c r="Q6997" s="1" t="str">
        <f t="shared" si="12593"/>
        <v>0.0070</v>
      </c>
      <c r="R6997" s="1" t="s">
        <v>25</v>
      </c>
      <c r="T6997" s="1" t="str">
        <f t="shared" si="12594"/>
        <v>0</v>
      </c>
      <c r="U6997" s="1" t="str">
        <f t="shared" si="12562"/>
        <v>0.0070</v>
      </c>
    </row>
    <row r="6998" s="1" customFormat="1" spans="1:21">
      <c r="A6998" s="1" t="str">
        <f>"4601992308178"</f>
        <v>4601992308178</v>
      </c>
      <c r="B6998" s="1" t="s">
        <v>7021</v>
      </c>
      <c r="C6998" s="1" t="s">
        <v>24</v>
      </c>
      <c r="D6998" s="1" t="str">
        <f t="shared" si="12591"/>
        <v>2021</v>
      </c>
      <c r="E6998" s="1" t="str">
        <f t="shared" ref="E6998:P6998" si="12613">"0"</f>
        <v>0</v>
      </c>
      <c r="F6998" s="1" t="str">
        <f t="shared" si="12613"/>
        <v>0</v>
      </c>
      <c r="G6998" s="1" t="str">
        <f t="shared" si="12613"/>
        <v>0</v>
      </c>
      <c r="H6998" s="1" t="str">
        <f t="shared" si="12613"/>
        <v>0</v>
      </c>
      <c r="I6998" s="1" t="str">
        <f t="shared" si="12613"/>
        <v>0</v>
      </c>
      <c r="J6998" s="1" t="str">
        <f t="shared" si="12613"/>
        <v>0</v>
      </c>
      <c r="K6998" s="1" t="str">
        <f t="shared" si="12613"/>
        <v>0</v>
      </c>
      <c r="L6998" s="1" t="str">
        <f t="shared" si="12613"/>
        <v>0</v>
      </c>
      <c r="M6998" s="1" t="str">
        <f t="shared" si="12613"/>
        <v>0</v>
      </c>
      <c r="N6998" s="1" t="str">
        <f t="shared" si="12613"/>
        <v>0</v>
      </c>
      <c r="O6998" s="1" t="str">
        <f t="shared" si="12613"/>
        <v>0</v>
      </c>
      <c r="P6998" s="1" t="str">
        <f t="shared" si="12613"/>
        <v>0</v>
      </c>
      <c r="Q6998" s="1" t="str">
        <f t="shared" si="12593"/>
        <v>0.0070</v>
      </c>
      <c r="R6998" s="1" t="s">
        <v>25</v>
      </c>
      <c r="T6998" s="1" t="str">
        <f t="shared" si="12594"/>
        <v>0</v>
      </c>
      <c r="U6998" s="1" t="str">
        <f t="shared" si="12562"/>
        <v>0.0070</v>
      </c>
    </row>
    <row r="6999" s="1" customFormat="1" spans="1:21">
      <c r="A6999" s="1" t="str">
        <f>"4601992308304"</f>
        <v>4601992308304</v>
      </c>
      <c r="B6999" s="1" t="s">
        <v>7022</v>
      </c>
      <c r="C6999" s="1" t="s">
        <v>24</v>
      </c>
      <c r="D6999" s="1" t="str">
        <f t="shared" si="12591"/>
        <v>2021</v>
      </c>
      <c r="E6999" s="1" t="str">
        <f t="shared" ref="E6999:P6999" si="12614">"0"</f>
        <v>0</v>
      </c>
      <c r="F6999" s="1" t="str">
        <f t="shared" si="12614"/>
        <v>0</v>
      </c>
      <c r="G6999" s="1" t="str">
        <f t="shared" si="12614"/>
        <v>0</v>
      </c>
      <c r="H6999" s="1" t="str">
        <f t="shared" si="12614"/>
        <v>0</v>
      </c>
      <c r="I6999" s="1" t="str">
        <f t="shared" si="12614"/>
        <v>0</v>
      </c>
      <c r="J6999" s="1" t="str">
        <f t="shared" si="12614"/>
        <v>0</v>
      </c>
      <c r="K6999" s="1" t="str">
        <f t="shared" si="12614"/>
        <v>0</v>
      </c>
      <c r="L6999" s="1" t="str">
        <f t="shared" si="12614"/>
        <v>0</v>
      </c>
      <c r="M6999" s="1" t="str">
        <f t="shared" si="12614"/>
        <v>0</v>
      </c>
      <c r="N6999" s="1" t="str">
        <f t="shared" si="12614"/>
        <v>0</v>
      </c>
      <c r="O6999" s="1" t="str">
        <f t="shared" si="12614"/>
        <v>0</v>
      </c>
      <c r="P6999" s="1" t="str">
        <f t="shared" si="12614"/>
        <v>0</v>
      </c>
      <c r="Q6999" s="1" t="str">
        <f t="shared" si="12593"/>
        <v>0.0070</v>
      </c>
      <c r="R6999" s="1" t="s">
        <v>25</v>
      </c>
      <c r="T6999" s="1" t="str">
        <f t="shared" si="12594"/>
        <v>0</v>
      </c>
      <c r="U6999" s="1" t="str">
        <f t="shared" si="12562"/>
        <v>0.0070</v>
      </c>
    </row>
    <row r="7000" s="1" customFormat="1" spans="1:21">
      <c r="A7000" s="1" t="str">
        <f>"4601992308329"</f>
        <v>4601992308329</v>
      </c>
      <c r="B7000" s="1" t="s">
        <v>7023</v>
      </c>
      <c r="C7000" s="1" t="s">
        <v>24</v>
      </c>
      <c r="D7000" s="1" t="str">
        <f t="shared" si="12591"/>
        <v>2021</v>
      </c>
      <c r="E7000" s="1" t="str">
        <f t="shared" ref="E7000:P7000" si="12615">"0"</f>
        <v>0</v>
      </c>
      <c r="F7000" s="1" t="str">
        <f t="shared" si="12615"/>
        <v>0</v>
      </c>
      <c r="G7000" s="1" t="str">
        <f t="shared" si="12615"/>
        <v>0</v>
      </c>
      <c r="H7000" s="1" t="str">
        <f t="shared" si="12615"/>
        <v>0</v>
      </c>
      <c r="I7000" s="1" t="str">
        <f t="shared" si="12615"/>
        <v>0</v>
      </c>
      <c r="J7000" s="1" t="str">
        <f t="shared" si="12615"/>
        <v>0</v>
      </c>
      <c r="K7000" s="1" t="str">
        <f t="shared" si="12615"/>
        <v>0</v>
      </c>
      <c r="L7000" s="1" t="str">
        <f t="shared" si="12615"/>
        <v>0</v>
      </c>
      <c r="M7000" s="1" t="str">
        <f t="shared" si="12615"/>
        <v>0</v>
      </c>
      <c r="N7000" s="1" t="str">
        <f t="shared" si="12615"/>
        <v>0</v>
      </c>
      <c r="O7000" s="1" t="str">
        <f t="shared" si="12615"/>
        <v>0</v>
      </c>
      <c r="P7000" s="1" t="str">
        <f t="shared" si="12615"/>
        <v>0</v>
      </c>
      <c r="Q7000" s="1" t="str">
        <f t="shared" si="12593"/>
        <v>0.0070</v>
      </c>
      <c r="R7000" s="1" t="s">
        <v>25</v>
      </c>
      <c r="T7000" s="1" t="str">
        <f t="shared" si="12594"/>
        <v>0</v>
      </c>
      <c r="U7000" s="1" t="str">
        <f t="shared" si="12562"/>
        <v>0.0070</v>
      </c>
    </row>
    <row r="7001" s="1" customFormat="1" spans="1:21">
      <c r="A7001" s="1" t="str">
        <f>"4601992308422"</f>
        <v>4601992308422</v>
      </c>
      <c r="B7001" s="1" t="s">
        <v>7024</v>
      </c>
      <c r="C7001" s="1" t="s">
        <v>24</v>
      </c>
      <c r="D7001" s="1" t="str">
        <f t="shared" si="12591"/>
        <v>2021</v>
      </c>
      <c r="E7001" s="1" t="str">
        <f t="shared" ref="E7001:P7001" si="12616">"0"</f>
        <v>0</v>
      </c>
      <c r="F7001" s="1" t="str">
        <f t="shared" si="12616"/>
        <v>0</v>
      </c>
      <c r="G7001" s="1" t="str">
        <f t="shared" si="12616"/>
        <v>0</v>
      </c>
      <c r="H7001" s="1" t="str">
        <f t="shared" si="12616"/>
        <v>0</v>
      </c>
      <c r="I7001" s="1" t="str">
        <f t="shared" si="12616"/>
        <v>0</v>
      </c>
      <c r="J7001" s="1" t="str">
        <f t="shared" si="12616"/>
        <v>0</v>
      </c>
      <c r="K7001" s="1" t="str">
        <f t="shared" si="12616"/>
        <v>0</v>
      </c>
      <c r="L7001" s="1" t="str">
        <f t="shared" si="12616"/>
        <v>0</v>
      </c>
      <c r="M7001" s="1" t="str">
        <f t="shared" si="12616"/>
        <v>0</v>
      </c>
      <c r="N7001" s="1" t="str">
        <f t="shared" si="12616"/>
        <v>0</v>
      </c>
      <c r="O7001" s="1" t="str">
        <f t="shared" si="12616"/>
        <v>0</v>
      </c>
      <c r="P7001" s="1" t="str">
        <f t="shared" si="12616"/>
        <v>0</v>
      </c>
      <c r="Q7001" s="1" t="str">
        <f t="shared" si="12593"/>
        <v>0.0070</v>
      </c>
      <c r="R7001" s="1" t="s">
        <v>25</v>
      </c>
      <c r="T7001" s="1" t="str">
        <f t="shared" si="12594"/>
        <v>0</v>
      </c>
      <c r="U7001" s="1" t="str">
        <f t="shared" si="12562"/>
        <v>0.0070</v>
      </c>
    </row>
    <row r="7002" s="1" customFormat="1" spans="1:21">
      <c r="A7002" s="1" t="str">
        <f>"4601992308539"</f>
        <v>4601992308539</v>
      </c>
      <c r="B7002" s="1" t="s">
        <v>7025</v>
      </c>
      <c r="C7002" s="1" t="s">
        <v>24</v>
      </c>
      <c r="D7002" s="1" t="str">
        <f t="shared" si="12591"/>
        <v>2021</v>
      </c>
      <c r="E7002" s="1" t="str">
        <f t="shared" ref="E7002:P7002" si="12617">"0"</f>
        <v>0</v>
      </c>
      <c r="F7002" s="1" t="str">
        <f t="shared" si="12617"/>
        <v>0</v>
      </c>
      <c r="G7002" s="1" t="str">
        <f t="shared" si="12617"/>
        <v>0</v>
      </c>
      <c r="H7002" s="1" t="str">
        <f t="shared" si="12617"/>
        <v>0</v>
      </c>
      <c r="I7002" s="1" t="str">
        <f t="shared" si="12617"/>
        <v>0</v>
      </c>
      <c r="J7002" s="1" t="str">
        <f t="shared" si="12617"/>
        <v>0</v>
      </c>
      <c r="K7002" s="1" t="str">
        <f t="shared" si="12617"/>
        <v>0</v>
      </c>
      <c r="L7002" s="1" t="str">
        <f t="shared" si="12617"/>
        <v>0</v>
      </c>
      <c r="M7002" s="1" t="str">
        <f t="shared" si="12617"/>
        <v>0</v>
      </c>
      <c r="N7002" s="1" t="str">
        <f t="shared" si="12617"/>
        <v>0</v>
      </c>
      <c r="O7002" s="1" t="str">
        <f t="shared" si="12617"/>
        <v>0</v>
      </c>
      <c r="P7002" s="1" t="str">
        <f t="shared" si="12617"/>
        <v>0</v>
      </c>
      <c r="Q7002" s="1" t="str">
        <f t="shared" si="12593"/>
        <v>0.0070</v>
      </c>
      <c r="R7002" s="1" t="s">
        <v>25</v>
      </c>
      <c r="T7002" s="1" t="str">
        <f t="shared" si="12594"/>
        <v>0</v>
      </c>
      <c r="U7002" s="1" t="str">
        <f t="shared" si="12562"/>
        <v>0.0070</v>
      </c>
    </row>
    <row r="7003" s="1" customFormat="1" spans="1:21">
      <c r="A7003" s="1" t="str">
        <f>"4601992308485"</f>
        <v>4601992308485</v>
      </c>
      <c r="B7003" s="1" t="s">
        <v>7026</v>
      </c>
      <c r="C7003" s="1" t="s">
        <v>24</v>
      </c>
      <c r="D7003" s="1" t="str">
        <f t="shared" si="12591"/>
        <v>2021</v>
      </c>
      <c r="E7003" s="1" t="str">
        <f t="shared" ref="E7003:P7003" si="12618">"0"</f>
        <v>0</v>
      </c>
      <c r="F7003" s="1" t="str">
        <f t="shared" si="12618"/>
        <v>0</v>
      </c>
      <c r="G7003" s="1" t="str">
        <f t="shared" si="12618"/>
        <v>0</v>
      </c>
      <c r="H7003" s="1" t="str">
        <f t="shared" si="12618"/>
        <v>0</v>
      </c>
      <c r="I7003" s="1" t="str">
        <f t="shared" si="12618"/>
        <v>0</v>
      </c>
      <c r="J7003" s="1" t="str">
        <f t="shared" si="12618"/>
        <v>0</v>
      </c>
      <c r="K7003" s="1" t="str">
        <f t="shared" si="12618"/>
        <v>0</v>
      </c>
      <c r="L7003" s="1" t="str">
        <f t="shared" si="12618"/>
        <v>0</v>
      </c>
      <c r="M7003" s="1" t="str">
        <f t="shared" si="12618"/>
        <v>0</v>
      </c>
      <c r="N7003" s="1" t="str">
        <f t="shared" si="12618"/>
        <v>0</v>
      </c>
      <c r="O7003" s="1" t="str">
        <f t="shared" si="12618"/>
        <v>0</v>
      </c>
      <c r="P7003" s="1" t="str">
        <f t="shared" si="12618"/>
        <v>0</v>
      </c>
      <c r="Q7003" s="1" t="str">
        <f t="shared" si="12593"/>
        <v>0.0070</v>
      </c>
      <c r="R7003" s="1" t="s">
        <v>25</v>
      </c>
      <c r="T7003" s="1" t="str">
        <f t="shared" si="12594"/>
        <v>0</v>
      </c>
      <c r="U7003" s="1" t="str">
        <f t="shared" si="12562"/>
        <v>0.0070</v>
      </c>
    </row>
    <row r="7004" s="1" customFormat="1" spans="1:21">
      <c r="A7004" s="1" t="str">
        <f>"4601992308542"</f>
        <v>4601992308542</v>
      </c>
      <c r="B7004" s="1" t="s">
        <v>7027</v>
      </c>
      <c r="C7004" s="1" t="s">
        <v>24</v>
      </c>
      <c r="D7004" s="1" t="str">
        <f t="shared" si="12591"/>
        <v>2021</v>
      </c>
      <c r="E7004" s="1" t="str">
        <f t="shared" ref="E7004:P7004" si="12619">"0"</f>
        <v>0</v>
      </c>
      <c r="F7004" s="1" t="str">
        <f t="shared" si="12619"/>
        <v>0</v>
      </c>
      <c r="G7004" s="1" t="str">
        <f t="shared" si="12619"/>
        <v>0</v>
      </c>
      <c r="H7004" s="1" t="str">
        <f t="shared" si="12619"/>
        <v>0</v>
      </c>
      <c r="I7004" s="1" t="str">
        <f t="shared" si="12619"/>
        <v>0</v>
      </c>
      <c r="J7004" s="1" t="str">
        <f t="shared" si="12619"/>
        <v>0</v>
      </c>
      <c r="K7004" s="1" t="str">
        <f t="shared" si="12619"/>
        <v>0</v>
      </c>
      <c r="L7004" s="1" t="str">
        <f t="shared" si="12619"/>
        <v>0</v>
      </c>
      <c r="M7004" s="1" t="str">
        <f t="shared" si="12619"/>
        <v>0</v>
      </c>
      <c r="N7004" s="1" t="str">
        <f t="shared" si="12619"/>
        <v>0</v>
      </c>
      <c r="O7004" s="1" t="str">
        <f t="shared" si="12619"/>
        <v>0</v>
      </c>
      <c r="P7004" s="1" t="str">
        <f t="shared" si="12619"/>
        <v>0</v>
      </c>
      <c r="Q7004" s="1" t="str">
        <f t="shared" si="12593"/>
        <v>0.0070</v>
      </c>
      <c r="R7004" s="1" t="s">
        <v>25</v>
      </c>
      <c r="T7004" s="1" t="str">
        <f t="shared" si="12594"/>
        <v>0</v>
      </c>
      <c r="U7004" s="1" t="str">
        <f t="shared" si="12562"/>
        <v>0.0070</v>
      </c>
    </row>
    <row r="7005" s="1" customFormat="1" spans="1:21">
      <c r="A7005" s="1" t="str">
        <f>"4601992308548"</f>
        <v>4601992308548</v>
      </c>
      <c r="B7005" s="1" t="s">
        <v>7028</v>
      </c>
      <c r="C7005" s="1" t="s">
        <v>24</v>
      </c>
      <c r="D7005" s="1" t="str">
        <f t="shared" si="12591"/>
        <v>2021</v>
      </c>
      <c r="E7005" s="1" t="str">
        <f t="shared" ref="E7005:P7005" si="12620">"0"</f>
        <v>0</v>
      </c>
      <c r="F7005" s="1" t="str">
        <f t="shared" si="12620"/>
        <v>0</v>
      </c>
      <c r="G7005" s="1" t="str">
        <f t="shared" si="12620"/>
        <v>0</v>
      </c>
      <c r="H7005" s="1" t="str">
        <f t="shared" si="12620"/>
        <v>0</v>
      </c>
      <c r="I7005" s="1" t="str">
        <f t="shared" si="12620"/>
        <v>0</v>
      </c>
      <c r="J7005" s="1" t="str">
        <f t="shared" si="12620"/>
        <v>0</v>
      </c>
      <c r="K7005" s="1" t="str">
        <f t="shared" si="12620"/>
        <v>0</v>
      </c>
      <c r="L7005" s="1" t="str">
        <f t="shared" si="12620"/>
        <v>0</v>
      </c>
      <c r="M7005" s="1" t="str">
        <f t="shared" si="12620"/>
        <v>0</v>
      </c>
      <c r="N7005" s="1" t="str">
        <f t="shared" si="12620"/>
        <v>0</v>
      </c>
      <c r="O7005" s="1" t="str">
        <f t="shared" si="12620"/>
        <v>0</v>
      </c>
      <c r="P7005" s="1" t="str">
        <f t="shared" si="12620"/>
        <v>0</v>
      </c>
      <c r="Q7005" s="1" t="str">
        <f t="shared" si="12593"/>
        <v>0.0070</v>
      </c>
      <c r="R7005" s="1" t="s">
        <v>25</v>
      </c>
      <c r="T7005" s="1" t="str">
        <f t="shared" si="12594"/>
        <v>0</v>
      </c>
      <c r="U7005" s="1" t="str">
        <f t="shared" si="12562"/>
        <v>0.0070</v>
      </c>
    </row>
    <row r="7006" s="1" customFormat="1" spans="1:21">
      <c r="A7006" s="1" t="str">
        <f>"4601992308585"</f>
        <v>4601992308585</v>
      </c>
      <c r="B7006" s="1" t="s">
        <v>7029</v>
      </c>
      <c r="C7006" s="1" t="s">
        <v>24</v>
      </c>
      <c r="D7006" s="1" t="str">
        <f t="shared" si="12591"/>
        <v>2021</v>
      </c>
      <c r="E7006" s="1" t="str">
        <f t="shared" ref="E7006:P7006" si="12621">"0"</f>
        <v>0</v>
      </c>
      <c r="F7006" s="1" t="str">
        <f t="shared" si="12621"/>
        <v>0</v>
      </c>
      <c r="G7006" s="1" t="str">
        <f t="shared" si="12621"/>
        <v>0</v>
      </c>
      <c r="H7006" s="1" t="str">
        <f t="shared" si="12621"/>
        <v>0</v>
      </c>
      <c r="I7006" s="1" t="str">
        <f t="shared" si="12621"/>
        <v>0</v>
      </c>
      <c r="J7006" s="1" t="str">
        <f t="shared" si="12621"/>
        <v>0</v>
      </c>
      <c r="K7006" s="1" t="str">
        <f t="shared" si="12621"/>
        <v>0</v>
      </c>
      <c r="L7006" s="1" t="str">
        <f t="shared" si="12621"/>
        <v>0</v>
      </c>
      <c r="M7006" s="1" t="str">
        <f t="shared" si="12621"/>
        <v>0</v>
      </c>
      <c r="N7006" s="1" t="str">
        <f t="shared" si="12621"/>
        <v>0</v>
      </c>
      <c r="O7006" s="1" t="str">
        <f t="shared" si="12621"/>
        <v>0</v>
      </c>
      <c r="P7006" s="1" t="str">
        <f t="shared" si="12621"/>
        <v>0</v>
      </c>
      <c r="Q7006" s="1" t="str">
        <f t="shared" si="12593"/>
        <v>0.0070</v>
      </c>
      <c r="R7006" s="1" t="s">
        <v>25</v>
      </c>
      <c r="T7006" s="1" t="str">
        <f t="shared" si="12594"/>
        <v>0</v>
      </c>
      <c r="U7006" s="1" t="str">
        <f t="shared" si="12562"/>
        <v>0.0070</v>
      </c>
    </row>
    <row r="7007" s="1" customFormat="1" spans="1:21">
      <c r="A7007" s="1" t="str">
        <f>"4601992309095"</f>
        <v>4601992309095</v>
      </c>
      <c r="B7007" s="1" t="s">
        <v>7030</v>
      </c>
      <c r="C7007" s="1" t="s">
        <v>24</v>
      </c>
      <c r="D7007" s="1" t="str">
        <f t="shared" si="12591"/>
        <v>2021</v>
      </c>
      <c r="E7007" s="1" t="str">
        <f t="shared" ref="E7007:P7007" si="12622">"0"</f>
        <v>0</v>
      </c>
      <c r="F7007" s="1" t="str">
        <f t="shared" si="12622"/>
        <v>0</v>
      </c>
      <c r="G7007" s="1" t="str">
        <f t="shared" si="12622"/>
        <v>0</v>
      </c>
      <c r="H7007" s="1" t="str">
        <f t="shared" si="12622"/>
        <v>0</v>
      </c>
      <c r="I7007" s="1" t="str">
        <f t="shared" si="12622"/>
        <v>0</v>
      </c>
      <c r="J7007" s="1" t="str">
        <f t="shared" si="12622"/>
        <v>0</v>
      </c>
      <c r="K7007" s="1" t="str">
        <f t="shared" si="12622"/>
        <v>0</v>
      </c>
      <c r="L7007" s="1" t="str">
        <f t="shared" si="12622"/>
        <v>0</v>
      </c>
      <c r="M7007" s="1" t="str">
        <f t="shared" si="12622"/>
        <v>0</v>
      </c>
      <c r="N7007" s="1" t="str">
        <f t="shared" si="12622"/>
        <v>0</v>
      </c>
      <c r="O7007" s="1" t="str">
        <f t="shared" si="12622"/>
        <v>0</v>
      </c>
      <c r="P7007" s="1" t="str">
        <f t="shared" si="12622"/>
        <v>0</v>
      </c>
      <c r="Q7007" s="1" t="str">
        <f t="shared" si="12593"/>
        <v>0.0070</v>
      </c>
      <c r="R7007" s="1" t="s">
        <v>25</v>
      </c>
      <c r="T7007" s="1" t="str">
        <f t="shared" si="12594"/>
        <v>0</v>
      </c>
      <c r="U7007" s="1" t="str">
        <f t="shared" si="12562"/>
        <v>0.0070</v>
      </c>
    </row>
    <row r="7008" s="1" customFormat="1" spans="1:21">
      <c r="A7008" s="1" t="str">
        <f>"4601992309136"</f>
        <v>4601992309136</v>
      </c>
      <c r="B7008" s="1" t="s">
        <v>7031</v>
      </c>
      <c r="C7008" s="1" t="s">
        <v>24</v>
      </c>
      <c r="D7008" s="1" t="str">
        <f t="shared" si="12591"/>
        <v>2021</v>
      </c>
      <c r="E7008" s="1" t="str">
        <f t="shared" ref="E7008:P7008" si="12623">"0"</f>
        <v>0</v>
      </c>
      <c r="F7008" s="1" t="str">
        <f t="shared" si="12623"/>
        <v>0</v>
      </c>
      <c r="G7008" s="1" t="str">
        <f t="shared" si="12623"/>
        <v>0</v>
      </c>
      <c r="H7008" s="1" t="str">
        <f t="shared" si="12623"/>
        <v>0</v>
      </c>
      <c r="I7008" s="1" t="str">
        <f t="shared" si="12623"/>
        <v>0</v>
      </c>
      <c r="J7008" s="1" t="str">
        <f t="shared" si="12623"/>
        <v>0</v>
      </c>
      <c r="K7008" s="1" t="str">
        <f t="shared" si="12623"/>
        <v>0</v>
      </c>
      <c r="L7008" s="1" t="str">
        <f t="shared" si="12623"/>
        <v>0</v>
      </c>
      <c r="M7008" s="1" t="str">
        <f t="shared" si="12623"/>
        <v>0</v>
      </c>
      <c r="N7008" s="1" t="str">
        <f t="shared" si="12623"/>
        <v>0</v>
      </c>
      <c r="O7008" s="1" t="str">
        <f t="shared" si="12623"/>
        <v>0</v>
      </c>
      <c r="P7008" s="1" t="str">
        <f t="shared" si="12623"/>
        <v>0</v>
      </c>
      <c r="Q7008" s="1" t="str">
        <f t="shared" si="12593"/>
        <v>0.0070</v>
      </c>
      <c r="R7008" s="1" t="s">
        <v>25</v>
      </c>
      <c r="T7008" s="1" t="str">
        <f t="shared" si="12594"/>
        <v>0</v>
      </c>
      <c r="U7008" s="1" t="str">
        <f t="shared" si="12562"/>
        <v>0.0070</v>
      </c>
    </row>
    <row r="7009" s="1" customFormat="1" spans="1:21">
      <c r="A7009" s="1" t="str">
        <f>"4601992309202"</f>
        <v>4601992309202</v>
      </c>
      <c r="B7009" s="1" t="s">
        <v>7032</v>
      </c>
      <c r="C7009" s="1" t="s">
        <v>24</v>
      </c>
      <c r="D7009" s="1" t="str">
        <f t="shared" si="12591"/>
        <v>2021</v>
      </c>
      <c r="E7009" s="1" t="str">
        <f t="shared" ref="E7009:P7009" si="12624">"0"</f>
        <v>0</v>
      </c>
      <c r="F7009" s="1" t="str">
        <f t="shared" si="12624"/>
        <v>0</v>
      </c>
      <c r="G7009" s="1" t="str">
        <f t="shared" si="12624"/>
        <v>0</v>
      </c>
      <c r="H7009" s="1" t="str">
        <f t="shared" si="12624"/>
        <v>0</v>
      </c>
      <c r="I7009" s="1" t="str">
        <f t="shared" si="12624"/>
        <v>0</v>
      </c>
      <c r="J7009" s="1" t="str">
        <f t="shared" si="12624"/>
        <v>0</v>
      </c>
      <c r="K7009" s="1" t="str">
        <f t="shared" si="12624"/>
        <v>0</v>
      </c>
      <c r="L7009" s="1" t="str">
        <f t="shared" si="12624"/>
        <v>0</v>
      </c>
      <c r="M7009" s="1" t="str">
        <f t="shared" si="12624"/>
        <v>0</v>
      </c>
      <c r="N7009" s="1" t="str">
        <f t="shared" si="12624"/>
        <v>0</v>
      </c>
      <c r="O7009" s="1" t="str">
        <f t="shared" si="12624"/>
        <v>0</v>
      </c>
      <c r="P7009" s="1" t="str">
        <f t="shared" si="12624"/>
        <v>0</v>
      </c>
      <c r="Q7009" s="1" t="str">
        <f t="shared" si="12593"/>
        <v>0.0070</v>
      </c>
      <c r="R7009" s="1" t="s">
        <v>25</v>
      </c>
      <c r="T7009" s="1" t="str">
        <f t="shared" si="12594"/>
        <v>0</v>
      </c>
      <c r="U7009" s="1" t="str">
        <f t="shared" si="12562"/>
        <v>0.0070</v>
      </c>
    </row>
    <row r="7010" s="1" customFormat="1" spans="1:21">
      <c r="A7010" s="1" t="str">
        <f>"4601992309487"</f>
        <v>4601992309487</v>
      </c>
      <c r="B7010" s="1" t="s">
        <v>7033</v>
      </c>
      <c r="C7010" s="1" t="s">
        <v>24</v>
      </c>
      <c r="D7010" s="1" t="str">
        <f t="shared" si="12591"/>
        <v>2021</v>
      </c>
      <c r="E7010" s="1" t="str">
        <f t="shared" ref="E7010:P7010" si="12625">"0"</f>
        <v>0</v>
      </c>
      <c r="F7010" s="1" t="str">
        <f t="shared" si="12625"/>
        <v>0</v>
      </c>
      <c r="G7010" s="1" t="str">
        <f t="shared" si="12625"/>
        <v>0</v>
      </c>
      <c r="H7010" s="1" t="str">
        <f t="shared" si="12625"/>
        <v>0</v>
      </c>
      <c r="I7010" s="1" t="str">
        <f t="shared" si="12625"/>
        <v>0</v>
      </c>
      <c r="J7010" s="1" t="str">
        <f t="shared" si="12625"/>
        <v>0</v>
      </c>
      <c r="K7010" s="1" t="str">
        <f t="shared" si="12625"/>
        <v>0</v>
      </c>
      <c r="L7010" s="1" t="str">
        <f t="shared" si="12625"/>
        <v>0</v>
      </c>
      <c r="M7010" s="1" t="str">
        <f t="shared" si="12625"/>
        <v>0</v>
      </c>
      <c r="N7010" s="1" t="str">
        <f t="shared" si="12625"/>
        <v>0</v>
      </c>
      <c r="O7010" s="1" t="str">
        <f t="shared" si="12625"/>
        <v>0</v>
      </c>
      <c r="P7010" s="1" t="str">
        <f t="shared" si="12625"/>
        <v>0</v>
      </c>
      <c r="Q7010" s="1" t="str">
        <f t="shared" si="12593"/>
        <v>0.0070</v>
      </c>
      <c r="R7010" s="1" t="s">
        <v>25</v>
      </c>
      <c r="T7010" s="1" t="str">
        <f t="shared" si="12594"/>
        <v>0</v>
      </c>
      <c r="U7010" s="1" t="str">
        <f t="shared" si="12562"/>
        <v>0.0070</v>
      </c>
    </row>
    <row r="7011" s="1" customFormat="1" spans="1:21">
      <c r="A7011" s="1" t="str">
        <f>"4601992309691"</f>
        <v>4601992309691</v>
      </c>
      <c r="B7011" s="1" t="s">
        <v>7034</v>
      </c>
      <c r="C7011" s="1" t="s">
        <v>24</v>
      </c>
      <c r="D7011" s="1" t="str">
        <f t="shared" si="12591"/>
        <v>2021</v>
      </c>
      <c r="E7011" s="1" t="str">
        <f t="shared" ref="E7011:P7011" si="12626">"0"</f>
        <v>0</v>
      </c>
      <c r="F7011" s="1" t="str">
        <f t="shared" si="12626"/>
        <v>0</v>
      </c>
      <c r="G7011" s="1" t="str">
        <f t="shared" si="12626"/>
        <v>0</v>
      </c>
      <c r="H7011" s="1" t="str">
        <f t="shared" si="12626"/>
        <v>0</v>
      </c>
      <c r="I7011" s="1" t="str">
        <f t="shared" si="12626"/>
        <v>0</v>
      </c>
      <c r="J7011" s="1" t="str">
        <f t="shared" si="12626"/>
        <v>0</v>
      </c>
      <c r="K7011" s="1" t="str">
        <f t="shared" si="12626"/>
        <v>0</v>
      </c>
      <c r="L7011" s="1" t="str">
        <f t="shared" si="12626"/>
        <v>0</v>
      </c>
      <c r="M7011" s="1" t="str">
        <f t="shared" si="12626"/>
        <v>0</v>
      </c>
      <c r="N7011" s="1" t="str">
        <f t="shared" si="12626"/>
        <v>0</v>
      </c>
      <c r="O7011" s="1" t="str">
        <f t="shared" si="12626"/>
        <v>0</v>
      </c>
      <c r="P7011" s="1" t="str">
        <f t="shared" si="12626"/>
        <v>0</v>
      </c>
      <c r="Q7011" s="1" t="str">
        <f t="shared" si="12593"/>
        <v>0.0070</v>
      </c>
      <c r="R7011" s="1" t="s">
        <v>25</v>
      </c>
      <c r="T7011" s="1" t="str">
        <f t="shared" si="12594"/>
        <v>0</v>
      </c>
      <c r="U7011" s="1" t="str">
        <f t="shared" si="12562"/>
        <v>0.0070</v>
      </c>
    </row>
    <row r="7012" s="1" customFormat="1" spans="1:21">
      <c r="A7012" s="1" t="str">
        <f>"4601992309445"</f>
        <v>4601992309445</v>
      </c>
      <c r="B7012" s="1" t="s">
        <v>7035</v>
      </c>
      <c r="C7012" s="1" t="s">
        <v>24</v>
      </c>
      <c r="D7012" s="1" t="str">
        <f t="shared" si="12591"/>
        <v>2021</v>
      </c>
      <c r="E7012" s="1" t="str">
        <f t="shared" ref="E7012:P7012" si="12627">"0"</f>
        <v>0</v>
      </c>
      <c r="F7012" s="1" t="str">
        <f t="shared" si="12627"/>
        <v>0</v>
      </c>
      <c r="G7012" s="1" t="str">
        <f t="shared" si="12627"/>
        <v>0</v>
      </c>
      <c r="H7012" s="1" t="str">
        <f t="shared" si="12627"/>
        <v>0</v>
      </c>
      <c r="I7012" s="1" t="str">
        <f t="shared" si="12627"/>
        <v>0</v>
      </c>
      <c r="J7012" s="1" t="str">
        <f t="shared" si="12627"/>
        <v>0</v>
      </c>
      <c r="K7012" s="1" t="str">
        <f t="shared" si="12627"/>
        <v>0</v>
      </c>
      <c r="L7012" s="1" t="str">
        <f t="shared" si="12627"/>
        <v>0</v>
      </c>
      <c r="M7012" s="1" t="str">
        <f t="shared" si="12627"/>
        <v>0</v>
      </c>
      <c r="N7012" s="1" t="str">
        <f t="shared" si="12627"/>
        <v>0</v>
      </c>
      <c r="O7012" s="1" t="str">
        <f t="shared" si="12627"/>
        <v>0</v>
      </c>
      <c r="P7012" s="1" t="str">
        <f t="shared" si="12627"/>
        <v>0</v>
      </c>
      <c r="Q7012" s="1" t="str">
        <f t="shared" si="12593"/>
        <v>0.0070</v>
      </c>
      <c r="R7012" s="1" t="s">
        <v>25</v>
      </c>
      <c r="T7012" s="1" t="str">
        <f t="shared" si="12594"/>
        <v>0</v>
      </c>
      <c r="U7012" s="1" t="str">
        <f t="shared" si="12562"/>
        <v>0.0070</v>
      </c>
    </row>
    <row r="7013" s="1" customFormat="1" spans="1:21">
      <c r="A7013" s="1" t="str">
        <f>"4601992309765"</f>
        <v>4601992309765</v>
      </c>
      <c r="B7013" s="1" t="s">
        <v>7036</v>
      </c>
      <c r="C7013" s="1" t="s">
        <v>24</v>
      </c>
      <c r="D7013" s="1" t="str">
        <f t="shared" si="12591"/>
        <v>2021</v>
      </c>
      <c r="E7013" s="1" t="str">
        <f t="shared" ref="E7013:P7013" si="12628">"0"</f>
        <v>0</v>
      </c>
      <c r="F7013" s="1" t="str">
        <f t="shared" si="12628"/>
        <v>0</v>
      </c>
      <c r="G7013" s="1" t="str">
        <f t="shared" si="12628"/>
        <v>0</v>
      </c>
      <c r="H7013" s="1" t="str">
        <f t="shared" si="12628"/>
        <v>0</v>
      </c>
      <c r="I7013" s="1" t="str">
        <f t="shared" si="12628"/>
        <v>0</v>
      </c>
      <c r="J7013" s="1" t="str">
        <f t="shared" si="12628"/>
        <v>0</v>
      </c>
      <c r="K7013" s="1" t="str">
        <f t="shared" si="12628"/>
        <v>0</v>
      </c>
      <c r="L7013" s="1" t="str">
        <f t="shared" si="12628"/>
        <v>0</v>
      </c>
      <c r="M7013" s="1" t="str">
        <f t="shared" si="12628"/>
        <v>0</v>
      </c>
      <c r="N7013" s="1" t="str">
        <f t="shared" si="12628"/>
        <v>0</v>
      </c>
      <c r="O7013" s="1" t="str">
        <f t="shared" si="12628"/>
        <v>0</v>
      </c>
      <c r="P7013" s="1" t="str">
        <f t="shared" si="12628"/>
        <v>0</v>
      </c>
      <c r="Q7013" s="1" t="str">
        <f t="shared" si="12593"/>
        <v>0.0070</v>
      </c>
      <c r="R7013" s="1" t="s">
        <v>25</v>
      </c>
      <c r="T7013" s="1" t="str">
        <f t="shared" si="12594"/>
        <v>0</v>
      </c>
      <c r="U7013" s="1" t="str">
        <f t="shared" si="12562"/>
        <v>0.0070</v>
      </c>
    </row>
    <row r="7014" s="1" customFormat="1" spans="1:21">
      <c r="A7014" s="1" t="str">
        <f>"4601992309786"</f>
        <v>4601992309786</v>
      </c>
      <c r="B7014" s="1" t="s">
        <v>7037</v>
      </c>
      <c r="C7014" s="1" t="s">
        <v>24</v>
      </c>
      <c r="D7014" s="1" t="str">
        <f t="shared" si="12591"/>
        <v>2021</v>
      </c>
      <c r="E7014" s="1" t="str">
        <f t="shared" ref="E7014:P7014" si="12629">"0"</f>
        <v>0</v>
      </c>
      <c r="F7014" s="1" t="str">
        <f t="shared" si="12629"/>
        <v>0</v>
      </c>
      <c r="G7014" s="1" t="str">
        <f t="shared" si="12629"/>
        <v>0</v>
      </c>
      <c r="H7014" s="1" t="str">
        <f t="shared" si="12629"/>
        <v>0</v>
      </c>
      <c r="I7014" s="1" t="str">
        <f t="shared" si="12629"/>
        <v>0</v>
      </c>
      <c r="J7014" s="1" t="str">
        <f t="shared" si="12629"/>
        <v>0</v>
      </c>
      <c r="K7014" s="1" t="str">
        <f t="shared" si="12629"/>
        <v>0</v>
      </c>
      <c r="L7014" s="1" t="str">
        <f t="shared" si="12629"/>
        <v>0</v>
      </c>
      <c r="M7014" s="1" t="str">
        <f t="shared" si="12629"/>
        <v>0</v>
      </c>
      <c r="N7014" s="1" t="str">
        <f t="shared" si="12629"/>
        <v>0</v>
      </c>
      <c r="O7014" s="1" t="str">
        <f t="shared" si="12629"/>
        <v>0</v>
      </c>
      <c r="P7014" s="1" t="str">
        <f t="shared" si="12629"/>
        <v>0</v>
      </c>
      <c r="Q7014" s="1" t="str">
        <f t="shared" si="12593"/>
        <v>0.0070</v>
      </c>
      <c r="R7014" s="1" t="s">
        <v>25</v>
      </c>
      <c r="T7014" s="1" t="str">
        <f t="shared" si="12594"/>
        <v>0</v>
      </c>
      <c r="U7014" s="1" t="str">
        <f t="shared" ref="U7014:U7028" si="12630">"0.0070"</f>
        <v>0.0070</v>
      </c>
    </row>
    <row r="7015" s="1" customFormat="1" spans="1:21">
      <c r="A7015" s="1" t="str">
        <f>"4601992309807"</f>
        <v>4601992309807</v>
      </c>
      <c r="B7015" s="1" t="s">
        <v>7038</v>
      </c>
      <c r="C7015" s="1" t="s">
        <v>24</v>
      </c>
      <c r="D7015" s="1" t="str">
        <f t="shared" si="12591"/>
        <v>2021</v>
      </c>
      <c r="E7015" s="1" t="str">
        <f t="shared" ref="E7015:P7015" si="12631">"0"</f>
        <v>0</v>
      </c>
      <c r="F7015" s="1" t="str">
        <f t="shared" si="12631"/>
        <v>0</v>
      </c>
      <c r="G7015" s="1" t="str">
        <f t="shared" si="12631"/>
        <v>0</v>
      </c>
      <c r="H7015" s="1" t="str">
        <f t="shared" si="12631"/>
        <v>0</v>
      </c>
      <c r="I7015" s="1" t="str">
        <f t="shared" si="12631"/>
        <v>0</v>
      </c>
      <c r="J7015" s="1" t="str">
        <f t="shared" si="12631"/>
        <v>0</v>
      </c>
      <c r="K7015" s="1" t="str">
        <f t="shared" si="12631"/>
        <v>0</v>
      </c>
      <c r="L7015" s="1" t="str">
        <f t="shared" si="12631"/>
        <v>0</v>
      </c>
      <c r="M7015" s="1" t="str">
        <f t="shared" si="12631"/>
        <v>0</v>
      </c>
      <c r="N7015" s="1" t="str">
        <f t="shared" si="12631"/>
        <v>0</v>
      </c>
      <c r="O7015" s="1" t="str">
        <f t="shared" si="12631"/>
        <v>0</v>
      </c>
      <c r="P7015" s="1" t="str">
        <f t="shared" si="12631"/>
        <v>0</v>
      </c>
      <c r="Q7015" s="1" t="str">
        <f t="shared" si="12593"/>
        <v>0.0070</v>
      </c>
      <c r="R7015" s="1" t="s">
        <v>25</v>
      </c>
      <c r="T7015" s="1" t="str">
        <f t="shared" si="12594"/>
        <v>0</v>
      </c>
      <c r="U7015" s="1" t="str">
        <f t="shared" si="12630"/>
        <v>0.0070</v>
      </c>
    </row>
    <row r="7016" s="1" customFormat="1" spans="1:21">
      <c r="A7016" s="1" t="str">
        <f>"4601992309863"</f>
        <v>4601992309863</v>
      </c>
      <c r="B7016" s="1" t="s">
        <v>7039</v>
      </c>
      <c r="C7016" s="1" t="s">
        <v>24</v>
      </c>
      <c r="D7016" s="1" t="str">
        <f t="shared" si="12591"/>
        <v>2021</v>
      </c>
      <c r="E7016" s="1" t="str">
        <f t="shared" ref="E7016:P7016" si="12632">"0"</f>
        <v>0</v>
      </c>
      <c r="F7016" s="1" t="str">
        <f t="shared" si="12632"/>
        <v>0</v>
      </c>
      <c r="G7016" s="1" t="str">
        <f t="shared" si="12632"/>
        <v>0</v>
      </c>
      <c r="H7016" s="1" t="str">
        <f t="shared" si="12632"/>
        <v>0</v>
      </c>
      <c r="I7016" s="1" t="str">
        <f t="shared" si="12632"/>
        <v>0</v>
      </c>
      <c r="J7016" s="1" t="str">
        <f t="shared" si="12632"/>
        <v>0</v>
      </c>
      <c r="K7016" s="1" t="str">
        <f t="shared" si="12632"/>
        <v>0</v>
      </c>
      <c r="L7016" s="1" t="str">
        <f t="shared" si="12632"/>
        <v>0</v>
      </c>
      <c r="M7016" s="1" t="str">
        <f t="shared" si="12632"/>
        <v>0</v>
      </c>
      <c r="N7016" s="1" t="str">
        <f t="shared" si="12632"/>
        <v>0</v>
      </c>
      <c r="O7016" s="1" t="str">
        <f t="shared" si="12632"/>
        <v>0</v>
      </c>
      <c r="P7016" s="1" t="str">
        <f t="shared" si="12632"/>
        <v>0</v>
      </c>
      <c r="Q7016" s="1" t="str">
        <f t="shared" si="12593"/>
        <v>0.0070</v>
      </c>
      <c r="R7016" s="1" t="s">
        <v>25</v>
      </c>
      <c r="T7016" s="1" t="str">
        <f t="shared" si="12594"/>
        <v>0</v>
      </c>
      <c r="U7016" s="1" t="str">
        <f t="shared" si="12630"/>
        <v>0.0070</v>
      </c>
    </row>
    <row r="7017" s="1" customFormat="1" spans="1:21">
      <c r="A7017" s="1" t="str">
        <f>"4601992309817"</f>
        <v>4601992309817</v>
      </c>
      <c r="B7017" s="1" t="s">
        <v>7040</v>
      </c>
      <c r="C7017" s="1" t="s">
        <v>24</v>
      </c>
      <c r="D7017" s="1" t="str">
        <f t="shared" si="12591"/>
        <v>2021</v>
      </c>
      <c r="E7017" s="1" t="str">
        <f t="shared" ref="E7017:P7017" si="12633">"0"</f>
        <v>0</v>
      </c>
      <c r="F7017" s="1" t="str">
        <f t="shared" si="12633"/>
        <v>0</v>
      </c>
      <c r="G7017" s="1" t="str">
        <f t="shared" si="12633"/>
        <v>0</v>
      </c>
      <c r="H7017" s="1" t="str">
        <f t="shared" si="12633"/>
        <v>0</v>
      </c>
      <c r="I7017" s="1" t="str">
        <f t="shared" si="12633"/>
        <v>0</v>
      </c>
      <c r="J7017" s="1" t="str">
        <f t="shared" si="12633"/>
        <v>0</v>
      </c>
      <c r="K7017" s="1" t="str">
        <f t="shared" si="12633"/>
        <v>0</v>
      </c>
      <c r="L7017" s="1" t="str">
        <f t="shared" si="12633"/>
        <v>0</v>
      </c>
      <c r="M7017" s="1" t="str">
        <f t="shared" si="12633"/>
        <v>0</v>
      </c>
      <c r="N7017" s="1" t="str">
        <f t="shared" si="12633"/>
        <v>0</v>
      </c>
      <c r="O7017" s="1" t="str">
        <f t="shared" si="12633"/>
        <v>0</v>
      </c>
      <c r="P7017" s="1" t="str">
        <f t="shared" si="12633"/>
        <v>0</v>
      </c>
      <c r="Q7017" s="1" t="str">
        <f t="shared" si="12593"/>
        <v>0.0070</v>
      </c>
      <c r="R7017" s="1" t="s">
        <v>25</v>
      </c>
      <c r="T7017" s="1" t="str">
        <f t="shared" si="12594"/>
        <v>0</v>
      </c>
      <c r="U7017" s="1" t="str">
        <f t="shared" si="12630"/>
        <v>0.0070</v>
      </c>
    </row>
    <row r="7018" s="1" customFormat="1" spans="1:21">
      <c r="A7018" s="1" t="str">
        <f>"4601992310124"</f>
        <v>4601992310124</v>
      </c>
      <c r="B7018" s="1" t="s">
        <v>7041</v>
      </c>
      <c r="C7018" s="1" t="s">
        <v>24</v>
      </c>
      <c r="D7018" s="1" t="str">
        <f t="shared" si="12591"/>
        <v>2021</v>
      </c>
      <c r="E7018" s="1" t="str">
        <f t="shared" ref="E7018:P7018" si="12634">"0"</f>
        <v>0</v>
      </c>
      <c r="F7018" s="1" t="str">
        <f t="shared" si="12634"/>
        <v>0</v>
      </c>
      <c r="G7018" s="1" t="str">
        <f t="shared" si="12634"/>
        <v>0</v>
      </c>
      <c r="H7018" s="1" t="str">
        <f t="shared" si="12634"/>
        <v>0</v>
      </c>
      <c r="I7018" s="1" t="str">
        <f t="shared" si="12634"/>
        <v>0</v>
      </c>
      <c r="J7018" s="1" t="str">
        <f t="shared" si="12634"/>
        <v>0</v>
      </c>
      <c r="K7018" s="1" t="str">
        <f t="shared" si="12634"/>
        <v>0</v>
      </c>
      <c r="L7018" s="1" t="str">
        <f t="shared" si="12634"/>
        <v>0</v>
      </c>
      <c r="M7018" s="1" t="str">
        <f t="shared" si="12634"/>
        <v>0</v>
      </c>
      <c r="N7018" s="1" t="str">
        <f t="shared" si="12634"/>
        <v>0</v>
      </c>
      <c r="O7018" s="1" t="str">
        <f t="shared" si="12634"/>
        <v>0</v>
      </c>
      <c r="P7018" s="1" t="str">
        <f t="shared" si="12634"/>
        <v>0</v>
      </c>
      <c r="Q7018" s="1" t="str">
        <f t="shared" si="12593"/>
        <v>0.0070</v>
      </c>
      <c r="R7018" s="1" t="s">
        <v>25</v>
      </c>
      <c r="T7018" s="1" t="str">
        <f t="shared" si="12594"/>
        <v>0</v>
      </c>
      <c r="U7018" s="1" t="str">
        <f t="shared" si="12630"/>
        <v>0.0070</v>
      </c>
    </row>
    <row r="7019" s="1" customFormat="1" spans="1:21">
      <c r="A7019" s="1" t="str">
        <f>"4601992309960"</f>
        <v>4601992309960</v>
      </c>
      <c r="B7019" s="1" t="s">
        <v>7042</v>
      </c>
      <c r="C7019" s="1" t="s">
        <v>24</v>
      </c>
      <c r="D7019" s="1" t="str">
        <f t="shared" si="12591"/>
        <v>2021</v>
      </c>
      <c r="E7019" s="1" t="str">
        <f t="shared" ref="E7019:P7019" si="12635">"0"</f>
        <v>0</v>
      </c>
      <c r="F7019" s="1" t="str">
        <f t="shared" si="12635"/>
        <v>0</v>
      </c>
      <c r="G7019" s="1" t="str">
        <f t="shared" si="12635"/>
        <v>0</v>
      </c>
      <c r="H7019" s="1" t="str">
        <f t="shared" si="12635"/>
        <v>0</v>
      </c>
      <c r="I7019" s="1" t="str">
        <f t="shared" si="12635"/>
        <v>0</v>
      </c>
      <c r="J7019" s="1" t="str">
        <f t="shared" si="12635"/>
        <v>0</v>
      </c>
      <c r="K7019" s="1" t="str">
        <f t="shared" si="12635"/>
        <v>0</v>
      </c>
      <c r="L7019" s="1" t="str">
        <f t="shared" si="12635"/>
        <v>0</v>
      </c>
      <c r="M7019" s="1" t="str">
        <f t="shared" si="12635"/>
        <v>0</v>
      </c>
      <c r="N7019" s="1" t="str">
        <f t="shared" si="12635"/>
        <v>0</v>
      </c>
      <c r="O7019" s="1" t="str">
        <f t="shared" si="12635"/>
        <v>0</v>
      </c>
      <c r="P7019" s="1" t="str">
        <f t="shared" si="12635"/>
        <v>0</v>
      </c>
      <c r="Q7019" s="1" t="str">
        <f t="shared" si="12593"/>
        <v>0.0070</v>
      </c>
      <c r="R7019" s="1" t="s">
        <v>25</v>
      </c>
      <c r="T7019" s="1" t="str">
        <f t="shared" si="12594"/>
        <v>0</v>
      </c>
      <c r="U7019" s="1" t="str">
        <f t="shared" si="12630"/>
        <v>0.0070</v>
      </c>
    </row>
    <row r="7020" s="1" customFormat="1" spans="1:21">
      <c r="A7020" s="1" t="str">
        <f>"4601992310217"</f>
        <v>4601992310217</v>
      </c>
      <c r="B7020" s="1" t="s">
        <v>7043</v>
      </c>
      <c r="C7020" s="1" t="s">
        <v>24</v>
      </c>
      <c r="D7020" s="1" t="str">
        <f t="shared" si="12591"/>
        <v>2021</v>
      </c>
      <c r="E7020" s="1" t="str">
        <f t="shared" ref="E7020:P7020" si="12636">"0"</f>
        <v>0</v>
      </c>
      <c r="F7020" s="1" t="str">
        <f t="shared" si="12636"/>
        <v>0</v>
      </c>
      <c r="G7020" s="1" t="str">
        <f t="shared" si="12636"/>
        <v>0</v>
      </c>
      <c r="H7020" s="1" t="str">
        <f t="shared" si="12636"/>
        <v>0</v>
      </c>
      <c r="I7020" s="1" t="str">
        <f t="shared" si="12636"/>
        <v>0</v>
      </c>
      <c r="J7020" s="1" t="str">
        <f t="shared" si="12636"/>
        <v>0</v>
      </c>
      <c r="K7020" s="1" t="str">
        <f t="shared" si="12636"/>
        <v>0</v>
      </c>
      <c r="L7020" s="1" t="str">
        <f t="shared" si="12636"/>
        <v>0</v>
      </c>
      <c r="M7020" s="1" t="str">
        <f t="shared" si="12636"/>
        <v>0</v>
      </c>
      <c r="N7020" s="1" t="str">
        <f t="shared" si="12636"/>
        <v>0</v>
      </c>
      <c r="O7020" s="1" t="str">
        <f t="shared" si="12636"/>
        <v>0</v>
      </c>
      <c r="P7020" s="1" t="str">
        <f t="shared" si="12636"/>
        <v>0</v>
      </c>
      <c r="Q7020" s="1" t="str">
        <f t="shared" si="12593"/>
        <v>0.0070</v>
      </c>
      <c r="R7020" s="1" t="s">
        <v>25</v>
      </c>
      <c r="T7020" s="1" t="str">
        <f t="shared" si="12594"/>
        <v>0</v>
      </c>
      <c r="U7020" s="1" t="str">
        <f t="shared" si="12630"/>
        <v>0.0070</v>
      </c>
    </row>
    <row r="7021" s="1" customFormat="1" spans="1:21">
      <c r="A7021" s="1" t="str">
        <f>"4601992310243"</f>
        <v>4601992310243</v>
      </c>
      <c r="B7021" s="1" t="s">
        <v>7044</v>
      </c>
      <c r="C7021" s="1" t="s">
        <v>24</v>
      </c>
      <c r="D7021" s="1" t="str">
        <f t="shared" si="12591"/>
        <v>2021</v>
      </c>
      <c r="E7021" s="1" t="str">
        <f t="shared" ref="E7021:P7021" si="12637">"0"</f>
        <v>0</v>
      </c>
      <c r="F7021" s="1" t="str">
        <f t="shared" si="12637"/>
        <v>0</v>
      </c>
      <c r="G7021" s="1" t="str">
        <f t="shared" si="12637"/>
        <v>0</v>
      </c>
      <c r="H7021" s="1" t="str">
        <f t="shared" si="12637"/>
        <v>0</v>
      </c>
      <c r="I7021" s="1" t="str">
        <f t="shared" si="12637"/>
        <v>0</v>
      </c>
      <c r="J7021" s="1" t="str">
        <f t="shared" si="12637"/>
        <v>0</v>
      </c>
      <c r="K7021" s="1" t="str">
        <f t="shared" si="12637"/>
        <v>0</v>
      </c>
      <c r="L7021" s="1" t="str">
        <f t="shared" si="12637"/>
        <v>0</v>
      </c>
      <c r="M7021" s="1" t="str">
        <f t="shared" si="12637"/>
        <v>0</v>
      </c>
      <c r="N7021" s="1" t="str">
        <f t="shared" si="12637"/>
        <v>0</v>
      </c>
      <c r="O7021" s="1" t="str">
        <f t="shared" si="12637"/>
        <v>0</v>
      </c>
      <c r="P7021" s="1" t="str">
        <f t="shared" si="12637"/>
        <v>0</v>
      </c>
      <c r="Q7021" s="1" t="str">
        <f t="shared" si="12593"/>
        <v>0.0070</v>
      </c>
      <c r="R7021" s="1" t="s">
        <v>25</v>
      </c>
      <c r="T7021" s="1" t="str">
        <f t="shared" si="12594"/>
        <v>0</v>
      </c>
      <c r="U7021" s="1" t="str">
        <f t="shared" si="12630"/>
        <v>0.0070</v>
      </c>
    </row>
    <row r="7022" s="1" customFormat="1" spans="1:21">
      <c r="A7022" s="1" t="str">
        <f>"4601992310366"</f>
        <v>4601992310366</v>
      </c>
      <c r="B7022" s="1" t="s">
        <v>7045</v>
      </c>
      <c r="C7022" s="1" t="s">
        <v>24</v>
      </c>
      <c r="D7022" s="1" t="str">
        <f t="shared" si="12591"/>
        <v>2021</v>
      </c>
      <c r="E7022" s="1" t="str">
        <f t="shared" ref="E7022:P7022" si="12638">"0"</f>
        <v>0</v>
      </c>
      <c r="F7022" s="1" t="str">
        <f t="shared" si="12638"/>
        <v>0</v>
      </c>
      <c r="G7022" s="1" t="str">
        <f t="shared" si="12638"/>
        <v>0</v>
      </c>
      <c r="H7022" s="1" t="str">
        <f t="shared" si="12638"/>
        <v>0</v>
      </c>
      <c r="I7022" s="1" t="str">
        <f t="shared" si="12638"/>
        <v>0</v>
      </c>
      <c r="J7022" s="1" t="str">
        <f t="shared" si="12638"/>
        <v>0</v>
      </c>
      <c r="K7022" s="1" t="str">
        <f t="shared" si="12638"/>
        <v>0</v>
      </c>
      <c r="L7022" s="1" t="str">
        <f t="shared" si="12638"/>
        <v>0</v>
      </c>
      <c r="M7022" s="1" t="str">
        <f t="shared" si="12638"/>
        <v>0</v>
      </c>
      <c r="N7022" s="1" t="str">
        <f t="shared" si="12638"/>
        <v>0</v>
      </c>
      <c r="O7022" s="1" t="str">
        <f t="shared" si="12638"/>
        <v>0</v>
      </c>
      <c r="P7022" s="1" t="str">
        <f t="shared" si="12638"/>
        <v>0</v>
      </c>
      <c r="Q7022" s="1" t="str">
        <f t="shared" si="12593"/>
        <v>0.0070</v>
      </c>
      <c r="R7022" s="1" t="s">
        <v>25</v>
      </c>
      <c r="T7022" s="1" t="str">
        <f t="shared" si="12594"/>
        <v>0</v>
      </c>
      <c r="U7022" s="1" t="str">
        <f t="shared" si="12630"/>
        <v>0.0070</v>
      </c>
    </row>
    <row r="7023" s="1" customFormat="1" spans="1:21">
      <c r="A7023" s="1" t="str">
        <f>"4601992310469"</f>
        <v>4601992310469</v>
      </c>
      <c r="B7023" s="1" t="s">
        <v>7046</v>
      </c>
      <c r="C7023" s="1" t="s">
        <v>24</v>
      </c>
      <c r="D7023" s="1" t="str">
        <f t="shared" si="12591"/>
        <v>2021</v>
      </c>
      <c r="E7023" s="1" t="str">
        <f t="shared" ref="E7023:P7023" si="12639">"0"</f>
        <v>0</v>
      </c>
      <c r="F7023" s="1" t="str">
        <f t="shared" si="12639"/>
        <v>0</v>
      </c>
      <c r="G7023" s="1" t="str">
        <f t="shared" si="12639"/>
        <v>0</v>
      </c>
      <c r="H7023" s="1" t="str">
        <f t="shared" si="12639"/>
        <v>0</v>
      </c>
      <c r="I7023" s="1" t="str">
        <f t="shared" si="12639"/>
        <v>0</v>
      </c>
      <c r="J7023" s="1" t="str">
        <f t="shared" si="12639"/>
        <v>0</v>
      </c>
      <c r="K7023" s="1" t="str">
        <f t="shared" si="12639"/>
        <v>0</v>
      </c>
      <c r="L7023" s="1" t="str">
        <f t="shared" si="12639"/>
        <v>0</v>
      </c>
      <c r="M7023" s="1" t="str">
        <f t="shared" si="12639"/>
        <v>0</v>
      </c>
      <c r="N7023" s="1" t="str">
        <f t="shared" si="12639"/>
        <v>0</v>
      </c>
      <c r="O7023" s="1" t="str">
        <f t="shared" si="12639"/>
        <v>0</v>
      </c>
      <c r="P7023" s="1" t="str">
        <f t="shared" si="12639"/>
        <v>0</v>
      </c>
      <c r="Q7023" s="1" t="str">
        <f t="shared" si="12593"/>
        <v>0.0070</v>
      </c>
      <c r="R7023" s="1" t="s">
        <v>25</v>
      </c>
      <c r="T7023" s="1" t="str">
        <f t="shared" si="12594"/>
        <v>0</v>
      </c>
      <c r="U7023" s="1" t="str">
        <f t="shared" si="12630"/>
        <v>0.0070</v>
      </c>
    </row>
    <row r="7024" s="1" customFormat="1" spans="1:21">
      <c r="A7024" s="1" t="str">
        <f>"4601992310607"</f>
        <v>4601992310607</v>
      </c>
      <c r="B7024" s="1" t="s">
        <v>7047</v>
      </c>
      <c r="C7024" s="1" t="s">
        <v>24</v>
      </c>
      <c r="D7024" s="1" t="str">
        <f t="shared" si="12591"/>
        <v>2021</v>
      </c>
      <c r="E7024" s="1" t="str">
        <f t="shared" ref="E7024:P7024" si="12640">"0"</f>
        <v>0</v>
      </c>
      <c r="F7024" s="1" t="str">
        <f t="shared" si="12640"/>
        <v>0</v>
      </c>
      <c r="G7024" s="1" t="str">
        <f t="shared" si="12640"/>
        <v>0</v>
      </c>
      <c r="H7024" s="1" t="str">
        <f t="shared" si="12640"/>
        <v>0</v>
      </c>
      <c r="I7024" s="1" t="str">
        <f t="shared" si="12640"/>
        <v>0</v>
      </c>
      <c r="J7024" s="1" t="str">
        <f t="shared" si="12640"/>
        <v>0</v>
      </c>
      <c r="K7024" s="1" t="str">
        <f t="shared" si="12640"/>
        <v>0</v>
      </c>
      <c r="L7024" s="1" t="str">
        <f t="shared" si="12640"/>
        <v>0</v>
      </c>
      <c r="M7024" s="1" t="str">
        <f t="shared" si="12640"/>
        <v>0</v>
      </c>
      <c r="N7024" s="1" t="str">
        <f t="shared" si="12640"/>
        <v>0</v>
      </c>
      <c r="O7024" s="1" t="str">
        <f t="shared" si="12640"/>
        <v>0</v>
      </c>
      <c r="P7024" s="1" t="str">
        <f t="shared" si="12640"/>
        <v>0</v>
      </c>
      <c r="Q7024" s="1" t="str">
        <f t="shared" si="12593"/>
        <v>0.0070</v>
      </c>
      <c r="R7024" s="1" t="s">
        <v>25</v>
      </c>
      <c r="T7024" s="1" t="str">
        <f t="shared" si="12594"/>
        <v>0</v>
      </c>
      <c r="U7024" s="1" t="str">
        <f t="shared" si="12630"/>
        <v>0.0070</v>
      </c>
    </row>
    <row r="7025" s="1" customFormat="1" spans="1:21">
      <c r="A7025" s="1" t="str">
        <f>"4601992310544"</f>
        <v>4601992310544</v>
      </c>
      <c r="B7025" s="1" t="s">
        <v>7048</v>
      </c>
      <c r="C7025" s="1" t="s">
        <v>24</v>
      </c>
      <c r="D7025" s="1" t="str">
        <f t="shared" si="12591"/>
        <v>2021</v>
      </c>
      <c r="E7025" s="1" t="str">
        <f t="shared" ref="E7025:P7025" si="12641">"0"</f>
        <v>0</v>
      </c>
      <c r="F7025" s="1" t="str">
        <f t="shared" si="12641"/>
        <v>0</v>
      </c>
      <c r="G7025" s="1" t="str">
        <f t="shared" si="12641"/>
        <v>0</v>
      </c>
      <c r="H7025" s="1" t="str">
        <f t="shared" si="12641"/>
        <v>0</v>
      </c>
      <c r="I7025" s="1" t="str">
        <f t="shared" si="12641"/>
        <v>0</v>
      </c>
      <c r="J7025" s="1" t="str">
        <f t="shared" si="12641"/>
        <v>0</v>
      </c>
      <c r="K7025" s="1" t="str">
        <f t="shared" si="12641"/>
        <v>0</v>
      </c>
      <c r="L7025" s="1" t="str">
        <f t="shared" si="12641"/>
        <v>0</v>
      </c>
      <c r="M7025" s="1" t="str">
        <f t="shared" si="12641"/>
        <v>0</v>
      </c>
      <c r="N7025" s="1" t="str">
        <f t="shared" si="12641"/>
        <v>0</v>
      </c>
      <c r="O7025" s="1" t="str">
        <f t="shared" si="12641"/>
        <v>0</v>
      </c>
      <c r="P7025" s="1" t="str">
        <f t="shared" si="12641"/>
        <v>0</v>
      </c>
      <c r="Q7025" s="1" t="str">
        <f t="shared" si="12593"/>
        <v>0.0070</v>
      </c>
      <c r="R7025" s="1" t="s">
        <v>25</v>
      </c>
      <c r="T7025" s="1" t="str">
        <f t="shared" si="12594"/>
        <v>0</v>
      </c>
      <c r="U7025" s="1" t="str">
        <f t="shared" si="12630"/>
        <v>0.0070</v>
      </c>
    </row>
    <row r="7026" s="1" customFormat="1" spans="1:21">
      <c r="A7026" s="1" t="str">
        <f>"4601992310601"</f>
        <v>4601992310601</v>
      </c>
      <c r="B7026" s="1" t="s">
        <v>7049</v>
      </c>
      <c r="C7026" s="1" t="s">
        <v>24</v>
      </c>
      <c r="D7026" s="1" t="str">
        <f t="shared" si="12591"/>
        <v>2021</v>
      </c>
      <c r="E7026" s="1" t="str">
        <f t="shared" ref="E7026:P7026" si="12642">"0"</f>
        <v>0</v>
      </c>
      <c r="F7026" s="1" t="str">
        <f t="shared" si="12642"/>
        <v>0</v>
      </c>
      <c r="G7026" s="1" t="str">
        <f t="shared" si="12642"/>
        <v>0</v>
      </c>
      <c r="H7026" s="1" t="str">
        <f t="shared" si="12642"/>
        <v>0</v>
      </c>
      <c r="I7026" s="1" t="str">
        <f t="shared" si="12642"/>
        <v>0</v>
      </c>
      <c r="J7026" s="1" t="str">
        <f t="shared" si="12642"/>
        <v>0</v>
      </c>
      <c r="K7026" s="1" t="str">
        <f t="shared" si="12642"/>
        <v>0</v>
      </c>
      <c r="L7026" s="1" t="str">
        <f t="shared" si="12642"/>
        <v>0</v>
      </c>
      <c r="M7026" s="1" t="str">
        <f t="shared" si="12642"/>
        <v>0</v>
      </c>
      <c r="N7026" s="1" t="str">
        <f t="shared" si="12642"/>
        <v>0</v>
      </c>
      <c r="O7026" s="1" t="str">
        <f t="shared" si="12642"/>
        <v>0</v>
      </c>
      <c r="P7026" s="1" t="str">
        <f t="shared" si="12642"/>
        <v>0</v>
      </c>
      <c r="Q7026" s="1" t="str">
        <f t="shared" si="12593"/>
        <v>0.0070</v>
      </c>
      <c r="R7026" s="1" t="s">
        <v>25</v>
      </c>
      <c r="T7026" s="1" t="str">
        <f t="shared" si="12594"/>
        <v>0</v>
      </c>
      <c r="U7026" s="1" t="str">
        <f t="shared" si="12630"/>
        <v>0.0070</v>
      </c>
    </row>
    <row r="7027" s="1" customFormat="1" spans="1:21">
      <c r="A7027" s="1" t="str">
        <f>"4601992310598"</f>
        <v>4601992310598</v>
      </c>
      <c r="B7027" s="1" t="s">
        <v>7050</v>
      </c>
      <c r="C7027" s="1" t="s">
        <v>24</v>
      </c>
      <c r="D7027" s="1" t="str">
        <f t="shared" si="12591"/>
        <v>2021</v>
      </c>
      <c r="E7027" s="1" t="str">
        <f t="shared" ref="E7027:P7027" si="12643">"0"</f>
        <v>0</v>
      </c>
      <c r="F7027" s="1" t="str">
        <f t="shared" si="12643"/>
        <v>0</v>
      </c>
      <c r="G7027" s="1" t="str">
        <f t="shared" si="12643"/>
        <v>0</v>
      </c>
      <c r="H7027" s="1" t="str">
        <f t="shared" si="12643"/>
        <v>0</v>
      </c>
      <c r="I7027" s="1" t="str">
        <f t="shared" si="12643"/>
        <v>0</v>
      </c>
      <c r="J7027" s="1" t="str">
        <f t="shared" si="12643"/>
        <v>0</v>
      </c>
      <c r="K7027" s="1" t="str">
        <f t="shared" si="12643"/>
        <v>0</v>
      </c>
      <c r="L7027" s="1" t="str">
        <f t="shared" si="12643"/>
        <v>0</v>
      </c>
      <c r="M7027" s="1" t="str">
        <f t="shared" si="12643"/>
        <v>0</v>
      </c>
      <c r="N7027" s="1" t="str">
        <f t="shared" si="12643"/>
        <v>0</v>
      </c>
      <c r="O7027" s="1" t="str">
        <f t="shared" si="12643"/>
        <v>0</v>
      </c>
      <c r="P7027" s="1" t="str">
        <f t="shared" si="12643"/>
        <v>0</v>
      </c>
      <c r="Q7027" s="1" t="str">
        <f t="shared" si="12593"/>
        <v>0.0070</v>
      </c>
      <c r="R7027" s="1" t="s">
        <v>25</v>
      </c>
      <c r="T7027" s="1" t="str">
        <f t="shared" si="12594"/>
        <v>0</v>
      </c>
      <c r="U7027" s="1" t="str">
        <f t="shared" si="12630"/>
        <v>0.0070</v>
      </c>
    </row>
    <row r="7028" s="1" customFormat="1" spans="1:21">
      <c r="A7028" s="1" t="str">
        <f>"4601992310635"</f>
        <v>4601992310635</v>
      </c>
      <c r="B7028" s="1" t="s">
        <v>7051</v>
      </c>
      <c r="C7028" s="1" t="s">
        <v>24</v>
      </c>
      <c r="D7028" s="1" t="str">
        <f t="shared" si="12591"/>
        <v>2021</v>
      </c>
      <c r="E7028" s="1" t="str">
        <f t="shared" ref="E7028:P7028" si="12644">"0"</f>
        <v>0</v>
      </c>
      <c r="F7028" s="1" t="str">
        <f t="shared" si="12644"/>
        <v>0</v>
      </c>
      <c r="G7028" s="1" t="str">
        <f t="shared" si="12644"/>
        <v>0</v>
      </c>
      <c r="H7028" s="1" t="str">
        <f t="shared" si="12644"/>
        <v>0</v>
      </c>
      <c r="I7028" s="1" t="str">
        <f t="shared" si="12644"/>
        <v>0</v>
      </c>
      <c r="J7028" s="1" t="str">
        <f t="shared" si="12644"/>
        <v>0</v>
      </c>
      <c r="K7028" s="1" t="str">
        <f t="shared" si="12644"/>
        <v>0</v>
      </c>
      <c r="L7028" s="1" t="str">
        <f t="shared" si="12644"/>
        <v>0</v>
      </c>
      <c r="M7028" s="1" t="str">
        <f t="shared" si="12644"/>
        <v>0</v>
      </c>
      <c r="N7028" s="1" t="str">
        <f t="shared" si="12644"/>
        <v>0</v>
      </c>
      <c r="O7028" s="1" t="str">
        <f t="shared" si="12644"/>
        <v>0</v>
      </c>
      <c r="P7028" s="1" t="str">
        <f t="shared" si="12644"/>
        <v>0</v>
      </c>
      <c r="Q7028" s="1" t="str">
        <f t="shared" si="12593"/>
        <v>0.0070</v>
      </c>
      <c r="R7028" s="1" t="s">
        <v>25</v>
      </c>
      <c r="T7028" s="1" t="str">
        <f t="shared" si="12594"/>
        <v>0</v>
      </c>
      <c r="U7028" s="1" t="str">
        <f t="shared" si="12630"/>
        <v>0.0070</v>
      </c>
    </row>
    <row r="7029" s="1" customFormat="1" spans="1:21">
      <c r="A7029" s="1" t="str">
        <f>"4601992052584"</f>
        <v>4601992052584</v>
      </c>
      <c r="B7029" s="1" t="s">
        <v>7052</v>
      </c>
      <c r="C7029" s="1" t="s">
        <v>24</v>
      </c>
      <c r="D7029" s="1" t="str">
        <f t="shared" si="12591"/>
        <v>2021</v>
      </c>
      <c r="E7029" s="1" t="str">
        <f>"24.18"</f>
        <v>24.18</v>
      </c>
      <c r="F7029" s="1" t="str">
        <f t="shared" ref="F7029:I7029" si="12645">"0"</f>
        <v>0</v>
      </c>
      <c r="G7029" s="1" t="str">
        <f t="shared" si="12645"/>
        <v>0</v>
      </c>
      <c r="H7029" s="1" t="str">
        <f t="shared" si="12645"/>
        <v>0</v>
      </c>
      <c r="I7029" s="1" t="str">
        <f t="shared" si="12645"/>
        <v>0</v>
      </c>
      <c r="J7029" s="1" t="str">
        <f>"2"</f>
        <v>2</v>
      </c>
      <c r="K7029" s="1" t="str">
        <f t="shared" ref="K7029:P7029" si="12646">"0"</f>
        <v>0</v>
      </c>
      <c r="L7029" s="1" t="str">
        <f t="shared" si="12646"/>
        <v>0</v>
      </c>
      <c r="M7029" s="1" t="str">
        <f t="shared" si="12646"/>
        <v>0</v>
      </c>
      <c r="N7029" s="1" t="str">
        <f t="shared" si="12646"/>
        <v>0</v>
      </c>
      <c r="O7029" s="1" t="str">
        <f t="shared" si="12646"/>
        <v>0</v>
      </c>
      <c r="P7029" s="1" t="str">
        <f t="shared" si="12646"/>
        <v>0</v>
      </c>
      <c r="Q7029" s="1" t="str">
        <f t="shared" si="12593"/>
        <v>0.0070</v>
      </c>
      <c r="R7029" s="1" t="s">
        <v>29</v>
      </c>
      <c r="S7029" s="1">
        <v>-0.0014</v>
      </c>
      <c r="T7029" s="1" t="str">
        <f t="shared" si="12594"/>
        <v>0</v>
      </c>
      <c r="U7029" s="1" t="str">
        <f>"0.0056"</f>
        <v>0.0056</v>
      </c>
    </row>
    <row r="7030" s="1" customFormat="1" spans="1:21">
      <c r="A7030" s="1" t="str">
        <f>"4601992310668"</f>
        <v>4601992310668</v>
      </c>
      <c r="B7030" s="1" t="s">
        <v>7053</v>
      </c>
      <c r="C7030" s="1" t="s">
        <v>24</v>
      </c>
      <c r="D7030" s="1" t="str">
        <f t="shared" si="12591"/>
        <v>2021</v>
      </c>
      <c r="E7030" s="1" t="str">
        <f t="shared" ref="E7030:P7030" si="12647">"0"</f>
        <v>0</v>
      </c>
      <c r="F7030" s="1" t="str">
        <f t="shared" si="12647"/>
        <v>0</v>
      </c>
      <c r="G7030" s="1" t="str">
        <f t="shared" si="12647"/>
        <v>0</v>
      </c>
      <c r="H7030" s="1" t="str">
        <f t="shared" si="12647"/>
        <v>0</v>
      </c>
      <c r="I7030" s="1" t="str">
        <f t="shared" si="12647"/>
        <v>0</v>
      </c>
      <c r="J7030" s="1" t="str">
        <f t="shared" si="12647"/>
        <v>0</v>
      </c>
      <c r="K7030" s="1" t="str">
        <f t="shared" si="12647"/>
        <v>0</v>
      </c>
      <c r="L7030" s="1" t="str">
        <f t="shared" si="12647"/>
        <v>0</v>
      </c>
      <c r="M7030" s="1" t="str">
        <f t="shared" si="12647"/>
        <v>0</v>
      </c>
      <c r="N7030" s="1" t="str">
        <f t="shared" si="12647"/>
        <v>0</v>
      </c>
      <c r="O7030" s="1" t="str">
        <f t="shared" si="12647"/>
        <v>0</v>
      </c>
      <c r="P7030" s="1" t="str">
        <f t="shared" si="12647"/>
        <v>0</v>
      </c>
      <c r="Q7030" s="1" t="str">
        <f t="shared" si="12593"/>
        <v>0.0070</v>
      </c>
      <c r="R7030" s="1" t="s">
        <v>25</v>
      </c>
      <c r="T7030" s="1" t="str">
        <f t="shared" si="12594"/>
        <v>0</v>
      </c>
      <c r="U7030" s="1" t="str">
        <f t="shared" ref="U7030:U7093" si="12648">"0.0070"</f>
        <v>0.0070</v>
      </c>
    </row>
    <row r="7031" s="1" customFormat="1" spans="1:21">
      <c r="A7031" s="1" t="str">
        <f>"4601992310674"</f>
        <v>4601992310674</v>
      </c>
      <c r="B7031" s="1" t="s">
        <v>7054</v>
      </c>
      <c r="C7031" s="1" t="s">
        <v>24</v>
      </c>
      <c r="D7031" s="1" t="str">
        <f t="shared" si="12591"/>
        <v>2021</v>
      </c>
      <c r="E7031" s="1" t="str">
        <f t="shared" ref="E7031:P7031" si="12649">"0"</f>
        <v>0</v>
      </c>
      <c r="F7031" s="1" t="str">
        <f t="shared" si="12649"/>
        <v>0</v>
      </c>
      <c r="G7031" s="1" t="str">
        <f t="shared" si="12649"/>
        <v>0</v>
      </c>
      <c r="H7031" s="1" t="str">
        <f t="shared" si="12649"/>
        <v>0</v>
      </c>
      <c r="I7031" s="1" t="str">
        <f t="shared" si="12649"/>
        <v>0</v>
      </c>
      <c r="J7031" s="1" t="str">
        <f t="shared" si="12649"/>
        <v>0</v>
      </c>
      <c r="K7031" s="1" t="str">
        <f t="shared" si="12649"/>
        <v>0</v>
      </c>
      <c r="L7031" s="1" t="str">
        <f t="shared" si="12649"/>
        <v>0</v>
      </c>
      <c r="M7031" s="1" t="str">
        <f t="shared" si="12649"/>
        <v>0</v>
      </c>
      <c r="N7031" s="1" t="str">
        <f t="shared" si="12649"/>
        <v>0</v>
      </c>
      <c r="O7031" s="1" t="str">
        <f t="shared" si="12649"/>
        <v>0</v>
      </c>
      <c r="P7031" s="1" t="str">
        <f t="shared" si="12649"/>
        <v>0</v>
      </c>
      <c r="Q7031" s="1" t="str">
        <f t="shared" si="12593"/>
        <v>0.0070</v>
      </c>
      <c r="R7031" s="1" t="s">
        <v>25</v>
      </c>
      <c r="T7031" s="1" t="str">
        <f t="shared" si="12594"/>
        <v>0</v>
      </c>
      <c r="U7031" s="1" t="str">
        <f t="shared" si="12648"/>
        <v>0.0070</v>
      </c>
    </row>
    <row r="7032" s="1" customFormat="1" spans="1:21">
      <c r="A7032" s="1" t="str">
        <f>"4601992310672"</f>
        <v>4601992310672</v>
      </c>
      <c r="B7032" s="1" t="s">
        <v>7055</v>
      </c>
      <c r="C7032" s="1" t="s">
        <v>24</v>
      </c>
      <c r="D7032" s="1" t="str">
        <f t="shared" si="12591"/>
        <v>2021</v>
      </c>
      <c r="E7032" s="1" t="str">
        <f t="shared" ref="E7032:P7032" si="12650">"0"</f>
        <v>0</v>
      </c>
      <c r="F7032" s="1" t="str">
        <f t="shared" si="12650"/>
        <v>0</v>
      </c>
      <c r="G7032" s="1" t="str">
        <f t="shared" si="12650"/>
        <v>0</v>
      </c>
      <c r="H7032" s="1" t="str">
        <f t="shared" si="12650"/>
        <v>0</v>
      </c>
      <c r="I7032" s="1" t="str">
        <f t="shared" si="12650"/>
        <v>0</v>
      </c>
      <c r="J7032" s="1" t="str">
        <f t="shared" si="12650"/>
        <v>0</v>
      </c>
      <c r="K7032" s="1" t="str">
        <f t="shared" si="12650"/>
        <v>0</v>
      </c>
      <c r="L7032" s="1" t="str">
        <f t="shared" si="12650"/>
        <v>0</v>
      </c>
      <c r="M7032" s="1" t="str">
        <f t="shared" si="12650"/>
        <v>0</v>
      </c>
      <c r="N7032" s="1" t="str">
        <f t="shared" si="12650"/>
        <v>0</v>
      </c>
      <c r="O7032" s="1" t="str">
        <f t="shared" si="12650"/>
        <v>0</v>
      </c>
      <c r="P7032" s="1" t="str">
        <f t="shared" si="12650"/>
        <v>0</v>
      </c>
      <c r="Q7032" s="1" t="str">
        <f t="shared" si="12593"/>
        <v>0.0070</v>
      </c>
      <c r="R7032" s="1" t="s">
        <v>25</v>
      </c>
      <c r="T7032" s="1" t="str">
        <f t="shared" si="12594"/>
        <v>0</v>
      </c>
      <c r="U7032" s="1" t="str">
        <f t="shared" si="12648"/>
        <v>0.0070</v>
      </c>
    </row>
    <row r="7033" s="1" customFormat="1" spans="1:21">
      <c r="A7033" s="1" t="str">
        <f>"4601992310702"</f>
        <v>4601992310702</v>
      </c>
      <c r="B7033" s="1" t="s">
        <v>7056</v>
      </c>
      <c r="C7033" s="1" t="s">
        <v>24</v>
      </c>
      <c r="D7033" s="1" t="str">
        <f t="shared" si="12591"/>
        <v>2021</v>
      </c>
      <c r="E7033" s="1" t="str">
        <f t="shared" ref="E7033:P7033" si="12651">"0"</f>
        <v>0</v>
      </c>
      <c r="F7033" s="1" t="str">
        <f t="shared" si="12651"/>
        <v>0</v>
      </c>
      <c r="G7033" s="1" t="str">
        <f t="shared" si="12651"/>
        <v>0</v>
      </c>
      <c r="H7033" s="1" t="str">
        <f t="shared" si="12651"/>
        <v>0</v>
      </c>
      <c r="I7033" s="1" t="str">
        <f t="shared" si="12651"/>
        <v>0</v>
      </c>
      <c r="J7033" s="1" t="str">
        <f t="shared" si="12651"/>
        <v>0</v>
      </c>
      <c r="K7033" s="1" t="str">
        <f t="shared" si="12651"/>
        <v>0</v>
      </c>
      <c r="L7033" s="1" t="str">
        <f t="shared" si="12651"/>
        <v>0</v>
      </c>
      <c r="M7033" s="1" t="str">
        <f t="shared" si="12651"/>
        <v>0</v>
      </c>
      <c r="N7033" s="1" t="str">
        <f t="shared" si="12651"/>
        <v>0</v>
      </c>
      <c r="O7033" s="1" t="str">
        <f t="shared" si="12651"/>
        <v>0</v>
      </c>
      <c r="P7033" s="1" t="str">
        <f t="shared" si="12651"/>
        <v>0</v>
      </c>
      <c r="Q7033" s="1" t="str">
        <f t="shared" si="12593"/>
        <v>0.0070</v>
      </c>
      <c r="R7033" s="1" t="s">
        <v>25</v>
      </c>
      <c r="T7033" s="1" t="str">
        <f t="shared" si="12594"/>
        <v>0</v>
      </c>
      <c r="U7033" s="1" t="str">
        <f t="shared" si="12648"/>
        <v>0.0070</v>
      </c>
    </row>
    <row r="7034" s="1" customFormat="1" spans="1:21">
      <c r="A7034" s="1" t="str">
        <f>"4601992310787"</f>
        <v>4601992310787</v>
      </c>
      <c r="B7034" s="1" t="s">
        <v>7057</v>
      </c>
      <c r="C7034" s="1" t="s">
        <v>24</v>
      </c>
      <c r="D7034" s="1" t="str">
        <f t="shared" si="12591"/>
        <v>2021</v>
      </c>
      <c r="E7034" s="1" t="str">
        <f t="shared" ref="E7034:P7034" si="12652">"0"</f>
        <v>0</v>
      </c>
      <c r="F7034" s="1" t="str">
        <f t="shared" si="12652"/>
        <v>0</v>
      </c>
      <c r="G7034" s="1" t="str">
        <f t="shared" si="12652"/>
        <v>0</v>
      </c>
      <c r="H7034" s="1" t="str">
        <f t="shared" si="12652"/>
        <v>0</v>
      </c>
      <c r="I7034" s="1" t="str">
        <f t="shared" si="12652"/>
        <v>0</v>
      </c>
      <c r="J7034" s="1" t="str">
        <f t="shared" si="12652"/>
        <v>0</v>
      </c>
      <c r="K7034" s="1" t="str">
        <f t="shared" si="12652"/>
        <v>0</v>
      </c>
      <c r="L7034" s="1" t="str">
        <f t="shared" si="12652"/>
        <v>0</v>
      </c>
      <c r="M7034" s="1" t="str">
        <f t="shared" si="12652"/>
        <v>0</v>
      </c>
      <c r="N7034" s="1" t="str">
        <f t="shared" si="12652"/>
        <v>0</v>
      </c>
      <c r="O7034" s="1" t="str">
        <f t="shared" si="12652"/>
        <v>0</v>
      </c>
      <c r="P7034" s="1" t="str">
        <f t="shared" si="12652"/>
        <v>0</v>
      </c>
      <c r="Q7034" s="1" t="str">
        <f t="shared" si="12593"/>
        <v>0.0070</v>
      </c>
      <c r="R7034" s="1" t="s">
        <v>25</v>
      </c>
      <c r="T7034" s="1" t="str">
        <f t="shared" si="12594"/>
        <v>0</v>
      </c>
      <c r="U7034" s="1" t="str">
        <f t="shared" si="12648"/>
        <v>0.0070</v>
      </c>
    </row>
    <row r="7035" s="1" customFormat="1" spans="1:21">
      <c r="A7035" s="1" t="str">
        <f>"4601992310754"</f>
        <v>4601992310754</v>
      </c>
      <c r="B7035" s="1" t="s">
        <v>7058</v>
      </c>
      <c r="C7035" s="1" t="s">
        <v>24</v>
      </c>
      <c r="D7035" s="1" t="str">
        <f t="shared" si="12591"/>
        <v>2021</v>
      </c>
      <c r="E7035" s="1" t="str">
        <f t="shared" ref="E7035:P7035" si="12653">"0"</f>
        <v>0</v>
      </c>
      <c r="F7035" s="1" t="str">
        <f t="shared" si="12653"/>
        <v>0</v>
      </c>
      <c r="G7035" s="1" t="str">
        <f t="shared" si="12653"/>
        <v>0</v>
      </c>
      <c r="H7035" s="1" t="str">
        <f t="shared" si="12653"/>
        <v>0</v>
      </c>
      <c r="I7035" s="1" t="str">
        <f t="shared" si="12653"/>
        <v>0</v>
      </c>
      <c r="J7035" s="1" t="str">
        <f t="shared" si="12653"/>
        <v>0</v>
      </c>
      <c r="K7035" s="1" t="str">
        <f t="shared" si="12653"/>
        <v>0</v>
      </c>
      <c r="L7035" s="1" t="str">
        <f t="shared" si="12653"/>
        <v>0</v>
      </c>
      <c r="M7035" s="1" t="str">
        <f t="shared" si="12653"/>
        <v>0</v>
      </c>
      <c r="N7035" s="1" t="str">
        <f t="shared" si="12653"/>
        <v>0</v>
      </c>
      <c r="O7035" s="1" t="str">
        <f t="shared" si="12653"/>
        <v>0</v>
      </c>
      <c r="P7035" s="1" t="str">
        <f t="shared" si="12653"/>
        <v>0</v>
      </c>
      <c r="Q7035" s="1" t="str">
        <f t="shared" si="12593"/>
        <v>0.0070</v>
      </c>
      <c r="R7035" s="1" t="s">
        <v>25</v>
      </c>
      <c r="T7035" s="1" t="str">
        <f t="shared" si="12594"/>
        <v>0</v>
      </c>
      <c r="U7035" s="1" t="str">
        <f t="shared" si="12648"/>
        <v>0.0070</v>
      </c>
    </row>
    <row r="7036" s="1" customFormat="1" spans="1:21">
      <c r="A7036" s="1" t="str">
        <f>"4601992310712"</f>
        <v>4601992310712</v>
      </c>
      <c r="B7036" s="1" t="s">
        <v>7059</v>
      </c>
      <c r="C7036" s="1" t="s">
        <v>24</v>
      </c>
      <c r="D7036" s="1" t="str">
        <f t="shared" si="12591"/>
        <v>2021</v>
      </c>
      <c r="E7036" s="1" t="str">
        <f t="shared" ref="E7036:P7036" si="12654">"0"</f>
        <v>0</v>
      </c>
      <c r="F7036" s="1" t="str">
        <f t="shared" si="12654"/>
        <v>0</v>
      </c>
      <c r="G7036" s="1" t="str">
        <f t="shared" si="12654"/>
        <v>0</v>
      </c>
      <c r="H7036" s="1" t="str">
        <f t="shared" si="12654"/>
        <v>0</v>
      </c>
      <c r="I7036" s="1" t="str">
        <f t="shared" si="12654"/>
        <v>0</v>
      </c>
      <c r="J7036" s="1" t="str">
        <f t="shared" si="12654"/>
        <v>0</v>
      </c>
      <c r="K7036" s="1" t="str">
        <f t="shared" si="12654"/>
        <v>0</v>
      </c>
      <c r="L7036" s="1" t="str">
        <f t="shared" si="12654"/>
        <v>0</v>
      </c>
      <c r="M7036" s="1" t="str">
        <f t="shared" si="12654"/>
        <v>0</v>
      </c>
      <c r="N7036" s="1" t="str">
        <f t="shared" si="12654"/>
        <v>0</v>
      </c>
      <c r="O7036" s="1" t="str">
        <f t="shared" si="12654"/>
        <v>0</v>
      </c>
      <c r="P7036" s="1" t="str">
        <f t="shared" si="12654"/>
        <v>0</v>
      </c>
      <c r="Q7036" s="1" t="str">
        <f t="shared" si="12593"/>
        <v>0.0070</v>
      </c>
      <c r="R7036" s="1" t="s">
        <v>25</v>
      </c>
      <c r="T7036" s="1" t="str">
        <f t="shared" si="12594"/>
        <v>0</v>
      </c>
      <c r="U7036" s="1" t="str">
        <f t="shared" si="12648"/>
        <v>0.0070</v>
      </c>
    </row>
    <row r="7037" s="1" customFormat="1" spans="1:21">
      <c r="A7037" s="1" t="str">
        <f>"4601992310907"</f>
        <v>4601992310907</v>
      </c>
      <c r="B7037" s="1" t="s">
        <v>7060</v>
      </c>
      <c r="C7037" s="1" t="s">
        <v>24</v>
      </c>
      <c r="D7037" s="1" t="str">
        <f t="shared" si="12591"/>
        <v>2021</v>
      </c>
      <c r="E7037" s="1" t="str">
        <f t="shared" ref="E7037:P7037" si="12655">"0"</f>
        <v>0</v>
      </c>
      <c r="F7037" s="1" t="str">
        <f t="shared" si="12655"/>
        <v>0</v>
      </c>
      <c r="G7037" s="1" t="str">
        <f t="shared" si="12655"/>
        <v>0</v>
      </c>
      <c r="H7037" s="1" t="str">
        <f t="shared" si="12655"/>
        <v>0</v>
      </c>
      <c r="I7037" s="1" t="str">
        <f t="shared" si="12655"/>
        <v>0</v>
      </c>
      <c r="J7037" s="1" t="str">
        <f t="shared" si="12655"/>
        <v>0</v>
      </c>
      <c r="K7037" s="1" t="str">
        <f t="shared" si="12655"/>
        <v>0</v>
      </c>
      <c r="L7037" s="1" t="str">
        <f t="shared" si="12655"/>
        <v>0</v>
      </c>
      <c r="M7037" s="1" t="str">
        <f t="shared" si="12655"/>
        <v>0</v>
      </c>
      <c r="N7037" s="1" t="str">
        <f t="shared" si="12655"/>
        <v>0</v>
      </c>
      <c r="O7037" s="1" t="str">
        <f t="shared" si="12655"/>
        <v>0</v>
      </c>
      <c r="P7037" s="1" t="str">
        <f t="shared" si="12655"/>
        <v>0</v>
      </c>
      <c r="Q7037" s="1" t="str">
        <f t="shared" si="12593"/>
        <v>0.0070</v>
      </c>
      <c r="R7037" s="1" t="s">
        <v>25</v>
      </c>
      <c r="T7037" s="1" t="str">
        <f t="shared" si="12594"/>
        <v>0</v>
      </c>
      <c r="U7037" s="1" t="str">
        <f t="shared" si="12648"/>
        <v>0.0070</v>
      </c>
    </row>
    <row r="7038" s="1" customFormat="1" spans="1:21">
      <c r="A7038" s="1" t="str">
        <f>"4601992311084"</f>
        <v>4601992311084</v>
      </c>
      <c r="B7038" s="1" t="s">
        <v>7061</v>
      </c>
      <c r="C7038" s="1" t="s">
        <v>24</v>
      </c>
      <c r="D7038" s="1" t="str">
        <f t="shared" si="12591"/>
        <v>2021</v>
      </c>
      <c r="E7038" s="1" t="str">
        <f t="shared" ref="E7038:P7038" si="12656">"0"</f>
        <v>0</v>
      </c>
      <c r="F7038" s="1" t="str">
        <f t="shared" si="12656"/>
        <v>0</v>
      </c>
      <c r="G7038" s="1" t="str">
        <f t="shared" si="12656"/>
        <v>0</v>
      </c>
      <c r="H7038" s="1" t="str">
        <f t="shared" si="12656"/>
        <v>0</v>
      </c>
      <c r="I7038" s="1" t="str">
        <f t="shared" si="12656"/>
        <v>0</v>
      </c>
      <c r="J7038" s="1" t="str">
        <f t="shared" si="12656"/>
        <v>0</v>
      </c>
      <c r="K7038" s="1" t="str">
        <f t="shared" si="12656"/>
        <v>0</v>
      </c>
      <c r="L7038" s="1" t="str">
        <f t="shared" si="12656"/>
        <v>0</v>
      </c>
      <c r="M7038" s="1" t="str">
        <f t="shared" si="12656"/>
        <v>0</v>
      </c>
      <c r="N7038" s="1" t="str">
        <f t="shared" si="12656"/>
        <v>0</v>
      </c>
      <c r="O7038" s="1" t="str">
        <f t="shared" si="12656"/>
        <v>0</v>
      </c>
      <c r="P7038" s="1" t="str">
        <f t="shared" si="12656"/>
        <v>0</v>
      </c>
      <c r="Q7038" s="1" t="str">
        <f t="shared" si="12593"/>
        <v>0.0070</v>
      </c>
      <c r="R7038" s="1" t="s">
        <v>25</v>
      </c>
      <c r="T7038" s="1" t="str">
        <f t="shared" si="12594"/>
        <v>0</v>
      </c>
      <c r="U7038" s="1" t="str">
        <f t="shared" si="12648"/>
        <v>0.0070</v>
      </c>
    </row>
    <row r="7039" s="1" customFormat="1" spans="1:21">
      <c r="A7039" s="1" t="str">
        <f>"4601992310939"</f>
        <v>4601992310939</v>
      </c>
      <c r="B7039" s="1" t="s">
        <v>7062</v>
      </c>
      <c r="C7039" s="1" t="s">
        <v>24</v>
      </c>
      <c r="D7039" s="1" t="str">
        <f t="shared" si="12591"/>
        <v>2021</v>
      </c>
      <c r="E7039" s="1" t="str">
        <f t="shared" ref="E7039:P7039" si="12657">"0"</f>
        <v>0</v>
      </c>
      <c r="F7039" s="1" t="str">
        <f t="shared" si="12657"/>
        <v>0</v>
      </c>
      <c r="G7039" s="1" t="str">
        <f t="shared" si="12657"/>
        <v>0</v>
      </c>
      <c r="H7039" s="1" t="str">
        <f t="shared" si="12657"/>
        <v>0</v>
      </c>
      <c r="I7039" s="1" t="str">
        <f t="shared" si="12657"/>
        <v>0</v>
      </c>
      <c r="J7039" s="1" t="str">
        <f t="shared" si="12657"/>
        <v>0</v>
      </c>
      <c r="K7039" s="1" t="str">
        <f t="shared" si="12657"/>
        <v>0</v>
      </c>
      <c r="L7039" s="1" t="str">
        <f t="shared" si="12657"/>
        <v>0</v>
      </c>
      <c r="M7039" s="1" t="str">
        <f t="shared" si="12657"/>
        <v>0</v>
      </c>
      <c r="N7039" s="1" t="str">
        <f t="shared" si="12657"/>
        <v>0</v>
      </c>
      <c r="O7039" s="1" t="str">
        <f t="shared" si="12657"/>
        <v>0</v>
      </c>
      <c r="P7039" s="1" t="str">
        <f t="shared" si="12657"/>
        <v>0</v>
      </c>
      <c r="Q7039" s="1" t="str">
        <f t="shared" si="12593"/>
        <v>0.0070</v>
      </c>
      <c r="R7039" s="1" t="s">
        <v>25</v>
      </c>
      <c r="T7039" s="1" t="str">
        <f t="shared" si="12594"/>
        <v>0</v>
      </c>
      <c r="U7039" s="1" t="str">
        <f t="shared" si="12648"/>
        <v>0.0070</v>
      </c>
    </row>
    <row r="7040" s="1" customFormat="1" spans="1:21">
      <c r="A7040" s="1" t="str">
        <f>"4601992311451"</f>
        <v>4601992311451</v>
      </c>
      <c r="B7040" s="1" t="s">
        <v>7063</v>
      </c>
      <c r="C7040" s="1" t="s">
        <v>24</v>
      </c>
      <c r="D7040" s="1" t="str">
        <f t="shared" si="12591"/>
        <v>2021</v>
      </c>
      <c r="E7040" s="1" t="str">
        <f t="shared" ref="E7040:P7040" si="12658">"0"</f>
        <v>0</v>
      </c>
      <c r="F7040" s="1" t="str">
        <f t="shared" si="12658"/>
        <v>0</v>
      </c>
      <c r="G7040" s="1" t="str">
        <f t="shared" si="12658"/>
        <v>0</v>
      </c>
      <c r="H7040" s="1" t="str">
        <f t="shared" si="12658"/>
        <v>0</v>
      </c>
      <c r="I7040" s="1" t="str">
        <f t="shared" si="12658"/>
        <v>0</v>
      </c>
      <c r="J7040" s="1" t="str">
        <f t="shared" si="12658"/>
        <v>0</v>
      </c>
      <c r="K7040" s="1" t="str">
        <f t="shared" si="12658"/>
        <v>0</v>
      </c>
      <c r="L7040" s="1" t="str">
        <f t="shared" si="12658"/>
        <v>0</v>
      </c>
      <c r="M7040" s="1" t="str">
        <f t="shared" si="12658"/>
        <v>0</v>
      </c>
      <c r="N7040" s="1" t="str">
        <f t="shared" si="12658"/>
        <v>0</v>
      </c>
      <c r="O7040" s="1" t="str">
        <f t="shared" si="12658"/>
        <v>0</v>
      </c>
      <c r="P7040" s="1" t="str">
        <f t="shared" si="12658"/>
        <v>0</v>
      </c>
      <c r="Q7040" s="1" t="str">
        <f t="shared" si="12593"/>
        <v>0.0070</v>
      </c>
      <c r="R7040" s="1" t="s">
        <v>25</v>
      </c>
      <c r="T7040" s="1" t="str">
        <f t="shared" si="12594"/>
        <v>0</v>
      </c>
      <c r="U7040" s="1" t="str">
        <f t="shared" si="12648"/>
        <v>0.0070</v>
      </c>
    </row>
    <row r="7041" s="1" customFormat="1" spans="1:21">
      <c r="A7041" s="1" t="str">
        <f>"4601992311460"</f>
        <v>4601992311460</v>
      </c>
      <c r="B7041" s="1" t="s">
        <v>7064</v>
      </c>
      <c r="C7041" s="1" t="s">
        <v>24</v>
      </c>
      <c r="D7041" s="1" t="str">
        <f t="shared" si="12591"/>
        <v>2021</v>
      </c>
      <c r="E7041" s="1" t="str">
        <f t="shared" ref="E7041:P7041" si="12659">"0"</f>
        <v>0</v>
      </c>
      <c r="F7041" s="1" t="str">
        <f t="shared" si="12659"/>
        <v>0</v>
      </c>
      <c r="G7041" s="1" t="str">
        <f t="shared" si="12659"/>
        <v>0</v>
      </c>
      <c r="H7041" s="1" t="str">
        <f t="shared" si="12659"/>
        <v>0</v>
      </c>
      <c r="I7041" s="1" t="str">
        <f t="shared" si="12659"/>
        <v>0</v>
      </c>
      <c r="J7041" s="1" t="str">
        <f t="shared" si="12659"/>
        <v>0</v>
      </c>
      <c r="K7041" s="1" t="str">
        <f t="shared" si="12659"/>
        <v>0</v>
      </c>
      <c r="L7041" s="1" t="str">
        <f t="shared" si="12659"/>
        <v>0</v>
      </c>
      <c r="M7041" s="1" t="str">
        <f t="shared" si="12659"/>
        <v>0</v>
      </c>
      <c r="N7041" s="1" t="str">
        <f t="shared" si="12659"/>
        <v>0</v>
      </c>
      <c r="O7041" s="1" t="str">
        <f t="shared" si="12659"/>
        <v>0</v>
      </c>
      <c r="P7041" s="1" t="str">
        <f t="shared" si="12659"/>
        <v>0</v>
      </c>
      <c r="Q7041" s="1" t="str">
        <f t="shared" si="12593"/>
        <v>0.0070</v>
      </c>
      <c r="R7041" s="1" t="s">
        <v>25</v>
      </c>
      <c r="T7041" s="1" t="str">
        <f t="shared" si="12594"/>
        <v>0</v>
      </c>
      <c r="U7041" s="1" t="str">
        <f t="shared" si="12648"/>
        <v>0.0070</v>
      </c>
    </row>
    <row r="7042" s="1" customFormat="1" spans="1:21">
      <c r="A7042" s="1" t="str">
        <f>"4601992311480"</f>
        <v>4601992311480</v>
      </c>
      <c r="B7042" s="1" t="s">
        <v>7065</v>
      </c>
      <c r="C7042" s="1" t="s">
        <v>24</v>
      </c>
      <c r="D7042" s="1" t="str">
        <f t="shared" si="12591"/>
        <v>2021</v>
      </c>
      <c r="E7042" s="1" t="str">
        <f t="shared" ref="E7042:P7042" si="12660">"0"</f>
        <v>0</v>
      </c>
      <c r="F7042" s="1" t="str">
        <f t="shared" si="12660"/>
        <v>0</v>
      </c>
      <c r="G7042" s="1" t="str">
        <f t="shared" si="12660"/>
        <v>0</v>
      </c>
      <c r="H7042" s="1" t="str">
        <f t="shared" si="12660"/>
        <v>0</v>
      </c>
      <c r="I7042" s="1" t="str">
        <f t="shared" si="12660"/>
        <v>0</v>
      </c>
      <c r="J7042" s="1" t="str">
        <f t="shared" si="12660"/>
        <v>0</v>
      </c>
      <c r="K7042" s="1" t="str">
        <f t="shared" si="12660"/>
        <v>0</v>
      </c>
      <c r="L7042" s="1" t="str">
        <f t="shared" si="12660"/>
        <v>0</v>
      </c>
      <c r="M7042" s="1" t="str">
        <f t="shared" si="12660"/>
        <v>0</v>
      </c>
      <c r="N7042" s="1" t="str">
        <f t="shared" si="12660"/>
        <v>0</v>
      </c>
      <c r="O7042" s="1" t="str">
        <f t="shared" si="12660"/>
        <v>0</v>
      </c>
      <c r="P7042" s="1" t="str">
        <f t="shared" si="12660"/>
        <v>0</v>
      </c>
      <c r="Q7042" s="1" t="str">
        <f t="shared" si="12593"/>
        <v>0.0070</v>
      </c>
      <c r="R7042" s="1" t="s">
        <v>25</v>
      </c>
      <c r="T7042" s="1" t="str">
        <f t="shared" si="12594"/>
        <v>0</v>
      </c>
      <c r="U7042" s="1" t="str">
        <f t="shared" si="12648"/>
        <v>0.0070</v>
      </c>
    </row>
    <row r="7043" s="1" customFormat="1" spans="1:21">
      <c r="A7043" s="1" t="str">
        <f>"4601992311507"</f>
        <v>4601992311507</v>
      </c>
      <c r="B7043" s="1" t="s">
        <v>7066</v>
      </c>
      <c r="C7043" s="1" t="s">
        <v>24</v>
      </c>
      <c r="D7043" s="1" t="str">
        <f t="shared" ref="D7043:D7106" si="12661">"2021"</f>
        <v>2021</v>
      </c>
      <c r="E7043" s="1" t="str">
        <f t="shared" ref="E7043:P7043" si="12662">"0"</f>
        <v>0</v>
      </c>
      <c r="F7043" s="1" t="str">
        <f t="shared" si="12662"/>
        <v>0</v>
      </c>
      <c r="G7043" s="1" t="str">
        <f t="shared" si="12662"/>
        <v>0</v>
      </c>
      <c r="H7043" s="1" t="str">
        <f t="shared" si="12662"/>
        <v>0</v>
      </c>
      <c r="I7043" s="1" t="str">
        <f t="shared" si="12662"/>
        <v>0</v>
      </c>
      <c r="J7043" s="1" t="str">
        <f t="shared" si="12662"/>
        <v>0</v>
      </c>
      <c r="K7043" s="1" t="str">
        <f t="shared" si="12662"/>
        <v>0</v>
      </c>
      <c r="L7043" s="1" t="str">
        <f t="shared" si="12662"/>
        <v>0</v>
      </c>
      <c r="M7043" s="1" t="str">
        <f t="shared" si="12662"/>
        <v>0</v>
      </c>
      <c r="N7043" s="1" t="str">
        <f t="shared" si="12662"/>
        <v>0</v>
      </c>
      <c r="O7043" s="1" t="str">
        <f t="shared" si="12662"/>
        <v>0</v>
      </c>
      <c r="P7043" s="1" t="str">
        <f t="shared" si="12662"/>
        <v>0</v>
      </c>
      <c r="Q7043" s="1" t="str">
        <f t="shared" ref="Q7043:Q7106" si="12663">"0.0070"</f>
        <v>0.0070</v>
      </c>
      <c r="R7043" s="1" t="s">
        <v>25</v>
      </c>
      <c r="T7043" s="1" t="str">
        <f t="shared" ref="T7043:T7106" si="12664">"0"</f>
        <v>0</v>
      </c>
      <c r="U7043" s="1" t="str">
        <f t="shared" si="12648"/>
        <v>0.0070</v>
      </c>
    </row>
    <row r="7044" s="1" customFormat="1" spans="1:21">
      <c r="A7044" s="1" t="str">
        <f>"4601992311510"</f>
        <v>4601992311510</v>
      </c>
      <c r="B7044" s="1" t="s">
        <v>7067</v>
      </c>
      <c r="C7044" s="1" t="s">
        <v>24</v>
      </c>
      <c r="D7044" s="1" t="str">
        <f t="shared" si="12661"/>
        <v>2021</v>
      </c>
      <c r="E7044" s="1" t="str">
        <f t="shared" ref="E7044:P7044" si="12665">"0"</f>
        <v>0</v>
      </c>
      <c r="F7044" s="1" t="str">
        <f t="shared" si="12665"/>
        <v>0</v>
      </c>
      <c r="G7044" s="1" t="str">
        <f t="shared" si="12665"/>
        <v>0</v>
      </c>
      <c r="H7044" s="1" t="str">
        <f t="shared" si="12665"/>
        <v>0</v>
      </c>
      <c r="I7044" s="1" t="str">
        <f t="shared" si="12665"/>
        <v>0</v>
      </c>
      <c r="J7044" s="1" t="str">
        <f t="shared" si="12665"/>
        <v>0</v>
      </c>
      <c r="K7044" s="1" t="str">
        <f t="shared" si="12665"/>
        <v>0</v>
      </c>
      <c r="L7044" s="1" t="str">
        <f t="shared" si="12665"/>
        <v>0</v>
      </c>
      <c r="M7044" s="1" t="str">
        <f t="shared" si="12665"/>
        <v>0</v>
      </c>
      <c r="N7044" s="1" t="str">
        <f t="shared" si="12665"/>
        <v>0</v>
      </c>
      <c r="O7044" s="1" t="str">
        <f t="shared" si="12665"/>
        <v>0</v>
      </c>
      <c r="P7044" s="1" t="str">
        <f t="shared" si="12665"/>
        <v>0</v>
      </c>
      <c r="Q7044" s="1" t="str">
        <f t="shared" si="12663"/>
        <v>0.0070</v>
      </c>
      <c r="R7044" s="1" t="s">
        <v>25</v>
      </c>
      <c r="T7044" s="1" t="str">
        <f t="shared" si="12664"/>
        <v>0</v>
      </c>
      <c r="U7044" s="1" t="str">
        <f t="shared" si="12648"/>
        <v>0.0070</v>
      </c>
    </row>
    <row r="7045" s="1" customFormat="1" spans="1:21">
      <c r="A7045" s="1" t="str">
        <f>"4601992311512"</f>
        <v>4601992311512</v>
      </c>
      <c r="B7045" s="1" t="s">
        <v>7068</v>
      </c>
      <c r="C7045" s="1" t="s">
        <v>24</v>
      </c>
      <c r="D7045" s="1" t="str">
        <f t="shared" si="12661"/>
        <v>2021</v>
      </c>
      <c r="E7045" s="1" t="str">
        <f t="shared" ref="E7045:P7045" si="12666">"0"</f>
        <v>0</v>
      </c>
      <c r="F7045" s="1" t="str">
        <f t="shared" si="12666"/>
        <v>0</v>
      </c>
      <c r="G7045" s="1" t="str">
        <f t="shared" si="12666"/>
        <v>0</v>
      </c>
      <c r="H7045" s="1" t="str">
        <f t="shared" si="12666"/>
        <v>0</v>
      </c>
      <c r="I7045" s="1" t="str">
        <f t="shared" si="12666"/>
        <v>0</v>
      </c>
      <c r="J7045" s="1" t="str">
        <f t="shared" si="12666"/>
        <v>0</v>
      </c>
      <c r="K7045" s="1" t="str">
        <f t="shared" si="12666"/>
        <v>0</v>
      </c>
      <c r="L7045" s="1" t="str">
        <f t="shared" si="12666"/>
        <v>0</v>
      </c>
      <c r="M7045" s="1" t="str">
        <f t="shared" si="12666"/>
        <v>0</v>
      </c>
      <c r="N7045" s="1" t="str">
        <f t="shared" si="12666"/>
        <v>0</v>
      </c>
      <c r="O7045" s="1" t="str">
        <f t="shared" si="12666"/>
        <v>0</v>
      </c>
      <c r="P7045" s="1" t="str">
        <f t="shared" si="12666"/>
        <v>0</v>
      </c>
      <c r="Q7045" s="1" t="str">
        <f t="shared" si="12663"/>
        <v>0.0070</v>
      </c>
      <c r="R7045" s="1" t="s">
        <v>25</v>
      </c>
      <c r="T7045" s="1" t="str">
        <f t="shared" si="12664"/>
        <v>0</v>
      </c>
      <c r="U7045" s="1" t="str">
        <f t="shared" si="12648"/>
        <v>0.0070</v>
      </c>
    </row>
    <row r="7046" s="1" customFormat="1" spans="1:21">
      <c r="A7046" s="1" t="str">
        <f>"4601992311624"</f>
        <v>4601992311624</v>
      </c>
      <c r="B7046" s="1" t="s">
        <v>7069</v>
      </c>
      <c r="C7046" s="1" t="s">
        <v>24</v>
      </c>
      <c r="D7046" s="1" t="str">
        <f t="shared" si="12661"/>
        <v>2021</v>
      </c>
      <c r="E7046" s="1" t="str">
        <f t="shared" ref="E7046:P7046" si="12667">"0"</f>
        <v>0</v>
      </c>
      <c r="F7046" s="1" t="str">
        <f t="shared" si="12667"/>
        <v>0</v>
      </c>
      <c r="G7046" s="1" t="str">
        <f t="shared" si="12667"/>
        <v>0</v>
      </c>
      <c r="H7046" s="1" t="str">
        <f t="shared" si="12667"/>
        <v>0</v>
      </c>
      <c r="I7046" s="1" t="str">
        <f t="shared" si="12667"/>
        <v>0</v>
      </c>
      <c r="J7046" s="1" t="str">
        <f t="shared" si="12667"/>
        <v>0</v>
      </c>
      <c r="K7046" s="1" t="str">
        <f t="shared" si="12667"/>
        <v>0</v>
      </c>
      <c r="L7046" s="1" t="str">
        <f t="shared" si="12667"/>
        <v>0</v>
      </c>
      <c r="M7046" s="1" t="str">
        <f t="shared" si="12667"/>
        <v>0</v>
      </c>
      <c r="N7046" s="1" t="str">
        <f t="shared" si="12667"/>
        <v>0</v>
      </c>
      <c r="O7046" s="1" t="str">
        <f t="shared" si="12667"/>
        <v>0</v>
      </c>
      <c r="P7046" s="1" t="str">
        <f t="shared" si="12667"/>
        <v>0</v>
      </c>
      <c r="Q7046" s="1" t="str">
        <f t="shared" si="12663"/>
        <v>0.0070</v>
      </c>
      <c r="R7046" s="1" t="s">
        <v>25</v>
      </c>
      <c r="T7046" s="1" t="str">
        <f t="shared" si="12664"/>
        <v>0</v>
      </c>
      <c r="U7046" s="1" t="str">
        <f t="shared" si="12648"/>
        <v>0.0070</v>
      </c>
    </row>
    <row r="7047" s="1" customFormat="1" spans="1:21">
      <c r="A7047" s="1" t="str">
        <f>"4601992311674"</f>
        <v>4601992311674</v>
      </c>
      <c r="B7047" s="1" t="s">
        <v>7070</v>
      </c>
      <c r="C7047" s="1" t="s">
        <v>24</v>
      </c>
      <c r="D7047" s="1" t="str">
        <f t="shared" si="12661"/>
        <v>2021</v>
      </c>
      <c r="E7047" s="1" t="str">
        <f t="shared" ref="E7047:P7047" si="12668">"0"</f>
        <v>0</v>
      </c>
      <c r="F7047" s="1" t="str">
        <f t="shared" si="12668"/>
        <v>0</v>
      </c>
      <c r="G7047" s="1" t="str">
        <f t="shared" si="12668"/>
        <v>0</v>
      </c>
      <c r="H7047" s="1" t="str">
        <f t="shared" si="12668"/>
        <v>0</v>
      </c>
      <c r="I7047" s="1" t="str">
        <f t="shared" si="12668"/>
        <v>0</v>
      </c>
      <c r="J7047" s="1" t="str">
        <f t="shared" si="12668"/>
        <v>0</v>
      </c>
      <c r="K7047" s="1" t="str">
        <f t="shared" si="12668"/>
        <v>0</v>
      </c>
      <c r="L7047" s="1" t="str">
        <f t="shared" si="12668"/>
        <v>0</v>
      </c>
      <c r="M7047" s="1" t="str">
        <f t="shared" si="12668"/>
        <v>0</v>
      </c>
      <c r="N7047" s="1" t="str">
        <f t="shared" si="12668"/>
        <v>0</v>
      </c>
      <c r="O7047" s="1" t="str">
        <f t="shared" si="12668"/>
        <v>0</v>
      </c>
      <c r="P7047" s="1" t="str">
        <f t="shared" si="12668"/>
        <v>0</v>
      </c>
      <c r="Q7047" s="1" t="str">
        <f t="shared" si="12663"/>
        <v>0.0070</v>
      </c>
      <c r="R7047" s="1" t="s">
        <v>25</v>
      </c>
      <c r="T7047" s="1" t="str">
        <f t="shared" si="12664"/>
        <v>0</v>
      </c>
      <c r="U7047" s="1" t="str">
        <f t="shared" si="12648"/>
        <v>0.0070</v>
      </c>
    </row>
    <row r="7048" s="1" customFormat="1" spans="1:21">
      <c r="A7048" s="1" t="str">
        <f>"4601992311719"</f>
        <v>4601992311719</v>
      </c>
      <c r="B7048" s="1" t="s">
        <v>7071</v>
      </c>
      <c r="C7048" s="1" t="s">
        <v>24</v>
      </c>
      <c r="D7048" s="1" t="str">
        <f t="shared" si="12661"/>
        <v>2021</v>
      </c>
      <c r="E7048" s="1" t="str">
        <f t="shared" ref="E7048:P7048" si="12669">"0"</f>
        <v>0</v>
      </c>
      <c r="F7048" s="1" t="str">
        <f t="shared" si="12669"/>
        <v>0</v>
      </c>
      <c r="G7048" s="1" t="str">
        <f t="shared" si="12669"/>
        <v>0</v>
      </c>
      <c r="H7048" s="1" t="str">
        <f t="shared" si="12669"/>
        <v>0</v>
      </c>
      <c r="I7048" s="1" t="str">
        <f t="shared" si="12669"/>
        <v>0</v>
      </c>
      <c r="J7048" s="1" t="str">
        <f t="shared" si="12669"/>
        <v>0</v>
      </c>
      <c r="K7048" s="1" t="str">
        <f t="shared" si="12669"/>
        <v>0</v>
      </c>
      <c r="L7048" s="1" t="str">
        <f t="shared" si="12669"/>
        <v>0</v>
      </c>
      <c r="M7048" s="1" t="str">
        <f t="shared" si="12669"/>
        <v>0</v>
      </c>
      <c r="N7048" s="1" t="str">
        <f t="shared" si="12669"/>
        <v>0</v>
      </c>
      <c r="O7048" s="1" t="str">
        <f t="shared" si="12669"/>
        <v>0</v>
      </c>
      <c r="P7048" s="1" t="str">
        <f t="shared" si="12669"/>
        <v>0</v>
      </c>
      <c r="Q7048" s="1" t="str">
        <f t="shared" si="12663"/>
        <v>0.0070</v>
      </c>
      <c r="R7048" s="1" t="s">
        <v>25</v>
      </c>
      <c r="T7048" s="1" t="str">
        <f t="shared" si="12664"/>
        <v>0</v>
      </c>
      <c r="U7048" s="1" t="str">
        <f t="shared" si="12648"/>
        <v>0.0070</v>
      </c>
    </row>
    <row r="7049" s="1" customFormat="1" spans="1:21">
      <c r="A7049" s="1" t="str">
        <f>"4601992311738"</f>
        <v>4601992311738</v>
      </c>
      <c r="B7049" s="1" t="s">
        <v>7072</v>
      </c>
      <c r="C7049" s="1" t="s">
        <v>24</v>
      </c>
      <c r="D7049" s="1" t="str">
        <f t="shared" si="12661"/>
        <v>2021</v>
      </c>
      <c r="E7049" s="1" t="str">
        <f t="shared" ref="E7049:P7049" si="12670">"0"</f>
        <v>0</v>
      </c>
      <c r="F7049" s="1" t="str">
        <f t="shared" si="12670"/>
        <v>0</v>
      </c>
      <c r="G7049" s="1" t="str">
        <f t="shared" si="12670"/>
        <v>0</v>
      </c>
      <c r="H7049" s="1" t="str">
        <f t="shared" si="12670"/>
        <v>0</v>
      </c>
      <c r="I7049" s="1" t="str">
        <f t="shared" si="12670"/>
        <v>0</v>
      </c>
      <c r="J7049" s="1" t="str">
        <f t="shared" si="12670"/>
        <v>0</v>
      </c>
      <c r="K7049" s="1" t="str">
        <f t="shared" si="12670"/>
        <v>0</v>
      </c>
      <c r="L7049" s="1" t="str">
        <f t="shared" si="12670"/>
        <v>0</v>
      </c>
      <c r="M7049" s="1" t="str">
        <f t="shared" si="12670"/>
        <v>0</v>
      </c>
      <c r="N7049" s="1" t="str">
        <f t="shared" si="12670"/>
        <v>0</v>
      </c>
      <c r="O7049" s="1" t="str">
        <f t="shared" si="12670"/>
        <v>0</v>
      </c>
      <c r="P7049" s="1" t="str">
        <f t="shared" si="12670"/>
        <v>0</v>
      </c>
      <c r="Q7049" s="1" t="str">
        <f t="shared" si="12663"/>
        <v>0.0070</v>
      </c>
      <c r="R7049" s="1" t="s">
        <v>25</v>
      </c>
      <c r="T7049" s="1" t="str">
        <f t="shared" si="12664"/>
        <v>0</v>
      </c>
      <c r="U7049" s="1" t="str">
        <f t="shared" si="12648"/>
        <v>0.0070</v>
      </c>
    </row>
    <row r="7050" s="1" customFormat="1" spans="1:21">
      <c r="A7050" s="1" t="str">
        <f>"4601992311766"</f>
        <v>4601992311766</v>
      </c>
      <c r="B7050" s="1" t="s">
        <v>7073</v>
      </c>
      <c r="C7050" s="1" t="s">
        <v>24</v>
      </c>
      <c r="D7050" s="1" t="str">
        <f t="shared" si="12661"/>
        <v>2021</v>
      </c>
      <c r="E7050" s="1" t="str">
        <f t="shared" ref="E7050:P7050" si="12671">"0"</f>
        <v>0</v>
      </c>
      <c r="F7050" s="1" t="str">
        <f t="shared" si="12671"/>
        <v>0</v>
      </c>
      <c r="G7050" s="1" t="str">
        <f t="shared" si="12671"/>
        <v>0</v>
      </c>
      <c r="H7050" s="1" t="str">
        <f t="shared" si="12671"/>
        <v>0</v>
      </c>
      <c r="I7050" s="1" t="str">
        <f t="shared" si="12671"/>
        <v>0</v>
      </c>
      <c r="J7050" s="1" t="str">
        <f t="shared" si="12671"/>
        <v>0</v>
      </c>
      <c r="K7050" s="1" t="str">
        <f t="shared" si="12671"/>
        <v>0</v>
      </c>
      <c r="L7050" s="1" t="str">
        <f t="shared" si="12671"/>
        <v>0</v>
      </c>
      <c r="M7050" s="1" t="str">
        <f t="shared" si="12671"/>
        <v>0</v>
      </c>
      <c r="N7050" s="1" t="str">
        <f t="shared" si="12671"/>
        <v>0</v>
      </c>
      <c r="O7050" s="1" t="str">
        <f t="shared" si="12671"/>
        <v>0</v>
      </c>
      <c r="P7050" s="1" t="str">
        <f t="shared" si="12671"/>
        <v>0</v>
      </c>
      <c r="Q7050" s="1" t="str">
        <f t="shared" si="12663"/>
        <v>0.0070</v>
      </c>
      <c r="R7050" s="1" t="s">
        <v>25</v>
      </c>
      <c r="T7050" s="1" t="str">
        <f t="shared" si="12664"/>
        <v>0</v>
      </c>
      <c r="U7050" s="1" t="str">
        <f t="shared" si="12648"/>
        <v>0.0070</v>
      </c>
    </row>
    <row r="7051" s="1" customFormat="1" spans="1:21">
      <c r="A7051" s="1" t="str">
        <f>"4601992311915"</f>
        <v>4601992311915</v>
      </c>
      <c r="B7051" s="1" t="s">
        <v>7074</v>
      </c>
      <c r="C7051" s="1" t="s">
        <v>24</v>
      </c>
      <c r="D7051" s="1" t="str">
        <f t="shared" si="12661"/>
        <v>2021</v>
      </c>
      <c r="E7051" s="1" t="str">
        <f t="shared" ref="E7051:P7051" si="12672">"0"</f>
        <v>0</v>
      </c>
      <c r="F7051" s="1" t="str">
        <f t="shared" si="12672"/>
        <v>0</v>
      </c>
      <c r="G7051" s="1" t="str">
        <f t="shared" si="12672"/>
        <v>0</v>
      </c>
      <c r="H7051" s="1" t="str">
        <f t="shared" si="12672"/>
        <v>0</v>
      </c>
      <c r="I7051" s="1" t="str">
        <f t="shared" si="12672"/>
        <v>0</v>
      </c>
      <c r="J7051" s="1" t="str">
        <f t="shared" si="12672"/>
        <v>0</v>
      </c>
      <c r="K7051" s="1" t="str">
        <f t="shared" si="12672"/>
        <v>0</v>
      </c>
      <c r="L7051" s="1" t="str">
        <f t="shared" si="12672"/>
        <v>0</v>
      </c>
      <c r="M7051" s="1" t="str">
        <f t="shared" si="12672"/>
        <v>0</v>
      </c>
      <c r="N7051" s="1" t="str">
        <f t="shared" si="12672"/>
        <v>0</v>
      </c>
      <c r="O7051" s="1" t="str">
        <f t="shared" si="12672"/>
        <v>0</v>
      </c>
      <c r="P7051" s="1" t="str">
        <f t="shared" si="12672"/>
        <v>0</v>
      </c>
      <c r="Q7051" s="1" t="str">
        <f t="shared" si="12663"/>
        <v>0.0070</v>
      </c>
      <c r="R7051" s="1" t="s">
        <v>25</v>
      </c>
      <c r="T7051" s="1" t="str">
        <f t="shared" si="12664"/>
        <v>0</v>
      </c>
      <c r="U7051" s="1" t="str">
        <f t="shared" si="12648"/>
        <v>0.0070</v>
      </c>
    </row>
    <row r="7052" s="1" customFormat="1" spans="1:21">
      <c r="A7052" s="1" t="str">
        <f>"4601992311910"</f>
        <v>4601992311910</v>
      </c>
      <c r="B7052" s="1" t="s">
        <v>7075</v>
      </c>
      <c r="C7052" s="1" t="s">
        <v>24</v>
      </c>
      <c r="D7052" s="1" t="str">
        <f t="shared" si="12661"/>
        <v>2021</v>
      </c>
      <c r="E7052" s="1" t="str">
        <f t="shared" ref="E7052:P7052" si="12673">"0"</f>
        <v>0</v>
      </c>
      <c r="F7052" s="1" t="str">
        <f t="shared" si="12673"/>
        <v>0</v>
      </c>
      <c r="G7052" s="1" t="str">
        <f t="shared" si="12673"/>
        <v>0</v>
      </c>
      <c r="H7052" s="1" t="str">
        <f t="shared" si="12673"/>
        <v>0</v>
      </c>
      <c r="I7052" s="1" t="str">
        <f t="shared" si="12673"/>
        <v>0</v>
      </c>
      <c r="J7052" s="1" t="str">
        <f t="shared" si="12673"/>
        <v>0</v>
      </c>
      <c r="K7052" s="1" t="str">
        <f t="shared" si="12673"/>
        <v>0</v>
      </c>
      <c r="L7052" s="1" t="str">
        <f t="shared" si="12673"/>
        <v>0</v>
      </c>
      <c r="M7052" s="1" t="str">
        <f t="shared" si="12673"/>
        <v>0</v>
      </c>
      <c r="N7052" s="1" t="str">
        <f t="shared" si="12673"/>
        <v>0</v>
      </c>
      <c r="O7052" s="1" t="str">
        <f t="shared" si="12673"/>
        <v>0</v>
      </c>
      <c r="P7052" s="1" t="str">
        <f t="shared" si="12673"/>
        <v>0</v>
      </c>
      <c r="Q7052" s="1" t="str">
        <f t="shared" si="12663"/>
        <v>0.0070</v>
      </c>
      <c r="R7052" s="1" t="s">
        <v>25</v>
      </c>
      <c r="T7052" s="1" t="str">
        <f t="shared" si="12664"/>
        <v>0</v>
      </c>
      <c r="U7052" s="1" t="str">
        <f t="shared" si="12648"/>
        <v>0.0070</v>
      </c>
    </row>
    <row r="7053" s="1" customFormat="1" spans="1:21">
      <c r="A7053" s="1" t="str">
        <f>"4601992311939"</f>
        <v>4601992311939</v>
      </c>
      <c r="B7053" s="1" t="s">
        <v>7076</v>
      </c>
      <c r="C7053" s="1" t="s">
        <v>24</v>
      </c>
      <c r="D7053" s="1" t="str">
        <f t="shared" si="12661"/>
        <v>2021</v>
      </c>
      <c r="E7053" s="1" t="str">
        <f t="shared" ref="E7053:P7053" si="12674">"0"</f>
        <v>0</v>
      </c>
      <c r="F7053" s="1" t="str">
        <f t="shared" si="12674"/>
        <v>0</v>
      </c>
      <c r="G7053" s="1" t="str">
        <f t="shared" si="12674"/>
        <v>0</v>
      </c>
      <c r="H7053" s="1" t="str">
        <f t="shared" si="12674"/>
        <v>0</v>
      </c>
      <c r="I7053" s="1" t="str">
        <f t="shared" si="12674"/>
        <v>0</v>
      </c>
      <c r="J7053" s="1" t="str">
        <f t="shared" si="12674"/>
        <v>0</v>
      </c>
      <c r="K7053" s="1" t="str">
        <f t="shared" si="12674"/>
        <v>0</v>
      </c>
      <c r="L7053" s="1" t="str">
        <f t="shared" si="12674"/>
        <v>0</v>
      </c>
      <c r="M7053" s="1" t="str">
        <f t="shared" si="12674"/>
        <v>0</v>
      </c>
      <c r="N7053" s="1" t="str">
        <f t="shared" si="12674"/>
        <v>0</v>
      </c>
      <c r="O7053" s="1" t="str">
        <f t="shared" si="12674"/>
        <v>0</v>
      </c>
      <c r="P7053" s="1" t="str">
        <f t="shared" si="12674"/>
        <v>0</v>
      </c>
      <c r="Q7053" s="1" t="str">
        <f t="shared" si="12663"/>
        <v>0.0070</v>
      </c>
      <c r="R7053" s="1" t="s">
        <v>25</v>
      </c>
      <c r="T7053" s="1" t="str">
        <f t="shared" si="12664"/>
        <v>0</v>
      </c>
      <c r="U7053" s="1" t="str">
        <f t="shared" si="12648"/>
        <v>0.0070</v>
      </c>
    </row>
    <row r="7054" s="1" customFormat="1" spans="1:21">
      <c r="A7054" s="1" t="str">
        <f>"4601992311967"</f>
        <v>4601992311967</v>
      </c>
      <c r="B7054" s="1" t="s">
        <v>7077</v>
      </c>
      <c r="C7054" s="1" t="s">
        <v>24</v>
      </c>
      <c r="D7054" s="1" t="str">
        <f t="shared" si="12661"/>
        <v>2021</v>
      </c>
      <c r="E7054" s="1" t="str">
        <f t="shared" ref="E7054:P7054" si="12675">"0"</f>
        <v>0</v>
      </c>
      <c r="F7054" s="1" t="str">
        <f t="shared" si="12675"/>
        <v>0</v>
      </c>
      <c r="G7054" s="1" t="str">
        <f t="shared" si="12675"/>
        <v>0</v>
      </c>
      <c r="H7054" s="1" t="str">
        <f t="shared" si="12675"/>
        <v>0</v>
      </c>
      <c r="I7054" s="1" t="str">
        <f t="shared" si="12675"/>
        <v>0</v>
      </c>
      <c r="J7054" s="1" t="str">
        <f t="shared" si="12675"/>
        <v>0</v>
      </c>
      <c r="K7054" s="1" t="str">
        <f t="shared" si="12675"/>
        <v>0</v>
      </c>
      <c r="L7054" s="1" t="str">
        <f t="shared" si="12675"/>
        <v>0</v>
      </c>
      <c r="M7054" s="1" t="str">
        <f t="shared" si="12675"/>
        <v>0</v>
      </c>
      <c r="N7054" s="1" t="str">
        <f t="shared" si="12675"/>
        <v>0</v>
      </c>
      <c r="O7054" s="1" t="str">
        <f t="shared" si="12675"/>
        <v>0</v>
      </c>
      <c r="P7054" s="1" t="str">
        <f t="shared" si="12675"/>
        <v>0</v>
      </c>
      <c r="Q7054" s="1" t="str">
        <f t="shared" si="12663"/>
        <v>0.0070</v>
      </c>
      <c r="R7054" s="1" t="s">
        <v>25</v>
      </c>
      <c r="T7054" s="1" t="str">
        <f t="shared" si="12664"/>
        <v>0</v>
      </c>
      <c r="U7054" s="1" t="str">
        <f t="shared" si="12648"/>
        <v>0.0070</v>
      </c>
    </row>
    <row r="7055" s="1" customFormat="1" spans="1:21">
      <c r="A7055" s="1" t="str">
        <f>"4601992312087"</f>
        <v>4601992312087</v>
      </c>
      <c r="B7055" s="1" t="s">
        <v>7078</v>
      </c>
      <c r="C7055" s="1" t="s">
        <v>24</v>
      </c>
      <c r="D7055" s="1" t="str">
        <f t="shared" si="12661"/>
        <v>2021</v>
      </c>
      <c r="E7055" s="1" t="str">
        <f t="shared" ref="E7055:P7055" si="12676">"0"</f>
        <v>0</v>
      </c>
      <c r="F7055" s="1" t="str">
        <f t="shared" si="12676"/>
        <v>0</v>
      </c>
      <c r="G7055" s="1" t="str">
        <f t="shared" si="12676"/>
        <v>0</v>
      </c>
      <c r="H7055" s="1" t="str">
        <f t="shared" si="12676"/>
        <v>0</v>
      </c>
      <c r="I7055" s="1" t="str">
        <f t="shared" si="12676"/>
        <v>0</v>
      </c>
      <c r="J7055" s="1" t="str">
        <f t="shared" si="12676"/>
        <v>0</v>
      </c>
      <c r="K7055" s="1" t="str">
        <f t="shared" si="12676"/>
        <v>0</v>
      </c>
      <c r="L7055" s="1" t="str">
        <f t="shared" si="12676"/>
        <v>0</v>
      </c>
      <c r="M7055" s="1" t="str">
        <f t="shared" si="12676"/>
        <v>0</v>
      </c>
      <c r="N7055" s="1" t="str">
        <f t="shared" si="12676"/>
        <v>0</v>
      </c>
      <c r="O7055" s="1" t="str">
        <f t="shared" si="12676"/>
        <v>0</v>
      </c>
      <c r="P7055" s="1" t="str">
        <f t="shared" si="12676"/>
        <v>0</v>
      </c>
      <c r="Q7055" s="1" t="str">
        <f t="shared" si="12663"/>
        <v>0.0070</v>
      </c>
      <c r="R7055" s="1" t="s">
        <v>25</v>
      </c>
      <c r="T7055" s="1" t="str">
        <f t="shared" si="12664"/>
        <v>0</v>
      </c>
      <c r="U7055" s="1" t="str">
        <f t="shared" si="12648"/>
        <v>0.0070</v>
      </c>
    </row>
    <row r="7056" s="1" customFormat="1" spans="1:21">
      <c r="A7056" s="1" t="str">
        <f>"4601992311990"</f>
        <v>4601992311990</v>
      </c>
      <c r="B7056" s="1" t="s">
        <v>7079</v>
      </c>
      <c r="C7056" s="1" t="s">
        <v>24</v>
      </c>
      <c r="D7056" s="1" t="str">
        <f t="shared" si="12661"/>
        <v>2021</v>
      </c>
      <c r="E7056" s="1" t="str">
        <f t="shared" ref="E7056:P7056" si="12677">"0"</f>
        <v>0</v>
      </c>
      <c r="F7056" s="1" t="str">
        <f t="shared" si="12677"/>
        <v>0</v>
      </c>
      <c r="G7056" s="1" t="str">
        <f t="shared" si="12677"/>
        <v>0</v>
      </c>
      <c r="H7056" s="1" t="str">
        <f t="shared" si="12677"/>
        <v>0</v>
      </c>
      <c r="I7056" s="1" t="str">
        <f t="shared" si="12677"/>
        <v>0</v>
      </c>
      <c r="J7056" s="1" t="str">
        <f t="shared" si="12677"/>
        <v>0</v>
      </c>
      <c r="K7056" s="1" t="str">
        <f t="shared" si="12677"/>
        <v>0</v>
      </c>
      <c r="L7056" s="1" t="str">
        <f t="shared" si="12677"/>
        <v>0</v>
      </c>
      <c r="M7056" s="1" t="str">
        <f t="shared" si="12677"/>
        <v>0</v>
      </c>
      <c r="N7056" s="1" t="str">
        <f t="shared" si="12677"/>
        <v>0</v>
      </c>
      <c r="O7056" s="1" t="str">
        <f t="shared" si="12677"/>
        <v>0</v>
      </c>
      <c r="P7056" s="1" t="str">
        <f t="shared" si="12677"/>
        <v>0</v>
      </c>
      <c r="Q7056" s="1" t="str">
        <f t="shared" si="12663"/>
        <v>0.0070</v>
      </c>
      <c r="R7056" s="1" t="s">
        <v>25</v>
      </c>
      <c r="T7056" s="1" t="str">
        <f t="shared" si="12664"/>
        <v>0</v>
      </c>
      <c r="U7056" s="1" t="str">
        <f t="shared" si="12648"/>
        <v>0.0070</v>
      </c>
    </row>
    <row r="7057" s="1" customFormat="1" spans="1:21">
      <c r="A7057" s="1" t="str">
        <f>"4601992312103"</f>
        <v>4601992312103</v>
      </c>
      <c r="B7057" s="1" t="s">
        <v>7080</v>
      </c>
      <c r="C7057" s="1" t="s">
        <v>24</v>
      </c>
      <c r="D7057" s="1" t="str">
        <f t="shared" si="12661"/>
        <v>2021</v>
      </c>
      <c r="E7057" s="1" t="str">
        <f t="shared" ref="E7057:P7057" si="12678">"0"</f>
        <v>0</v>
      </c>
      <c r="F7057" s="1" t="str">
        <f t="shared" si="12678"/>
        <v>0</v>
      </c>
      <c r="G7057" s="1" t="str">
        <f t="shared" si="12678"/>
        <v>0</v>
      </c>
      <c r="H7057" s="1" t="str">
        <f t="shared" si="12678"/>
        <v>0</v>
      </c>
      <c r="I7057" s="1" t="str">
        <f t="shared" si="12678"/>
        <v>0</v>
      </c>
      <c r="J7057" s="1" t="str">
        <f t="shared" si="12678"/>
        <v>0</v>
      </c>
      <c r="K7057" s="1" t="str">
        <f t="shared" si="12678"/>
        <v>0</v>
      </c>
      <c r="L7057" s="1" t="str">
        <f t="shared" si="12678"/>
        <v>0</v>
      </c>
      <c r="M7057" s="1" t="str">
        <f t="shared" si="12678"/>
        <v>0</v>
      </c>
      <c r="N7057" s="1" t="str">
        <f t="shared" si="12678"/>
        <v>0</v>
      </c>
      <c r="O7057" s="1" t="str">
        <f t="shared" si="12678"/>
        <v>0</v>
      </c>
      <c r="P7057" s="1" t="str">
        <f t="shared" si="12678"/>
        <v>0</v>
      </c>
      <c r="Q7057" s="1" t="str">
        <f t="shared" si="12663"/>
        <v>0.0070</v>
      </c>
      <c r="R7057" s="1" t="s">
        <v>25</v>
      </c>
      <c r="T7057" s="1" t="str">
        <f t="shared" si="12664"/>
        <v>0</v>
      </c>
      <c r="U7057" s="1" t="str">
        <f t="shared" si="12648"/>
        <v>0.0070</v>
      </c>
    </row>
    <row r="7058" s="1" customFormat="1" spans="1:21">
      <c r="A7058" s="1" t="str">
        <f>"4601992312104"</f>
        <v>4601992312104</v>
      </c>
      <c r="B7058" s="1" t="s">
        <v>7081</v>
      </c>
      <c r="C7058" s="1" t="s">
        <v>24</v>
      </c>
      <c r="D7058" s="1" t="str">
        <f t="shared" si="12661"/>
        <v>2021</v>
      </c>
      <c r="E7058" s="1" t="str">
        <f t="shared" ref="E7058:P7058" si="12679">"0"</f>
        <v>0</v>
      </c>
      <c r="F7058" s="1" t="str">
        <f t="shared" si="12679"/>
        <v>0</v>
      </c>
      <c r="G7058" s="1" t="str">
        <f t="shared" si="12679"/>
        <v>0</v>
      </c>
      <c r="H7058" s="1" t="str">
        <f t="shared" si="12679"/>
        <v>0</v>
      </c>
      <c r="I7058" s="1" t="str">
        <f t="shared" si="12679"/>
        <v>0</v>
      </c>
      <c r="J7058" s="1" t="str">
        <f t="shared" si="12679"/>
        <v>0</v>
      </c>
      <c r="K7058" s="1" t="str">
        <f t="shared" si="12679"/>
        <v>0</v>
      </c>
      <c r="L7058" s="1" t="str">
        <f t="shared" si="12679"/>
        <v>0</v>
      </c>
      <c r="M7058" s="1" t="str">
        <f t="shared" si="12679"/>
        <v>0</v>
      </c>
      <c r="N7058" s="1" t="str">
        <f t="shared" si="12679"/>
        <v>0</v>
      </c>
      <c r="O7058" s="1" t="str">
        <f t="shared" si="12679"/>
        <v>0</v>
      </c>
      <c r="P7058" s="1" t="str">
        <f t="shared" si="12679"/>
        <v>0</v>
      </c>
      <c r="Q7058" s="1" t="str">
        <f t="shared" si="12663"/>
        <v>0.0070</v>
      </c>
      <c r="R7058" s="1" t="s">
        <v>25</v>
      </c>
      <c r="T7058" s="1" t="str">
        <f t="shared" si="12664"/>
        <v>0</v>
      </c>
      <c r="U7058" s="1" t="str">
        <f t="shared" si="12648"/>
        <v>0.0070</v>
      </c>
    </row>
    <row r="7059" s="1" customFormat="1" spans="1:21">
      <c r="A7059" s="1" t="str">
        <f>"4601992312169"</f>
        <v>4601992312169</v>
      </c>
      <c r="B7059" s="1" t="s">
        <v>7082</v>
      </c>
      <c r="C7059" s="1" t="s">
        <v>24</v>
      </c>
      <c r="D7059" s="1" t="str">
        <f t="shared" si="12661"/>
        <v>2021</v>
      </c>
      <c r="E7059" s="1" t="str">
        <f t="shared" ref="E7059:P7059" si="12680">"0"</f>
        <v>0</v>
      </c>
      <c r="F7059" s="1" t="str">
        <f t="shared" si="12680"/>
        <v>0</v>
      </c>
      <c r="G7059" s="1" t="str">
        <f t="shared" si="12680"/>
        <v>0</v>
      </c>
      <c r="H7059" s="1" t="str">
        <f t="shared" si="12680"/>
        <v>0</v>
      </c>
      <c r="I7059" s="1" t="str">
        <f t="shared" si="12680"/>
        <v>0</v>
      </c>
      <c r="J7059" s="1" t="str">
        <f t="shared" si="12680"/>
        <v>0</v>
      </c>
      <c r="K7059" s="1" t="str">
        <f t="shared" si="12680"/>
        <v>0</v>
      </c>
      <c r="L7059" s="1" t="str">
        <f t="shared" si="12680"/>
        <v>0</v>
      </c>
      <c r="M7059" s="1" t="str">
        <f t="shared" si="12680"/>
        <v>0</v>
      </c>
      <c r="N7059" s="1" t="str">
        <f t="shared" si="12680"/>
        <v>0</v>
      </c>
      <c r="O7059" s="1" t="str">
        <f t="shared" si="12680"/>
        <v>0</v>
      </c>
      <c r="P7059" s="1" t="str">
        <f t="shared" si="12680"/>
        <v>0</v>
      </c>
      <c r="Q7059" s="1" t="str">
        <f t="shared" si="12663"/>
        <v>0.0070</v>
      </c>
      <c r="R7059" s="1" t="s">
        <v>25</v>
      </c>
      <c r="T7059" s="1" t="str">
        <f t="shared" si="12664"/>
        <v>0</v>
      </c>
      <c r="U7059" s="1" t="str">
        <f t="shared" si="12648"/>
        <v>0.0070</v>
      </c>
    </row>
    <row r="7060" s="1" customFormat="1" spans="1:21">
      <c r="A7060" s="1" t="str">
        <f>"4601992312135"</f>
        <v>4601992312135</v>
      </c>
      <c r="B7060" s="1" t="s">
        <v>7083</v>
      </c>
      <c r="C7060" s="1" t="s">
        <v>24</v>
      </c>
      <c r="D7060" s="1" t="str">
        <f t="shared" si="12661"/>
        <v>2021</v>
      </c>
      <c r="E7060" s="1" t="str">
        <f t="shared" ref="E7060:P7060" si="12681">"0"</f>
        <v>0</v>
      </c>
      <c r="F7060" s="1" t="str">
        <f t="shared" si="12681"/>
        <v>0</v>
      </c>
      <c r="G7060" s="1" t="str">
        <f t="shared" si="12681"/>
        <v>0</v>
      </c>
      <c r="H7060" s="1" t="str">
        <f t="shared" si="12681"/>
        <v>0</v>
      </c>
      <c r="I7060" s="1" t="str">
        <f t="shared" si="12681"/>
        <v>0</v>
      </c>
      <c r="J7060" s="1" t="str">
        <f t="shared" si="12681"/>
        <v>0</v>
      </c>
      <c r="K7060" s="1" t="str">
        <f t="shared" si="12681"/>
        <v>0</v>
      </c>
      <c r="L7060" s="1" t="str">
        <f t="shared" si="12681"/>
        <v>0</v>
      </c>
      <c r="M7060" s="1" t="str">
        <f t="shared" si="12681"/>
        <v>0</v>
      </c>
      <c r="N7060" s="1" t="str">
        <f t="shared" si="12681"/>
        <v>0</v>
      </c>
      <c r="O7060" s="1" t="str">
        <f t="shared" si="12681"/>
        <v>0</v>
      </c>
      <c r="P7060" s="1" t="str">
        <f t="shared" si="12681"/>
        <v>0</v>
      </c>
      <c r="Q7060" s="1" t="str">
        <f t="shared" si="12663"/>
        <v>0.0070</v>
      </c>
      <c r="R7060" s="1" t="s">
        <v>25</v>
      </c>
      <c r="T7060" s="1" t="str">
        <f t="shared" si="12664"/>
        <v>0</v>
      </c>
      <c r="U7060" s="1" t="str">
        <f t="shared" si="12648"/>
        <v>0.0070</v>
      </c>
    </row>
    <row r="7061" s="1" customFormat="1" spans="1:21">
      <c r="A7061" s="1" t="str">
        <f>"4601992312194"</f>
        <v>4601992312194</v>
      </c>
      <c r="B7061" s="1" t="s">
        <v>7084</v>
      </c>
      <c r="C7061" s="1" t="s">
        <v>24</v>
      </c>
      <c r="D7061" s="1" t="str">
        <f t="shared" si="12661"/>
        <v>2021</v>
      </c>
      <c r="E7061" s="1" t="str">
        <f t="shared" ref="E7061:P7061" si="12682">"0"</f>
        <v>0</v>
      </c>
      <c r="F7061" s="1" t="str">
        <f t="shared" si="12682"/>
        <v>0</v>
      </c>
      <c r="G7061" s="1" t="str">
        <f t="shared" si="12682"/>
        <v>0</v>
      </c>
      <c r="H7061" s="1" t="str">
        <f t="shared" si="12682"/>
        <v>0</v>
      </c>
      <c r="I7061" s="1" t="str">
        <f t="shared" si="12682"/>
        <v>0</v>
      </c>
      <c r="J7061" s="1" t="str">
        <f t="shared" si="12682"/>
        <v>0</v>
      </c>
      <c r="K7061" s="1" t="str">
        <f t="shared" si="12682"/>
        <v>0</v>
      </c>
      <c r="L7061" s="1" t="str">
        <f t="shared" si="12682"/>
        <v>0</v>
      </c>
      <c r="M7061" s="1" t="str">
        <f t="shared" si="12682"/>
        <v>0</v>
      </c>
      <c r="N7061" s="1" t="str">
        <f t="shared" si="12682"/>
        <v>0</v>
      </c>
      <c r="O7061" s="1" t="str">
        <f t="shared" si="12682"/>
        <v>0</v>
      </c>
      <c r="P7061" s="1" t="str">
        <f t="shared" si="12682"/>
        <v>0</v>
      </c>
      <c r="Q7061" s="1" t="str">
        <f t="shared" si="12663"/>
        <v>0.0070</v>
      </c>
      <c r="R7061" s="1" t="s">
        <v>25</v>
      </c>
      <c r="T7061" s="1" t="str">
        <f t="shared" si="12664"/>
        <v>0</v>
      </c>
      <c r="U7061" s="1" t="str">
        <f t="shared" si="12648"/>
        <v>0.0070</v>
      </c>
    </row>
    <row r="7062" s="1" customFormat="1" spans="1:21">
      <c r="A7062" s="1" t="str">
        <f>"4601992312305"</f>
        <v>4601992312305</v>
      </c>
      <c r="B7062" s="1" t="s">
        <v>7085</v>
      </c>
      <c r="C7062" s="1" t="s">
        <v>24</v>
      </c>
      <c r="D7062" s="1" t="str">
        <f t="shared" si="12661"/>
        <v>2021</v>
      </c>
      <c r="E7062" s="1" t="str">
        <f t="shared" ref="E7062:P7062" si="12683">"0"</f>
        <v>0</v>
      </c>
      <c r="F7062" s="1" t="str">
        <f t="shared" si="12683"/>
        <v>0</v>
      </c>
      <c r="G7062" s="1" t="str">
        <f t="shared" si="12683"/>
        <v>0</v>
      </c>
      <c r="H7062" s="1" t="str">
        <f t="shared" si="12683"/>
        <v>0</v>
      </c>
      <c r="I7062" s="1" t="str">
        <f t="shared" si="12683"/>
        <v>0</v>
      </c>
      <c r="J7062" s="1" t="str">
        <f t="shared" si="12683"/>
        <v>0</v>
      </c>
      <c r="K7062" s="1" t="str">
        <f t="shared" si="12683"/>
        <v>0</v>
      </c>
      <c r="L7062" s="1" t="str">
        <f t="shared" si="12683"/>
        <v>0</v>
      </c>
      <c r="M7062" s="1" t="str">
        <f t="shared" si="12683"/>
        <v>0</v>
      </c>
      <c r="N7062" s="1" t="str">
        <f t="shared" si="12683"/>
        <v>0</v>
      </c>
      <c r="O7062" s="1" t="str">
        <f t="shared" si="12683"/>
        <v>0</v>
      </c>
      <c r="P7062" s="1" t="str">
        <f t="shared" si="12683"/>
        <v>0</v>
      </c>
      <c r="Q7062" s="1" t="str">
        <f t="shared" si="12663"/>
        <v>0.0070</v>
      </c>
      <c r="R7062" s="1" t="s">
        <v>25</v>
      </c>
      <c r="T7062" s="1" t="str">
        <f t="shared" si="12664"/>
        <v>0</v>
      </c>
      <c r="U7062" s="1" t="str">
        <f t="shared" si="12648"/>
        <v>0.0070</v>
      </c>
    </row>
    <row r="7063" s="1" customFormat="1" spans="1:21">
      <c r="A7063" s="1" t="str">
        <f>"4601992312358"</f>
        <v>4601992312358</v>
      </c>
      <c r="B7063" s="1" t="s">
        <v>7086</v>
      </c>
      <c r="C7063" s="1" t="s">
        <v>24</v>
      </c>
      <c r="D7063" s="1" t="str">
        <f t="shared" si="12661"/>
        <v>2021</v>
      </c>
      <c r="E7063" s="1" t="str">
        <f t="shared" ref="E7063:P7063" si="12684">"0"</f>
        <v>0</v>
      </c>
      <c r="F7063" s="1" t="str">
        <f t="shared" si="12684"/>
        <v>0</v>
      </c>
      <c r="G7063" s="1" t="str">
        <f t="shared" si="12684"/>
        <v>0</v>
      </c>
      <c r="H7063" s="1" t="str">
        <f t="shared" si="12684"/>
        <v>0</v>
      </c>
      <c r="I7063" s="1" t="str">
        <f t="shared" si="12684"/>
        <v>0</v>
      </c>
      <c r="J7063" s="1" t="str">
        <f t="shared" si="12684"/>
        <v>0</v>
      </c>
      <c r="K7063" s="1" t="str">
        <f t="shared" si="12684"/>
        <v>0</v>
      </c>
      <c r="L7063" s="1" t="str">
        <f t="shared" si="12684"/>
        <v>0</v>
      </c>
      <c r="M7063" s="1" t="str">
        <f t="shared" si="12684"/>
        <v>0</v>
      </c>
      <c r="N7063" s="1" t="str">
        <f t="shared" si="12684"/>
        <v>0</v>
      </c>
      <c r="O7063" s="1" t="str">
        <f t="shared" si="12684"/>
        <v>0</v>
      </c>
      <c r="P7063" s="1" t="str">
        <f t="shared" si="12684"/>
        <v>0</v>
      </c>
      <c r="Q7063" s="1" t="str">
        <f t="shared" si="12663"/>
        <v>0.0070</v>
      </c>
      <c r="R7063" s="1" t="s">
        <v>25</v>
      </c>
      <c r="T7063" s="1" t="str">
        <f t="shared" si="12664"/>
        <v>0</v>
      </c>
      <c r="U7063" s="1" t="str">
        <f t="shared" si="12648"/>
        <v>0.0070</v>
      </c>
    </row>
    <row r="7064" s="1" customFormat="1" spans="1:21">
      <c r="A7064" s="1" t="str">
        <f>"4601992312365"</f>
        <v>4601992312365</v>
      </c>
      <c r="B7064" s="1" t="s">
        <v>7087</v>
      </c>
      <c r="C7064" s="1" t="s">
        <v>24</v>
      </c>
      <c r="D7064" s="1" t="str">
        <f t="shared" si="12661"/>
        <v>2021</v>
      </c>
      <c r="E7064" s="1" t="str">
        <f t="shared" ref="E7064:P7064" si="12685">"0"</f>
        <v>0</v>
      </c>
      <c r="F7064" s="1" t="str">
        <f t="shared" si="12685"/>
        <v>0</v>
      </c>
      <c r="G7064" s="1" t="str">
        <f t="shared" si="12685"/>
        <v>0</v>
      </c>
      <c r="H7064" s="1" t="str">
        <f t="shared" si="12685"/>
        <v>0</v>
      </c>
      <c r="I7064" s="1" t="str">
        <f t="shared" si="12685"/>
        <v>0</v>
      </c>
      <c r="J7064" s="1" t="str">
        <f t="shared" si="12685"/>
        <v>0</v>
      </c>
      <c r="K7064" s="1" t="str">
        <f t="shared" si="12685"/>
        <v>0</v>
      </c>
      <c r="L7064" s="1" t="str">
        <f t="shared" si="12685"/>
        <v>0</v>
      </c>
      <c r="M7064" s="1" t="str">
        <f t="shared" si="12685"/>
        <v>0</v>
      </c>
      <c r="N7064" s="1" t="str">
        <f t="shared" si="12685"/>
        <v>0</v>
      </c>
      <c r="O7064" s="1" t="str">
        <f t="shared" si="12685"/>
        <v>0</v>
      </c>
      <c r="P7064" s="1" t="str">
        <f t="shared" si="12685"/>
        <v>0</v>
      </c>
      <c r="Q7064" s="1" t="str">
        <f t="shared" si="12663"/>
        <v>0.0070</v>
      </c>
      <c r="R7064" s="1" t="s">
        <v>25</v>
      </c>
      <c r="T7064" s="1" t="str">
        <f t="shared" si="12664"/>
        <v>0</v>
      </c>
      <c r="U7064" s="1" t="str">
        <f t="shared" si="12648"/>
        <v>0.0070</v>
      </c>
    </row>
    <row r="7065" s="1" customFormat="1" spans="1:21">
      <c r="A7065" s="1" t="str">
        <f>"4601992312634"</f>
        <v>4601992312634</v>
      </c>
      <c r="B7065" s="1" t="s">
        <v>7088</v>
      </c>
      <c r="C7065" s="1" t="s">
        <v>24</v>
      </c>
      <c r="D7065" s="1" t="str">
        <f t="shared" si="12661"/>
        <v>2021</v>
      </c>
      <c r="E7065" s="1" t="str">
        <f t="shared" ref="E7065:P7065" si="12686">"0"</f>
        <v>0</v>
      </c>
      <c r="F7065" s="1" t="str">
        <f t="shared" si="12686"/>
        <v>0</v>
      </c>
      <c r="G7065" s="1" t="str">
        <f t="shared" si="12686"/>
        <v>0</v>
      </c>
      <c r="H7065" s="1" t="str">
        <f t="shared" si="12686"/>
        <v>0</v>
      </c>
      <c r="I7065" s="1" t="str">
        <f t="shared" si="12686"/>
        <v>0</v>
      </c>
      <c r="J7065" s="1" t="str">
        <f t="shared" si="12686"/>
        <v>0</v>
      </c>
      <c r="K7065" s="1" t="str">
        <f t="shared" si="12686"/>
        <v>0</v>
      </c>
      <c r="L7065" s="1" t="str">
        <f t="shared" si="12686"/>
        <v>0</v>
      </c>
      <c r="M7065" s="1" t="str">
        <f t="shared" si="12686"/>
        <v>0</v>
      </c>
      <c r="N7065" s="1" t="str">
        <f t="shared" si="12686"/>
        <v>0</v>
      </c>
      <c r="O7065" s="1" t="str">
        <f t="shared" si="12686"/>
        <v>0</v>
      </c>
      <c r="P7065" s="1" t="str">
        <f t="shared" si="12686"/>
        <v>0</v>
      </c>
      <c r="Q7065" s="1" t="str">
        <f t="shared" si="12663"/>
        <v>0.0070</v>
      </c>
      <c r="R7065" s="1" t="s">
        <v>25</v>
      </c>
      <c r="T7065" s="1" t="str">
        <f t="shared" si="12664"/>
        <v>0</v>
      </c>
      <c r="U7065" s="1" t="str">
        <f t="shared" si="12648"/>
        <v>0.0070</v>
      </c>
    </row>
    <row r="7066" s="1" customFormat="1" spans="1:21">
      <c r="A7066" s="1" t="str">
        <f>"4601992312417"</f>
        <v>4601992312417</v>
      </c>
      <c r="B7066" s="1" t="s">
        <v>7089</v>
      </c>
      <c r="C7066" s="1" t="s">
        <v>24</v>
      </c>
      <c r="D7066" s="1" t="str">
        <f t="shared" si="12661"/>
        <v>2021</v>
      </c>
      <c r="E7066" s="1" t="str">
        <f t="shared" ref="E7066:P7066" si="12687">"0"</f>
        <v>0</v>
      </c>
      <c r="F7066" s="1" t="str">
        <f t="shared" si="12687"/>
        <v>0</v>
      </c>
      <c r="G7066" s="1" t="str">
        <f t="shared" si="12687"/>
        <v>0</v>
      </c>
      <c r="H7066" s="1" t="str">
        <f t="shared" si="12687"/>
        <v>0</v>
      </c>
      <c r="I7066" s="1" t="str">
        <f t="shared" si="12687"/>
        <v>0</v>
      </c>
      <c r="J7066" s="1" t="str">
        <f t="shared" si="12687"/>
        <v>0</v>
      </c>
      <c r="K7066" s="1" t="str">
        <f t="shared" si="12687"/>
        <v>0</v>
      </c>
      <c r="L7066" s="1" t="str">
        <f t="shared" si="12687"/>
        <v>0</v>
      </c>
      <c r="M7066" s="1" t="str">
        <f t="shared" si="12687"/>
        <v>0</v>
      </c>
      <c r="N7066" s="1" t="str">
        <f t="shared" si="12687"/>
        <v>0</v>
      </c>
      <c r="O7066" s="1" t="str">
        <f t="shared" si="12687"/>
        <v>0</v>
      </c>
      <c r="P7066" s="1" t="str">
        <f t="shared" si="12687"/>
        <v>0</v>
      </c>
      <c r="Q7066" s="1" t="str">
        <f t="shared" si="12663"/>
        <v>0.0070</v>
      </c>
      <c r="R7066" s="1" t="s">
        <v>25</v>
      </c>
      <c r="T7066" s="1" t="str">
        <f t="shared" si="12664"/>
        <v>0</v>
      </c>
      <c r="U7066" s="1" t="str">
        <f t="shared" si="12648"/>
        <v>0.0070</v>
      </c>
    </row>
    <row r="7067" s="1" customFormat="1" spans="1:21">
      <c r="A7067" s="1" t="str">
        <f>"4601992312563"</f>
        <v>4601992312563</v>
      </c>
      <c r="B7067" s="1" t="s">
        <v>7090</v>
      </c>
      <c r="C7067" s="1" t="s">
        <v>24</v>
      </c>
      <c r="D7067" s="1" t="str">
        <f t="shared" si="12661"/>
        <v>2021</v>
      </c>
      <c r="E7067" s="1" t="str">
        <f t="shared" ref="E7067:P7067" si="12688">"0"</f>
        <v>0</v>
      </c>
      <c r="F7067" s="1" t="str">
        <f t="shared" si="12688"/>
        <v>0</v>
      </c>
      <c r="G7067" s="1" t="str">
        <f t="shared" si="12688"/>
        <v>0</v>
      </c>
      <c r="H7067" s="1" t="str">
        <f t="shared" si="12688"/>
        <v>0</v>
      </c>
      <c r="I7067" s="1" t="str">
        <f t="shared" si="12688"/>
        <v>0</v>
      </c>
      <c r="J7067" s="1" t="str">
        <f t="shared" si="12688"/>
        <v>0</v>
      </c>
      <c r="K7067" s="1" t="str">
        <f t="shared" si="12688"/>
        <v>0</v>
      </c>
      <c r="L7067" s="1" t="str">
        <f t="shared" si="12688"/>
        <v>0</v>
      </c>
      <c r="M7067" s="1" t="str">
        <f t="shared" si="12688"/>
        <v>0</v>
      </c>
      <c r="N7067" s="1" t="str">
        <f t="shared" si="12688"/>
        <v>0</v>
      </c>
      <c r="O7067" s="1" t="str">
        <f t="shared" si="12688"/>
        <v>0</v>
      </c>
      <c r="P7067" s="1" t="str">
        <f t="shared" si="12688"/>
        <v>0</v>
      </c>
      <c r="Q7067" s="1" t="str">
        <f t="shared" si="12663"/>
        <v>0.0070</v>
      </c>
      <c r="R7067" s="1" t="s">
        <v>25</v>
      </c>
      <c r="T7067" s="1" t="str">
        <f t="shared" si="12664"/>
        <v>0</v>
      </c>
      <c r="U7067" s="1" t="str">
        <f t="shared" si="12648"/>
        <v>0.0070</v>
      </c>
    </row>
    <row r="7068" s="1" customFormat="1" spans="1:21">
      <c r="A7068" s="1" t="str">
        <f>"4601992312738"</f>
        <v>4601992312738</v>
      </c>
      <c r="B7068" s="1" t="s">
        <v>7091</v>
      </c>
      <c r="C7068" s="1" t="s">
        <v>24</v>
      </c>
      <c r="D7068" s="1" t="str">
        <f t="shared" si="12661"/>
        <v>2021</v>
      </c>
      <c r="E7068" s="1" t="str">
        <f t="shared" ref="E7068:P7068" si="12689">"0"</f>
        <v>0</v>
      </c>
      <c r="F7068" s="1" t="str">
        <f t="shared" si="12689"/>
        <v>0</v>
      </c>
      <c r="G7068" s="1" t="str">
        <f t="shared" si="12689"/>
        <v>0</v>
      </c>
      <c r="H7068" s="1" t="str">
        <f t="shared" si="12689"/>
        <v>0</v>
      </c>
      <c r="I7068" s="1" t="str">
        <f t="shared" si="12689"/>
        <v>0</v>
      </c>
      <c r="J7068" s="1" t="str">
        <f t="shared" si="12689"/>
        <v>0</v>
      </c>
      <c r="K7068" s="1" t="str">
        <f t="shared" si="12689"/>
        <v>0</v>
      </c>
      <c r="L7068" s="1" t="str">
        <f t="shared" si="12689"/>
        <v>0</v>
      </c>
      <c r="M7068" s="1" t="str">
        <f t="shared" si="12689"/>
        <v>0</v>
      </c>
      <c r="N7068" s="1" t="str">
        <f t="shared" si="12689"/>
        <v>0</v>
      </c>
      <c r="O7068" s="1" t="str">
        <f t="shared" si="12689"/>
        <v>0</v>
      </c>
      <c r="P7068" s="1" t="str">
        <f t="shared" si="12689"/>
        <v>0</v>
      </c>
      <c r="Q7068" s="1" t="str">
        <f t="shared" si="12663"/>
        <v>0.0070</v>
      </c>
      <c r="R7068" s="1" t="s">
        <v>25</v>
      </c>
      <c r="T7068" s="1" t="str">
        <f t="shared" si="12664"/>
        <v>0</v>
      </c>
      <c r="U7068" s="1" t="str">
        <f t="shared" si="12648"/>
        <v>0.0070</v>
      </c>
    </row>
    <row r="7069" s="1" customFormat="1" spans="1:21">
      <c r="A7069" s="1" t="str">
        <f>"4601992312915"</f>
        <v>4601992312915</v>
      </c>
      <c r="B7069" s="1" t="s">
        <v>7092</v>
      </c>
      <c r="C7069" s="1" t="s">
        <v>24</v>
      </c>
      <c r="D7069" s="1" t="str">
        <f t="shared" si="12661"/>
        <v>2021</v>
      </c>
      <c r="E7069" s="1" t="str">
        <f t="shared" ref="E7069:P7069" si="12690">"0"</f>
        <v>0</v>
      </c>
      <c r="F7069" s="1" t="str">
        <f t="shared" si="12690"/>
        <v>0</v>
      </c>
      <c r="G7069" s="1" t="str">
        <f t="shared" si="12690"/>
        <v>0</v>
      </c>
      <c r="H7069" s="1" t="str">
        <f t="shared" si="12690"/>
        <v>0</v>
      </c>
      <c r="I7069" s="1" t="str">
        <f t="shared" si="12690"/>
        <v>0</v>
      </c>
      <c r="J7069" s="1" t="str">
        <f t="shared" si="12690"/>
        <v>0</v>
      </c>
      <c r="K7069" s="1" t="str">
        <f t="shared" si="12690"/>
        <v>0</v>
      </c>
      <c r="L7069" s="1" t="str">
        <f t="shared" si="12690"/>
        <v>0</v>
      </c>
      <c r="M7069" s="1" t="str">
        <f t="shared" si="12690"/>
        <v>0</v>
      </c>
      <c r="N7069" s="1" t="str">
        <f t="shared" si="12690"/>
        <v>0</v>
      </c>
      <c r="O7069" s="1" t="str">
        <f t="shared" si="12690"/>
        <v>0</v>
      </c>
      <c r="P7069" s="1" t="str">
        <f t="shared" si="12690"/>
        <v>0</v>
      </c>
      <c r="Q7069" s="1" t="str">
        <f t="shared" si="12663"/>
        <v>0.0070</v>
      </c>
      <c r="R7069" s="1" t="s">
        <v>25</v>
      </c>
      <c r="T7069" s="1" t="str">
        <f t="shared" si="12664"/>
        <v>0</v>
      </c>
      <c r="U7069" s="1" t="str">
        <f t="shared" si="12648"/>
        <v>0.0070</v>
      </c>
    </row>
    <row r="7070" s="1" customFormat="1" spans="1:21">
      <c r="A7070" s="1" t="str">
        <f>"4601992312920"</f>
        <v>4601992312920</v>
      </c>
      <c r="B7070" s="1" t="s">
        <v>7093</v>
      </c>
      <c r="C7070" s="1" t="s">
        <v>24</v>
      </c>
      <c r="D7070" s="1" t="str">
        <f t="shared" si="12661"/>
        <v>2021</v>
      </c>
      <c r="E7070" s="1" t="str">
        <f t="shared" ref="E7070:P7070" si="12691">"0"</f>
        <v>0</v>
      </c>
      <c r="F7070" s="1" t="str">
        <f t="shared" si="12691"/>
        <v>0</v>
      </c>
      <c r="G7070" s="1" t="str">
        <f t="shared" si="12691"/>
        <v>0</v>
      </c>
      <c r="H7070" s="1" t="str">
        <f t="shared" si="12691"/>
        <v>0</v>
      </c>
      <c r="I7070" s="1" t="str">
        <f t="shared" si="12691"/>
        <v>0</v>
      </c>
      <c r="J7070" s="1" t="str">
        <f t="shared" si="12691"/>
        <v>0</v>
      </c>
      <c r="K7070" s="1" t="str">
        <f t="shared" si="12691"/>
        <v>0</v>
      </c>
      <c r="L7070" s="1" t="str">
        <f t="shared" si="12691"/>
        <v>0</v>
      </c>
      <c r="M7070" s="1" t="str">
        <f t="shared" si="12691"/>
        <v>0</v>
      </c>
      <c r="N7070" s="1" t="str">
        <f t="shared" si="12691"/>
        <v>0</v>
      </c>
      <c r="O7070" s="1" t="str">
        <f t="shared" si="12691"/>
        <v>0</v>
      </c>
      <c r="P7070" s="1" t="str">
        <f t="shared" si="12691"/>
        <v>0</v>
      </c>
      <c r="Q7070" s="1" t="str">
        <f t="shared" si="12663"/>
        <v>0.0070</v>
      </c>
      <c r="R7070" s="1" t="s">
        <v>25</v>
      </c>
      <c r="T7070" s="1" t="str">
        <f t="shared" si="12664"/>
        <v>0</v>
      </c>
      <c r="U7070" s="1" t="str">
        <f t="shared" si="12648"/>
        <v>0.0070</v>
      </c>
    </row>
    <row r="7071" s="1" customFormat="1" spans="1:21">
      <c r="A7071" s="1" t="str">
        <f>"4601992312832"</f>
        <v>4601992312832</v>
      </c>
      <c r="B7071" s="1" t="s">
        <v>7094</v>
      </c>
      <c r="C7071" s="1" t="s">
        <v>24</v>
      </c>
      <c r="D7071" s="1" t="str">
        <f t="shared" si="12661"/>
        <v>2021</v>
      </c>
      <c r="E7071" s="1" t="str">
        <f t="shared" ref="E7071:P7071" si="12692">"0"</f>
        <v>0</v>
      </c>
      <c r="F7071" s="1" t="str">
        <f t="shared" si="12692"/>
        <v>0</v>
      </c>
      <c r="G7071" s="1" t="str">
        <f t="shared" si="12692"/>
        <v>0</v>
      </c>
      <c r="H7071" s="1" t="str">
        <f t="shared" si="12692"/>
        <v>0</v>
      </c>
      <c r="I7071" s="1" t="str">
        <f t="shared" si="12692"/>
        <v>0</v>
      </c>
      <c r="J7071" s="1" t="str">
        <f t="shared" si="12692"/>
        <v>0</v>
      </c>
      <c r="K7071" s="1" t="str">
        <f t="shared" si="12692"/>
        <v>0</v>
      </c>
      <c r="L7071" s="1" t="str">
        <f t="shared" si="12692"/>
        <v>0</v>
      </c>
      <c r="M7071" s="1" t="str">
        <f t="shared" si="12692"/>
        <v>0</v>
      </c>
      <c r="N7071" s="1" t="str">
        <f t="shared" si="12692"/>
        <v>0</v>
      </c>
      <c r="O7071" s="1" t="str">
        <f t="shared" si="12692"/>
        <v>0</v>
      </c>
      <c r="P7071" s="1" t="str">
        <f t="shared" si="12692"/>
        <v>0</v>
      </c>
      <c r="Q7071" s="1" t="str">
        <f t="shared" si="12663"/>
        <v>0.0070</v>
      </c>
      <c r="R7071" s="1" t="s">
        <v>25</v>
      </c>
      <c r="T7071" s="1" t="str">
        <f t="shared" si="12664"/>
        <v>0</v>
      </c>
      <c r="U7071" s="1" t="str">
        <f t="shared" si="12648"/>
        <v>0.0070</v>
      </c>
    </row>
    <row r="7072" s="1" customFormat="1" spans="1:21">
      <c r="A7072" s="1" t="str">
        <f>"4601992312998"</f>
        <v>4601992312998</v>
      </c>
      <c r="B7072" s="1" t="s">
        <v>7095</v>
      </c>
      <c r="C7072" s="1" t="s">
        <v>24</v>
      </c>
      <c r="D7072" s="1" t="str">
        <f t="shared" si="12661"/>
        <v>2021</v>
      </c>
      <c r="E7072" s="1" t="str">
        <f t="shared" ref="E7072:P7072" si="12693">"0"</f>
        <v>0</v>
      </c>
      <c r="F7072" s="1" t="str">
        <f t="shared" si="12693"/>
        <v>0</v>
      </c>
      <c r="G7072" s="1" t="str">
        <f t="shared" si="12693"/>
        <v>0</v>
      </c>
      <c r="H7072" s="1" t="str">
        <f t="shared" si="12693"/>
        <v>0</v>
      </c>
      <c r="I7072" s="1" t="str">
        <f t="shared" si="12693"/>
        <v>0</v>
      </c>
      <c r="J7072" s="1" t="str">
        <f t="shared" si="12693"/>
        <v>0</v>
      </c>
      <c r="K7072" s="1" t="str">
        <f t="shared" si="12693"/>
        <v>0</v>
      </c>
      <c r="L7072" s="1" t="str">
        <f t="shared" si="12693"/>
        <v>0</v>
      </c>
      <c r="M7072" s="1" t="str">
        <f t="shared" si="12693"/>
        <v>0</v>
      </c>
      <c r="N7072" s="1" t="str">
        <f t="shared" si="12693"/>
        <v>0</v>
      </c>
      <c r="O7072" s="1" t="str">
        <f t="shared" si="12693"/>
        <v>0</v>
      </c>
      <c r="P7072" s="1" t="str">
        <f t="shared" si="12693"/>
        <v>0</v>
      </c>
      <c r="Q7072" s="1" t="str">
        <f t="shared" si="12663"/>
        <v>0.0070</v>
      </c>
      <c r="R7072" s="1" t="s">
        <v>25</v>
      </c>
      <c r="T7072" s="1" t="str">
        <f t="shared" si="12664"/>
        <v>0</v>
      </c>
      <c r="U7072" s="1" t="str">
        <f t="shared" si="12648"/>
        <v>0.0070</v>
      </c>
    </row>
    <row r="7073" s="1" customFormat="1" spans="1:21">
      <c r="A7073" s="1" t="str">
        <f>"4601992313241"</f>
        <v>4601992313241</v>
      </c>
      <c r="B7073" s="1" t="s">
        <v>7096</v>
      </c>
      <c r="C7073" s="1" t="s">
        <v>24</v>
      </c>
      <c r="D7073" s="1" t="str">
        <f t="shared" si="12661"/>
        <v>2021</v>
      </c>
      <c r="E7073" s="1" t="str">
        <f t="shared" ref="E7073:P7073" si="12694">"0"</f>
        <v>0</v>
      </c>
      <c r="F7073" s="1" t="str">
        <f t="shared" si="12694"/>
        <v>0</v>
      </c>
      <c r="G7073" s="1" t="str">
        <f t="shared" si="12694"/>
        <v>0</v>
      </c>
      <c r="H7073" s="1" t="str">
        <f t="shared" si="12694"/>
        <v>0</v>
      </c>
      <c r="I7073" s="1" t="str">
        <f t="shared" si="12694"/>
        <v>0</v>
      </c>
      <c r="J7073" s="1" t="str">
        <f t="shared" si="12694"/>
        <v>0</v>
      </c>
      <c r="K7073" s="1" t="str">
        <f t="shared" si="12694"/>
        <v>0</v>
      </c>
      <c r="L7073" s="1" t="str">
        <f t="shared" si="12694"/>
        <v>0</v>
      </c>
      <c r="M7073" s="1" t="str">
        <f t="shared" si="12694"/>
        <v>0</v>
      </c>
      <c r="N7073" s="1" t="str">
        <f t="shared" si="12694"/>
        <v>0</v>
      </c>
      <c r="O7073" s="1" t="str">
        <f t="shared" si="12694"/>
        <v>0</v>
      </c>
      <c r="P7073" s="1" t="str">
        <f t="shared" si="12694"/>
        <v>0</v>
      </c>
      <c r="Q7073" s="1" t="str">
        <f t="shared" si="12663"/>
        <v>0.0070</v>
      </c>
      <c r="R7073" s="1" t="s">
        <v>25</v>
      </c>
      <c r="T7073" s="1" t="str">
        <f t="shared" si="12664"/>
        <v>0</v>
      </c>
      <c r="U7073" s="1" t="str">
        <f t="shared" si="12648"/>
        <v>0.0070</v>
      </c>
    </row>
    <row r="7074" s="1" customFormat="1" spans="1:21">
      <c r="A7074" s="1" t="str">
        <f>"4601992313180"</f>
        <v>4601992313180</v>
      </c>
      <c r="B7074" s="1" t="s">
        <v>7097</v>
      </c>
      <c r="C7074" s="1" t="s">
        <v>24</v>
      </c>
      <c r="D7074" s="1" t="str">
        <f t="shared" si="12661"/>
        <v>2021</v>
      </c>
      <c r="E7074" s="1" t="str">
        <f t="shared" ref="E7074:P7074" si="12695">"0"</f>
        <v>0</v>
      </c>
      <c r="F7074" s="1" t="str">
        <f t="shared" si="12695"/>
        <v>0</v>
      </c>
      <c r="G7074" s="1" t="str">
        <f t="shared" si="12695"/>
        <v>0</v>
      </c>
      <c r="H7074" s="1" t="str">
        <f t="shared" si="12695"/>
        <v>0</v>
      </c>
      <c r="I7074" s="1" t="str">
        <f t="shared" si="12695"/>
        <v>0</v>
      </c>
      <c r="J7074" s="1" t="str">
        <f t="shared" si="12695"/>
        <v>0</v>
      </c>
      <c r="K7074" s="1" t="str">
        <f t="shared" si="12695"/>
        <v>0</v>
      </c>
      <c r="L7074" s="1" t="str">
        <f t="shared" si="12695"/>
        <v>0</v>
      </c>
      <c r="M7074" s="1" t="str">
        <f t="shared" si="12695"/>
        <v>0</v>
      </c>
      <c r="N7074" s="1" t="str">
        <f t="shared" si="12695"/>
        <v>0</v>
      </c>
      <c r="O7074" s="1" t="str">
        <f t="shared" si="12695"/>
        <v>0</v>
      </c>
      <c r="P7074" s="1" t="str">
        <f t="shared" si="12695"/>
        <v>0</v>
      </c>
      <c r="Q7074" s="1" t="str">
        <f t="shared" si="12663"/>
        <v>0.0070</v>
      </c>
      <c r="R7074" s="1" t="s">
        <v>25</v>
      </c>
      <c r="T7074" s="1" t="str">
        <f t="shared" si="12664"/>
        <v>0</v>
      </c>
      <c r="U7074" s="1" t="str">
        <f t="shared" si="12648"/>
        <v>0.0070</v>
      </c>
    </row>
    <row r="7075" s="1" customFormat="1" spans="1:21">
      <c r="A7075" s="1" t="str">
        <f>"4601992313061"</f>
        <v>4601992313061</v>
      </c>
      <c r="B7075" s="1" t="s">
        <v>7098</v>
      </c>
      <c r="C7075" s="1" t="s">
        <v>24</v>
      </c>
      <c r="D7075" s="1" t="str">
        <f t="shared" si="12661"/>
        <v>2021</v>
      </c>
      <c r="E7075" s="1" t="str">
        <f t="shared" ref="E7075:P7075" si="12696">"0"</f>
        <v>0</v>
      </c>
      <c r="F7075" s="1" t="str">
        <f t="shared" si="12696"/>
        <v>0</v>
      </c>
      <c r="G7075" s="1" t="str">
        <f t="shared" si="12696"/>
        <v>0</v>
      </c>
      <c r="H7075" s="1" t="str">
        <f t="shared" si="12696"/>
        <v>0</v>
      </c>
      <c r="I7075" s="1" t="str">
        <f t="shared" si="12696"/>
        <v>0</v>
      </c>
      <c r="J7075" s="1" t="str">
        <f t="shared" si="12696"/>
        <v>0</v>
      </c>
      <c r="K7075" s="1" t="str">
        <f t="shared" si="12696"/>
        <v>0</v>
      </c>
      <c r="L7075" s="1" t="str">
        <f t="shared" si="12696"/>
        <v>0</v>
      </c>
      <c r="M7075" s="1" t="str">
        <f t="shared" si="12696"/>
        <v>0</v>
      </c>
      <c r="N7075" s="1" t="str">
        <f t="shared" si="12696"/>
        <v>0</v>
      </c>
      <c r="O7075" s="1" t="str">
        <f t="shared" si="12696"/>
        <v>0</v>
      </c>
      <c r="P7075" s="1" t="str">
        <f t="shared" si="12696"/>
        <v>0</v>
      </c>
      <c r="Q7075" s="1" t="str">
        <f t="shared" si="12663"/>
        <v>0.0070</v>
      </c>
      <c r="R7075" s="1" t="s">
        <v>25</v>
      </c>
      <c r="T7075" s="1" t="str">
        <f t="shared" si="12664"/>
        <v>0</v>
      </c>
      <c r="U7075" s="1" t="str">
        <f t="shared" si="12648"/>
        <v>0.0070</v>
      </c>
    </row>
    <row r="7076" s="1" customFormat="1" spans="1:21">
      <c r="A7076" s="1" t="str">
        <f>"4601992313292"</f>
        <v>4601992313292</v>
      </c>
      <c r="B7076" s="1" t="s">
        <v>7099</v>
      </c>
      <c r="C7076" s="1" t="s">
        <v>24</v>
      </c>
      <c r="D7076" s="1" t="str">
        <f t="shared" si="12661"/>
        <v>2021</v>
      </c>
      <c r="E7076" s="1" t="str">
        <f t="shared" ref="E7076:P7076" si="12697">"0"</f>
        <v>0</v>
      </c>
      <c r="F7076" s="1" t="str">
        <f t="shared" si="12697"/>
        <v>0</v>
      </c>
      <c r="G7076" s="1" t="str">
        <f t="shared" si="12697"/>
        <v>0</v>
      </c>
      <c r="H7076" s="1" t="str">
        <f t="shared" si="12697"/>
        <v>0</v>
      </c>
      <c r="I7076" s="1" t="str">
        <f t="shared" si="12697"/>
        <v>0</v>
      </c>
      <c r="J7076" s="1" t="str">
        <f t="shared" si="12697"/>
        <v>0</v>
      </c>
      <c r="K7076" s="1" t="str">
        <f t="shared" si="12697"/>
        <v>0</v>
      </c>
      <c r="L7076" s="1" t="str">
        <f t="shared" si="12697"/>
        <v>0</v>
      </c>
      <c r="M7076" s="1" t="str">
        <f t="shared" si="12697"/>
        <v>0</v>
      </c>
      <c r="N7076" s="1" t="str">
        <f t="shared" si="12697"/>
        <v>0</v>
      </c>
      <c r="O7076" s="1" t="str">
        <f t="shared" si="12697"/>
        <v>0</v>
      </c>
      <c r="P7076" s="1" t="str">
        <f t="shared" si="12697"/>
        <v>0</v>
      </c>
      <c r="Q7076" s="1" t="str">
        <f t="shared" si="12663"/>
        <v>0.0070</v>
      </c>
      <c r="R7076" s="1" t="s">
        <v>25</v>
      </c>
      <c r="T7076" s="1" t="str">
        <f t="shared" si="12664"/>
        <v>0</v>
      </c>
      <c r="U7076" s="1" t="str">
        <f t="shared" si="12648"/>
        <v>0.0070</v>
      </c>
    </row>
    <row r="7077" s="1" customFormat="1" spans="1:21">
      <c r="A7077" s="1" t="str">
        <f>"4601992313596"</f>
        <v>4601992313596</v>
      </c>
      <c r="B7077" s="1" t="s">
        <v>7100</v>
      </c>
      <c r="C7077" s="1" t="s">
        <v>24</v>
      </c>
      <c r="D7077" s="1" t="str">
        <f t="shared" si="12661"/>
        <v>2021</v>
      </c>
      <c r="E7077" s="1" t="str">
        <f t="shared" ref="E7077:P7077" si="12698">"0"</f>
        <v>0</v>
      </c>
      <c r="F7077" s="1" t="str">
        <f t="shared" si="12698"/>
        <v>0</v>
      </c>
      <c r="G7077" s="1" t="str">
        <f t="shared" si="12698"/>
        <v>0</v>
      </c>
      <c r="H7077" s="1" t="str">
        <f t="shared" si="12698"/>
        <v>0</v>
      </c>
      <c r="I7077" s="1" t="str">
        <f t="shared" si="12698"/>
        <v>0</v>
      </c>
      <c r="J7077" s="1" t="str">
        <f t="shared" si="12698"/>
        <v>0</v>
      </c>
      <c r="K7077" s="1" t="str">
        <f t="shared" si="12698"/>
        <v>0</v>
      </c>
      <c r="L7077" s="1" t="str">
        <f t="shared" si="12698"/>
        <v>0</v>
      </c>
      <c r="M7077" s="1" t="str">
        <f t="shared" si="12698"/>
        <v>0</v>
      </c>
      <c r="N7077" s="1" t="str">
        <f t="shared" si="12698"/>
        <v>0</v>
      </c>
      <c r="O7077" s="1" t="str">
        <f t="shared" si="12698"/>
        <v>0</v>
      </c>
      <c r="P7077" s="1" t="str">
        <f t="shared" si="12698"/>
        <v>0</v>
      </c>
      <c r="Q7077" s="1" t="str">
        <f t="shared" si="12663"/>
        <v>0.0070</v>
      </c>
      <c r="R7077" s="1" t="s">
        <v>25</v>
      </c>
      <c r="T7077" s="1" t="str">
        <f t="shared" si="12664"/>
        <v>0</v>
      </c>
      <c r="U7077" s="1" t="str">
        <f t="shared" si="12648"/>
        <v>0.0070</v>
      </c>
    </row>
    <row r="7078" s="1" customFormat="1" spans="1:21">
      <c r="A7078" s="1" t="str">
        <f>"4601992313486"</f>
        <v>4601992313486</v>
      </c>
      <c r="B7078" s="1" t="s">
        <v>7101</v>
      </c>
      <c r="C7078" s="1" t="s">
        <v>24</v>
      </c>
      <c r="D7078" s="1" t="str">
        <f t="shared" si="12661"/>
        <v>2021</v>
      </c>
      <c r="E7078" s="1" t="str">
        <f t="shared" ref="E7078:P7078" si="12699">"0"</f>
        <v>0</v>
      </c>
      <c r="F7078" s="1" t="str">
        <f t="shared" si="12699"/>
        <v>0</v>
      </c>
      <c r="G7078" s="1" t="str">
        <f t="shared" si="12699"/>
        <v>0</v>
      </c>
      <c r="H7078" s="1" t="str">
        <f t="shared" si="12699"/>
        <v>0</v>
      </c>
      <c r="I7078" s="1" t="str">
        <f t="shared" si="12699"/>
        <v>0</v>
      </c>
      <c r="J7078" s="1" t="str">
        <f t="shared" si="12699"/>
        <v>0</v>
      </c>
      <c r="K7078" s="1" t="str">
        <f t="shared" si="12699"/>
        <v>0</v>
      </c>
      <c r="L7078" s="1" t="str">
        <f t="shared" si="12699"/>
        <v>0</v>
      </c>
      <c r="M7078" s="1" t="str">
        <f t="shared" si="12699"/>
        <v>0</v>
      </c>
      <c r="N7078" s="1" t="str">
        <f t="shared" si="12699"/>
        <v>0</v>
      </c>
      <c r="O7078" s="1" t="str">
        <f t="shared" si="12699"/>
        <v>0</v>
      </c>
      <c r="P7078" s="1" t="str">
        <f t="shared" si="12699"/>
        <v>0</v>
      </c>
      <c r="Q7078" s="1" t="str">
        <f t="shared" si="12663"/>
        <v>0.0070</v>
      </c>
      <c r="R7078" s="1" t="s">
        <v>25</v>
      </c>
      <c r="T7078" s="1" t="str">
        <f t="shared" si="12664"/>
        <v>0</v>
      </c>
      <c r="U7078" s="1" t="str">
        <f t="shared" si="12648"/>
        <v>0.0070</v>
      </c>
    </row>
    <row r="7079" s="1" customFormat="1" spans="1:21">
      <c r="A7079" s="1" t="str">
        <f>"4601992313633"</f>
        <v>4601992313633</v>
      </c>
      <c r="B7079" s="1" t="s">
        <v>7102</v>
      </c>
      <c r="C7079" s="1" t="s">
        <v>24</v>
      </c>
      <c r="D7079" s="1" t="str">
        <f t="shared" si="12661"/>
        <v>2021</v>
      </c>
      <c r="E7079" s="1" t="str">
        <f t="shared" ref="E7079:P7079" si="12700">"0"</f>
        <v>0</v>
      </c>
      <c r="F7079" s="1" t="str">
        <f t="shared" si="12700"/>
        <v>0</v>
      </c>
      <c r="G7079" s="1" t="str">
        <f t="shared" si="12700"/>
        <v>0</v>
      </c>
      <c r="H7079" s="1" t="str">
        <f t="shared" si="12700"/>
        <v>0</v>
      </c>
      <c r="I7079" s="1" t="str">
        <f t="shared" si="12700"/>
        <v>0</v>
      </c>
      <c r="J7079" s="1" t="str">
        <f t="shared" si="12700"/>
        <v>0</v>
      </c>
      <c r="K7079" s="1" t="str">
        <f t="shared" si="12700"/>
        <v>0</v>
      </c>
      <c r="L7079" s="1" t="str">
        <f t="shared" si="12700"/>
        <v>0</v>
      </c>
      <c r="M7079" s="1" t="str">
        <f t="shared" si="12700"/>
        <v>0</v>
      </c>
      <c r="N7079" s="1" t="str">
        <f t="shared" si="12700"/>
        <v>0</v>
      </c>
      <c r="O7079" s="1" t="str">
        <f t="shared" si="12700"/>
        <v>0</v>
      </c>
      <c r="P7079" s="1" t="str">
        <f t="shared" si="12700"/>
        <v>0</v>
      </c>
      <c r="Q7079" s="1" t="str">
        <f t="shared" si="12663"/>
        <v>0.0070</v>
      </c>
      <c r="R7079" s="1" t="s">
        <v>25</v>
      </c>
      <c r="T7079" s="1" t="str">
        <f t="shared" si="12664"/>
        <v>0</v>
      </c>
      <c r="U7079" s="1" t="str">
        <f t="shared" si="12648"/>
        <v>0.0070</v>
      </c>
    </row>
    <row r="7080" s="1" customFormat="1" spans="1:21">
      <c r="A7080" s="1" t="str">
        <f>"4601992313614"</f>
        <v>4601992313614</v>
      </c>
      <c r="B7080" s="1" t="s">
        <v>7103</v>
      </c>
      <c r="C7080" s="1" t="s">
        <v>24</v>
      </c>
      <c r="D7080" s="1" t="str">
        <f t="shared" si="12661"/>
        <v>2021</v>
      </c>
      <c r="E7080" s="1" t="str">
        <f t="shared" ref="E7080:P7080" si="12701">"0"</f>
        <v>0</v>
      </c>
      <c r="F7080" s="1" t="str">
        <f t="shared" si="12701"/>
        <v>0</v>
      </c>
      <c r="G7080" s="1" t="str">
        <f t="shared" si="12701"/>
        <v>0</v>
      </c>
      <c r="H7080" s="1" t="str">
        <f t="shared" si="12701"/>
        <v>0</v>
      </c>
      <c r="I7080" s="1" t="str">
        <f t="shared" si="12701"/>
        <v>0</v>
      </c>
      <c r="J7080" s="1" t="str">
        <f t="shared" si="12701"/>
        <v>0</v>
      </c>
      <c r="K7080" s="1" t="str">
        <f t="shared" si="12701"/>
        <v>0</v>
      </c>
      <c r="L7080" s="1" t="str">
        <f t="shared" si="12701"/>
        <v>0</v>
      </c>
      <c r="M7080" s="1" t="str">
        <f t="shared" si="12701"/>
        <v>0</v>
      </c>
      <c r="N7080" s="1" t="str">
        <f t="shared" si="12701"/>
        <v>0</v>
      </c>
      <c r="O7080" s="1" t="str">
        <f t="shared" si="12701"/>
        <v>0</v>
      </c>
      <c r="P7080" s="1" t="str">
        <f t="shared" si="12701"/>
        <v>0</v>
      </c>
      <c r="Q7080" s="1" t="str">
        <f t="shared" si="12663"/>
        <v>0.0070</v>
      </c>
      <c r="R7080" s="1" t="s">
        <v>25</v>
      </c>
      <c r="T7080" s="1" t="str">
        <f t="shared" si="12664"/>
        <v>0</v>
      </c>
      <c r="U7080" s="1" t="str">
        <f t="shared" si="12648"/>
        <v>0.0070</v>
      </c>
    </row>
    <row r="7081" s="1" customFormat="1" spans="1:21">
      <c r="A7081" s="1" t="str">
        <f>"4601992313672"</f>
        <v>4601992313672</v>
      </c>
      <c r="B7081" s="1" t="s">
        <v>7104</v>
      </c>
      <c r="C7081" s="1" t="s">
        <v>24</v>
      </c>
      <c r="D7081" s="1" t="str">
        <f t="shared" si="12661"/>
        <v>2021</v>
      </c>
      <c r="E7081" s="1" t="str">
        <f t="shared" ref="E7081:P7081" si="12702">"0"</f>
        <v>0</v>
      </c>
      <c r="F7081" s="1" t="str">
        <f t="shared" si="12702"/>
        <v>0</v>
      </c>
      <c r="G7081" s="1" t="str">
        <f t="shared" si="12702"/>
        <v>0</v>
      </c>
      <c r="H7081" s="1" t="str">
        <f t="shared" si="12702"/>
        <v>0</v>
      </c>
      <c r="I7081" s="1" t="str">
        <f t="shared" si="12702"/>
        <v>0</v>
      </c>
      <c r="J7081" s="1" t="str">
        <f t="shared" si="12702"/>
        <v>0</v>
      </c>
      <c r="K7081" s="1" t="str">
        <f t="shared" si="12702"/>
        <v>0</v>
      </c>
      <c r="L7081" s="1" t="str">
        <f t="shared" si="12702"/>
        <v>0</v>
      </c>
      <c r="M7081" s="1" t="str">
        <f t="shared" si="12702"/>
        <v>0</v>
      </c>
      <c r="N7081" s="1" t="str">
        <f t="shared" si="12702"/>
        <v>0</v>
      </c>
      <c r="O7081" s="1" t="str">
        <f t="shared" si="12702"/>
        <v>0</v>
      </c>
      <c r="P7081" s="1" t="str">
        <f t="shared" si="12702"/>
        <v>0</v>
      </c>
      <c r="Q7081" s="1" t="str">
        <f t="shared" si="12663"/>
        <v>0.0070</v>
      </c>
      <c r="R7081" s="1" t="s">
        <v>25</v>
      </c>
      <c r="T7081" s="1" t="str">
        <f t="shared" si="12664"/>
        <v>0</v>
      </c>
      <c r="U7081" s="1" t="str">
        <f t="shared" si="12648"/>
        <v>0.0070</v>
      </c>
    </row>
    <row r="7082" s="1" customFormat="1" spans="1:21">
      <c r="A7082" s="1" t="str">
        <f>"4601992313674"</f>
        <v>4601992313674</v>
      </c>
      <c r="B7082" s="1" t="s">
        <v>7105</v>
      </c>
      <c r="C7082" s="1" t="s">
        <v>24</v>
      </c>
      <c r="D7082" s="1" t="str">
        <f t="shared" si="12661"/>
        <v>2021</v>
      </c>
      <c r="E7082" s="1" t="str">
        <f t="shared" ref="E7082:P7082" si="12703">"0"</f>
        <v>0</v>
      </c>
      <c r="F7082" s="1" t="str">
        <f t="shared" si="12703"/>
        <v>0</v>
      </c>
      <c r="G7082" s="1" t="str">
        <f t="shared" si="12703"/>
        <v>0</v>
      </c>
      <c r="H7082" s="1" t="str">
        <f t="shared" si="12703"/>
        <v>0</v>
      </c>
      <c r="I7082" s="1" t="str">
        <f t="shared" si="12703"/>
        <v>0</v>
      </c>
      <c r="J7082" s="1" t="str">
        <f t="shared" si="12703"/>
        <v>0</v>
      </c>
      <c r="K7082" s="1" t="str">
        <f t="shared" si="12703"/>
        <v>0</v>
      </c>
      <c r="L7082" s="1" t="str">
        <f t="shared" si="12703"/>
        <v>0</v>
      </c>
      <c r="M7082" s="1" t="str">
        <f t="shared" si="12703"/>
        <v>0</v>
      </c>
      <c r="N7082" s="1" t="str">
        <f t="shared" si="12703"/>
        <v>0</v>
      </c>
      <c r="O7082" s="1" t="str">
        <f t="shared" si="12703"/>
        <v>0</v>
      </c>
      <c r="P7082" s="1" t="str">
        <f t="shared" si="12703"/>
        <v>0</v>
      </c>
      <c r="Q7082" s="1" t="str">
        <f t="shared" si="12663"/>
        <v>0.0070</v>
      </c>
      <c r="R7082" s="1" t="s">
        <v>25</v>
      </c>
      <c r="T7082" s="1" t="str">
        <f t="shared" si="12664"/>
        <v>0</v>
      </c>
      <c r="U7082" s="1" t="str">
        <f t="shared" si="12648"/>
        <v>0.0070</v>
      </c>
    </row>
    <row r="7083" s="1" customFormat="1" spans="1:21">
      <c r="A7083" s="1" t="str">
        <f>"4601992313728"</f>
        <v>4601992313728</v>
      </c>
      <c r="B7083" s="1" t="s">
        <v>7106</v>
      </c>
      <c r="C7083" s="1" t="s">
        <v>24</v>
      </c>
      <c r="D7083" s="1" t="str">
        <f t="shared" si="12661"/>
        <v>2021</v>
      </c>
      <c r="E7083" s="1" t="str">
        <f t="shared" ref="E7083:P7083" si="12704">"0"</f>
        <v>0</v>
      </c>
      <c r="F7083" s="1" t="str">
        <f t="shared" si="12704"/>
        <v>0</v>
      </c>
      <c r="G7083" s="1" t="str">
        <f t="shared" si="12704"/>
        <v>0</v>
      </c>
      <c r="H7083" s="1" t="str">
        <f t="shared" si="12704"/>
        <v>0</v>
      </c>
      <c r="I7083" s="1" t="str">
        <f t="shared" si="12704"/>
        <v>0</v>
      </c>
      <c r="J7083" s="1" t="str">
        <f t="shared" si="12704"/>
        <v>0</v>
      </c>
      <c r="K7083" s="1" t="str">
        <f t="shared" si="12704"/>
        <v>0</v>
      </c>
      <c r="L7083" s="1" t="str">
        <f t="shared" si="12704"/>
        <v>0</v>
      </c>
      <c r="M7083" s="1" t="str">
        <f t="shared" si="12704"/>
        <v>0</v>
      </c>
      <c r="N7083" s="1" t="str">
        <f t="shared" si="12704"/>
        <v>0</v>
      </c>
      <c r="O7083" s="1" t="str">
        <f t="shared" si="12704"/>
        <v>0</v>
      </c>
      <c r="P7083" s="1" t="str">
        <f t="shared" si="12704"/>
        <v>0</v>
      </c>
      <c r="Q7083" s="1" t="str">
        <f t="shared" si="12663"/>
        <v>0.0070</v>
      </c>
      <c r="R7083" s="1" t="s">
        <v>25</v>
      </c>
      <c r="T7083" s="1" t="str">
        <f t="shared" si="12664"/>
        <v>0</v>
      </c>
      <c r="U7083" s="1" t="str">
        <f t="shared" si="12648"/>
        <v>0.0070</v>
      </c>
    </row>
    <row r="7084" s="1" customFormat="1" spans="1:21">
      <c r="A7084" s="1" t="str">
        <f>"4601992313848"</f>
        <v>4601992313848</v>
      </c>
      <c r="B7084" s="1" t="s">
        <v>7107</v>
      </c>
      <c r="C7084" s="1" t="s">
        <v>24</v>
      </c>
      <c r="D7084" s="1" t="str">
        <f t="shared" si="12661"/>
        <v>2021</v>
      </c>
      <c r="E7084" s="1" t="str">
        <f t="shared" ref="E7084:P7084" si="12705">"0"</f>
        <v>0</v>
      </c>
      <c r="F7084" s="1" t="str">
        <f t="shared" si="12705"/>
        <v>0</v>
      </c>
      <c r="G7084" s="1" t="str">
        <f t="shared" si="12705"/>
        <v>0</v>
      </c>
      <c r="H7084" s="1" t="str">
        <f t="shared" si="12705"/>
        <v>0</v>
      </c>
      <c r="I7084" s="1" t="str">
        <f t="shared" si="12705"/>
        <v>0</v>
      </c>
      <c r="J7084" s="1" t="str">
        <f t="shared" si="12705"/>
        <v>0</v>
      </c>
      <c r="K7084" s="1" t="str">
        <f t="shared" si="12705"/>
        <v>0</v>
      </c>
      <c r="L7084" s="1" t="str">
        <f t="shared" si="12705"/>
        <v>0</v>
      </c>
      <c r="M7084" s="1" t="str">
        <f t="shared" si="12705"/>
        <v>0</v>
      </c>
      <c r="N7084" s="1" t="str">
        <f t="shared" si="12705"/>
        <v>0</v>
      </c>
      <c r="O7084" s="1" t="str">
        <f t="shared" si="12705"/>
        <v>0</v>
      </c>
      <c r="P7084" s="1" t="str">
        <f t="shared" si="12705"/>
        <v>0</v>
      </c>
      <c r="Q7084" s="1" t="str">
        <f t="shared" si="12663"/>
        <v>0.0070</v>
      </c>
      <c r="R7084" s="1" t="s">
        <v>25</v>
      </c>
      <c r="T7084" s="1" t="str">
        <f t="shared" si="12664"/>
        <v>0</v>
      </c>
      <c r="U7084" s="1" t="str">
        <f t="shared" si="12648"/>
        <v>0.0070</v>
      </c>
    </row>
    <row r="7085" s="1" customFormat="1" spans="1:21">
      <c r="A7085" s="1" t="str">
        <f>"4601992314007"</f>
        <v>4601992314007</v>
      </c>
      <c r="B7085" s="1" t="s">
        <v>7108</v>
      </c>
      <c r="C7085" s="1" t="s">
        <v>24</v>
      </c>
      <c r="D7085" s="1" t="str">
        <f t="shared" si="12661"/>
        <v>2021</v>
      </c>
      <c r="E7085" s="1" t="str">
        <f t="shared" ref="E7085:P7085" si="12706">"0"</f>
        <v>0</v>
      </c>
      <c r="F7085" s="1" t="str">
        <f t="shared" si="12706"/>
        <v>0</v>
      </c>
      <c r="G7085" s="1" t="str">
        <f t="shared" si="12706"/>
        <v>0</v>
      </c>
      <c r="H7085" s="1" t="str">
        <f t="shared" si="12706"/>
        <v>0</v>
      </c>
      <c r="I7085" s="1" t="str">
        <f t="shared" si="12706"/>
        <v>0</v>
      </c>
      <c r="J7085" s="1" t="str">
        <f t="shared" si="12706"/>
        <v>0</v>
      </c>
      <c r="K7085" s="1" t="str">
        <f t="shared" si="12706"/>
        <v>0</v>
      </c>
      <c r="L7085" s="1" t="str">
        <f t="shared" si="12706"/>
        <v>0</v>
      </c>
      <c r="M7085" s="1" t="str">
        <f t="shared" si="12706"/>
        <v>0</v>
      </c>
      <c r="N7085" s="1" t="str">
        <f t="shared" si="12706"/>
        <v>0</v>
      </c>
      <c r="O7085" s="1" t="str">
        <f t="shared" si="12706"/>
        <v>0</v>
      </c>
      <c r="P7085" s="1" t="str">
        <f t="shared" si="12706"/>
        <v>0</v>
      </c>
      <c r="Q7085" s="1" t="str">
        <f t="shared" si="12663"/>
        <v>0.0070</v>
      </c>
      <c r="R7085" s="1" t="s">
        <v>25</v>
      </c>
      <c r="T7085" s="1" t="str">
        <f t="shared" si="12664"/>
        <v>0</v>
      </c>
      <c r="U7085" s="1" t="str">
        <f t="shared" si="12648"/>
        <v>0.0070</v>
      </c>
    </row>
    <row r="7086" s="1" customFormat="1" spans="1:21">
      <c r="A7086" s="1" t="str">
        <f>"4601992313851"</f>
        <v>4601992313851</v>
      </c>
      <c r="B7086" s="1" t="s">
        <v>7109</v>
      </c>
      <c r="C7086" s="1" t="s">
        <v>24</v>
      </c>
      <c r="D7086" s="1" t="str">
        <f t="shared" si="12661"/>
        <v>2021</v>
      </c>
      <c r="E7086" s="1" t="str">
        <f t="shared" ref="E7086:P7086" si="12707">"0"</f>
        <v>0</v>
      </c>
      <c r="F7086" s="1" t="str">
        <f t="shared" si="12707"/>
        <v>0</v>
      </c>
      <c r="G7086" s="1" t="str">
        <f t="shared" si="12707"/>
        <v>0</v>
      </c>
      <c r="H7086" s="1" t="str">
        <f t="shared" si="12707"/>
        <v>0</v>
      </c>
      <c r="I7086" s="1" t="str">
        <f t="shared" si="12707"/>
        <v>0</v>
      </c>
      <c r="J7086" s="1" t="str">
        <f t="shared" si="12707"/>
        <v>0</v>
      </c>
      <c r="K7086" s="1" t="str">
        <f t="shared" si="12707"/>
        <v>0</v>
      </c>
      <c r="L7086" s="1" t="str">
        <f t="shared" si="12707"/>
        <v>0</v>
      </c>
      <c r="M7086" s="1" t="str">
        <f t="shared" si="12707"/>
        <v>0</v>
      </c>
      <c r="N7086" s="1" t="str">
        <f t="shared" si="12707"/>
        <v>0</v>
      </c>
      <c r="O7086" s="1" t="str">
        <f t="shared" si="12707"/>
        <v>0</v>
      </c>
      <c r="P7086" s="1" t="str">
        <f t="shared" si="12707"/>
        <v>0</v>
      </c>
      <c r="Q7086" s="1" t="str">
        <f t="shared" si="12663"/>
        <v>0.0070</v>
      </c>
      <c r="R7086" s="1" t="s">
        <v>25</v>
      </c>
      <c r="T7086" s="1" t="str">
        <f t="shared" si="12664"/>
        <v>0</v>
      </c>
      <c r="U7086" s="1" t="str">
        <f t="shared" si="12648"/>
        <v>0.0070</v>
      </c>
    </row>
    <row r="7087" s="1" customFormat="1" spans="1:21">
      <c r="A7087" s="1" t="str">
        <f>"4601992314004"</f>
        <v>4601992314004</v>
      </c>
      <c r="B7087" s="1" t="s">
        <v>7110</v>
      </c>
      <c r="C7087" s="1" t="s">
        <v>24</v>
      </c>
      <c r="D7087" s="1" t="str">
        <f t="shared" si="12661"/>
        <v>2021</v>
      </c>
      <c r="E7087" s="1" t="str">
        <f t="shared" ref="E7087:P7087" si="12708">"0"</f>
        <v>0</v>
      </c>
      <c r="F7087" s="1" t="str">
        <f t="shared" si="12708"/>
        <v>0</v>
      </c>
      <c r="G7087" s="1" t="str">
        <f t="shared" si="12708"/>
        <v>0</v>
      </c>
      <c r="H7087" s="1" t="str">
        <f t="shared" si="12708"/>
        <v>0</v>
      </c>
      <c r="I7087" s="1" t="str">
        <f t="shared" si="12708"/>
        <v>0</v>
      </c>
      <c r="J7087" s="1" t="str">
        <f t="shared" si="12708"/>
        <v>0</v>
      </c>
      <c r="K7087" s="1" t="str">
        <f t="shared" si="12708"/>
        <v>0</v>
      </c>
      <c r="L7087" s="1" t="str">
        <f t="shared" si="12708"/>
        <v>0</v>
      </c>
      <c r="M7087" s="1" t="str">
        <f t="shared" si="12708"/>
        <v>0</v>
      </c>
      <c r="N7087" s="1" t="str">
        <f t="shared" si="12708"/>
        <v>0</v>
      </c>
      <c r="O7087" s="1" t="str">
        <f t="shared" si="12708"/>
        <v>0</v>
      </c>
      <c r="P7087" s="1" t="str">
        <f t="shared" si="12708"/>
        <v>0</v>
      </c>
      <c r="Q7087" s="1" t="str">
        <f t="shared" si="12663"/>
        <v>0.0070</v>
      </c>
      <c r="R7087" s="1" t="s">
        <v>25</v>
      </c>
      <c r="T7087" s="1" t="str">
        <f t="shared" si="12664"/>
        <v>0</v>
      </c>
      <c r="U7087" s="1" t="str">
        <f t="shared" si="12648"/>
        <v>0.0070</v>
      </c>
    </row>
    <row r="7088" s="1" customFormat="1" spans="1:21">
      <c r="A7088" s="1" t="str">
        <f>"4601992314026"</f>
        <v>4601992314026</v>
      </c>
      <c r="B7088" s="1" t="s">
        <v>7111</v>
      </c>
      <c r="C7088" s="1" t="s">
        <v>24</v>
      </c>
      <c r="D7088" s="1" t="str">
        <f t="shared" si="12661"/>
        <v>2021</v>
      </c>
      <c r="E7088" s="1" t="str">
        <f t="shared" ref="E7088:P7088" si="12709">"0"</f>
        <v>0</v>
      </c>
      <c r="F7088" s="1" t="str">
        <f t="shared" si="12709"/>
        <v>0</v>
      </c>
      <c r="G7088" s="1" t="str">
        <f t="shared" si="12709"/>
        <v>0</v>
      </c>
      <c r="H7088" s="1" t="str">
        <f t="shared" si="12709"/>
        <v>0</v>
      </c>
      <c r="I7088" s="1" t="str">
        <f t="shared" si="12709"/>
        <v>0</v>
      </c>
      <c r="J7088" s="1" t="str">
        <f t="shared" si="12709"/>
        <v>0</v>
      </c>
      <c r="K7088" s="1" t="str">
        <f t="shared" si="12709"/>
        <v>0</v>
      </c>
      <c r="L7088" s="1" t="str">
        <f t="shared" si="12709"/>
        <v>0</v>
      </c>
      <c r="M7088" s="1" t="str">
        <f t="shared" si="12709"/>
        <v>0</v>
      </c>
      <c r="N7088" s="1" t="str">
        <f t="shared" si="12709"/>
        <v>0</v>
      </c>
      <c r="O7088" s="1" t="str">
        <f t="shared" si="12709"/>
        <v>0</v>
      </c>
      <c r="P7088" s="1" t="str">
        <f t="shared" si="12709"/>
        <v>0</v>
      </c>
      <c r="Q7088" s="1" t="str">
        <f t="shared" si="12663"/>
        <v>0.0070</v>
      </c>
      <c r="R7088" s="1" t="s">
        <v>25</v>
      </c>
      <c r="T7088" s="1" t="str">
        <f t="shared" si="12664"/>
        <v>0</v>
      </c>
      <c r="U7088" s="1" t="str">
        <f t="shared" si="12648"/>
        <v>0.0070</v>
      </c>
    </row>
    <row r="7089" s="1" customFormat="1" spans="1:21">
      <c r="A7089" s="1" t="str">
        <f>"4601992314042"</f>
        <v>4601992314042</v>
      </c>
      <c r="B7089" s="1" t="s">
        <v>7112</v>
      </c>
      <c r="C7089" s="1" t="s">
        <v>24</v>
      </c>
      <c r="D7089" s="1" t="str">
        <f t="shared" si="12661"/>
        <v>2021</v>
      </c>
      <c r="E7089" s="1" t="str">
        <f t="shared" ref="E7089:P7089" si="12710">"0"</f>
        <v>0</v>
      </c>
      <c r="F7089" s="1" t="str">
        <f t="shared" si="12710"/>
        <v>0</v>
      </c>
      <c r="G7089" s="1" t="str">
        <f t="shared" si="12710"/>
        <v>0</v>
      </c>
      <c r="H7089" s="1" t="str">
        <f t="shared" si="12710"/>
        <v>0</v>
      </c>
      <c r="I7089" s="1" t="str">
        <f t="shared" si="12710"/>
        <v>0</v>
      </c>
      <c r="J7089" s="1" t="str">
        <f t="shared" si="12710"/>
        <v>0</v>
      </c>
      <c r="K7089" s="1" t="str">
        <f t="shared" si="12710"/>
        <v>0</v>
      </c>
      <c r="L7089" s="1" t="str">
        <f t="shared" si="12710"/>
        <v>0</v>
      </c>
      <c r="M7089" s="1" t="str">
        <f t="shared" si="12710"/>
        <v>0</v>
      </c>
      <c r="N7089" s="1" t="str">
        <f t="shared" si="12710"/>
        <v>0</v>
      </c>
      <c r="O7089" s="1" t="str">
        <f t="shared" si="12710"/>
        <v>0</v>
      </c>
      <c r="P7089" s="1" t="str">
        <f t="shared" si="12710"/>
        <v>0</v>
      </c>
      <c r="Q7089" s="1" t="str">
        <f t="shared" si="12663"/>
        <v>0.0070</v>
      </c>
      <c r="R7089" s="1" t="s">
        <v>25</v>
      </c>
      <c r="T7089" s="1" t="str">
        <f t="shared" si="12664"/>
        <v>0</v>
      </c>
      <c r="U7089" s="1" t="str">
        <f t="shared" si="12648"/>
        <v>0.0070</v>
      </c>
    </row>
    <row r="7090" s="1" customFormat="1" spans="1:21">
      <c r="A7090" s="1" t="str">
        <f>"4601992314069"</f>
        <v>4601992314069</v>
      </c>
      <c r="B7090" s="1" t="s">
        <v>7113</v>
      </c>
      <c r="C7090" s="1" t="s">
        <v>24</v>
      </c>
      <c r="D7090" s="1" t="str">
        <f t="shared" si="12661"/>
        <v>2021</v>
      </c>
      <c r="E7090" s="1" t="str">
        <f t="shared" ref="E7090:P7090" si="12711">"0"</f>
        <v>0</v>
      </c>
      <c r="F7090" s="1" t="str">
        <f t="shared" si="12711"/>
        <v>0</v>
      </c>
      <c r="G7090" s="1" t="str">
        <f t="shared" si="12711"/>
        <v>0</v>
      </c>
      <c r="H7090" s="1" t="str">
        <f t="shared" si="12711"/>
        <v>0</v>
      </c>
      <c r="I7090" s="1" t="str">
        <f t="shared" si="12711"/>
        <v>0</v>
      </c>
      <c r="J7090" s="1" t="str">
        <f t="shared" si="12711"/>
        <v>0</v>
      </c>
      <c r="K7090" s="1" t="str">
        <f t="shared" si="12711"/>
        <v>0</v>
      </c>
      <c r="L7090" s="1" t="str">
        <f t="shared" si="12711"/>
        <v>0</v>
      </c>
      <c r="M7090" s="1" t="str">
        <f t="shared" si="12711"/>
        <v>0</v>
      </c>
      <c r="N7090" s="1" t="str">
        <f t="shared" si="12711"/>
        <v>0</v>
      </c>
      <c r="O7090" s="1" t="str">
        <f t="shared" si="12711"/>
        <v>0</v>
      </c>
      <c r="P7090" s="1" t="str">
        <f t="shared" si="12711"/>
        <v>0</v>
      </c>
      <c r="Q7090" s="1" t="str">
        <f t="shared" si="12663"/>
        <v>0.0070</v>
      </c>
      <c r="R7090" s="1" t="s">
        <v>25</v>
      </c>
      <c r="T7090" s="1" t="str">
        <f t="shared" si="12664"/>
        <v>0</v>
      </c>
      <c r="U7090" s="1" t="str">
        <f t="shared" si="12648"/>
        <v>0.0070</v>
      </c>
    </row>
    <row r="7091" s="1" customFormat="1" spans="1:21">
      <c r="A7091" s="1" t="str">
        <f>"4601992314095"</f>
        <v>4601992314095</v>
      </c>
      <c r="B7091" s="1" t="s">
        <v>7114</v>
      </c>
      <c r="C7091" s="1" t="s">
        <v>24</v>
      </c>
      <c r="D7091" s="1" t="str">
        <f t="shared" si="12661"/>
        <v>2021</v>
      </c>
      <c r="E7091" s="1" t="str">
        <f t="shared" ref="E7091:P7091" si="12712">"0"</f>
        <v>0</v>
      </c>
      <c r="F7091" s="1" t="str">
        <f t="shared" si="12712"/>
        <v>0</v>
      </c>
      <c r="G7091" s="1" t="str">
        <f t="shared" si="12712"/>
        <v>0</v>
      </c>
      <c r="H7091" s="1" t="str">
        <f t="shared" si="12712"/>
        <v>0</v>
      </c>
      <c r="I7091" s="1" t="str">
        <f t="shared" si="12712"/>
        <v>0</v>
      </c>
      <c r="J7091" s="1" t="str">
        <f t="shared" si="12712"/>
        <v>0</v>
      </c>
      <c r="K7091" s="1" t="str">
        <f t="shared" si="12712"/>
        <v>0</v>
      </c>
      <c r="L7091" s="1" t="str">
        <f t="shared" si="12712"/>
        <v>0</v>
      </c>
      <c r="M7091" s="1" t="str">
        <f t="shared" si="12712"/>
        <v>0</v>
      </c>
      <c r="N7091" s="1" t="str">
        <f t="shared" si="12712"/>
        <v>0</v>
      </c>
      <c r="O7091" s="1" t="str">
        <f t="shared" si="12712"/>
        <v>0</v>
      </c>
      <c r="P7091" s="1" t="str">
        <f t="shared" si="12712"/>
        <v>0</v>
      </c>
      <c r="Q7091" s="1" t="str">
        <f t="shared" si="12663"/>
        <v>0.0070</v>
      </c>
      <c r="R7091" s="1" t="s">
        <v>25</v>
      </c>
      <c r="T7091" s="1" t="str">
        <f t="shared" si="12664"/>
        <v>0</v>
      </c>
      <c r="U7091" s="1" t="str">
        <f t="shared" si="12648"/>
        <v>0.0070</v>
      </c>
    </row>
    <row r="7092" s="1" customFormat="1" spans="1:21">
      <c r="A7092" s="1" t="str">
        <f>"4601992314194"</f>
        <v>4601992314194</v>
      </c>
      <c r="B7092" s="1" t="s">
        <v>7115</v>
      </c>
      <c r="C7092" s="1" t="s">
        <v>24</v>
      </c>
      <c r="D7092" s="1" t="str">
        <f t="shared" si="12661"/>
        <v>2021</v>
      </c>
      <c r="E7092" s="1" t="str">
        <f t="shared" ref="E7092:P7092" si="12713">"0"</f>
        <v>0</v>
      </c>
      <c r="F7092" s="1" t="str">
        <f t="shared" si="12713"/>
        <v>0</v>
      </c>
      <c r="G7092" s="1" t="str">
        <f t="shared" si="12713"/>
        <v>0</v>
      </c>
      <c r="H7092" s="1" t="str">
        <f t="shared" si="12713"/>
        <v>0</v>
      </c>
      <c r="I7092" s="1" t="str">
        <f t="shared" si="12713"/>
        <v>0</v>
      </c>
      <c r="J7092" s="1" t="str">
        <f t="shared" si="12713"/>
        <v>0</v>
      </c>
      <c r="K7092" s="1" t="str">
        <f t="shared" si="12713"/>
        <v>0</v>
      </c>
      <c r="L7092" s="1" t="str">
        <f t="shared" si="12713"/>
        <v>0</v>
      </c>
      <c r="M7092" s="1" t="str">
        <f t="shared" si="12713"/>
        <v>0</v>
      </c>
      <c r="N7092" s="1" t="str">
        <f t="shared" si="12713"/>
        <v>0</v>
      </c>
      <c r="O7092" s="1" t="str">
        <f t="shared" si="12713"/>
        <v>0</v>
      </c>
      <c r="P7092" s="1" t="str">
        <f t="shared" si="12713"/>
        <v>0</v>
      </c>
      <c r="Q7092" s="1" t="str">
        <f t="shared" si="12663"/>
        <v>0.0070</v>
      </c>
      <c r="R7092" s="1" t="s">
        <v>25</v>
      </c>
      <c r="T7092" s="1" t="str">
        <f t="shared" si="12664"/>
        <v>0</v>
      </c>
      <c r="U7092" s="1" t="str">
        <f t="shared" si="12648"/>
        <v>0.0070</v>
      </c>
    </row>
    <row r="7093" s="1" customFormat="1" spans="1:21">
      <c r="A7093" s="1" t="str">
        <f>"4601992314201"</f>
        <v>4601992314201</v>
      </c>
      <c r="B7093" s="1" t="s">
        <v>7116</v>
      </c>
      <c r="C7093" s="1" t="s">
        <v>24</v>
      </c>
      <c r="D7093" s="1" t="str">
        <f t="shared" si="12661"/>
        <v>2021</v>
      </c>
      <c r="E7093" s="1" t="str">
        <f t="shared" ref="E7093:P7093" si="12714">"0"</f>
        <v>0</v>
      </c>
      <c r="F7093" s="1" t="str">
        <f t="shared" si="12714"/>
        <v>0</v>
      </c>
      <c r="G7093" s="1" t="str">
        <f t="shared" si="12714"/>
        <v>0</v>
      </c>
      <c r="H7093" s="1" t="str">
        <f t="shared" si="12714"/>
        <v>0</v>
      </c>
      <c r="I7093" s="1" t="str">
        <f t="shared" si="12714"/>
        <v>0</v>
      </c>
      <c r="J7093" s="1" t="str">
        <f t="shared" si="12714"/>
        <v>0</v>
      </c>
      <c r="K7093" s="1" t="str">
        <f t="shared" si="12714"/>
        <v>0</v>
      </c>
      <c r="L7093" s="1" t="str">
        <f t="shared" si="12714"/>
        <v>0</v>
      </c>
      <c r="M7093" s="1" t="str">
        <f t="shared" si="12714"/>
        <v>0</v>
      </c>
      <c r="N7093" s="1" t="str">
        <f t="shared" si="12714"/>
        <v>0</v>
      </c>
      <c r="O7093" s="1" t="str">
        <f t="shared" si="12714"/>
        <v>0</v>
      </c>
      <c r="P7093" s="1" t="str">
        <f t="shared" si="12714"/>
        <v>0</v>
      </c>
      <c r="Q7093" s="1" t="str">
        <f t="shared" si="12663"/>
        <v>0.0070</v>
      </c>
      <c r="R7093" s="1" t="s">
        <v>25</v>
      </c>
      <c r="T7093" s="1" t="str">
        <f t="shared" si="12664"/>
        <v>0</v>
      </c>
      <c r="U7093" s="1" t="str">
        <f t="shared" si="12648"/>
        <v>0.0070</v>
      </c>
    </row>
    <row r="7094" s="1" customFormat="1" spans="1:21">
      <c r="A7094" s="1" t="str">
        <f>"4601992314236"</f>
        <v>4601992314236</v>
      </c>
      <c r="B7094" s="1" t="s">
        <v>7117</v>
      </c>
      <c r="C7094" s="1" t="s">
        <v>24</v>
      </c>
      <c r="D7094" s="1" t="str">
        <f t="shared" si="12661"/>
        <v>2021</v>
      </c>
      <c r="E7094" s="1" t="str">
        <f t="shared" ref="E7094:P7094" si="12715">"0"</f>
        <v>0</v>
      </c>
      <c r="F7094" s="1" t="str">
        <f t="shared" si="12715"/>
        <v>0</v>
      </c>
      <c r="G7094" s="1" t="str">
        <f t="shared" si="12715"/>
        <v>0</v>
      </c>
      <c r="H7094" s="1" t="str">
        <f t="shared" si="12715"/>
        <v>0</v>
      </c>
      <c r="I7094" s="1" t="str">
        <f t="shared" si="12715"/>
        <v>0</v>
      </c>
      <c r="J7094" s="1" t="str">
        <f t="shared" si="12715"/>
        <v>0</v>
      </c>
      <c r="K7094" s="1" t="str">
        <f t="shared" si="12715"/>
        <v>0</v>
      </c>
      <c r="L7094" s="1" t="str">
        <f t="shared" si="12715"/>
        <v>0</v>
      </c>
      <c r="M7094" s="1" t="str">
        <f t="shared" si="12715"/>
        <v>0</v>
      </c>
      <c r="N7094" s="1" t="str">
        <f t="shared" si="12715"/>
        <v>0</v>
      </c>
      <c r="O7094" s="1" t="str">
        <f t="shared" si="12715"/>
        <v>0</v>
      </c>
      <c r="P7094" s="1" t="str">
        <f t="shared" si="12715"/>
        <v>0</v>
      </c>
      <c r="Q7094" s="1" t="str">
        <f t="shared" si="12663"/>
        <v>0.0070</v>
      </c>
      <c r="R7094" s="1" t="s">
        <v>25</v>
      </c>
      <c r="T7094" s="1" t="str">
        <f t="shared" si="12664"/>
        <v>0</v>
      </c>
      <c r="U7094" s="1" t="str">
        <f t="shared" ref="U7094:U7157" si="12716">"0.0070"</f>
        <v>0.0070</v>
      </c>
    </row>
    <row r="7095" s="1" customFormat="1" spans="1:21">
      <c r="A7095" s="1" t="str">
        <f>"4601992314254"</f>
        <v>4601992314254</v>
      </c>
      <c r="B7095" s="1" t="s">
        <v>7118</v>
      </c>
      <c r="C7095" s="1" t="s">
        <v>24</v>
      </c>
      <c r="D7095" s="1" t="str">
        <f t="shared" si="12661"/>
        <v>2021</v>
      </c>
      <c r="E7095" s="1" t="str">
        <f t="shared" ref="E7095:P7095" si="12717">"0"</f>
        <v>0</v>
      </c>
      <c r="F7095" s="1" t="str">
        <f t="shared" si="12717"/>
        <v>0</v>
      </c>
      <c r="G7095" s="1" t="str">
        <f t="shared" si="12717"/>
        <v>0</v>
      </c>
      <c r="H7095" s="1" t="str">
        <f t="shared" si="12717"/>
        <v>0</v>
      </c>
      <c r="I7095" s="1" t="str">
        <f t="shared" si="12717"/>
        <v>0</v>
      </c>
      <c r="J7095" s="1" t="str">
        <f t="shared" si="12717"/>
        <v>0</v>
      </c>
      <c r="K7095" s="1" t="str">
        <f t="shared" si="12717"/>
        <v>0</v>
      </c>
      <c r="L7095" s="1" t="str">
        <f t="shared" si="12717"/>
        <v>0</v>
      </c>
      <c r="M7095" s="1" t="str">
        <f t="shared" si="12717"/>
        <v>0</v>
      </c>
      <c r="N7095" s="1" t="str">
        <f t="shared" si="12717"/>
        <v>0</v>
      </c>
      <c r="O7095" s="1" t="str">
        <f t="shared" si="12717"/>
        <v>0</v>
      </c>
      <c r="P7095" s="1" t="str">
        <f t="shared" si="12717"/>
        <v>0</v>
      </c>
      <c r="Q7095" s="1" t="str">
        <f t="shared" si="12663"/>
        <v>0.0070</v>
      </c>
      <c r="R7095" s="1" t="s">
        <v>25</v>
      </c>
      <c r="T7095" s="1" t="str">
        <f t="shared" si="12664"/>
        <v>0</v>
      </c>
      <c r="U7095" s="1" t="str">
        <f t="shared" si="12716"/>
        <v>0.0070</v>
      </c>
    </row>
    <row r="7096" s="1" customFormat="1" spans="1:21">
      <c r="A7096" s="1" t="str">
        <f>"4601992314281"</f>
        <v>4601992314281</v>
      </c>
      <c r="B7096" s="1" t="s">
        <v>7119</v>
      </c>
      <c r="C7096" s="1" t="s">
        <v>24</v>
      </c>
      <c r="D7096" s="1" t="str">
        <f t="shared" si="12661"/>
        <v>2021</v>
      </c>
      <c r="E7096" s="1" t="str">
        <f t="shared" ref="E7096:P7096" si="12718">"0"</f>
        <v>0</v>
      </c>
      <c r="F7096" s="1" t="str">
        <f t="shared" si="12718"/>
        <v>0</v>
      </c>
      <c r="G7096" s="1" t="str">
        <f t="shared" si="12718"/>
        <v>0</v>
      </c>
      <c r="H7096" s="1" t="str">
        <f t="shared" si="12718"/>
        <v>0</v>
      </c>
      <c r="I7096" s="1" t="str">
        <f t="shared" si="12718"/>
        <v>0</v>
      </c>
      <c r="J7096" s="1" t="str">
        <f t="shared" si="12718"/>
        <v>0</v>
      </c>
      <c r="K7096" s="1" t="str">
        <f t="shared" si="12718"/>
        <v>0</v>
      </c>
      <c r="L7096" s="1" t="str">
        <f t="shared" si="12718"/>
        <v>0</v>
      </c>
      <c r="M7096" s="1" t="str">
        <f t="shared" si="12718"/>
        <v>0</v>
      </c>
      <c r="N7096" s="1" t="str">
        <f t="shared" si="12718"/>
        <v>0</v>
      </c>
      <c r="O7096" s="1" t="str">
        <f t="shared" si="12718"/>
        <v>0</v>
      </c>
      <c r="P7096" s="1" t="str">
        <f t="shared" si="12718"/>
        <v>0</v>
      </c>
      <c r="Q7096" s="1" t="str">
        <f t="shared" si="12663"/>
        <v>0.0070</v>
      </c>
      <c r="R7096" s="1" t="s">
        <v>25</v>
      </c>
      <c r="T7096" s="1" t="str">
        <f t="shared" si="12664"/>
        <v>0</v>
      </c>
      <c r="U7096" s="1" t="str">
        <f t="shared" si="12716"/>
        <v>0.0070</v>
      </c>
    </row>
    <row r="7097" s="1" customFormat="1" spans="1:21">
      <c r="A7097" s="1" t="str">
        <f>"4601992314333"</f>
        <v>4601992314333</v>
      </c>
      <c r="B7097" s="1" t="s">
        <v>7120</v>
      </c>
      <c r="C7097" s="1" t="s">
        <v>24</v>
      </c>
      <c r="D7097" s="1" t="str">
        <f t="shared" si="12661"/>
        <v>2021</v>
      </c>
      <c r="E7097" s="1" t="str">
        <f t="shared" ref="E7097:P7097" si="12719">"0"</f>
        <v>0</v>
      </c>
      <c r="F7097" s="1" t="str">
        <f t="shared" si="12719"/>
        <v>0</v>
      </c>
      <c r="G7097" s="1" t="str">
        <f t="shared" si="12719"/>
        <v>0</v>
      </c>
      <c r="H7097" s="1" t="str">
        <f t="shared" si="12719"/>
        <v>0</v>
      </c>
      <c r="I7097" s="1" t="str">
        <f t="shared" si="12719"/>
        <v>0</v>
      </c>
      <c r="J7097" s="1" t="str">
        <f t="shared" si="12719"/>
        <v>0</v>
      </c>
      <c r="K7097" s="1" t="str">
        <f t="shared" si="12719"/>
        <v>0</v>
      </c>
      <c r="L7097" s="1" t="str">
        <f t="shared" si="12719"/>
        <v>0</v>
      </c>
      <c r="M7097" s="1" t="str">
        <f t="shared" si="12719"/>
        <v>0</v>
      </c>
      <c r="N7097" s="1" t="str">
        <f t="shared" si="12719"/>
        <v>0</v>
      </c>
      <c r="O7097" s="1" t="str">
        <f t="shared" si="12719"/>
        <v>0</v>
      </c>
      <c r="P7097" s="1" t="str">
        <f t="shared" si="12719"/>
        <v>0</v>
      </c>
      <c r="Q7097" s="1" t="str">
        <f t="shared" si="12663"/>
        <v>0.0070</v>
      </c>
      <c r="R7097" s="1" t="s">
        <v>25</v>
      </c>
      <c r="T7097" s="1" t="str">
        <f t="shared" si="12664"/>
        <v>0</v>
      </c>
      <c r="U7097" s="1" t="str">
        <f t="shared" si="12716"/>
        <v>0.0070</v>
      </c>
    </row>
    <row r="7098" s="1" customFormat="1" spans="1:21">
      <c r="A7098" s="1" t="str">
        <f>"4601992314401"</f>
        <v>4601992314401</v>
      </c>
      <c r="B7098" s="1" t="s">
        <v>7121</v>
      </c>
      <c r="C7098" s="1" t="s">
        <v>24</v>
      </c>
      <c r="D7098" s="1" t="str">
        <f t="shared" si="12661"/>
        <v>2021</v>
      </c>
      <c r="E7098" s="1" t="str">
        <f t="shared" ref="E7098:P7098" si="12720">"0"</f>
        <v>0</v>
      </c>
      <c r="F7098" s="1" t="str">
        <f t="shared" si="12720"/>
        <v>0</v>
      </c>
      <c r="G7098" s="1" t="str">
        <f t="shared" si="12720"/>
        <v>0</v>
      </c>
      <c r="H7098" s="1" t="str">
        <f t="shared" si="12720"/>
        <v>0</v>
      </c>
      <c r="I7098" s="1" t="str">
        <f t="shared" si="12720"/>
        <v>0</v>
      </c>
      <c r="J7098" s="1" t="str">
        <f t="shared" si="12720"/>
        <v>0</v>
      </c>
      <c r="K7098" s="1" t="str">
        <f t="shared" si="12720"/>
        <v>0</v>
      </c>
      <c r="L7098" s="1" t="str">
        <f t="shared" si="12720"/>
        <v>0</v>
      </c>
      <c r="M7098" s="1" t="str">
        <f t="shared" si="12720"/>
        <v>0</v>
      </c>
      <c r="N7098" s="1" t="str">
        <f t="shared" si="12720"/>
        <v>0</v>
      </c>
      <c r="O7098" s="1" t="str">
        <f t="shared" si="12720"/>
        <v>0</v>
      </c>
      <c r="P7098" s="1" t="str">
        <f t="shared" si="12720"/>
        <v>0</v>
      </c>
      <c r="Q7098" s="1" t="str">
        <f t="shared" si="12663"/>
        <v>0.0070</v>
      </c>
      <c r="R7098" s="1" t="s">
        <v>25</v>
      </c>
      <c r="T7098" s="1" t="str">
        <f t="shared" si="12664"/>
        <v>0</v>
      </c>
      <c r="U7098" s="1" t="str">
        <f t="shared" si="12716"/>
        <v>0.0070</v>
      </c>
    </row>
    <row r="7099" s="1" customFormat="1" spans="1:21">
      <c r="A7099" s="1" t="str">
        <f>"4601992314496"</f>
        <v>4601992314496</v>
      </c>
      <c r="B7099" s="1" t="s">
        <v>7122</v>
      </c>
      <c r="C7099" s="1" t="s">
        <v>24</v>
      </c>
      <c r="D7099" s="1" t="str">
        <f t="shared" si="12661"/>
        <v>2021</v>
      </c>
      <c r="E7099" s="1" t="str">
        <f t="shared" ref="E7099:P7099" si="12721">"0"</f>
        <v>0</v>
      </c>
      <c r="F7099" s="1" t="str">
        <f t="shared" si="12721"/>
        <v>0</v>
      </c>
      <c r="G7099" s="1" t="str">
        <f t="shared" si="12721"/>
        <v>0</v>
      </c>
      <c r="H7099" s="1" t="str">
        <f t="shared" si="12721"/>
        <v>0</v>
      </c>
      <c r="I7099" s="1" t="str">
        <f t="shared" si="12721"/>
        <v>0</v>
      </c>
      <c r="J7099" s="1" t="str">
        <f t="shared" si="12721"/>
        <v>0</v>
      </c>
      <c r="K7099" s="1" t="str">
        <f t="shared" si="12721"/>
        <v>0</v>
      </c>
      <c r="L7099" s="1" t="str">
        <f t="shared" si="12721"/>
        <v>0</v>
      </c>
      <c r="M7099" s="1" t="str">
        <f t="shared" si="12721"/>
        <v>0</v>
      </c>
      <c r="N7099" s="1" t="str">
        <f t="shared" si="12721"/>
        <v>0</v>
      </c>
      <c r="O7099" s="1" t="str">
        <f t="shared" si="12721"/>
        <v>0</v>
      </c>
      <c r="P7099" s="1" t="str">
        <f t="shared" si="12721"/>
        <v>0</v>
      </c>
      <c r="Q7099" s="1" t="str">
        <f t="shared" si="12663"/>
        <v>0.0070</v>
      </c>
      <c r="R7099" s="1" t="s">
        <v>25</v>
      </c>
      <c r="T7099" s="1" t="str">
        <f t="shared" si="12664"/>
        <v>0</v>
      </c>
      <c r="U7099" s="1" t="str">
        <f t="shared" si="12716"/>
        <v>0.0070</v>
      </c>
    </row>
    <row r="7100" s="1" customFormat="1" spans="1:21">
      <c r="A7100" s="1" t="str">
        <f>"4601992314500"</f>
        <v>4601992314500</v>
      </c>
      <c r="B7100" s="1" t="s">
        <v>7123</v>
      </c>
      <c r="C7100" s="1" t="s">
        <v>24</v>
      </c>
      <c r="D7100" s="1" t="str">
        <f t="shared" si="12661"/>
        <v>2021</v>
      </c>
      <c r="E7100" s="1" t="str">
        <f t="shared" ref="E7100:P7100" si="12722">"0"</f>
        <v>0</v>
      </c>
      <c r="F7100" s="1" t="str">
        <f t="shared" si="12722"/>
        <v>0</v>
      </c>
      <c r="G7100" s="1" t="str">
        <f t="shared" si="12722"/>
        <v>0</v>
      </c>
      <c r="H7100" s="1" t="str">
        <f t="shared" si="12722"/>
        <v>0</v>
      </c>
      <c r="I7100" s="1" t="str">
        <f t="shared" si="12722"/>
        <v>0</v>
      </c>
      <c r="J7100" s="1" t="str">
        <f t="shared" si="12722"/>
        <v>0</v>
      </c>
      <c r="K7100" s="1" t="str">
        <f t="shared" si="12722"/>
        <v>0</v>
      </c>
      <c r="L7100" s="1" t="str">
        <f t="shared" si="12722"/>
        <v>0</v>
      </c>
      <c r="M7100" s="1" t="str">
        <f t="shared" si="12722"/>
        <v>0</v>
      </c>
      <c r="N7100" s="1" t="str">
        <f t="shared" si="12722"/>
        <v>0</v>
      </c>
      <c r="O7100" s="1" t="str">
        <f t="shared" si="12722"/>
        <v>0</v>
      </c>
      <c r="P7100" s="1" t="str">
        <f t="shared" si="12722"/>
        <v>0</v>
      </c>
      <c r="Q7100" s="1" t="str">
        <f t="shared" si="12663"/>
        <v>0.0070</v>
      </c>
      <c r="R7100" s="1" t="s">
        <v>25</v>
      </c>
      <c r="T7100" s="1" t="str">
        <f t="shared" si="12664"/>
        <v>0</v>
      </c>
      <c r="U7100" s="1" t="str">
        <f t="shared" si="12716"/>
        <v>0.0070</v>
      </c>
    </row>
    <row r="7101" s="1" customFormat="1" spans="1:21">
      <c r="A7101" s="1" t="str">
        <f>"4601992314560"</f>
        <v>4601992314560</v>
      </c>
      <c r="B7101" s="1" t="s">
        <v>7124</v>
      </c>
      <c r="C7101" s="1" t="s">
        <v>24</v>
      </c>
      <c r="D7101" s="1" t="str">
        <f t="shared" si="12661"/>
        <v>2021</v>
      </c>
      <c r="E7101" s="1" t="str">
        <f t="shared" ref="E7101:P7101" si="12723">"0"</f>
        <v>0</v>
      </c>
      <c r="F7101" s="1" t="str">
        <f t="shared" si="12723"/>
        <v>0</v>
      </c>
      <c r="G7101" s="1" t="str">
        <f t="shared" si="12723"/>
        <v>0</v>
      </c>
      <c r="H7101" s="1" t="str">
        <f t="shared" si="12723"/>
        <v>0</v>
      </c>
      <c r="I7101" s="1" t="str">
        <f t="shared" si="12723"/>
        <v>0</v>
      </c>
      <c r="J7101" s="1" t="str">
        <f t="shared" si="12723"/>
        <v>0</v>
      </c>
      <c r="K7101" s="1" t="str">
        <f t="shared" si="12723"/>
        <v>0</v>
      </c>
      <c r="L7101" s="1" t="str">
        <f t="shared" si="12723"/>
        <v>0</v>
      </c>
      <c r="M7101" s="1" t="str">
        <f t="shared" si="12723"/>
        <v>0</v>
      </c>
      <c r="N7101" s="1" t="str">
        <f t="shared" si="12723"/>
        <v>0</v>
      </c>
      <c r="O7101" s="1" t="str">
        <f t="shared" si="12723"/>
        <v>0</v>
      </c>
      <c r="P7101" s="1" t="str">
        <f t="shared" si="12723"/>
        <v>0</v>
      </c>
      <c r="Q7101" s="1" t="str">
        <f t="shared" si="12663"/>
        <v>0.0070</v>
      </c>
      <c r="R7101" s="1" t="s">
        <v>25</v>
      </c>
      <c r="T7101" s="1" t="str">
        <f t="shared" si="12664"/>
        <v>0</v>
      </c>
      <c r="U7101" s="1" t="str">
        <f t="shared" si="12716"/>
        <v>0.0070</v>
      </c>
    </row>
    <row r="7102" s="1" customFormat="1" spans="1:21">
      <c r="A7102" s="1" t="str">
        <f>"4601992314651"</f>
        <v>4601992314651</v>
      </c>
      <c r="B7102" s="1" t="s">
        <v>7125</v>
      </c>
      <c r="C7102" s="1" t="s">
        <v>24</v>
      </c>
      <c r="D7102" s="1" t="str">
        <f t="shared" si="12661"/>
        <v>2021</v>
      </c>
      <c r="E7102" s="1" t="str">
        <f t="shared" ref="E7102:P7102" si="12724">"0"</f>
        <v>0</v>
      </c>
      <c r="F7102" s="1" t="str">
        <f t="shared" si="12724"/>
        <v>0</v>
      </c>
      <c r="G7102" s="1" t="str">
        <f t="shared" si="12724"/>
        <v>0</v>
      </c>
      <c r="H7102" s="1" t="str">
        <f t="shared" si="12724"/>
        <v>0</v>
      </c>
      <c r="I7102" s="1" t="str">
        <f t="shared" si="12724"/>
        <v>0</v>
      </c>
      <c r="J7102" s="1" t="str">
        <f t="shared" si="12724"/>
        <v>0</v>
      </c>
      <c r="K7102" s="1" t="str">
        <f t="shared" si="12724"/>
        <v>0</v>
      </c>
      <c r="L7102" s="1" t="str">
        <f t="shared" si="12724"/>
        <v>0</v>
      </c>
      <c r="M7102" s="1" t="str">
        <f t="shared" si="12724"/>
        <v>0</v>
      </c>
      <c r="N7102" s="1" t="str">
        <f t="shared" si="12724"/>
        <v>0</v>
      </c>
      <c r="O7102" s="1" t="str">
        <f t="shared" si="12724"/>
        <v>0</v>
      </c>
      <c r="P7102" s="1" t="str">
        <f t="shared" si="12724"/>
        <v>0</v>
      </c>
      <c r="Q7102" s="1" t="str">
        <f t="shared" si="12663"/>
        <v>0.0070</v>
      </c>
      <c r="R7102" s="1" t="s">
        <v>25</v>
      </c>
      <c r="T7102" s="1" t="str">
        <f t="shared" si="12664"/>
        <v>0</v>
      </c>
      <c r="U7102" s="1" t="str">
        <f t="shared" si="12716"/>
        <v>0.0070</v>
      </c>
    </row>
    <row r="7103" s="1" customFormat="1" spans="1:21">
      <c r="A7103" s="1" t="str">
        <f>"4601992314621"</f>
        <v>4601992314621</v>
      </c>
      <c r="B7103" s="1" t="s">
        <v>7126</v>
      </c>
      <c r="C7103" s="1" t="s">
        <v>24</v>
      </c>
      <c r="D7103" s="1" t="str">
        <f t="shared" si="12661"/>
        <v>2021</v>
      </c>
      <c r="E7103" s="1" t="str">
        <f t="shared" ref="E7103:P7103" si="12725">"0"</f>
        <v>0</v>
      </c>
      <c r="F7103" s="1" t="str">
        <f t="shared" si="12725"/>
        <v>0</v>
      </c>
      <c r="G7103" s="1" t="str">
        <f t="shared" si="12725"/>
        <v>0</v>
      </c>
      <c r="H7103" s="1" t="str">
        <f t="shared" si="12725"/>
        <v>0</v>
      </c>
      <c r="I7103" s="1" t="str">
        <f t="shared" si="12725"/>
        <v>0</v>
      </c>
      <c r="J7103" s="1" t="str">
        <f t="shared" si="12725"/>
        <v>0</v>
      </c>
      <c r="K7103" s="1" t="str">
        <f t="shared" si="12725"/>
        <v>0</v>
      </c>
      <c r="L7103" s="1" t="str">
        <f t="shared" si="12725"/>
        <v>0</v>
      </c>
      <c r="M7103" s="1" t="str">
        <f t="shared" si="12725"/>
        <v>0</v>
      </c>
      <c r="N7103" s="1" t="str">
        <f t="shared" si="12725"/>
        <v>0</v>
      </c>
      <c r="O7103" s="1" t="str">
        <f t="shared" si="12725"/>
        <v>0</v>
      </c>
      <c r="P7103" s="1" t="str">
        <f t="shared" si="12725"/>
        <v>0</v>
      </c>
      <c r="Q7103" s="1" t="str">
        <f t="shared" si="12663"/>
        <v>0.0070</v>
      </c>
      <c r="R7103" s="1" t="s">
        <v>25</v>
      </c>
      <c r="T7103" s="1" t="str">
        <f t="shared" si="12664"/>
        <v>0</v>
      </c>
      <c r="U7103" s="1" t="str">
        <f t="shared" si="12716"/>
        <v>0.0070</v>
      </c>
    </row>
    <row r="7104" s="1" customFormat="1" spans="1:21">
      <c r="A7104" s="1" t="str">
        <f>"4601992314669"</f>
        <v>4601992314669</v>
      </c>
      <c r="B7104" s="1" t="s">
        <v>7127</v>
      </c>
      <c r="C7104" s="1" t="s">
        <v>24</v>
      </c>
      <c r="D7104" s="1" t="str">
        <f t="shared" si="12661"/>
        <v>2021</v>
      </c>
      <c r="E7104" s="1" t="str">
        <f t="shared" ref="E7104:P7104" si="12726">"0"</f>
        <v>0</v>
      </c>
      <c r="F7104" s="1" t="str">
        <f t="shared" si="12726"/>
        <v>0</v>
      </c>
      <c r="G7104" s="1" t="str">
        <f t="shared" si="12726"/>
        <v>0</v>
      </c>
      <c r="H7104" s="1" t="str">
        <f t="shared" si="12726"/>
        <v>0</v>
      </c>
      <c r="I7104" s="1" t="str">
        <f t="shared" si="12726"/>
        <v>0</v>
      </c>
      <c r="J7104" s="1" t="str">
        <f t="shared" si="12726"/>
        <v>0</v>
      </c>
      <c r="K7104" s="1" t="str">
        <f t="shared" si="12726"/>
        <v>0</v>
      </c>
      <c r="L7104" s="1" t="str">
        <f t="shared" si="12726"/>
        <v>0</v>
      </c>
      <c r="M7104" s="1" t="str">
        <f t="shared" si="12726"/>
        <v>0</v>
      </c>
      <c r="N7104" s="1" t="str">
        <f t="shared" si="12726"/>
        <v>0</v>
      </c>
      <c r="O7104" s="1" t="str">
        <f t="shared" si="12726"/>
        <v>0</v>
      </c>
      <c r="P7104" s="1" t="str">
        <f t="shared" si="12726"/>
        <v>0</v>
      </c>
      <c r="Q7104" s="1" t="str">
        <f t="shared" si="12663"/>
        <v>0.0070</v>
      </c>
      <c r="R7104" s="1" t="s">
        <v>25</v>
      </c>
      <c r="T7104" s="1" t="str">
        <f t="shared" si="12664"/>
        <v>0</v>
      </c>
      <c r="U7104" s="1" t="str">
        <f t="shared" si="12716"/>
        <v>0.0070</v>
      </c>
    </row>
    <row r="7105" s="1" customFormat="1" spans="1:21">
      <c r="A7105" s="1" t="str">
        <f>"4601992314957"</f>
        <v>4601992314957</v>
      </c>
      <c r="B7105" s="1" t="s">
        <v>7128</v>
      </c>
      <c r="C7105" s="1" t="s">
        <v>24</v>
      </c>
      <c r="D7105" s="1" t="str">
        <f t="shared" si="12661"/>
        <v>2021</v>
      </c>
      <c r="E7105" s="1" t="str">
        <f t="shared" ref="E7105:P7105" si="12727">"0"</f>
        <v>0</v>
      </c>
      <c r="F7105" s="1" t="str">
        <f t="shared" si="12727"/>
        <v>0</v>
      </c>
      <c r="G7105" s="1" t="str">
        <f t="shared" si="12727"/>
        <v>0</v>
      </c>
      <c r="H7105" s="1" t="str">
        <f t="shared" si="12727"/>
        <v>0</v>
      </c>
      <c r="I7105" s="1" t="str">
        <f t="shared" si="12727"/>
        <v>0</v>
      </c>
      <c r="J7105" s="1" t="str">
        <f t="shared" si="12727"/>
        <v>0</v>
      </c>
      <c r="K7105" s="1" t="str">
        <f t="shared" si="12727"/>
        <v>0</v>
      </c>
      <c r="L7105" s="1" t="str">
        <f t="shared" si="12727"/>
        <v>0</v>
      </c>
      <c r="M7105" s="1" t="str">
        <f t="shared" si="12727"/>
        <v>0</v>
      </c>
      <c r="N7105" s="1" t="str">
        <f t="shared" si="12727"/>
        <v>0</v>
      </c>
      <c r="O7105" s="1" t="str">
        <f t="shared" si="12727"/>
        <v>0</v>
      </c>
      <c r="P7105" s="1" t="str">
        <f t="shared" si="12727"/>
        <v>0</v>
      </c>
      <c r="Q7105" s="1" t="str">
        <f t="shared" si="12663"/>
        <v>0.0070</v>
      </c>
      <c r="R7105" s="1" t="s">
        <v>25</v>
      </c>
      <c r="T7105" s="1" t="str">
        <f t="shared" si="12664"/>
        <v>0</v>
      </c>
      <c r="U7105" s="1" t="str">
        <f t="shared" si="12716"/>
        <v>0.0070</v>
      </c>
    </row>
    <row r="7106" s="1" customFormat="1" spans="1:21">
      <c r="A7106" s="1" t="str">
        <f>"4601992315041"</f>
        <v>4601992315041</v>
      </c>
      <c r="B7106" s="1" t="s">
        <v>7129</v>
      </c>
      <c r="C7106" s="1" t="s">
        <v>24</v>
      </c>
      <c r="D7106" s="1" t="str">
        <f t="shared" si="12661"/>
        <v>2021</v>
      </c>
      <c r="E7106" s="1" t="str">
        <f t="shared" ref="E7106:P7106" si="12728">"0"</f>
        <v>0</v>
      </c>
      <c r="F7106" s="1" t="str">
        <f t="shared" si="12728"/>
        <v>0</v>
      </c>
      <c r="G7106" s="1" t="str">
        <f t="shared" si="12728"/>
        <v>0</v>
      </c>
      <c r="H7106" s="1" t="str">
        <f t="shared" si="12728"/>
        <v>0</v>
      </c>
      <c r="I7106" s="1" t="str">
        <f t="shared" si="12728"/>
        <v>0</v>
      </c>
      <c r="J7106" s="1" t="str">
        <f t="shared" si="12728"/>
        <v>0</v>
      </c>
      <c r="K7106" s="1" t="str">
        <f t="shared" si="12728"/>
        <v>0</v>
      </c>
      <c r="L7106" s="1" t="str">
        <f t="shared" si="12728"/>
        <v>0</v>
      </c>
      <c r="M7106" s="1" t="str">
        <f t="shared" si="12728"/>
        <v>0</v>
      </c>
      <c r="N7106" s="1" t="str">
        <f t="shared" si="12728"/>
        <v>0</v>
      </c>
      <c r="O7106" s="1" t="str">
        <f t="shared" si="12728"/>
        <v>0</v>
      </c>
      <c r="P7106" s="1" t="str">
        <f t="shared" si="12728"/>
        <v>0</v>
      </c>
      <c r="Q7106" s="1" t="str">
        <f t="shared" si="12663"/>
        <v>0.0070</v>
      </c>
      <c r="R7106" s="1" t="s">
        <v>25</v>
      </c>
      <c r="T7106" s="1" t="str">
        <f t="shared" si="12664"/>
        <v>0</v>
      </c>
      <c r="U7106" s="1" t="str">
        <f t="shared" si="12716"/>
        <v>0.0070</v>
      </c>
    </row>
    <row r="7107" s="1" customFormat="1" spans="1:21">
      <c r="A7107" s="1" t="str">
        <f>"4601992315186"</f>
        <v>4601992315186</v>
      </c>
      <c r="B7107" s="1" t="s">
        <v>7130</v>
      </c>
      <c r="C7107" s="1" t="s">
        <v>24</v>
      </c>
      <c r="D7107" s="1" t="str">
        <f t="shared" ref="D7107:D7170" si="12729">"2021"</f>
        <v>2021</v>
      </c>
      <c r="E7107" s="1" t="str">
        <f t="shared" ref="E7107:P7107" si="12730">"0"</f>
        <v>0</v>
      </c>
      <c r="F7107" s="1" t="str">
        <f t="shared" si="12730"/>
        <v>0</v>
      </c>
      <c r="G7107" s="1" t="str">
        <f t="shared" si="12730"/>
        <v>0</v>
      </c>
      <c r="H7107" s="1" t="str">
        <f t="shared" si="12730"/>
        <v>0</v>
      </c>
      <c r="I7107" s="1" t="str">
        <f t="shared" si="12730"/>
        <v>0</v>
      </c>
      <c r="J7107" s="1" t="str">
        <f t="shared" si="12730"/>
        <v>0</v>
      </c>
      <c r="K7107" s="1" t="str">
        <f t="shared" si="12730"/>
        <v>0</v>
      </c>
      <c r="L7107" s="1" t="str">
        <f t="shared" si="12730"/>
        <v>0</v>
      </c>
      <c r="M7107" s="1" t="str">
        <f t="shared" si="12730"/>
        <v>0</v>
      </c>
      <c r="N7107" s="1" t="str">
        <f t="shared" si="12730"/>
        <v>0</v>
      </c>
      <c r="O7107" s="1" t="str">
        <f t="shared" si="12730"/>
        <v>0</v>
      </c>
      <c r="P7107" s="1" t="str">
        <f t="shared" si="12730"/>
        <v>0</v>
      </c>
      <c r="Q7107" s="1" t="str">
        <f t="shared" ref="Q7107:Q7170" si="12731">"0.0070"</f>
        <v>0.0070</v>
      </c>
      <c r="R7107" s="1" t="s">
        <v>25</v>
      </c>
      <c r="T7107" s="1" t="str">
        <f t="shared" ref="T7107:T7170" si="12732">"0"</f>
        <v>0</v>
      </c>
      <c r="U7107" s="1" t="str">
        <f t="shared" si="12716"/>
        <v>0.0070</v>
      </c>
    </row>
    <row r="7108" s="1" customFormat="1" spans="1:21">
      <c r="A7108" s="1" t="str">
        <f>"4601992315056"</f>
        <v>4601992315056</v>
      </c>
      <c r="B7108" s="1" t="s">
        <v>7131</v>
      </c>
      <c r="C7108" s="1" t="s">
        <v>24</v>
      </c>
      <c r="D7108" s="1" t="str">
        <f t="shared" si="12729"/>
        <v>2021</v>
      </c>
      <c r="E7108" s="1" t="str">
        <f t="shared" ref="E7108:P7108" si="12733">"0"</f>
        <v>0</v>
      </c>
      <c r="F7108" s="1" t="str">
        <f t="shared" si="12733"/>
        <v>0</v>
      </c>
      <c r="G7108" s="1" t="str">
        <f t="shared" si="12733"/>
        <v>0</v>
      </c>
      <c r="H7108" s="1" t="str">
        <f t="shared" si="12733"/>
        <v>0</v>
      </c>
      <c r="I7108" s="1" t="str">
        <f t="shared" si="12733"/>
        <v>0</v>
      </c>
      <c r="J7108" s="1" t="str">
        <f t="shared" si="12733"/>
        <v>0</v>
      </c>
      <c r="K7108" s="1" t="str">
        <f t="shared" si="12733"/>
        <v>0</v>
      </c>
      <c r="L7108" s="1" t="str">
        <f t="shared" si="12733"/>
        <v>0</v>
      </c>
      <c r="M7108" s="1" t="str">
        <f t="shared" si="12733"/>
        <v>0</v>
      </c>
      <c r="N7108" s="1" t="str">
        <f t="shared" si="12733"/>
        <v>0</v>
      </c>
      <c r="O7108" s="1" t="str">
        <f t="shared" si="12733"/>
        <v>0</v>
      </c>
      <c r="P7108" s="1" t="str">
        <f t="shared" si="12733"/>
        <v>0</v>
      </c>
      <c r="Q7108" s="1" t="str">
        <f t="shared" si="12731"/>
        <v>0.0070</v>
      </c>
      <c r="R7108" s="1" t="s">
        <v>25</v>
      </c>
      <c r="T7108" s="1" t="str">
        <f t="shared" si="12732"/>
        <v>0</v>
      </c>
      <c r="U7108" s="1" t="str">
        <f t="shared" si="12716"/>
        <v>0.0070</v>
      </c>
    </row>
    <row r="7109" s="1" customFormat="1" spans="1:21">
      <c r="A7109" s="1" t="str">
        <f>"4601992315224"</f>
        <v>4601992315224</v>
      </c>
      <c r="B7109" s="1" t="s">
        <v>7132</v>
      </c>
      <c r="C7109" s="1" t="s">
        <v>24</v>
      </c>
      <c r="D7109" s="1" t="str">
        <f t="shared" si="12729"/>
        <v>2021</v>
      </c>
      <c r="E7109" s="1" t="str">
        <f t="shared" ref="E7109:P7109" si="12734">"0"</f>
        <v>0</v>
      </c>
      <c r="F7109" s="1" t="str">
        <f t="shared" si="12734"/>
        <v>0</v>
      </c>
      <c r="G7109" s="1" t="str">
        <f t="shared" si="12734"/>
        <v>0</v>
      </c>
      <c r="H7109" s="1" t="str">
        <f t="shared" si="12734"/>
        <v>0</v>
      </c>
      <c r="I7109" s="1" t="str">
        <f t="shared" si="12734"/>
        <v>0</v>
      </c>
      <c r="J7109" s="1" t="str">
        <f t="shared" si="12734"/>
        <v>0</v>
      </c>
      <c r="K7109" s="1" t="str">
        <f t="shared" si="12734"/>
        <v>0</v>
      </c>
      <c r="L7109" s="1" t="str">
        <f t="shared" si="12734"/>
        <v>0</v>
      </c>
      <c r="M7109" s="1" t="str">
        <f t="shared" si="12734"/>
        <v>0</v>
      </c>
      <c r="N7109" s="1" t="str">
        <f t="shared" si="12734"/>
        <v>0</v>
      </c>
      <c r="O7109" s="1" t="str">
        <f t="shared" si="12734"/>
        <v>0</v>
      </c>
      <c r="P7109" s="1" t="str">
        <f t="shared" si="12734"/>
        <v>0</v>
      </c>
      <c r="Q7109" s="1" t="str">
        <f t="shared" si="12731"/>
        <v>0.0070</v>
      </c>
      <c r="R7109" s="1" t="s">
        <v>25</v>
      </c>
      <c r="T7109" s="1" t="str">
        <f t="shared" si="12732"/>
        <v>0</v>
      </c>
      <c r="U7109" s="1" t="str">
        <f t="shared" si="12716"/>
        <v>0.0070</v>
      </c>
    </row>
    <row r="7110" s="1" customFormat="1" spans="1:21">
      <c r="A7110" s="1" t="str">
        <f>"4601992315374"</f>
        <v>4601992315374</v>
      </c>
      <c r="B7110" s="1" t="s">
        <v>7133</v>
      </c>
      <c r="C7110" s="1" t="s">
        <v>24</v>
      </c>
      <c r="D7110" s="1" t="str">
        <f t="shared" si="12729"/>
        <v>2021</v>
      </c>
      <c r="E7110" s="1" t="str">
        <f t="shared" ref="E7110:P7110" si="12735">"0"</f>
        <v>0</v>
      </c>
      <c r="F7110" s="1" t="str">
        <f t="shared" si="12735"/>
        <v>0</v>
      </c>
      <c r="G7110" s="1" t="str">
        <f t="shared" si="12735"/>
        <v>0</v>
      </c>
      <c r="H7110" s="1" t="str">
        <f t="shared" si="12735"/>
        <v>0</v>
      </c>
      <c r="I7110" s="1" t="str">
        <f t="shared" si="12735"/>
        <v>0</v>
      </c>
      <c r="J7110" s="1" t="str">
        <f t="shared" si="12735"/>
        <v>0</v>
      </c>
      <c r="K7110" s="1" t="str">
        <f t="shared" si="12735"/>
        <v>0</v>
      </c>
      <c r="L7110" s="1" t="str">
        <f t="shared" si="12735"/>
        <v>0</v>
      </c>
      <c r="M7110" s="1" t="str">
        <f t="shared" si="12735"/>
        <v>0</v>
      </c>
      <c r="N7110" s="1" t="str">
        <f t="shared" si="12735"/>
        <v>0</v>
      </c>
      <c r="O7110" s="1" t="str">
        <f t="shared" si="12735"/>
        <v>0</v>
      </c>
      <c r="P7110" s="1" t="str">
        <f t="shared" si="12735"/>
        <v>0</v>
      </c>
      <c r="Q7110" s="1" t="str">
        <f t="shared" si="12731"/>
        <v>0.0070</v>
      </c>
      <c r="R7110" s="1" t="s">
        <v>25</v>
      </c>
      <c r="T7110" s="1" t="str">
        <f t="shared" si="12732"/>
        <v>0</v>
      </c>
      <c r="U7110" s="1" t="str">
        <f t="shared" si="12716"/>
        <v>0.0070</v>
      </c>
    </row>
    <row r="7111" s="1" customFormat="1" spans="1:21">
      <c r="A7111" s="1" t="str">
        <f>"4601992315477"</f>
        <v>4601992315477</v>
      </c>
      <c r="B7111" s="1" t="s">
        <v>7134</v>
      </c>
      <c r="C7111" s="1" t="s">
        <v>24</v>
      </c>
      <c r="D7111" s="1" t="str">
        <f t="shared" si="12729"/>
        <v>2021</v>
      </c>
      <c r="E7111" s="1" t="str">
        <f t="shared" ref="E7111:P7111" si="12736">"0"</f>
        <v>0</v>
      </c>
      <c r="F7111" s="1" t="str">
        <f t="shared" si="12736"/>
        <v>0</v>
      </c>
      <c r="G7111" s="1" t="str">
        <f t="shared" si="12736"/>
        <v>0</v>
      </c>
      <c r="H7111" s="1" t="str">
        <f t="shared" si="12736"/>
        <v>0</v>
      </c>
      <c r="I7111" s="1" t="str">
        <f t="shared" si="12736"/>
        <v>0</v>
      </c>
      <c r="J7111" s="1" t="str">
        <f t="shared" si="12736"/>
        <v>0</v>
      </c>
      <c r="K7111" s="1" t="str">
        <f t="shared" si="12736"/>
        <v>0</v>
      </c>
      <c r="L7111" s="1" t="str">
        <f t="shared" si="12736"/>
        <v>0</v>
      </c>
      <c r="M7111" s="1" t="str">
        <f t="shared" si="12736"/>
        <v>0</v>
      </c>
      <c r="N7111" s="1" t="str">
        <f t="shared" si="12736"/>
        <v>0</v>
      </c>
      <c r="O7111" s="1" t="str">
        <f t="shared" si="12736"/>
        <v>0</v>
      </c>
      <c r="P7111" s="1" t="str">
        <f t="shared" si="12736"/>
        <v>0</v>
      </c>
      <c r="Q7111" s="1" t="str">
        <f t="shared" si="12731"/>
        <v>0.0070</v>
      </c>
      <c r="R7111" s="1" t="s">
        <v>25</v>
      </c>
      <c r="T7111" s="1" t="str">
        <f t="shared" si="12732"/>
        <v>0</v>
      </c>
      <c r="U7111" s="1" t="str">
        <f t="shared" si="12716"/>
        <v>0.0070</v>
      </c>
    </row>
    <row r="7112" s="1" customFormat="1" spans="1:21">
      <c r="A7112" s="1" t="str">
        <f>"4601992315408"</f>
        <v>4601992315408</v>
      </c>
      <c r="B7112" s="1" t="s">
        <v>7135</v>
      </c>
      <c r="C7112" s="1" t="s">
        <v>24</v>
      </c>
      <c r="D7112" s="1" t="str">
        <f t="shared" si="12729"/>
        <v>2021</v>
      </c>
      <c r="E7112" s="1" t="str">
        <f t="shared" ref="E7112:P7112" si="12737">"0"</f>
        <v>0</v>
      </c>
      <c r="F7112" s="1" t="str">
        <f t="shared" si="12737"/>
        <v>0</v>
      </c>
      <c r="G7112" s="1" t="str">
        <f t="shared" si="12737"/>
        <v>0</v>
      </c>
      <c r="H7112" s="1" t="str">
        <f t="shared" si="12737"/>
        <v>0</v>
      </c>
      <c r="I7112" s="1" t="str">
        <f t="shared" si="12737"/>
        <v>0</v>
      </c>
      <c r="J7112" s="1" t="str">
        <f t="shared" si="12737"/>
        <v>0</v>
      </c>
      <c r="K7112" s="1" t="str">
        <f t="shared" si="12737"/>
        <v>0</v>
      </c>
      <c r="L7112" s="1" t="str">
        <f t="shared" si="12737"/>
        <v>0</v>
      </c>
      <c r="M7112" s="1" t="str">
        <f t="shared" si="12737"/>
        <v>0</v>
      </c>
      <c r="N7112" s="1" t="str">
        <f t="shared" si="12737"/>
        <v>0</v>
      </c>
      <c r="O7112" s="1" t="str">
        <f t="shared" si="12737"/>
        <v>0</v>
      </c>
      <c r="P7112" s="1" t="str">
        <f t="shared" si="12737"/>
        <v>0</v>
      </c>
      <c r="Q7112" s="1" t="str">
        <f t="shared" si="12731"/>
        <v>0.0070</v>
      </c>
      <c r="R7112" s="1" t="s">
        <v>25</v>
      </c>
      <c r="T7112" s="1" t="str">
        <f t="shared" si="12732"/>
        <v>0</v>
      </c>
      <c r="U7112" s="1" t="str">
        <f t="shared" si="12716"/>
        <v>0.0070</v>
      </c>
    </row>
    <row r="7113" s="1" customFormat="1" spans="1:21">
      <c r="A7113" s="1" t="str">
        <f>"4601992315590"</f>
        <v>4601992315590</v>
      </c>
      <c r="B7113" s="1" t="s">
        <v>7136</v>
      </c>
      <c r="C7113" s="1" t="s">
        <v>24</v>
      </c>
      <c r="D7113" s="1" t="str">
        <f t="shared" si="12729"/>
        <v>2021</v>
      </c>
      <c r="E7113" s="1" t="str">
        <f t="shared" ref="E7113:P7113" si="12738">"0"</f>
        <v>0</v>
      </c>
      <c r="F7113" s="1" t="str">
        <f t="shared" si="12738"/>
        <v>0</v>
      </c>
      <c r="G7113" s="1" t="str">
        <f t="shared" si="12738"/>
        <v>0</v>
      </c>
      <c r="H7113" s="1" t="str">
        <f t="shared" si="12738"/>
        <v>0</v>
      </c>
      <c r="I7113" s="1" t="str">
        <f t="shared" si="12738"/>
        <v>0</v>
      </c>
      <c r="J7113" s="1" t="str">
        <f t="shared" si="12738"/>
        <v>0</v>
      </c>
      <c r="K7113" s="1" t="str">
        <f t="shared" si="12738"/>
        <v>0</v>
      </c>
      <c r="L7113" s="1" t="str">
        <f t="shared" si="12738"/>
        <v>0</v>
      </c>
      <c r="M7113" s="1" t="str">
        <f t="shared" si="12738"/>
        <v>0</v>
      </c>
      <c r="N7113" s="1" t="str">
        <f t="shared" si="12738"/>
        <v>0</v>
      </c>
      <c r="O7113" s="1" t="str">
        <f t="shared" si="12738"/>
        <v>0</v>
      </c>
      <c r="P7113" s="1" t="str">
        <f t="shared" si="12738"/>
        <v>0</v>
      </c>
      <c r="Q7113" s="1" t="str">
        <f t="shared" si="12731"/>
        <v>0.0070</v>
      </c>
      <c r="R7113" s="1" t="s">
        <v>25</v>
      </c>
      <c r="T7113" s="1" t="str">
        <f t="shared" si="12732"/>
        <v>0</v>
      </c>
      <c r="U7113" s="1" t="str">
        <f t="shared" si="12716"/>
        <v>0.0070</v>
      </c>
    </row>
    <row r="7114" s="1" customFormat="1" spans="1:21">
      <c r="A7114" s="1" t="str">
        <f>"4601992315602"</f>
        <v>4601992315602</v>
      </c>
      <c r="B7114" s="1" t="s">
        <v>7137</v>
      </c>
      <c r="C7114" s="1" t="s">
        <v>24</v>
      </c>
      <c r="D7114" s="1" t="str">
        <f t="shared" si="12729"/>
        <v>2021</v>
      </c>
      <c r="E7114" s="1" t="str">
        <f t="shared" ref="E7114:P7114" si="12739">"0"</f>
        <v>0</v>
      </c>
      <c r="F7114" s="1" t="str">
        <f t="shared" si="12739"/>
        <v>0</v>
      </c>
      <c r="G7114" s="1" t="str">
        <f t="shared" si="12739"/>
        <v>0</v>
      </c>
      <c r="H7114" s="1" t="str">
        <f t="shared" si="12739"/>
        <v>0</v>
      </c>
      <c r="I7114" s="1" t="str">
        <f t="shared" si="12739"/>
        <v>0</v>
      </c>
      <c r="J7114" s="1" t="str">
        <f t="shared" si="12739"/>
        <v>0</v>
      </c>
      <c r="K7114" s="1" t="str">
        <f t="shared" si="12739"/>
        <v>0</v>
      </c>
      <c r="L7114" s="1" t="str">
        <f t="shared" si="12739"/>
        <v>0</v>
      </c>
      <c r="M7114" s="1" t="str">
        <f t="shared" si="12739"/>
        <v>0</v>
      </c>
      <c r="N7114" s="1" t="str">
        <f t="shared" si="12739"/>
        <v>0</v>
      </c>
      <c r="O7114" s="1" t="str">
        <f t="shared" si="12739"/>
        <v>0</v>
      </c>
      <c r="P7114" s="1" t="str">
        <f t="shared" si="12739"/>
        <v>0</v>
      </c>
      <c r="Q7114" s="1" t="str">
        <f t="shared" si="12731"/>
        <v>0.0070</v>
      </c>
      <c r="R7114" s="1" t="s">
        <v>25</v>
      </c>
      <c r="T7114" s="1" t="str">
        <f t="shared" si="12732"/>
        <v>0</v>
      </c>
      <c r="U7114" s="1" t="str">
        <f t="shared" si="12716"/>
        <v>0.0070</v>
      </c>
    </row>
    <row r="7115" s="1" customFormat="1" spans="1:21">
      <c r="A7115" s="1" t="str">
        <f>"4601992315672"</f>
        <v>4601992315672</v>
      </c>
      <c r="B7115" s="1" t="s">
        <v>7138</v>
      </c>
      <c r="C7115" s="1" t="s">
        <v>24</v>
      </c>
      <c r="D7115" s="1" t="str">
        <f t="shared" si="12729"/>
        <v>2021</v>
      </c>
      <c r="E7115" s="1" t="str">
        <f t="shared" ref="E7115:P7115" si="12740">"0"</f>
        <v>0</v>
      </c>
      <c r="F7115" s="1" t="str">
        <f t="shared" si="12740"/>
        <v>0</v>
      </c>
      <c r="G7115" s="1" t="str">
        <f t="shared" si="12740"/>
        <v>0</v>
      </c>
      <c r="H7115" s="1" t="str">
        <f t="shared" si="12740"/>
        <v>0</v>
      </c>
      <c r="I7115" s="1" t="str">
        <f t="shared" si="12740"/>
        <v>0</v>
      </c>
      <c r="J7115" s="1" t="str">
        <f t="shared" si="12740"/>
        <v>0</v>
      </c>
      <c r="K7115" s="1" t="str">
        <f t="shared" si="12740"/>
        <v>0</v>
      </c>
      <c r="L7115" s="1" t="str">
        <f t="shared" si="12740"/>
        <v>0</v>
      </c>
      <c r="M7115" s="1" t="str">
        <f t="shared" si="12740"/>
        <v>0</v>
      </c>
      <c r="N7115" s="1" t="str">
        <f t="shared" si="12740"/>
        <v>0</v>
      </c>
      <c r="O7115" s="1" t="str">
        <f t="shared" si="12740"/>
        <v>0</v>
      </c>
      <c r="P7115" s="1" t="str">
        <f t="shared" si="12740"/>
        <v>0</v>
      </c>
      <c r="Q7115" s="1" t="str">
        <f t="shared" si="12731"/>
        <v>0.0070</v>
      </c>
      <c r="R7115" s="1" t="s">
        <v>25</v>
      </c>
      <c r="T7115" s="1" t="str">
        <f t="shared" si="12732"/>
        <v>0</v>
      </c>
      <c r="U7115" s="1" t="str">
        <f t="shared" si="12716"/>
        <v>0.0070</v>
      </c>
    </row>
    <row r="7116" s="1" customFormat="1" spans="1:21">
      <c r="A7116" s="1" t="str">
        <f>"4601992315729"</f>
        <v>4601992315729</v>
      </c>
      <c r="B7116" s="1" t="s">
        <v>7139</v>
      </c>
      <c r="C7116" s="1" t="s">
        <v>24</v>
      </c>
      <c r="D7116" s="1" t="str">
        <f t="shared" si="12729"/>
        <v>2021</v>
      </c>
      <c r="E7116" s="1" t="str">
        <f t="shared" ref="E7116:P7116" si="12741">"0"</f>
        <v>0</v>
      </c>
      <c r="F7116" s="1" t="str">
        <f t="shared" si="12741"/>
        <v>0</v>
      </c>
      <c r="G7116" s="1" t="str">
        <f t="shared" si="12741"/>
        <v>0</v>
      </c>
      <c r="H7116" s="1" t="str">
        <f t="shared" si="12741"/>
        <v>0</v>
      </c>
      <c r="I7116" s="1" t="str">
        <f t="shared" si="12741"/>
        <v>0</v>
      </c>
      <c r="J7116" s="1" t="str">
        <f t="shared" si="12741"/>
        <v>0</v>
      </c>
      <c r="K7116" s="1" t="str">
        <f t="shared" si="12741"/>
        <v>0</v>
      </c>
      <c r="L7116" s="1" t="str">
        <f t="shared" si="12741"/>
        <v>0</v>
      </c>
      <c r="M7116" s="1" t="str">
        <f t="shared" si="12741"/>
        <v>0</v>
      </c>
      <c r="N7116" s="1" t="str">
        <f t="shared" si="12741"/>
        <v>0</v>
      </c>
      <c r="O7116" s="1" t="str">
        <f t="shared" si="12741"/>
        <v>0</v>
      </c>
      <c r="P7116" s="1" t="str">
        <f t="shared" si="12741"/>
        <v>0</v>
      </c>
      <c r="Q7116" s="1" t="str">
        <f t="shared" si="12731"/>
        <v>0.0070</v>
      </c>
      <c r="R7116" s="1" t="s">
        <v>25</v>
      </c>
      <c r="T7116" s="1" t="str">
        <f t="shared" si="12732"/>
        <v>0</v>
      </c>
      <c r="U7116" s="1" t="str">
        <f t="shared" si="12716"/>
        <v>0.0070</v>
      </c>
    </row>
    <row r="7117" s="1" customFormat="1" spans="1:21">
      <c r="A7117" s="1" t="str">
        <f>"4601992315845"</f>
        <v>4601992315845</v>
      </c>
      <c r="B7117" s="1" t="s">
        <v>7140</v>
      </c>
      <c r="C7117" s="1" t="s">
        <v>24</v>
      </c>
      <c r="D7117" s="1" t="str">
        <f t="shared" si="12729"/>
        <v>2021</v>
      </c>
      <c r="E7117" s="1" t="str">
        <f t="shared" ref="E7117:P7117" si="12742">"0"</f>
        <v>0</v>
      </c>
      <c r="F7117" s="1" t="str">
        <f t="shared" si="12742"/>
        <v>0</v>
      </c>
      <c r="G7117" s="1" t="str">
        <f t="shared" si="12742"/>
        <v>0</v>
      </c>
      <c r="H7117" s="1" t="str">
        <f t="shared" si="12742"/>
        <v>0</v>
      </c>
      <c r="I7117" s="1" t="str">
        <f t="shared" si="12742"/>
        <v>0</v>
      </c>
      <c r="J7117" s="1" t="str">
        <f t="shared" si="12742"/>
        <v>0</v>
      </c>
      <c r="K7117" s="1" t="str">
        <f t="shared" si="12742"/>
        <v>0</v>
      </c>
      <c r="L7117" s="1" t="str">
        <f t="shared" si="12742"/>
        <v>0</v>
      </c>
      <c r="M7117" s="1" t="str">
        <f t="shared" si="12742"/>
        <v>0</v>
      </c>
      <c r="N7117" s="1" t="str">
        <f t="shared" si="12742"/>
        <v>0</v>
      </c>
      <c r="O7117" s="1" t="str">
        <f t="shared" si="12742"/>
        <v>0</v>
      </c>
      <c r="P7117" s="1" t="str">
        <f t="shared" si="12742"/>
        <v>0</v>
      </c>
      <c r="Q7117" s="1" t="str">
        <f t="shared" si="12731"/>
        <v>0.0070</v>
      </c>
      <c r="R7117" s="1" t="s">
        <v>25</v>
      </c>
      <c r="T7117" s="1" t="str">
        <f t="shared" si="12732"/>
        <v>0</v>
      </c>
      <c r="U7117" s="1" t="str">
        <f t="shared" si="12716"/>
        <v>0.0070</v>
      </c>
    </row>
    <row r="7118" s="1" customFormat="1" spans="1:21">
      <c r="A7118" s="1" t="str">
        <f>"4601992315885"</f>
        <v>4601992315885</v>
      </c>
      <c r="B7118" s="1" t="s">
        <v>7141</v>
      </c>
      <c r="C7118" s="1" t="s">
        <v>24</v>
      </c>
      <c r="D7118" s="1" t="str">
        <f t="shared" si="12729"/>
        <v>2021</v>
      </c>
      <c r="E7118" s="1" t="str">
        <f t="shared" ref="E7118:P7118" si="12743">"0"</f>
        <v>0</v>
      </c>
      <c r="F7118" s="1" t="str">
        <f t="shared" si="12743"/>
        <v>0</v>
      </c>
      <c r="G7118" s="1" t="str">
        <f t="shared" si="12743"/>
        <v>0</v>
      </c>
      <c r="H7118" s="1" t="str">
        <f t="shared" si="12743"/>
        <v>0</v>
      </c>
      <c r="I7118" s="1" t="str">
        <f t="shared" si="12743"/>
        <v>0</v>
      </c>
      <c r="J7118" s="1" t="str">
        <f t="shared" si="12743"/>
        <v>0</v>
      </c>
      <c r="K7118" s="1" t="str">
        <f t="shared" si="12743"/>
        <v>0</v>
      </c>
      <c r="L7118" s="1" t="str">
        <f t="shared" si="12743"/>
        <v>0</v>
      </c>
      <c r="M7118" s="1" t="str">
        <f t="shared" si="12743"/>
        <v>0</v>
      </c>
      <c r="N7118" s="1" t="str">
        <f t="shared" si="12743"/>
        <v>0</v>
      </c>
      <c r="O7118" s="1" t="str">
        <f t="shared" si="12743"/>
        <v>0</v>
      </c>
      <c r="P7118" s="1" t="str">
        <f t="shared" si="12743"/>
        <v>0</v>
      </c>
      <c r="Q7118" s="1" t="str">
        <f t="shared" si="12731"/>
        <v>0.0070</v>
      </c>
      <c r="R7118" s="1" t="s">
        <v>25</v>
      </c>
      <c r="T7118" s="1" t="str">
        <f t="shared" si="12732"/>
        <v>0</v>
      </c>
      <c r="U7118" s="1" t="str">
        <f t="shared" si="12716"/>
        <v>0.0070</v>
      </c>
    </row>
    <row r="7119" s="1" customFormat="1" spans="1:21">
      <c r="A7119" s="1" t="str">
        <f>"4601992028541"</f>
        <v>4601992028541</v>
      </c>
      <c r="B7119" s="1" t="s">
        <v>7142</v>
      </c>
      <c r="C7119" s="1" t="s">
        <v>24</v>
      </c>
      <c r="D7119" s="1" t="str">
        <f t="shared" si="12729"/>
        <v>2021</v>
      </c>
      <c r="E7119" s="1" t="str">
        <f t="shared" ref="E7119:I7119" si="12744">"0"</f>
        <v>0</v>
      </c>
      <c r="F7119" s="1" t="str">
        <f t="shared" si="12744"/>
        <v>0</v>
      </c>
      <c r="G7119" s="1" t="str">
        <f t="shared" si="12744"/>
        <v>0</v>
      </c>
      <c r="H7119" s="1" t="str">
        <f t="shared" si="12744"/>
        <v>0</v>
      </c>
      <c r="I7119" s="1" t="str">
        <f t="shared" si="12744"/>
        <v>0</v>
      </c>
      <c r="J7119" s="1" t="str">
        <f>"1"</f>
        <v>1</v>
      </c>
      <c r="K7119" s="1" t="str">
        <f t="shared" ref="K7119:P7119" si="12745">"0"</f>
        <v>0</v>
      </c>
      <c r="L7119" s="1" t="str">
        <f t="shared" si="12745"/>
        <v>0</v>
      </c>
      <c r="M7119" s="1" t="str">
        <f t="shared" si="12745"/>
        <v>0</v>
      </c>
      <c r="N7119" s="1" t="str">
        <f t="shared" si="12745"/>
        <v>0</v>
      </c>
      <c r="O7119" s="1" t="str">
        <f t="shared" si="12745"/>
        <v>0</v>
      </c>
      <c r="P7119" s="1" t="str">
        <f t="shared" si="12745"/>
        <v>0</v>
      </c>
      <c r="Q7119" s="1" t="str">
        <f t="shared" si="12731"/>
        <v>0.0070</v>
      </c>
      <c r="R7119" s="1" t="s">
        <v>25</v>
      </c>
      <c r="T7119" s="1" t="str">
        <f t="shared" si="12732"/>
        <v>0</v>
      </c>
      <c r="U7119" s="1" t="str">
        <f t="shared" si="12716"/>
        <v>0.0070</v>
      </c>
    </row>
    <row r="7120" s="1" customFormat="1" spans="1:21">
      <c r="A7120" s="1" t="str">
        <f>"4601992316008"</f>
        <v>4601992316008</v>
      </c>
      <c r="B7120" s="1" t="s">
        <v>7143</v>
      </c>
      <c r="C7120" s="1" t="s">
        <v>24</v>
      </c>
      <c r="D7120" s="1" t="str">
        <f t="shared" si="12729"/>
        <v>2021</v>
      </c>
      <c r="E7120" s="1" t="str">
        <f t="shared" ref="E7120:P7120" si="12746">"0"</f>
        <v>0</v>
      </c>
      <c r="F7120" s="1" t="str">
        <f t="shared" si="12746"/>
        <v>0</v>
      </c>
      <c r="G7120" s="1" t="str">
        <f t="shared" si="12746"/>
        <v>0</v>
      </c>
      <c r="H7120" s="1" t="str">
        <f t="shared" si="12746"/>
        <v>0</v>
      </c>
      <c r="I7120" s="1" t="str">
        <f t="shared" si="12746"/>
        <v>0</v>
      </c>
      <c r="J7120" s="1" t="str">
        <f t="shared" si="12746"/>
        <v>0</v>
      </c>
      <c r="K7120" s="1" t="str">
        <f t="shared" si="12746"/>
        <v>0</v>
      </c>
      <c r="L7120" s="1" t="str">
        <f t="shared" si="12746"/>
        <v>0</v>
      </c>
      <c r="M7120" s="1" t="str">
        <f t="shared" si="12746"/>
        <v>0</v>
      </c>
      <c r="N7120" s="1" t="str">
        <f t="shared" si="12746"/>
        <v>0</v>
      </c>
      <c r="O7120" s="1" t="str">
        <f t="shared" si="12746"/>
        <v>0</v>
      </c>
      <c r="P7120" s="1" t="str">
        <f t="shared" si="12746"/>
        <v>0</v>
      </c>
      <c r="Q7120" s="1" t="str">
        <f t="shared" si="12731"/>
        <v>0.0070</v>
      </c>
      <c r="R7120" s="1" t="s">
        <v>25</v>
      </c>
      <c r="T7120" s="1" t="str">
        <f t="shared" si="12732"/>
        <v>0</v>
      </c>
      <c r="U7120" s="1" t="str">
        <f t="shared" si="12716"/>
        <v>0.0070</v>
      </c>
    </row>
    <row r="7121" s="1" customFormat="1" spans="1:21">
      <c r="A7121" s="1" t="str">
        <f>"4601992316036"</f>
        <v>4601992316036</v>
      </c>
      <c r="B7121" s="1" t="s">
        <v>7144</v>
      </c>
      <c r="C7121" s="1" t="s">
        <v>24</v>
      </c>
      <c r="D7121" s="1" t="str">
        <f t="shared" si="12729"/>
        <v>2021</v>
      </c>
      <c r="E7121" s="1" t="str">
        <f t="shared" ref="E7121:P7121" si="12747">"0"</f>
        <v>0</v>
      </c>
      <c r="F7121" s="1" t="str">
        <f t="shared" si="12747"/>
        <v>0</v>
      </c>
      <c r="G7121" s="1" t="str">
        <f t="shared" si="12747"/>
        <v>0</v>
      </c>
      <c r="H7121" s="1" t="str">
        <f t="shared" si="12747"/>
        <v>0</v>
      </c>
      <c r="I7121" s="1" t="str">
        <f t="shared" si="12747"/>
        <v>0</v>
      </c>
      <c r="J7121" s="1" t="str">
        <f t="shared" si="12747"/>
        <v>0</v>
      </c>
      <c r="K7121" s="1" t="str">
        <f t="shared" si="12747"/>
        <v>0</v>
      </c>
      <c r="L7121" s="1" t="str">
        <f t="shared" si="12747"/>
        <v>0</v>
      </c>
      <c r="M7121" s="1" t="str">
        <f t="shared" si="12747"/>
        <v>0</v>
      </c>
      <c r="N7121" s="1" t="str">
        <f t="shared" si="12747"/>
        <v>0</v>
      </c>
      <c r="O7121" s="1" t="str">
        <f t="shared" si="12747"/>
        <v>0</v>
      </c>
      <c r="P7121" s="1" t="str">
        <f t="shared" si="12747"/>
        <v>0</v>
      </c>
      <c r="Q7121" s="1" t="str">
        <f t="shared" si="12731"/>
        <v>0.0070</v>
      </c>
      <c r="R7121" s="1" t="s">
        <v>25</v>
      </c>
      <c r="T7121" s="1" t="str">
        <f t="shared" si="12732"/>
        <v>0</v>
      </c>
      <c r="U7121" s="1" t="str">
        <f t="shared" si="12716"/>
        <v>0.0070</v>
      </c>
    </row>
    <row r="7122" s="1" customFormat="1" spans="1:21">
      <c r="A7122" s="1" t="str">
        <f>"4601992316234"</f>
        <v>4601992316234</v>
      </c>
      <c r="B7122" s="1" t="s">
        <v>7145</v>
      </c>
      <c r="C7122" s="1" t="s">
        <v>24</v>
      </c>
      <c r="D7122" s="1" t="str">
        <f t="shared" si="12729"/>
        <v>2021</v>
      </c>
      <c r="E7122" s="1" t="str">
        <f t="shared" ref="E7122:P7122" si="12748">"0"</f>
        <v>0</v>
      </c>
      <c r="F7122" s="1" t="str">
        <f t="shared" si="12748"/>
        <v>0</v>
      </c>
      <c r="G7122" s="1" t="str">
        <f t="shared" si="12748"/>
        <v>0</v>
      </c>
      <c r="H7122" s="1" t="str">
        <f t="shared" si="12748"/>
        <v>0</v>
      </c>
      <c r="I7122" s="1" t="str">
        <f t="shared" si="12748"/>
        <v>0</v>
      </c>
      <c r="J7122" s="1" t="str">
        <f t="shared" si="12748"/>
        <v>0</v>
      </c>
      <c r="K7122" s="1" t="str">
        <f t="shared" si="12748"/>
        <v>0</v>
      </c>
      <c r="L7122" s="1" t="str">
        <f t="shared" si="12748"/>
        <v>0</v>
      </c>
      <c r="M7122" s="1" t="str">
        <f t="shared" si="12748"/>
        <v>0</v>
      </c>
      <c r="N7122" s="1" t="str">
        <f t="shared" si="12748"/>
        <v>0</v>
      </c>
      <c r="O7122" s="1" t="str">
        <f t="shared" si="12748"/>
        <v>0</v>
      </c>
      <c r="P7122" s="1" t="str">
        <f t="shared" si="12748"/>
        <v>0</v>
      </c>
      <c r="Q7122" s="1" t="str">
        <f t="shared" si="12731"/>
        <v>0.0070</v>
      </c>
      <c r="R7122" s="1" t="s">
        <v>25</v>
      </c>
      <c r="T7122" s="1" t="str">
        <f t="shared" si="12732"/>
        <v>0</v>
      </c>
      <c r="U7122" s="1" t="str">
        <f t="shared" si="12716"/>
        <v>0.0070</v>
      </c>
    </row>
    <row r="7123" s="1" customFormat="1" spans="1:21">
      <c r="A7123" s="1" t="str">
        <f>"4601992316428"</f>
        <v>4601992316428</v>
      </c>
      <c r="B7123" s="1" t="s">
        <v>7146</v>
      </c>
      <c r="C7123" s="1" t="s">
        <v>24</v>
      </c>
      <c r="D7123" s="1" t="str">
        <f t="shared" si="12729"/>
        <v>2021</v>
      </c>
      <c r="E7123" s="1" t="str">
        <f t="shared" ref="E7123:P7123" si="12749">"0"</f>
        <v>0</v>
      </c>
      <c r="F7123" s="1" t="str">
        <f t="shared" si="12749"/>
        <v>0</v>
      </c>
      <c r="G7123" s="1" t="str">
        <f t="shared" si="12749"/>
        <v>0</v>
      </c>
      <c r="H7123" s="1" t="str">
        <f t="shared" si="12749"/>
        <v>0</v>
      </c>
      <c r="I7123" s="1" t="str">
        <f t="shared" si="12749"/>
        <v>0</v>
      </c>
      <c r="J7123" s="1" t="str">
        <f t="shared" si="12749"/>
        <v>0</v>
      </c>
      <c r="K7123" s="1" t="str">
        <f t="shared" si="12749"/>
        <v>0</v>
      </c>
      <c r="L7123" s="1" t="str">
        <f t="shared" si="12749"/>
        <v>0</v>
      </c>
      <c r="M7123" s="1" t="str">
        <f t="shared" si="12749"/>
        <v>0</v>
      </c>
      <c r="N7123" s="1" t="str">
        <f t="shared" si="12749"/>
        <v>0</v>
      </c>
      <c r="O7123" s="1" t="str">
        <f t="shared" si="12749"/>
        <v>0</v>
      </c>
      <c r="P7123" s="1" t="str">
        <f t="shared" si="12749"/>
        <v>0</v>
      </c>
      <c r="Q7123" s="1" t="str">
        <f t="shared" si="12731"/>
        <v>0.0070</v>
      </c>
      <c r="R7123" s="1" t="s">
        <v>25</v>
      </c>
      <c r="T7123" s="1" t="str">
        <f t="shared" si="12732"/>
        <v>0</v>
      </c>
      <c r="U7123" s="1" t="str">
        <f t="shared" si="12716"/>
        <v>0.0070</v>
      </c>
    </row>
    <row r="7124" s="1" customFormat="1" spans="1:21">
      <c r="A7124" s="1" t="str">
        <f>"4601992316443"</f>
        <v>4601992316443</v>
      </c>
      <c r="B7124" s="1" t="s">
        <v>7147</v>
      </c>
      <c r="C7124" s="1" t="s">
        <v>24</v>
      </c>
      <c r="D7124" s="1" t="str">
        <f t="shared" si="12729"/>
        <v>2021</v>
      </c>
      <c r="E7124" s="1" t="str">
        <f t="shared" ref="E7124:P7124" si="12750">"0"</f>
        <v>0</v>
      </c>
      <c r="F7124" s="1" t="str">
        <f t="shared" si="12750"/>
        <v>0</v>
      </c>
      <c r="G7124" s="1" t="str">
        <f t="shared" si="12750"/>
        <v>0</v>
      </c>
      <c r="H7124" s="1" t="str">
        <f t="shared" si="12750"/>
        <v>0</v>
      </c>
      <c r="I7124" s="1" t="str">
        <f t="shared" si="12750"/>
        <v>0</v>
      </c>
      <c r="J7124" s="1" t="str">
        <f t="shared" si="12750"/>
        <v>0</v>
      </c>
      <c r="K7124" s="1" t="str">
        <f t="shared" si="12750"/>
        <v>0</v>
      </c>
      <c r="L7124" s="1" t="str">
        <f t="shared" si="12750"/>
        <v>0</v>
      </c>
      <c r="M7124" s="1" t="str">
        <f t="shared" si="12750"/>
        <v>0</v>
      </c>
      <c r="N7124" s="1" t="str">
        <f t="shared" si="12750"/>
        <v>0</v>
      </c>
      <c r="O7124" s="1" t="str">
        <f t="shared" si="12750"/>
        <v>0</v>
      </c>
      <c r="P7124" s="1" t="str">
        <f t="shared" si="12750"/>
        <v>0</v>
      </c>
      <c r="Q7124" s="1" t="str">
        <f t="shared" si="12731"/>
        <v>0.0070</v>
      </c>
      <c r="R7124" s="1" t="s">
        <v>25</v>
      </c>
      <c r="T7124" s="1" t="str">
        <f t="shared" si="12732"/>
        <v>0</v>
      </c>
      <c r="U7124" s="1" t="str">
        <f t="shared" si="12716"/>
        <v>0.0070</v>
      </c>
    </row>
    <row r="7125" s="1" customFormat="1" spans="1:21">
      <c r="A7125" s="1" t="str">
        <f>"4601992316476"</f>
        <v>4601992316476</v>
      </c>
      <c r="B7125" s="1" t="s">
        <v>7148</v>
      </c>
      <c r="C7125" s="1" t="s">
        <v>24</v>
      </c>
      <c r="D7125" s="1" t="str">
        <f t="shared" si="12729"/>
        <v>2021</v>
      </c>
      <c r="E7125" s="1" t="str">
        <f t="shared" ref="E7125:P7125" si="12751">"0"</f>
        <v>0</v>
      </c>
      <c r="F7125" s="1" t="str">
        <f t="shared" si="12751"/>
        <v>0</v>
      </c>
      <c r="G7125" s="1" t="str">
        <f t="shared" si="12751"/>
        <v>0</v>
      </c>
      <c r="H7125" s="1" t="str">
        <f t="shared" si="12751"/>
        <v>0</v>
      </c>
      <c r="I7125" s="1" t="str">
        <f t="shared" si="12751"/>
        <v>0</v>
      </c>
      <c r="J7125" s="1" t="str">
        <f t="shared" si="12751"/>
        <v>0</v>
      </c>
      <c r="K7125" s="1" t="str">
        <f t="shared" si="12751"/>
        <v>0</v>
      </c>
      <c r="L7125" s="1" t="str">
        <f t="shared" si="12751"/>
        <v>0</v>
      </c>
      <c r="M7125" s="1" t="str">
        <f t="shared" si="12751"/>
        <v>0</v>
      </c>
      <c r="N7125" s="1" t="str">
        <f t="shared" si="12751"/>
        <v>0</v>
      </c>
      <c r="O7125" s="1" t="str">
        <f t="shared" si="12751"/>
        <v>0</v>
      </c>
      <c r="P7125" s="1" t="str">
        <f t="shared" si="12751"/>
        <v>0</v>
      </c>
      <c r="Q7125" s="1" t="str">
        <f t="shared" si="12731"/>
        <v>0.0070</v>
      </c>
      <c r="R7125" s="1" t="s">
        <v>25</v>
      </c>
      <c r="T7125" s="1" t="str">
        <f t="shared" si="12732"/>
        <v>0</v>
      </c>
      <c r="U7125" s="1" t="str">
        <f t="shared" si="12716"/>
        <v>0.0070</v>
      </c>
    </row>
    <row r="7126" s="1" customFormat="1" spans="1:21">
      <c r="A7126" s="1" t="str">
        <f>"4601992316473"</f>
        <v>4601992316473</v>
      </c>
      <c r="B7126" s="1" t="s">
        <v>7149</v>
      </c>
      <c r="C7126" s="1" t="s">
        <v>24</v>
      </c>
      <c r="D7126" s="1" t="str">
        <f t="shared" si="12729"/>
        <v>2021</v>
      </c>
      <c r="E7126" s="1" t="str">
        <f t="shared" ref="E7126:P7126" si="12752">"0"</f>
        <v>0</v>
      </c>
      <c r="F7126" s="1" t="str">
        <f t="shared" si="12752"/>
        <v>0</v>
      </c>
      <c r="G7126" s="1" t="str">
        <f t="shared" si="12752"/>
        <v>0</v>
      </c>
      <c r="H7126" s="1" t="str">
        <f t="shared" si="12752"/>
        <v>0</v>
      </c>
      <c r="I7126" s="1" t="str">
        <f t="shared" si="12752"/>
        <v>0</v>
      </c>
      <c r="J7126" s="1" t="str">
        <f t="shared" si="12752"/>
        <v>0</v>
      </c>
      <c r="K7126" s="1" t="str">
        <f t="shared" si="12752"/>
        <v>0</v>
      </c>
      <c r="L7126" s="1" t="str">
        <f t="shared" si="12752"/>
        <v>0</v>
      </c>
      <c r="M7126" s="1" t="str">
        <f t="shared" si="12752"/>
        <v>0</v>
      </c>
      <c r="N7126" s="1" t="str">
        <f t="shared" si="12752"/>
        <v>0</v>
      </c>
      <c r="O7126" s="1" t="str">
        <f t="shared" si="12752"/>
        <v>0</v>
      </c>
      <c r="P7126" s="1" t="str">
        <f t="shared" si="12752"/>
        <v>0</v>
      </c>
      <c r="Q7126" s="1" t="str">
        <f t="shared" si="12731"/>
        <v>0.0070</v>
      </c>
      <c r="R7126" s="1" t="s">
        <v>25</v>
      </c>
      <c r="T7126" s="1" t="str">
        <f t="shared" si="12732"/>
        <v>0</v>
      </c>
      <c r="U7126" s="1" t="str">
        <f t="shared" si="12716"/>
        <v>0.0070</v>
      </c>
    </row>
    <row r="7127" s="1" customFormat="1" spans="1:21">
      <c r="A7127" s="1" t="str">
        <f>"4601992316535"</f>
        <v>4601992316535</v>
      </c>
      <c r="B7127" s="1" t="s">
        <v>7150</v>
      </c>
      <c r="C7127" s="1" t="s">
        <v>24</v>
      </c>
      <c r="D7127" s="1" t="str">
        <f t="shared" si="12729"/>
        <v>2021</v>
      </c>
      <c r="E7127" s="1" t="str">
        <f t="shared" ref="E7127:P7127" si="12753">"0"</f>
        <v>0</v>
      </c>
      <c r="F7127" s="1" t="str">
        <f t="shared" si="12753"/>
        <v>0</v>
      </c>
      <c r="G7127" s="1" t="str">
        <f t="shared" si="12753"/>
        <v>0</v>
      </c>
      <c r="H7127" s="1" t="str">
        <f t="shared" si="12753"/>
        <v>0</v>
      </c>
      <c r="I7127" s="1" t="str">
        <f t="shared" si="12753"/>
        <v>0</v>
      </c>
      <c r="J7127" s="1" t="str">
        <f t="shared" si="12753"/>
        <v>0</v>
      </c>
      <c r="K7127" s="1" t="str">
        <f t="shared" si="12753"/>
        <v>0</v>
      </c>
      <c r="L7127" s="1" t="str">
        <f t="shared" si="12753"/>
        <v>0</v>
      </c>
      <c r="M7127" s="1" t="str">
        <f t="shared" si="12753"/>
        <v>0</v>
      </c>
      <c r="N7127" s="1" t="str">
        <f t="shared" si="12753"/>
        <v>0</v>
      </c>
      <c r="O7127" s="1" t="str">
        <f t="shared" si="12753"/>
        <v>0</v>
      </c>
      <c r="P7127" s="1" t="str">
        <f t="shared" si="12753"/>
        <v>0</v>
      </c>
      <c r="Q7127" s="1" t="str">
        <f t="shared" si="12731"/>
        <v>0.0070</v>
      </c>
      <c r="R7127" s="1" t="s">
        <v>25</v>
      </c>
      <c r="T7127" s="1" t="str">
        <f t="shared" si="12732"/>
        <v>0</v>
      </c>
      <c r="U7127" s="1" t="str">
        <f t="shared" si="12716"/>
        <v>0.0070</v>
      </c>
    </row>
    <row r="7128" s="1" customFormat="1" spans="1:21">
      <c r="A7128" s="1" t="str">
        <f>"4601992316653"</f>
        <v>4601992316653</v>
      </c>
      <c r="B7128" s="1" t="s">
        <v>7151</v>
      </c>
      <c r="C7128" s="1" t="s">
        <v>24</v>
      </c>
      <c r="D7128" s="1" t="str">
        <f t="shared" si="12729"/>
        <v>2021</v>
      </c>
      <c r="E7128" s="1" t="str">
        <f t="shared" ref="E7128:P7128" si="12754">"0"</f>
        <v>0</v>
      </c>
      <c r="F7128" s="1" t="str">
        <f t="shared" si="12754"/>
        <v>0</v>
      </c>
      <c r="G7128" s="1" t="str">
        <f t="shared" si="12754"/>
        <v>0</v>
      </c>
      <c r="H7128" s="1" t="str">
        <f t="shared" si="12754"/>
        <v>0</v>
      </c>
      <c r="I7128" s="1" t="str">
        <f t="shared" si="12754"/>
        <v>0</v>
      </c>
      <c r="J7128" s="1" t="str">
        <f t="shared" si="12754"/>
        <v>0</v>
      </c>
      <c r="K7128" s="1" t="str">
        <f t="shared" si="12754"/>
        <v>0</v>
      </c>
      <c r="L7128" s="1" t="str">
        <f t="shared" si="12754"/>
        <v>0</v>
      </c>
      <c r="M7128" s="1" t="str">
        <f t="shared" si="12754"/>
        <v>0</v>
      </c>
      <c r="N7128" s="1" t="str">
        <f t="shared" si="12754"/>
        <v>0</v>
      </c>
      <c r="O7128" s="1" t="str">
        <f t="shared" si="12754"/>
        <v>0</v>
      </c>
      <c r="P7128" s="1" t="str">
        <f t="shared" si="12754"/>
        <v>0</v>
      </c>
      <c r="Q7128" s="1" t="str">
        <f t="shared" si="12731"/>
        <v>0.0070</v>
      </c>
      <c r="R7128" s="1" t="s">
        <v>25</v>
      </c>
      <c r="T7128" s="1" t="str">
        <f t="shared" si="12732"/>
        <v>0</v>
      </c>
      <c r="U7128" s="1" t="str">
        <f t="shared" si="12716"/>
        <v>0.0070</v>
      </c>
    </row>
    <row r="7129" s="1" customFormat="1" spans="1:21">
      <c r="A7129" s="1" t="str">
        <f>"4601992316820"</f>
        <v>4601992316820</v>
      </c>
      <c r="B7129" s="1" t="s">
        <v>7152</v>
      </c>
      <c r="C7129" s="1" t="s">
        <v>24</v>
      </c>
      <c r="D7129" s="1" t="str">
        <f t="shared" si="12729"/>
        <v>2021</v>
      </c>
      <c r="E7129" s="1" t="str">
        <f t="shared" ref="E7129:P7129" si="12755">"0"</f>
        <v>0</v>
      </c>
      <c r="F7129" s="1" t="str">
        <f t="shared" si="12755"/>
        <v>0</v>
      </c>
      <c r="G7129" s="1" t="str">
        <f t="shared" si="12755"/>
        <v>0</v>
      </c>
      <c r="H7129" s="1" t="str">
        <f t="shared" si="12755"/>
        <v>0</v>
      </c>
      <c r="I7129" s="1" t="str">
        <f t="shared" si="12755"/>
        <v>0</v>
      </c>
      <c r="J7129" s="1" t="str">
        <f t="shared" si="12755"/>
        <v>0</v>
      </c>
      <c r="K7129" s="1" t="str">
        <f t="shared" si="12755"/>
        <v>0</v>
      </c>
      <c r="L7129" s="1" t="str">
        <f t="shared" si="12755"/>
        <v>0</v>
      </c>
      <c r="M7129" s="1" t="str">
        <f t="shared" si="12755"/>
        <v>0</v>
      </c>
      <c r="N7129" s="1" t="str">
        <f t="shared" si="12755"/>
        <v>0</v>
      </c>
      <c r="O7129" s="1" t="str">
        <f t="shared" si="12755"/>
        <v>0</v>
      </c>
      <c r="P7129" s="1" t="str">
        <f t="shared" si="12755"/>
        <v>0</v>
      </c>
      <c r="Q7129" s="1" t="str">
        <f t="shared" si="12731"/>
        <v>0.0070</v>
      </c>
      <c r="R7129" s="1" t="s">
        <v>25</v>
      </c>
      <c r="T7129" s="1" t="str">
        <f t="shared" si="12732"/>
        <v>0</v>
      </c>
      <c r="U7129" s="1" t="str">
        <f t="shared" si="12716"/>
        <v>0.0070</v>
      </c>
    </row>
    <row r="7130" s="1" customFormat="1" spans="1:21">
      <c r="A7130" s="1" t="str">
        <f>"4601992316946"</f>
        <v>4601992316946</v>
      </c>
      <c r="B7130" s="1" t="s">
        <v>7153</v>
      </c>
      <c r="C7130" s="1" t="s">
        <v>24</v>
      </c>
      <c r="D7130" s="1" t="str">
        <f t="shared" si="12729"/>
        <v>2021</v>
      </c>
      <c r="E7130" s="1" t="str">
        <f t="shared" ref="E7130:P7130" si="12756">"0"</f>
        <v>0</v>
      </c>
      <c r="F7130" s="1" t="str">
        <f t="shared" si="12756"/>
        <v>0</v>
      </c>
      <c r="G7130" s="1" t="str">
        <f t="shared" si="12756"/>
        <v>0</v>
      </c>
      <c r="H7130" s="1" t="str">
        <f t="shared" si="12756"/>
        <v>0</v>
      </c>
      <c r="I7130" s="1" t="str">
        <f t="shared" si="12756"/>
        <v>0</v>
      </c>
      <c r="J7130" s="1" t="str">
        <f t="shared" si="12756"/>
        <v>0</v>
      </c>
      <c r="K7130" s="1" t="str">
        <f t="shared" si="12756"/>
        <v>0</v>
      </c>
      <c r="L7130" s="1" t="str">
        <f t="shared" si="12756"/>
        <v>0</v>
      </c>
      <c r="M7130" s="1" t="str">
        <f t="shared" si="12756"/>
        <v>0</v>
      </c>
      <c r="N7130" s="1" t="str">
        <f t="shared" si="12756"/>
        <v>0</v>
      </c>
      <c r="O7130" s="1" t="str">
        <f t="shared" si="12756"/>
        <v>0</v>
      </c>
      <c r="P7130" s="1" t="str">
        <f t="shared" si="12756"/>
        <v>0</v>
      </c>
      <c r="Q7130" s="1" t="str">
        <f t="shared" si="12731"/>
        <v>0.0070</v>
      </c>
      <c r="R7130" s="1" t="s">
        <v>25</v>
      </c>
      <c r="T7130" s="1" t="str">
        <f t="shared" si="12732"/>
        <v>0</v>
      </c>
      <c r="U7130" s="1" t="str">
        <f t="shared" si="12716"/>
        <v>0.0070</v>
      </c>
    </row>
    <row r="7131" s="1" customFormat="1" spans="1:21">
      <c r="A7131" s="1" t="str">
        <f>"4601992317025"</f>
        <v>4601992317025</v>
      </c>
      <c r="B7131" s="1" t="s">
        <v>7154</v>
      </c>
      <c r="C7131" s="1" t="s">
        <v>24</v>
      </c>
      <c r="D7131" s="1" t="str">
        <f t="shared" si="12729"/>
        <v>2021</v>
      </c>
      <c r="E7131" s="1" t="str">
        <f t="shared" ref="E7131:P7131" si="12757">"0"</f>
        <v>0</v>
      </c>
      <c r="F7131" s="1" t="str">
        <f t="shared" si="12757"/>
        <v>0</v>
      </c>
      <c r="G7131" s="1" t="str">
        <f t="shared" si="12757"/>
        <v>0</v>
      </c>
      <c r="H7131" s="1" t="str">
        <f t="shared" si="12757"/>
        <v>0</v>
      </c>
      <c r="I7131" s="1" t="str">
        <f t="shared" si="12757"/>
        <v>0</v>
      </c>
      <c r="J7131" s="1" t="str">
        <f t="shared" si="12757"/>
        <v>0</v>
      </c>
      <c r="K7131" s="1" t="str">
        <f t="shared" si="12757"/>
        <v>0</v>
      </c>
      <c r="L7131" s="1" t="str">
        <f t="shared" si="12757"/>
        <v>0</v>
      </c>
      <c r="M7131" s="1" t="str">
        <f t="shared" si="12757"/>
        <v>0</v>
      </c>
      <c r="N7131" s="1" t="str">
        <f t="shared" si="12757"/>
        <v>0</v>
      </c>
      <c r="O7131" s="1" t="str">
        <f t="shared" si="12757"/>
        <v>0</v>
      </c>
      <c r="P7131" s="1" t="str">
        <f t="shared" si="12757"/>
        <v>0</v>
      </c>
      <c r="Q7131" s="1" t="str">
        <f t="shared" si="12731"/>
        <v>0.0070</v>
      </c>
      <c r="R7131" s="1" t="s">
        <v>25</v>
      </c>
      <c r="T7131" s="1" t="str">
        <f t="shared" si="12732"/>
        <v>0</v>
      </c>
      <c r="U7131" s="1" t="str">
        <f t="shared" si="12716"/>
        <v>0.0070</v>
      </c>
    </row>
    <row r="7132" s="1" customFormat="1" spans="1:21">
      <c r="A7132" s="1" t="str">
        <f>"4601992317039"</f>
        <v>4601992317039</v>
      </c>
      <c r="B7132" s="1" t="s">
        <v>7155</v>
      </c>
      <c r="C7132" s="1" t="s">
        <v>24</v>
      </c>
      <c r="D7132" s="1" t="str">
        <f t="shared" si="12729"/>
        <v>2021</v>
      </c>
      <c r="E7132" s="1" t="str">
        <f t="shared" ref="E7132:P7132" si="12758">"0"</f>
        <v>0</v>
      </c>
      <c r="F7132" s="1" t="str">
        <f t="shared" si="12758"/>
        <v>0</v>
      </c>
      <c r="G7132" s="1" t="str">
        <f t="shared" si="12758"/>
        <v>0</v>
      </c>
      <c r="H7132" s="1" t="str">
        <f t="shared" si="12758"/>
        <v>0</v>
      </c>
      <c r="I7132" s="1" t="str">
        <f t="shared" si="12758"/>
        <v>0</v>
      </c>
      <c r="J7132" s="1" t="str">
        <f t="shared" si="12758"/>
        <v>0</v>
      </c>
      <c r="K7132" s="1" t="str">
        <f t="shared" si="12758"/>
        <v>0</v>
      </c>
      <c r="L7132" s="1" t="str">
        <f t="shared" si="12758"/>
        <v>0</v>
      </c>
      <c r="M7132" s="1" t="str">
        <f t="shared" si="12758"/>
        <v>0</v>
      </c>
      <c r="N7132" s="1" t="str">
        <f t="shared" si="12758"/>
        <v>0</v>
      </c>
      <c r="O7132" s="1" t="str">
        <f t="shared" si="12758"/>
        <v>0</v>
      </c>
      <c r="P7132" s="1" t="str">
        <f t="shared" si="12758"/>
        <v>0</v>
      </c>
      <c r="Q7132" s="1" t="str">
        <f t="shared" si="12731"/>
        <v>0.0070</v>
      </c>
      <c r="R7132" s="1" t="s">
        <v>25</v>
      </c>
      <c r="T7132" s="1" t="str">
        <f t="shared" si="12732"/>
        <v>0</v>
      </c>
      <c r="U7132" s="1" t="str">
        <f t="shared" si="12716"/>
        <v>0.0070</v>
      </c>
    </row>
    <row r="7133" s="1" customFormat="1" spans="1:21">
      <c r="A7133" s="1" t="str">
        <f>"4601992317226"</f>
        <v>4601992317226</v>
      </c>
      <c r="B7133" s="1" t="s">
        <v>7156</v>
      </c>
      <c r="C7133" s="1" t="s">
        <v>24</v>
      </c>
      <c r="D7133" s="1" t="str">
        <f t="shared" si="12729"/>
        <v>2021</v>
      </c>
      <c r="E7133" s="1" t="str">
        <f t="shared" ref="E7133:P7133" si="12759">"0"</f>
        <v>0</v>
      </c>
      <c r="F7133" s="1" t="str">
        <f t="shared" si="12759"/>
        <v>0</v>
      </c>
      <c r="G7133" s="1" t="str">
        <f t="shared" si="12759"/>
        <v>0</v>
      </c>
      <c r="H7133" s="1" t="str">
        <f t="shared" si="12759"/>
        <v>0</v>
      </c>
      <c r="I7133" s="1" t="str">
        <f t="shared" si="12759"/>
        <v>0</v>
      </c>
      <c r="J7133" s="1" t="str">
        <f t="shared" si="12759"/>
        <v>0</v>
      </c>
      <c r="K7133" s="1" t="str">
        <f t="shared" si="12759"/>
        <v>0</v>
      </c>
      <c r="L7133" s="1" t="str">
        <f t="shared" si="12759"/>
        <v>0</v>
      </c>
      <c r="M7133" s="1" t="str">
        <f t="shared" si="12759"/>
        <v>0</v>
      </c>
      <c r="N7133" s="1" t="str">
        <f t="shared" si="12759"/>
        <v>0</v>
      </c>
      <c r="O7133" s="1" t="str">
        <f t="shared" si="12759"/>
        <v>0</v>
      </c>
      <c r="P7133" s="1" t="str">
        <f t="shared" si="12759"/>
        <v>0</v>
      </c>
      <c r="Q7133" s="1" t="str">
        <f t="shared" si="12731"/>
        <v>0.0070</v>
      </c>
      <c r="R7133" s="1" t="s">
        <v>25</v>
      </c>
      <c r="T7133" s="1" t="str">
        <f t="shared" si="12732"/>
        <v>0</v>
      </c>
      <c r="U7133" s="1" t="str">
        <f t="shared" si="12716"/>
        <v>0.0070</v>
      </c>
    </row>
    <row r="7134" s="1" customFormat="1" spans="1:21">
      <c r="A7134" s="1" t="str">
        <f>"4601992317312"</f>
        <v>4601992317312</v>
      </c>
      <c r="B7134" s="1" t="s">
        <v>7157</v>
      </c>
      <c r="C7134" s="1" t="s">
        <v>24</v>
      </c>
      <c r="D7134" s="1" t="str">
        <f t="shared" si="12729"/>
        <v>2021</v>
      </c>
      <c r="E7134" s="1" t="str">
        <f t="shared" ref="E7134:P7134" si="12760">"0"</f>
        <v>0</v>
      </c>
      <c r="F7134" s="1" t="str">
        <f t="shared" si="12760"/>
        <v>0</v>
      </c>
      <c r="G7134" s="1" t="str">
        <f t="shared" si="12760"/>
        <v>0</v>
      </c>
      <c r="H7134" s="1" t="str">
        <f t="shared" si="12760"/>
        <v>0</v>
      </c>
      <c r="I7134" s="1" t="str">
        <f t="shared" si="12760"/>
        <v>0</v>
      </c>
      <c r="J7134" s="1" t="str">
        <f t="shared" si="12760"/>
        <v>0</v>
      </c>
      <c r="K7134" s="1" t="str">
        <f t="shared" si="12760"/>
        <v>0</v>
      </c>
      <c r="L7134" s="1" t="str">
        <f t="shared" si="12760"/>
        <v>0</v>
      </c>
      <c r="M7134" s="1" t="str">
        <f t="shared" si="12760"/>
        <v>0</v>
      </c>
      <c r="N7134" s="1" t="str">
        <f t="shared" si="12760"/>
        <v>0</v>
      </c>
      <c r="O7134" s="1" t="str">
        <f t="shared" si="12760"/>
        <v>0</v>
      </c>
      <c r="P7134" s="1" t="str">
        <f t="shared" si="12760"/>
        <v>0</v>
      </c>
      <c r="Q7134" s="1" t="str">
        <f t="shared" si="12731"/>
        <v>0.0070</v>
      </c>
      <c r="R7134" s="1" t="s">
        <v>25</v>
      </c>
      <c r="T7134" s="1" t="str">
        <f t="shared" si="12732"/>
        <v>0</v>
      </c>
      <c r="U7134" s="1" t="str">
        <f t="shared" si="12716"/>
        <v>0.0070</v>
      </c>
    </row>
    <row r="7135" s="1" customFormat="1" spans="1:21">
      <c r="A7135" s="1" t="str">
        <f>"4601992317365"</f>
        <v>4601992317365</v>
      </c>
      <c r="B7135" s="1" t="s">
        <v>7158</v>
      </c>
      <c r="C7135" s="1" t="s">
        <v>24</v>
      </c>
      <c r="D7135" s="1" t="str">
        <f t="shared" si="12729"/>
        <v>2021</v>
      </c>
      <c r="E7135" s="1" t="str">
        <f t="shared" ref="E7135:P7135" si="12761">"0"</f>
        <v>0</v>
      </c>
      <c r="F7135" s="1" t="str">
        <f t="shared" si="12761"/>
        <v>0</v>
      </c>
      <c r="G7135" s="1" t="str">
        <f t="shared" si="12761"/>
        <v>0</v>
      </c>
      <c r="H7135" s="1" t="str">
        <f t="shared" si="12761"/>
        <v>0</v>
      </c>
      <c r="I7135" s="1" t="str">
        <f t="shared" si="12761"/>
        <v>0</v>
      </c>
      <c r="J7135" s="1" t="str">
        <f t="shared" si="12761"/>
        <v>0</v>
      </c>
      <c r="K7135" s="1" t="str">
        <f t="shared" si="12761"/>
        <v>0</v>
      </c>
      <c r="L7135" s="1" t="str">
        <f t="shared" si="12761"/>
        <v>0</v>
      </c>
      <c r="M7135" s="1" t="str">
        <f t="shared" si="12761"/>
        <v>0</v>
      </c>
      <c r="N7135" s="1" t="str">
        <f t="shared" si="12761"/>
        <v>0</v>
      </c>
      <c r="O7135" s="1" t="str">
        <f t="shared" si="12761"/>
        <v>0</v>
      </c>
      <c r="P7135" s="1" t="str">
        <f t="shared" si="12761"/>
        <v>0</v>
      </c>
      <c r="Q7135" s="1" t="str">
        <f t="shared" si="12731"/>
        <v>0.0070</v>
      </c>
      <c r="R7135" s="1" t="s">
        <v>25</v>
      </c>
      <c r="T7135" s="1" t="str">
        <f t="shared" si="12732"/>
        <v>0</v>
      </c>
      <c r="U7135" s="1" t="str">
        <f t="shared" si="12716"/>
        <v>0.0070</v>
      </c>
    </row>
    <row r="7136" s="1" customFormat="1" spans="1:21">
      <c r="A7136" s="1" t="str">
        <f>"4601992317614"</f>
        <v>4601992317614</v>
      </c>
      <c r="B7136" s="1" t="s">
        <v>7159</v>
      </c>
      <c r="C7136" s="1" t="s">
        <v>24</v>
      </c>
      <c r="D7136" s="1" t="str">
        <f t="shared" si="12729"/>
        <v>2021</v>
      </c>
      <c r="E7136" s="1" t="str">
        <f t="shared" ref="E7136:P7136" si="12762">"0"</f>
        <v>0</v>
      </c>
      <c r="F7136" s="1" t="str">
        <f t="shared" si="12762"/>
        <v>0</v>
      </c>
      <c r="G7136" s="1" t="str">
        <f t="shared" si="12762"/>
        <v>0</v>
      </c>
      <c r="H7136" s="1" t="str">
        <f t="shared" si="12762"/>
        <v>0</v>
      </c>
      <c r="I7136" s="1" t="str">
        <f t="shared" si="12762"/>
        <v>0</v>
      </c>
      <c r="J7136" s="1" t="str">
        <f t="shared" si="12762"/>
        <v>0</v>
      </c>
      <c r="K7136" s="1" t="str">
        <f t="shared" si="12762"/>
        <v>0</v>
      </c>
      <c r="L7136" s="1" t="str">
        <f t="shared" si="12762"/>
        <v>0</v>
      </c>
      <c r="M7136" s="1" t="str">
        <f t="shared" si="12762"/>
        <v>0</v>
      </c>
      <c r="N7136" s="1" t="str">
        <f t="shared" si="12762"/>
        <v>0</v>
      </c>
      <c r="O7136" s="1" t="str">
        <f t="shared" si="12762"/>
        <v>0</v>
      </c>
      <c r="P7136" s="1" t="str">
        <f t="shared" si="12762"/>
        <v>0</v>
      </c>
      <c r="Q7136" s="1" t="str">
        <f t="shared" si="12731"/>
        <v>0.0070</v>
      </c>
      <c r="R7136" s="1" t="s">
        <v>25</v>
      </c>
      <c r="T7136" s="1" t="str">
        <f t="shared" si="12732"/>
        <v>0</v>
      </c>
      <c r="U7136" s="1" t="str">
        <f t="shared" si="12716"/>
        <v>0.0070</v>
      </c>
    </row>
    <row r="7137" s="1" customFormat="1" spans="1:21">
      <c r="A7137" s="1" t="str">
        <f>"4601992317651"</f>
        <v>4601992317651</v>
      </c>
      <c r="B7137" s="1" t="s">
        <v>7160</v>
      </c>
      <c r="C7137" s="1" t="s">
        <v>24</v>
      </c>
      <c r="D7137" s="1" t="str">
        <f t="shared" si="12729"/>
        <v>2021</v>
      </c>
      <c r="E7137" s="1" t="str">
        <f t="shared" ref="E7137:P7137" si="12763">"0"</f>
        <v>0</v>
      </c>
      <c r="F7137" s="1" t="str">
        <f t="shared" si="12763"/>
        <v>0</v>
      </c>
      <c r="G7137" s="1" t="str">
        <f t="shared" si="12763"/>
        <v>0</v>
      </c>
      <c r="H7137" s="1" t="str">
        <f t="shared" si="12763"/>
        <v>0</v>
      </c>
      <c r="I7137" s="1" t="str">
        <f t="shared" si="12763"/>
        <v>0</v>
      </c>
      <c r="J7137" s="1" t="str">
        <f t="shared" si="12763"/>
        <v>0</v>
      </c>
      <c r="K7137" s="1" t="str">
        <f t="shared" si="12763"/>
        <v>0</v>
      </c>
      <c r="L7137" s="1" t="str">
        <f t="shared" si="12763"/>
        <v>0</v>
      </c>
      <c r="M7137" s="1" t="str">
        <f t="shared" si="12763"/>
        <v>0</v>
      </c>
      <c r="N7137" s="1" t="str">
        <f t="shared" si="12763"/>
        <v>0</v>
      </c>
      <c r="O7137" s="1" t="str">
        <f t="shared" si="12763"/>
        <v>0</v>
      </c>
      <c r="P7137" s="1" t="str">
        <f t="shared" si="12763"/>
        <v>0</v>
      </c>
      <c r="Q7137" s="1" t="str">
        <f t="shared" si="12731"/>
        <v>0.0070</v>
      </c>
      <c r="R7137" s="1" t="s">
        <v>25</v>
      </c>
      <c r="T7137" s="1" t="str">
        <f t="shared" si="12732"/>
        <v>0</v>
      </c>
      <c r="U7137" s="1" t="str">
        <f t="shared" si="12716"/>
        <v>0.0070</v>
      </c>
    </row>
    <row r="7138" s="1" customFormat="1" spans="1:21">
      <c r="A7138" s="1" t="str">
        <f>"4601992317608"</f>
        <v>4601992317608</v>
      </c>
      <c r="B7138" s="1" t="s">
        <v>7161</v>
      </c>
      <c r="C7138" s="1" t="s">
        <v>24</v>
      </c>
      <c r="D7138" s="1" t="str">
        <f t="shared" si="12729"/>
        <v>2021</v>
      </c>
      <c r="E7138" s="1" t="str">
        <f t="shared" ref="E7138:P7138" si="12764">"0"</f>
        <v>0</v>
      </c>
      <c r="F7138" s="1" t="str">
        <f t="shared" si="12764"/>
        <v>0</v>
      </c>
      <c r="G7138" s="1" t="str">
        <f t="shared" si="12764"/>
        <v>0</v>
      </c>
      <c r="H7138" s="1" t="str">
        <f t="shared" si="12764"/>
        <v>0</v>
      </c>
      <c r="I7138" s="1" t="str">
        <f t="shared" si="12764"/>
        <v>0</v>
      </c>
      <c r="J7138" s="1" t="str">
        <f t="shared" si="12764"/>
        <v>0</v>
      </c>
      <c r="K7138" s="1" t="str">
        <f t="shared" si="12764"/>
        <v>0</v>
      </c>
      <c r="L7138" s="1" t="str">
        <f t="shared" si="12764"/>
        <v>0</v>
      </c>
      <c r="M7138" s="1" t="str">
        <f t="shared" si="12764"/>
        <v>0</v>
      </c>
      <c r="N7138" s="1" t="str">
        <f t="shared" si="12764"/>
        <v>0</v>
      </c>
      <c r="O7138" s="1" t="str">
        <f t="shared" si="12764"/>
        <v>0</v>
      </c>
      <c r="P7138" s="1" t="str">
        <f t="shared" si="12764"/>
        <v>0</v>
      </c>
      <c r="Q7138" s="1" t="str">
        <f t="shared" si="12731"/>
        <v>0.0070</v>
      </c>
      <c r="R7138" s="1" t="s">
        <v>25</v>
      </c>
      <c r="T7138" s="1" t="str">
        <f t="shared" si="12732"/>
        <v>0</v>
      </c>
      <c r="U7138" s="1" t="str">
        <f t="shared" si="12716"/>
        <v>0.0070</v>
      </c>
    </row>
    <row r="7139" s="1" customFormat="1" spans="1:21">
      <c r="A7139" s="1" t="str">
        <f>"4601992317665"</f>
        <v>4601992317665</v>
      </c>
      <c r="B7139" s="1" t="s">
        <v>7162</v>
      </c>
      <c r="C7139" s="1" t="s">
        <v>24</v>
      </c>
      <c r="D7139" s="1" t="str">
        <f t="shared" si="12729"/>
        <v>2021</v>
      </c>
      <c r="E7139" s="1" t="str">
        <f t="shared" ref="E7139:P7139" si="12765">"0"</f>
        <v>0</v>
      </c>
      <c r="F7139" s="1" t="str">
        <f t="shared" si="12765"/>
        <v>0</v>
      </c>
      <c r="G7139" s="1" t="str">
        <f t="shared" si="12765"/>
        <v>0</v>
      </c>
      <c r="H7139" s="1" t="str">
        <f t="shared" si="12765"/>
        <v>0</v>
      </c>
      <c r="I7139" s="1" t="str">
        <f t="shared" si="12765"/>
        <v>0</v>
      </c>
      <c r="J7139" s="1" t="str">
        <f t="shared" si="12765"/>
        <v>0</v>
      </c>
      <c r="K7139" s="1" t="str">
        <f t="shared" si="12765"/>
        <v>0</v>
      </c>
      <c r="L7139" s="1" t="str">
        <f t="shared" si="12765"/>
        <v>0</v>
      </c>
      <c r="M7139" s="1" t="str">
        <f t="shared" si="12765"/>
        <v>0</v>
      </c>
      <c r="N7139" s="1" t="str">
        <f t="shared" si="12765"/>
        <v>0</v>
      </c>
      <c r="O7139" s="1" t="str">
        <f t="shared" si="12765"/>
        <v>0</v>
      </c>
      <c r="P7139" s="1" t="str">
        <f t="shared" si="12765"/>
        <v>0</v>
      </c>
      <c r="Q7139" s="1" t="str">
        <f t="shared" si="12731"/>
        <v>0.0070</v>
      </c>
      <c r="R7139" s="1" t="s">
        <v>25</v>
      </c>
      <c r="T7139" s="1" t="str">
        <f t="shared" si="12732"/>
        <v>0</v>
      </c>
      <c r="U7139" s="1" t="str">
        <f t="shared" si="12716"/>
        <v>0.0070</v>
      </c>
    </row>
    <row r="7140" s="1" customFormat="1" spans="1:21">
      <c r="A7140" s="1" t="str">
        <f>"4601992317802"</f>
        <v>4601992317802</v>
      </c>
      <c r="B7140" s="1" t="s">
        <v>7163</v>
      </c>
      <c r="C7140" s="1" t="s">
        <v>24</v>
      </c>
      <c r="D7140" s="1" t="str">
        <f t="shared" si="12729"/>
        <v>2021</v>
      </c>
      <c r="E7140" s="1" t="str">
        <f t="shared" ref="E7140:P7140" si="12766">"0"</f>
        <v>0</v>
      </c>
      <c r="F7140" s="1" t="str">
        <f t="shared" si="12766"/>
        <v>0</v>
      </c>
      <c r="G7140" s="1" t="str">
        <f t="shared" si="12766"/>
        <v>0</v>
      </c>
      <c r="H7140" s="1" t="str">
        <f t="shared" si="12766"/>
        <v>0</v>
      </c>
      <c r="I7140" s="1" t="str">
        <f t="shared" si="12766"/>
        <v>0</v>
      </c>
      <c r="J7140" s="1" t="str">
        <f t="shared" si="12766"/>
        <v>0</v>
      </c>
      <c r="K7140" s="1" t="str">
        <f t="shared" si="12766"/>
        <v>0</v>
      </c>
      <c r="L7140" s="1" t="str">
        <f t="shared" si="12766"/>
        <v>0</v>
      </c>
      <c r="M7140" s="1" t="str">
        <f t="shared" si="12766"/>
        <v>0</v>
      </c>
      <c r="N7140" s="1" t="str">
        <f t="shared" si="12766"/>
        <v>0</v>
      </c>
      <c r="O7140" s="1" t="str">
        <f t="shared" si="12766"/>
        <v>0</v>
      </c>
      <c r="P7140" s="1" t="str">
        <f t="shared" si="12766"/>
        <v>0</v>
      </c>
      <c r="Q7140" s="1" t="str">
        <f t="shared" si="12731"/>
        <v>0.0070</v>
      </c>
      <c r="R7140" s="1" t="s">
        <v>25</v>
      </c>
      <c r="T7140" s="1" t="str">
        <f t="shared" si="12732"/>
        <v>0</v>
      </c>
      <c r="U7140" s="1" t="str">
        <f t="shared" si="12716"/>
        <v>0.0070</v>
      </c>
    </row>
    <row r="7141" s="1" customFormat="1" spans="1:21">
      <c r="A7141" s="1" t="str">
        <f>"4601992317782"</f>
        <v>4601992317782</v>
      </c>
      <c r="B7141" s="1" t="s">
        <v>7164</v>
      </c>
      <c r="C7141" s="1" t="s">
        <v>24</v>
      </c>
      <c r="D7141" s="1" t="str">
        <f t="shared" si="12729"/>
        <v>2021</v>
      </c>
      <c r="E7141" s="1" t="str">
        <f t="shared" ref="E7141:P7141" si="12767">"0"</f>
        <v>0</v>
      </c>
      <c r="F7141" s="1" t="str">
        <f t="shared" si="12767"/>
        <v>0</v>
      </c>
      <c r="G7141" s="1" t="str">
        <f t="shared" si="12767"/>
        <v>0</v>
      </c>
      <c r="H7141" s="1" t="str">
        <f t="shared" si="12767"/>
        <v>0</v>
      </c>
      <c r="I7141" s="1" t="str">
        <f t="shared" si="12767"/>
        <v>0</v>
      </c>
      <c r="J7141" s="1" t="str">
        <f t="shared" si="12767"/>
        <v>0</v>
      </c>
      <c r="K7141" s="1" t="str">
        <f t="shared" si="12767"/>
        <v>0</v>
      </c>
      <c r="L7141" s="1" t="str">
        <f t="shared" si="12767"/>
        <v>0</v>
      </c>
      <c r="M7141" s="1" t="str">
        <f t="shared" si="12767"/>
        <v>0</v>
      </c>
      <c r="N7141" s="1" t="str">
        <f t="shared" si="12767"/>
        <v>0</v>
      </c>
      <c r="O7141" s="1" t="str">
        <f t="shared" si="12767"/>
        <v>0</v>
      </c>
      <c r="P7141" s="1" t="str">
        <f t="shared" si="12767"/>
        <v>0</v>
      </c>
      <c r="Q7141" s="1" t="str">
        <f t="shared" si="12731"/>
        <v>0.0070</v>
      </c>
      <c r="R7141" s="1" t="s">
        <v>25</v>
      </c>
      <c r="T7141" s="1" t="str">
        <f t="shared" si="12732"/>
        <v>0</v>
      </c>
      <c r="U7141" s="1" t="str">
        <f t="shared" si="12716"/>
        <v>0.0070</v>
      </c>
    </row>
    <row r="7142" s="1" customFormat="1" spans="1:21">
      <c r="A7142" s="1" t="str">
        <f>"4601992317931"</f>
        <v>4601992317931</v>
      </c>
      <c r="B7142" s="1" t="s">
        <v>7165</v>
      </c>
      <c r="C7142" s="1" t="s">
        <v>24</v>
      </c>
      <c r="D7142" s="1" t="str">
        <f t="shared" si="12729"/>
        <v>2021</v>
      </c>
      <c r="E7142" s="1" t="str">
        <f t="shared" ref="E7142:P7142" si="12768">"0"</f>
        <v>0</v>
      </c>
      <c r="F7142" s="1" t="str">
        <f t="shared" si="12768"/>
        <v>0</v>
      </c>
      <c r="G7142" s="1" t="str">
        <f t="shared" si="12768"/>
        <v>0</v>
      </c>
      <c r="H7142" s="1" t="str">
        <f t="shared" si="12768"/>
        <v>0</v>
      </c>
      <c r="I7142" s="1" t="str">
        <f t="shared" si="12768"/>
        <v>0</v>
      </c>
      <c r="J7142" s="1" t="str">
        <f t="shared" si="12768"/>
        <v>0</v>
      </c>
      <c r="K7142" s="1" t="str">
        <f t="shared" si="12768"/>
        <v>0</v>
      </c>
      <c r="L7142" s="1" t="str">
        <f t="shared" si="12768"/>
        <v>0</v>
      </c>
      <c r="M7142" s="1" t="str">
        <f t="shared" si="12768"/>
        <v>0</v>
      </c>
      <c r="N7142" s="1" t="str">
        <f t="shared" si="12768"/>
        <v>0</v>
      </c>
      <c r="O7142" s="1" t="str">
        <f t="shared" si="12768"/>
        <v>0</v>
      </c>
      <c r="P7142" s="1" t="str">
        <f t="shared" si="12768"/>
        <v>0</v>
      </c>
      <c r="Q7142" s="1" t="str">
        <f t="shared" si="12731"/>
        <v>0.0070</v>
      </c>
      <c r="R7142" s="1" t="s">
        <v>25</v>
      </c>
      <c r="T7142" s="1" t="str">
        <f t="shared" si="12732"/>
        <v>0</v>
      </c>
      <c r="U7142" s="1" t="str">
        <f t="shared" si="12716"/>
        <v>0.0070</v>
      </c>
    </row>
    <row r="7143" s="1" customFormat="1" spans="1:21">
      <c r="A7143" s="1" t="str">
        <f>"4601992317941"</f>
        <v>4601992317941</v>
      </c>
      <c r="B7143" s="1" t="s">
        <v>7166</v>
      </c>
      <c r="C7143" s="1" t="s">
        <v>24</v>
      </c>
      <c r="D7143" s="1" t="str">
        <f t="shared" si="12729"/>
        <v>2021</v>
      </c>
      <c r="E7143" s="1" t="str">
        <f t="shared" ref="E7143:P7143" si="12769">"0"</f>
        <v>0</v>
      </c>
      <c r="F7143" s="1" t="str">
        <f t="shared" si="12769"/>
        <v>0</v>
      </c>
      <c r="G7143" s="1" t="str">
        <f t="shared" si="12769"/>
        <v>0</v>
      </c>
      <c r="H7143" s="1" t="str">
        <f t="shared" si="12769"/>
        <v>0</v>
      </c>
      <c r="I7143" s="1" t="str">
        <f t="shared" si="12769"/>
        <v>0</v>
      </c>
      <c r="J7143" s="1" t="str">
        <f t="shared" si="12769"/>
        <v>0</v>
      </c>
      <c r="K7143" s="1" t="str">
        <f t="shared" si="12769"/>
        <v>0</v>
      </c>
      <c r="L7143" s="1" t="str">
        <f t="shared" si="12769"/>
        <v>0</v>
      </c>
      <c r="M7143" s="1" t="str">
        <f t="shared" si="12769"/>
        <v>0</v>
      </c>
      <c r="N7143" s="1" t="str">
        <f t="shared" si="12769"/>
        <v>0</v>
      </c>
      <c r="O7143" s="1" t="str">
        <f t="shared" si="12769"/>
        <v>0</v>
      </c>
      <c r="P7143" s="1" t="str">
        <f t="shared" si="12769"/>
        <v>0</v>
      </c>
      <c r="Q7143" s="1" t="str">
        <f t="shared" si="12731"/>
        <v>0.0070</v>
      </c>
      <c r="R7143" s="1" t="s">
        <v>25</v>
      </c>
      <c r="T7143" s="1" t="str">
        <f t="shared" si="12732"/>
        <v>0</v>
      </c>
      <c r="U7143" s="1" t="str">
        <f t="shared" si="12716"/>
        <v>0.0070</v>
      </c>
    </row>
    <row r="7144" s="1" customFormat="1" spans="1:21">
      <c r="A7144" s="1" t="str">
        <f>"4601992318059"</f>
        <v>4601992318059</v>
      </c>
      <c r="B7144" s="1" t="s">
        <v>7167</v>
      </c>
      <c r="C7144" s="1" t="s">
        <v>24</v>
      </c>
      <c r="D7144" s="1" t="str">
        <f t="shared" si="12729"/>
        <v>2021</v>
      </c>
      <c r="E7144" s="1" t="str">
        <f t="shared" ref="E7144:P7144" si="12770">"0"</f>
        <v>0</v>
      </c>
      <c r="F7144" s="1" t="str">
        <f t="shared" si="12770"/>
        <v>0</v>
      </c>
      <c r="G7144" s="1" t="str">
        <f t="shared" si="12770"/>
        <v>0</v>
      </c>
      <c r="H7144" s="1" t="str">
        <f t="shared" si="12770"/>
        <v>0</v>
      </c>
      <c r="I7144" s="1" t="str">
        <f t="shared" si="12770"/>
        <v>0</v>
      </c>
      <c r="J7144" s="1" t="str">
        <f t="shared" si="12770"/>
        <v>0</v>
      </c>
      <c r="K7144" s="1" t="str">
        <f t="shared" si="12770"/>
        <v>0</v>
      </c>
      <c r="L7144" s="1" t="str">
        <f t="shared" si="12770"/>
        <v>0</v>
      </c>
      <c r="M7144" s="1" t="str">
        <f t="shared" si="12770"/>
        <v>0</v>
      </c>
      <c r="N7144" s="1" t="str">
        <f t="shared" si="12770"/>
        <v>0</v>
      </c>
      <c r="O7144" s="1" t="str">
        <f t="shared" si="12770"/>
        <v>0</v>
      </c>
      <c r="P7144" s="1" t="str">
        <f t="shared" si="12770"/>
        <v>0</v>
      </c>
      <c r="Q7144" s="1" t="str">
        <f t="shared" si="12731"/>
        <v>0.0070</v>
      </c>
      <c r="R7144" s="1" t="s">
        <v>25</v>
      </c>
      <c r="T7144" s="1" t="str">
        <f t="shared" si="12732"/>
        <v>0</v>
      </c>
      <c r="U7144" s="1" t="str">
        <f t="shared" si="12716"/>
        <v>0.0070</v>
      </c>
    </row>
    <row r="7145" s="1" customFormat="1" spans="1:21">
      <c r="A7145" s="1" t="str">
        <f>"4601992318038"</f>
        <v>4601992318038</v>
      </c>
      <c r="B7145" s="1" t="s">
        <v>7168</v>
      </c>
      <c r="C7145" s="1" t="s">
        <v>24</v>
      </c>
      <c r="D7145" s="1" t="str">
        <f t="shared" si="12729"/>
        <v>2021</v>
      </c>
      <c r="E7145" s="1" t="str">
        <f t="shared" ref="E7145:P7145" si="12771">"0"</f>
        <v>0</v>
      </c>
      <c r="F7145" s="1" t="str">
        <f t="shared" si="12771"/>
        <v>0</v>
      </c>
      <c r="G7145" s="1" t="str">
        <f t="shared" si="12771"/>
        <v>0</v>
      </c>
      <c r="H7145" s="1" t="str">
        <f t="shared" si="12771"/>
        <v>0</v>
      </c>
      <c r="I7145" s="1" t="str">
        <f t="shared" si="12771"/>
        <v>0</v>
      </c>
      <c r="J7145" s="1" t="str">
        <f t="shared" si="12771"/>
        <v>0</v>
      </c>
      <c r="K7145" s="1" t="str">
        <f t="shared" si="12771"/>
        <v>0</v>
      </c>
      <c r="L7145" s="1" t="str">
        <f t="shared" si="12771"/>
        <v>0</v>
      </c>
      <c r="M7145" s="1" t="str">
        <f t="shared" si="12771"/>
        <v>0</v>
      </c>
      <c r="N7145" s="1" t="str">
        <f t="shared" si="12771"/>
        <v>0</v>
      </c>
      <c r="O7145" s="1" t="str">
        <f t="shared" si="12771"/>
        <v>0</v>
      </c>
      <c r="P7145" s="1" t="str">
        <f t="shared" si="12771"/>
        <v>0</v>
      </c>
      <c r="Q7145" s="1" t="str">
        <f t="shared" si="12731"/>
        <v>0.0070</v>
      </c>
      <c r="R7145" s="1" t="s">
        <v>25</v>
      </c>
      <c r="T7145" s="1" t="str">
        <f t="shared" si="12732"/>
        <v>0</v>
      </c>
      <c r="U7145" s="1" t="str">
        <f t="shared" si="12716"/>
        <v>0.0070</v>
      </c>
    </row>
    <row r="7146" s="1" customFormat="1" spans="1:21">
      <c r="A7146" s="1" t="str">
        <f>"4601992318174"</f>
        <v>4601992318174</v>
      </c>
      <c r="B7146" s="1" t="s">
        <v>7169</v>
      </c>
      <c r="C7146" s="1" t="s">
        <v>24</v>
      </c>
      <c r="D7146" s="1" t="str">
        <f t="shared" si="12729"/>
        <v>2021</v>
      </c>
      <c r="E7146" s="1" t="str">
        <f t="shared" ref="E7146:P7146" si="12772">"0"</f>
        <v>0</v>
      </c>
      <c r="F7146" s="1" t="str">
        <f t="shared" si="12772"/>
        <v>0</v>
      </c>
      <c r="G7146" s="1" t="str">
        <f t="shared" si="12772"/>
        <v>0</v>
      </c>
      <c r="H7146" s="1" t="str">
        <f t="shared" si="12772"/>
        <v>0</v>
      </c>
      <c r="I7146" s="1" t="str">
        <f t="shared" si="12772"/>
        <v>0</v>
      </c>
      <c r="J7146" s="1" t="str">
        <f t="shared" si="12772"/>
        <v>0</v>
      </c>
      <c r="K7146" s="1" t="str">
        <f t="shared" si="12772"/>
        <v>0</v>
      </c>
      <c r="L7146" s="1" t="str">
        <f t="shared" si="12772"/>
        <v>0</v>
      </c>
      <c r="M7146" s="1" t="str">
        <f t="shared" si="12772"/>
        <v>0</v>
      </c>
      <c r="N7146" s="1" t="str">
        <f t="shared" si="12772"/>
        <v>0</v>
      </c>
      <c r="O7146" s="1" t="str">
        <f t="shared" si="12772"/>
        <v>0</v>
      </c>
      <c r="P7146" s="1" t="str">
        <f t="shared" si="12772"/>
        <v>0</v>
      </c>
      <c r="Q7146" s="1" t="str">
        <f t="shared" si="12731"/>
        <v>0.0070</v>
      </c>
      <c r="R7146" s="1" t="s">
        <v>25</v>
      </c>
      <c r="T7146" s="1" t="str">
        <f t="shared" si="12732"/>
        <v>0</v>
      </c>
      <c r="U7146" s="1" t="str">
        <f t="shared" si="12716"/>
        <v>0.0070</v>
      </c>
    </row>
    <row r="7147" s="1" customFormat="1" spans="1:21">
      <c r="A7147" s="1" t="str">
        <f>"4601992318438"</f>
        <v>4601992318438</v>
      </c>
      <c r="B7147" s="1" t="s">
        <v>7170</v>
      </c>
      <c r="C7147" s="1" t="s">
        <v>24</v>
      </c>
      <c r="D7147" s="1" t="str">
        <f t="shared" si="12729"/>
        <v>2021</v>
      </c>
      <c r="E7147" s="1" t="str">
        <f t="shared" ref="E7147:P7147" si="12773">"0"</f>
        <v>0</v>
      </c>
      <c r="F7147" s="1" t="str">
        <f t="shared" si="12773"/>
        <v>0</v>
      </c>
      <c r="G7147" s="1" t="str">
        <f t="shared" si="12773"/>
        <v>0</v>
      </c>
      <c r="H7147" s="1" t="str">
        <f t="shared" si="12773"/>
        <v>0</v>
      </c>
      <c r="I7147" s="1" t="str">
        <f t="shared" si="12773"/>
        <v>0</v>
      </c>
      <c r="J7147" s="1" t="str">
        <f t="shared" si="12773"/>
        <v>0</v>
      </c>
      <c r="K7147" s="1" t="str">
        <f t="shared" si="12773"/>
        <v>0</v>
      </c>
      <c r="L7147" s="1" t="str">
        <f t="shared" si="12773"/>
        <v>0</v>
      </c>
      <c r="M7147" s="1" t="str">
        <f t="shared" si="12773"/>
        <v>0</v>
      </c>
      <c r="N7147" s="1" t="str">
        <f t="shared" si="12773"/>
        <v>0</v>
      </c>
      <c r="O7147" s="1" t="str">
        <f t="shared" si="12773"/>
        <v>0</v>
      </c>
      <c r="P7147" s="1" t="str">
        <f t="shared" si="12773"/>
        <v>0</v>
      </c>
      <c r="Q7147" s="1" t="str">
        <f t="shared" si="12731"/>
        <v>0.0070</v>
      </c>
      <c r="R7147" s="1" t="s">
        <v>25</v>
      </c>
      <c r="T7147" s="1" t="str">
        <f t="shared" si="12732"/>
        <v>0</v>
      </c>
      <c r="U7147" s="1" t="str">
        <f t="shared" si="12716"/>
        <v>0.0070</v>
      </c>
    </row>
    <row r="7148" s="1" customFormat="1" spans="1:21">
      <c r="A7148" s="1" t="str">
        <f>"4601992318441"</f>
        <v>4601992318441</v>
      </c>
      <c r="B7148" s="1" t="s">
        <v>7171</v>
      </c>
      <c r="C7148" s="1" t="s">
        <v>24</v>
      </c>
      <c r="D7148" s="1" t="str">
        <f t="shared" si="12729"/>
        <v>2021</v>
      </c>
      <c r="E7148" s="1" t="str">
        <f t="shared" ref="E7148:P7148" si="12774">"0"</f>
        <v>0</v>
      </c>
      <c r="F7148" s="1" t="str">
        <f t="shared" si="12774"/>
        <v>0</v>
      </c>
      <c r="G7148" s="1" t="str">
        <f t="shared" si="12774"/>
        <v>0</v>
      </c>
      <c r="H7148" s="1" t="str">
        <f t="shared" si="12774"/>
        <v>0</v>
      </c>
      <c r="I7148" s="1" t="str">
        <f t="shared" si="12774"/>
        <v>0</v>
      </c>
      <c r="J7148" s="1" t="str">
        <f t="shared" si="12774"/>
        <v>0</v>
      </c>
      <c r="K7148" s="1" t="str">
        <f t="shared" si="12774"/>
        <v>0</v>
      </c>
      <c r="L7148" s="1" t="str">
        <f t="shared" si="12774"/>
        <v>0</v>
      </c>
      <c r="M7148" s="1" t="str">
        <f t="shared" si="12774"/>
        <v>0</v>
      </c>
      <c r="N7148" s="1" t="str">
        <f t="shared" si="12774"/>
        <v>0</v>
      </c>
      <c r="O7148" s="1" t="str">
        <f t="shared" si="12774"/>
        <v>0</v>
      </c>
      <c r="P7148" s="1" t="str">
        <f t="shared" si="12774"/>
        <v>0</v>
      </c>
      <c r="Q7148" s="1" t="str">
        <f t="shared" si="12731"/>
        <v>0.0070</v>
      </c>
      <c r="R7148" s="1" t="s">
        <v>25</v>
      </c>
      <c r="T7148" s="1" t="str">
        <f t="shared" si="12732"/>
        <v>0</v>
      </c>
      <c r="U7148" s="1" t="str">
        <f t="shared" si="12716"/>
        <v>0.0070</v>
      </c>
    </row>
    <row r="7149" s="1" customFormat="1" spans="1:21">
      <c r="A7149" s="1" t="str">
        <f>"4601992318799"</f>
        <v>4601992318799</v>
      </c>
      <c r="B7149" s="1" t="s">
        <v>7172</v>
      </c>
      <c r="C7149" s="1" t="s">
        <v>24</v>
      </c>
      <c r="D7149" s="1" t="str">
        <f t="shared" si="12729"/>
        <v>2021</v>
      </c>
      <c r="E7149" s="1" t="str">
        <f t="shared" ref="E7149:P7149" si="12775">"0"</f>
        <v>0</v>
      </c>
      <c r="F7149" s="1" t="str">
        <f t="shared" si="12775"/>
        <v>0</v>
      </c>
      <c r="G7149" s="1" t="str">
        <f t="shared" si="12775"/>
        <v>0</v>
      </c>
      <c r="H7149" s="1" t="str">
        <f t="shared" si="12775"/>
        <v>0</v>
      </c>
      <c r="I7149" s="1" t="str">
        <f t="shared" si="12775"/>
        <v>0</v>
      </c>
      <c r="J7149" s="1" t="str">
        <f t="shared" si="12775"/>
        <v>0</v>
      </c>
      <c r="K7149" s="1" t="str">
        <f t="shared" si="12775"/>
        <v>0</v>
      </c>
      <c r="L7149" s="1" t="str">
        <f t="shared" si="12775"/>
        <v>0</v>
      </c>
      <c r="M7149" s="1" t="str">
        <f t="shared" si="12775"/>
        <v>0</v>
      </c>
      <c r="N7149" s="1" t="str">
        <f t="shared" si="12775"/>
        <v>0</v>
      </c>
      <c r="O7149" s="1" t="str">
        <f t="shared" si="12775"/>
        <v>0</v>
      </c>
      <c r="P7149" s="1" t="str">
        <f t="shared" si="12775"/>
        <v>0</v>
      </c>
      <c r="Q7149" s="1" t="str">
        <f t="shared" si="12731"/>
        <v>0.0070</v>
      </c>
      <c r="R7149" s="1" t="s">
        <v>25</v>
      </c>
      <c r="T7149" s="1" t="str">
        <f t="shared" si="12732"/>
        <v>0</v>
      </c>
      <c r="U7149" s="1" t="str">
        <f t="shared" si="12716"/>
        <v>0.0070</v>
      </c>
    </row>
    <row r="7150" s="1" customFormat="1" spans="1:21">
      <c r="A7150" s="1" t="str">
        <f>"4601992318883"</f>
        <v>4601992318883</v>
      </c>
      <c r="B7150" s="1" t="s">
        <v>7173</v>
      </c>
      <c r="C7150" s="1" t="s">
        <v>24</v>
      </c>
      <c r="D7150" s="1" t="str">
        <f t="shared" si="12729"/>
        <v>2021</v>
      </c>
      <c r="E7150" s="1" t="str">
        <f t="shared" ref="E7150:P7150" si="12776">"0"</f>
        <v>0</v>
      </c>
      <c r="F7150" s="1" t="str">
        <f t="shared" si="12776"/>
        <v>0</v>
      </c>
      <c r="G7150" s="1" t="str">
        <f t="shared" si="12776"/>
        <v>0</v>
      </c>
      <c r="H7150" s="1" t="str">
        <f t="shared" si="12776"/>
        <v>0</v>
      </c>
      <c r="I7150" s="1" t="str">
        <f t="shared" si="12776"/>
        <v>0</v>
      </c>
      <c r="J7150" s="1" t="str">
        <f t="shared" si="12776"/>
        <v>0</v>
      </c>
      <c r="K7150" s="1" t="str">
        <f t="shared" si="12776"/>
        <v>0</v>
      </c>
      <c r="L7150" s="1" t="str">
        <f t="shared" si="12776"/>
        <v>0</v>
      </c>
      <c r="M7150" s="1" t="str">
        <f t="shared" si="12776"/>
        <v>0</v>
      </c>
      <c r="N7150" s="1" t="str">
        <f t="shared" si="12776"/>
        <v>0</v>
      </c>
      <c r="O7150" s="1" t="str">
        <f t="shared" si="12776"/>
        <v>0</v>
      </c>
      <c r="P7150" s="1" t="str">
        <f t="shared" si="12776"/>
        <v>0</v>
      </c>
      <c r="Q7150" s="1" t="str">
        <f t="shared" si="12731"/>
        <v>0.0070</v>
      </c>
      <c r="R7150" s="1" t="s">
        <v>25</v>
      </c>
      <c r="T7150" s="1" t="str">
        <f t="shared" si="12732"/>
        <v>0</v>
      </c>
      <c r="U7150" s="1" t="str">
        <f t="shared" si="12716"/>
        <v>0.0070</v>
      </c>
    </row>
    <row r="7151" s="1" customFormat="1" spans="1:21">
      <c r="A7151" s="1" t="str">
        <f>"4601992318821"</f>
        <v>4601992318821</v>
      </c>
      <c r="B7151" s="1" t="s">
        <v>7174</v>
      </c>
      <c r="C7151" s="1" t="s">
        <v>24</v>
      </c>
      <c r="D7151" s="1" t="str">
        <f t="shared" si="12729"/>
        <v>2021</v>
      </c>
      <c r="E7151" s="1" t="str">
        <f t="shared" ref="E7151:P7151" si="12777">"0"</f>
        <v>0</v>
      </c>
      <c r="F7151" s="1" t="str">
        <f t="shared" si="12777"/>
        <v>0</v>
      </c>
      <c r="G7151" s="1" t="str">
        <f t="shared" si="12777"/>
        <v>0</v>
      </c>
      <c r="H7151" s="1" t="str">
        <f t="shared" si="12777"/>
        <v>0</v>
      </c>
      <c r="I7151" s="1" t="str">
        <f t="shared" si="12777"/>
        <v>0</v>
      </c>
      <c r="J7151" s="1" t="str">
        <f t="shared" si="12777"/>
        <v>0</v>
      </c>
      <c r="K7151" s="1" t="str">
        <f t="shared" si="12777"/>
        <v>0</v>
      </c>
      <c r="L7151" s="1" t="str">
        <f t="shared" si="12777"/>
        <v>0</v>
      </c>
      <c r="M7151" s="1" t="str">
        <f t="shared" si="12777"/>
        <v>0</v>
      </c>
      <c r="N7151" s="1" t="str">
        <f t="shared" si="12777"/>
        <v>0</v>
      </c>
      <c r="O7151" s="1" t="str">
        <f t="shared" si="12777"/>
        <v>0</v>
      </c>
      <c r="P7151" s="1" t="str">
        <f t="shared" si="12777"/>
        <v>0</v>
      </c>
      <c r="Q7151" s="1" t="str">
        <f t="shared" si="12731"/>
        <v>0.0070</v>
      </c>
      <c r="R7151" s="1" t="s">
        <v>25</v>
      </c>
      <c r="T7151" s="1" t="str">
        <f t="shared" si="12732"/>
        <v>0</v>
      </c>
      <c r="U7151" s="1" t="str">
        <f t="shared" si="12716"/>
        <v>0.0070</v>
      </c>
    </row>
    <row r="7152" s="1" customFormat="1" spans="1:21">
      <c r="A7152" s="1" t="str">
        <f>"4601992318929"</f>
        <v>4601992318929</v>
      </c>
      <c r="B7152" s="1" t="s">
        <v>7175</v>
      </c>
      <c r="C7152" s="1" t="s">
        <v>24</v>
      </c>
      <c r="D7152" s="1" t="str">
        <f t="shared" si="12729"/>
        <v>2021</v>
      </c>
      <c r="E7152" s="1" t="str">
        <f t="shared" ref="E7152:P7152" si="12778">"0"</f>
        <v>0</v>
      </c>
      <c r="F7152" s="1" t="str">
        <f t="shared" si="12778"/>
        <v>0</v>
      </c>
      <c r="G7152" s="1" t="str">
        <f t="shared" si="12778"/>
        <v>0</v>
      </c>
      <c r="H7152" s="1" t="str">
        <f t="shared" si="12778"/>
        <v>0</v>
      </c>
      <c r="I7152" s="1" t="str">
        <f t="shared" si="12778"/>
        <v>0</v>
      </c>
      <c r="J7152" s="1" t="str">
        <f t="shared" si="12778"/>
        <v>0</v>
      </c>
      <c r="K7152" s="1" t="str">
        <f t="shared" si="12778"/>
        <v>0</v>
      </c>
      <c r="L7152" s="1" t="str">
        <f t="shared" si="12778"/>
        <v>0</v>
      </c>
      <c r="M7152" s="1" t="str">
        <f t="shared" si="12778"/>
        <v>0</v>
      </c>
      <c r="N7152" s="1" t="str">
        <f t="shared" si="12778"/>
        <v>0</v>
      </c>
      <c r="O7152" s="1" t="str">
        <f t="shared" si="12778"/>
        <v>0</v>
      </c>
      <c r="P7152" s="1" t="str">
        <f t="shared" si="12778"/>
        <v>0</v>
      </c>
      <c r="Q7152" s="1" t="str">
        <f t="shared" si="12731"/>
        <v>0.0070</v>
      </c>
      <c r="R7152" s="1" t="s">
        <v>25</v>
      </c>
      <c r="T7152" s="1" t="str">
        <f t="shared" si="12732"/>
        <v>0</v>
      </c>
      <c r="U7152" s="1" t="str">
        <f t="shared" si="12716"/>
        <v>0.0070</v>
      </c>
    </row>
    <row r="7153" s="1" customFormat="1" spans="1:21">
      <c r="A7153" s="1" t="str">
        <f>"4601992319016"</f>
        <v>4601992319016</v>
      </c>
      <c r="B7153" s="1" t="s">
        <v>7176</v>
      </c>
      <c r="C7153" s="1" t="s">
        <v>24</v>
      </c>
      <c r="D7153" s="1" t="str">
        <f t="shared" si="12729"/>
        <v>2021</v>
      </c>
      <c r="E7153" s="1" t="str">
        <f t="shared" ref="E7153:P7153" si="12779">"0"</f>
        <v>0</v>
      </c>
      <c r="F7153" s="1" t="str">
        <f t="shared" si="12779"/>
        <v>0</v>
      </c>
      <c r="G7153" s="1" t="str">
        <f t="shared" si="12779"/>
        <v>0</v>
      </c>
      <c r="H7153" s="1" t="str">
        <f t="shared" si="12779"/>
        <v>0</v>
      </c>
      <c r="I7153" s="1" t="str">
        <f t="shared" si="12779"/>
        <v>0</v>
      </c>
      <c r="J7153" s="1" t="str">
        <f t="shared" si="12779"/>
        <v>0</v>
      </c>
      <c r="K7153" s="1" t="str">
        <f t="shared" si="12779"/>
        <v>0</v>
      </c>
      <c r="L7153" s="1" t="str">
        <f t="shared" si="12779"/>
        <v>0</v>
      </c>
      <c r="M7153" s="1" t="str">
        <f t="shared" si="12779"/>
        <v>0</v>
      </c>
      <c r="N7153" s="1" t="str">
        <f t="shared" si="12779"/>
        <v>0</v>
      </c>
      <c r="O7153" s="1" t="str">
        <f t="shared" si="12779"/>
        <v>0</v>
      </c>
      <c r="P7153" s="1" t="str">
        <f t="shared" si="12779"/>
        <v>0</v>
      </c>
      <c r="Q7153" s="1" t="str">
        <f t="shared" si="12731"/>
        <v>0.0070</v>
      </c>
      <c r="R7153" s="1" t="s">
        <v>25</v>
      </c>
      <c r="T7153" s="1" t="str">
        <f t="shared" si="12732"/>
        <v>0</v>
      </c>
      <c r="U7153" s="1" t="str">
        <f t="shared" si="12716"/>
        <v>0.0070</v>
      </c>
    </row>
    <row r="7154" s="1" customFormat="1" spans="1:21">
      <c r="A7154" s="1" t="str">
        <f>"4601992319009"</f>
        <v>4601992319009</v>
      </c>
      <c r="B7154" s="1" t="s">
        <v>7177</v>
      </c>
      <c r="C7154" s="1" t="s">
        <v>24</v>
      </c>
      <c r="D7154" s="1" t="str">
        <f t="shared" si="12729"/>
        <v>2021</v>
      </c>
      <c r="E7154" s="1" t="str">
        <f t="shared" ref="E7154:P7154" si="12780">"0"</f>
        <v>0</v>
      </c>
      <c r="F7154" s="1" t="str">
        <f t="shared" si="12780"/>
        <v>0</v>
      </c>
      <c r="G7154" s="1" t="str">
        <f t="shared" si="12780"/>
        <v>0</v>
      </c>
      <c r="H7154" s="1" t="str">
        <f t="shared" si="12780"/>
        <v>0</v>
      </c>
      <c r="I7154" s="1" t="str">
        <f t="shared" si="12780"/>
        <v>0</v>
      </c>
      <c r="J7154" s="1" t="str">
        <f t="shared" si="12780"/>
        <v>0</v>
      </c>
      <c r="K7154" s="1" t="str">
        <f t="shared" si="12780"/>
        <v>0</v>
      </c>
      <c r="L7154" s="1" t="str">
        <f t="shared" si="12780"/>
        <v>0</v>
      </c>
      <c r="M7154" s="1" t="str">
        <f t="shared" si="12780"/>
        <v>0</v>
      </c>
      <c r="N7154" s="1" t="str">
        <f t="shared" si="12780"/>
        <v>0</v>
      </c>
      <c r="O7154" s="1" t="str">
        <f t="shared" si="12780"/>
        <v>0</v>
      </c>
      <c r="P7154" s="1" t="str">
        <f t="shared" si="12780"/>
        <v>0</v>
      </c>
      <c r="Q7154" s="1" t="str">
        <f t="shared" si="12731"/>
        <v>0.0070</v>
      </c>
      <c r="R7154" s="1" t="s">
        <v>25</v>
      </c>
      <c r="T7154" s="1" t="str">
        <f t="shared" si="12732"/>
        <v>0</v>
      </c>
      <c r="U7154" s="1" t="str">
        <f t="shared" si="12716"/>
        <v>0.0070</v>
      </c>
    </row>
    <row r="7155" s="1" customFormat="1" spans="1:21">
      <c r="A7155" s="1" t="str">
        <f>"4601992319044"</f>
        <v>4601992319044</v>
      </c>
      <c r="B7155" s="1" t="s">
        <v>7178</v>
      </c>
      <c r="C7155" s="1" t="s">
        <v>24</v>
      </c>
      <c r="D7155" s="1" t="str">
        <f t="shared" si="12729"/>
        <v>2021</v>
      </c>
      <c r="E7155" s="1" t="str">
        <f t="shared" ref="E7155:P7155" si="12781">"0"</f>
        <v>0</v>
      </c>
      <c r="F7155" s="1" t="str">
        <f t="shared" si="12781"/>
        <v>0</v>
      </c>
      <c r="G7155" s="1" t="str">
        <f t="shared" si="12781"/>
        <v>0</v>
      </c>
      <c r="H7155" s="1" t="str">
        <f t="shared" si="12781"/>
        <v>0</v>
      </c>
      <c r="I7155" s="1" t="str">
        <f t="shared" si="12781"/>
        <v>0</v>
      </c>
      <c r="J7155" s="1" t="str">
        <f t="shared" si="12781"/>
        <v>0</v>
      </c>
      <c r="K7155" s="1" t="str">
        <f t="shared" si="12781"/>
        <v>0</v>
      </c>
      <c r="L7155" s="1" t="str">
        <f t="shared" si="12781"/>
        <v>0</v>
      </c>
      <c r="M7155" s="1" t="str">
        <f t="shared" si="12781"/>
        <v>0</v>
      </c>
      <c r="N7155" s="1" t="str">
        <f t="shared" si="12781"/>
        <v>0</v>
      </c>
      <c r="O7155" s="1" t="str">
        <f t="shared" si="12781"/>
        <v>0</v>
      </c>
      <c r="P7155" s="1" t="str">
        <f t="shared" si="12781"/>
        <v>0</v>
      </c>
      <c r="Q7155" s="1" t="str">
        <f t="shared" si="12731"/>
        <v>0.0070</v>
      </c>
      <c r="R7155" s="1" t="s">
        <v>25</v>
      </c>
      <c r="T7155" s="1" t="str">
        <f t="shared" si="12732"/>
        <v>0</v>
      </c>
      <c r="U7155" s="1" t="str">
        <f t="shared" si="12716"/>
        <v>0.0070</v>
      </c>
    </row>
    <row r="7156" s="1" customFormat="1" spans="1:21">
      <c r="A7156" s="1" t="str">
        <f>"4601992319127"</f>
        <v>4601992319127</v>
      </c>
      <c r="B7156" s="1" t="s">
        <v>7179</v>
      </c>
      <c r="C7156" s="1" t="s">
        <v>24</v>
      </c>
      <c r="D7156" s="1" t="str">
        <f t="shared" si="12729"/>
        <v>2021</v>
      </c>
      <c r="E7156" s="1" t="str">
        <f t="shared" ref="E7156:P7156" si="12782">"0"</f>
        <v>0</v>
      </c>
      <c r="F7156" s="1" t="str">
        <f t="shared" si="12782"/>
        <v>0</v>
      </c>
      <c r="G7156" s="1" t="str">
        <f t="shared" si="12782"/>
        <v>0</v>
      </c>
      <c r="H7156" s="1" t="str">
        <f t="shared" si="12782"/>
        <v>0</v>
      </c>
      <c r="I7156" s="1" t="str">
        <f t="shared" si="12782"/>
        <v>0</v>
      </c>
      <c r="J7156" s="1" t="str">
        <f t="shared" si="12782"/>
        <v>0</v>
      </c>
      <c r="K7156" s="1" t="str">
        <f t="shared" si="12782"/>
        <v>0</v>
      </c>
      <c r="L7156" s="1" t="str">
        <f t="shared" si="12782"/>
        <v>0</v>
      </c>
      <c r="M7156" s="1" t="str">
        <f t="shared" si="12782"/>
        <v>0</v>
      </c>
      <c r="N7156" s="1" t="str">
        <f t="shared" si="12782"/>
        <v>0</v>
      </c>
      <c r="O7156" s="1" t="str">
        <f t="shared" si="12782"/>
        <v>0</v>
      </c>
      <c r="P7156" s="1" t="str">
        <f t="shared" si="12782"/>
        <v>0</v>
      </c>
      <c r="Q7156" s="1" t="str">
        <f t="shared" si="12731"/>
        <v>0.0070</v>
      </c>
      <c r="R7156" s="1" t="s">
        <v>25</v>
      </c>
      <c r="T7156" s="1" t="str">
        <f t="shared" si="12732"/>
        <v>0</v>
      </c>
      <c r="U7156" s="1" t="str">
        <f t="shared" si="12716"/>
        <v>0.0070</v>
      </c>
    </row>
    <row r="7157" s="1" customFormat="1" spans="1:21">
      <c r="A7157" s="1" t="str">
        <f>"4601992319084"</f>
        <v>4601992319084</v>
      </c>
      <c r="B7157" s="1" t="s">
        <v>7180</v>
      </c>
      <c r="C7157" s="1" t="s">
        <v>24</v>
      </c>
      <c r="D7157" s="1" t="str">
        <f t="shared" si="12729"/>
        <v>2021</v>
      </c>
      <c r="E7157" s="1" t="str">
        <f t="shared" ref="E7157:P7157" si="12783">"0"</f>
        <v>0</v>
      </c>
      <c r="F7157" s="1" t="str">
        <f t="shared" si="12783"/>
        <v>0</v>
      </c>
      <c r="G7157" s="1" t="str">
        <f t="shared" si="12783"/>
        <v>0</v>
      </c>
      <c r="H7157" s="1" t="str">
        <f t="shared" si="12783"/>
        <v>0</v>
      </c>
      <c r="I7157" s="1" t="str">
        <f t="shared" si="12783"/>
        <v>0</v>
      </c>
      <c r="J7157" s="1" t="str">
        <f t="shared" si="12783"/>
        <v>0</v>
      </c>
      <c r="K7157" s="1" t="str">
        <f t="shared" si="12783"/>
        <v>0</v>
      </c>
      <c r="L7157" s="1" t="str">
        <f t="shared" si="12783"/>
        <v>0</v>
      </c>
      <c r="M7157" s="1" t="str">
        <f t="shared" si="12783"/>
        <v>0</v>
      </c>
      <c r="N7157" s="1" t="str">
        <f t="shared" si="12783"/>
        <v>0</v>
      </c>
      <c r="O7157" s="1" t="str">
        <f t="shared" si="12783"/>
        <v>0</v>
      </c>
      <c r="P7157" s="1" t="str">
        <f t="shared" si="12783"/>
        <v>0</v>
      </c>
      <c r="Q7157" s="1" t="str">
        <f t="shared" si="12731"/>
        <v>0.0070</v>
      </c>
      <c r="R7157" s="1" t="s">
        <v>25</v>
      </c>
      <c r="T7157" s="1" t="str">
        <f t="shared" si="12732"/>
        <v>0</v>
      </c>
      <c r="U7157" s="1" t="str">
        <f t="shared" si="12716"/>
        <v>0.0070</v>
      </c>
    </row>
    <row r="7158" s="1" customFormat="1" spans="1:21">
      <c r="A7158" s="1" t="str">
        <f>"4601992319226"</f>
        <v>4601992319226</v>
      </c>
      <c r="B7158" s="1" t="s">
        <v>7181</v>
      </c>
      <c r="C7158" s="1" t="s">
        <v>24</v>
      </c>
      <c r="D7158" s="1" t="str">
        <f t="shared" si="12729"/>
        <v>2021</v>
      </c>
      <c r="E7158" s="1" t="str">
        <f t="shared" ref="E7158:P7158" si="12784">"0"</f>
        <v>0</v>
      </c>
      <c r="F7158" s="1" t="str">
        <f t="shared" si="12784"/>
        <v>0</v>
      </c>
      <c r="G7158" s="1" t="str">
        <f t="shared" si="12784"/>
        <v>0</v>
      </c>
      <c r="H7158" s="1" t="str">
        <f t="shared" si="12784"/>
        <v>0</v>
      </c>
      <c r="I7158" s="1" t="str">
        <f t="shared" si="12784"/>
        <v>0</v>
      </c>
      <c r="J7158" s="1" t="str">
        <f t="shared" si="12784"/>
        <v>0</v>
      </c>
      <c r="K7158" s="1" t="str">
        <f t="shared" si="12784"/>
        <v>0</v>
      </c>
      <c r="L7158" s="1" t="str">
        <f t="shared" si="12784"/>
        <v>0</v>
      </c>
      <c r="M7158" s="1" t="str">
        <f t="shared" si="12784"/>
        <v>0</v>
      </c>
      <c r="N7158" s="1" t="str">
        <f t="shared" si="12784"/>
        <v>0</v>
      </c>
      <c r="O7158" s="1" t="str">
        <f t="shared" si="12784"/>
        <v>0</v>
      </c>
      <c r="P7158" s="1" t="str">
        <f t="shared" si="12784"/>
        <v>0</v>
      </c>
      <c r="Q7158" s="1" t="str">
        <f t="shared" si="12731"/>
        <v>0.0070</v>
      </c>
      <c r="R7158" s="1" t="s">
        <v>25</v>
      </c>
      <c r="T7158" s="1" t="str">
        <f t="shared" si="12732"/>
        <v>0</v>
      </c>
      <c r="U7158" s="1" t="str">
        <f t="shared" ref="U7158:U7221" si="12785">"0.0070"</f>
        <v>0.0070</v>
      </c>
    </row>
    <row r="7159" s="1" customFormat="1" spans="1:21">
      <c r="A7159" s="1" t="str">
        <f>"4601992319238"</f>
        <v>4601992319238</v>
      </c>
      <c r="B7159" s="1" t="s">
        <v>7182</v>
      </c>
      <c r="C7159" s="1" t="s">
        <v>24</v>
      </c>
      <c r="D7159" s="1" t="str">
        <f t="shared" si="12729"/>
        <v>2021</v>
      </c>
      <c r="E7159" s="1" t="str">
        <f t="shared" ref="E7159:P7159" si="12786">"0"</f>
        <v>0</v>
      </c>
      <c r="F7159" s="1" t="str">
        <f t="shared" si="12786"/>
        <v>0</v>
      </c>
      <c r="G7159" s="1" t="str">
        <f t="shared" si="12786"/>
        <v>0</v>
      </c>
      <c r="H7159" s="1" t="str">
        <f t="shared" si="12786"/>
        <v>0</v>
      </c>
      <c r="I7159" s="1" t="str">
        <f t="shared" si="12786"/>
        <v>0</v>
      </c>
      <c r="J7159" s="1" t="str">
        <f t="shared" si="12786"/>
        <v>0</v>
      </c>
      <c r="K7159" s="1" t="str">
        <f t="shared" si="12786"/>
        <v>0</v>
      </c>
      <c r="L7159" s="1" t="str">
        <f t="shared" si="12786"/>
        <v>0</v>
      </c>
      <c r="M7159" s="1" t="str">
        <f t="shared" si="12786"/>
        <v>0</v>
      </c>
      <c r="N7159" s="1" t="str">
        <f t="shared" si="12786"/>
        <v>0</v>
      </c>
      <c r="O7159" s="1" t="str">
        <f t="shared" si="12786"/>
        <v>0</v>
      </c>
      <c r="P7159" s="1" t="str">
        <f t="shared" si="12786"/>
        <v>0</v>
      </c>
      <c r="Q7159" s="1" t="str">
        <f t="shared" si="12731"/>
        <v>0.0070</v>
      </c>
      <c r="R7159" s="1" t="s">
        <v>25</v>
      </c>
      <c r="T7159" s="1" t="str">
        <f t="shared" si="12732"/>
        <v>0</v>
      </c>
      <c r="U7159" s="1" t="str">
        <f t="shared" si="12785"/>
        <v>0.0070</v>
      </c>
    </row>
    <row r="7160" s="1" customFormat="1" spans="1:21">
      <c r="A7160" s="1" t="str">
        <f>"4601992319313"</f>
        <v>4601992319313</v>
      </c>
      <c r="B7160" s="1" t="s">
        <v>7183</v>
      </c>
      <c r="C7160" s="1" t="s">
        <v>24</v>
      </c>
      <c r="D7160" s="1" t="str">
        <f t="shared" si="12729"/>
        <v>2021</v>
      </c>
      <c r="E7160" s="1" t="str">
        <f t="shared" ref="E7160:P7160" si="12787">"0"</f>
        <v>0</v>
      </c>
      <c r="F7160" s="1" t="str">
        <f t="shared" si="12787"/>
        <v>0</v>
      </c>
      <c r="G7160" s="1" t="str">
        <f t="shared" si="12787"/>
        <v>0</v>
      </c>
      <c r="H7160" s="1" t="str">
        <f t="shared" si="12787"/>
        <v>0</v>
      </c>
      <c r="I7160" s="1" t="str">
        <f t="shared" si="12787"/>
        <v>0</v>
      </c>
      <c r="J7160" s="1" t="str">
        <f t="shared" si="12787"/>
        <v>0</v>
      </c>
      <c r="K7160" s="1" t="str">
        <f t="shared" si="12787"/>
        <v>0</v>
      </c>
      <c r="L7160" s="1" t="str">
        <f t="shared" si="12787"/>
        <v>0</v>
      </c>
      <c r="M7160" s="1" t="str">
        <f t="shared" si="12787"/>
        <v>0</v>
      </c>
      <c r="N7160" s="1" t="str">
        <f t="shared" si="12787"/>
        <v>0</v>
      </c>
      <c r="O7160" s="1" t="str">
        <f t="shared" si="12787"/>
        <v>0</v>
      </c>
      <c r="P7160" s="1" t="str">
        <f t="shared" si="12787"/>
        <v>0</v>
      </c>
      <c r="Q7160" s="1" t="str">
        <f t="shared" si="12731"/>
        <v>0.0070</v>
      </c>
      <c r="R7160" s="1" t="s">
        <v>25</v>
      </c>
      <c r="T7160" s="1" t="str">
        <f t="shared" si="12732"/>
        <v>0</v>
      </c>
      <c r="U7160" s="1" t="str">
        <f t="shared" si="12785"/>
        <v>0.0070</v>
      </c>
    </row>
    <row r="7161" s="1" customFormat="1" spans="1:21">
      <c r="A7161" s="1" t="str">
        <f>"4601992319354"</f>
        <v>4601992319354</v>
      </c>
      <c r="B7161" s="1" t="s">
        <v>7184</v>
      </c>
      <c r="C7161" s="1" t="s">
        <v>24</v>
      </c>
      <c r="D7161" s="1" t="str">
        <f t="shared" si="12729"/>
        <v>2021</v>
      </c>
      <c r="E7161" s="1" t="str">
        <f t="shared" ref="E7161:P7161" si="12788">"0"</f>
        <v>0</v>
      </c>
      <c r="F7161" s="1" t="str">
        <f t="shared" si="12788"/>
        <v>0</v>
      </c>
      <c r="G7161" s="1" t="str">
        <f t="shared" si="12788"/>
        <v>0</v>
      </c>
      <c r="H7161" s="1" t="str">
        <f t="shared" si="12788"/>
        <v>0</v>
      </c>
      <c r="I7161" s="1" t="str">
        <f t="shared" si="12788"/>
        <v>0</v>
      </c>
      <c r="J7161" s="1" t="str">
        <f t="shared" si="12788"/>
        <v>0</v>
      </c>
      <c r="K7161" s="1" t="str">
        <f t="shared" si="12788"/>
        <v>0</v>
      </c>
      <c r="L7161" s="1" t="str">
        <f t="shared" si="12788"/>
        <v>0</v>
      </c>
      <c r="M7161" s="1" t="str">
        <f t="shared" si="12788"/>
        <v>0</v>
      </c>
      <c r="N7161" s="1" t="str">
        <f t="shared" si="12788"/>
        <v>0</v>
      </c>
      <c r="O7161" s="1" t="str">
        <f t="shared" si="12788"/>
        <v>0</v>
      </c>
      <c r="P7161" s="1" t="str">
        <f t="shared" si="12788"/>
        <v>0</v>
      </c>
      <c r="Q7161" s="1" t="str">
        <f t="shared" si="12731"/>
        <v>0.0070</v>
      </c>
      <c r="R7161" s="1" t="s">
        <v>25</v>
      </c>
      <c r="T7161" s="1" t="str">
        <f t="shared" si="12732"/>
        <v>0</v>
      </c>
      <c r="U7161" s="1" t="str">
        <f t="shared" si="12785"/>
        <v>0.0070</v>
      </c>
    </row>
    <row r="7162" s="1" customFormat="1" spans="1:21">
      <c r="A7162" s="1" t="str">
        <f>"4601992319390"</f>
        <v>4601992319390</v>
      </c>
      <c r="B7162" s="1" t="s">
        <v>7185</v>
      </c>
      <c r="C7162" s="1" t="s">
        <v>24</v>
      </c>
      <c r="D7162" s="1" t="str">
        <f t="shared" si="12729"/>
        <v>2021</v>
      </c>
      <c r="E7162" s="1" t="str">
        <f t="shared" ref="E7162:P7162" si="12789">"0"</f>
        <v>0</v>
      </c>
      <c r="F7162" s="1" t="str">
        <f t="shared" si="12789"/>
        <v>0</v>
      </c>
      <c r="G7162" s="1" t="str">
        <f t="shared" si="12789"/>
        <v>0</v>
      </c>
      <c r="H7162" s="1" t="str">
        <f t="shared" si="12789"/>
        <v>0</v>
      </c>
      <c r="I7162" s="1" t="str">
        <f t="shared" si="12789"/>
        <v>0</v>
      </c>
      <c r="J7162" s="1" t="str">
        <f t="shared" si="12789"/>
        <v>0</v>
      </c>
      <c r="K7162" s="1" t="str">
        <f t="shared" si="12789"/>
        <v>0</v>
      </c>
      <c r="L7162" s="1" t="str">
        <f t="shared" si="12789"/>
        <v>0</v>
      </c>
      <c r="M7162" s="1" t="str">
        <f t="shared" si="12789"/>
        <v>0</v>
      </c>
      <c r="N7162" s="1" t="str">
        <f t="shared" si="12789"/>
        <v>0</v>
      </c>
      <c r="O7162" s="1" t="str">
        <f t="shared" si="12789"/>
        <v>0</v>
      </c>
      <c r="P7162" s="1" t="str">
        <f t="shared" si="12789"/>
        <v>0</v>
      </c>
      <c r="Q7162" s="1" t="str">
        <f t="shared" si="12731"/>
        <v>0.0070</v>
      </c>
      <c r="R7162" s="1" t="s">
        <v>25</v>
      </c>
      <c r="T7162" s="1" t="str">
        <f t="shared" si="12732"/>
        <v>0</v>
      </c>
      <c r="U7162" s="1" t="str">
        <f t="shared" si="12785"/>
        <v>0.0070</v>
      </c>
    </row>
    <row r="7163" s="1" customFormat="1" spans="1:21">
      <c r="A7163" s="1" t="str">
        <f>"4601992319419"</f>
        <v>4601992319419</v>
      </c>
      <c r="B7163" s="1" t="s">
        <v>7186</v>
      </c>
      <c r="C7163" s="1" t="s">
        <v>24</v>
      </c>
      <c r="D7163" s="1" t="str">
        <f t="shared" si="12729"/>
        <v>2021</v>
      </c>
      <c r="E7163" s="1" t="str">
        <f t="shared" ref="E7163:P7163" si="12790">"0"</f>
        <v>0</v>
      </c>
      <c r="F7163" s="1" t="str">
        <f t="shared" si="12790"/>
        <v>0</v>
      </c>
      <c r="G7163" s="1" t="str">
        <f t="shared" si="12790"/>
        <v>0</v>
      </c>
      <c r="H7163" s="1" t="str">
        <f t="shared" si="12790"/>
        <v>0</v>
      </c>
      <c r="I7163" s="1" t="str">
        <f t="shared" si="12790"/>
        <v>0</v>
      </c>
      <c r="J7163" s="1" t="str">
        <f t="shared" si="12790"/>
        <v>0</v>
      </c>
      <c r="K7163" s="1" t="str">
        <f t="shared" si="12790"/>
        <v>0</v>
      </c>
      <c r="L7163" s="1" t="str">
        <f t="shared" si="12790"/>
        <v>0</v>
      </c>
      <c r="M7163" s="1" t="str">
        <f t="shared" si="12790"/>
        <v>0</v>
      </c>
      <c r="N7163" s="1" t="str">
        <f t="shared" si="12790"/>
        <v>0</v>
      </c>
      <c r="O7163" s="1" t="str">
        <f t="shared" si="12790"/>
        <v>0</v>
      </c>
      <c r="P7163" s="1" t="str">
        <f t="shared" si="12790"/>
        <v>0</v>
      </c>
      <c r="Q7163" s="1" t="str">
        <f t="shared" si="12731"/>
        <v>0.0070</v>
      </c>
      <c r="R7163" s="1" t="s">
        <v>25</v>
      </c>
      <c r="T7163" s="1" t="str">
        <f t="shared" si="12732"/>
        <v>0</v>
      </c>
      <c r="U7163" s="1" t="str">
        <f t="shared" si="12785"/>
        <v>0.0070</v>
      </c>
    </row>
    <row r="7164" s="1" customFormat="1" spans="1:21">
      <c r="A7164" s="1" t="str">
        <f>"4601992319503"</f>
        <v>4601992319503</v>
      </c>
      <c r="B7164" s="1" t="s">
        <v>7187</v>
      </c>
      <c r="C7164" s="1" t="s">
        <v>24</v>
      </c>
      <c r="D7164" s="1" t="str">
        <f t="shared" si="12729"/>
        <v>2021</v>
      </c>
      <c r="E7164" s="1" t="str">
        <f t="shared" ref="E7164:P7164" si="12791">"0"</f>
        <v>0</v>
      </c>
      <c r="F7164" s="1" t="str">
        <f t="shared" si="12791"/>
        <v>0</v>
      </c>
      <c r="G7164" s="1" t="str">
        <f t="shared" si="12791"/>
        <v>0</v>
      </c>
      <c r="H7164" s="1" t="str">
        <f t="shared" si="12791"/>
        <v>0</v>
      </c>
      <c r="I7164" s="1" t="str">
        <f t="shared" si="12791"/>
        <v>0</v>
      </c>
      <c r="J7164" s="1" t="str">
        <f t="shared" si="12791"/>
        <v>0</v>
      </c>
      <c r="K7164" s="1" t="str">
        <f t="shared" si="12791"/>
        <v>0</v>
      </c>
      <c r="L7164" s="1" t="str">
        <f t="shared" si="12791"/>
        <v>0</v>
      </c>
      <c r="M7164" s="1" t="str">
        <f t="shared" si="12791"/>
        <v>0</v>
      </c>
      <c r="N7164" s="1" t="str">
        <f t="shared" si="12791"/>
        <v>0</v>
      </c>
      <c r="O7164" s="1" t="str">
        <f t="shared" si="12791"/>
        <v>0</v>
      </c>
      <c r="P7164" s="1" t="str">
        <f t="shared" si="12791"/>
        <v>0</v>
      </c>
      <c r="Q7164" s="1" t="str">
        <f t="shared" si="12731"/>
        <v>0.0070</v>
      </c>
      <c r="R7164" s="1" t="s">
        <v>25</v>
      </c>
      <c r="T7164" s="1" t="str">
        <f t="shared" si="12732"/>
        <v>0</v>
      </c>
      <c r="U7164" s="1" t="str">
        <f t="shared" si="12785"/>
        <v>0.0070</v>
      </c>
    </row>
    <row r="7165" s="1" customFormat="1" spans="1:21">
      <c r="A7165" s="1" t="str">
        <f>"4601992319557"</f>
        <v>4601992319557</v>
      </c>
      <c r="B7165" s="1" t="s">
        <v>7188</v>
      </c>
      <c r="C7165" s="1" t="s">
        <v>24</v>
      </c>
      <c r="D7165" s="1" t="str">
        <f t="shared" si="12729"/>
        <v>2021</v>
      </c>
      <c r="E7165" s="1" t="str">
        <f t="shared" ref="E7165:P7165" si="12792">"0"</f>
        <v>0</v>
      </c>
      <c r="F7165" s="1" t="str">
        <f t="shared" si="12792"/>
        <v>0</v>
      </c>
      <c r="G7165" s="1" t="str">
        <f t="shared" si="12792"/>
        <v>0</v>
      </c>
      <c r="H7165" s="1" t="str">
        <f t="shared" si="12792"/>
        <v>0</v>
      </c>
      <c r="I7165" s="1" t="str">
        <f t="shared" si="12792"/>
        <v>0</v>
      </c>
      <c r="J7165" s="1" t="str">
        <f t="shared" si="12792"/>
        <v>0</v>
      </c>
      <c r="K7165" s="1" t="str">
        <f t="shared" si="12792"/>
        <v>0</v>
      </c>
      <c r="L7165" s="1" t="str">
        <f t="shared" si="12792"/>
        <v>0</v>
      </c>
      <c r="M7165" s="1" t="str">
        <f t="shared" si="12792"/>
        <v>0</v>
      </c>
      <c r="N7165" s="1" t="str">
        <f t="shared" si="12792"/>
        <v>0</v>
      </c>
      <c r="O7165" s="1" t="str">
        <f t="shared" si="12792"/>
        <v>0</v>
      </c>
      <c r="P7165" s="1" t="str">
        <f t="shared" si="12792"/>
        <v>0</v>
      </c>
      <c r="Q7165" s="1" t="str">
        <f t="shared" si="12731"/>
        <v>0.0070</v>
      </c>
      <c r="R7165" s="1" t="s">
        <v>25</v>
      </c>
      <c r="T7165" s="1" t="str">
        <f t="shared" si="12732"/>
        <v>0</v>
      </c>
      <c r="U7165" s="1" t="str">
        <f t="shared" si="12785"/>
        <v>0.0070</v>
      </c>
    </row>
    <row r="7166" s="1" customFormat="1" spans="1:21">
      <c r="A7166" s="1" t="str">
        <f>"4601992319559"</f>
        <v>4601992319559</v>
      </c>
      <c r="B7166" s="1" t="s">
        <v>7189</v>
      </c>
      <c r="C7166" s="1" t="s">
        <v>24</v>
      </c>
      <c r="D7166" s="1" t="str">
        <f t="shared" si="12729"/>
        <v>2021</v>
      </c>
      <c r="E7166" s="1" t="str">
        <f t="shared" ref="E7166:P7166" si="12793">"0"</f>
        <v>0</v>
      </c>
      <c r="F7166" s="1" t="str">
        <f t="shared" si="12793"/>
        <v>0</v>
      </c>
      <c r="G7166" s="1" t="str">
        <f t="shared" si="12793"/>
        <v>0</v>
      </c>
      <c r="H7166" s="1" t="str">
        <f t="shared" si="12793"/>
        <v>0</v>
      </c>
      <c r="I7166" s="1" t="str">
        <f t="shared" si="12793"/>
        <v>0</v>
      </c>
      <c r="J7166" s="1" t="str">
        <f t="shared" si="12793"/>
        <v>0</v>
      </c>
      <c r="K7166" s="1" t="str">
        <f t="shared" si="12793"/>
        <v>0</v>
      </c>
      <c r="L7166" s="1" t="str">
        <f t="shared" si="12793"/>
        <v>0</v>
      </c>
      <c r="M7166" s="1" t="str">
        <f t="shared" si="12793"/>
        <v>0</v>
      </c>
      <c r="N7166" s="1" t="str">
        <f t="shared" si="12793"/>
        <v>0</v>
      </c>
      <c r="O7166" s="1" t="str">
        <f t="shared" si="12793"/>
        <v>0</v>
      </c>
      <c r="P7166" s="1" t="str">
        <f t="shared" si="12793"/>
        <v>0</v>
      </c>
      <c r="Q7166" s="1" t="str">
        <f t="shared" si="12731"/>
        <v>0.0070</v>
      </c>
      <c r="R7166" s="1" t="s">
        <v>25</v>
      </c>
      <c r="T7166" s="1" t="str">
        <f t="shared" si="12732"/>
        <v>0</v>
      </c>
      <c r="U7166" s="1" t="str">
        <f t="shared" si="12785"/>
        <v>0.0070</v>
      </c>
    </row>
    <row r="7167" s="1" customFormat="1" spans="1:21">
      <c r="A7167" s="1" t="str">
        <f>"4601992319560"</f>
        <v>4601992319560</v>
      </c>
      <c r="B7167" s="1" t="s">
        <v>7190</v>
      </c>
      <c r="C7167" s="1" t="s">
        <v>24</v>
      </c>
      <c r="D7167" s="1" t="str">
        <f t="shared" si="12729"/>
        <v>2021</v>
      </c>
      <c r="E7167" s="1" t="str">
        <f t="shared" ref="E7167:P7167" si="12794">"0"</f>
        <v>0</v>
      </c>
      <c r="F7167" s="1" t="str">
        <f t="shared" si="12794"/>
        <v>0</v>
      </c>
      <c r="G7167" s="1" t="str">
        <f t="shared" si="12794"/>
        <v>0</v>
      </c>
      <c r="H7167" s="1" t="str">
        <f t="shared" si="12794"/>
        <v>0</v>
      </c>
      <c r="I7167" s="1" t="str">
        <f t="shared" si="12794"/>
        <v>0</v>
      </c>
      <c r="J7167" s="1" t="str">
        <f t="shared" si="12794"/>
        <v>0</v>
      </c>
      <c r="K7167" s="1" t="str">
        <f t="shared" si="12794"/>
        <v>0</v>
      </c>
      <c r="L7167" s="1" t="str">
        <f t="shared" si="12794"/>
        <v>0</v>
      </c>
      <c r="M7167" s="1" t="str">
        <f t="shared" si="12794"/>
        <v>0</v>
      </c>
      <c r="N7167" s="1" t="str">
        <f t="shared" si="12794"/>
        <v>0</v>
      </c>
      <c r="O7167" s="1" t="str">
        <f t="shared" si="12794"/>
        <v>0</v>
      </c>
      <c r="P7167" s="1" t="str">
        <f t="shared" si="12794"/>
        <v>0</v>
      </c>
      <c r="Q7167" s="1" t="str">
        <f t="shared" si="12731"/>
        <v>0.0070</v>
      </c>
      <c r="R7167" s="1" t="s">
        <v>25</v>
      </c>
      <c r="T7167" s="1" t="str">
        <f t="shared" si="12732"/>
        <v>0</v>
      </c>
      <c r="U7167" s="1" t="str">
        <f t="shared" si="12785"/>
        <v>0.0070</v>
      </c>
    </row>
    <row r="7168" s="1" customFormat="1" spans="1:21">
      <c r="A7168" s="1" t="str">
        <f>"4601992319589"</f>
        <v>4601992319589</v>
      </c>
      <c r="B7168" s="1" t="s">
        <v>7191</v>
      </c>
      <c r="C7168" s="1" t="s">
        <v>24</v>
      </c>
      <c r="D7168" s="1" t="str">
        <f t="shared" si="12729"/>
        <v>2021</v>
      </c>
      <c r="E7168" s="1" t="str">
        <f t="shared" ref="E7168:P7168" si="12795">"0"</f>
        <v>0</v>
      </c>
      <c r="F7168" s="1" t="str">
        <f t="shared" si="12795"/>
        <v>0</v>
      </c>
      <c r="G7168" s="1" t="str">
        <f t="shared" si="12795"/>
        <v>0</v>
      </c>
      <c r="H7168" s="1" t="str">
        <f t="shared" si="12795"/>
        <v>0</v>
      </c>
      <c r="I7168" s="1" t="str">
        <f t="shared" si="12795"/>
        <v>0</v>
      </c>
      <c r="J7168" s="1" t="str">
        <f t="shared" si="12795"/>
        <v>0</v>
      </c>
      <c r="K7168" s="1" t="str">
        <f t="shared" si="12795"/>
        <v>0</v>
      </c>
      <c r="L7168" s="1" t="str">
        <f t="shared" si="12795"/>
        <v>0</v>
      </c>
      <c r="M7168" s="1" t="str">
        <f t="shared" si="12795"/>
        <v>0</v>
      </c>
      <c r="N7168" s="1" t="str">
        <f t="shared" si="12795"/>
        <v>0</v>
      </c>
      <c r="O7168" s="1" t="str">
        <f t="shared" si="12795"/>
        <v>0</v>
      </c>
      <c r="P7168" s="1" t="str">
        <f t="shared" si="12795"/>
        <v>0</v>
      </c>
      <c r="Q7168" s="1" t="str">
        <f t="shared" si="12731"/>
        <v>0.0070</v>
      </c>
      <c r="R7168" s="1" t="s">
        <v>25</v>
      </c>
      <c r="T7168" s="1" t="str">
        <f t="shared" si="12732"/>
        <v>0</v>
      </c>
      <c r="U7168" s="1" t="str">
        <f t="shared" si="12785"/>
        <v>0.0070</v>
      </c>
    </row>
    <row r="7169" s="1" customFormat="1" spans="1:21">
      <c r="A7169" s="1" t="str">
        <f>"4601992319603"</f>
        <v>4601992319603</v>
      </c>
      <c r="B7169" s="1" t="s">
        <v>7192</v>
      </c>
      <c r="C7169" s="1" t="s">
        <v>24</v>
      </c>
      <c r="D7169" s="1" t="str">
        <f t="shared" si="12729"/>
        <v>2021</v>
      </c>
      <c r="E7169" s="1" t="str">
        <f t="shared" ref="E7169:P7169" si="12796">"0"</f>
        <v>0</v>
      </c>
      <c r="F7169" s="1" t="str">
        <f t="shared" si="12796"/>
        <v>0</v>
      </c>
      <c r="G7169" s="1" t="str">
        <f t="shared" si="12796"/>
        <v>0</v>
      </c>
      <c r="H7169" s="1" t="str">
        <f t="shared" si="12796"/>
        <v>0</v>
      </c>
      <c r="I7169" s="1" t="str">
        <f t="shared" si="12796"/>
        <v>0</v>
      </c>
      <c r="J7169" s="1" t="str">
        <f t="shared" si="12796"/>
        <v>0</v>
      </c>
      <c r="K7169" s="1" t="str">
        <f t="shared" si="12796"/>
        <v>0</v>
      </c>
      <c r="L7169" s="1" t="str">
        <f t="shared" si="12796"/>
        <v>0</v>
      </c>
      <c r="M7169" s="1" t="str">
        <f t="shared" si="12796"/>
        <v>0</v>
      </c>
      <c r="N7169" s="1" t="str">
        <f t="shared" si="12796"/>
        <v>0</v>
      </c>
      <c r="O7169" s="1" t="str">
        <f t="shared" si="12796"/>
        <v>0</v>
      </c>
      <c r="P7169" s="1" t="str">
        <f t="shared" si="12796"/>
        <v>0</v>
      </c>
      <c r="Q7169" s="1" t="str">
        <f t="shared" si="12731"/>
        <v>0.0070</v>
      </c>
      <c r="R7169" s="1" t="s">
        <v>25</v>
      </c>
      <c r="T7169" s="1" t="str">
        <f t="shared" si="12732"/>
        <v>0</v>
      </c>
      <c r="U7169" s="1" t="str">
        <f t="shared" si="12785"/>
        <v>0.0070</v>
      </c>
    </row>
    <row r="7170" s="1" customFormat="1" spans="1:21">
      <c r="A7170" s="1" t="str">
        <f>"4601992319637"</f>
        <v>4601992319637</v>
      </c>
      <c r="B7170" s="1" t="s">
        <v>7193</v>
      </c>
      <c r="C7170" s="1" t="s">
        <v>24</v>
      </c>
      <c r="D7170" s="1" t="str">
        <f t="shared" si="12729"/>
        <v>2021</v>
      </c>
      <c r="E7170" s="1" t="str">
        <f t="shared" ref="E7170:P7170" si="12797">"0"</f>
        <v>0</v>
      </c>
      <c r="F7170" s="1" t="str">
        <f t="shared" si="12797"/>
        <v>0</v>
      </c>
      <c r="G7170" s="1" t="str">
        <f t="shared" si="12797"/>
        <v>0</v>
      </c>
      <c r="H7170" s="1" t="str">
        <f t="shared" si="12797"/>
        <v>0</v>
      </c>
      <c r="I7170" s="1" t="str">
        <f t="shared" si="12797"/>
        <v>0</v>
      </c>
      <c r="J7170" s="1" t="str">
        <f t="shared" si="12797"/>
        <v>0</v>
      </c>
      <c r="K7170" s="1" t="str">
        <f t="shared" si="12797"/>
        <v>0</v>
      </c>
      <c r="L7170" s="1" t="str">
        <f t="shared" si="12797"/>
        <v>0</v>
      </c>
      <c r="M7170" s="1" t="str">
        <f t="shared" si="12797"/>
        <v>0</v>
      </c>
      <c r="N7170" s="1" t="str">
        <f t="shared" si="12797"/>
        <v>0</v>
      </c>
      <c r="O7170" s="1" t="str">
        <f t="shared" si="12797"/>
        <v>0</v>
      </c>
      <c r="P7170" s="1" t="str">
        <f t="shared" si="12797"/>
        <v>0</v>
      </c>
      <c r="Q7170" s="1" t="str">
        <f t="shared" si="12731"/>
        <v>0.0070</v>
      </c>
      <c r="R7170" s="1" t="s">
        <v>25</v>
      </c>
      <c r="T7170" s="1" t="str">
        <f t="shared" si="12732"/>
        <v>0</v>
      </c>
      <c r="U7170" s="1" t="str">
        <f t="shared" si="12785"/>
        <v>0.0070</v>
      </c>
    </row>
    <row r="7171" s="1" customFormat="1" spans="1:21">
      <c r="A7171" s="1" t="str">
        <f>"4601992319674"</f>
        <v>4601992319674</v>
      </c>
      <c r="B7171" s="1" t="s">
        <v>7194</v>
      </c>
      <c r="C7171" s="1" t="s">
        <v>24</v>
      </c>
      <c r="D7171" s="1" t="str">
        <f t="shared" ref="D7171:D7234" si="12798">"2021"</f>
        <v>2021</v>
      </c>
      <c r="E7171" s="1" t="str">
        <f t="shared" ref="E7171:P7171" si="12799">"0"</f>
        <v>0</v>
      </c>
      <c r="F7171" s="1" t="str">
        <f t="shared" si="12799"/>
        <v>0</v>
      </c>
      <c r="G7171" s="1" t="str">
        <f t="shared" si="12799"/>
        <v>0</v>
      </c>
      <c r="H7171" s="1" t="str">
        <f t="shared" si="12799"/>
        <v>0</v>
      </c>
      <c r="I7171" s="1" t="str">
        <f t="shared" si="12799"/>
        <v>0</v>
      </c>
      <c r="J7171" s="1" t="str">
        <f t="shared" si="12799"/>
        <v>0</v>
      </c>
      <c r="K7171" s="1" t="str">
        <f t="shared" si="12799"/>
        <v>0</v>
      </c>
      <c r="L7171" s="1" t="str">
        <f t="shared" si="12799"/>
        <v>0</v>
      </c>
      <c r="M7171" s="1" t="str">
        <f t="shared" si="12799"/>
        <v>0</v>
      </c>
      <c r="N7171" s="1" t="str">
        <f t="shared" si="12799"/>
        <v>0</v>
      </c>
      <c r="O7171" s="1" t="str">
        <f t="shared" si="12799"/>
        <v>0</v>
      </c>
      <c r="P7171" s="1" t="str">
        <f t="shared" si="12799"/>
        <v>0</v>
      </c>
      <c r="Q7171" s="1" t="str">
        <f t="shared" ref="Q7171:Q7234" si="12800">"0.0070"</f>
        <v>0.0070</v>
      </c>
      <c r="R7171" s="1" t="s">
        <v>25</v>
      </c>
      <c r="T7171" s="1" t="str">
        <f t="shared" ref="T7171:T7234" si="12801">"0"</f>
        <v>0</v>
      </c>
      <c r="U7171" s="1" t="str">
        <f t="shared" si="12785"/>
        <v>0.0070</v>
      </c>
    </row>
    <row r="7172" s="1" customFormat="1" spans="1:21">
      <c r="A7172" s="1" t="str">
        <f>"4601992319706"</f>
        <v>4601992319706</v>
      </c>
      <c r="B7172" s="1" t="s">
        <v>7195</v>
      </c>
      <c r="C7172" s="1" t="s">
        <v>24</v>
      </c>
      <c r="D7172" s="1" t="str">
        <f t="shared" si="12798"/>
        <v>2021</v>
      </c>
      <c r="E7172" s="1" t="str">
        <f t="shared" ref="E7172:P7172" si="12802">"0"</f>
        <v>0</v>
      </c>
      <c r="F7172" s="1" t="str">
        <f t="shared" si="12802"/>
        <v>0</v>
      </c>
      <c r="G7172" s="1" t="str">
        <f t="shared" si="12802"/>
        <v>0</v>
      </c>
      <c r="H7172" s="1" t="str">
        <f t="shared" si="12802"/>
        <v>0</v>
      </c>
      <c r="I7172" s="1" t="str">
        <f t="shared" si="12802"/>
        <v>0</v>
      </c>
      <c r="J7172" s="1" t="str">
        <f t="shared" si="12802"/>
        <v>0</v>
      </c>
      <c r="K7172" s="1" t="str">
        <f t="shared" si="12802"/>
        <v>0</v>
      </c>
      <c r="L7172" s="1" t="str">
        <f t="shared" si="12802"/>
        <v>0</v>
      </c>
      <c r="M7172" s="1" t="str">
        <f t="shared" si="12802"/>
        <v>0</v>
      </c>
      <c r="N7172" s="1" t="str">
        <f t="shared" si="12802"/>
        <v>0</v>
      </c>
      <c r="O7172" s="1" t="str">
        <f t="shared" si="12802"/>
        <v>0</v>
      </c>
      <c r="P7172" s="1" t="str">
        <f t="shared" si="12802"/>
        <v>0</v>
      </c>
      <c r="Q7172" s="1" t="str">
        <f t="shared" si="12800"/>
        <v>0.0070</v>
      </c>
      <c r="R7172" s="1" t="s">
        <v>25</v>
      </c>
      <c r="T7172" s="1" t="str">
        <f t="shared" si="12801"/>
        <v>0</v>
      </c>
      <c r="U7172" s="1" t="str">
        <f t="shared" si="12785"/>
        <v>0.0070</v>
      </c>
    </row>
    <row r="7173" s="1" customFormat="1" spans="1:21">
      <c r="A7173" s="1" t="str">
        <f>"4601992319732"</f>
        <v>4601992319732</v>
      </c>
      <c r="B7173" s="1" t="s">
        <v>7196</v>
      </c>
      <c r="C7173" s="1" t="s">
        <v>24</v>
      </c>
      <c r="D7173" s="1" t="str">
        <f t="shared" si="12798"/>
        <v>2021</v>
      </c>
      <c r="E7173" s="1" t="str">
        <f t="shared" ref="E7173:P7173" si="12803">"0"</f>
        <v>0</v>
      </c>
      <c r="F7173" s="1" t="str">
        <f t="shared" si="12803"/>
        <v>0</v>
      </c>
      <c r="G7173" s="1" t="str">
        <f t="shared" si="12803"/>
        <v>0</v>
      </c>
      <c r="H7173" s="1" t="str">
        <f t="shared" si="12803"/>
        <v>0</v>
      </c>
      <c r="I7173" s="1" t="str">
        <f t="shared" si="12803"/>
        <v>0</v>
      </c>
      <c r="J7173" s="1" t="str">
        <f t="shared" si="12803"/>
        <v>0</v>
      </c>
      <c r="K7173" s="1" t="str">
        <f t="shared" si="12803"/>
        <v>0</v>
      </c>
      <c r="L7173" s="1" t="str">
        <f t="shared" si="12803"/>
        <v>0</v>
      </c>
      <c r="M7173" s="1" t="str">
        <f t="shared" si="12803"/>
        <v>0</v>
      </c>
      <c r="N7173" s="1" t="str">
        <f t="shared" si="12803"/>
        <v>0</v>
      </c>
      <c r="O7173" s="1" t="str">
        <f t="shared" si="12803"/>
        <v>0</v>
      </c>
      <c r="P7173" s="1" t="str">
        <f t="shared" si="12803"/>
        <v>0</v>
      </c>
      <c r="Q7173" s="1" t="str">
        <f t="shared" si="12800"/>
        <v>0.0070</v>
      </c>
      <c r="R7173" s="1" t="s">
        <v>25</v>
      </c>
      <c r="T7173" s="1" t="str">
        <f t="shared" si="12801"/>
        <v>0</v>
      </c>
      <c r="U7173" s="1" t="str">
        <f t="shared" si="12785"/>
        <v>0.0070</v>
      </c>
    </row>
    <row r="7174" s="1" customFormat="1" spans="1:21">
      <c r="A7174" s="1" t="str">
        <f>"4601992319993"</f>
        <v>4601992319993</v>
      </c>
      <c r="B7174" s="1" t="s">
        <v>7197</v>
      </c>
      <c r="C7174" s="1" t="s">
        <v>24</v>
      </c>
      <c r="D7174" s="1" t="str">
        <f t="shared" si="12798"/>
        <v>2021</v>
      </c>
      <c r="E7174" s="1" t="str">
        <f t="shared" ref="E7174:P7174" si="12804">"0"</f>
        <v>0</v>
      </c>
      <c r="F7174" s="1" t="str">
        <f t="shared" si="12804"/>
        <v>0</v>
      </c>
      <c r="G7174" s="1" t="str">
        <f t="shared" si="12804"/>
        <v>0</v>
      </c>
      <c r="H7174" s="1" t="str">
        <f t="shared" si="12804"/>
        <v>0</v>
      </c>
      <c r="I7174" s="1" t="str">
        <f t="shared" si="12804"/>
        <v>0</v>
      </c>
      <c r="J7174" s="1" t="str">
        <f t="shared" si="12804"/>
        <v>0</v>
      </c>
      <c r="K7174" s="1" t="str">
        <f t="shared" si="12804"/>
        <v>0</v>
      </c>
      <c r="L7174" s="1" t="str">
        <f t="shared" si="12804"/>
        <v>0</v>
      </c>
      <c r="M7174" s="1" t="str">
        <f t="shared" si="12804"/>
        <v>0</v>
      </c>
      <c r="N7174" s="1" t="str">
        <f t="shared" si="12804"/>
        <v>0</v>
      </c>
      <c r="O7174" s="1" t="str">
        <f t="shared" si="12804"/>
        <v>0</v>
      </c>
      <c r="P7174" s="1" t="str">
        <f t="shared" si="12804"/>
        <v>0</v>
      </c>
      <c r="Q7174" s="1" t="str">
        <f t="shared" si="12800"/>
        <v>0.0070</v>
      </c>
      <c r="R7174" s="1" t="s">
        <v>25</v>
      </c>
      <c r="T7174" s="1" t="str">
        <f t="shared" si="12801"/>
        <v>0</v>
      </c>
      <c r="U7174" s="1" t="str">
        <f t="shared" si="12785"/>
        <v>0.0070</v>
      </c>
    </row>
    <row r="7175" s="1" customFormat="1" spans="1:21">
      <c r="A7175" s="1" t="str">
        <f>"4601992320260"</f>
        <v>4601992320260</v>
      </c>
      <c r="B7175" s="1" t="s">
        <v>7198</v>
      </c>
      <c r="C7175" s="1" t="s">
        <v>24</v>
      </c>
      <c r="D7175" s="1" t="str">
        <f t="shared" si="12798"/>
        <v>2021</v>
      </c>
      <c r="E7175" s="1" t="str">
        <f t="shared" ref="E7175:P7175" si="12805">"0"</f>
        <v>0</v>
      </c>
      <c r="F7175" s="1" t="str">
        <f t="shared" si="12805"/>
        <v>0</v>
      </c>
      <c r="G7175" s="1" t="str">
        <f t="shared" si="12805"/>
        <v>0</v>
      </c>
      <c r="H7175" s="1" t="str">
        <f t="shared" si="12805"/>
        <v>0</v>
      </c>
      <c r="I7175" s="1" t="str">
        <f t="shared" si="12805"/>
        <v>0</v>
      </c>
      <c r="J7175" s="1" t="str">
        <f t="shared" si="12805"/>
        <v>0</v>
      </c>
      <c r="K7175" s="1" t="str">
        <f t="shared" si="12805"/>
        <v>0</v>
      </c>
      <c r="L7175" s="1" t="str">
        <f t="shared" si="12805"/>
        <v>0</v>
      </c>
      <c r="M7175" s="1" t="str">
        <f t="shared" si="12805"/>
        <v>0</v>
      </c>
      <c r="N7175" s="1" t="str">
        <f t="shared" si="12805"/>
        <v>0</v>
      </c>
      <c r="O7175" s="1" t="str">
        <f t="shared" si="12805"/>
        <v>0</v>
      </c>
      <c r="P7175" s="1" t="str">
        <f t="shared" si="12805"/>
        <v>0</v>
      </c>
      <c r="Q7175" s="1" t="str">
        <f t="shared" si="12800"/>
        <v>0.0070</v>
      </c>
      <c r="R7175" s="1" t="s">
        <v>25</v>
      </c>
      <c r="T7175" s="1" t="str">
        <f t="shared" si="12801"/>
        <v>0</v>
      </c>
      <c r="U7175" s="1" t="str">
        <f t="shared" si="12785"/>
        <v>0.0070</v>
      </c>
    </row>
    <row r="7176" s="1" customFormat="1" spans="1:21">
      <c r="A7176" s="1" t="str">
        <f>"4601992319806"</f>
        <v>4601992319806</v>
      </c>
      <c r="B7176" s="1" t="s">
        <v>7199</v>
      </c>
      <c r="C7176" s="1" t="s">
        <v>24</v>
      </c>
      <c r="D7176" s="1" t="str">
        <f t="shared" si="12798"/>
        <v>2021</v>
      </c>
      <c r="E7176" s="1" t="str">
        <f t="shared" ref="E7176:P7176" si="12806">"0"</f>
        <v>0</v>
      </c>
      <c r="F7176" s="1" t="str">
        <f t="shared" si="12806"/>
        <v>0</v>
      </c>
      <c r="G7176" s="1" t="str">
        <f t="shared" si="12806"/>
        <v>0</v>
      </c>
      <c r="H7176" s="1" t="str">
        <f t="shared" si="12806"/>
        <v>0</v>
      </c>
      <c r="I7176" s="1" t="str">
        <f t="shared" si="12806"/>
        <v>0</v>
      </c>
      <c r="J7176" s="1" t="str">
        <f t="shared" si="12806"/>
        <v>0</v>
      </c>
      <c r="K7176" s="1" t="str">
        <f t="shared" si="12806"/>
        <v>0</v>
      </c>
      <c r="L7176" s="1" t="str">
        <f t="shared" si="12806"/>
        <v>0</v>
      </c>
      <c r="M7176" s="1" t="str">
        <f t="shared" si="12806"/>
        <v>0</v>
      </c>
      <c r="N7176" s="1" t="str">
        <f t="shared" si="12806"/>
        <v>0</v>
      </c>
      <c r="O7176" s="1" t="str">
        <f t="shared" si="12806"/>
        <v>0</v>
      </c>
      <c r="P7176" s="1" t="str">
        <f t="shared" si="12806"/>
        <v>0</v>
      </c>
      <c r="Q7176" s="1" t="str">
        <f t="shared" si="12800"/>
        <v>0.0070</v>
      </c>
      <c r="R7176" s="1" t="s">
        <v>25</v>
      </c>
      <c r="T7176" s="1" t="str">
        <f t="shared" si="12801"/>
        <v>0</v>
      </c>
      <c r="U7176" s="1" t="str">
        <f t="shared" si="12785"/>
        <v>0.0070</v>
      </c>
    </row>
    <row r="7177" s="1" customFormat="1" spans="1:21">
      <c r="A7177" s="1" t="str">
        <f>"4601992320072"</f>
        <v>4601992320072</v>
      </c>
      <c r="B7177" s="1" t="s">
        <v>7200</v>
      </c>
      <c r="C7177" s="1" t="s">
        <v>24</v>
      </c>
      <c r="D7177" s="1" t="str">
        <f t="shared" si="12798"/>
        <v>2021</v>
      </c>
      <c r="E7177" s="1" t="str">
        <f t="shared" ref="E7177:P7177" si="12807">"0"</f>
        <v>0</v>
      </c>
      <c r="F7177" s="1" t="str">
        <f t="shared" si="12807"/>
        <v>0</v>
      </c>
      <c r="G7177" s="1" t="str">
        <f t="shared" si="12807"/>
        <v>0</v>
      </c>
      <c r="H7177" s="1" t="str">
        <f t="shared" si="12807"/>
        <v>0</v>
      </c>
      <c r="I7177" s="1" t="str">
        <f t="shared" si="12807"/>
        <v>0</v>
      </c>
      <c r="J7177" s="1" t="str">
        <f t="shared" si="12807"/>
        <v>0</v>
      </c>
      <c r="K7177" s="1" t="str">
        <f t="shared" si="12807"/>
        <v>0</v>
      </c>
      <c r="L7177" s="1" t="str">
        <f t="shared" si="12807"/>
        <v>0</v>
      </c>
      <c r="M7177" s="1" t="str">
        <f t="shared" si="12807"/>
        <v>0</v>
      </c>
      <c r="N7177" s="1" t="str">
        <f t="shared" si="12807"/>
        <v>0</v>
      </c>
      <c r="O7177" s="1" t="str">
        <f t="shared" si="12807"/>
        <v>0</v>
      </c>
      <c r="P7177" s="1" t="str">
        <f t="shared" si="12807"/>
        <v>0</v>
      </c>
      <c r="Q7177" s="1" t="str">
        <f t="shared" si="12800"/>
        <v>0.0070</v>
      </c>
      <c r="R7177" s="1" t="s">
        <v>25</v>
      </c>
      <c r="T7177" s="1" t="str">
        <f t="shared" si="12801"/>
        <v>0</v>
      </c>
      <c r="U7177" s="1" t="str">
        <f t="shared" si="12785"/>
        <v>0.0070</v>
      </c>
    </row>
    <row r="7178" s="1" customFormat="1" spans="1:21">
      <c r="A7178" s="1" t="str">
        <f>"4601992320350"</f>
        <v>4601992320350</v>
      </c>
      <c r="B7178" s="1" t="s">
        <v>7201</v>
      </c>
      <c r="C7178" s="1" t="s">
        <v>24</v>
      </c>
      <c r="D7178" s="1" t="str">
        <f t="shared" si="12798"/>
        <v>2021</v>
      </c>
      <c r="E7178" s="1" t="str">
        <f t="shared" ref="E7178:P7178" si="12808">"0"</f>
        <v>0</v>
      </c>
      <c r="F7178" s="1" t="str">
        <f t="shared" si="12808"/>
        <v>0</v>
      </c>
      <c r="G7178" s="1" t="str">
        <f t="shared" si="12808"/>
        <v>0</v>
      </c>
      <c r="H7178" s="1" t="str">
        <f t="shared" si="12808"/>
        <v>0</v>
      </c>
      <c r="I7178" s="1" t="str">
        <f t="shared" si="12808"/>
        <v>0</v>
      </c>
      <c r="J7178" s="1" t="str">
        <f t="shared" si="12808"/>
        <v>0</v>
      </c>
      <c r="K7178" s="1" t="str">
        <f t="shared" si="12808"/>
        <v>0</v>
      </c>
      <c r="L7178" s="1" t="str">
        <f t="shared" si="12808"/>
        <v>0</v>
      </c>
      <c r="M7178" s="1" t="str">
        <f t="shared" si="12808"/>
        <v>0</v>
      </c>
      <c r="N7178" s="1" t="str">
        <f t="shared" si="12808"/>
        <v>0</v>
      </c>
      <c r="O7178" s="1" t="str">
        <f t="shared" si="12808"/>
        <v>0</v>
      </c>
      <c r="P7178" s="1" t="str">
        <f t="shared" si="12808"/>
        <v>0</v>
      </c>
      <c r="Q7178" s="1" t="str">
        <f t="shared" si="12800"/>
        <v>0.0070</v>
      </c>
      <c r="R7178" s="1" t="s">
        <v>25</v>
      </c>
      <c r="T7178" s="1" t="str">
        <f t="shared" si="12801"/>
        <v>0</v>
      </c>
      <c r="U7178" s="1" t="str">
        <f t="shared" si="12785"/>
        <v>0.0070</v>
      </c>
    </row>
    <row r="7179" s="1" customFormat="1" spans="1:21">
      <c r="A7179" s="1" t="str">
        <f>"4601992320297"</f>
        <v>4601992320297</v>
      </c>
      <c r="B7179" s="1" t="s">
        <v>7202</v>
      </c>
      <c r="C7179" s="1" t="s">
        <v>24</v>
      </c>
      <c r="D7179" s="1" t="str">
        <f t="shared" si="12798"/>
        <v>2021</v>
      </c>
      <c r="E7179" s="1" t="str">
        <f t="shared" ref="E7179:P7179" si="12809">"0"</f>
        <v>0</v>
      </c>
      <c r="F7179" s="1" t="str">
        <f t="shared" si="12809"/>
        <v>0</v>
      </c>
      <c r="G7179" s="1" t="str">
        <f t="shared" si="12809"/>
        <v>0</v>
      </c>
      <c r="H7179" s="1" t="str">
        <f t="shared" si="12809"/>
        <v>0</v>
      </c>
      <c r="I7179" s="1" t="str">
        <f t="shared" si="12809"/>
        <v>0</v>
      </c>
      <c r="J7179" s="1" t="str">
        <f t="shared" si="12809"/>
        <v>0</v>
      </c>
      <c r="K7179" s="1" t="str">
        <f t="shared" si="12809"/>
        <v>0</v>
      </c>
      <c r="L7179" s="1" t="str">
        <f t="shared" si="12809"/>
        <v>0</v>
      </c>
      <c r="M7179" s="1" t="str">
        <f t="shared" si="12809"/>
        <v>0</v>
      </c>
      <c r="N7179" s="1" t="str">
        <f t="shared" si="12809"/>
        <v>0</v>
      </c>
      <c r="O7179" s="1" t="str">
        <f t="shared" si="12809"/>
        <v>0</v>
      </c>
      <c r="P7179" s="1" t="str">
        <f t="shared" si="12809"/>
        <v>0</v>
      </c>
      <c r="Q7179" s="1" t="str">
        <f t="shared" si="12800"/>
        <v>0.0070</v>
      </c>
      <c r="R7179" s="1" t="s">
        <v>25</v>
      </c>
      <c r="T7179" s="1" t="str">
        <f t="shared" si="12801"/>
        <v>0</v>
      </c>
      <c r="U7179" s="1" t="str">
        <f t="shared" si="12785"/>
        <v>0.0070</v>
      </c>
    </row>
    <row r="7180" s="1" customFormat="1" spans="1:21">
      <c r="A7180" s="1" t="str">
        <f>"4601992320334"</f>
        <v>4601992320334</v>
      </c>
      <c r="B7180" s="1" t="s">
        <v>7203</v>
      </c>
      <c r="C7180" s="1" t="s">
        <v>24</v>
      </c>
      <c r="D7180" s="1" t="str">
        <f t="shared" si="12798"/>
        <v>2021</v>
      </c>
      <c r="E7180" s="1" t="str">
        <f t="shared" ref="E7180:P7180" si="12810">"0"</f>
        <v>0</v>
      </c>
      <c r="F7180" s="1" t="str">
        <f t="shared" si="12810"/>
        <v>0</v>
      </c>
      <c r="G7180" s="1" t="str">
        <f t="shared" si="12810"/>
        <v>0</v>
      </c>
      <c r="H7180" s="1" t="str">
        <f t="shared" si="12810"/>
        <v>0</v>
      </c>
      <c r="I7180" s="1" t="str">
        <f t="shared" si="12810"/>
        <v>0</v>
      </c>
      <c r="J7180" s="1" t="str">
        <f t="shared" si="12810"/>
        <v>0</v>
      </c>
      <c r="K7180" s="1" t="str">
        <f t="shared" si="12810"/>
        <v>0</v>
      </c>
      <c r="L7180" s="1" t="str">
        <f t="shared" si="12810"/>
        <v>0</v>
      </c>
      <c r="M7180" s="1" t="str">
        <f t="shared" si="12810"/>
        <v>0</v>
      </c>
      <c r="N7180" s="1" t="str">
        <f t="shared" si="12810"/>
        <v>0</v>
      </c>
      <c r="O7180" s="1" t="str">
        <f t="shared" si="12810"/>
        <v>0</v>
      </c>
      <c r="P7180" s="1" t="str">
        <f t="shared" si="12810"/>
        <v>0</v>
      </c>
      <c r="Q7180" s="1" t="str">
        <f t="shared" si="12800"/>
        <v>0.0070</v>
      </c>
      <c r="R7180" s="1" t="s">
        <v>25</v>
      </c>
      <c r="T7180" s="1" t="str">
        <f t="shared" si="12801"/>
        <v>0</v>
      </c>
      <c r="U7180" s="1" t="str">
        <f t="shared" si="12785"/>
        <v>0.0070</v>
      </c>
    </row>
    <row r="7181" s="1" customFormat="1" spans="1:21">
      <c r="A7181" s="1" t="str">
        <f>"4601992320453"</f>
        <v>4601992320453</v>
      </c>
      <c r="B7181" s="1" t="s">
        <v>7204</v>
      </c>
      <c r="C7181" s="1" t="s">
        <v>24</v>
      </c>
      <c r="D7181" s="1" t="str">
        <f t="shared" si="12798"/>
        <v>2021</v>
      </c>
      <c r="E7181" s="1" t="str">
        <f t="shared" ref="E7181:P7181" si="12811">"0"</f>
        <v>0</v>
      </c>
      <c r="F7181" s="1" t="str">
        <f t="shared" si="12811"/>
        <v>0</v>
      </c>
      <c r="G7181" s="1" t="str">
        <f t="shared" si="12811"/>
        <v>0</v>
      </c>
      <c r="H7181" s="1" t="str">
        <f t="shared" si="12811"/>
        <v>0</v>
      </c>
      <c r="I7181" s="1" t="str">
        <f t="shared" si="12811"/>
        <v>0</v>
      </c>
      <c r="J7181" s="1" t="str">
        <f t="shared" si="12811"/>
        <v>0</v>
      </c>
      <c r="K7181" s="1" t="str">
        <f t="shared" si="12811"/>
        <v>0</v>
      </c>
      <c r="L7181" s="1" t="str">
        <f t="shared" si="12811"/>
        <v>0</v>
      </c>
      <c r="M7181" s="1" t="str">
        <f t="shared" si="12811"/>
        <v>0</v>
      </c>
      <c r="N7181" s="1" t="str">
        <f t="shared" si="12811"/>
        <v>0</v>
      </c>
      <c r="O7181" s="1" t="str">
        <f t="shared" si="12811"/>
        <v>0</v>
      </c>
      <c r="P7181" s="1" t="str">
        <f t="shared" si="12811"/>
        <v>0</v>
      </c>
      <c r="Q7181" s="1" t="str">
        <f t="shared" si="12800"/>
        <v>0.0070</v>
      </c>
      <c r="R7181" s="1" t="s">
        <v>25</v>
      </c>
      <c r="T7181" s="1" t="str">
        <f t="shared" si="12801"/>
        <v>0</v>
      </c>
      <c r="U7181" s="1" t="str">
        <f t="shared" si="12785"/>
        <v>0.0070</v>
      </c>
    </row>
    <row r="7182" s="1" customFormat="1" spans="1:21">
      <c r="A7182" s="1" t="str">
        <f>"4601992320640"</f>
        <v>4601992320640</v>
      </c>
      <c r="B7182" s="1" t="s">
        <v>7205</v>
      </c>
      <c r="C7182" s="1" t="s">
        <v>24</v>
      </c>
      <c r="D7182" s="1" t="str">
        <f t="shared" si="12798"/>
        <v>2021</v>
      </c>
      <c r="E7182" s="1" t="str">
        <f t="shared" ref="E7182:P7182" si="12812">"0"</f>
        <v>0</v>
      </c>
      <c r="F7182" s="1" t="str">
        <f t="shared" si="12812"/>
        <v>0</v>
      </c>
      <c r="G7182" s="1" t="str">
        <f t="shared" si="12812"/>
        <v>0</v>
      </c>
      <c r="H7182" s="1" t="str">
        <f t="shared" si="12812"/>
        <v>0</v>
      </c>
      <c r="I7182" s="1" t="str">
        <f t="shared" si="12812"/>
        <v>0</v>
      </c>
      <c r="J7182" s="1" t="str">
        <f t="shared" si="12812"/>
        <v>0</v>
      </c>
      <c r="K7182" s="1" t="str">
        <f t="shared" si="12812"/>
        <v>0</v>
      </c>
      <c r="L7182" s="1" t="str">
        <f t="shared" si="12812"/>
        <v>0</v>
      </c>
      <c r="M7182" s="1" t="str">
        <f t="shared" si="12812"/>
        <v>0</v>
      </c>
      <c r="N7182" s="1" t="str">
        <f t="shared" si="12812"/>
        <v>0</v>
      </c>
      <c r="O7182" s="1" t="str">
        <f t="shared" si="12812"/>
        <v>0</v>
      </c>
      <c r="P7182" s="1" t="str">
        <f t="shared" si="12812"/>
        <v>0</v>
      </c>
      <c r="Q7182" s="1" t="str">
        <f t="shared" si="12800"/>
        <v>0.0070</v>
      </c>
      <c r="R7182" s="1" t="s">
        <v>25</v>
      </c>
      <c r="T7182" s="1" t="str">
        <f t="shared" si="12801"/>
        <v>0</v>
      </c>
      <c r="U7182" s="1" t="str">
        <f t="shared" si="12785"/>
        <v>0.0070</v>
      </c>
    </row>
    <row r="7183" s="1" customFormat="1" spans="1:21">
      <c r="A7183" s="1" t="str">
        <f>"4601992320528"</f>
        <v>4601992320528</v>
      </c>
      <c r="B7183" s="1" t="s">
        <v>7206</v>
      </c>
      <c r="C7183" s="1" t="s">
        <v>24</v>
      </c>
      <c r="D7183" s="1" t="str">
        <f t="shared" si="12798"/>
        <v>2021</v>
      </c>
      <c r="E7183" s="1" t="str">
        <f t="shared" ref="E7183:P7183" si="12813">"0"</f>
        <v>0</v>
      </c>
      <c r="F7183" s="1" t="str">
        <f t="shared" si="12813"/>
        <v>0</v>
      </c>
      <c r="G7183" s="1" t="str">
        <f t="shared" si="12813"/>
        <v>0</v>
      </c>
      <c r="H7183" s="1" t="str">
        <f t="shared" si="12813"/>
        <v>0</v>
      </c>
      <c r="I7183" s="1" t="str">
        <f t="shared" si="12813"/>
        <v>0</v>
      </c>
      <c r="J7183" s="1" t="str">
        <f t="shared" si="12813"/>
        <v>0</v>
      </c>
      <c r="K7183" s="1" t="str">
        <f t="shared" si="12813"/>
        <v>0</v>
      </c>
      <c r="L7183" s="1" t="str">
        <f t="shared" si="12813"/>
        <v>0</v>
      </c>
      <c r="M7183" s="1" t="str">
        <f t="shared" si="12813"/>
        <v>0</v>
      </c>
      <c r="N7183" s="1" t="str">
        <f t="shared" si="12813"/>
        <v>0</v>
      </c>
      <c r="O7183" s="1" t="str">
        <f t="shared" si="12813"/>
        <v>0</v>
      </c>
      <c r="P7183" s="1" t="str">
        <f t="shared" si="12813"/>
        <v>0</v>
      </c>
      <c r="Q7183" s="1" t="str">
        <f t="shared" si="12800"/>
        <v>0.0070</v>
      </c>
      <c r="R7183" s="1" t="s">
        <v>25</v>
      </c>
      <c r="T7183" s="1" t="str">
        <f t="shared" si="12801"/>
        <v>0</v>
      </c>
      <c r="U7183" s="1" t="str">
        <f t="shared" si="12785"/>
        <v>0.0070</v>
      </c>
    </row>
    <row r="7184" s="1" customFormat="1" spans="1:21">
      <c r="A7184" s="1" t="str">
        <f>"4601992320713"</f>
        <v>4601992320713</v>
      </c>
      <c r="B7184" s="1" t="s">
        <v>7207</v>
      </c>
      <c r="C7184" s="1" t="s">
        <v>24</v>
      </c>
      <c r="D7184" s="1" t="str">
        <f t="shared" si="12798"/>
        <v>2021</v>
      </c>
      <c r="E7184" s="1" t="str">
        <f t="shared" ref="E7184:P7184" si="12814">"0"</f>
        <v>0</v>
      </c>
      <c r="F7184" s="1" t="str">
        <f t="shared" si="12814"/>
        <v>0</v>
      </c>
      <c r="G7184" s="1" t="str">
        <f t="shared" si="12814"/>
        <v>0</v>
      </c>
      <c r="H7184" s="1" t="str">
        <f t="shared" si="12814"/>
        <v>0</v>
      </c>
      <c r="I7184" s="1" t="str">
        <f t="shared" si="12814"/>
        <v>0</v>
      </c>
      <c r="J7184" s="1" t="str">
        <f t="shared" si="12814"/>
        <v>0</v>
      </c>
      <c r="K7184" s="1" t="str">
        <f t="shared" si="12814"/>
        <v>0</v>
      </c>
      <c r="L7184" s="1" t="str">
        <f t="shared" si="12814"/>
        <v>0</v>
      </c>
      <c r="M7184" s="1" t="str">
        <f t="shared" si="12814"/>
        <v>0</v>
      </c>
      <c r="N7184" s="1" t="str">
        <f t="shared" si="12814"/>
        <v>0</v>
      </c>
      <c r="O7184" s="1" t="str">
        <f t="shared" si="12814"/>
        <v>0</v>
      </c>
      <c r="P7184" s="1" t="str">
        <f t="shared" si="12814"/>
        <v>0</v>
      </c>
      <c r="Q7184" s="1" t="str">
        <f t="shared" si="12800"/>
        <v>0.0070</v>
      </c>
      <c r="R7184" s="1" t="s">
        <v>25</v>
      </c>
      <c r="T7184" s="1" t="str">
        <f t="shared" si="12801"/>
        <v>0</v>
      </c>
      <c r="U7184" s="1" t="str">
        <f t="shared" si="12785"/>
        <v>0.0070</v>
      </c>
    </row>
    <row r="7185" s="1" customFormat="1" spans="1:21">
      <c r="A7185" s="1" t="str">
        <f>"4601992320714"</f>
        <v>4601992320714</v>
      </c>
      <c r="B7185" s="1" t="s">
        <v>7208</v>
      </c>
      <c r="C7185" s="1" t="s">
        <v>24</v>
      </c>
      <c r="D7185" s="1" t="str">
        <f t="shared" si="12798"/>
        <v>2021</v>
      </c>
      <c r="E7185" s="1" t="str">
        <f t="shared" ref="E7185:P7185" si="12815">"0"</f>
        <v>0</v>
      </c>
      <c r="F7185" s="1" t="str">
        <f t="shared" si="12815"/>
        <v>0</v>
      </c>
      <c r="G7185" s="1" t="str">
        <f t="shared" si="12815"/>
        <v>0</v>
      </c>
      <c r="H7185" s="1" t="str">
        <f t="shared" si="12815"/>
        <v>0</v>
      </c>
      <c r="I7185" s="1" t="str">
        <f t="shared" si="12815"/>
        <v>0</v>
      </c>
      <c r="J7185" s="1" t="str">
        <f t="shared" si="12815"/>
        <v>0</v>
      </c>
      <c r="K7185" s="1" t="str">
        <f t="shared" si="12815"/>
        <v>0</v>
      </c>
      <c r="L7185" s="1" t="str">
        <f t="shared" si="12815"/>
        <v>0</v>
      </c>
      <c r="M7185" s="1" t="str">
        <f t="shared" si="12815"/>
        <v>0</v>
      </c>
      <c r="N7185" s="1" t="str">
        <f t="shared" si="12815"/>
        <v>0</v>
      </c>
      <c r="O7185" s="1" t="str">
        <f t="shared" si="12815"/>
        <v>0</v>
      </c>
      <c r="P7185" s="1" t="str">
        <f t="shared" si="12815"/>
        <v>0</v>
      </c>
      <c r="Q7185" s="1" t="str">
        <f t="shared" si="12800"/>
        <v>0.0070</v>
      </c>
      <c r="R7185" s="1" t="s">
        <v>25</v>
      </c>
      <c r="T7185" s="1" t="str">
        <f t="shared" si="12801"/>
        <v>0</v>
      </c>
      <c r="U7185" s="1" t="str">
        <f t="shared" si="12785"/>
        <v>0.0070</v>
      </c>
    </row>
    <row r="7186" s="1" customFormat="1" spans="1:21">
      <c r="A7186" s="1" t="str">
        <f>"4601992320796"</f>
        <v>4601992320796</v>
      </c>
      <c r="B7186" s="1" t="s">
        <v>7209</v>
      </c>
      <c r="C7186" s="1" t="s">
        <v>24</v>
      </c>
      <c r="D7186" s="1" t="str">
        <f t="shared" si="12798"/>
        <v>2021</v>
      </c>
      <c r="E7186" s="1" t="str">
        <f t="shared" ref="E7186:P7186" si="12816">"0"</f>
        <v>0</v>
      </c>
      <c r="F7186" s="1" t="str">
        <f t="shared" si="12816"/>
        <v>0</v>
      </c>
      <c r="G7186" s="1" t="str">
        <f t="shared" si="12816"/>
        <v>0</v>
      </c>
      <c r="H7186" s="1" t="str">
        <f t="shared" si="12816"/>
        <v>0</v>
      </c>
      <c r="I7186" s="1" t="str">
        <f t="shared" si="12816"/>
        <v>0</v>
      </c>
      <c r="J7186" s="1" t="str">
        <f t="shared" si="12816"/>
        <v>0</v>
      </c>
      <c r="K7186" s="1" t="str">
        <f t="shared" si="12816"/>
        <v>0</v>
      </c>
      <c r="L7186" s="1" t="str">
        <f t="shared" si="12816"/>
        <v>0</v>
      </c>
      <c r="M7186" s="1" t="str">
        <f t="shared" si="12816"/>
        <v>0</v>
      </c>
      <c r="N7186" s="1" t="str">
        <f t="shared" si="12816"/>
        <v>0</v>
      </c>
      <c r="O7186" s="1" t="str">
        <f t="shared" si="12816"/>
        <v>0</v>
      </c>
      <c r="P7186" s="1" t="str">
        <f t="shared" si="12816"/>
        <v>0</v>
      </c>
      <c r="Q7186" s="1" t="str">
        <f t="shared" si="12800"/>
        <v>0.0070</v>
      </c>
      <c r="R7186" s="1" t="s">
        <v>25</v>
      </c>
      <c r="T7186" s="1" t="str">
        <f t="shared" si="12801"/>
        <v>0</v>
      </c>
      <c r="U7186" s="1" t="str">
        <f t="shared" si="12785"/>
        <v>0.0070</v>
      </c>
    </row>
    <row r="7187" s="1" customFormat="1" spans="1:21">
      <c r="A7187" s="1" t="str">
        <f>"4601992320717"</f>
        <v>4601992320717</v>
      </c>
      <c r="B7187" s="1" t="s">
        <v>7210</v>
      </c>
      <c r="C7187" s="1" t="s">
        <v>24</v>
      </c>
      <c r="D7187" s="1" t="str">
        <f t="shared" si="12798"/>
        <v>2021</v>
      </c>
      <c r="E7187" s="1" t="str">
        <f t="shared" ref="E7187:P7187" si="12817">"0"</f>
        <v>0</v>
      </c>
      <c r="F7187" s="1" t="str">
        <f t="shared" si="12817"/>
        <v>0</v>
      </c>
      <c r="G7187" s="1" t="str">
        <f t="shared" si="12817"/>
        <v>0</v>
      </c>
      <c r="H7187" s="1" t="str">
        <f t="shared" si="12817"/>
        <v>0</v>
      </c>
      <c r="I7187" s="1" t="str">
        <f t="shared" si="12817"/>
        <v>0</v>
      </c>
      <c r="J7187" s="1" t="str">
        <f t="shared" si="12817"/>
        <v>0</v>
      </c>
      <c r="K7187" s="1" t="str">
        <f t="shared" si="12817"/>
        <v>0</v>
      </c>
      <c r="L7187" s="1" t="str">
        <f t="shared" si="12817"/>
        <v>0</v>
      </c>
      <c r="M7187" s="1" t="str">
        <f t="shared" si="12817"/>
        <v>0</v>
      </c>
      <c r="N7187" s="1" t="str">
        <f t="shared" si="12817"/>
        <v>0</v>
      </c>
      <c r="O7187" s="1" t="str">
        <f t="shared" si="12817"/>
        <v>0</v>
      </c>
      <c r="P7187" s="1" t="str">
        <f t="shared" si="12817"/>
        <v>0</v>
      </c>
      <c r="Q7187" s="1" t="str">
        <f t="shared" si="12800"/>
        <v>0.0070</v>
      </c>
      <c r="R7187" s="1" t="s">
        <v>25</v>
      </c>
      <c r="T7187" s="1" t="str">
        <f t="shared" si="12801"/>
        <v>0</v>
      </c>
      <c r="U7187" s="1" t="str">
        <f t="shared" si="12785"/>
        <v>0.0070</v>
      </c>
    </row>
    <row r="7188" s="1" customFormat="1" spans="1:21">
      <c r="A7188" s="1" t="str">
        <f>"4601992320831"</f>
        <v>4601992320831</v>
      </c>
      <c r="B7188" s="1" t="s">
        <v>7211</v>
      </c>
      <c r="C7188" s="1" t="s">
        <v>24</v>
      </c>
      <c r="D7188" s="1" t="str">
        <f t="shared" si="12798"/>
        <v>2021</v>
      </c>
      <c r="E7188" s="1" t="str">
        <f t="shared" ref="E7188:P7188" si="12818">"0"</f>
        <v>0</v>
      </c>
      <c r="F7188" s="1" t="str">
        <f t="shared" si="12818"/>
        <v>0</v>
      </c>
      <c r="G7188" s="1" t="str">
        <f t="shared" si="12818"/>
        <v>0</v>
      </c>
      <c r="H7188" s="1" t="str">
        <f t="shared" si="12818"/>
        <v>0</v>
      </c>
      <c r="I7188" s="1" t="str">
        <f t="shared" si="12818"/>
        <v>0</v>
      </c>
      <c r="J7188" s="1" t="str">
        <f t="shared" si="12818"/>
        <v>0</v>
      </c>
      <c r="K7188" s="1" t="str">
        <f t="shared" si="12818"/>
        <v>0</v>
      </c>
      <c r="L7188" s="1" t="str">
        <f t="shared" si="12818"/>
        <v>0</v>
      </c>
      <c r="M7188" s="1" t="str">
        <f t="shared" si="12818"/>
        <v>0</v>
      </c>
      <c r="N7188" s="1" t="str">
        <f t="shared" si="12818"/>
        <v>0</v>
      </c>
      <c r="O7188" s="1" t="str">
        <f t="shared" si="12818"/>
        <v>0</v>
      </c>
      <c r="P7188" s="1" t="str">
        <f t="shared" si="12818"/>
        <v>0</v>
      </c>
      <c r="Q7188" s="1" t="str">
        <f t="shared" si="12800"/>
        <v>0.0070</v>
      </c>
      <c r="R7188" s="1" t="s">
        <v>25</v>
      </c>
      <c r="T7188" s="1" t="str">
        <f t="shared" si="12801"/>
        <v>0</v>
      </c>
      <c r="U7188" s="1" t="str">
        <f t="shared" si="12785"/>
        <v>0.0070</v>
      </c>
    </row>
    <row r="7189" s="1" customFormat="1" spans="1:21">
      <c r="A7189" s="1" t="str">
        <f>"4601992320942"</f>
        <v>4601992320942</v>
      </c>
      <c r="B7189" s="1" t="s">
        <v>7212</v>
      </c>
      <c r="C7189" s="1" t="s">
        <v>24</v>
      </c>
      <c r="D7189" s="1" t="str">
        <f t="shared" si="12798"/>
        <v>2021</v>
      </c>
      <c r="E7189" s="1" t="str">
        <f t="shared" ref="E7189:P7189" si="12819">"0"</f>
        <v>0</v>
      </c>
      <c r="F7189" s="1" t="str">
        <f t="shared" si="12819"/>
        <v>0</v>
      </c>
      <c r="G7189" s="1" t="str">
        <f t="shared" si="12819"/>
        <v>0</v>
      </c>
      <c r="H7189" s="1" t="str">
        <f t="shared" si="12819"/>
        <v>0</v>
      </c>
      <c r="I7189" s="1" t="str">
        <f t="shared" si="12819"/>
        <v>0</v>
      </c>
      <c r="J7189" s="1" t="str">
        <f t="shared" si="12819"/>
        <v>0</v>
      </c>
      <c r="K7189" s="1" t="str">
        <f t="shared" si="12819"/>
        <v>0</v>
      </c>
      <c r="L7189" s="1" t="str">
        <f t="shared" si="12819"/>
        <v>0</v>
      </c>
      <c r="M7189" s="1" t="str">
        <f t="shared" si="12819"/>
        <v>0</v>
      </c>
      <c r="N7189" s="1" t="str">
        <f t="shared" si="12819"/>
        <v>0</v>
      </c>
      <c r="O7189" s="1" t="str">
        <f t="shared" si="12819"/>
        <v>0</v>
      </c>
      <c r="P7189" s="1" t="str">
        <f t="shared" si="12819"/>
        <v>0</v>
      </c>
      <c r="Q7189" s="1" t="str">
        <f t="shared" si="12800"/>
        <v>0.0070</v>
      </c>
      <c r="R7189" s="1" t="s">
        <v>25</v>
      </c>
      <c r="T7189" s="1" t="str">
        <f t="shared" si="12801"/>
        <v>0</v>
      </c>
      <c r="U7189" s="1" t="str">
        <f t="shared" si="12785"/>
        <v>0.0070</v>
      </c>
    </row>
    <row r="7190" s="1" customFormat="1" spans="1:21">
      <c r="A7190" s="1" t="str">
        <f>"4601992321094"</f>
        <v>4601992321094</v>
      </c>
      <c r="B7190" s="1" t="s">
        <v>7213</v>
      </c>
      <c r="C7190" s="1" t="s">
        <v>24</v>
      </c>
      <c r="D7190" s="1" t="str">
        <f t="shared" si="12798"/>
        <v>2021</v>
      </c>
      <c r="E7190" s="1" t="str">
        <f t="shared" ref="E7190:P7190" si="12820">"0"</f>
        <v>0</v>
      </c>
      <c r="F7190" s="1" t="str">
        <f t="shared" si="12820"/>
        <v>0</v>
      </c>
      <c r="G7190" s="1" t="str">
        <f t="shared" si="12820"/>
        <v>0</v>
      </c>
      <c r="H7190" s="1" t="str">
        <f t="shared" si="12820"/>
        <v>0</v>
      </c>
      <c r="I7190" s="1" t="str">
        <f t="shared" si="12820"/>
        <v>0</v>
      </c>
      <c r="J7190" s="1" t="str">
        <f t="shared" si="12820"/>
        <v>0</v>
      </c>
      <c r="K7190" s="1" t="str">
        <f t="shared" si="12820"/>
        <v>0</v>
      </c>
      <c r="L7190" s="1" t="str">
        <f t="shared" si="12820"/>
        <v>0</v>
      </c>
      <c r="M7190" s="1" t="str">
        <f t="shared" si="12820"/>
        <v>0</v>
      </c>
      <c r="N7190" s="1" t="str">
        <f t="shared" si="12820"/>
        <v>0</v>
      </c>
      <c r="O7190" s="1" t="str">
        <f t="shared" si="12820"/>
        <v>0</v>
      </c>
      <c r="P7190" s="1" t="str">
        <f t="shared" si="12820"/>
        <v>0</v>
      </c>
      <c r="Q7190" s="1" t="str">
        <f t="shared" si="12800"/>
        <v>0.0070</v>
      </c>
      <c r="R7190" s="1" t="s">
        <v>25</v>
      </c>
      <c r="T7190" s="1" t="str">
        <f t="shared" si="12801"/>
        <v>0</v>
      </c>
      <c r="U7190" s="1" t="str">
        <f t="shared" si="12785"/>
        <v>0.0070</v>
      </c>
    </row>
    <row r="7191" s="1" customFormat="1" spans="1:21">
      <c r="A7191" s="1" t="str">
        <f>"4601992321076"</f>
        <v>4601992321076</v>
      </c>
      <c r="B7191" s="1" t="s">
        <v>7214</v>
      </c>
      <c r="C7191" s="1" t="s">
        <v>24</v>
      </c>
      <c r="D7191" s="1" t="str">
        <f t="shared" si="12798"/>
        <v>2021</v>
      </c>
      <c r="E7191" s="1" t="str">
        <f t="shared" ref="E7191:P7191" si="12821">"0"</f>
        <v>0</v>
      </c>
      <c r="F7191" s="1" t="str">
        <f t="shared" si="12821"/>
        <v>0</v>
      </c>
      <c r="G7191" s="1" t="str">
        <f t="shared" si="12821"/>
        <v>0</v>
      </c>
      <c r="H7191" s="1" t="str">
        <f t="shared" si="12821"/>
        <v>0</v>
      </c>
      <c r="I7191" s="1" t="str">
        <f t="shared" si="12821"/>
        <v>0</v>
      </c>
      <c r="J7191" s="1" t="str">
        <f t="shared" si="12821"/>
        <v>0</v>
      </c>
      <c r="K7191" s="1" t="str">
        <f t="shared" si="12821"/>
        <v>0</v>
      </c>
      <c r="L7191" s="1" t="str">
        <f t="shared" si="12821"/>
        <v>0</v>
      </c>
      <c r="M7191" s="1" t="str">
        <f t="shared" si="12821"/>
        <v>0</v>
      </c>
      <c r="N7191" s="1" t="str">
        <f t="shared" si="12821"/>
        <v>0</v>
      </c>
      <c r="O7191" s="1" t="str">
        <f t="shared" si="12821"/>
        <v>0</v>
      </c>
      <c r="P7191" s="1" t="str">
        <f t="shared" si="12821"/>
        <v>0</v>
      </c>
      <c r="Q7191" s="1" t="str">
        <f t="shared" si="12800"/>
        <v>0.0070</v>
      </c>
      <c r="R7191" s="1" t="s">
        <v>25</v>
      </c>
      <c r="T7191" s="1" t="str">
        <f t="shared" si="12801"/>
        <v>0</v>
      </c>
      <c r="U7191" s="1" t="str">
        <f t="shared" si="12785"/>
        <v>0.0070</v>
      </c>
    </row>
    <row r="7192" s="1" customFormat="1" spans="1:21">
      <c r="A7192" s="1" t="str">
        <f>"4601992321096"</f>
        <v>4601992321096</v>
      </c>
      <c r="B7192" s="1" t="s">
        <v>7215</v>
      </c>
      <c r="C7192" s="1" t="s">
        <v>24</v>
      </c>
      <c r="D7192" s="1" t="str">
        <f t="shared" si="12798"/>
        <v>2021</v>
      </c>
      <c r="E7192" s="1" t="str">
        <f t="shared" ref="E7192:P7192" si="12822">"0"</f>
        <v>0</v>
      </c>
      <c r="F7192" s="1" t="str">
        <f t="shared" si="12822"/>
        <v>0</v>
      </c>
      <c r="G7192" s="1" t="str">
        <f t="shared" si="12822"/>
        <v>0</v>
      </c>
      <c r="H7192" s="1" t="str">
        <f t="shared" si="12822"/>
        <v>0</v>
      </c>
      <c r="I7192" s="1" t="str">
        <f t="shared" si="12822"/>
        <v>0</v>
      </c>
      <c r="J7192" s="1" t="str">
        <f t="shared" si="12822"/>
        <v>0</v>
      </c>
      <c r="K7192" s="1" t="str">
        <f t="shared" si="12822"/>
        <v>0</v>
      </c>
      <c r="L7192" s="1" t="str">
        <f t="shared" si="12822"/>
        <v>0</v>
      </c>
      <c r="M7192" s="1" t="str">
        <f t="shared" si="12822"/>
        <v>0</v>
      </c>
      <c r="N7192" s="1" t="str">
        <f t="shared" si="12822"/>
        <v>0</v>
      </c>
      <c r="O7192" s="1" t="str">
        <f t="shared" si="12822"/>
        <v>0</v>
      </c>
      <c r="P7192" s="1" t="str">
        <f t="shared" si="12822"/>
        <v>0</v>
      </c>
      <c r="Q7192" s="1" t="str">
        <f t="shared" si="12800"/>
        <v>0.0070</v>
      </c>
      <c r="R7192" s="1" t="s">
        <v>25</v>
      </c>
      <c r="T7192" s="1" t="str">
        <f t="shared" si="12801"/>
        <v>0</v>
      </c>
      <c r="U7192" s="1" t="str">
        <f t="shared" si="12785"/>
        <v>0.0070</v>
      </c>
    </row>
    <row r="7193" s="1" customFormat="1" spans="1:21">
      <c r="A7193" s="1" t="str">
        <f>"4601992321123"</f>
        <v>4601992321123</v>
      </c>
      <c r="B7193" s="1" t="s">
        <v>7216</v>
      </c>
      <c r="C7193" s="1" t="s">
        <v>24</v>
      </c>
      <c r="D7193" s="1" t="str">
        <f t="shared" si="12798"/>
        <v>2021</v>
      </c>
      <c r="E7193" s="1" t="str">
        <f t="shared" ref="E7193:P7193" si="12823">"0"</f>
        <v>0</v>
      </c>
      <c r="F7193" s="1" t="str">
        <f t="shared" si="12823"/>
        <v>0</v>
      </c>
      <c r="G7193" s="1" t="str">
        <f t="shared" si="12823"/>
        <v>0</v>
      </c>
      <c r="H7193" s="1" t="str">
        <f t="shared" si="12823"/>
        <v>0</v>
      </c>
      <c r="I7193" s="1" t="str">
        <f t="shared" si="12823"/>
        <v>0</v>
      </c>
      <c r="J7193" s="1" t="str">
        <f t="shared" si="12823"/>
        <v>0</v>
      </c>
      <c r="K7193" s="1" t="str">
        <f t="shared" si="12823"/>
        <v>0</v>
      </c>
      <c r="L7193" s="1" t="str">
        <f t="shared" si="12823"/>
        <v>0</v>
      </c>
      <c r="M7193" s="1" t="str">
        <f t="shared" si="12823"/>
        <v>0</v>
      </c>
      <c r="N7193" s="1" t="str">
        <f t="shared" si="12823"/>
        <v>0</v>
      </c>
      <c r="O7193" s="1" t="str">
        <f t="shared" si="12823"/>
        <v>0</v>
      </c>
      <c r="P7193" s="1" t="str">
        <f t="shared" si="12823"/>
        <v>0</v>
      </c>
      <c r="Q7193" s="1" t="str">
        <f t="shared" si="12800"/>
        <v>0.0070</v>
      </c>
      <c r="R7193" s="1" t="s">
        <v>25</v>
      </c>
      <c r="T7193" s="1" t="str">
        <f t="shared" si="12801"/>
        <v>0</v>
      </c>
      <c r="U7193" s="1" t="str">
        <f t="shared" si="12785"/>
        <v>0.0070</v>
      </c>
    </row>
    <row r="7194" s="1" customFormat="1" spans="1:21">
      <c r="A7194" s="1" t="str">
        <f>"4601992321237"</f>
        <v>4601992321237</v>
      </c>
      <c r="B7194" s="1" t="s">
        <v>7217</v>
      </c>
      <c r="C7194" s="1" t="s">
        <v>24</v>
      </c>
      <c r="D7194" s="1" t="str">
        <f t="shared" si="12798"/>
        <v>2021</v>
      </c>
      <c r="E7194" s="1" t="str">
        <f t="shared" ref="E7194:P7194" si="12824">"0"</f>
        <v>0</v>
      </c>
      <c r="F7194" s="1" t="str">
        <f t="shared" si="12824"/>
        <v>0</v>
      </c>
      <c r="G7194" s="1" t="str">
        <f t="shared" si="12824"/>
        <v>0</v>
      </c>
      <c r="H7194" s="1" t="str">
        <f t="shared" si="12824"/>
        <v>0</v>
      </c>
      <c r="I7194" s="1" t="str">
        <f t="shared" si="12824"/>
        <v>0</v>
      </c>
      <c r="J7194" s="1" t="str">
        <f t="shared" si="12824"/>
        <v>0</v>
      </c>
      <c r="K7194" s="1" t="str">
        <f t="shared" si="12824"/>
        <v>0</v>
      </c>
      <c r="L7194" s="1" t="str">
        <f t="shared" si="12824"/>
        <v>0</v>
      </c>
      <c r="M7194" s="1" t="str">
        <f t="shared" si="12824"/>
        <v>0</v>
      </c>
      <c r="N7194" s="1" t="str">
        <f t="shared" si="12824"/>
        <v>0</v>
      </c>
      <c r="O7194" s="1" t="str">
        <f t="shared" si="12824"/>
        <v>0</v>
      </c>
      <c r="P7194" s="1" t="str">
        <f t="shared" si="12824"/>
        <v>0</v>
      </c>
      <c r="Q7194" s="1" t="str">
        <f t="shared" si="12800"/>
        <v>0.0070</v>
      </c>
      <c r="R7194" s="1" t="s">
        <v>25</v>
      </c>
      <c r="T7194" s="1" t="str">
        <f t="shared" si="12801"/>
        <v>0</v>
      </c>
      <c r="U7194" s="1" t="str">
        <f t="shared" si="12785"/>
        <v>0.0070</v>
      </c>
    </row>
    <row r="7195" s="1" customFormat="1" spans="1:21">
      <c r="A7195" s="1" t="str">
        <f>"4601992321453"</f>
        <v>4601992321453</v>
      </c>
      <c r="B7195" s="1" t="s">
        <v>7218</v>
      </c>
      <c r="C7195" s="1" t="s">
        <v>24</v>
      </c>
      <c r="D7195" s="1" t="str">
        <f t="shared" si="12798"/>
        <v>2021</v>
      </c>
      <c r="E7195" s="1" t="str">
        <f t="shared" ref="E7195:P7195" si="12825">"0"</f>
        <v>0</v>
      </c>
      <c r="F7195" s="1" t="str">
        <f t="shared" si="12825"/>
        <v>0</v>
      </c>
      <c r="G7195" s="1" t="str">
        <f t="shared" si="12825"/>
        <v>0</v>
      </c>
      <c r="H7195" s="1" t="str">
        <f t="shared" si="12825"/>
        <v>0</v>
      </c>
      <c r="I7195" s="1" t="str">
        <f t="shared" si="12825"/>
        <v>0</v>
      </c>
      <c r="J7195" s="1" t="str">
        <f t="shared" si="12825"/>
        <v>0</v>
      </c>
      <c r="K7195" s="1" t="str">
        <f t="shared" si="12825"/>
        <v>0</v>
      </c>
      <c r="L7195" s="1" t="str">
        <f t="shared" si="12825"/>
        <v>0</v>
      </c>
      <c r="M7195" s="1" t="str">
        <f t="shared" si="12825"/>
        <v>0</v>
      </c>
      <c r="N7195" s="1" t="str">
        <f t="shared" si="12825"/>
        <v>0</v>
      </c>
      <c r="O7195" s="1" t="str">
        <f t="shared" si="12825"/>
        <v>0</v>
      </c>
      <c r="P7195" s="1" t="str">
        <f t="shared" si="12825"/>
        <v>0</v>
      </c>
      <c r="Q7195" s="1" t="str">
        <f t="shared" si="12800"/>
        <v>0.0070</v>
      </c>
      <c r="R7195" s="1" t="s">
        <v>25</v>
      </c>
      <c r="T7195" s="1" t="str">
        <f t="shared" si="12801"/>
        <v>0</v>
      </c>
      <c r="U7195" s="1" t="str">
        <f t="shared" si="12785"/>
        <v>0.0070</v>
      </c>
    </row>
    <row r="7196" s="1" customFormat="1" spans="1:21">
      <c r="A7196" s="1" t="str">
        <f>"4601992321528"</f>
        <v>4601992321528</v>
      </c>
      <c r="B7196" s="1" t="s">
        <v>7219</v>
      </c>
      <c r="C7196" s="1" t="s">
        <v>24</v>
      </c>
      <c r="D7196" s="1" t="str">
        <f t="shared" si="12798"/>
        <v>2021</v>
      </c>
      <c r="E7196" s="1" t="str">
        <f t="shared" ref="E7196:P7196" si="12826">"0"</f>
        <v>0</v>
      </c>
      <c r="F7196" s="1" t="str">
        <f t="shared" si="12826"/>
        <v>0</v>
      </c>
      <c r="G7196" s="1" t="str">
        <f t="shared" si="12826"/>
        <v>0</v>
      </c>
      <c r="H7196" s="1" t="str">
        <f t="shared" si="12826"/>
        <v>0</v>
      </c>
      <c r="I7196" s="1" t="str">
        <f t="shared" si="12826"/>
        <v>0</v>
      </c>
      <c r="J7196" s="1" t="str">
        <f t="shared" si="12826"/>
        <v>0</v>
      </c>
      <c r="K7196" s="1" t="str">
        <f t="shared" si="12826"/>
        <v>0</v>
      </c>
      <c r="L7196" s="1" t="str">
        <f t="shared" si="12826"/>
        <v>0</v>
      </c>
      <c r="M7196" s="1" t="str">
        <f t="shared" si="12826"/>
        <v>0</v>
      </c>
      <c r="N7196" s="1" t="str">
        <f t="shared" si="12826"/>
        <v>0</v>
      </c>
      <c r="O7196" s="1" t="str">
        <f t="shared" si="12826"/>
        <v>0</v>
      </c>
      <c r="P7196" s="1" t="str">
        <f t="shared" si="12826"/>
        <v>0</v>
      </c>
      <c r="Q7196" s="1" t="str">
        <f t="shared" si="12800"/>
        <v>0.0070</v>
      </c>
      <c r="R7196" s="1" t="s">
        <v>25</v>
      </c>
      <c r="T7196" s="1" t="str">
        <f t="shared" si="12801"/>
        <v>0</v>
      </c>
      <c r="U7196" s="1" t="str">
        <f t="shared" si="12785"/>
        <v>0.0070</v>
      </c>
    </row>
    <row r="7197" s="1" customFormat="1" spans="1:21">
      <c r="A7197" s="1" t="str">
        <f>"4601992321608"</f>
        <v>4601992321608</v>
      </c>
      <c r="B7197" s="1" t="s">
        <v>7220</v>
      </c>
      <c r="C7197" s="1" t="s">
        <v>24</v>
      </c>
      <c r="D7197" s="1" t="str">
        <f t="shared" si="12798"/>
        <v>2021</v>
      </c>
      <c r="E7197" s="1" t="str">
        <f t="shared" ref="E7197:P7197" si="12827">"0"</f>
        <v>0</v>
      </c>
      <c r="F7197" s="1" t="str">
        <f t="shared" si="12827"/>
        <v>0</v>
      </c>
      <c r="G7197" s="1" t="str">
        <f t="shared" si="12827"/>
        <v>0</v>
      </c>
      <c r="H7197" s="1" t="str">
        <f t="shared" si="12827"/>
        <v>0</v>
      </c>
      <c r="I7197" s="1" t="str">
        <f t="shared" si="12827"/>
        <v>0</v>
      </c>
      <c r="J7197" s="1" t="str">
        <f t="shared" si="12827"/>
        <v>0</v>
      </c>
      <c r="K7197" s="1" t="str">
        <f t="shared" si="12827"/>
        <v>0</v>
      </c>
      <c r="L7197" s="1" t="str">
        <f t="shared" si="12827"/>
        <v>0</v>
      </c>
      <c r="M7197" s="1" t="str">
        <f t="shared" si="12827"/>
        <v>0</v>
      </c>
      <c r="N7197" s="1" t="str">
        <f t="shared" si="12827"/>
        <v>0</v>
      </c>
      <c r="O7197" s="1" t="str">
        <f t="shared" si="12827"/>
        <v>0</v>
      </c>
      <c r="P7197" s="1" t="str">
        <f t="shared" si="12827"/>
        <v>0</v>
      </c>
      <c r="Q7197" s="1" t="str">
        <f t="shared" si="12800"/>
        <v>0.0070</v>
      </c>
      <c r="R7197" s="1" t="s">
        <v>25</v>
      </c>
      <c r="T7197" s="1" t="str">
        <f t="shared" si="12801"/>
        <v>0</v>
      </c>
      <c r="U7197" s="1" t="str">
        <f t="shared" si="12785"/>
        <v>0.0070</v>
      </c>
    </row>
    <row r="7198" s="1" customFormat="1" spans="1:21">
      <c r="A7198" s="1" t="str">
        <f>"4601992321669"</f>
        <v>4601992321669</v>
      </c>
      <c r="B7198" s="1" t="s">
        <v>7221</v>
      </c>
      <c r="C7198" s="1" t="s">
        <v>24</v>
      </c>
      <c r="D7198" s="1" t="str">
        <f t="shared" si="12798"/>
        <v>2021</v>
      </c>
      <c r="E7198" s="1" t="str">
        <f t="shared" ref="E7198:P7198" si="12828">"0"</f>
        <v>0</v>
      </c>
      <c r="F7198" s="1" t="str">
        <f t="shared" si="12828"/>
        <v>0</v>
      </c>
      <c r="G7198" s="1" t="str">
        <f t="shared" si="12828"/>
        <v>0</v>
      </c>
      <c r="H7198" s="1" t="str">
        <f t="shared" si="12828"/>
        <v>0</v>
      </c>
      <c r="I7198" s="1" t="str">
        <f t="shared" si="12828"/>
        <v>0</v>
      </c>
      <c r="J7198" s="1" t="str">
        <f t="shared" si="12828"/>
        <v>0</v>
      </c>
      <c r="K7198" s="1" t="str">
        <f t="shared" si="12828"/>
        <v>0</v>
      </c>
      <c r="L7198" s="1" t="str">
        <f t="shared" si="12828"/>
        <v>0</v>
      </c>
      <c r="M7198" s="1" t="str">
        <f t="shared" si="12828"/>
        <v>0</v>
      </c>
      <c r="N7198" s="1" t="str">
        <f t="shared" si="12828"/>
        <v>0</v>
      </c>
      <c r="O7198" s="1" t="str">
        <f t="shared" si="12828"/>
        <v>0</v>
      </c>
      <c r="P7198" s="1" t="str">
        <f t="shared" si="12828"/>
        <v>0</v>
      </c>
      <c r="Q7198" s="1" t="str">
        <f t="shared" si="12800"/>
        <v>0.0070</v>
      </c>
      <c r="R7198" s="1" t="s">
        <v>25</v>
      </c>
      <c r="T7198" s="1" t="str">
        <f t="shared" si="12801"/>
        <v>0</v>
      </c>
      <c r="U7198" s="1" t="str">
        <f t="shared" si="12785"/>
        <v>0.0070</v>
      </c>
    </row>
    <row r="7199" s="1" customFormat="1" spans="1:21">
      <c r="A7199" s="1" t="str">
        <f>"4601992321679"</f>
        <v>4601992321679</v>
      </c>
      <c r="B7199" s="1" t="s">
        <v>7222</v>
      </c>
      <c r="C7199" s="1" t="s">
        <v>24</v>
      </c>
      <c r="D7199" s="1" t="str">
        <f t="shared" si="12798"/>
        <v>2021</v>
      </c>
      <c r="E7199" s="1" t="str">
        <f t="shared" ref="E7199:P7199" si="12829">"0"</f>
        <v>0</v>
      </c>
      <c r="F7199" s="1" t="str">
        <f t="shared" si="12829"/>
        <v>0</v>
      </c>
      <c r="G7199" s="1" t="str">
        <f t="shared" si="12829"/>
        <v>0</v>
      </c>
      <c r="H7199" s="1" t="str">
        <f t="shared" si="12829"/>
        <v>0</v>
      </c>
      <c r="I7199" s="1" t="str">
        <f t="shared" si="12829"/>
        <v>0</v>
      </c>
      <c r="J7199" s="1" t="str">
        <f t="shared" si="12829"/>
        <v>0</v>
      </c>
      <c r="K7199" s="1" t="str">
        <f t="shared" si="12829"/>
        <v>0</v>
      </c>
      <c r="L7199" s="1" t="str">
        <f t="shared" si="12829"/>
        <v>0</v>
      </c>
      <c r="M7199" s="1" t="str">
        <f t="shared" si="12829"/>
        <v>0</v>
      </c>
      <c r="N7199" s="1" t="str">
        <f t="shared" si="12829"/>
        <v>0</v>
      </c>
      <c r="O7199" s="1" t="str">
        <f t="shared" si="12829"/>
        <v>0</v>
      </c>
      <c r="P7199" s="1" t="str">
        <f t="shared" si="12829"/>
        <v>0</v>
      </c>
      <c r="Q7199" s="1" t="str">
        <f t="shared" si="12800"/>
        <v>0.0070</v>
      </c>
      <c r="R7199" s="1" t="s">
        <v>25</v>
      </c>
      <c r="T7199" s="1" t="str">
        <f t="shared" si="12801"/>
        <v>0</v>
      </c>
      <c r="U7199" s="1" t="str">
        <f t="shared" si="12785"/>
        <v>0.0070</v>
      </c>
    </row>
    <row r="7200" s="1" customFormat="1" spans="1:21">
      <c r="A7200" s="1" t="str">
        <f>"4601992321684"</f>
        <v>4601992321684</v>
      </c>
      <c r="B7200" s="1" t="s">
        <v>7223</v>
      </c>
      <c r="C7200" s="1" t="s">
        <v>24</v>
      </c>
      <c r="D7200" s="1" t="str">
        <f t="shared" si="12798"/>
        <v>2021</v>
      </c>
      <c r="E7200" s="1" t="str">
        <f t="shared" ref="E7200:P7200" si="12830">"0"</f>
        <v>0</v>
      </c>
      <c r="F7200" s="1" t="str">
        <f t="shared" si="12830"/>
        <v>0</v>
      </c>
      <c r="G7200" s="1" t="str">
        <f t="shared" si="12830"/>
        <v>0</v>
      </c>
      <c r="H7200" s="1" t="str">
        <f t="shared" si="12830"/>
        <v>0</v>
      </c>
      <c r="I7200" s="1" t="str">
        <f t="shared" si="12830"/>
        <v>0</v>
      </c>
      <c r="J7200" s="1" t="str">
        <f t="shared" si="12830"/>
        <v>0</v>
      </c>
      <c r="K7200" s="1" t="str">
        <f t="shared" si="12830"/>
        <v>0</v>
      </c>
      <c r="L7200" s="1" t="str">
        <f t="shared" si="12830"/>
        <v>0</v>
      </c>
      <c r="M7200" s="1" t="str">
        <f t="shared" si="12830"/>
        <v>0</v>
      </c>
      <c r="N7200" s="1" t="str">
        <f t="shared" si="12830"/>
        <v>0</v>
      </c>
      <c r="O7200" s="1" t="str">
        <f t="shared" si="12830"/>
        <v>0</v>
      </c>
      <c r="P7200" s="1" t="str">
        <f t="shared" si="12830"/>
        <v>0</v>
      </c>
      <c r="Q7200" s="1" t="str">
        <f t="shared" si="12800"/>
        <v>0.0070</v>
      </c>
      <c r="R7200" s="1" t="s">
        <v>25</v>
      </c>
      <c r="T7200" s="1" t="str">
        <f t="shared" si="12801"/>
        <v>0</v>
      </c>
      <c r="U7200" s="1" t="str">
        <f t="shared" si="12785"/>
        <v>0.0070</v>
      </c>
    </row>
    <row r="7201" s="1" customFormat="1" spans="1:21">
      <c r="A7201" s="1" t="str">
        <f>"4601992321710"</f>
        <v>4601992321710</v>
      </c>
      <c r="B7201" s="1" t="s">
        <v>7224</v>
      </c>
      <c r="C7201" s="1" t="s">
        <v>24</v>
      </c>
      <c r="D7201" s="1" t="str">
        <f t="shared" si="12798"/>
        <v>2021</v>
      </c>
      <c r="E7201" s="1" t="str">
        <f t="shared" ref="E7201:P7201" si="12831">"0"</f>
        <v>0</v>
      </c>
      <c r="F7201" s="1" t="str">
        <f t="shared" si="12831"/>
        <v>0</v>
      </c>
      <c r="G7201" s="1" t="str">
        <f t="shared" si="12831"/>
        <v>0</v>
      </c>
      <c r="H7201" s="1" t="str">
        <f t="shared" si="12831"/>
        <v>0</v>
      </c>
      <c r="I7201" s="1" t="str">
        <f t="shared" si="12831"/>
        <v>0</v>
      </c>
      <c r="J7201" s="1" t="str">
        <f t="shared" si="12831"/>
        <v>0</v>
      </c>
      <c r="K7201" s="1" t="str">
        <f t="shared" si="12831"/>
        <v>0</v>
      </c>
      <c r="L7201" s="1" t="str">
        <f t="shared" si="12831"/>
        <v>0</v>
      </c>
      <c r="M7201" s="1" t="str">
        <f t="shared" si="12831"/>
        <v>0</v>
      </c>
      <c r="N7201" s="1" t="str">
        <f t="shared" si="12831"/>
        <v>0</v>
      </c>
      <c r="O7201" s="1" t="str">
        <f t="shared" si="12831"/>
        <v>0</v>
      </c>
      <c r="P7201" s="1" t="str">
        <f t="shared" si="12831"/>
        <v>0</v>
      </c>
      <c r="Q7201" s="1" t="str">
        <f t="shared" si="12800"/>
        <v>0.0070</v>
      </c>
      <c r="R7201" s="1" t="s">
        <v>25</v>
      </c>
      <c r="T7201" s="1" t="str">
        <f t="shared" si="12801"/>
        <v>0</v>
      </c>
      <c r="U7201" s="1" t="str">
        <f t="shared" si="12785"/>
        <v>0.0070</v>
      </c>
    </row>
    <row r="7202" s="1" customFormat="1" spans="1:21">
      <c r="A7202" s="1" t="str">
        <f>"4601992321714"</f>
        <v>4601992321714</v>
      </c>
      <c r="B7202" s="1" t="s">
        <v>7225</v>
      </c>
      <c r="C7202" s="1" t="s">
        <v>24</v>
      </c>
      <c r="D7202" s="1" t="str">
        <f t="shared" si="12798"/>
        <v>2021</v>
      </c>
      <c r="E7202" s="1" t="str">
        <f t="shared" ref="E7202:P7202" si="12832">"0"</f>
        <v>0</v>
      </c>
      <c r="F7202" s="1" t="str">
        <f t="shared" si="12832"/>
        <v>0</v>
      </c>
      <c r="G7202" s="1" t="str">
        <f t="shared" si="12832"/>
        <v>0</v>
      </c>
      <c r="H7202" s="1" t="str">
        <f t="shared" si="12832"/>
        <v>0</v>
      </c>
      <c r="I7202" s="1" t="str">
        <f t="shared" si="12832"/>
        <v>0</v>
      </c>
      <c r="J7202" s="1" t="str">
        <f t="shared" si="12832"/>
        <v>0</v>
      </c>
      <c r="K7202" s="1" t="str">
        <f t="shared" si="12832"/>
        <v>0</v>
      </c>
      <c r="L7202" s="1" t="str">
        <f t="shared" si="12832"/>
        <v>0</v>
      </c>
      <c r="M7202" s="1" t="str">
        <f t="shared" si="12832"/>
        <v>0</v>
      </c>
      <c r="N7202" s="1" t="str">
        <f t="shared" si="12832"/>
        <v>0</v>
      </c>
      <c r="O7202" s="1" t="str">
        <f t="shared" si="12832"/>
        <v>0</v>
      </c>
      <c r="P7202" s="1" t="str">
        <f t="shared" si="12832"/>
        <v>0</v>
      </c>
      <c r="Q7202" s="1" t="str">
        <f t="shared" si="12800"/>
        <v>0.0070</v>
      </c>
      <c r="R7202" s="1" t="s">
        <v>25</v>
      </c>
      <c r="T7202" s="1" t="str">
        <f t="shared" si="12801"/>
        <v>0</v>
      </c>
      <c r="U7202" s="1" t="str">
        <f t="shared" si="12785"/>
        <v>0.0070</v>
      </c>
    </row>
    <row r="7203" s="1" customFormat="1" spans="1:21">
      <c r="A7203" s="1" t="str">
        <f>"4601992321724"</f>
        <v>4601992321724</v>
      </c>
      <c r="B7203" s="1" t="s">
        <v>7226</v>
      </c>
      <c r="C7203" s="1" t="s">
        <v>24</v>
      </c>
      <c r="D7203" s="1" t="str">
        <f t="shared" si="12798"/>
        <v>2021</v>
      </c>
      <c r="E7203" s="1" t="str">
        <f t="shared" ref="E7203:P7203" si="12833">"0"</f>
        <v>0</v>
      </c>
      <c r="F7203" s="1" t="str">
        <f t="shared" si="12833"/>
        <v>0</v>
      </c>
      <c r="G7203" s="1" t="str">
        <f t="shared" si="12833"/>
        <v>0</v>
      </c>
      <c r="H7203" s="1" t="str">
        <f t="shared" si="12833"/>
        <v>0</v>
      </c>
      <c r="I7203" s="1" t="str">
        <f t="shared" si="12833"/>
        <v>0</v>
      </c>
      <c r="J7203" s="1" t="str">
        <f t="shared" si="12833"/>
        <v>0</v>
      </c>
      <c r="K7203" s="1" t="str">
        <f t="shared" si="12833"/>
        <v>0</v>
      </c>
      <c r="L7203" s="1" t="str">
        <f t="shared" si="12833"/>
        <v>0</v>
      </c>
      <c r="M7203" s="1" t="str">
        <f t="shared" si="12833"/>
        <v>0</v>
      </c>
      <c r="N7203" s="1" t="str">
        <f t="shared" si="12833"/>
        <v>0</v>
      </c>
      <c r="O7203" s="1" t="str">
        <f t="shared" si="12833"/>
        <v>0</v>
      </c>
      <c r="P7203" s="1" t="str">
        <f t="shared" si="12833"/>
        <v>0</v>
      </c>
      <c r="Q7203" s="1" t="str">
        <f t="shared" si="12800"/>
        <v>0.0070</v>
      </c>
      <c r="R7203" s="1" t="s">
        <v>25</v>
      </c>
      <c r="T7203" s="1" t="str">
        <f t="shared" si="12801"/>
        <v>0</v>
      </c>
      <c r="U7203" s="1" t="str">
        <f t="shared" si="12785"/>
        <v>0.0070</v>
      </c>
    </row>
    <row r="7204" s="1" customFormat="1" spans="1:21">
      <c r="A7204" s="1" t="str">
        <f>"4601992321727"</f>
        <v>4601992321727</v>
      </c>
      <c r="B7204" s="1" t="s">
        <v>7227</v>
      </c>
      <c r="C7204" s="1" t="s">
        <v>24</v>
      </c>
      <c r="D7204" s="1" t="str">
        <f t="shared" si="12798"/>
        <v>2021</v>
      </c>
      <c r="E7204" s="1" t="str">
        <f t="shared" ref="E7204:P7204" si="12834">"0"</f>
        <v>0</v>
      </c>
      <c r="F7204" s="1" t="str">
        <f t="shared" si="12834"/>
        <v>0</v>
      </c>
      <c r="G7204" s="1" t="str">
        <f t="shared" si="12834"/>
        <v>0</v>
      </c>
      <c r="H7204" s="1" t="str">
        <f t="shared" si="12834"/>
        <v>0</v>
      </c>
      <c r="I7204" s="1" t="str">
        <f t="shared" si="12834"/>
        <v>0</v>
      </c>
      <c r="J7204" s="1" t="str">
        <f t="shared" si="12834"/>
        <v>0</v>
      </c>
      <c r="K7204" s="1" t="str">
        <f t="shared" si="12834"/>
        <v>0</v>
      </c>
      <c r="L7204" s="1" t="str">
        <f t="shared" si="12834"/>
        <v>0</v>
      </c>
      <c r="M7204" s="1" t="str">
        <f t="shared" si="12834"/>
        <v>0</v>
      </c>
      <c r="N7204" s="1" t="str">
        <f t="shared" si="12834"/>
        <v>0</v>
      </c>
      <c r="O7204" s="1" t="str">
        <f t="shared" si="12834"/>
        <v>0</v>
      </c>
      <c r="P7204" s="1" t="str">
        <f t="shared" si="12834"/>
        <v>0</v>
      </c>
      <c r="Q7204" s="1" t="str">
        <f t="shared" si="12800"/>
        <v>0.0070</v>
      </c>
      <c r="R7204" s="1" t="s">
        <v>25</v>
      </c>
      <c r="T7204" s="1" t="str">
        <f t="shared" si="12801"/>
        <v>0</v>
      </c>
      <c r="U7204" s="1" t="str">
        <f t="shared" si="12785"/>
        <v>0.0070</v>
      </c>
    </row>
    <row r="7205" s="1" customFormat="1" spans="1:21">
      <c r="A7205" s="1" t="str">
        <f>"4601992321735"</f>
        <v>4601992321735</v>
      </c>
      <c r="B7205" s="1" t="s">
        <v>7228</v>
      </c>
      <c r="C7205" s="1" t="s">
        <v>24</v>
      </c>
      <c r="D7205" s="1" t="str">
        <f t="shared" si="12798"/>
        <v>2021</v>
      </c>
      <c r="E7205" s="1" t="str">
        <f t="shared" ref="E7205:P7205" si="12835">"0"</f>
        <v>0</v>
      </c>
      <c r="F7205" s="1" t="str">
        <f t="shared" si="12835"/>
        <v>0</v>
      </c>
      <c r="G7205" s="1" t="str">
        <f t="shared" si="12835"/>
        <v>0</v>
      </c>
      <c r="H7205" s="1" t="str">
        <f t="shared" si="12835"/>
        <v>0</v>
      </c>
      <c r="I7205" s="1" t="str">
        <f t="shared" si="12835"/>
        <v>0</v>
      </c>
      <c r="J7205" s="1" t="str">
        <f t="shared" si="12835"/>
        <v>0</v>
      </c>
      <c r="K7205" s="1" t="str">
        <f t="shared" si="12835"/>
        <v>0</v>
      </c>
      <c r="L7205" s="1" t="str">
        <f t="shared" si="12835"/>
        <v>0</v>
      </c>
      <c r="M7205" s="1" t="str">
        <f t="shared" si="12835"/>
        <v>0</v>
      </c>
      <c r="N7205" s="1" t="str">
        <f t="shared" si="12835"/>
        <v>0</v>
      </c>
      <c r="O7205" s="1" t="str">
        <f t="shared" si="12835"/>
        <v>0</v>
      </c>
      <c r="P7205" s="1" t="str">
        <f t="shared" si="12835"/>
        <v>0</v>
      </c>
      <c r="Q7205" s="1" t="str">
        <f t="shared" si="12800"/>
        <v>0.0070</v>
      </c>
      <c r="R7205" s="1" t="s">
        <v>25</v>
      </c>
      <c r="T7205" s="1" t="str">
        <f t="shared" si="12801"/>
        <v>0</v>
      </c>
      <c r="U7205" s="1" t="str">
        <f t="shared" si="12785"/>
        <v>0.0070</v>
      </c>
    </row>
    <row r="7206" s="1" customFormat="1" spans="1:21">
      <c r="A7206" s="1" t="str">
        <f>"4601992321823"</f>
        <v>4601992321823</v>
      </c>
      <c r="B7206" s="1" t="s">
        <v>7229</v>
      </c>
      <c r="C7206" s="1" t="s">
        <v>24</v>
      </c>
      <c r="D7206" s="1" t="str">
        <f t="shared" si="12798"/>
        <v>2021</v>
      </c>
      <c r="E7206" s="1" t="str">
        <f t="shared" ref="E7206:P7206" si="12836">"0"</f>
        <v>0</v>
      </c>
      <c r="F7206" s="1" t="str">
        <f t="shared" si="12836"/>
        <v>0</v>
      </c>
      <c r="G7206" s="1" t="str">
        <f t="shared" si="12836"/>
        <v>0</v>
      </c>
      <c r="H7206" s="1" t="str">
        <f t="shared" si="12836"/>
        <v>0</v>
      </c>
      <c r="I7206" s="1" t="str">
        <f t="shared" si="12836"/>
        <v>0</v>
      </c>
      <c r="J7206" s="1" t="str">
        <f t="shared" si="12836"/>
        <v>0</v>
      </c>
      <c r="K7206" s="1" t="str">
        <f t="shared" si="12836"/>
        <v>0</v>
      </c>
      <c r="L7206" s="1" t="str">
        <f t="shared" si="12836"/>
        <v>0</v>
      </c>
      <c r="M7206" s="1" t="str">
        <f t="shared" si="12836"/>
        <v>0</v>
      </c>
      <c r="N7206" s="1" t="str">
        <f t="shared" si="12836"/>
        <v>0</v>
      </c>
      <c r="O7206" s="1" t="str">
        <f t="shared" si="12836"/>
        <v>0</v>
      </c>
      <c r="P7206" s="1" t="str">
        <f t="shared" si="12836"/>
        <v>0</v>
      </c>
      <c r="Q7206" s="1" t="str">
        <f t="shared" si="12800"/>
        <v>0.0070</v>
      </c>
      <c r="R7206" s="1" t="s">
        <v>25</v>
      </c>
      <c r="T7206" s="1" t="str">
        <f t="shared" si="12801"/>
        <v>0</v>
      </c>
      <c r="U7206" s="1" t="str">
        <f t="shared" si="12785"/>
        <v>0.0070</v>
      </c>
    </row>
    <row r="7207" s="1" customFormat="1" spans="1:21">
      <c r="A7207" s="1" t="str">
        <f>"4601992321846"</f>
        <v>4601992321846</v>
      </c>
      <c r="B7207" s="1" t="s">
        <v>7230</v>
      </c>
      <c r="C7207" s="1" t="s">
        <v>24</v>
      </c>
      <c r="D7207" s="1" t="str">
        <f t="shared" si="12798"/>
        <v>2021</v>
      </c>
      <c r="E7207" s="1" t="str">
        <f t="shared" ref="E7207:P7207" si="12837">"0"</f>
        <v>0</v>
      </c>
      <c r="F7207" s="1" t="str">
        <f t="shared" si="12837"/>
        <v>0</v>
      </c>
      <c r="G7207" s="1" t="str">
        <f t="shared" si="12837"/>
        <v>0</v>
      </c>
      <c r="H7207" s="1" t="str">
        <f t="shared" si="12837"/>
        <v>0</v>
      </c>
      <c r="I7207" s="1" t="str">
        <f t="shared" si="12837"/>
        <v>0</v>
      </c>
      <c r="J7207" s="1" t="str">
        <f t="shared" si="12837"/>
        <v>0</v>
      </c>
      <c r="K7207" s="1" t="str">
        <f t="shared" si="12837"/>
        <v>0</v>
      </c>
      <c r="L7207" s="1" t="str">
        <f t="shared" si="12837"/>
        <v>0</v>
      </c>
      <c r="M7207" s="1" t="str">
        <f t="shared" si="12837"/>
        <v>0</v>
      </c>
      <c r="N7207" s="1" t="str">
        <f t="shared" si="12837"/>
        <v>0</v>
      </c>
      <c r="O7207" s="1" t="str">
        <f t="shared" si="12837"/>
        <v>0</v>
      </c>
      <c r="P7207" s="1" t="str">
        <f t="shared" si="12837"/>
        <v>0</v>
      </c>
      <c r="Q7207" s="1" t="str">
        <f t="shared" si="12800"/>
        <v>0.0070</v>
      </c>
      <c r="R7207" s="1" t="s">
        <v>25</v>
      </c>
      <c r="T7207" s="1" t="str">
        <f t="shared" si="12801"/>
        <v>0</v>
      </c>
      <c r="U7207" s="1" t="str">
        <f t="shared" si="12785"/>
        <v>0.0070</v>
      </c>
    </row>
    <row r="7208" s="1" customFormat="1" spans="1:21">
      <c r="A7208" s="1" t="str">
        <f>"4601992321925"</f>
        <v>4601992321925</v>
      </c>
      <c r="B7208" s="1" t="s">
        <v>7231</v>
      </c>
      <c r="C7208" s="1" t="s">
        <v>24</v>
      </c>
      <c r="D7208" s="1" t="str">
        <f t="shared" si="12798"/>
        <v>2021</v>
      </c>
      <c r="E7208" s="1" t="str">
        <f t="shared" ref="E7208:P7208" si="12838">"0"</f>
        <v>0</v>
      </c>
      <c r="F7208" s="1" t="str">
        <f t="shared" si="12838"/>
        <v>0</v>
      </c>
      <c r="G7208" s="1" t="str">
        <f t="shared" si="12838"/>
        <v>0</v>
      </c>
      <c r="H7208" s="1" t="str">
        <f t="shared" si="12838"/>
        <v>0</v>
      </c>
      <c r="I7208" s="1" t="str">
        <f t="shared" si="12838"/>
        <v>0</v>
      </c>
      <c r="J7208" s="1" t="str">
        <f t="shared" si="12838"/>
        <v>0</v>
      </c>
      <c r="K7208" s="1" t="str">
        <f t="shared" si="12838"/>
        <v>0</v>
      </c>
      <c r="L7208" s="1" t="str">
        <f t="shared" si="12838"/>
        <v>0</v>
      </c>
      <c r="M7208" s="1" t="str">
        <f t="shared" si="12838"/>
        <v>0</v>
      </c>
      <c r="N7208" s="1" t="str">
        <f t="shared" si="12838"/>
        <v>0</v>
      </c>
      <c r="O7208" s="1" t="str">
        <f t="shared" si="12838"/>
        <v>0</v>
      </c>
      <c r="P7208" s="1" t="str">
        <f t="shared" si="12838"/>
        <v>0</v>
      </c>
      <c r="Q7208" s="1" t="str">
        <f t="shared" si="12800"/>
        <v>0.0070</v>
      </c>
      <c r="R7208" s="1" t="s">
        <v>25</v>
      </c>
      <c r="T7208" s="1" t="str">
        <f t="shared" si="12801"/>
        <v>0</v>
      </c>
      <c r="U7208" s="1" t="str">
        <f t="shared" si="12785"/>
        <v>0.0070</v>
      </c>
    </row>
    <row r="7209" s="1" customFormat="1" spans="1:21">
      <c r="A7209" s="1" t="str">
        <f>"4601992321945"</f>
        <v>4601992321945</v>
      </c>
      <c r="B7209" s="1" t="s">
        <v>7232</v>
      </c>
      <c r="C7209" s="1" t="s">
        <v>24</v>
      </c>
      <c r="D7209" s="1" t="str">
        <f t="shared" si="12798"/>
        <v>2021</v>
      </c>
      <c r="E7209" s="1" t="str">
        <f t="shared" ref="E7209:P7209" si="12839">"0"</f>
        <v>0</v>
      </c>
      <c r="F7209" s="1" t="str">
        <f t="shared" si="12839"/>
        <v>0</v>
      </c>
      <c r="G7209" s="1" t="str">
        <f t="shared" si="12839"/>
        <v>0</v>
      </c>
      <c r="H7209" s="1" t="str">
        <f t="shared" si="12839"/>
        <v>0</v>
      </c>
      <c r="I7209" s="1" t="str">
        <f t="shared" si="12839"/>
        <v>0</v>
      </c>
      <c r="J7209" s="1" t="str">
        <f t="shared" si="12839"/>
        <v>0</v>
      </c>
      <c r="K7209" s="1" t="str">
        <f t="shared" si="12839"/>
        <v>0</v>
      </c>
      <c r="L7209" s="1" t="str">
        <f t="shared" si="12839"/>
        <v>0</v>
      </c>
      <c r="M7209" s="1" t="str">
        <f t="shared" si="12839"/>
        <v>0</v>
      </c>
      <c r="N7209" s="1" t="str">
        <f t="shared" si="12839"/>
        <v>0</v>
      </c>
      <c r="O7209" s="1" t="str">
        <f t="shared" si="12839"/>
        <v>0</v>
      </c>
      <c r="P7209" s="1" t="str">
        <f t="shared" si="12839"/>
        <v>0</v>
      </c>
      <c r="Q7209" s="1" t="str">
        <f t="shared" si="12800"/>
        <v>0.0070</v>
      </c>
      <c r="R7209" s="1" t="s">
        <v>25</v>
      </c>
      <c r="T7209" s="1" t="str">
        <f t="shared" si="12801"/>
        <v>0</v>
      </c>
      <c r="U7209" s="1" t="str">
        <f t="shared" si="12785"/>
        <v>0.0070</v>
      </c>
    </row>
    <row r="7210" s="1" customFormat="1" spans="1:21">
      <c r="A7210" s="1" t="str">
        <f>"4601992321951"</f>
        <v>4601992321951</v>
      </c>
      <c r="B7210" s="1" t="s">
        <v>7233</v>
      </c>
      <c r="C7210" s="1" t="s">
        <v>24</v>
      </c>
      <c r="D7210" s="1" t="str">
        <f t="shared" si="12798"/>
        <v>2021</v>
      </c>
      <c r="E7210" s="1" t="str">
        <f t="shared" ref="E7210:P7210" si="12840">"0"</f>
        <v>0</v>
      </c>
      <c r="F7210" s="1" t="str">
        <f t="shared" si="12840"/>
        <v>0</v>
      </c>
      <c r="G7210" s="1" t="str">
        <f t="shared" si="12840"/>
        <v>0</v>
      </c>
      <c r="H7210" s="1" t="str">
        <f t="shared" si="12840"/>
        <v>0</v>
      </c>
      <c r="I7210" s="1" t="str">
        <f t="shared" si="12840"/>
        <v>0</v>
      </c>
      <c r="J7210" s="1" t="str">
        <f t="shared" si="12840"/>
        <v>0</v>
      </c>
      <c r="K7210" s="1" t="str">
        <f t="shared" si="12840"/>
        <v>0</v>
      </c>
      <c r="L7210" s="1" t="str">
        <f t="shared" si="12840"/>
        <v>0</v>
      </c>
      <c r="M7210" s="1" t="str">
        <f t="shared" si="12840"/>
        <v>0</v>
      </c>
      <c r="N7210" s="1" t="str">
        <f t="shared" si="12840"/>
        <v>0</v>
      </c>
      <c r="O7210" s="1" t="str">
        <f t="shared" si="12840"/>
        <v>0</v>
      </c>
      <c r="P7210" s="1" t="str">
        <f t="shared" si="12840"/>
        <v>0</v>
      </c>
      <c r="Q7210" s="1" t="str">
        <f t="shared" si="12800"/>
        <v>0.0070</v>
      </c>
      <c r="R7210" s="1" t="s">
        <v>25</v>
      </c>
      <c r="T7210" s="1" t="str">
        <f t="shared" si="12801"/>
        <v>0</v>
      </c>
      <c r="U7210" s="1" t="str">
        <f t="shared" si="12785"/>
        <v>0.0070</v>
      </c>
    </row>
    <row r="7211" s="1" customFormat="1" spans="1:21">
      <c r="A7211" s="1" t="str">
        <f>"4601992321954"</f>
        <v>4601992321954</v>
      </c>
      <c r="B7211" s="1" t="s">
        <v>7234</v>
      </c>
      <c r="C7211" s="1" t="s">
        <v>24</v>
      </c>
      <c r="D7211" s="1" t="str">
        <f t="shared" si="12798"/>
        <v>2021</v>
      </c>
      <c r="E7211" s="1" t="str">
        <f t="shared" ref="E7211:P7211" si="12841">"0"</f>
        <v>0</v>
      </c>
      <c r="F7211" s="1" t="str">
        <f t="shared" si="12841"/>
        <v>0</v>
      </c>
      <c r="G7211" s="1" t="str">
        <f t="shared" si="12841"/>
        <v>0</v>
      </c>
      <c r="H7211" s="1" t="str">
        <f t="shared" si="12841"/>
        <v>0</v>
      </c>
      <c r="I7211" s="1" t="str">
        <f t="shared" si="12841"/>
        <v>0</v>
      </c>
      <c r="J7211" s="1" t="str">
        <f t="shared" si="12841"/>
        <v>0</v>
      </c>
      <c r="K7211" s="1" t="str">
        <f t="shared" si="12841"/>
        <v>0</v>
      </c>
      <c r="L7211" s="1" t="str">
        <f t="shared" si="12841"/>
        <v>0</v>
      </c>
      <c r="M7211" s="1" t="str">
        <f t="shared" si="12841"/>
        <v>0</v>
      </c>
      <c r="N7211" s="1" t="str">
        <f t="shared" si="12841"/>
        <v>0</v>
      </c>
      <c r="O7211" s="1" t="str">
        <f t="shared" si="12841"/>
        <v>0</v>
      </c>
      <c r="P7211" s="1" t="str">
        <f t="shared" si="12841"/>
        <v>0</v>
      </c>
      <c r="Q7211" s="1" t="str">
        <f t="shared" si="12800"/>
        <v>0.0070</v>
      </c>
      <c r="R7211" s="1" t="s">
        <v>25</v>
      </c>
      <c r="T7211" s="1" t="str">
        <f t="shared" si="12801"/>
        <v>0</v>
      </c>
      <c r="U7211" s="1" t="str">
        <f t="shared" si="12785"/>
        <v>0.0070</v>
      </c>
    </row>
    <row r="7212" s="1" customFormat="1" spans="1:21">
      <c r="A7212" s="1" t="str">
        <f>"4601992321968"</f>
        <v>4601992321968</v>
      </c>
      <c r="B7212" s="1" t="s">
        <v>7235</v>
      </c>
      <c r="C7212" s="1" t="s">
        <v>24</v>
      </c>
      <c r="D7212" s="1" t="str">
        <f t="shared" si="12798"/>
        <v>2021</v>
      </c>
      <c r="E7212" s="1" t="str">
        <f t="shared" ref="E7212:P7212" si="12842">"0"</f>
        <v>0</v>
      </c>
      <c r="F7212" s="1" t="str">
        <f t="shared" si="12842"/>
        <v>0</v>
      </c>
      <c r="G7212" s="1" t="str">
        <f t="shared" si="12842"/>
        <v>0</v>
      </c>
      <c r="H7212" s="1" t="str">
        <f t="shared" si="12842"/>
        <v>0</v>
      </c>
      <c r="I7212" s="1" t="str">
        <f t="shared" si="12842"/>
        <v>0</v>
      </c>
      <c r="J7212" s="1" t="str">
        <f t="shared" si="12842"/>
        <v>0</v>
      </c>
      <c r="K7212" s="1" t="str">
        <f t="shared" si="12842"/>
        <v>0</v>
      </c>
      <c r="L7212" s="1" t="str">
        <f t="shared" si="12842"/>
        <v>0</v>
      </c>
      <c r="M7212" s="1" t="str">
        <f t="shared" si="12842"/>
        <v>0</v>
      </c>
      <c r="N7212" s="1" t="str">
        <f t="shared" si="12842"/>
        <v>0</v>
      </c>
      <c r="O7212" s="1" t="str">
        <f t="shared" si="12842"/>
        <v>0</v>
      </c>
      <c r="P7212" s="1" t="str">
        <f t="shared" si="12842"/>
        <v>0</v>
      </c>
      <c r="Q7212" s="1" t="str">
        <f t="shared" si="12800"/>
        <v>0.0070</v>
      </c>
      <c r="R7212" s="1" t="s">
        <v>25</v>
      </c>
      <c r="T7212" s="1" t="str">
        <f t="shared" si="12801"/>
        <v>0</v>
      </c>
      <c r="U7212" s="1" t="str">
        <f t="shared" si="12785"/>
        <v>0.0070</v>
      </c>
    </row>
    <row r="7213" s="1" customFormat="1" spans="1:21">
      <c r="A7213" s="1" t="str">
        <f>"4601992322006"</f>
        <v>4601992322006</v>
      </c>
      <c r="B7213" s="1" t="s">
        <v>7236</v>
      </c>
      <c r="C7213" s="1" t="s">
        <v>24</v>
      </c>
      <c r="D7213" s="1" t="str">
        <f t="shared" si="12798"/>
        <v>2021</v>
      </c>
      <c r="E7213" s="1" t="str">
        <f t="shared" ref="E7213:P7213" si="12843">"0"</f>
        <v>0</v>
      </c>
      <c r="F7213" s="1" t="str">
        <f t="shared" si="12843"/>
        <v>0</v>
      </c>
      <c r="G7213" s="1" t="str">
        <f t="shared" si="12843"/>
        <v>0</v>
      </c>
      <c r="H7213" s="1" t="str">
        <f t="shared" si="12843"/>
        <v>0</v>
      </c>
      <c r="I7213" s="1" t="str">
        <f t="shared" si="12843"/>
        <v>0</v>
      </c>
      <c r="J7213" s="1" t="str">
        <f t="shared" si="12843"/>
        <v>0</v>
      </c>
      <c r="K7213" s="1" t="str">
        <f t="shared" si="12843"/>
        <v>0</v>
      </c>
      <c r="L7213" s="1" t="str">
        <f t="shared" si="12843"/>
        <v>0</v>
      </c>
      <c r="M7213" s="1" t="str">
        <f t="shared" si="12843"/>
        <v>0</v>
      </c>
      <c r="N7213" s="1" t="str">
        <f t="shared" si="12843"/>
        <v>0</v>
      </c>
      <c r="O7213" s="1" t="str">
        <f t="shared" si="12843"/>
        <v>0</v>
      </c>
      <c r="P7213" s="1" t="str">
        <f t="shared" si="12843"/>
        <v>0</v>
      </c>
      <c r="Q7213" s="1" t="str">
        <f t="shared" si="12800"/>
        <v>0.0070</v>
      </c>
      <c r="R7213" s="1" t="s">
        <v>25</v>
      </c>
      <c r="T7213" s="1" t="str">
        <f t="shared" si="12801"/>
        <v>0</v>
      </c>
      <c r="U7213" s="1" t="str">
        <f t="shared" si="12785"/>
        <v>0.0070</v>
      </c>
    </row>
    <row r="7214" s="1" customFormat="1" spans="1:21">
      <c r="A7214" s="1" t="str">
        <f>"4601992322038"</f>
        <v>4601992322038</v>
      </c>
      <c r="B7214" s="1" t="s">
        <v>7237</v>
      </c>
      <c r="C7214" s="1" t="s">
        <v>24</v>
      </c>
      <c r="D7214" s="1" t="str">
        <f t="shared" si="12798"/>
        <v>2021</v>
      </c>
      <c r="E7214" s="1" t="str">
        <f t="shared" ref="E7214:P7214" si="12844">"0"</f>
        <v>0</v>
      </c>
      <c r="F7214" s="1" t="str">
        <f t="shared" si="12844"/>
        <v>0</v>
      </c>
      <c r="G7214" s="1" t="str">
        <f t="shared" si="12844"/>
        <v>0</v>
      </c>
      <c r="H7214" s="1" t="str">
        <f t="shared" si="12844"/>
        <v>0</v>
      </c>
      <c r="I7214" s="1" t="str">
        <f t="shared" si="12844"/>
        <v>0</v>
      </c>
      <c r="J7214" s="1" t="str">
        <f t="shared" si="12844"/>
        <v>0</v>
      </c>
      <c r="K7214" s="1" t="str">
        <f t="shared" si="12844"/>
        <v>0</v>
      </c>
      <c r="L7214" s="1" t="str">
        <f t="shared" si="12844"/>
        <v>0</v>
      </c>
      <c r="M7214" s="1" t="str">
        <f t="shared" si="12844"/>
        <v>0</v>
      </c>
      <c r="N7214" s="1" t="str">
        <f t="shared" si="12844"/>
        <v>0</v>
      </c>
      <c r="O7214" s="1" t="str">
        <f t="shared" si="12844"/>
        <v>0</v>
      </c>
      <c r="P7214" s="1" t="str">
        <f t="shared" si="12844"/>
        <v>0</v>
      </c>
      <c r="Q7214" s="1" t="str">
        <f t="shared" si="12800"/>
        <v>0.0070</v>
      </c>
      <c r="R7214" s="1" t="s">
        <v>25</v>
      </c>
      <c r="T7214" s="1" t="str">
        <f t="shared" si="12801"/>
        <v>0</v>
      </c>
      <c r="U7214" s="1" t="str">
        <f t="shared" si="12785"/>
        <v>0.0070</v>
      </c>
    </row>
    <row r="7215" s="1" customFormat="1" spans="1:21">
      <c r="A7215" s="1" t="str">
        <f>"4601992322139"</f>
        <v>4601992322139</v>
      </c>
      <c r="B7215" s="1" t="s">
        <v>7238</v>
      </c>
      <c r="C7215" s="1" t="s">
        <v>24</v>
      </c>
      <c r="D7215" s="1" t="str">
        <f t="shared" si="12798"/>
        <v>2021</v>
      </c>
      <c r="E7215" s="1" t="str">
        <f t="shared" ref="E7215:P7215" si="12845">"0"</f>
        <v>0</v>
      </c>
      <c r="F7215" s="1" t="str">
        <f t="shared" si="12845"/>
        <v>0</v>
      </c>
      <c r="G7215" s="1" t="str">
        <f t="shared" si="12845"/>
        <v>0</v>
      </c>
      <c r="H7215" s="1" t="str">
        <f t="shared" si="12845"/>
        <v>0</v>
      </c>
      <c r="I7215" s="1" t="str">
        <f t="shared" si="12845"/>
        <v>0</v>
      </c>
      <c r="J7215" s="1" t="str">
        <f t="shared" si="12845"/>
        <v>0</v>
      </c>
      <c r="K7215" s="1" t="str">
        <f t="shared" si="12845"/>
        <v>0</v>
      </c>
      <c r="L7215" s="1" t="str">
        <f t="shared" si="12845"/>
        <v>0</v>
      </c>
      <c r="M7215" s="1" t="str">
        <f t="shared" si="12845"/>
        <v>0</v>
      </c>
      <c r="N7215" s="1" t="str">
        <f t="shared" si="12845"/>
        <v>0</v>
      </c>
      <c r="O7215" s="1" t="str">
        <f t="shared" si="12845"/>
        <v>0</v>
      </c>
      <c r="P7215" s="1" t="str">
        <f t="shared" si="12845"/>
        <v>0</v>
      </c>
      <c r="Q7215" s="1" t="str">
        <f t="shared" si="12800"/>
        <v>0.0070</v>
      </c>
      <c r="R7215" s="1" t="s">
        <v>25</v>
      </c>
      <c r="T7215" s="1" t="str">
        <f t="shared" si="12801"/>
        <v>0</v>
      </c>
      <c r="U7215" s="1" t="str">
        <f t="shared" si="12785"/>
        <v>0.0070</v>
      </c>
    </row>
    <row r="7216" s="1" customFormat="1" spans="1:21">
      <c r="A7216" s="1" t="str">
        <f>"4601992322265"</f>
        <v>4601992322265</v>
      </c>
      <c r="B7216" s="1" t="s">
        <v>7239</v>
      </c>
      <c r="C7216" s="1" t="s">
        <v>24</v>
      </c>
      <c r="D7216" s="1" t="str">
        <f t="shared" si="12798"/>
        <v>2021</v>
      </c>
      <c r="E7216" s="1" t="str">
        <f t="shared" ref="E7216:P7216" si="12846">"0"</f>
        <v>0</v>
      </c>
      <c r="F7216" s="1" t="str">
        <f t="shared" si="12846"/>
        <v>0</v>
      </c>
      <c r="G7216" s="1" t="str">
        <f t="shared" si="12846"/>
        <v>0</v>
      </c>
      <c r="H7216" s="1" t="str">
        <f t="shared" si="12846"/>
        <v>0</v>
      </c>
      <c r="I7216" s="1" t="str">
        <f t="shared" si="12846"/>
        <v>0</v>
      </c>
      <c r="J7216" s="1" t="str">
        <f t="shared" si="12846"/>
        <v>0</v>
      </c>
      <c r="K7216" s="1" t="str">
        <f t="shared" si="12846"/>
        <v>0</v>
      </c>
      <c r="L7216" s="1" t="str">
        <f t="shared" si="12846"/>
        <v>0</v>
      </c>
      <c r="M7216" s="1" t="str">
        <f t="shared" si="12846"/>
        <v>0</v>
      </c>
      <c r="N7216" s="1" t="str">
        <f t="shared" si="12846"/>
        <v>0</v>
      </c>
      <c r="O7216" s="1" t="str">
        <f t="shared" si="12846"/>
        <v>0</v>
      </c>
      <c r="P7216" s="1" t="str">
        <f t="shared" si="12846"/>
        <v>0</v>
      </c>
      <c r="Q7216" s="1" t="str">
        <f t="shared" si="12800"/>
        <v>0.0070</v>
      </c>
      <c r="R7216" s="1" t="s">
        <v>25</v>
      </c>
      <c r="T7216" s="1" t="str">
        <f t="shared" si="12801"/>
        <v>0</v>
      </c>
      <c r="U7216" s="1" t="str">
        <f t="shared" si="12785"/>
        <v>0.0070</v>
      </c>
    </row>
    <row r="7217" s="1" customFormat="1" spans="1:21">
      <c r="A7217" s="1" t="str">
        <f>"4601992322422"</f>
        <v>4601992322422</v>
      </c>
      <c r="B7217" s="1" t="s">
        <v>7240</v>
      </c>
      <c r="C7217" s="1" t="s">
        <v>24</v>
      </c>
      <c r="D7217" s="1" t="str">
        <f t="shared" si="12798"/>
        <v>2021</v>
      </c>
      <c r="E7217" s="1" t="str">
        <f t="shared" ref="E7217:P7217" si="12847">"0"</f>
        <v>0</v>
      </c>
      <c r="F7217" s="1" t="str">
        <f t="shared" si="12847"/>
        <v>0</v>
      </c>
      <c r="G7217" s="1" t="str">
        <f t="shared" si="12847"/>
        <v>0</v>
      </c>
      <c r="H7217" s="1" t="str">
        <f t="shared" si="12847"/>
        <v>0</v>
      </c>
      <c r="I7217" s="1" t="str">
        <f t="shared" si="12847"/>
        <v>0</v>
      </c>
      <c r="J7217" s="1" t="str">
        <f t="shared" si="12847"/>
        <v>0</v>
      </c>
      <c r="K7217" s="1" t="str">
        <f t="shared" si="12847"/>
        <v>0</v>
      </c>
      <c r="L7217" s="1" t="str">
        <f t="shared" si="12847"/>
        <v>0</v>
      </c>
      <c r="M7217" s="1" t="str">
        <f t="shared" si="12847"/>
        <v>0</v>
      </c>
      <c r="N7217" s="1" t="str">
        <f t="shared" si="12847"/>
        <v>0</v>
      </c>
      <c r="O7217" s="1" t="str">
        <f t="shared" si="12847"/>
        <v>0</v>
      </c>
      <c r="P7217" s="1" t="str">
        <f t="shared" si="12847"/>
        <v>0</v>
      </c>
      <c r="Q7217" s="1" t="str">
        <f t="shared" si="12800"/>
        <v>0.0070</v>
      </c>
      <c r="R7217" s="1" t="s">
        <v>25</v>
      </c>
      <c r="T7217" s="1" t="str">
        <f t="shared" si="12801"/>
        <v>0</v>
      </c>
      <c r="U7217" s="1" t="str">
        <f t="shared" si="12785"/>
        <v>0.0070</v>
      </c>
    </row>
    <row r="7218" s="1" customFormat="1" spans="1:21">
      <c r="A7218" s="1" t="str">
        <f>"4601992322471"</f>
        <v>4601992322471</v>
      </c>
      <c r="B7218" s="1" t="s">
        <v>7241</v>
      </c>
      <c r="C7218" s="1" t="s">
        <v>24</v>
      </c>
      <c r="D7218" s="1" t="str">
        <f t="shared" si="12798"/>
        <v>2021</v>
      </c>
      <c r="E7218" s="1" t="str">
        <f t="shared" ref="E7218:P7218" si="12848">"0"</f>
        <v>0</v>
      </c>
      <c r="F7218" s="1" t="str">
        <f t="shared" si="12848"/>
        <v>0</v>
      </c>
      <c r="G7218" s="1" t="str">
        <f t="shared" si="12848"/>
        <v>0</v>
      </c>
      <c r="H7218" s="1" t="str">
        <f t="shared" si="12848"/>
        <v>0</v>
      </c>
      <c r="I7218" s="1" t="str">
        <f t="shared" si="12848"/>
        <v>0</v>
      </c>
      <c r="J7218" s="1" t="str">
        <f t="shared" si="12848"/>
        <v>0</v>
      </c>
      <c r="K7218" s="1" t="str">
        <f t="shared" si="12848"/>
        <v>0</v>
      </c>
      <c r="L7218" s="1" t="str">
        <f t="shared" si="12848"/>
        <v>0</v>
      </c>
      <c r="M7218" s="1" t="str">
        <f t="shared" si="12848"/>
        <v>0</v>
      </c>
      <c r="N7218" s="1" t="str">
        <f t="shared" si="12848"/>
        <v>0</v>
      </c>
      <c r="O7218" s="1" t="str">
        <f t="shared" si="12848"/>
        <v>0</v>
      </c>
      <c r="P7218" s="1" t="str">
        <f t="shared" si="12848"/>
        <v>0</v>
      </c>
      <c r="Q7218" s="1" t="str">
        <f t="shared" si="12800"/>
        <v>0.0070</v>
      </c>
      <c r="R7218" s="1" t="s">
        <v>25</v>
      </c>
      <c r="T7218" s="1" t="str">
        <f t="shared" si="12801"/>
        <v>0</v>
      </c>
      <c r="U7218" s="1" t="str">
        <f t="shared" si="12785"/>
        <v>0.0070</v>
      </c>
    </row>
    <row r="7219" s="1" customFormat="1" spans="1:21">
      <c r="A7219" s="1" t="str">
        <f>"4601992322626"</f>
        <v>4601992322626</v>
      </c>
      <c r="B7219" s="1" t="s">
        <v>7242</v>
      </c>
      <c r="C7219" s="1" t="s">
        <v>24</v>
      </c>
      <c r="D7219" s="1" t="str">
        <f t="shared" si="12798"/>
        <v>2021</v>
      </c>
      <c r="E7219" s="1" t="str">
        <f t="shared" ref="E7219:P7219" si="12849">"0"</f>
        <v>0</v>
      </c>
      <c r="F7219" s="1" t="str">
        <f t="shared" si="12849"/>
        <v>0</v>
      </c>
      <c r="G7219" s="1" t="str">
        <f t="shared" si="12849"/>
        <v>0</v>
      </c>
      <c r="H7219" s="1" t="str">
        <f t="shared" si="12849"/>
        <v>0</v>
      </c>
      <c r="I7219" s="1" t="str">
        <f t="shared" si="12849"/>
        <v>0</v>
      </c>
      <c r="J7219" s="1" t="str">
        <f t="shared" si="12849"/>
        <v>0</v>
      </c>
      <c r="K7219" s="1" t="str">
        <f t="shared" si="12849"/>
        <v>0</v>
      </c>
      <c r="L7219" s="1" t="str">
        <f t="shared" si="12849"/>
        <v>0</v>
      </c>
      <c r="M7219" s="1" t="str">
        <f t="shared" si="12849"/>
        <v>0</v>
      </c>
      <c r="N7219" s="1" t="str">
        <f t="shared" si="12849"/>
        <v>0</v>
      </c>
      <c r="O7219" s="1" t="str">
        <f t="shared" si="12849"/>
        <v>0</v>
      </c>
      <c r="P7219" s="1" t="str">
        <f t="shared" si="12849"/>
        <v>0</v>
      </c>
      <c r="Q7219" s="1" t="str">
        <f t="shared" si="12800"/>
        <v>0.0070</v>
      </c>
      <c r="R7219" s="1" t="s">
        <v>25</v>
      </c>
      <c r="T7219" s="1" t="str">
        <f t="shared" si="12801"/>
        <v>0</v>
      </c>
      <c r="U7219" s="1" t="str">
        <f t="shared" si="12785"/>
        <v>0.0070</v>
      </c>
    </row>
    <row r="7220" s="1" customFormat="1" spans="1:21">
      <c r="A7220" s="1" t="str">
        <f>"4601992322760"</f>
        <v>4601992322760</v>
      </c>
      <c r="B7220" s="1" t="s">
        <v>7243</v>
      </c>
      <c r="C7220" s="1" t="s">
        <v>24</v>
      </c>
      <c r="D7220" s="1" t="str">
        <f t="shared" si="12798"/>
        <v>2021</v>
      </c>
      <c r="E7220" s="1" t="str">
        <f t="shared" ref="E7220:P7220" si="12850">"0"</f>
        <v>0</v>
      </c>
      <c r="F7220" s="1" t="str">
        <f t="shared" si="12850"/>
        <v>0</v>
      </c>
      <c r="G7220" s="1" t="str">
        <f t="shared" si="12850"/>
        <v>0</v>
      </c>
      <c r="H7220" s="1" t="str">
        <f t="shared" si="12850"/>
        <v>0</v>
      </c>
      <c r="I7220" s="1" t="str">
        <f t="shared" si="12850"/>
        <v>0</v>
      </c>
      <c r="J7220" s="1" t="str">
        <f t="shared" si="12850"/>
        <v>0</v>
      </c>
      <c r="K7220" s="1" t="str">
        <f t="shared" si="12850"/>
        <v>0</v>
      </c>
      <c r="L7220" s="1" t="str">
        <f t="shared" si="12850"/>
        <v>0</v>
      </c>
      <c r="M7220" s="1" t="str">
        <f t="shared" si="12850"/>
        <v>0</v>
      </c>
      <c r="N7220" s="1" t="str">
        <f t="shared" si="12850"/>
        <v>0</v>
      </c>
      <c r="O7220" s="1" t="str">
        <f t="shared" si="12850"/>
        <v>0</v>
      </c>
      <c r="P7220" s="1" t="str">
        <f t="shared" si="12850"/>
        <v>0</v>
      </c>
      <c r="Q7220" s="1" t="str">
        <f t="shared" si="12800"/>
        <v>0.0070</v>
      </c>
      <c r="R7220" s="1" t="s">
        <v>25</v>
      </c>
      <c r="T7220" s="1" t="str">
        <f t="shared" si="12801"/>
        <v>0</v>
      </c>
      <c r="U7220" s="1" t="str">
        <f t="shared" si="12785"/>
        <v>0.0070</v>
      </c>
    </row>
    <row r="7221" s="1" customFormat="1" spans="1:21">
      <c r="A7221" s="1" t="str">
        <f>"4601992322814"</f>
        <v>4601992322814</v>
      </c>
      <c r="B7221" s="1" t="s">
        <v>7244</v>
      </c>
      <c r="C7221" s="1" t="s">
        <v>24</v>
      </c>
      <c r="D7221" s="1" t="str">
        <f t="shared" si="12798"/>
        <v>2021</v>
      </c>
      <c r="E7221" s="1" t="str">
        <f t="shared" ref="E7221:P7221" si="12851">"0"</f>
        <v>0</v>
      </c>
      <c r="F7221" s="1" t="str">
        <f t="shared" si="12851"/>
        <v>0</v>
      </c>
      <c r="G7221" s="1" t="str">
        <f t="shared" si="12851"/>
        <v>0</v>
      </c>
      <c r="H7221" s="1" t="str">
        <f t="shared" si="12851"/>
        <v>0</v>
      </c>
      <c r="I7221" s="1" t="str">
        <f t="shared" si="12851"/>
        <v>0</v>
      </c>
      <c r="J7221" s="1" t="str">
        <f t="shared" si="12851"/>
        <v>0</v>
      </c>
      <c r="K7221" s="1" t="str">
        <f t="shared" si="12851"/>
        <v>0</v>
      </c>
      <c r="L7221" s="1" t="str">
        <f t="shared" si="12851"/>
        <v>0</v>
      </c>
      <c r="M7221" s="1" t="str">
        <f t="shared" si="12851"/>
        <v>0</v>
      </c>
      <c r="N7221" s="1" t="str">
        <f t="shared" si="12851"/>
        <v>0</v>
      </c>
      <c r="O7221" s="1" t="str">
        <f t="shared" si="12851"/>
        <v>0</v>
      </c>
      <c r="P7221" s="1" t="str">
        <f t="shared" si="12851"/>
        <v>0</v>
      </c>
      <c r="Q7221" s="1" t="str">
        <f t="shared" si="12800"/>
        <v>0.0070</v>
      </c>
      <c r="R7221" s="1" t="s">
        <v>25</v>
      </c>
      <c r="T7221" s="1" t="str">
        <f t="shared" si="12801"/>
        <v>0</v>
      </c>
      <c r="U7221" s="1" t="str">
        <f t="shared" si="12785"/>
        <v>0.0070</v>
      </c>
    </row>
    <row r="7222" s="1" customFormat="1" spans="1:21">
      <c r="A7222" s="1" t="str">
        <f>"4601992322806"</f>
        <v>4601992322806</v>
      </c>
      <c r="B7222" s="1" t="s">
        <v>7245</v>
      </c>
      <c r="C7222" s="1" t="s">
        <v>24</v>
      </c>
      <c r="D7222" s="1" t="str">
        <f t="shared" si="12798"/>
        <v>2021</v>
      </c>
      <c r="E7222" s="1" t="str">
        <f t="shared" ref="E7222:P7222" si="12852">"0"</f>
        <v>0</v>
      </c>
      <c r="F7222" s="1" t="str">
        <f t="shared" si="12852"/>
        <v>0</v>
      </c>
      <c r="G7222" s="1" t="str">
        <f t="shared" si="12852"/>
        <v>0</v>
      </c>
      <c r="H7222" s="1" t="str">
        <f t="shared" si="12852"/>
        <v>0</v>
      </c>
      <c r="I7222" s="1" t="str">
        <f t="shared" si="12852"/>
        <v>0</v>
      </c>
      <c r="J7222" s="1" t="str">
        <f t="shared" si="12852"/>
        <v>0</v>
      </c>
      <c r="K7222" s="1" t="str">
        <f t="shared" si="12852"/>
        <v>0</v>
      </c>
      <c r="L7222" s="1" t="str">
        <f t="shared" si="12852"/>
        <v>0</v>
      </c>
      <c r="M7222" s="1" t="str">
        <f t="shared" si="12852"/>
        <v>0</v>
      </c>
      <c r="N7222" s="1" t="str">
        <f t="shared" si="12852"/>
        <v>0</v>
      </c>
      <c r="O7222" s="1" t="str">
        <f t="shared" si="12852"/>
        <v>0</v>
      </c>
      <c r="P7222" s="1" t="str">
        <f t="shared" si="12852"/>
        <v>0</v>
      </c>
      <c r="Q7222" s="1" t="str">
        <f t="shared" si="12800"/>
        <v>0.0070</v>
      </c>
      <c r="R7222" s="1" t="s">
        <v>25</v>
      </c>
      <c r="T7222" s="1" t="str">
        <f t="shared" si="12801"/>
        <v>0</v>
      </c>
      <c r="U7222" s="1" t="str">
        <f t="shared" ref="U7222:U7285" si="12853">"0.0070"</f>
        <v>0.0070</v>
      </c>
    </row>
    <row r="7223" s="1" customFormat="1" spans="1:21">
      <c r="A7223" s="1" t="str">
        <f>"4601992322899"</f>
        <v>4601992322899</v>
      </c>
      <c r="B7223" s="1" t="s">
        <v>7246</v>
      </c>
      <c r="C7223" s="1" t="s">
        <v>24</v>
      </c>
      <c r="D7223" s="1" t="str">
        <f t="shared" si="12798"/>
        <v>2021</v>
      </c>
      <c r="E7223" s="1" t="str">
        <f t="shared" ref="E7223:P7223" si="12854">"0"</f>
        <v>0</v>
      </c>
      <c r="F7223" s="1" t="str">
        <f t="shared" si="12854"/>
        <v>0</v>
      </c>
      <c r="G7223" s="1" t="str">
        <f t="shared" si="12854"/>
        <v>0</v>
      </c>
      <c r="H7223" s="1" t="str">
        <f t="shared" si="12854"/>
        <v>0</v>
      </c>
      <c r="I7223" s="1" t="str">
        <f t="shared" si="12854"/>
        <v>0</v>
      </c>
      <c r="J7223" s="1" t="str">
        <f t="shared" si="12854"/>
        <v>0</v>
      </c>
      <c r="K7223" s="1" t="str">
        <f t="shared" si="12854"/>
        <v>0</v>
      </c>
      <c r="L7223" s="1" t="str">
        <f t="shared" si="12854"/>
        <v>0</v>
      </c>
      <c r="M7223" s="1" t="str">
        <f t="shared" si="12854"/>
        <v>0</v>
      </c>
      <c r="N7223" s="1" t="str">
        <f t="shared" si="12854"/>
        <v>0</v>
      </c>
      <c r="O7223" s="1" t="str">
        <f t="shared" si="12854"/>
        <v>0</v>
      </c>
      <c r="P7223" s="1" t="str">
        <f t="shared" si="12854"/>
        <v>0</v>
      </c>
      <c r="Q7223" s="1" t="str">
        <f t="shared" si="12800"/>
        <v>0.0070</v>
      </c>
      <c r="R7223" s="1" t="s">
        <v>25</v>
      </c>
      <c r="T7223" s="1" t="str">
        <f t="shared" si="12801"/>
        <v>0</v>
      </c>
      <c r="U7223" s="1" t="str">
        <f t="shared" si="12853"/>
        <v>0.0070</v>
      </c>
    </row>
    <row r="7224" s="1" customFormat="1" spans="1:21">
      <c r="A7224" s="1" t="str">
        <f>"4601992322995"</f>
        <v>4601992322995</v>
      </c>
      <c r="B7224" s="1" t="s">
        <v>7247</v>
      </c>
      <c r="C7224" s="1" t="s">
        <v>24</v>
      </c>
      <c r="D7224" s="1" t="str">
        <f t="shared" si="12798"/>
        <v>2021</v>
      </c>
      <c r="E7224" s="1" t="str">
        <f t="shared" ref="E7224:P7224" si="12855">"0"</f>
        <v>0</v>
      </c>
      <c r="F7224" s="1" t="str">
        <f t="shared" si="12855"/>
        <v>0</v>
      </c>
      <c r="G7224" s="1" t="str">
        <f t="shared" si="12855"/>
        <v>0</v>
      </c>
      <c r="H7224" s="1" t="str">
        <f t="shared" si="12855"/>
        <v>0</v>
      </c>
      <c r="I7224" s="1" t="str">
        <f t="shared" si="12855"/>
        <v>0</v>
      </c>
      <c r="J7224" s="1" t="str">
        <f t="shared" si="12855"/>
        <v>0</v>
      </c>
      <c r="K7224" s="1" t="str">
        <f t="shared" si="12855"/>
        <v>0</v>
      </c>
      <c r="L7224" s="1" t="str">
        <f t="shared" si="12855"/>
        <v>0</v>
      </c>
      <c r="M7224" s="1" t="str">
        <f t="shared" si="12855"/>
        <v>0</v>
      </c>
      <c r="N7224" s="1" t="str">
        <f t="shared" si="12855"/>
        <v>0</v>
      </c>
      <c r="O7224" s="1" t="str">
        <f t="shared" si="12855"/>
        <v>0</v>
      </c>
      <c r="P7224" s="1" t="str">
        <f t="shared" si="12855"/>
        <v>0</v>
      </c>
      <c r="Q7224" s="1" t="str">
        <f t="shared" si="12800"/>
        <v>0.0070</v>
      </c>
      <c r="R7224" s="1" t="s">
        <v>25</v>
      </c>
      <c r="T7224" s="1" t="str">
        <f t="shared" si="12801"/>
        <v>0</v>
      </c>
      <c r="U7224" s="1" t="str">
        <f t="shared" si="12853"/>
        <v>0.0070</v>
      </c>
    </row>
    <row r="7225" s="1" customFormat="1" spans="1:21">
      <c r="A7225" s="1" t="str">
        <f>"4601992323101"</f>
        <v>4601992323101</v>
      </c>
      <c r="B7225" s="1" t="s">
        <v>7248</v>
      </c>
      <c r="C7225" s="1" t="s">
        <v>24</v>
      </c>
      <c r="D7225" s="1" t="str">
        <f t="shared" si="12798"/>
        <v>2021</v>
      </c>
      <c r="E7225" s="1" t="str">
        <f t="shared" ref="E7225:P7225" si="12856">"0"</f>
        <v>0</v>
      </c>
      <c r="F7225" s="1" t="str">
        <f t="shared" si="12856"/>
        <v>0</v>
      </c>
      <c r="G7225" s="1" t="str">
        <f t="shared" si="12856"/>
        <v>0</v>
      </c>
      <c r="H7225" s="1" t="str">
        <f t="shared" si="12856"/>
        <v>0</v>
      </c>
      <c r="I7225" s="1" t="str">
        <f t="shared" si="12856"/>
        <v>0</v>
      </c>
      <c r="J7225" s="1" t="str">
        <f t="shared" si="12856"/>
        <v>0</v>
      </c>
      <c r="K7225" s="1" t="str">
        <f t="shared" si="12856"/>
        <v>0</v>
      </c>
      <c r="L7225" s="1" t="str">
        <f t="shared" si="12856"/>
        <v>0</v>
      </c>
      <c r="M7225" s="1" t="str">
        <f t="shared" si="12856"/>
        <v>0</v>
      </c>
      <c r="N7225" s="1" t="str">
        <f t="shared" si="12856"/>
        <v>0</v>
      </c>
      <c r="O7225" s="1" t="str">
        <f t="shared" si="12856"/>
        <v>0</v>
      </c>
      <c r="P7225" s="1" t="str">
        <f t="shared" si="12856"/>
        <v>0</v>
      </c>
      <c r="Q7225" s="1" t="str">
        <f t="shared" si="12800"/>
        <v>0.0070</v>
      </c>
      <c r="R7225" s="1" t="s">
        <v>25</v>
      </c>
      <c r="T7225" s="1" t="str">
        <f t="shared" si="12801"/>
        <v>0</v>
      </c>
      <c r="U7225" s="1" t="str">
        <f t="shared" si="12853"/>
        <v>0.0070</v>
      </c>
    </row>
    <row r="7226" s="1" customFormat="1" spans="1:21">
      <c r="A7226" s="1" t="str">
        <f>"4601992323048"</f>
        <v>4601992323048</v>
      </c>
      <c r="B7226" s="1" t="s">
        <v>7249</v>
      </c>
      <c r="C7226" s="1" t="s">
        <v>24</v>
      </c>
      <c r="D7226" s="1" t="str">
        <f t="shared" si="12798"/>
        <v>2021</v>
      </c>
      <c r="E7226" s="1" t="str">
        <f t="shared" ref="E7226:P7226" si="12857">"0"</f>
        <v>0</v>
      </c>
      <c r="F7226" s="1" t="str">
        <f t="shared" si="12857"/>
        <v>0</v>
      </c>
      <c r="G7226" s="1" t="str">
        <f t="shared" si="12857"/>
        <v>0</v>
      </c>
      <c r="H7226" s="1" t="str">
        <f t="shared" si="12857"/>
        <v>0</v>
      </c>
      <c r="I7226" s="1" t="str">
        <f t="shared" si="12857"/>
        <v>0</v>
      </c>
      <c r="J7226" s="1" t="str">
        <f t="shared" si="12857"/>
        <v>0</v>
      </c>
      <c r="K7226" s="1" t="str">
        <f t="shared" si="12857"/>
        <v>0</v>
      </c>
      <c r="L7226" s="1" t="str">
        <f t="shared" si="12857"/>
        <v>0</v>
      </c>
      <c r="M7226" s="1" t="str">
        <f t="shared" si="12857"/>
        <v>0</v>
      </c>
      <c r="N7226" s="1" t="str">
        <f t="shared" si="12857"/>
        <v>0</v>
      </c>
      <c r="O7226" s="1" t="str">
        <f t="shared" si="12857"/>
        <v>0</v>
      </c>
      <c r="P7226" s="1" t="str">
        <f t="shared" si="12857"/>
        <v>0</v>
      </c>
      <c r="Q7226" s="1" t="str">
        <f t="shared" si="12800"/>
        <v>0.0070</v>
      </c>
      <c r="R7226" s="1" t="s">
        <v>25</v>
      </c>
      <c r="T7226" s="1" t="str">
        <f t="shared" si="12801"/>
        <v>0</v>
      </c>
      <c r="U7226" s="1" t="str">
        <f t="shared" si="12853"/>
        <v>0.0070</v>
      </c>
    </row>
    <row r="7227" s="1" customFormat="1" spans="1:21">
      <c r="A7227" s="1" t="str">
        <f>"4601992323102"</f>
        <v>4601992323102</v>
      </c>
      <c r="B7227" s="1" t="s">
        <v>7250</v>
      </c>
      <c r="C7227" s="1" t="s">
        <v>24</v>
      </c>
      <c r="D7227" s="1" t="str">
        <f t="shared" si="12798"/>
        <v>2021</v>
      </c>
      <c r="E7227" s="1" t="str">
        <f t="shared" ref="E7227:P7227" si="12858">"0"</f>
        <v>0</v>
      </c>
      <c r="F7227" s="1" t="str">
        <f t="shared" si="12858"/>
        <v>0</v>
      </c>
      <c r="G7227" s="1" t="str">
        <f t="shared" si="12858"/>
        <v>0</v>
      </c>
      <c r="H7227" s="1" t="str">
        <f t="shared" si="12858"/>
        <v>0</v>
      </c>
      <c r="I7227" s="1" t="str">
        <f t="shared" si="12858"/>
        <v>0</v>
      </c>
      <c r="J7227" s="1" t="str">
        <f t="shared" si="12858"/>
        <v>0</v>
      </c>
      <c r="K7227" s="1" t="str">
        <f t="shared" si="12858"/>
        <v>0</v>
      </c>
      <c r="L7227" s="1" t="str">
        <f t="shared" si="12858"/>
        <v>0</v>
      </c>
      <c r="M7227" s="1" t="str">
        <f t="shared" si="12858"/>
        <v>0</v>
      </c>
      <c r="N7227" s="1" t="str">
        <f t="shared" si="12858"/>
        <v>0</v>
      </c>
      <c r="O7227" s="1" t="str">
        <f t="shared" si="12858"/>
        <v>0</v>
      </c>
      <c r="P7227" s="1" t="str">
        <f t="shared" si="12858"/>
        <v>0</v>
      </c>
      <c r="Q7227" s="1" t="str">
        <f t="shared" si="12800"/>
        <v>0.0070</v>
      </c>
      <c r="R7227" s="1" t="s">
        <v>25</v>
      </c>
      <c r="T7227" s="1" t="str">
        <f t="shared" si="12801"/>
        <v>0</v>
      </c>
      <c r="U7227" s="1" t="str">
        <f t="shared" si="12853"/>
        <v>0.0070</v>
      </c>
    </row>
    <row r="7228" s="1" customFormat="1" spans="1:21">
      <c r="A7228" s="1" t="str">
        <f>"4601992323109"</f>
        <v>4601992323109</v>
      </c>
      <c r="B7228" s="1" t="s">
        <v>7251</v>
      </c>
      <c r="C7228" s="1" t="s">
        <v>24</v>
      </c>
      <c r="D7228" s="1" t="str">
        <f t="shared" si="12798"/>
        <v>2021</v>
      </c>
      <c r="E7228" s="1" t="str">
        <f t="shared" ref="E7228:P7228" si="12859">"0"</f>
        <v>0</v>
      </c>
      <c r="F7228" s="1" t="str">
        <f t="shared" si="12859"/>
        <v>0</v>
      </c>
      <c r="G7228" s="1" t="str">
        <f t="shared" si="12859"/>
        <v>0</v>
      </c>
      <c r="H7228" s="1" t="str">
        <f t="shared" si="12859"/>
        <v>0</v>
      </c>
      <c r="I7228" s="1" t="str">
        <f t="shared" si="12859"/>
        <v>0</v>
      </c>
      <c r="J7228" s="1" t="str">
        <f t="shared" si="12859"/>
        <v>0</v>
      </c>
      <c r="K7228" s="1" t="str">
        <f t="shared" si="12859"/>
        <v>0</v>
      </c>
      <c r="L7228" s="1" t="str">
        <f t="shared" si="12859"/>
        <v>0</v>
      </c>
      <c r="M7228" s="1" t="str">
        <f t="shared" si="12859"/>
        <v>0</v>
      </c>
      <c r="N7228" s="1" t="str">
        <f t="shared" si="12859"/>
        <v>0</v>
      </c>
      <c r="O7228" s="1" t="str">
        <f t="shared" si="12859"/>
        <v>0</v>
      </c>
      <c r="P7228" s="1" t="str">
        <f t="shared" si="12859"/>
        <v>0</v>
      </c>
      <c r="Q7228" s="1" t="str">
        <f t="shared" si="12800"/>
        <v>0.0070</v>
      </c>
      <c r="R7228" s="1" t="s">
        <v>25</v>
      </c>
      <c r="T7228" s="1" t="str">
        <f t="shared" si="12801"/>
        <v>0</v>
      </c>
      <c r="U7228" s="1" t="str">
        <f t="shared" si="12853"/>
        <v>0.0070</v>
      </c>
    </row>
    <row r="7229" s="1" customFormat="1" spans="1:21">
      <c r="A7229" s="1" t="str">
        <f>"4601992323144"</f>
        <v>4601992323144</v>
      </c>
      <c r="B7229" s="1" t="s">
        <v>7252</v>
      </c>
      <c r="C7229" s="1" t="s">
        <v>24</v>
      </c>
      <c r="D7229" s="1" t="str">
        <f t="shared" si="12798"/>
        <v>2021</v>
      </c>
      <c r="E7229" s="1" t="str">
        <f t="shared" ref="E7229:P7229" si="12860">"0"</f>
        <v>0</v>
      </c>
      <c r="F7229" s="1" t="str">
        <f t="shared" si="12860"/>
        <v>0</v>
      </c>
      <c r="G7229" s="1" t="str">
        <f t="shared" si="12860"/>
        <v>0</v>
      </c>
      <c r="H7229" s="1" t="str">
        <f t="shared" si="12860"/>
        <v>0</v>
      </c>
      <c r="I7229" s="1" t="str">
        <f t="shared" si="12860"/>
        <v>0</v>
      </c>
      <c r="J7229" s="1" t="str">
        <f t="shared" si="12860"/>
        <v>0</v>
      </c>
      <c r="K7229" s="1" t="str">
        <f t="shared" si="12860"/>
        <v>0</v>
      </c>
      <c r="L7229" s="1" t="str">
        <f t="shared" si="12860"/>
        <v>0</v>
      </c>
      <c r="M7229" s="1" t="str">
        <f t="shared" si="12860"/>
        <v>0</v>
      </c>
      <c r="N7229" s="1" t="str">
        <f t="shared" si="12860"/>
        <v>0</v>
      </c>
      <c r="O7229" s="1" t="str">
        <f t="shared" si="12860"/>
        <v>0</v>
      </c>
      <c r="P7229" s="1" t="str">
        <f t="shared" si="12860"/>
        <v>0</v>
      </c>
      <c r="Q7229" s="1" t="str">
        <f t="shared" si="12800"/>
        <v>0.0070</v>
      </c>
      <c r="R7229" s="1" t="s">
        <v>25</v>
      </c>
      <c r="T7229" s="1" t="str">
        <f t="shared" si="12801"/>
        <v>0</v>
      </c>
      <c r="U7229" s="1" t="str">
        <f t="shared" si="12853"/>
        <v>0.0070</v>
      </c>
    </row>
    <row r="7230" s="1" customFormat="1" spans="1:21">
      <c r="A7230" s="1" t="str">
        <f>"4601992323142"</f>
        <v>4601992323142</v>
      </c>
      <c r="B7230" s="1" t="s">
        <v>7253</v>
      </c>
      <c r="C7230" s="1" t="s">
        <v>24</v>
      </c>
      <c r="D7230" s="1" t="str">
        <f t="shared" si="12798"/>
        <v>2021</v>
      </c>
      <c r="E7230" s="1" t="str">
        <f t="shared" ref="E7230:P7230" si="12861">"0"</f>
        <v>0</v>
      </c>
      <c r="F7230" s="1" t="str">
        <f t="shared" si="12861"/>
        <v>0</v>
      </c>
      <c r="G7230" s="1" t="str">
        <f t="shared" si="12861"/>
        <v>0</v>
      </c>
      <c r="H7230" s="1" t="str">
        <f t="shared" si="12861"/>
        <v>0</v>
      </c>
      <c r="I7230" s="1" t="str">
        <f t="shared" si="12861"/>
        <v>0</v>
      </c>
      <c r="J7230" s="1" t="str">
        <f t="shared" si="12861"/>
        <v>0</v>
      </c>
      <c r="K7230" s="1" t="str">
        <f t="shared" si="12861"/>
        <v>0</v>
      </c>
      <c r="L7230" s="1" t="str">
        <f t="shared" si="12861"/>
        <v>0</v>
      </c>
      <c r="M7230" s="1" t="str">
        <f t="shared" si="12861"/>
        <v>0</v>
      </c>
      <c r="N7230" s="1" t="str">
        <f t="shared" si="12861"/>
        <v>0</v>
      </c>
      <c r="O7230" s="1" t="str">
        <f t="shared" si="12861"/>
        <v>0</v>
      </c>
      <c r="P7230" s="1" t="str">
        <f t="shared" si="12861"/>
        <v>0</v>
      </c>
      <c r="Q7230" s="1" t="str">
        <f t="shared" si="12800"/>
        <v>0.0070</v>
      </c>
      <c r="R7230" s="1" t="s">
        <v>25</v>
      </c>
      <c r="T7230" s="1" t="str">
        <f t="shared" si="12801"/>
        <v>0</v>
      </c>
      <c r="U7230" s="1" t="str">
        <f t="shared" si="12853"/>
        <v>0.0070</v>
      </c>
    </row>
    <row r="7231" s="1" customFormat="1" spans="1:21">
      <c r="A7231" s="1" t="str">
        <f>"4601992323230"</f>
        <v>4601992323230</v>
      </c>
      <c r="B7231" s="1" t="s">
        <v>7254</v>
      </c>
      <c r="C7231" s="1" t="s">
        <v>24</v>
      </c>
      <c r="D7231" s="1" t="str">
        <f t="shared" si="12798"/>
        <v>2021</v>
      </c>
      <c r="E7231" s="1" t="str">
        <f t="shared" ref="E7231:P7231" si="12862">"0"</f>
        <v>0</v>
      </c>
      <c r="F7231" s="1" t="str">
        <f t="shared" si="12862"/>
        <v>0</v>
      </c>
      <c r="G7231" s="1" t="str">
        <f t="shared" si="12862"/>
        <v>0</v>
      </c>
      <c r="H7231" s="1" t="str">
        <f t="shared" si="12862"/>
        <v>0</v>
      </c>
      <c r="I7231" s="1" t="str">
        <f t="shared" si="12862"/>
        <v>0</v>
      </c>
      <c r="J7231" s="1" t="str">
        <f t="shared" si="12862"/>
        <v>0</v>
      </c>
      <c r="K7231" s="1" t="str">
        <f t="shared" si="12862"/>
        <v>0</v>
      </c>
      <c r="L7231" s="1" t="str">
        <f t="shared" si="12862"/>
        <v>0</v>
      </c>
      <c r="M7231" s="1" t="str">
        <f t="shared" si="12862"/>
        <v>0</v>
      </c>
      <c r="N7231" s="1" t="str">
        <f t="shared" si="12862"/>
        <v>0</v>
      </c>
      <c r="O7231" s="1" t="str">
        <f t="shared" si="12862"/>
        <v>0</v>
      </c>
      <c r="P7231" s="1" t="str">
        <f t="shared" si="12862"/>
        <v>0</v>
      </c>
      <c r="Q7231" s="1" t="str">
        <f t="shared" si="12800"/>
        <v>0.0070</v>
      </c>
      <c r="R7231" s="1" t="s">
        <v>25</v>
      </c>
      <c r="T7231" s="1" t="str">
        <f t="shared" si="12801"/>
        <v>0</v>
      </c>
      <c r="U7231" s="1" t="str">
        <f t="shared" si="12853"/>
        <v>0.0070</v>
      </c>
    </row>
    <row r="7232" s="1" customFormat="1" spans="1:21">
      <c r="A7232" s="1" t="str">
        <f>"4601992323367"</f>
        <v>4601992323367</v>
      </c>
      <c r="B7232" s="1" t="s">
        <v>7255</v>
      </c>
      <c r="C7232" s="1" t="s">
        <v>24</v>
      </c>
      <c r="D7232" s="1" t="str">
        <f t="shared" si="12798"/>
        <v>2021</v>
      </c>
      <c r="E7232" s="1" t="str">
        <f t="shared" ref="E7232:P7232" si="12863">"0"</f>
        <v>0</v>
      </c>
      <c r="F7232" s="1" t="str">
        <f t="shared" si="12863"/>
        <v>0</v>
      </c>
      <c r="G7232" s="1" t="str">
        <f t="shared" si="12863"/>
        <v>0</v>
      </c>
      <c r="H7232" s="1" t="str">
        <f t="shared" si="12863"/>
        <v>0</v>
      </c>
      <c r="I7232" s="1" t="str">
        <f t="shared" si="12863"/>
        <v>0</v>
      </c>
      <c r="J7232" s="1" t="str">
        <f t="shared" si="12863"/>
        <v>0</v>
      </c>
      <c r="K7232" s="1" t="str">
        <f t="shared" si="12863"/>
        <v>0</v>
      </c>
      <c r="L7232" s="1" t="str">
        <f t="shared" si="12863"/>
        <v>0</v>
      </c>
      <c r="M7232" s="1" t="str">
        <f t="shared" si="12863"/>
        <v>0</v>
      </c>
      <c r="N7232" s="1" t="str">
        <f t="shared" si="12863"/>
        <v>0</v>
      </c>
      <c r="O7232" s="1" t="str">
        <f t="shared" si="12863"/>
        <v>0</v>
      </c>
      <c r="P7232" s="1" t="str">
        <f t="shared" si="12863"/>
        <v>0</v>
      </c>
      <c r="Q7232" s="1" t="str">
        <f t="shared" si="12800"/>
        <v>0.0070</v>
      </c>
      <c r="R7232" s="1" t="s">
        <v>25</v>
      </c>
      <c r="T7232" s="1" t="str">
        <f t="shared" si="12801"/>
        <v>0</v>
      </c>
      <c r="U7232" s="1" t="str">
        <f t="shared" si="12853"/>
        <v>0.0070</v>
      </c>
    </row>
    <row r="7233" s="1" customFormat="1" spans="1:21">
      <c r="A7233" s="1" t="str">
        <f>"4601992323342"</f>
        <v>4601992323342</v>
      </c>
      <c r="B7233" s="1" t="s">
        <v>7256</v>
      </c>
      <c r="C7233" s="1" t="s">
        <v>24</v>
      </c>
      <c r="D7233" s="1" t="str">
        <f t="shared" si="12798"/>
        <v>2021</v>
      </c>
      <c r="E7233" s="1" t="str">
        <f t="shared" ref="E7233:P7233" si="12864">"0"</f>
        <v>0</v>
      </c>
      <c r="F7233" s="1" t="str">
        <f t="shared" si="12864"/>
        <v>0</v>
      </c>
      <c r="G7233" s="1" t="str">
        <f t="shared" si="12864"/>
        <v>0</v>
      </c>
      <c r="H7233" s="1" t="str">
        <f t="shared" si="12864"/>
        <v>0</v>
      </c>
      <c r="I7233" s="1" t="str">
        <f t="shared" si="12864"/>
        <v>0</v>
      </c>
      <c r="J7233" s="1" t="str">
        <f t="shared" si="12864"/>
        <v>0</v>
      </c>
      <c r="K7233" s="1" t="str">
        <f t="shared" si="12864"/>
        <v>0</v>
      </c>
      <c r="L7233" s="1" t="str">
        <f t="shared" si="12864"/>
        <v>0</v>
      </c>
      <c r="M7233" s="1" t="str">
        <f t="shared" si="12864"/>
        <v>0</v>
      </c>
      <c r="N7233" s="1" t="str">
        <f t="shared" si="12864"/>
        <v>0</v>
      </c>
      <c r="O7233" s="1" t="str">
        <f t="shared" si="12864"/>
        <v>0</v>
      </c>
      <c r="P7233" s="1" t="str">
        <f t="shared" si="12864"/>
        <v>0</v>
      </c>
      <c r="Q7233" s="1" t="str">
        <f t="shared" si="12800"/>
        <v>0.0070</v>
      </c>
      <c r="R7233" s="1" t="s">
        <v>25</v>
      </c>
      <c r="T7233" s="1" t="str">
        <f t="shared" si="12801"/>
        <v>0</v>
      </c>
      <c r="U7233" s="1" t="str">
        <f t="shared" si="12853"/>
        <v>0.0070</v>
      </c>
    </row>
    <row r="7234" s="1" customFormat="1" spans="1:21">
      <c r="A7234" s="1" t="str">
        <f>"4601992323399"</f>
        <v>4601992323399</v>
      </c>
      <c r="B7234" s="1" t="s">
        <v>7257</v>
      </c>
      <c r="C7234" s="1" t="s">
        <v>24</v>
      </c>
      <c r="D7234" s="1" t="str">
        <f t="shared" si="12798"/>
        <v>2021</v>
      </c>
      <c r="E7234" s="1" t="str">
        <f t="shared" ref="E7234:P7234" si="12865">"0"</f>
        <v>0</v>
      </c>
      <c r="F7234" s="1" t="str">
        <f t="shared" si="12865"/>
        <v>0</v>
      </c>
      <c r="G7234" s="1" t="str">
        <f t="shared" si="12865"/>
        <v>0</v>
      </c>
      <c r="H7234" s="1" t="str">
        <f t="shared" si="12865"/>
        <v>0</v>
      </c>
      <c r="I7234" s="1" t="str">
        <f t="shared" si="12865"/>
        <v>0</v>
      </c>
      <c r="J7234" s="1" t="str">
        <f t="shared" si="12865"/>
        <v>0</v>
      </c>
      <c r="K7234" s="1" t="str">
        <f t="shared" si="12865"/>
        <v>0</v>
      </c>
      <c r="L7234" s="1" t="str">
        <f t="shared" si="12865"/>
        <v>0</v>
      </c>
      <c r="M7234" s="1" t="str">
        <f t="shared" si="12865"/>
        <v>0</v>
      </c>
      <c r="N7234" s="1" t="str">
        <f t="shared" si="12865"/>
        <v>0</v>
      </c>
      <c r="O7234" s="1" t="str">
        <f t="shared" si="12865"/>
        <v>0</v>
      </c>
      <c r="P7234" s="1" t="str">
        <f t="shared" si="12865"/>
        <v>0</v>
      </c>
      <c r="Q7234" s="1" t="str">
        <f t="shared" si="12800"/>
        <v>0.0070</v>
      </c>
      <c r="R7234" s="1" t="s">
        <v>25</v>
      </c>
      <c r="T7234" s="1" t="str">
        <f t="shared" si="12801"/>
        <v>0</v>
      </c>
      <c r="U7234" s="1" t="str">
        <f t="shared" si="12853"/>
        <v>0.0070</v>
      </c>
    </row>
    <row r="7235" s="1" customFormat="1" spans="1:21">
      <c r="A7235" s="1" t="str">
        <f>"4601992323656"</f>
        <v>4601992323656</v>
      </c>
      <c r="B7235" s="1" t="s">
        <v>7258</v>
      </c>
      <c r="C7235" s="1" t="s">
        <v>24</v>
      </c>
      <c r="D7235" s="1" t="str">
        <f t="shared" ref="D7235:D7298" si="12866">"2021"</f>
        <v>2021</v>
      </c>
      <c r="E7235" s="1" t="str">
        <f t="shared" ref="E7235:P7235" si="12867">"0"</f>
        <v>0</v>
      </c>
      <c r="F7235" s="1" t="str">
        <f t="shared" si="12867"/>
        <v>0</v>
      </c>
      <c r="G7235" s="1" t="str">
        <f t="shared" si="12867"/>
        <v>0</v>
      </c>
      <c r="H7235" s="1" t="str">
        <f t="shared" si="12867"/>
        <v>0</v>
      </c>
      <c r="I7235" s="1" t="str">
        <f t="shared" si="12867"/>
        <v>0</v>
      </c>
      <c r="J7235" s="1" t="str">
        <f t="shared" si="12867"/>
        <v>0</v>
      </c>
      <c r="K7235" s="1" t="str">
        <f t="shared" si="12867"/>
        <v>0</v>
      </c>
      <c r="L7235" s="1" t="str">
        <f t="shared" si="12867"/>
        <v>0</v>
      </c>
      <c r="M7235" s="1" t="str">
        <f t="shared" si="12867"/>
        <v>0</v>
      </c>
      <c r="N7235" s="1" t="str">
        <f t="shared" si="12867"/>
        <v>0</v>
      </c>
      <c r="O7235" s="1" t="str">
        <f t="shared" si="12867"/>
        <v>0</v>
      </c>
      <c r="P7235" s="1" t="str">
        <f t="shared" si="12867"/>
        <v>0</v>
      </c>
      <c r="Q7235" s="1" t="str">
        <f t="shared" ref="Q7235:Q7298" si="12868">"0.0070"</f>
        <v>0.0070</v>
      </c>
      <c r="R7235" s="1" t="s">
        <v>25</v>
      </c>
      <c r="T7235" s="1" t="str">
        <f t="shared" ref="T7235:T7298" si="12869">"0"</f>
        <v>0</v>
      </c>
      <c r="U7235" s="1" t="str">
        <f t="shared" si="12853"/>
        <v>0.0070</v>
      </c>
    </row>
    <row r="7236" s="1" customFormat="1" spans="1:21">
      <c r="A7236" s="1" t="str">
        <f>"4601992323677"</f>
        <v>4601992323677</v>
      </c>
      <c r="B7236" s="1" t="s">
        <v>7259</v>
      </c>
      <c r="C7236" s="1" t="s">
        <v>24</v>
      </c>
      <c r="D7236" s="1" t="str">
        <f t="shared" si="12866"/>
        <v>2021</v>
      </c>
      <c r="E7236" s="1" t="str">
        <f t="shared" ref="E7236:P7236" si="12870">"0"</f>
        <v>0</v>
      </c>
      <c r="F7236" s="1" t="str">
        <f t="shared" si="12870"/>
        <v>0</v>
      </c>
      <c r="G7236" s="1" t="str">
        <f t="shared" si="12870"/>
        <v>0</v>
      </c>
      <c r="H7236" s="1" t="str">
        <f t="shared" si="12870"/>
        <v>0</v>
      </c>
      <c r="I7236" s="1" t="str">
        <f t="shared" si="12870"/>
        <v>0</v>
      </c>
      <c r="J7236" s="1" t="str">
        <f t="shared" si="12870"/>
        <v>0</v>
      </c>
      <c r="K7236" s="1" t="str">
        <f t="shared" si="12870"/>
        <v>0</v>
      </c>
      <c r="L7236" s="1" t="str">
        <f t="shared" si="12870"/>
        <v>0</v>
      </c>
      <c r="M7236" s="1" t="str">
        <f t="shared" si="12870"/>
        <v>0</v>
      </c>
      <c r="N7236" s="1" t="str">
        <f t="shared" si="12870"/>
        <v>0</v>
      </c>
      <c r="O7236" s="1" t="str">
        <f t="shared" si="12870"/>
        <v>0</v>
      </c>
      <c r="P7236" s="1" t="str">
        <f t="shared" si="12870"/>
        <v>0</v>
      </c>
      <c r="Q7236" s="1" t="str">
        <f t="shared" si="12868"/>
        <v>0.0070</v>
      </c>
      <c r="R7236" s="1" t="s">
        <v>25</v>
      </c>
      <c r="T7236" s="1" t="str">
        <f t="shared" si="12869"/>
        <v>0</v>
      </c>
      <c r="U7236" s="1" t="str">
        <f t="shared" si="12853"/>
        <v>0.0070</v>
      </c>
    </row>
    <row r="7237" s="1" customFormat="1" spans="1:21">
      <c r="A7237" s="1" t="str">
        <f>"4601992323759"</f>
        <v>4601992323759</v>
      </c>
      <c r="B7237" s="1" t="s">
        <v>7260</v>
      </c>
      <c r="C7237" s="1" t="s">
        <v>24</v>
      </c>
      <c r="D7237" s="1" t="str">
        <f t="shared" si="12866"/>
        <v>2021</v>
      </c>
      <c r="E7237" s="1" t="str">
        <f t="shared" ref="E7237:P7237" si="12871">"0"</f>
        <v>0</v>
      </c>
      <c r="F7237" s="1" t="str">
        <f t="shared" si="12871"/>
        <v>0</v>
      </c>
      <c r="G7237" s="1" t="str">
        <f t="shared" si="12871"/>
        <v>0</v>
      </c>
      <c r="H7237" s="1" t="str">
        <f t="shared" si="12871"/>
        <v>0</v>
      </c>
      <c r="I7237" s="1" t="str">
        <f t="shared" si="12871"/>
        <v>0</v>
      </c>
      <c r="J7237" s="1" t="str">
        <f t="shared" si="12871"/>
        <v>0</v>
      </c>
      <c r="K7237" s="1" t="str">
        <f t="shared" si="12871"/>
        <v>0</v>
      </c>
      <c r="L7237" s="1" t="str">
        <f t="shared" si="12871"/>
        <v>0</v>
      </c>
      <c r="M7237" s="1" t="str">
        <f t="shared" si="12871"/>
        <v>0</v>
      </c>
      <c r="N7237" s="1" t="str">
        <f t="shared" si="12871"/>
        <v>0</v>
      </c>
      <c r="O7237" s="1" t="str">
        <f t="shared" si="12871"/>
        <v>0</v>
      </c>
      <c r="P7237" s="1" t="str">
        <f t="shared" si="12871"/>
        <v>0</v>
      </c>
      <c r="Q7237" s="1" t="str">
        <f t="shared" si="12868"/>
        <v>0.0070</v>
      </c>
      <c r="R7237" s="1" t="s">
        <v>25</v>
      </c>
      <c r="T7237" s="1" t="str">
        <f t="shared" si="12869"/>
        <v>0</v>
      </c>
      <c r="U7237" s="1" t="str">
        <f t="shared" si="12853"/>
        <v>0.0070</v>
      </c>
    </row>
    <row r="7238" s="1" customFormat="1" spans="1:21">
      <c r="A7238" s="1" t="str">
        <f>"4601992323937"</f>
        <v>4601992323937</v>
      </c>
      <c r="B7238" s="1" t="s">
        <v>7261</v>
      </c>
      <c r="C7238" s="1" t="s">
        <v>24</v>
      </c>
      <c r="D7238" s="1" t="str">
        <f t="shared" si="12866"/>
        <v>2021</v>
      </c>
      <c r="E7238" s="1" t="str">
        <f t="shared" ref="E7238:P7238" si="12872">"0"</f>
        <v>0</v>
      </c>
      <c r="F7238" s="1" t="str">
        <f t="shared" si="12872"/>
        <v>0</v>
      </c>
      <c r="G7238" s="1" t="str">
        <f t="shared" si="12872"/>
        <v>0</v>
      </c>
      <c r="H7238" s="1" t="str">
        <f t="shared" si="12872"/>
        <v>0</v>
      </c>
      <c r="I7238" s="1" t="str">
        <f t="shared" si="12872"/>
        <v>0</v>
      </c>
      <c r="J7238" s="1" t="str">
        <f t="shared" si="12872"/>
        <v>0</v>
      </c>
      <c r="K7238" s="1" t="str">
        <f t="shared" si="12872"/>
        <v>0</v>
      </c>
      <c r="L7238" s="1" t="str">
        <f t="shared" si="12872"/>
        <v>0</v>
      </c>
      <c r="M7238" s="1" t="str">
        <f t="shared" si="12872"/>
        <v>0</v>
      </c>
      <c r="N7238" s="1" t="str">
        <f t="shared" si="12872"/>
        <v>0</v>
      </c>
      <c r="O7238" s="1" t="str">
        <f t="shared" si="12872"/>
        <v>0</v>
      </c>
      <c r="P7238" s="1" t="str">
        <f t="shared" si="12872"/>
        <v>0</v>
      </c>
      <c r="Q7238" s="1" t="str">
        <f t="shared" si="12868"/>
        <v>0.0070</v>
      </c>
      <c r="R7238" s="1" t="s">
        <v>25</v>
      </c>
      <c r="T7238" s="1" t="str">
        <f t="shared" si="12869"/>
        <v>0</v>
      </c>
      <c r="U7238" s="1" t="str">
        <f t="shared" si="12853"/>
        <v>0.0070</v>
      </c>
    </row>
    <row r="7239" s="1" customFormat="1" spans="1:21">
      <c r="A7239" s="1" t="str">
        <f>"4601992323943"</f>
        <v>4601992323943</v>
      </c>
      <c r="B7239" s="1" t="s">
        <v>7262</v>
      </c>
      <c r="C7239" s="1" t="s">
        <v>24</v>
      </c>
      <c r="D7239" s="1" t="str">
        <f t="shared" si="12866"/>
        <v>2021</v>
      </c>
      <c r="E7239" s="1" t="str">
        <f t="shared" ref="E7239:P7239" si="12873">"0"</f>
        <v>0</v>
      </c>
      <c r="F7239" s="1" t="str">
        <f t="shared" si="12873"/>
        <v>0</v>
      </c>
      <c r="G7239" s="1" t="str">
        <f t="shared" si="12873"/>
        <v>0</v>
      </c>
      <c r="H7239" s="1" t="str">
        <f t="shared" si="12873"/>
        <v>0</v>
      </c>
      <c r="I7239" s="1" t="str">
        <f t="shared" si="12873"/>
        <v>0</v>
      </c>
      <c r="J7239" s="1" t="str">
        <f t="shared" si="12873"/>
        <v>0</v>
      </c>
      <c r="K7239" s="1" t="str">
        <f t="shared" si="12873"/>
        <v>0</v>
      </c>
      <c r="L7239" s="1" t="str">
        <f t="shared" si="12873"/>
        <v>0</v>
      </c>
      <c r="M7239" s="1" t="str">
        <f t="shared" si="12873"/>
        <v>0</v>
      </c>
      <c r="N7239" s="1" t="str">
        <f t="shared" si="12873"/>
        <v>0</v>
      </c>
      <c r="O7239" s="1" t="str">
        <f t="shared" si="12873"/>
        <v>0</v>
      </c>
      <c r="P7239" s="1" t="str">
        <f t="shared" si="12873"/>
        <v>0</v>
      </c>
      <c r="Q7239" s="1" t="str">
        <f t="shared" si="12868"/>
        <v>0.0070</v>
      </c>
      <c r="R7239" s="1" t="s">
        <v>25</v>
      </c>
      <c r="T7239" s="1" t="str">
        <f t="shared" si="12869"/>
        <v>0</v>
      </c>
      <c r="U7239" s="1" t="str">
        <f t="shared" si="12853"/>
        <v>0.0070</v>
      </c>
    </row>
    <row r="7240" s="1" customFormat="1" spans="1:21">
      <c r="A7240" s="1" t="str">
        <f>"4601992323978"</f>
        <v>4601992323978</v>
      </c>
      <c r="B7240" s="1" t="s">
        <v>7263</v>
      </c>
      <c r="C7240" s="1" t="s">
        <v>24</v>
      </c>
      <c r="D7240" s="1" t="str">
        <f t="shared" si="12866"/>
        <v>2021</v>
      </c>
      <c r="E7240" s="1" t="str">
        <f t="shared" ref="E7240:P7240" si="12874">"0"</f>
        <v>0</v>
      </c>
      <c r="F7240" s="1" t="str">
        <f t="shared" si="12874"/>
        <v>0</v>
      </c>
      <c r="G7240" s="1" t="str">
        <f t="shared" si="12874"/>
        <v>0</v>
      </c>
      <c r="H7240" s="1" t="str">
        <f t="shared" si="12874"/>
        <v>0</v>
      </c>
      <c r="I7240" s="1" t="str">
        <f t="shared" si="12874"/>
        <v>0</v>
      </c>
      <c r="J7240" s="1" t="str">
        <f t="shared" si="12874"/>
        <v>0</v>
      </c>
      <c r="K7240" s="1" t="str">
        <f t="shared" si="12874"/>
        <v>0</v>
      </c>
      <c r="L7240" s="1" t="str">
        <f t="shared" si="12874"/>
        <v>0</v>
      </c>
      <c r="M7240" s="1" t="str">
        <f t="shared" si="12874"/>
        <v>0</v>
      </c>
      <c r="N7240" s="1" t="str">
        <f t="shared" si="12874"/>
        <v>0</v>
      </c>
      <c r="O7240" s="1" t="str">
        <f t="shared" si="12874"/>
        <v>0</v>
      </c>
      <c r="P7240" s="1" t="str">
        <f t="shared" si="12874"/>
        <v>0</v>
      </c>
      <c r="Q7240" s="1" t="str">
        <f t="shared" si="12868"/>
        <v>0.0070</v>
      </c>
      <c r="R7240" s="1" t="s">
        <v>25</v>
      </c>
      <c r="T7240" s="1" t="str">
        <f t="shared" si="12869"/>
        <v>0</v>
      </c>
      <c r="U7240" s="1" t="str">
        <f t="shared" si="12853"/>
        <v>0.0070</v>
      </c>
    </row>
    <row r="7241" s="1" customFormat="1" spans="1:21">
      <c r="A7241" s="1" t="str">
        <f>"4601992324016"</f>
        <v>4601992324016</v>
      </c>
      <c r="B7241" s="1" t="s">
        <v>7264</v>
      </c>
      <c r="C7241" s="1" t="s">
        <v>24</v>
      </c>
      <c r="D7241" s="1" t="str">
        <f t="shared" si="12866"/>
        <v>2021</v>
      </c>
      <c r="E7241" s="1" t="str">
        <f t="shared" ref="E7241:P7241" si="12875">"0"</f>
        <v>0</v>
      </c>
      <c r="F7241" s="1" t="str">
        <f t="shared" si="12875"/>
        <v>0</v>
      </c>
      <c r="G7241" s="1" t="str">
        <f t="shared" si="12875"/>
        <v>0</v>
      </c>
      <c r="H7241" s="1" t="str">
        <f t="shared" si="12875"/>
        <v>0</v>
      </c>
      <c r="I7241" s="1" t="str">
        <f t="shared" si="12875"/>
        <v>0</v>
      </c>
      <c r="J7241" s="1" t="str">
        <f t="shared" si="12875"/>
        <v>0</v>
      </c>
      <c r="K7241" s="1" t="str">
        <f t="shared" si="12875"/>
        <v>0</v>
      </c>
      <c r="L7241" s="1" t="str">
        <f t="shared" si="12875"/>
        <v>0</v>
      </c>
      <c r="M7241" s="1" t="str">
        <f t="shared" si="12875"/>
        <v>0</v>
      </c>
      <c r="N7241" s="1" t="str">
        <f t="shared" si="12875"/>
        <v>0</v>
      </c>
      <c r="O7241" s="1" t="str">
        <f t="shared" si="12875"/>
        <v>0</v>
      </c>
      <c r="P7241" s="1" t="str">
        <f t="shared" si="12875"/>
        <v>0</v>
      </c>
      <c r="Q7241" s="1" t="str">
        <f t="shared" si="12868"/>
        <v>0.0070</v>
      </c>
      <c r="R7241" s="1" t="s">
        <v>25</v>
      </c>
      <c r="T7241" s="1" t="str">
        <f t="shared" si="12869"/>
        <v>0</v>
      </c>
      <c r="U7241" s="1" t="str">
        <f t="shared" si="12853"/>
        <v>0.0070</v>
      </c>
    </row>
    <row r="7242" s="1" customFormat="1" spans="1:21">
      <c r="A7242" s="1" t="str">
        <f>"4601992324043"</f>
        <v>4601992324043</v>
      </c>
      <c r="B7242" s="1" t="s">
        <v>7265</v>
      </c>
      <c r="C7242" s="1" t="s">
        <v>24</v>
      </c>
      <c r="D7242" s="1" t="str">
        <f t="shared" si="12866"/>
        <v>2021</v>
      </c>
      <c r="E7242" s="1" t="str">
        <f t="shared" ref="E7242:P7242" si="12876">"0"</f>
        <v>0</v>
      </c>
      <c r="F7242" s="1" t="str">
        <f t="shared" si="12876"/>
        <v>0</v>
      </c>
      <c r="G7242" s="1" t="str">
        <f t="shared" si="12876"/>
        <v>0</v>
      </c>
      <c r="H7242" s="1" t="str">
        <f t="shared" si="12876"/>
        <v>0</v>
      </c>
      <c r="I7242" s="1" t="str">
        <f t="shared" si="12876"/>
        <v>0</v>
      </c>
      <c r="J7242" s="1" t="str">
        <f t="shared" si="12876"/>
        <v>0</v>
      </c>
      <c r="K7242" s="1" t="str">
        <f t="shared" si="12876"/>
        <v>0</v>
      </c>
      <c r="L7242" s="1" t="str">
        <f t="shared" si="12876"/>
        <v>0</v>
      </c>
      <c r="M7242" s="1" t="str">
        <f t="shared" si="12876"/>
        <v>0</v>
      </c>
      <c r="N7242" s="1" t="str">
        <f t="shared" si="12876"/>
        <v>0</v>
      </c>
      <c r="O7242" s="1" t="str">
        <f t="shared" si="12876"/>
        <v>0</v>
      </c>
      <c r="P7242" s="1" t="str">
        <f t="shared" si="12876"/>
        <v>0</v>
      </c>
      <c r="Q7242" s="1" t="str">
        <f t="shared" si="12868"/>
        <v>0.0070</v>
      </c>
      <c r="R7242" s="1" t="s">
        <v>25</v>
      </c>
      <c r="T7242" s="1" t="str">
        <f t="shared" si="12869"/>
        <v>0</v>
      </c>
      <c r="U7242" s="1" t="str">
        <f t="shared" si="12853"/>
        <v>0.0070</v>
      </c>
    </row>
    <row r="7243" s="1" customFormat="1" spans="1:21">
      <c r="A7243" s="1" t="str">
        <f>"4601992324268"</f>
        <v>4601992324268</v>
      </c>
      <c r="B7243" s="1" t="s">
        <v>7266</v>
      </c>
      <c r="C7243" s="1" t="s">
        <v>24</v>
      </c>
      <c r="D7243" s="1" t="str">
        <f t="shared" si="12866"/>
        <v>2021</v>
      </c>
      <c r="E7243" s="1" t="str">
        <f t="shared" ref="E7243:P7243" si="12877">"0"</f>
        <v>0</v>
      </c>
      <c r="F7243" s="1" t="str">
        <f t="shared" si="12877"/>
        <v>0</v>
      </c>
      <c r="G7243" s="1" t="str">
        <f t="shared" si="12877"/>
        <v>0</v>
      </c>
      <c r="H7243" s="1" t="str">
        <f t="shared" si="12877"/>
        <v>0</v>
      </c>
      <c r="I7243" s="1" t="str">
        <f t="shared" si="12877"/>
        <v>0</v>
      </c>
      <c r="J7243" s="1" t="str">
        <f t="shared" si="12877"/>
        <v>0</v>
      </c>
      <c r="K7243" s="1" t="str">
        <f t="shared" si="12877"/>
        <v>0</v>
      </c>
      <c r="L7243" s="1" t="str">
        <f t="shared" si="12877"/>
        <v>0</v>
      </c>
      <c r="M7243" s="1" t="str">
        <f t="shared" si="12877"/>
        <v>0</v>
      </c>
      <c r="N7243" s="1" t="str">
        <f t="shared" si="12877"/>
        <v>0</v>
      </c>
      <c r="O7243" s="1" t="str">
        <f t="shared" si="12877"/>
        <v>0</v>
      </c>
      <c r="P7243" s="1" t="str">
        <f t="shared" si="12877"/>
        <v>0</v>
      </c>
      <c r="Q7243" s="1" t="str">
        <f t="shared" si="12868"/>
        <v>0.0070</v>
      </c>
      <c r="R7243" s="1" t="s">
        <v>25</v>
      </c>
      <c r="T7243" s="1" t="str">
        <f t="shared" si="12869"/>
        <v>0</v>
      </c>
      <c r="U7243" s="1" t="str">
        <f t="shared" si="12853"/>
        <v>0.0070</v>
      </c>
    </row>
    <row r="7244" s="1" customFormat="1" spans="1:21">
      <c r="A7244" s="1" t="str">
        <f>"4601992324305"</f>
        <v>4601992324305</v>
      </c>
      <c r="B7244" s="1" t="s">
        <v>7267</v>
      </c>
      <c r="C7244" s="1" t="s">
        <v>24</v>
      </c>
      <c r="D7244" s="1" t="str">
        <f t="shared" si="12866"/>
        <v>2021</v>
      </c>
      <c r="E7244" s="1" t="str">
        <f t="shared" ref="E7244:P7244" si="12878">"0"</f>
        <v>0</v>
      </c>
      <c r="F7244" s="1" t="str">
        <f t="shared" si="12878"/>
        <v>0</v>
      </c>
      <c r="G7244" s="1" t="str">
        <f t="shared" si="12878"/>
        <v>0</v>
      </c>
      <c r="H7244" s="1" t="str">
        <f t="shared" si="12878"/>
        <v>0</v>
      </c>
      <c r="I7244" s="1" t="str">
        <f t="shared" si="12878"/>
        <v>0</v>
      </c>
      <c r="J7244" s="1" t="str">
        <f t="shared" si="12878"/>
        <v>0</v>
      </c>
      <c r="K7244" s="1" t="str">
        <f t="shared" si="12878"/>
        <v>0</v>
      </c>
      <c r="L7244" s="1" t="str">
        <f t="shared" si="12878"/>
        <v>0</v>
      </c>
      <c r="M7244" s="1" t="str">
        <f t="shared" si="12878"/>
        <v>0</v>
      </c>
      <c r="N7244" s="1" t="str">
        <f t="shared" si="12878"/>
        <v>0</v>
      </c>
      <c r="O7244" s="1" t="str">
        <f t="shared" si="12878"/>
        <v>0</v>
      </c>
      <c r="P7244" s="1" t="str">
        <f t="shared" si="12878"/>
        <v>0</v>
      </c>
      <c r="Q7244" s="1" t="str">
        <f t="shared" si="12868"/>
        <v>0.0070</v>
      </c>
      <c r="R7244" s="1" t="s">
        <v>25</v>
      </c>
      <c r="T7244" s="1" t="str">
        <f t="shared" si="12869"/>
        <v>0</v>
      </c>
      <c r="U7244" s="1" t="str">
        <f t="shared" si="12853"/>
        <v>0.0070</v>
      </c>
    </row>
    <row r="7245" s="1" customFormat="1" spans="1:21">
      <c r="A7245" s="1" t="str">
        <f>"4601992324366"</f>
        <v>4601992324366</v>
      </c>
      <c r="B7245" s="1" t="s">
        <v>7268</v>
      </c>
      <c r="C7245" s="1" t="s">
        <v>24</v>
      </c>
      <c r="D7245" s="1" t="str">
        <f t="shared" si="12866"/>
        <v>2021</v>
      </c>
      <c r="E7245" s="1" t="str">
        <f t="shared" ref="E7245:P7245" si="12879">"0"</f>
        <v>0</v>
      </c>
      <c r="F7245" s="1" t="str">
        <f t="shared" si="12879"/>
        <v>0</v>
      </c>
      <c r="G7245" s="1" t="str">
        <f t="shared" si="12879"/>
        <v>0</v>
      </c>
      <c r="H7245" s="1" t="str">
        <f t="shared" si="12879"/>
        <v>0</v>
      </c>
      <c r="I7245" s="1" t="str">
        <f t="shared" si="12879"/>
        <v>0</v>
      </c>
      <c r="J7245" s="1" t="str">
        <f t="shared" si="12879"/>
        <v>0</v>
      </c>
      <c r="K7245" s="1" t="str">
        <f t="shared" si="12879"/>
        <v>0</v>
      </c>
      <c r="L7245" s="1" t="str">
        <f t="shared" si="12879"/>
        <v>0</v>
      </c>
      <c r="M7245" s="1" t="str">
        <f t="shared" si="12879"/>
        <v>0</v>
      </c>
      <c r="N7245" s="1" t="str">
        <f t="shared" si="12879"/>
        <v>0</v>
      </c>
      <c r="O7245" s="1" t="str">
        <f t="shared" si="12879"/>
        <v>0</v>
      </c>
      <c r="P7245" s="1" t="str">
        <f t="shared" si="12879"/>
        <v>0</v>
      </c>
      <c r="Q7245" s="1" t="str">
        <f t="shared" si="12868"/>
        <v>0.0070</v>
      </c>
      <c r="R7245" s="1" t="s">
        <v>25</v>
      </c>
      <c r="T7245" s="1" t="str">
        <f t="shared" si="12869"/>
        <v>0</v>
      </c>
      <c r="U7245" s="1" t="str">
        <f t="shared" si="12853"/>
        <v>0.0070</v>
      </c>
    </row>
    <row r="7246" s="1" customFormat="1" spans="1:21">
      <c r="A7246" s="1" t="str">
        <f>"4601992324377"</f>
        <v>4601992324377</v>
      </c>
      <c r="B7246" s="1" t="s">
        <v>7269</v>
      </c>
      <c r="C7246" s="1" t="s">
        <v>24</v>
      </c>
      <c r="D7246" s="1" t="str">
        <f t="shared" si="12866"/>
        <v>2021</v>
      </c>
      <c r="E7246" s="1" t="str">
        <f t="shared" ref="E7246:P7246" si="12880">"0"</f>
        <v>0</v>
      </c>
      <c r="F7246" s="1" t="str">
        <f t="shared" si="12880"/>
        <v>0</v>
      </c>
      <c r="G7246" s="1" t="str">
        <f t="shared" si="12880"/>
        <v>0</v>
      </c>
      <c r="H7246" s="1" t="str">
        <f t="shared" si="12880"/>
        <v>0</v>
      </c>
      <c r="I7246" s="1" t="str">
        <f t="shared" si="12880"/>
        <v>0</v>
      </c>
      <c r="J7246" s="1" t="str">
        <f t="shared" si="12880"/>
        <v>0</v>
      </c>
      <c r="K7246" s="1" t="str">
        <f t="shared" si="12880"/>
        <v>0</v>
      </c>
      <c r="L7246" s="1" t="str">
        <f t="shared" si="12880"/>
        <v>0</v>
      </c>
      <c r="M7246" s="1" t="str">
        <f t="shared" si="12880"/>
        <v>0</v>
      </c>
      <c r="N7246" s="1" t="str">
        <f t="shared" si="12880"/>
        <v>0</v>
      </c>
      <c r="O7246" s="1" t="str">
        <f t="shared" si="12880"/>
        <v>0</v>
      </c>
      <c r="P7246" s="1" t="str">
        <f t="shared" si="12880"/>
        <v>0</v>
      </c>
      <c r="Q7246" s="1" t="str">
        <f t="shared" si="12868"/>
        <v>0.0070</v>
      </c>
      <c r="R7246" s="1" t="s">
        <v>25</v>
      </c>
      <c r="T7246" s="1" t="str">
        <f t="shared" si="12869"/>
        <v>0</v>
      </c>
      <c r="U7246" s="1" t="str">
        <f t="shared" si="12853"/>
        <v>0.0070</v>
      </c>
    </row>
    <row r="7247" s="1" customFormat="1" spans="1:21">
      <c r="A7247" s="1" t="str">
        <f>"4601992324428"</f>
        <v>4601992324428</v>
      </c>
      <c r="B7247" s="1" t="s">
        <v>7270</v>
      </c>
      <c r="C7247" s="1" t="s">
        <v>24</v>
      </c>
      <c r="D7247" s="1" t="str">
        <f t="shared" si="12866"/>
        <v>2021</v>
      </c>
      <c r="E7247" s="1" t="str">
        <f t="shared" ref="E7247:P7247" si="12881">"0"</f>
        <v>0</v>
      </c>
      <c r="F7247" s="1" t="str">
        <f t="shared" si="12881"/>
        <v>0</v>
      </c>
      <c r="G7247" s="1" t="str">
        <f t="shared" si="12881"/>
        <v>0</v>
      </c>
      <c r="H7247" s="1" t="str">
        <f t="shared" si="12881"/>
        <v>0</v>
      </c>
      <c r="I7247" s="1" t="str">
        <f t="shared" si="12881"/>
        <v>0</v>
      </c>
      <c r="J7247" s="1" t="str">
        <f t="shared" si="12881"/>
        <v>0</v>
      </c>
      <c r="K7247" s="1" t="str">
        <f t="shared" si="12881"/>
        <v>0</v>
      </c>
      <c r="L7247" s="1" t="str">
        <f t="shared" si="12881"/>
        <v>0</v>
      </c>
      <c r="M7247" s="1" t="str">
        <f t="shared" si="12881"/>
        <v>0</v>
      </c>
      <c r="N7247" s="1" t="str">
        <f t="shared" si="12881"/>
        <v>0</v>
      </c>
      <c r="O7247" s="1" t="str">
        <f t="shared" si="12881"/>
        <v>0</v>
      </c>
      <c r="P7247" s="1" t="str">
        <f t="shared" si="12881"/>
        <v>0</v>
      </c>
      <c r="Q7247" s="1" t="str">
        <f t="shared" si="12868"/>
        <v>0.0070</v>
      </c>
      <c r="R7247" s="1" t="s">
        <v>25</v>
      </c>
      <c r="T7247" s="1" t="str">
        <f t="shared" si="12869"/>
        <v>0</v>
      </c>
      <c r="U7247" s="1" t="str">
        <f t="shared" si="12853"/>
        <v>0.0070</v>
      </c>
    </row>
    <row r="7248" s="1" customFormat="1" spans="1:21">
      <c r="A7248" s="1" t="str">
        <f>"4601992324507"</f>
        <v>4601992324507</v>
      </c>
      <c r="B7248" s="1" t="s">
        <v>7271</v>
      </c>
      <c r="C7248" s="1" t="s">
        <v>24</v>
      </c>
      <c r="D7248" s="1" t="str">
        <f t="shared" si="12866"/>
        <v>2021</v>
      </c>
      <c r="E7248" s="1" t="str">
        <f t="shared" ref="E7248:P7248" si="12882">"0"</f>
        <v>0</v>
      </c>
      <c r="F7248" s="1" t="str">
        <f t="shared" si="12882"/>
        <v>0</v>
      </c>
      <c r="G7248" s="1" t="str">
        <f t="shared" si="12882"/>
        <v>0</v>
      </c>
      <c r="H7248" s="1" t="str">
        <f t="shared" si="12882"/>
        <v>0</v>
      </c>
      <c r="I7248" s="1" t="str">
        <f t="shared" si="12882"/>
        <v>0</v>
      </c>
      <c r="J7248" s="1" t="str">
        <f t="shared" si="12882"/>
        <v>0</v>
      </c>
      <c r="K7248" s="1" t="str">
        <f t="shared" si="12882"/>
        <v>0</v>
      </c>
      <c r="L7248" s="1" t="str">
        <f t="shared" si="12882"/>
        <v>0</v>
      </c>
      <c r="M7248" s="1" t="str">
        <f t="shared" si="12882"/>
        <v>0</v>
      </c>
      <c r="N7248" s="1" t="str">
        <f t="shared" si="12882"/>
        <v>0</v>
      </c>
      <c r="O7248" s="1" t="str">
        <f t="shared" si="12882"/>
        <v>0</v>
      </c>
      <c r="P7248" s="1" t="str">
        <f t="shared" si="12882"/>
        <v>0</v>
      </c>
      <c r="Q7248" s="1" t="str">
        <f t="shared" si="12868"/>
        <v>0.0070</v>
      </c>
      <c r="R7248" s="1" t="s">
        <v>25</v>
      </c>
      <c r="T7248" s="1" t="str">
        <f t="shared" si="12869"/>
        <v>0</v>
      </c>
      <c r="U7248" s="1" t="str">
        <f t="shared" si="12853"/>
        <v>0.0070</v>
      </c>
    </row>
    <row r="7249" s="1" customFormat="1" spans="1:21">
      <c r="A7249" s="1" t="str">
        <f>"4601992324508"</f>
        <v>4601992324508</v>
      </c>
      <c r="B7249" s="1" t="s">
        <v>7272</v>
      </c>
      <c r="C7249" s="1" t="s">
        <v>24</v>
      </c>
      <c r="D7249" s="1" t="str">
        <f t="shared" si="12866"/>
        <v>2021</v>
      </c>
      <c r="E7249" s="1" t="str">
        <f t="shared" ref="E7249:P7249" si="12883">"0"</f>
        <v>0</v>
      </c>
      <c r="F7249" s="1" t="str">
        <f t="shared" si="12883"/>
        <v>0</v>
      </c>
      <c r="G7249" s="1" t="str">
        <f t="shared" si="12883"/>
        <v>0</v>
      </c>
      <c r="H7249" s="1" t="str">
        <f t="shared" si="12883"/>
        <v>0</v>
      </c>
      <c r="I7249" s="1" t="str">
        <f t="shared" si="12883"/>
        <v>0</v>
      </c>
      <c r="J7249" s="1" t="str">
        <f t="shared" si="12883"/>
        <v>0</v>
      </c>
      <c r="K7249" s="1" t="str">
        <f t="shared" si="12883"/>
        <v>0</v>
      </c>
      <c r="L7249" s="1" t="str">
        <f t="shared" si="12883"/>
        <v>0</v>
      </c>
      <c r="M7249" s="1" t="str">
        <f t="shared" si="12883"/>
        <v>0</v>
      </c>
      <c r="N7249" s="1" t="str">
        <f t="shared" si="12883"/>
        <v>0</v>
      </c>
      <c r="O7249" s="1" t="str">
        <f t="shared" si="12883"/>
        <v>0</v>
      </c>
      <c r="P7249" s="1" t="str">
        <f t="shared" si="12883"/>
        <v>0</v>
      </c>
      <c r="Q7249" s="1" t="str">
        <f t="shared" si="12868"/>
        <v>0.0070</v>
      </c>
      <c r="R7249" s="1" t="s">
        <v>25</v>
      </c>
      <c r="T7249" s="1" t="str">
        <f t="shared" si="12869"/>
        <v>0</v>
      </c>
      <c r="U7249" s="1" t="str">
        <f t="shared" si="12853"/>
        <v>0.0070</v>
      </c>
    </row>
    <row r="7250" s="1" customFormat="1" spans="1:21">
      <c r="A7250" s="1" t="str">
        <f>"4601992324619"</f>
        <v>4601992324619</v>
      </c>
      <c r="B7250" s="1" t="s">
        <v>7273</v>
      </c>
      <c r="C7250" s="1" t="s">
        <v>24</v>
      </c>
      <c r="D7250" s="1" t="str">
        <f t="shared" si="12866"/>
        <v>2021</v>
      </c>
      <c r="E7250" s="1" t="str">
        <f t="shared" ref="E7250:P7250" si="12884">"0"</f>
        <v>0</v>
      </c>
      <c r="F7250" s="1" t="str">
        <f t="shared" si="12884"/>
        <v>0</v>
      </c>
      <c r="G7250" s="1" t="str">
        <f t="shared" si="12884"/>
        <v>0</v>
      </c>
      <c r="H7250" s="1" t="str">
        <f t="shared" si="12884"/>
        <v>0</v>
      </c>
      <c r="I7250" s="1" t="str">
        <f t="shared" si="12884"/>
        <v>0</v>
      </c>
      <c r="J7250" s="1" t="str">
        <f t="shared" si="12884"/>
        <v>0</v>
      </c>
      <c r="K7250" s="1" t="str">
        <f t="shared" si="12884"/>
        <v>0</v>
      </c>
      <c r="L7250" s="1" t="str">
        <f t="shared" si="12884"/>
        <v>0</v>
      </c>
      <c r="M7250" s="1" t="str">
        <f t="shared" si="12884"/>
        <v>0</v>
      </c>
      <c r="N7250" s="1" t="str">
        <f t="shared" si="12884"/>
        <v>0</v>
      </c>
      <c r="O7250" s="1" t="str">
        <f t="shared" si="12884"/>
        <v>0</v>
      </c>
      <c r="P7250" s="1" t="str">
        <f t="shared" si="12884"/>
        <v>0</v>
      </c>
      <c r="Q7250" s="1" t="str">
        <f t="shared" si="12868"/>
        <v>0.0070</v>
      </c>
      <c r="R7250" s="1" t="s">
        <v>25</v>
      </c>
      <c r="T7250" s="1" t="str">
        <f t="shared" si="12869"/>
        <v>0</v>
      </c>
      <c r="U7250" s="1" t="str">
        <f t="shared" si="12853"/>
        <v>0.0070</v>
      </c>
    </row>
    <row r="7251" s="1" customFormat="1" spans="1:21">
      <c r="A7251" s="1" t="str">
        <f>"4601992324727"</f>
        <v>4601992324727</v>
      </c>
      <c r="B7251" s="1" t="s">
        <v>7274</v>
      </c>
      <c r="C7251" s="1" t="s">
        <v>24</v>
      </c>
      <c r="D7251" s="1" t="str">
        <f t="shared" si="12866"/>
        <v>2021</v>
      </c>
      <c r="E7251" s="1" t="str">
        <f t="shared" ref="E7251:P7251" si="12885">"0"</f>
        <v>0</v>
      </c>
      <c r="F7251" s="1" t="str">
        <f t="shared" si="12885"/>
        <v>0</v>
      </c>
      <c r="G7251" s="1" t="str">
        <f t="shared" si="12885"/>
        <v>0</v>
      </c>
      <c r="H7251" s="1" t="str">
        <f t="shared" si="12885"/>
        <v>0</v>
      </c>
      <c r="I7251" s="1" t="str">
        <f t="shared" si="12885"/>
        <v>0</v>
      </c>
      <c r="J7251" s="1" t="str">
        <f t="shared" si="12885"/>
        <v>0</v>
      </c>
      <c r="K7251" s="1" t="str">
        <f t="shared" si="12885"/>
        <v>0</v>
      </c>
      <c r="L7251" s="1" t="str">
        <f t="shared" si="12885"/>
        <v>0</v>
      </c>
      <c r="M7251" s="1" t="str">
        <f t="shared" si="12885"/>
        <v>0</v>
      </c>
      <c r="N7251" s="1" t="str">
        <f t="shared" si="12885"/>
        <v>0</v>
      </c>
      <c r="O7251" s="1" t="str">
        <f t="shared" si="12885"/>
        <v>0</v>
      </c>
      <c r="P7251" s="1" t="str">
        <f t="shared" si="12885"/>
        <v>0</v>
      </c>
      <c r="Q7251" s="1" t="str">
        <f t="shared" si="12868"/>
        <v>0.0070</v>
      </c>
      <c r="R7251" s="1" t="s">
        <v>25</v>
      </c>
      <c r="T7251" s="1" t="str">
        <f t="shared" si="12869"/>
        <v>0</v>
      </c>
      <c r="U7251" s="1" t="str">
        <f t="shared" si="12853"/>
        <v>0.0070</v>
      </c>
    </row>
    <row r="7252" s="1" customFormat="1" spans="1:21">
      <c r="A7252" s="1" t="str">
        <f>"4601992324815"</f>
        <v>4601992324815</v>
      </c>
      <c r="B7252" s="1" t="s">
        <v>7275</v>
      </c>
      <c r="C7252" s="1" t="s">
        <v>24</v>
      </c>
      <c r="D7252" s="1" t="str">
        <f t="shared" si="12866"/>
        <v>2021</v>
      </c>
      <c r="E7252" s="1" t="str">
        <f t="shared" ref="E7252:P7252" si="12886">"0"</f>
        <v>0</v>
      </c>
      <c r="F7252" s="1" t="str">
        <f t="shared" si="12886"/>
        <v>0</v>
      </c>
      <c r="G7252" s="1" t="str">
        <f t="shared" si="12886"/>
        <v>0</v>
      </c>
      <c r="H7252" s="1" t="str">
        <f t="shared" si="12886"/>
        <v>0</v>
      </c>
      <c r="I7252" s="1" t="str">
        <f t="shared" si="12886"/>
        <v>0</v>
      </c>
      <c r="J7252" s="1" t="str">
        <f t="shared" si="12886"/>
        <v>0</v>
      </c>
      <c r="K7252" s="1" t="str">
        <f t="shared" si="12886"/>
        <v>0</v>
      </c>
      <c r="L7252" s="1" t="str">
        <f t="shared" si="12886"/>
        <v>0</v>
      </c>
      <c r="M7252" s="1" t="str">
        <f t="shared" si="12886"/>
        <v>0</v>
      </c>
      <c r="N7252" s="1" t="str">
        <f t="shared" si="12886"/>
        <v>0</v>
      </c>
      <c r="O7252" s="1" t="str">
        <f t="shared" si="12886"/>
        <v>0</v>
      </c>
      <c r="P7252" s="1" t="str">
        <f t="shared" si="12886"/>
        <v>0</v>
      </c>
      <c r="Q7252" s="1" t="str">
        <f t="shared" si="12868"/>
        <v>0.0070</v>
      </c>
      <c r="R7252" s="1" t="s">
        <v>25</v>
      </c>
      <c r="T7252" s="1" t="str">
        <f t="shared" si="12869"/>
        <v>0</v>
      </c>
      <c r="U7252" s="1" t="str">
        <f t="shared" si="12853"/>
        <v>0.0070</v>
      </c>
    </row>
    <row r="7253" s="1" customFormat="1" spans="1:21">
      <c r="A7253" s="1" t="str">
        <f>"4601992324833"</f>
        <v>4601992324833</v>
      </c>
      <c r="B7253" s="1" t="s">
        <v>7276</v>
      </c>
      <c r="C7253" s="1" t="s">
        <v>24</v>
      </c>
      <c r="D7253" s="1" t="str">
        <f t="shared" si="12866"/>
        <v>2021</v>
      </c>
      <c r="E7253" s="1" t="str">
        <f t="shared" ref="E7253:P7253" si="12887">"0"</f>
        <v>0</v>
      </c>
      <c r="F7253" s="1" t="str">
        <f t="shared" si="12887"/>
        <v>0</v>
      </c>
      <c r="G7253" s="1" t="str">
        <f t="shared" si="12887"/>
        <v>0</v>
      </c>
      <c r="H7253" s="1" t="str">
        <f t="shared" si="12887"/>
        <v>0</v>
      </c>
      <c r="I7253" s="1" t="str">
        <f t="shared" si="12887"/>
        <v>0</v>
      </c>
      <c r="J7253" s="1" t="str">
        <f t="shared" si="12887"/>
        <v>0</v>
      </c>
      <c r="K7253" s="1" t="str">
        <f t="shared" si="12887"/>
        <v>0</v>
      </c>
      <c r="L7253" s="1" t="str">
        <f t="shared" si="12887"/>
        <v>0</v>
      </c>
      <c r="M7253" s="1" t="str">
        <f t="shared" si="12887"/>
        <v>0</v>
      </c>
      <c r="N7253" s="1" t="str">
        <f t="shared" si="12887"/>
        <v>0</v>
      </c>
      <c r="O7253" s="1" t="str">
        <f t="shared" si="12887"/>
        <v>0</v>
      </c>
      <c r="P7253" s="1" t="str">
        <f t="shared" si="12887"/>
        <v>0</v>
      </c>
      <c r="Q7253" s="1" t="str">
        <f t="shared" si="12868"/>
        <v>0.0070</v>
      </c>
      <c r="R7253" s="1" t="s">
        <v>25</v>
      </c>
      <c r="T7253" s="1" t="str">
        <f t="shared" si="12869"/>
        <v>0</v>
      </c>
      <c r="U7253" s="1" t="str">
        <f t="shared" si="12853"/>
        <v>0.0070</v>
      </c>
    </row>
    <row r="7254" s="1" customFormat="1" spans="1:21">
      <c r="A7254" s="1" t="str">
        <f>"4601992324842"</f>
        <v>4601992324842</v>
      </c>
      <c r="B7254" s="1" t="s">
        <v>7277</v>
      </c>
      <c r="C7254" s="1" t="s">
        <v>24</v>
      </c>
      <c r="D7254" s="1" t="str">
        <f t="shared" si="12866"/>
        <v>2021</v>
      </c>
      <c r="E7254" s="1" t="str">
        <f t="shared" ref="E7254:P7254" si="12888">"0"</f>
        <v>0</v>
      </c>
      <c r="F7254" s="1" t="str">
        <f t="shared" si="12888"/>
        <v>0</v>
      </c>
      <c r="G7254" s="1" t="str">
        <f t="shared" si="12888"/>
        <v>0</v>
      </c>
      <c r="H7254" s="1" t="str">
        <f t="shared" si="12888"/>
        <v>0</v>
      </c>
      <c r="I7254" s="1" t="str">
        <f t="shared" si="12888"/>
        <v>0</v>
      </c>
      <c r="J7254" s="1" t="str">
        <f t="shared" si="12888"/>
        <v>0</v>
      </c>
      <c r="K7254" s="1" t="str">
        <f t="shared" si="12888"/>
        <v>0</v>
      </c>
      <c r="L7254" s="1" t="str">
        <f t="shared" si="12888"/>
        <v>0</v>
      </c>
      <c r="M7254" s="1" t="str">
        <f t="shared" si="12888"/>
        <v>0</v>
      </c>
      <c r="N7254" s="1" t="str">
        <f t="shared" si="12888"/>
        <v>0</v>
      </c>
      <c r="O7254" s="1" t="str">
        <f t="shared" si="12888"/>
        <v>0</v>
      </c>
      <c r="P7254" s="1" t="str">
        <f t="shared" si="12888"/>
        <v>0</v>
      </c>
      <c r="Q7254" s="1" t="str">
        <f t="shared" si="12868"/>
        <v>0.0070</v>
      </c>
      <c r="R7254" s="1" t="s">
        <v>25</v>
      </c>
      <c r="T7254" s="1" t="str">
        <f t="shared" si="12869"/>
        <v>0</v>
      </c>
      <c r="U7254" s="1" t="str">
        <f t="shared" si="12853"/>
        <v>0.0070</v>
      </c>
    </row>
    <row r="7255" s="1" customFormat="1" spans="1:21">
      <c r="A7255" s="1" t="str">
        <f>"4601992324879"</f>
        <v>4601992324879</v>
      </c>
      <c r="B7255" s="1" t="s">
        <v>7278</v>
      </c>
      <c r="C7255" s="1" t="s">
        <v>24</v>
      </c>
      <c r="D7255" s="1" t="str">
        <f t="shared" si="12866"/>
        <v>2021</v>
      </c>
      <c r="E7255" s="1" t="str">
        <f t="shared" ref="E7255:P7255" si="12889">"0"</f>
        <v>0</v>
      </c>
      <c r="F7255" s="1" t="str">
        <f t="shared" si="12889"/>
        <v>0</v>
      </c>
      <c r="G7255" s="1" t="str">
        <f t="shared" si="12889"/>
        <v>0</v>
      </c>
      <c r="H7255" s="1" t="str">
        <f t="shared" si="12889"/>
        <v>0</v>
      </c>
      <c r="I7255" s="1" t="str">
        <f t="shared" si="12889"/>
        <v>0</v>
      </c>
      <c r="J7255" s="1" t="str">
        <f t="shared" si="12889"/>
        <v>0</v>
      </c>
      <c r="K7255" s="1" t="str">
        <f t="shared" si="12889"/>
        <v>0</v>
      </c>
      <c r="L7255" s="1" t="str">
        <f t="shared" si="12889"/>
        <v>0</v>
      </c>
      <c r="M7255" s="1" t="str">
        <f t="shared" si="12889"/>
        <v>0</v>
      </c>
      <c r="N7255" s="1" t="str">
        <f t="shared" si="12889"/>
        <v>0</v>
      </c>
      <c r="O7255" s="1" t="str">
        <f t="shared" si="12889"/>
        <v>0</v>
      </c>
      <c r="P7255" s="1" t="str">
        <f t="shared" si="12889"/>
        <v>0</v>
      </c>
      <c r="Q7255" s="1" t="str">
        <f t="shared" si="12868"/>
        <v>0.0070</v>
      </c>
      <c r="R7255" s="1" t="s">
        <v>25</v>
      </c>
      <c r="T7255" s="1" t="str">
        <f t="shared" si="12869"/>
        <v>0</v>
      </c>
      <c r="U7255" s="1" t="str">
        <f t="shared" si="12853"/>
        <v>0.0070</v>
      </c>
    </row>
    <row r="7256" s="1" customFormat="1" spans="1:21">
      <c r="A7256" s="1" t="str">
        <f>"4601992325083"</f>
        <v>4601992325083</v>
      </c>
      <c r="B7256" s="1" t="s">
        <v>7279</v>
      </c>
      <c r="C7256" s="1" t="s">
        <v>24</v>
      </c>
      <c r="D7256" s="1" t="str">
        <f t="shared" si="12866"/>
        <v>2021</v>
      </c>
      <c r="E7256" s="1" t="str">
        <f t="shared" ref="E7256:P7256" si="12890">"0"</f>
        <v>0</v>
      </c>
      <c r="F7256" s="1" t="str">
        <f t="shared" si="12890"/>
        <v>0</v>
      </c>
      <c r="G7256" s="1" t="str">
        <f t="shared" si="12890"/>
        <v>0</v>
      </c>
      <c r="H7256" s="1" t="str">
        <f t="shared" si="12890"/>
        <v>0</v>
      </c>
      <c r="I7256" s="1" t="str">
        <f t="shared" si="12890"/>
        <v>0</v>
      </c>
      <c r="J7256" s="1" t="str">
        <f t="shared" si="12890"/>
        <v>0</v>
      </c>
      <c r="K7256" s="1" t="str">
        <f t="shared" si="12890"/>
        <v>0</v>
      </c>
      <c r="L7256" s="1" t="str">
        <f t="shared" si="12890"/>
        <v>0</v>
      </c>
      <c r="M7256" s="1" t="str">
        <f t="shared" si="12890"/>
        <v>0</v>
      </c>
      <c r="N7256" s="1" t="str">
        <f t="shared" si="12890"/>
        <v>0</v>
      </c>
      <c r="O7256" s="1" t="str">
        <f t="shared" si="12890"/>
        <v>0</v>
      </c>
      <c r="P7256" s="1" t="str">
        <f t="shared" si="12890"/>
        <v>0</v>
      </c>
      <c r="Q7256" s="1" t="str">
        <f t="shared" si="12868"/>
        <v>0.0070</v>
      </c>
      <c r="R7256" s="1" t="s">
        <v>25</v>
      </c>
      <c r="T7256" s="1" t="str">
        <f t="shared" si="12869"/>
        <v>0</v>
      </c>
      <c r="U7256" s="1" t="str">
        <f t="shared" si="12853"/>
        <v>0.0070</v>
      </c>
    </row>
    <row r="7257" s="1" customFormat="1" spans="1:21">
      <c r="A7257" s="1" t="str">
        <f>"4601992325088"</f>
        <v>4601992325088</v>
      </c>
      <c r="B7257" s="1" t="s">
        <v>7280</v>
      </c>
      <c r="C7257" s="1" t="s">
        <v>24</v>
      </c>
      <c r="D7257" s="1" t="str">
        <f t="shared" si="12866"/>
        <v>2021</v>
      </c>
      <c r="E7257" s="1" t="str">
        <f t="shared" ref="E7257:P7257" si="12891">"0"</f>
        <v>0</v>
      </c>
      <c r="F7257" s="1" t="str">
        <f t="shared" si="12891"/>
        <v>0</v>
      </c>
      <c r="G7257" s="1" t="str">
        <f t="shared" si="12891"/>
        <v>0</v>
      </c>
      <c r="H7257" s="1" t="str">
        <f t="shared" si="12891"/>
        <v>0</v>
      </c>
      <c r="I7257" s="1" t="str">
        <f t="shared" si="12891"/>
        <v>0</v>
      </c>
      <c r="J7257" s="1" t="str">
        <f t="shared" si="12891"/>
        <v>0</v>
      </c>
      <c r="K7257" s="1" t="str">
        <f t="shared" si="12891"/>
        <v>0</v>
      </c>
      <c r="L7257" s="1" t="str">
        <f t="shared" si="12891"/>
        <v>0</v>
      </c>
      <c r="M7257" s="1" t="str">
        <f t="shared" si="12891"/>
        <v>0</v>
      </c>
      <c r="N7257" s="1" t="str">
        <f t="shared" si="12891"/>
        <v>0</v>
      </c>
      <c r="O7257" s="1" t="str">
        <f t="shared" si="12891"/>
        <v>0</v>
      </c>
      <c r="P7257" s="1" t="str">
        <f t="shared" si="12891"/>
        <v>0</v>
      </c>
      <c r="Q7257" s="1" t="str">
        <f t="shared" si="12868"/>
        <v>0.0070</v>
      </c>
      <c r="R7257" s="1" t="s">
        <v>25</v>
      </c>
      <c r="T7257" s="1" t="str">
        <f t="shared" si="12869"/>
        <v>0</v>
      </c>
      <c r="U7257" s="1" t="str">
        <f t="shared" si="12853"/>
        <v>0.0070</v>
      </c>
    </row>
    <row r="7258" s="1" customFormat="1" spans="1:21">
      <c r="A7258" s="1" t="str">
        <f>"4601992325121"</f>
        <v>4601992325121</v>
      </c>
      <c r="B7258" s="1" t="s">
        <v>7281</v>
      </c>
      <c r="C7258" s="1" t="s">
        <v>24</v>
      </c>
      <c r="D7258" s="1" t="str">
        <f t="shared" si="12866"/>
        <v>2021</v>
      </c>
      <c r="E7258" s="1" t="str">
        <f t="shared" ref="E7258:P7258" si="12892">"0"</f>
        <v>0</v>
      </c>
      <c r="F7258" s="1" t="str">
        <f t="shared" si="12892"/>
        <v>0</v>
      </c>
      <c r="G7258" s="1" t="str">
        <f t="shared" si="12892"/>
        <v>0</v>
      </c>
      <c r="H7258" s="1" t="str">
        <f t="shared" si="12892"/>
        <v>0</v>
      </c>
      <c r="I7258" s="1" t="str">
        <f t="shared" si="12892"/>
        <v>0</v>
      </c>
      <c r="J7258" s="1" t="str">
        <f t="shared" si="12892"/>
        <v>0</v>
      </c>
      <c r="K7258" s="1" t="str">
        <f t="shared" si="12892"/>
        <v>0</v>
      </c>
      <c r="L7258" s="1" t="str">
        <f t="shared" si="12892"/>
        <v>0</v>
      </c>
      <c r="M7258" s="1" t="str">
        <f t="shared" si="12892"/>
        <v>0</v>
      </c>
      <c r="N7258" s="1" t="str">
        <f t="shared" si="12892"/>
        <v>0</v>
      </c>
      <c r="O7258" s="1" t="str">
        <f t="shared" si="12892"/>
        <v>0</v>
      </c>
      <c r="P7258" s="1" t="str">
        <f t="shared" si="12892"/>
        <v>0</v>
      </c>
      <c r="Q7258" s="1" t="str">
        <f t="shared" si="12868"/>
        <v>0.0070</v>
      </c>
      <c r="R7258" s="1" t="s">
        <v>25</v>
      </c>
      <c r="T7258" s="1" t="str">
        <f t="shared" si="12869"/>
        <v>0</v>
      </c>
      <c r="U7258" s="1" t="str">
        <f t="shared" si="12853"/>
        <v>0.0070</v>
      </c>
    </row>
    <row r="7259" s="1" customFormat="1" spans="1:21">
      <c r="A7259" s="1" t="str">
        <f>"4601992160097"</f>
        <v>4601992160097</v>
      </c>
      <c r="B7259" s="1" t="s">
        <v>7282</v>
      </c>
      <c r="C7259" s="1" t="s">
        <v>24</v>
      </c>
      <c r="D7259" s="1" t="str">
        <f t="shared" si="12866"/>
        <v>2021</v>
      </c>
      <c r="E7259" s="1" t="str">
        <f t="shared" ref="E7259:I7259" si="12893">"0"</f>
        <v>0</v>
      </c>
      <c r="F7259" s="1" t="str">
        <f t="shared" si="12893"/>
        <v>0</v>
      </c>
      <c r="G7259" s="1" t="str">
        <f t="shared" si="12893"/>
        <v>0</v>
      </c>
      <c r="H7259" s="1" t="str">
        <f t="shared" si="12893"/>
        <v>0</v>
      </c>
      <c r="I7259" s="1" t="str">
        <f t="shared" si="12893"/>
        <v>0</v>
      </c>
      <c r="J7259" s="1" t="str">
        <f>"2"</f>
        <v>2</v>
      </c>
      <c r="K7259" s="1" t="str">
        <f t="shared" ref="K7259:P7259" si="12894">"0"</f>
        <v>0</v>
      </c>
      <c r="L7259" s="1" t="str">
        <f t="shared" si="12894"/>
        <v>0</v>
      </c>
      <c r="M7259" s="1" t="str">
        <f t="shared" si="12894"/>
        <v>0</v>
      </c>
      <c r="N7259" s="1" t="str">
        <f t="shared" si="12894"/>
        <v>0</v>
      </c>
      <c r="O7259" s="1" t="str">
        <f t="shared" si="12894"/>
        <v>0</v>
      </c>
      <c r="P7259" s="1" t="str">
        <f t="shared" si="12894"/>
        <v>0</v>
      </c>
      <c r="Q7259" s="1" t="str">
        <f t="shared" si="12868"/>
        <v>0.0070</v>
      </c>
      <c r="R7259" s="1" t="s">
        <v>25</v>
      </c>
      <c r="T7259" s="1" t="str">
        <f t="shared" si="12869"/>
        <v>0</v>
      </c>
      <c r="U7259" s="1" t="str">
        <f t="shared" si="12853"/>
        <v>0.0070</v>
      </c>
    </row>
    <row r="7260" s="1" customFormat="1" spans="1:21">
      <c r="A7260" s="1" t="str">
        <f>"4601992325145"</f>
        <v>4601992325145</v>
      </c>
      <c r="B7260" s="1" t="s">
        <v>7283</v>
      </c>
      <c r="C7260" s="1" t="s">
        <v>24</v>
      </c>
      <c r="D7260" s="1" t="str">
        <f t="shared" si="12866"/>
        <v>2021</v>
      </c>
      <c r="E7260" s="1" t="str">
        <f t="shared" ref="E7260:P7260" si="12895">"0"</f>
        <v>0</v>
      </c>
      <c r="F7260" s="1" t="str">
        <f t="shared" si="12895"/>
        <v>0</v>
      </c>
      <c r="G7260" s="1" t="str">
        <f t="shared" si="12895"/>
        <v>0</v>
      </c>
      <c r="H7260" s="1" t="str">
        <f t="shared" si="12895"/>
        <v>0</v>
      </c>
      <c r="I7260" s="1" t="str">
        <f t="shared" si="12895"/>
        <v>0</v>
      </c>
      <c r="J7260" s="1" t="str">
        <f t="shared" si="12895"/>
        <v>0</v>
      </c>
      <c r="K7260" s="1" t="str">
        <f t="shared" si="12895"/>
        <v>0</v>
      </c>
      <c r="L7260" s="1" t="str">
        <f t="shared" si="12895"/>
        <v>0</v>
      </c>
      <c r="M7260" s="1" t="str">
        <f t="shared" si="12895"/>
        <v>0</v>
      </c>
      <c r="N7260" s="1" t="str">
        <f t="shared" si="12895"/>
        <v>0</v>
      </c>
      <c r="O7260" s="1" t="str">
        <f t="shared" si="12895"/>
        <v>0</v>
      </c>
      <c r="P7260" s="1" t="str">
        <f t="shared" si="12895"/>
        <v>0</v>
      </c>
      <c r="Q7260" s="1" t="str">
        <f t="shared" si="12868"/>
        <v>0.0070</v>
      </c>
      <c r="R7260" s="1" t="s">
        <v>25</v>
      </c>
      <c r="T7260" s="1" t="str">
        <f t="shared" si="12869"/>
        <v>0</v>
      </c>
      <c r="U7260" s="1" t="str">
        <f t="shared" si="12853"/>
        <v>0.0070</v>
      </c>
    </row>
    <row r="7261" s="1" customFormat="1" spans="1:21">
      <c r="A7261" s="1" t="str">
        <f>"4601992325296"</f>
        <v>4601992325296</v>
      </c>
      <c r="B7261" s="1" t="s">
        <v>7284</v>
      </c>
      <c r="C7261" s="1" t="s">
        <v>24</v>
      </c>
      <c r="D7261" s="1" t="str">
        <f t="shared" si="12866"/>
        <v>2021</v>
      </c>
      <c r="E7261" s="1" t="str">
        <f t="shared" ref="E7261:P7261" si="12896">"0"</f>
        <v>0</v>
      </c>
      <c r="F7261" s="1" t="str">
        <f t="shared" si="12896"/>
        <v>0</v>
      </c>
      <c r="G7261" s="1" t="str">
        <f t="shared" si="12896"/>
        <v>0</v>
      </c>
      <c r="H7261" s="1" t="str">
        <f t="shared" si="12896"/>
        <v>0</v>
      </c>
      <c r="I7261" s="1" t="str">
        <f t="shared" si="12896"/>
        <v>0</v>
      </c>
      <c r="J7261" s="1" t="str">
        <f t="shared" si="12896"/>
        <v>0</v>
      </c>
      <c r="K7261" s="1" t="str">
        <f t="shared" si="12896"/>
        <v>0</v>
      </c>
      <c r="L7261" s="1" t="str">
        <f t="shared" si="12896"/>
        <v>0</v>
      </c>
      <c r="M7261" s="1" t="str">
        <f t="shared" si="12896"/>
        <v>0</v>
      </c>
      <c r="N7261" s="1" t="str">
        <f t="shared" si="12896"/>
        <v>0</v>
      </c>
      <c r="O7261" s="1" t="str">
        <f t="shared" si="12896"/>
        <v>0</v>
      </c>
      <c r="P7261" s="1" t="str">
        <f t="shared" si="12896"/>
        <v>0</v>
      </c>
      <c r="Q7261" s="1" t="str">
        <f t="shared" si="12868"/>
        <v>0.0070</v>
      </c>
      <c r="R7261" s="1" t="s">
        <v>25</v>
      </c>
      <c r="T7261" s="1" t="str">
        <f t="shared" si="12869"/>
        <v>0</v>
      </c>
      <c r="U7261" s="1" t="str">
        <f t="shared" si="12853"/>
        <v>0.0070</v>
      </c>
    </row>
    <row r="7262" s="1" customFormat="1" spans="1:21">
      <c r="A7262" s="1" t="str">
        <f>"4601992325394"</f>
        <v>4601992325394</v>
      </c>
      <c r="B7262" s="1" t="s">
        <v>7285</v>
      </c>
      <c r="C7262" s="1" t="s">
        <v>24</v>
      </c>
      <c r="D7262" s="1" t="str">
        <f t="shared" si="12866"/>
        <v>2021</v>
      </c>
      <c r="E7262" s="1" t="str">
        <f t="shared" ref="E7262:P7262" si="12897">"0"</f>
        <v>0</v>
      </c>
      <c r="F7262" s="1" t="str">
        <f t="shared" si="12897"/>
        <v>0</v>
      </c>
      <c r="G7262" s="1" t="str">
        <f t="shared" si="12897"/>
        <v>0</v>
      </c>
      <c r="H7262" s="1" t="str">
        <f t="shared" si="12897"/>
        <v>0</v>
      </c>
      <c r="I7262" s="1" t="str">
        <f t="shared" si="12897"/>
        <v>0</v>
      </c>
      <c r="J7262" s="1" t="str">
        <f t="shared" si="12897"/>
        <v>0</v>
      </c>
      <c r="K7262" s="1" t="str">
        <f t="shared" si="12897"/>
        <v>0</v>
      </c>
      <c r="L7262" s="1" t="str">
        <f t="shared" si="12897"/>
        <v>0</v>
      </c>
      <c r="M7262" s="1" t="str">
        <f t="shared" si="12897"/>
        <v>0</v>
      </c>
      <c r="N7262" s="1" t="str">
        <f t="shared" si="12897"/>
        <v>0</v>
      </c>
      <c r="O7262" s="1" t="str">
        <f t="shared" si="12897"/>
        <v>0</v>
      </c>
      <c r="P7262" s="1" t="str">
        <f t="shared" si="12897"/>
        <v>0</v>
      </c>
      <c r="Q7262" s="1" t="str">
        <f t="shared" si="12868"/>
        <v>0.0070</v>
      </c>
      <c r="R7262" s="1" t="s">
        <v>25</v>
      </c>
      <c r="T7262" s="1" t="str">
        <f t="shared" si="12869"/>
        <v>0</v>
      </c>
      <c r="U7262" s="1" t="str">
        <f t="shared" si="12853"/>
        <v>0.0070</v>
      </c>
    </row>
    <row r="7263" s="1" customFormat="1" spans="1:21">
      <c r="A7263" s="1" t="str">
        <f>"4601992325519"</f>
        <v>4601992325519</v>
      </c>
      <c r="B7263" s="1" t="s">
        <v>7286</v>
      </c>
      <c r="C7263" s="1" t="s">
        <v>24</v>
      </c>
      <c r="D7263" s="1" t="str">
        <f t="shared" si="12866"/>
        <v>2021</v>
      </c>
      <c r="E7263" s="1" t="str">
        <f t="shared" ref="E7263:P7263" si="12898">"0"</f>
        <v>0</v>
      </c>
      <c r="F7263" s="1" t="str">
        <f t="shared" si="12898"/>
        <v>0</v>
      </c>
      <c r="G7263" s="1" t="str">
        <f t="shared" si="12898"/>
        <v>0</v>
      </c>
      <c r="H7263" s="1" t="str">
        <f t="shared" si="12898"/>
        <v>0</v>
      </c>
      <c r="I7263" s="1" t="str">
        <f t="shared" si="12898"/>
        <v>0</v>
      </c>
      <c r="J7263" s="1" t="str">
        <f t="shared" si="12898"/>
        <v>0</v>
      </c>
      <c r="K7263" s="1" t="str">
        <f t="shared" si="12898"/>
        <v>0</v>
      </c>
      <c r="L7263" s="1" t="str">
        <f t="shared" si="12898"/>
        <v>0</v>
      </c>
      <c r="M7263" s="1" t="str">
        <f t="shared" si="12898"/>
        <v>0</v>
      </c>
      <c r="N7263" s="1" t="str">
        <f t="shared" si="12898"/>
        <v>0</v>
      </c>
      <c r="O7263" s="1" t="str">
        <f t="shared" si="12898"/>
        <v>0</v>
      </c>
      <c r="P7263" s="1" t="str">
        <f t="shared" si="12898"/>
        <v>0</v>
      </c>
      <c r="Q7263" s="1" t="str">
        <f t="shared" si="12868"/>
        <v>0.0070</v>
      </c>
      <c r="R7263" s="1" t="s">
        <v>25</v>
      </c>
      <c r="T7263" s="1" t="str">
        <f t="shared" si="12869"/>
        <v>0</v>
      </c>
      <c r="U7263" s="1" t="str">
        <f t="shared" si="12853"/>
        <v>0.0070</v>
      </c>
    </row>
    <row r="7264" s="1" customFormat="1" spans="1:21">
      <c r="A7264" s="1" t="str">
        <f>"4601992325727"</f>
        <v>4601992325727</v>
      </c>
      <c r="B7264" s="1" t="s">
        <v>7287</v>
      </c>
      <c r="C7264" s="1" t="s">
        <v>24</v>
      </c>
      <c r="D7264" s="1" t="str">
        <f t="shared" si="12866"/>
        <v>2021</v>
      </c>
      <c r="E7264" s="1" t="str">
        <f t="shared" ref="E7264:P7264" si="12899">"0"</f>
        <v>0</v>
      </c>
      <c r="F7264" s="1" t="str">
        <f t="shared" si="12899"/>
        <v>0</v>
      </c>
      <c r="G7264" s="1" t="str">
        <f t="shared" si="12899"/>
        <v>0</v>
      </c>
      <c r="H7264" s="1" t="str">
        <f t="shared" si="12899"/>
        <v>0</v>
      </c>
      <c r="I7264" s="1" t="str">
        <f t="shared" si="12899"/>
        <v>0</v>
      </c>
      <c r="J7264" s="1" t="str">
        <f t="shared" si="12899"/>
        <v>0</v>
      </c>
      <c r="K7264" s="1" t="str">
        <f t="shared" si="12899"/>
        <v>0</v>
      </c>
      <c r="L7264" s="1" t="str">
        <f t="shared" si="12899"/>
        <v>0</v>
      </c>
      <c r="M7264" s="1" t="str">
        <f t="shared" si="12899"/>
        <v>0</v>
      </c>
      <c r="N7264" s="1" t="str">
        <f t="shared" si="12899"/>
        <v>0</v>
      </c>
      <c r="O7264" s="1" t="str">
        <f t="shared" si="12899"/>
        <v>0</v>
      </c>
      <c r="P7264" s="1" t="str">
        <f t="shared" si="12899"/>
        <v>0</v>
      </c>
      <c r="Q7264" s="1" t="str">
        <f t="shared" si="12868"/>
        <v>0.0070</v>
      </c>
      <c r="R7264" s="1" t="s">
        <v>25</v>
      </c>
      <c r="T7264" s="1" t="str">
        <f t="shared" si="12869"/>
        <v>0</v>
      </c>
      <c r="U7264" s="1" t="str">
        <f t="shared" si="12853"/>
        <v>0.0070</v>
      </c>
    </row>
    <row r="7265" s="1" customFormat="1" spans="1:21">
      <c r="A7265" s="1" t="str">
        <f>"4601992325742"</f>
        <v>4601992325742</v>
      </c>
      <c r="B7265" s="1" t="s">
        <v>7288</v>
      </c>
      <c r="C7265" s="1" t="s">
        <v>24</v>
      </c>
      <c r="D7265" s="1" t="str">
        <f t="shared" si="12866"/>
        <v>2021</v>
      </c>
      <c r="E7265" s="1" t="str">
        <f t="shared" ref="E7265:P7265" si="12900">"0"</f>
        <v>0</v>
      </c>
      <c r="F7265" s="1" t="str">
        <f t="shared" si="12900"/>
        <v>0</v>
      </c>
      <c r="G7265" s="1" t="str">
        <f t="shared" si="12900"/>
        <v>0</v>
      </c>
      <c r="H7265" s="1" t="str">
        <f t="shared" si="12900"/>
        <v>0</v>
      </c>
      <c r="I7265" s="1" t="str">
        <f t="shared" si="12900"/>
        <v>0</v>
      </c>
      <c r="J7265" s="1" t="str">
        <f t="shared" si="12900"/>
        <v>0</v>
      </c>
      <c r="K7265" s="1" t="str">
        <f t="shared" si="12900"/>
        <v>0</v>
      </c>
      <c r="L7265" s="1" t="str">
        <f t="shared" si="12900"/>
        <v>0</v>
      </c>
      <c r="M7265" s="1" t="str">
        <f t="shared" si="12900"/>
        <v>0</v>
      </c>
      <c r="N7265" s="1" t="str">
        <f t="shared" si="12900"/>
        <v>0</v>
      </c>
      <c r="O7265" s="1" t="str">
        <f t="shared" si="12900"/>
        <v>0</v>
      </c>
      <c r="P7265" s="1" t="str">
        <f t="shared" si="12900"/>
        <v>0</v>
      </c>
      <c r="Q7265" s="1" t="str">
        <f t="shared" si="12868"/>
        <v>0.0070</v>
      </c>
      <c r="R7265" s="1" t="s">
        <v>25</v>
      </c>
      <c r="T7265" s="1" t="str">
        <f t="shared" si="12869"/>
        <v>0</v>
      </c>
      <c r="U7265" s="1" t="str">
        <f t="shared" si="12853"/>
        <v>0.0070</v>
      </c>
    </row>
    <row r="7266" s="1" customFormat="1" spans="1:21">
      <c r="A7266" s="1" t="str">
        <f>"4601992325527"</f>
        <v>4601992325527</v>
      </c>
      <c r="B7266" s="1" t="s">
        <v>7289</v>
      </c>
      <c r="C7266" s="1" t="s">
        <v>24</v>
      </c>
      <c r="D7266" s="1" t="str">
        <f t="shared" si="12866"/>
        <v>2021</v>
      </c>
      <c r="E7266" s="1" t="str">
        <f t="shared" ref="E7266:P7266" si="12901">"0"</f>
        <v>0</v>
      </c>
      <c r="F7266" s="1" t="str">
        <f t="shared" si="12901"/>
        <v>0</v>
      </c>
      <c r="G7266" s="1" t="str">
        <f t="shared" si="12901"/>
        <v>0</v>
      </c>
      <c r="H7266" s="1" t="str">
        <f t="shared" si="12901"/>
        <v>0</v>
      </c>
      <c r="I7266" s="1" t="str">
        <f t="shared" si="12901"/>
        <v>0</v>
      </c>
      <c r="J7266" s="1" t="str">
        <f t="shared" si="12901"/>
        <v>0</v>
      </c>
      <c r="K7266" s="1" t="str">
        <f t="shared" si="12901"/>
        <v>0</v>
      </c>
      <c r="L7266" s="1" t="str">
        <f t="shared" si="12901"/>
        <v>0</v>
      </c>
      <c r="M7266" s="1" t="str">
        <f t="shared" si="12901"/>
        <v>0</v>
      </c>
      <c r="N7266" s="1" t="str">
        <f t="shared" si="12901"/>
        <v>0</v>
      </c>
      <c r="O7266" s="1" t="str">
        <f t="shared" si="12901"/>
        <v>0</v>
      </c>
      <c r="P7266" s="1" t="str">
        <f t="shared" si="12901"/>
        <v>0</v>
      </c>
      <c r="Q7266" s="1" t="str">
        <f t="shared" si="12868"/>
        <v>0.0070</v>
      </c>
      <c r="R7266" s="1" t="s">
        <v>25</v>
      </c>
      <c r="T7266" s="1" t="str">
        <f t="shared" si="12869"/>
        <v>0</v>
      </c>
      <c r="U7266" s="1" t="str">
        <f t="shared" si="12853"/>
        <v>0.0070</v>
      </c>
    </row>
    <row r="7267" s="1" customFormat="1" spans="1:21">
      <c r="A7267" s="1" t="str">
        <f>"4601992325791"</f>
        <v>4601992325791</v>
      </c>
      <c r="B7267" s="1" t="s">
        <v>7290</v>
      </c>
      <c r="C7267" s="1" t="s">
        <v>24</v>
      </c>
      <c r="D7267" s="1" t="str">
        <f t="shared" si="12866"/>
        <v>2021</v>
      </c>
      <c r="E7267" s="1" t="str">
        <f t="shared" ref="E7267:P7267" si="12902">"0"</f>
        <v>0</v>
      </c>
      <c r="F7267" s="1" t="str">
        <f t="shared" si="12902"/>
        <v>0</v>
      </c>
      <c r="G7267" s="1" t="str">
        <f t="shared" si="12902"/>
        <v>0</v>
      </c>
      <c r="H7267" s="1" t="str">
        <f t="shared" si="12902"/>
        <v>0</v>
      </c>
      <c r="I7267" s="1" t="str">
        <f t="shared" si="12902"/>
        <v>0</v>
      </c>
      <c r="J7267" s="1" t="str">
        <f t="shared" si="12902"/>
        <v>0</v>
      </c>
      <c r="K7267" s="1" t="str">
        <f t="shared" si="12902"/>
        <v>0</v>
      </c>
      <c r="L7267" s="1" t="str">
        <f t="shared" si="12902"/>
        <v>0</v>
      </c>
      <c r="M7267" s="1" t="str">
        <f t="shared" si="12902"/>
        <v>0</v>
      </c>
      <c r="N7267" s="1" t="str">
        <f t="shared" si="12902"/>
        <v>0</v>
      </c>
      <c r="O7267" s="1" t="str">
        <f t="shared" si="12902"/>
        <v>0</v>
      </c>
      <c r="P7267" s="1" t="str">
        <f t="shared" si="12902"/>
        <v>0</v>
      </c>
      <c r="Q7267" s="1" t="str">
        <f t="shared" si="12868"/>
        <v>0.0070</v>
      </c>
      <c r="R7267" s="1" t="s">
        <v>25</v>
      </c>
      <c r="T7267" s="1" t="str">
        <f t="shared" si="12869"/>
        <v>0</v>
      </c>
      <c r="U7267" s="1" t="str">
        <f t="shared" si="12853"/>
        <v>0.0070</v>
      </c>
    </row>
    <row r="7268" s="1" customFormat="1" spans="1:21">
      <c r="A7268" s="1" t="str">
        <f>"4601992325819"</f>
        <v>4601992325819</v>
      </c>
      <c r="B7268" s="1" t="s">
        <v>7291</v>
      </c>
      <c r="C7268" s="1" t="s">
        <v>24</v>
      </c>
      <c r="D7268" s="1" t="str">
        <f t="shared" si="12866"/>
        <v>2021</v>
      </c>
      <c r="E7268" s="1" t="str">
        <f t="shared" ref="E7268:P7268" si="12903">"0"</f>
        <v>0</v>
      </c>
      <c r="F7268" s="1" t="str">
        <f t="shared" si="12903"/>
        <v>0</v>
      </c>
      <c r="G7268" s="1" t="str">
        <f t="shared" si="12903"/>
        <v>0</v>
      </c>
      <c r="H7268" s="1" t="str">
        <f t="shared" si="12903"/>
        <v>0</v>
      </c>
      <c r="I7268" s="1" t="str">
        <f t="shared" si="12903"/>
        <v>0</v>
      </c>
      <c r="J7268" s="1" t="str">
        <f t="shared" si="12903"/>
        <v>0</v>
      </c>
      <c r="K7268" s="1" t="str">
        <f t="shared" si="12903"/>
        <v>0</v>
      </c>
      <c r="L7268" s="1" t="str">
        <f t="shared" si="12903"/>
        <v>0</v>
      </c>
      <c r="M7268" s="1" t="str">
        <f t="shared" si="12903"/>
        <v>0</v>
      </c>
      <c r="N7268" s="1" t="str">
        <f t="shared" si="12903"/>
        <v>0</v>
      </c>
      <c r="O7268" s="1" t="str">
        <f t="shared" si="12903"/>
        <v>0</v>
      </c>
      <c r="P7268" s="1" t="str">
        <f t="shared" si="12903"/>
        <v>0</v>
      </c>
      <c r="Q7268" s="1" t="str">
        <f t="shared" si="12868"/>
        <v>0.0070</v>
      </c>
      <c r="R7268" s="1" t="s">
        <v>25</v>
      </c>
      <c r="T7268" s="1" t="str">
        <f t="shared" si="12869"/>
        <v>0</v>
      </c>
      <c r="U7268" s="1" t="str">
        <f t="shared" si="12853"/>
        <v>0.0070</v>
      </c>
    </row>
    <row r="7269" s="1" customFormat="1" spans="1:21">
      <c r="A7269" s="1" t="str">
        <f>"4601992325866"</f>
        <v>4601992325866</v>
      </c>
      <c r="B7269" s="1" t="s">
        <v>7292</v>
      </c>
      <c r="C7269" s="1" t="s">
        <v>24</v>
      </c>
      <c r="D7269" s="1" t="str">
        <f t="shared" si="12866"/>
        <v>2021</v>
      </c>
      <c r="E7269" s="1" t="str">
        <f t="shared" ref="E7269:P7269" si="12904">"0"</f>
        <v>0</v>
      </c>
      <c r="F7269" s="1" t="str">
        <f t="shared" si="12904"/>
        <v>0</v>
      </c>
      <c r="G7269" s="1" t="str">
        <f t="shared" si="12904"/>
        <v>0</v>
      </c>
      <c r="H7269" s="1" t="str">
        <f t="shared" si="12904"/>
        <v>0</v>
      </c>
      <c r="I7269" s="1" t="str">
        <f t="shared" si="12904"/>
        <v>0</v>
      </c>
      <c r="J7269" s="1" t="str">
        <f t="shared" si="12904"/>
        <v>0</v>
      </c>
      <c r="K7269" s="1" t="str">
        <f t="shared" si="12904"/>
        <v>0</v>
      </c>
      <c r="L7269" s="1" t="str">
        <f t="shared" si="12904"/>
        <v>0</v>
      </c>
      <c r="M7269" s="1" t="str">
        <f t="shared" si="12904"/>
        <v>0</v>
      </c>
      <c r="N7269" s="1" t="str">
        <f t="shared" si="12904"/>
        <v>0</v>
      </c>
      <c r="O7269" s="1" t="str">
        <f t="shared" si="12904"/>
        <v>0</v>
      </c>
      <c r="P7269" s="1" t="str">
        <f t="shared" si="12904"/>
        <v>0</v>
      </c>
      <c r="Q7269" s="1" t="str">
        <f t="shared" si="12868"/>
        <v>0.0070</v>
      </c>
      <c r="R7269" s="1" t="s">
        <v>25</v>
      </c>
      <c r="T7269" s="1" t="str">
        <f t="shared" si="12869"/>
        <v>0</v>
      </c>
      <c r="U7269" s="1" t="str">
        <f t="shared" si="12853"/>
        <v>0.0070</v>
      </c>
    </row>
    <row r="7270" s="1" customFormat="1" spans="1:21">
      <c r="A7270" s="1" t="str">
        <f>"4601992325828"</f>
        <v>4601992325828</v>
      </c>
      <c r="B7270" s="1" t="s">
        <v>7293</v>
      </c>
      <c r="C7270" s="1" t="s">
        <v>24</v>
      </c>
      <c r="D7270" s="1" t="str">
        <f t="shared" si="12866"/>
        <v>2021</v>
      </c>
      <c r="E7270" s="1" t="str">
        <f t="shared" ref="E7270:P7270" si="12905">"0"</f>
        <v>0</v>
      </c>
      <c r="F7270" s="1" t="str">
        <f t="shared" si="12905"/>
        <v>0</v>
      </c>
      <c r="G7270" s="1" t="str">
        <f t="shared" si="12905"/>
        <v>0</v>
      </c>
      <c r="H7270" s="1" t="str">
        <f t="shared" si="12905"/>
        <v>0</v>
      </c>
      <c r="I7270" s="1" t="str">
        <f t="shared" si="12905"/>
        <v>0</v>
      </c>
      <c r="J7270" s="1" t="str">
        <f t="shared" si="12905"/>
        <v>0</v>
      </c>
      <c r="K7270" s="1" t="str">
        <f t="shared" si="12905"/>
        <v>0</v>
      </c>
      <c r="L7270" s="1" t="str">
        <f t="shared" si="12905"/>
        <v>0</v>
      </c>
      <c r="M7270" s="1" t="str">
        <f t="shared" si="12905"/>
        <v>0</v>
      </c>
      <c r="N7270" s="1" t="str">
        <f t="shared" si="12905"/>
        <v>0</v>
      </c>
      <c r="O7270" s="1" t="str">
        <f t="shared" si="12905"/>
        <v>0</v>
      </c>
      <c r="P7270" s="1" t="str">
        <f t="shared" si="12905"/>
        <v>0</v>
      </c>
      <c r="Q7270" s="1" t="str">
        <f t="shared" si="12868"/>
        <v>0.0070</v>
      </c>
      <c r="R7270" s="1" t="s">
        <v>25</v>
      </c>
      <c r="T7270" s="1" t="str">
        <f t="shared" si="12869"/>
        <v>0</v>
      </c>
      <c r="U7270" s="1" t="str">
        <f t="shared" si="12853"/>
        <v>0.0070</v>
      </c>
    </row>
    <row r="7271" s="1" customFormat="1" spans="1:21">
      <c r="A7271" s="1" t="str">
        <f>"4601992325918"</f>
        <v>4601992325918</v>
      </c>
      <c r="B7271" s="1" t="s">
        <v>7294</v>
      </c>
      <c r="C7271" s="1" t="s">
        <v>24</v>
      </c>
      <c r="D7271" s="1" t="str">
        <f t="shared" si="12866"/>
        <v>2021</v>
      </c>
      <c r="E7271" s="1" t="str">
        <f t="shared" ref="E7271:P7271" si="12906">"0"</f>
        <v>0</v>
      </c>
      <c r="F7271" s="1" t="str">
        <f t="shared" si="12906"/>
        <v>0</v>
      </c>
      <c r="G7271" s="1" t="str">
        <f t="shared" si="12906"/>
        <v>0</v>
      </c>
      <c r="H7271" s="1" t="str">
        <f t="shared" si="12906"/>
        <v>0</v>
      </c>
      <c r="I7271" s="1" t="str">
        <f t="shared" si="12906"/>
        <v>0</v>
      </c>
      <c r="J7271" s="1" t="str">
        <f t="shared" si="12906"/>
        <v>0</v>
      </c>
      <c r="K7271" s="1" t="str">
        <f t="shared" si="12906"/>
        <v>0</v>
      </c>
      <c r="L7271" s="1" t="str">
        <f t="shared" si="12906"/>
        <v>0</v>
      </c>
      <c r="M7271" s="1" t="str">
        <f t="shared" si="12906"/>
        <v>0</v>
      </c>
      <c r="N7271" s="1" t="str">
        <f t="shared" si="12906"/>
        <v>0</v>
      </c>
      <c r="O7271" s="1" t="str">
        <f t="shared" si="12906"/>
        <v>0</v>
      </c>
      <c r="P7271" s="1" t="str">
        <f t="shared" si="12906"/>
        <v>0</v>
      </c>
      <c r="Q7271" s="1" t="str">
        <f t="shared" si="12868"/>
        <v>0.0070</v>
      </c>
      <c r="R7271" s="1" t="s">
        <v>25</v>
      </c>
      <c r="T7271" s="1" t="str">
        <f t="shared" si="12869"/>
        <v>0</v>
      </c>
      <c r="U7271" s="1" t="str">
        <f t="shared" si="12853"/>
        <v>0.0070</v>
      </c>
    </row>
    <row r="7272" s="1" customFormat="1" spans="1:21">
      <c r="A7272" s="1" t="str">
        <f>"4601992326020"</f>
        <v>4601992326020</v>
      </c>
      <c r="B7272" s="1" t="s">
        <v>7295</v>
      </c>
      <c r="C7272" s="1" t="s">
        <v>24</v>
      </c>
      <c r="D7272" s="1" t="str">
        <f t="shared" si="12866"/>
        <v>2021</v>
      </c>
      <c r="E7272" s="1" t="str">
        <f t="shared" ref="E7272:P7272" si="12907">"0"</f>
        <v>0</v>
      </c>
      <c r="F7272" s="1" t="str">
        <f t="shared" si="12907"/>
        <v>0</v>
      </c>
      <c r="G7272" s="1" t="str">
        <f t="shared" si="12907"/>
        <v>0</v>
      </c>
      <c r="H7272" s="1" t="str">
        <f t="shared" si="12907"/>
        <v>0</v>
      </c>
      <c r="I7272" s="1" t="str">
        <f t="shared" si="12907"/>
        <v>0</v>
      </c>
      <c r="J7272" s="1" t="str">
        <f t="shared" si="12907"/>
        <v>0</v>
      </c>
      <c r="K7272" s="1" t="str">
        <f t="shared" si="12907"/>
        <v>0</v>
      </c>
      <c r="L7272" s="1" t="str">
        <f t="shared" si="12907"/>
        <v>0</v>
      </c>
      <c r="M7272" s="1" t="str">
        <f t="shared" si="12907"/>
        <v>0</v>
      </c>
      <c r="N7272" s="1" t="str">
        <f t="shared" si="12907"/>
        <v>0</v>
      </c>
      <c r="O7272" s="1" t="str">
        <f t="shared" si="12907"/>
        <v>0</v>
      </c>
      <c r="P7272" s="1" t="str">
        <f t="shared" si="12907"/>
        <v>0</v>
      </c>
      <c r="Q7272" s="1" t="str">
        <f t="shared" si="12868"/>
        <v>0.0070</v>
      </c>
      <c r="R7272" s="1" t="s">
        <v>25</v>
      </c>
      <c r="T7272" s="1" t="str">
        <f t="shared" si="12869"/>
        <v>0</v>
      </c>
      <c r="U7272" s="1" t="str">
        <f t="shared" si="12853"/>
        <v>0.0070</v>
      </c>
    </row>
    <row r="7273" s="1" customFormat="1" spans="1:21">
      <c r="A7273" s="1" t="str">
        <f>"4601992325946"</f>
        <v>4601992325946</v>
      </c>
      <c r="B7273" s="1" t="s">
        <v>7296</v>
      </c>
      <c r="C7273" s="1" t="s">
        <v>24</v>
      </c>
      <c r="D7273" s="1" t="str">
        <f t="shared" si="12866"/>
        <v>2021</v>
      </c>
      <c r="E7273" s="1" t="str">
        <f t="shared" ref="E7273:P7273" si="12908">"0"</f>
        <v>0</v>
      </c>
      <c r="F7273" s="1" t="str">
        <f t="shared" si="12908"/>
        <v>0</v>
      </c>
      <c r="G7273" s="1" t="str">
        <f t="shared" si="12908"/>
        <v>0</v>
      </c>
      <c r="H7273" s="1" t="str">
        <f t="shared" si="12908"/>
        <v>0</v>
      </c>
      <c r="I7273" s="1" t="str">
        <f t="shared" si="12908"/>
        <v>0</v>
      </c>
      <c r="J7273" s="1" t="str">
        <f t="shared" si="12908"/>
        <v>0</v>
      </c>
      <c r="K7273" s="1" t="str">
        <f t="shared" si="12908"/>
        <v>0</v>
      </c>
      <c r="L7273" s="1" t="str">
        <f t="shared" si="12908"/>
        <v>0</v>
      </c>
      <c r="M7273" s="1" t="str">
        <f t="shared" si="12908"/>
        <v>0</v>
      </c>
      <c r="N7273" s="1" t="str">
        <f t="shared" si="12908"/>
        <v>0</v>
      </c>
      <c r="O7273" s="1" t="str">
        <f t="shared" si="12908"/>
        <v>0</v>
      </c>
      <c r="P7273" s="1" t="str">
        <f t="shared" si="12908"/>
        <v>0</v>
      </c>
      <c r="Q7273" s="1" t="str">
        <f t="shared" si="12868"/>
        <v>0.0070</v>
      </c>
      <c r="R7273" s="1" t="s">
        <v>25</v>
      </c>
      <c r="T7273" s="1" t="str">
        <f t="shared" si="12869"/>
        <v>0</v>
      </c>
      <c r="U7273" s="1" t="str">
        <f t="shared" si="12853"/>
        <v>0.0070</v>
      </c>
    </row>
    <row r="7274" s="1" customFormat="1" spans="1:21">
      <c r="A7274" s="1" t="str">
        <f>"4601992325876"</f>
        <v>4601992325876</v>
      </c>
      <c r="B7274" s="1" t="s">
        <v>7297</v>
      </c>
      <c r="C7274" s="1" t="s">
        <v>24</v>
      </c>
      <c r="D7274" s="1" t="str">
        <f t="shared" si="12866"/>
        <v>2021</v>
      </c>
      <c r="E7274" s="1" t="str">
        <f t="shared" ref="E7274:P7274" si="12909">"0"</f>
        <v>0</v>
      </c>
      <c r="F7274" s="1" t="str">
        <f t="shared" si="12909"/>
        <v>0</v>
      </c>
      <c r="G7274" s="1" t="str">
        <f t="shared" si="12909"/>
        <v>0</v>
      </c>
      <c r="H7274" s="1" t="str">
        <f t="shared" si="12909"/>
        <v>0</v>
      </c>
      <c r="I7274" s="1" t="str">
        <f t="shared" si="12909"/>
        <v>0</v>
      </c>
      <c r="J7274" s="1" t="str">
        <f t="shared" si="12909"/>
        <v>0</v>
      </c>
      <c r="K7274" s="1" t="str">
        <f t="shared" si="12909"/>
        <v>0</v>
      </c>
      <c r="L7274" s="1" t="str">
        <f t="shared" si="12909"/>
        <v>0</v>
      </c>
      <c r="M7274" s="1" t="str">
        <f t="shared" si="12909"/>
        <v>0</v>
      </c>
      <c r="N7274" s="1" t="str">
        <f t="shared" si="12909"/>
        <v>0</v>
      </c>
      <c r="O7274" s="1" t="str">
        <f t="shared" si="12909"/>
        <v>0</v>
      </c>
      <c r="P7274" s="1" t="str">
        <f t="shared" si="12909"/>
        <v>0</v>
      </c>
      <c r="Q7274" s="1" t="str">
        <f t="shared" si="12868"/>
        <v>0.0070</v>
      </c>
      <c r="R7274" s="1" t="s">
        <v>25</v>
      </c>
      <c r="T7274" s="1" t="str">
        <f t="shared" si="12869"/>
        <v>0</v>
      </c>
      <c r="U7274" s="1" t="str">
        <f t="shared" si="12853"/>
        <v>0.0070</v>
      </c>
    </row>
    <row r="7275" s="1" customFormat="1" spans="1:21">
      <c r="A7275" s="1" t="str">
        <f>"4601992326196"</f>
        <v>4601992326196</v>
      </c>
      <c r="B7275" s="1" t="s">
        <v>7298</v>
      </c>
      <c r="C7275" s="1" t="s">
        <v>24</v>
      </c>
      <c r="D7275" s="1" t="str">
        <f t="shared" si="12866"/>
        <v>2021</v>
      </c>
      <c r="E7275" s="1" t="str">
        <f t="shared" ref="E7275:P7275" si="12910">"0"</f>
        <v>0</v>
      </c>
      <c r="F7275" s="1" t="str">
        <f t="shared" si="12910"/>
        <v>0</v>
      </c>
      <c r="G7275" s="1" t="str">
        <f t="shared" si="12910"/>
        <v>0</v>
      </c>
      <c r="H7275" s="1" t="str">
        <f t="shared" si="12910"/>
        <v>0</v>
      </c>
      <c r="I7275" s="1" t="str">
        <f t="shared" si="12910"/>
        <v>0</v>
      </c>
      <c r="J7275" s="1" t="str">
        <f t="shared" si="12910"/>
        <v>0</v>
      </c>
      <c r="K7275" s="1" t="str">
        <f t="shared" si="12910"/>
        <v>0</v>
      </c>
      <c r="L7275" s="1" t="str">
        <f t="shared" si="12910"/>
        <v>0</v>
      </c>
      <c r="M7275" s="1" t="str">
        <f t="shared" si="12910"/>
        <v>0</v>
      </c>
      <c r="N7275" s="1" t="str">
        <f t="shared" si="12910"/>
        <v>0</v>
      </c>
      <c r="O7275" s="1" t="str">
        <f t="shared" si="12910"/>
        <v>0</v>
      </c>
      <c r="P7275" s="1" t="str">
        <f t="shared" si="12910"/>
        <v>0</v>
      </c>
      <c r="Q7275" s="1" t="str">
        <f t="shared" si="12868"/>
        <v>0.0070</v>
      </c>
      <c r="R7275" s="1" t="s">
        <v>25</v>
      </c>
      <c r="T7275" s="1" t="str">
        <f t="shared" si="12869"/>
        <v>0</v>
      </c>
      <c r="U7275" s="1" t="str">
        <f t="shared" si="12853"/>
        <v>0.0070</v>
      </c>
    </row>
    <row r="7276" s="1" customFormat="1" spans="1:21">
      <c r="A7276" s="1" t="str">
        <f>"4601992326314"</f>
        <v>4601992326314</v>
      </c>
      <c r="B7276" s="1" t="s">
        <v>7299</v>
      </c>
      <c r="C7276" s="1" t="s">
        <v>24</v>
      </c>
      <c r="D7276" s="1" t="str">
        <f t="shared" si="12866"/>
        <v>2021</v>
      </c>
      <c r="E7276" s="1" t="str">
        <f t="shared" ref="E7276:P7276" si="12911">"0"</f>
        <v>0</v>
      </c>
      <c r="F7276" s="1" t="str">
        <f t="shared" si="12911"/>
        <v>0</v>
      </c>
      <c r="G7276" s="1" t="str">
        <f t="shared" si="12911"/>
        <v>0</v>
      </c>
      <c r="H7276" s="1" t="str">
        <f t="shared" si="12911"/>
        <v>0</v>
      </c>
      <c r="I7276" s="1" t="str">
        <f t="shared" si="12911"/>
        <v>0</v>
      </c>
      <c r="J7276" s="1" t="str">
        <f t="shared" si="12911"/>
        <v>0</v>
      </c>
      <c r="K7276" s="1" t="str">
        <f t="shared" si="12911"/>
        <v>0</v>
      </c>
      <c r="L7276" s="1" t="str">
        <f t="shared" si="12911"/>
        <v>0</v>
      </c>
      <c r="M7276" s="1" t="str">
        <f t="shared" si="12911"/>
        <v>0</v>
      </c>
      <c r="N7276" s="1" t="str">
        <f t="shared" si="12911"/>
        <v>0</v>
      </c>
      <c r="O7276" s="1" t="str">
        <f t="shared" si="12911"/>
        <v>0</v>
      </c>
      <c r="P7276" s="1" t="str">
        <f t="shared" si="12911"/>
        <v>0</v>
      </c>
      <c r="Q7276" s="1" t="str">
        <f t="shared" si="12868"/>
        <v>0.0070</v>
      </c>
      <c r="R7276" s="1" t="s">
        <v>25</v>
      </c>
      <c r="T7276" s="1" t="str">
        <f t="shared" si="12869"/>
        <v>0</v>
      </c>
      <c r="U7276" s="1" t="str">
        <f t="shared" si="12853"/>
        <v>0.0070</v>
      </c>
    </row>
    <row r="7277" s="1" customFormat="1" spans="1:21">
      <c r="A7277" s="1" t="str">
        <f>"4601992326245"</f>
        <v>4601992326245</v>
      </c>
      <c r="B7277" s="1" t="s">
        <v>7300</v>
      </c>
      <c r="C7277" s="1" t="s">
        <v>24</v>
      </c>
      <c r="D7277" s="1" t="str">
        <f t="shared" si="12866"/>
        <v>2021</v>
      </c>
      <c r="E7277" s="1" t="str">
        <f t="shared" ref="E7277:P7277" si="12912">"0"</f>
        <v>0</v>
      </c>
      <c r="F7277" s="1" t="str">
        <f t="shared" si="12912"/>
        <v>0</v>
      </c>
      <c r="G7277" s="1" t="str">
        <f t="shared" si="12912"/>
        <v>0</v>
      </c>
      <c r="H7277" s="1" t="str">
        <f t="shared" si="12912"/>
        <v>0</v>
      </c>
      <c r="I7277" s="1" t="str">
        <f t="shared" si="12912"/>
        <v>0</v>
      </c>
      <c r="J7277" s="1" t="str">
        <f t="shared" si="12912"/>
        <v>0</v>
      </c>
      <c r="K7277" s="1" t="str">
        <f t="shared" si="12912"/>
        <v>0</v>
      </c>
      <c r="L7277" s="1" t="str">
        <f t="shared" si="12912"/>
        <v>0</v>
      </c>
      <c r="M7277" s="1" t="str">
        <f t="shared" si="12912"/>
        <v>0</v>
      </c>
      <c r="N7277" s="1" t="str">
        <f t="shared" si="12912"/>
        <v>0</v>
      </c>
      <c r="O7277" s="1" t="str">
        <f t="shared" si="12912"/>
        <v>0</v>
      </c>
      <c r="P7277" s="1" t="str">
        <f t="shared" si="12912"/>
        <v>0</v>
      </c>
      <c r="Q7277" s="1" t="str">
        <f t="shared" si="12868"/>
        <v>0.0070</v>
      </c>
      <c r="R7277" s="1" t="s">
        <v>25</v>
      </c>
      <c r="T7277" s="1" t="str">
        <f t="shared" si="12869"/>
        <v>0</v>
      </c>
      <c r="U7277" s="1" t="str">
        <f t="shared" si="12853"/>
        <v>0.0070</v>
      </c>
    </row>
    <row r="7278" s="1" customFormat="1" spans="1:21">
      <c r="A7278" s="1" t="str">
        <f>"4601992326310"</f>
        <v>4601992326310</v>
      </c>
      <c r="B7278" s="1" t="s">
        <v>7301</v>
      </c>
      <c r="C7278" s="1" t="s">
        <v>24</v>
      </c>
      <c r="D7278" s="1" t="str">
        <f t="shared" si="12866"/>
        <v>2021</v>
      </c>
      <c r="E7278" s="1" t="str">
        <f t="shared" ref="E7278:P7278" si="12913">"0"</f>
        <v>0</v>
      </c>
      <c r="F7278" s="1" t="str">
        <f t="shared" si="12913"/>
        <v>0</v>
      </c>
      <c r="G7278" s="1" t="str">
        <f t="shared" si="12913"/>
        <v>0</v>
      </c>
      <c r="H7278" s="1" t="str">
        <f t="shared" si="12913"/>
        <v>0</v>
      </c>
      <c r="I7278" s="1" t="str">
        <f t="shared" si="12913"/>
        <v>0</v>
      </c>
      <c r="J7278" s="1" t="str">
        <f t="shared" si="12913"/>
        <v>0</v>
      </c>
      <c r="K7278" s="1" t="str">
        <f t="shared" si="12913"/>
        <v>0</v>
      </c>
      <c r="L7278" s="1" t="str">
        <f t="shared" si="12913"/>
        <v>0</v>
      </c>
      <c r="M7278" s="1" t="str">
        <f t="shared" si="12913"/>
        <v>0</v>
      </c>
      <c r="N7278" s="1" t="str">
        <f t="shared" si="12913"/>
        <v>0</v>
      </c>
      <c r="O7278" s="1" t="str">
        <f t="shared" si="12913"/>
        <v>0</v>
      </c>
      <c r="P7278" s="1" t="str">
        <f t="shared" si="12913"/>
        <v>0</v>
      </c>
      <c r="Q7278" s="1" t="str">
        <f t="shared" si="12868"/>
        <v>0.0070</v>
      </c>
      <c r="R7278" s="1" t="s">
        <v>25</v>
      </c>
      <c r="T7278" s="1" t="str">
        <f t="shared" si="12869"/>
        <v>0</v>
      </c>
      <c r="U7278" s="1" t="str">
        <f t="shared" si="12853"/>
        <v>0.0070</v>
      </c>
    </row>
    <row r="7279" s="1" customFormat="1" spans="1:21">
      <c r="A7279" s="1" t="str">
        <f>"4601992326327"</f>
        <v>4601992326327</v>
      </c>
      <c r="B7279" s="1" t="s">
        <v>7302</v>
      </c>
      <c r="C7279" s="1" t="s">
        <v>24</v>
      </c>
      <c r="D7279" s="1" t="str">
        <f t="shared" si="12866"/>
        <v>2021</v>
      </c>
      <c r="E7279" s="1" t="str">
        <f t="shared" ref="E7279:P7279" si="12914">"0"</f>
        <v>0</v>
      </c>
      <c r="F7279" s="1" t="str">
        <f t="shared" si="12914"/>
        <v>0</v>
      </c>
      <c r="G7279" s="1" t="str">
        <f t="shared" si="12914"/>
        <v>0</v>
      </c>
      <c r="H7279" s="1" t="str">
        <f t="shared" si="12914"/>
        <v>0</v>
      </c>
      <c r="I7279" s="1" t="str">
        <f t="shared" si="12914"/>
        <v>0</v>
      </c>
      <c r="J7279" s="1" t="str">
        <f t="shared" si="12914"/>
        <v>0</v>
      </c>
      <c r="K7279" s="1" t="str">
        <f t="shared" si="12914"/>
        <v>0</v>
      </c>
      <c r="L7279" s="1" t="str">
        <f t="shared" si="12914"/>
        <v>0</v>
      </c>
      <c r="M7279" s="1" t="str">
        <f t="shared" si="12914"/>
        <v>0</v>
      </c>
      <c r="N7279" s="1" t="str">
        <f t="shared" si="12914"/>
        <v>0</v>
      </c>
      <c r="O7279" s="1" t="str">
        <f t="shared" si="12914"/>
        <v>0</v>
      </c>
      <c r="P7279" s="1" t="str">
        <f t="shared" si="12914"/>
        <v>0</v>
      </c>
      <c r="Q7279" s="1" t="str">
        <f t="shared" si="12868"/>
        <v>0.0070</v>
      </c>
      <c r="R7279" s="1" t="s">
        <v>25</v>
      </c>
      <c r="T7279" s="1" t="str">
        <f t="shared" si="12869"/>
        <v>0</v>
      </c>
      <c r="U7279" s="1" t="str">
        <f t="shared" si="12853"/>
        <v>0.0070</v>
      </c>
    </row>
    <row r="7280" s="1" customFormat="1" spans="1:21">
      <c r="A7280" s="1" t="str">
        <f>"4601992326605"</f>
        <v>4601992326605</v>
      </c>
      <c r="B7280" s="1" t="s">
        <v>7303</v>
      </c>
      <c r="C7280" s="1" t="s">
        <v>24</v>
      </c>
      <c r="D7280" s="1" t="str">
        <f t="shared" si="12866"/>
        <v>2021</v>
      </c>
      <c r="E7280" s="1" t="str">
        <f t="shared" ref="E7280:P7280" si="12915">"0"</f>
        <v>0</v>
      </c>
      <c r="F7280" s="1" t="str">
        <f t="shared" si="12915"/>
        <v>0</v>
      </c>
      <c r="G7280" s="1" t="str">
        <f t="shared" si="12915"/>
        <v>0</v>
      </c>
      <c r="H7280" s="1" t="str">
        <f t="shared" si="12915"/>
        <v>0</v>
      </c>
      <c r="I7280" s="1" t="str">
        <f t="shared" si="12915"/>
        <v>0</v>
      </c>
      <c r="J7280" s="1" t="str">
        <f t="shared" si="12915"/>
        <v>0</v>
      </c>
      <c r="K7280" s="1" t="str">
        <f t="shared" si="12915"/>
        <v>0</v>
      </c>
      <c r="L7280" s="1" t="str">
        <f t="shared" si="12915"/>
        <v>0</v>
      </c>
      <c r="M7280" s="1" t="str">
        <f t="shared" si="12915"/>
        <v>0</v>
      </c>
      <c r="N7280" s="1" t="str">
        <f t="shared" si="12915"/>
        <v>0</v>
      </c>
      <c r="O7280" s="1" t="str">
        <f t="shared" si="12915"/>
        <v>0</v>
      </c>
      <c r="P7280" s="1" t="str">
        <f t="shared" si="12915"/>
        <v>0</v>
      </c>
      <c r="Q7280" s="1" t="str">
        <f t="shared" si="12868"/>
        <v>0.0070</v>
      </c>
      <c r="R7280" s="1" t="s">
        <v>25</v>
      </c>
      <c r="T7280" s="1" t="str">
        <f t="shared" si="12869"/>
        <v>0</v>
      </c>
      <c r="U7280" s="1" t="str">
        <f t="shared" si="12853"/>
        <v>0.0070</v>
      </c>
    </row>
    <row r="7281" s="1" customFormat="1" spans="1:21">
      <c r="A7281" s="1" t="str">
        <f>"4601992326583"</f>
        <v>4601992326583</v>
      </c>
      <c r="B7281" s="1" t="s">
        <v>7304</v>
      </c>
      <c r="C7281" s="1" t="s">
        <v>24</v>
      </c>
      <c r="D7281" s="1" t="str">
        <f t="shared" si="12866"/>
        <v>2021</v>
      </c>
      <c r="E7281" s="1" t="str">
        <f t="shared" ref="E7281:P7281" si="12916">"0"</f>
        <v>0</v>
      </c>
      <c r="F7281" s="1" t="str">
        <f t="shared" si="12916"/>
        <v>0</v>
      </c>
      <c r="G7281" s="1" t="str">
        <f t="shared" si="12916"/>
        <v>0</v>
      </c>
      <c r="H7281" s="1" t="str">
        <f t="shared" si="12916"/>
        <v>0</v>
      </c>
      <c r="I7281" s="1" t="str">
        <f t="shared" si="12916"/>
        <v>0</v>
      </c>
      <c r="J7281" s="1" t="str">
        <f t="shared" si="12916"/>
        <v>0</v>
      </c>
      <c r="K7281" s="1" t="str">
        <f t="shared" si="12916"/>
        <v>0</v>
      </c>
      <c r="L7281" s="1" t="str">
        <f t="shared" si="12916"/>
        <v>0</v>
      </c>
      <c r="M7281" s="1" t="str">
        <f t="shared" si="12916"/>
        <v>0</v>
      </c>
      <c r="N7281" s="1" t="str">
        <f t="shared" si="12916"/>
        <v>0</v>
      </c>
      <c r="O7281" s="1" t="str">
        <f t="shared" si="12916"/>
        <v>0</v>
      </c>
      <c r="P7281" s="1" t="str">
        <f t="shared" si="12916"/>
        <v>0</v>
      </c>
      <c r="Q7281" s="1" t="str">
        <f t="shared" si="12868"/>
        <v>0.0070</v>
      </c>
      <c r="R7281" s="1" t="s">
        <v>25</v>
      </c>
      <c r="T7281" s="1" t="str">
        <f t="shared" si="12869"/>
        <v>0</v>
      </c>
      <c r="U7281" s="1" t="str">
        <f t="shared" si="12853"/>
        <v>0.0070</v>
      </c>
    </row>
    <row r="7282" s="1" customFormat="1" spans="1:21">
      <c r="A7282" s="1" t="str">
        <f>"4601992326568"</f>
        <v>4601992326568</v>
      </c>
      <c r="B7282" s="1" t="s">
        <v>7305</v>
      </c>
      <c r="C7282" s="1" t="s">
        <v>24</v>
      </c>
      <c r="D7282" s="1" t="str">
        <f t="shared" si="12866"/>
        <v>2021</v>
      </c>
      <c r="E7282" s="1" t="str">
        <f t="shared" ref="E7282:P7282" si="12917">"0"</f>
        <v>0</v>
      </c>
      <c r="F7282" s="1" t="str">
        <f t="shared" si="12917"/>
        <v>0</v>
      </c>
      <c r="G7282" s="1" t="str">
        <f t="shared" si="12917"/>
        <v>0</v>
      </c>
      <c r="H7282" s="1" t="str">
        <f t="shared" si="12917"/>
        <v>0</v>
      </c>
      <c r="I7282" s="1" t="str">
        <f t="shared" si="12917"/>
        <v>0</v>
      </c>
      <c r="J7282" s="1" t="str">
        <f t="shared" si="12917"/>
        <v>0</v>
      </c>
      <c r="K7282" s="1" t="str">
        <f t="shared" si="12917"/>
        <v>0</v>
      </c>
      <c r="L7282" s="1" t="str">
        <f t="shared" si="12917"/>
        <v>0</v>
      </c>
      <c r="M7282" s="1" t="str">
        <f t="shared" si="12917"/>
        <v>0</v>
      </c>
      <c r="N7282" s="1" t="str">
        <f t="shared" si="12917"/>
        <v>0</v>
      </c>
      <c r="O7282" s="1" t="str">
        <f t="shared" si="12917"/>
        <v>0</v>
      </c>
      <c r="P7282" s="1" t="str">
        <f t="shared" si="12917"/>
        <v>0</v>
      </c>
      <c r="Q7282" s="1" t="str">
        <f t="shared" si="12868"/>
        <v>0.0070</v>
      </c>
      <c r="R7282" s="1" t="s">
        <v>25</v>
      </c>
      <c r="T7282" s="1" t="str">
        <f t="shared" si="12869"/>
        <v>0</v>
      </c>
      <c r="U7282" s="1" t="str">
        <f t="shared" si="12853"/>
        <v>0.0070</v>
      </c>
    </row>
    <row r="7283" s="1" customFormat="1" spans="1:21">
      <c r="A7283" s="1" t="str">
        <f>"4601992326619"</f>
        <v>4601992326619</v>
      </c>
      <c r="B7283" s="1" t="s">
        <v>7306</v>
      </c>
      <c r="C7283" s="1" t="s">
        <v>24</v>
      </c>
      <c r="D7283" s="1" t="str">
        <f t="shared" si="12866"/>
        <v>2021</v>
      </c>
      <c r="E7283" s="1" t="str">
        <f t="shared" ref="E7283:P7283" si="12918">"0"</f>
        <v>0</v>
      </c>
      <c r="F7283" s="1" t="str">
        <f t="shared" si="12918"/>
        <v>0</v>
      </c>
      <c r="G7283" s="1" t="str">
        <f t="shared" si="12918"/>
        <v>0</v>
      </c>
      <c r="H7283" s="1" t="str">
        <f t="shared" si="12918"/>
        <v>0</v>
      </c>
      <c r="I7283" s="1" t="str">
        <f t="shared" si="12918"/>
        <v>0</v>
      </c>
      <c r="J7283" s="1" t="str">
        <f t="shared" si="12918"/>
        <v>0</v>
      </c>
      <c r="K7283" s="1" t="str">
        <f t="shared" si="12918"/>
        <v>0</v>
      </c>
      <c r="L7283" s="1" t="str">
        <f t="shared" si="12918"/>
        <v>0</v>
      </c>
      <c r="M7283" s="1" t="str">
        <f t="shared" si="12918"/>
        <v>0</v>
      </c>
      <c r="N7283" s="1" t="str">
        <f t="shared" si="12918"/>
        <v>0</v>
      </c>
      <c r="O7283" s="1" t="str">
        <f t="shared" si="12918"/>
        <v>0</v>
      </c>
      <c r="P7283" s="1" t="str">
        <f t="shared" si="12918"/>
        <v>0</v>
      </c>
      <c r="Q7283" s="1" t="str">
        <f t="shared" si="12868"/>
        <v>0.0070</v>
      </c>
      <c r="R7283" s="1" t="s">
        <v>25</v>
      </c>
      <c r="T7283" s="1" t="str">
        <f t="shared" si="12869"/>
        <v>0</v>
      </c>
      <c r="U7283" s="1" t="str">
        <f t="shared" si="12853"/>
        <v>0.0070</v>
      </c>
    </row>
    <row r="7284" s="1" customFormat="1" spans="1:21">
      <c r="A7284" s="1" t="str">
        <f>"4601992326662"</f>
        <v>4601992326662</v>
      </c>
      <c r="B7284" s="1" t="s">
        <v>7307</v>
      </c>
      <c r="C7284" s="1" t="s">
        <v>24</v>
      </c>
      <c r="D7284" s="1" t="str">
        <f t="shared" si="12866"/>
        <v>2021</v>
      </c>
      <c r="E7284" s="1" t="str">
        <f t="shared" ref="E7284:P7284" si="12919">"0"</f>
        <v>0</v>
      </c>
      <c r="F7284" s="1" t="str">
        <f t="shared" si="12919"/>
        <v>0</v>
      </c>
      <c r="G7284" s="1" t="str">
        <f t="shared" si="12919"/>
        <v>0</v>
      </c>
      <c r="H7284" s="1" t="str">
        <f t="shared" si="12919"/>
        <v>0</v>
      </c>
      <c r="I7284" s="1" t="str">
        <f t="shared" si="12919"/>
        <v>0</v>
      </c>
      <c r="J7284" s="1" t="str">
        <f t="shared" si="12919"/>
        <v>0</v>
      </c>
      <c r="K7284" s="1" t="str">
        <f t="shared" si="12919"/>
        <v>0</v>
      </c>
      <c r="L7284" s="1" t="str">
        <f t="shared" si="12919"/>
        <v>0</v>
      </c>
      <c r="M7284" s="1" t="str">
        <f t="shared" si="12919"/>
        <v>0</v>
      </c>
      <c r="N7284" s="1" t="str">
        <f t="shared" si="12919"/>
        <v>0</v>
      </c>
      <c r="O7284" s="1" t="str">
        <f t="shared" si="12919"/>
        <v>0</v>
      </c>
      <c r="P7284" s="1" t="str">
        <f t="shared" si="12919"/>
        <v>0</v>
      </c>
      <c r="Q7284" s="1" t="str">
        <f t="shared" si="12868"/>
        <v>0.0070</v>
      </c>
      <c r="R7284" s="1" t="s">
        <v>25</v>
      </c>
      <c r="T7284" s="1" t="str">
        <f t="shared" si="12869"/>
        <v>0</v>
      </c>
      <c r="U7284" s="1" t="str">
        <f t="shared" si="12853"/>
        <v>0.0070</v>
      </c>
    </row>
    <row r="7285" s="1" customFormat="1" spans="1:21">
      <c r="A7285" s="1" t="str">
        <f>"4601992326617"</f>
        <v>4601992326617</v>
      </c>
      <c r="B7285" s="1" t="s">
        <v>7308</v>
      </c>
      <c r="C7285" s="1" t="s">
        <v>24</v>
      </c>
      <c r="D7285" s="1" t="str">
        <f t="shared" si="12866"/>
        <v>2021</v>
      </c>
      <c r="E7285" s="1" t="str">
        <f t="shared" ref="E7285:P7285" si="12920">"0"</f>
        <v>0</v>
      </c>
      <c r="F7285" s="1" t="str">
        <f t="shared" si="12920"/>
        <v>0</v>
      </c>
      <c r="G7285" s="1" t="str">
        <f t="shared" si="12920"/>
        <v>0</v>
      </c>
      <c r="H7285" s="1" t="str">
        <f t="shared" si="12920"/>
        <v>0</v>
      </c>
      <c r="I7285" s="1" t="str">
        <f t="shared" si="12920"/>
        <v>0</v>
      </c>
      <c r="J7285" s="1" t="str">
        <f t="shared" si="12920"/>
        <v>0</v>
      </c>
      <c r="K7285" s="1" t="str">
        <f t="shared" si="12920"/>
        <v>0</v>
      </c>
      <c r="L7285" s="1" t="str">
        <f t="shared" si="12920"/>
        <v>0</v>
      </c>
      <c r="M7285" s="1" t="str">
        <f t="shared" si="12920"/>
        <v>0</v>
      </c>
      <c r="N7285" s="1" t="str">
        <f t="shared" si="12920"/>
        <v>0</v>
      </c>
      <c r="O7285" s="1" t="str">
        <f t="shared" si="12920"/>
        <v>0</v>
      </c>
      <c r="P7285" s="1" t="str">
        <f t="shared" si="12920"/>
        <v>0</v>
      </c>
      <c r="Q7285" s="1" t="str">
        <f t="shared" si="12868"/>
        <v>0.0070</v>
      </c>
      <c r="R7285" s="1" t="s">
        <v>25</v>
      </c>
      <c r="T7285" s="1" t="str">
        <f t="shared" si="12869"/>
        <v>0</v>
      </c>
      <c r="U7285" s="1" t="str">
        <f t="shared" si="12853"/>
        <v>0.0070</v>
      </c>
    </row>
    <row r="7286" s="1" customFormat="1" spans="1:21">
      <c r="A7286" s="1" t="str">
        <f>"4601992326630"</f>
        <v>4601992326630</v>
      </c>
      <c r="B7286" s="1" t="s">
        <v>7309</v>
      </c>
      <c r="C7286" s="1" t="s">
        <v>24</v>
      </c>
      <c r="D7286" s="1" t="str">
        <f t="shared" si="12866"/>
        <v>2021</v>
      </c>
      <c r="E7286" s="1" t="str">
        <f t="shared" ref="E7286:P7286" si="12921">"0"</f>
        <v>0</v>
      </c>
      <c r="F7286" s="1" t="str">
        <f t="shared" si="12921"/>
        <v>0</v>
      </c>
      <c r="G7286" s="1" t="str">
        <f t="shared" si="12921"/>
        <v>0</v>
      </c>
      <c r="H7286" s="1" t="str">
        <f t="shared" si="12921"/>
        <v>0</v>
      </c>
      <c r="I7286" s="1" t="str">
        <f t="shared" si="12921"/>
        <v>0</v>
      </c>
      <c r="J7286" s="1" t="str">
        <f t="shared" si="12921"/>
        <v>0</v>
      </c>
      <c r="K7286" s="1" t="str">
        <f t="shared" si="12921"/>
        <v>0</v>
      </c>
      <c r="L7286" s="1" t="str">
        <f t="shared" si="12921"/>
        <v>0</v>
      </c>
      <c r="M7286" s="1" t="str">
        <f t="shared" si="12921"/>
        <v>0</v>
      </c>
      <c r="N7286" s="1" t="str">
        <f t="shared" si="12921"/>
        <v>0</v>
      </c>
      <c r="O7286" s="1" t="str">
        <f t="shared" si="12921"/>
        <v>0</v>
      </c>
      <c r="P7286" s="1" t="str">
        <f t="shared" si="12921"/>
        <v>0</v>
      </c>
      <c r="Q7286" s="1" t="str">
        <f t="shared" si="12868"/>
        <v>0.0070</v>
      </c>
      <c r="R7286" s="1" t="s">
        <v>25</v>
      </c>
      <c r="T7286" s="1" t="str">
        <f t="shared" si="12869"/>
        <v>0</v>
      </c>
      <c r="U7286" s="1" t="str">
        <f t="shared" ref="U7286:U7349" si="12922">"0.0070"</f>
        <v>0.0070</v>
      </c>
    </row>
    <row r="7287" s="1" customFormat="1" spans="1:21">
      <c r="A7287" s="1" t="str">
        <f>"4601992326746"</f>
        <v>4601992326746</v>
      </c>
      <c r="B7287" s="1" t="s">
        <v>7310</v>
      </c>
      <c r="C7287" s="1" t="s">
        <v>24</v>
      </c>
      <c r="D7287" s="1" t="str">
        <f t="shared" si="12866"/>
        <v>2021</v>
      </c>
      <c r="E7287" s="1" t="str">
        <f t="shared" ref="E7287:P7287" si="12923">"0"</f>
        <v>0</v>
      </c>
      <c r="F7287" s="1" t="str">
        <f t="shared" si="12923"/>
        <v>0</v>
      </c>
      <c r="G7287" s="1" t="str">
        <f t="shared" si="12923"/>
        <v>0</v>
      </c>
      <c r="H7287" s="1" t="str">
        <f t="shared" si="12923"/>
        <v>0</v>
      </c>
      <c r="I7287" s="1" t="str">
        <f t="shared" si="12923"/>
        <v>0</v>
      </c>
      <c r="J7287" s="1" t="str">
        <f t="shared" si="12923"/>
        <v>0</v>
      </c>
      <c r="K7287" s="1" t="str">
        <f t="shared" si="12923"/>
        <v>0</v>
      </c>
      <c r="L7287" s="1" t="str">
        <f t="shared" si="12923"/>
        <v>0</v>
      </c>
      <c r="M7287" s="1" t="str">
        <f t="shared" si="12923"/>
        <v>0</v>
      </c>
      <c r="N7287" s="1" t="str">
        <f t="shared" si="12923"/>
        <v>0</v>
      </c>
      <c r="O7287" s="1" t="str">
        <f t="shared" si="12923"/>
        <v>0</v>
      </c>
      <c r="P7287" s="1" t="str">
        <f t="shared" si="12923"/>
        <v>0</v>
      </c>
      <c r="Q7287" s="1" t="str">
        <f t="shared" si="12868"/>
        <v>0.0070</v>
      </c>
      <c r="R7287" s="1" t="s">
        <v>25</v>
      </c>
      <c r="T7287" s="1" t="str">
        <f t="shared" si="12869"/>
        <v>0</v>
      </c>
      <c r="U7287" s="1" t="str">
        <f t="shared" si="12922"/>
        <v>0.0070</v>
      </c>
    </row>
    <row r="7288" s="1" customFormat="1" spans="1:21">
      <c r="A7288" s="1" t="str">
        <f>"4601992326758"</f>
        <v>4601992326758</v>
      </c>
      <c r="B7288" s="1" t="s">
        <v>7311</v>
      </c>
      <c r="C7288" s="1" t="s">
        <v>24</v>
      </c>
      <c r="D7288" s="1" t="str">
        <f t="shared" si="12866"/>
        <v>2021</v>
      </c>
      <c r="E7288" s="1" t="str">
        <f t="shared" ref="E7288:P7288" si="12924">"0"</f>
        <v>0</v>
      </c>
      <c r="F7288" s="1" t="str">
        <f t="shared" si="12924"/>
        <v>0</v>
      </c>
      <c r="G7288" s="1" t="str">
        <f t="shared" si="12924"/>
        <v>0</v>
      </c>
      <c r="H7288" s="1" t="str">
        <f t="shared" si="12924"/>
        <v>0</v>
      </c>
      <c r="I7288" s="1" t="str">
        <f t="shared" si="12924"/>
        <v>0</v>
      </c>
      <c r="J7288" s="1" t="str">
        <f t="shared" si="12924"/>
        <v>0</v>
      </c>
      <c r="K7288" s="1" t="str">
        <f t="shared" si="12924"/>
        <v>0</v>
      </c>
      <c r="L7288" s="1" t="str">
        <f t="shared" si="12924"/>
        <v>0</v>
      </c>
      <c r="M7288" s="1" t="str">
        <f t="shared" si="12924"/>
        <v>0</v>
      </c>
      <c r="N7288" s="1" t="str">
        <f t="shared" si="12924"/>
        <v>0</v>
      </c>
      <c r="O7288" s="1" t="str">
        <f t="shared" si="12924"/>
        <v>0</v>
      </c>
      <c r="P7288" s="1" t="str">
        <f t="shared" si="12924"/>
        <v>0</v>
      </c>
      <c r="Q7288" s="1" t="str">
        <f t="shared" si="12868"/>
        <v>0.0070</v>
      </c>
      <c r="R7288" s="1" t="s">
        <v>25</v>
      </c>
      <c r="T7288" s="1" t="str">
        <f t="shared" si="12869"/>
        <v>0</v>
      </c>
      <c r="U7288" s="1" t="str">
        <f t="shared" si="12922"/>
        <v>0.0070</v>
      </c>
    </row>
    <row r="7289" s="1" customFormat="1" spans="1:21">
      <c r="A7289" s="1" t="str">
        <f>"4601992326911"</f>
        <v>4601992326911</v>
      </c>
      <c r="B7289" s="1" t="s">
        <v>7312</v>
      </c>
      <c r="C7289" s="1" t="s">
        <v>24</v>
      </c>
      <c r="D7289" s="1" t="str">
        <f t="shared" si="12866"/>
        <v>2021</v>
      </c>
      <c r="E7289" s="1" t="str">
        <f t="shared" ref="E7289:P7289" si="12925">"0"</f>
        <v>0</v>
      </c>
      <c r="F7289" s="1" t="str">
        <f t="shared" si="12925"/>
        <v>0</v>
      </c>
      <c r="G7289" s="1" t="str">
        <f t="shared" si="12925"/>
        <v>0</v>
      </c>
      <c r="H7289" s="1" t="str">
        <f t="shared" si="12925"/>
        <v>0</v>
      </c>
      <c r="I7289" s="1" t="str">
        <f t="shared" si="12925"/>
        <v>0</v>
      </c>
      <c r="J7289" s="1" t="str">
        <f t="shared" si="12925"/>
        <v>0</v>
      </c>
      <c r="K7289" s="1" t="str">
        <f t="shared" si="12925"/>
        <v>0</v>
      </c>
      <c r="L7289" s="1" t="str">
        <f t="shared" si="12925"/>
        <v>0</v>
      </c>
      <c r="M7289" s="1" t="str">
        <f t="shared" si="12925"/>
        <v>0</v>
      </c>
      <c r="N7289" s="1" t="str">
        <f t="shared" si="12925"/>
        <v>0</v>
      </c>
      <c r="O7289" s="1" t="str">
        <f t="shared" si="12925"/>
        <v>0</v>
      </c>
      <c r="P7289" s="1" t="str">
        <f t="shared" si="12925"/>
        <v>0</v>
      </c>
      <c r="Q7289" s="1" t="str">
        <f t="shared" si="12868"/>
        <v>0.0070</v>
      </c>
      <c r="R7289" s="1" t="s">
        <v>25</v>
      </c>
      <c r="T7289" s="1" t="str">
        <f t="shared" si="12869"/>
        <v>0</v>
      </c>
      <c r="U7289" s="1" t="str">
        <f t="shared" si="12922"/>
        <v>0.0070</v>
      </c>
    </row>
    <row r="7290" s="1" customFormat="1" spans="1:21">
      <c r="A7290" s="1" t="str">
        <f>"4601992326797"</f>
        <v>4601992326797</v>
      </c>
      <c r="B7290" s="1" t="s">
        <v>7313</v>
      </c>
      <c r="C7290" s="1" t="s">
        <v>24</v>
      </c>
      <c r="D7290" s="1" t="str">
        <f t="shared" si="12866"/>
        <v>2021</v>
      </c>
      <c r="E7290" s="1" t="str">
        <f t="shared" ref="E7290:P7290" si="12926">"0"</f>
        <v>0</v>
      </c>
      <c r="F7290" s="1" t="str">
        <f t="shared" si="12926"/>
        <v>0</v>
      </c>
      <c r="G7290" s="1" t="str">
        <f t="shared" si="12926"/>
        <v>0</v>
      </c>
      <c r="H7290" s="1" t="str">
        <f t="shared" si="12926"/>
        <v>0</v>
      </c>
      <c r="I7290" s="1" t="str">
        <f t="shared" si="12926"/>
        <v>0</v>
      </c>
      <c r="J7290" s="1" t="str">
        <f t="shared" si="12926"/>
        <v>0</v>
      </c>
      <c r="K7290" s="1" t="str">
        <f t="shared" si="12926"/>
        <v>0</v>
      </c>
      <c r="L7290" s="1" t="str">
        <f t="shared" si="12926"/>
        <v>0</v>
      </c>
      <c r="M7290" s="1" t="str">
        <f t="shared" si="12926"/>
        <v>0</v>
      </c>
      <c r="N7290" s="1" t="str">
        <f t="shared" si="12926"/>
        <v>0</v>
      </c>
      <c r="O7290" s="1" t="str">
        <f t="shared" si="12926"/>
        <v>0</v>
      </c>
      <c r="P7290" s="1" t="str">
        <f t="shared" si="12926"/>
        <v>0</v>
      </c>
      <c r="Q7290" s="1" t="str">
        <f t="shared" si="12868"/>
        <v>0.0070</v>
      </c>
      <c r="R7290" s="1" t="s">
        <v>25</v>
      </c>
      <c r="T7290" s="1" t="str">
        <f t="shared" si="12869"/>
        <v>0</v>
      </c>
      <c r="U7290" s="1" t="str">
        <f t="shared" si="12922"/>
        <v>0.0070</v>
      </c>
    </row>
    <row r="7291" s="1" customFormat="1" spans="1:21">
      <c r="A7291" s="1" t="str">
        <f>"4601992326945"</f>
        <v>4601992326945</v>
      </c>
      <c r="B7291" s="1" t="s">
        <v>7314</v>
      </c>
      <c r="C7291" s="1" t="s">
        <v>24</v>
      </c>
      <c r="D7291" s="1" t="str">
        <f t="shared" si="12866"/>
        <v>2021</v>
      </c>
      <c r="E7291" s="1" t="str">
        <f t="shared" ref="E7291:P7291" si="12927">"0"</f>
        <v>0</v>
      </c>
      <c r="F7291" s="1" t="str">
        <f t="shared" si="12927"/>
        <v>0</v>
      </c>
      <c r="G7291" s="1" t="str">
        <f t="shared" si="12927"/>
        <v>0</v>
      </c>
      <c r="H7291" s="1" t="str">
        <f t="shared" si="12927"/>
        <v>0</v>
      </c>
      <c r="I7291" s="1" t="str">
        <f t="shared" si="12927"/>
        <v>0</v>
      </c>
      <c r="J7291" s="1" t="str">
        <f t="shared" si="12927"/>
        <v>0</v>
      </c>
      <c r="K7291" s="1" t="str">
        <f t="shared" si="12927"/>
        <v>0</v>
      </c>
      <c r="L7291" s="1" t="str">
        <f t="shared" si="12927"/>
        <v>0</v>
      </c>
      <c r="M7291" s="1" t="str">
        <f t="shared" si="12927"/>
        <v>0</v>
      </c>
      <c r="N7291" s="1" t="str">
        <f t="shared" si="12927"/>
        <v>0</v>
      </c>
      <c r="O7291" s="1" t="str">
        <f t="shared" si="12927"/>
        <v>0</v>
      </c>
      <c r="P7291" s="1" t="str">
        <f t="shared" si="12927"/>
        <v>0</v>
      </c>
      <c r="Q7291" s="1" t="str">
        <f t="shared" si="12868"/>
        <v>0.0070</v>
      </c>
      <c r="R7291" s="1" t="s">
        <v>25</v>
      </c>
      <c r="T7291" s="1" t="str">
        <f t="shared" si="12869"/>
        <v>0</v>
      </c>
      <c r="U7291" s="1" t="str">
        <f t="shared" si="12922"/>
        <v>0.0070</v>
      </c>
    </row>
    <row r="7292" s="1" customFormat="1" spans="1:21">
      <c r="A7292" s="1" t="str">
        <f>"4601992327075"</f>
        <v>4601992327075</v>
      </c>
      <c r="B7292" s="1" t="s">
        <v>7315</v>
      </c>
      <c r="C7292" s="1" t="s">
        <v>24</v>
      </c>
      <c r="D7292" s="1" t="str">
        <f t="shared" si="12866"/>
        <v>2021</v>
      </c>
      <c r="E7292" s="1" t="str">
        <f t="shared" ref="E7292:P7292" si="12928">"0"</f>
        <v>0</v>
      </c>
      <c r="F7292" s="1" t="str">
        <f t="shared" si="12928"/>
        <v>0</v>
      </c>
      <c r="G7292" s="1" t="str">
        <f t="shared" si="12928"/>
        <v>0</v>
      </c>
      <c r="H7292" s="1" t="str">
        <f t="shared" si="12928"/>
        <v>0</v>
      </c>
      <c r="I7292" s="1" t="str">
        <f t="shared" si="12928"/>
        <v>0</v>
      </c>
      <c r="J7292" s="1" t="str">
        <f t="shared" si="12928"/>
        <v>0</v>
      </c>
      <c r="K7292" s="1" t="str">
        <f t="shared" si="12928"/>
        <v>0</v>
      </c>
      <c r="L7292" s="1" t="str">
        <f t="shared" si="12928"/>
        <v>0</v>
      </c>
      <c r="M7292" s="1" t="str">
        <f t="shared" si="12928"/>
        <v>0</v>
      </c>
      <c r="N7292" s="1" t="str">
        <f t="shared" si="12928"/>
        <v>0</v>
      </c>
      <c r="O7292" s="1" t="str">
        <f t="shared" si="12928"/>
        <v>0</v>
      </c>
      <c r="P7292" s="1" t="str">
        <f t="shared" si="12928"/>
        <v>0</v>
      </c>
      <c r="Q7292" s="1" t="str">
        <f t="shared" si="12868"/>
        <v>0.0070</v>
      </c>
      <c r="R7292" s="1" t="s">
        <v>25</v>
      </c>
      <c r="T7292" s="1" t="str">
        <f t="shared" si="12869"/>
        <v>0</v>
      </c>
      <c r="U7292" s="1" t="str">
        <f t="shared" si="12922"/>
        <v>0.0070</v>
      </c>
    </row>
    <row r="7293" s="1" customFormat="1" spans="1:21">
      <c r="A7293" s="1" t="str">
        <f>"4601992327105"</f>
        <v>4601992327105</v>
      </c>
      <c r="B7293" s="1" t="s">
        <v>7316</v>
      </c>
      <c r="C7293" s="1" t="s">
        <v>24</v>
      </c>
      <c r="D7293" s="1" t="str">
        <f t="shared" si="12866"/>
        <v>2021</v>
      </c>
      <c r="E7293" s="1" t="str">
        <f t="shared" ref="E7293:P7293" si="12929">"0"</f>
        <v>0</v>
      </c>
      <c r="F7293" s="1" t="str">
        <f t="shared" si="12929"/>
        <v>0</v>
      </c>
      <c r="G7293" s="1" t="str">
        <f t="shared" si="12929"/>
        <v>0</v>
      </c>
      <c r="H7293" s="1" t="str">
        <f t="shared" si="12929"/>
        <v>0</v>
      </c>
      <c r="I7293" s="1" t="str">
        <f t="shared" si="12929"/>
        <v>0</v>
      </c>
      <c r="J7293" s="1" t="str">
        <f t="shared" si="12929"/>
        <v>0</v>
      </c>
      <c r="K7293" s="1" t="str">
        <f t="shared" si="12929"/>
        <v>0</v>
      </c>
      <c r="L7293" s="1" t="str">
        <f t="shared" si="12929"/>
        <v>0</v>
      </c>
      <c r="M7293" s="1" t="str">
        <f t="shared" si="12929"/>
        <v>0</v>
      </c>
      <c r="N7293" s="1" t="str">
        <f t="shared" si="12929"/>
        <v>0</v>
      </c>
      <c r="O7293" s="1" t="str">
        <f t="shared" si="12929"/>
        <v>0</v>
      </c>
      <c r="P7293" s="1" t="str">
        <f t="shared" si="12929"/>
        <v>0</v>
      </c>
      <c r="Q7293" s="1" t="str">
        <f t="shared" si="12868"/>
        <v>0.0070</v>
      </c>
      <c r="R7293" s="1" t="s">
        <v>25</v>
      </c>
      <c r="T7293" s="1" t="str">
        <f t="shared" si="12869"/>
        <v>0</v>
      </c>
      <c r="U7293" s="1" t="str">
        <f t="shared" si="12922"/>
        <v>0.0070</v>
      </c>
    </row>
    <row r="7294" s="1" customFormat="1" spans="1:21">
      <c r="A7294" s="1" t="str">
        <f>"4601992327102"</f>
        <v>4601992327102</v>
      </c>
      <c r="B7294" s="1" t="s">
        <v>7317</v>
      </c>
      <c r="C7294" s="1" t="s">
        <v>24</v>
      </c>
      <c r="D7294" s="1" t="str">
        <f t="shared" si="12866"/>
        <v>2021</v>
      </c>
      <c r="E7294" s="1" t="str">
        <f t="shared" ref="E7294:P7294" si="12930">"0"</f>
        <v>0</v>
      </c>
      <c r="F7294" s="1" t="str">
        <f t="shared" si="12930"/>
        <v>0</v>
      </c>
      <c r="G7294" s="1" t="str">
        <f t="shared" si="12930"/>
        <v>0</v>
      </c>
      <c r="H7294" s="1" t="str">
        <f t="shared" si="12930"/>
        <v>0</v>
      </c>
      <c r="I7294" s="1" t="str">
        <f t="shared" si="12930"/>
        <v>0</v>
      </c>
      <c r="J7294" s="1" t="str">
        <f t="shared" si="12930"/>
        <v>0</v>
      </c>
      <c r="K7294" s="1" t="str">
        <f t="shared" si="12930"/>
        <v>0</v>
      </c>
      <c r="L7294" s="1" t="str">
        <f t="shared" si="12930"/>
        <v>0</v>
      </c>
      <c r="M7294" s="1" t="str">
        <f t="shared" si="12930"/>
        <v>0</v>
      </c>
      <c r="N7294" s="1" t="str">
        <f t="shared" si="12930"/>
        <v>0</v>
      </c>
      <c r="O7294" s="1" t="str">
        <f t="shared" si="12930"/>
        <v>0</v>
      </c>
      <c r="P7294" s="1" t="str">
        <f t="shared" si="12930"/>
        <v>0</v>
      </c>
      <c r="Q7294" s="1" t="str">
        <f t="shared" si="12868"/>
        <v>0.0070</v>
      </c>
      <c r="R7294" s="1" t="s">
        <v>25</v>
      </c>
      <c r="T7294" s="1" t="str">
        <f t="shared" si="12869"/>
        <v>0</v>
      </c>
      <c r="U7294" s="1" t="str">
        <f t="shared" si="12922"/>
        <v>0.0070</v>
      </c>
    </row>
    <row r="7295" s="1" customFormat="1" spans="1:21">
      <c r="A7295" s="1" t="str">
        <f>"4601992327126"</f>
        <v>4601992327126</v>
      </c>
      <c r="B7295" s="1" t="s">
        <v>7318</v>
      </c>
      <c r="C7295" s="1" t="s">
        <v>24</v>
      </c>
      <c r="D7295" s="1" t="str">
        <f t="shared" si="12866"/>
        <v>2021</v>
      </c>
      <c r="E7295" s="1" t="str">
        <f t="shared" ref="E7295:P7295" si="12931">"0"</f>
        <v>0</v>
      </c>
      <c r="F7295" s="1" t="str">
        <f t="shared" si="12931"/>
        <v>0</v>
      </c>
      <c r="G7295" s="1" t="str">
        <f t="shared" si="12931"/>
        <v>0</v>
      </c>
      <c r="H7295" s="1" t="str">
        <f t="shared" si="12931"/>
        <v>0</v>
      </c>
      <c r="I7295" s="1" t="str">
        <f t="shared" si="12931"/>
        <v>0</v>
      </c>
      <c r="J7295" s="1" t="str">
        <f t="shared" si="12931"/>
        <v>0</v>
      </c>
      <c r="K7295" s="1" t="str">
        <f t="shared" si="12931"/>
        <v>0</v>
      </c>
      <c r="L7295" s="1" t="str">
        <f t="shared" si="12931"/>
        <v>0</v>
      </c>
      <c r="M7295" s="1" t="str">
        <f t="shared" si="12931"/>
        <v>0</v>
      </c>
      <c r="N7295" s="1" t="str">
        <f t="shared" si="12931"/>
        <v>0</v>
      </c>
      <c r="O7295" s="1" t="str">
        <f t="shared" si="12931"/>
        <v>0</v>
      </c>
      <c r="P7295" s="1" t="str">
        <f t="shared" si="12931"/>
        <v>0</v>
      </c>
      <c r="Q7295" s="1" t="str">
        <f t="shared" si="12868"/>
        <v>0.0070</v>
      </c>
      <c r="R7295" s="1" t="s">
        <v>25</v>
      </c>
      <c r="T7295" s="1" t="str">
        <f t="shared" si="12869"/>
        <v>0</v>
      </c>
      <c r="U7295" s="1" t="str">
        <f t="shared" si="12922"/>
        <v>0.0070</v>
      </c>
    </row>
    <row r="7296" s="1" customFormat="1" spans="1:21">
      <c r="A7296" s="1" t="str">
        <f>"4601992327452"</f>
        <v>4601992327452</v>
      </c>
      <c r="B7296" s="1" t="s">
        <v>7319</v>
      </c>
      <c r="C7296" s="1" t="s">
        <v>24</v>
      </c>
      <c r="D7296" s="1" t="str">
        <f t="shared" si="12866"/>
        <v>2021</v>
      </c>
      <c r="E7296" s="1" t="str">
        <f t="shared" ref="E7296:P7296" si="12932">"0"</f>
        <v>0</v>
      </c>
      <c r="F7296" s="1" t="str">
        <f t="shared" si="12932"/>
        <v>0</v>
      </c>
      <c r="G7296" s="1" t="str">
        <f t="shared" si="12932"/>
        <v>0</v>
      </c>
      <c r="H7296" s="1" t="str">
        <f t="shared" si="12932"/>
        <v>0</v>
      </c>
      <c r="I7296" s="1" t="str">
        <f t="shared" si="12932"/>
        <v>0</v>
      </c>
      <c r="J7296" s="1" t="str">
        <f t="shared" si="12932"/>
        <v>0</v>
      </c>
      <c r="K7296" s="1" t="str">
        <f t="shared" si="12932"/>
        <v>0</v>
      </c>
      <c r="L7296" s="1" t="str">
        <f t="shared" si="12932"/>
        <v>0</v>
      </c>
      <c r="M7296" s="1" t="str">
        <f t="shared" si="12932"/>
        <v>0</v>
      </c>
      <c r="N7296" s="1" t="str">
        <f t="shared" si="12932"/>
        <v>0</v>
      </c>
      <c r="O7296" s="1" t="str">
        <f t="shared" si="12932"/>
        <v>0</v>
      </c>
      <c r="P7296" s="1" t="str">
        <f t="shared" si="12932"/>
        <v>0</v>
      </c>
      <c r="Q7296" s="1" t="str">
        <f t="shared" si="12868"/>
        <v>0.0070</v>
      </c>
      <c r="R7296" s="1" t="s">
        <v>25</v>
      </c>
      <c r="T7296" s="1" t="str">
        <f t="shared" si="12869"/>
        <v>0</v>
      </c>
      <c r="U7296" s="1" t="str">
        <f t="shared" si="12922"/>
        <v>0.0070</v>
      </c>
    </row>
    <row r="7297" s="1" customFormat="1" spans="1:21">
      <c r="A7297" s="1" t="str">
        <f>"4601992327376"</f>
        <v>4601992327376</v>
      </c>
      <c r="B7297" s="1" t="s">
        <v>7320</v>
      </c>
      <c r="C7297" s="1" t="s">
        <v>24</v>
      </c>
      <c r="D7297" s="1" t="str">
        <f t="shared" si="12866"/>
        <v>2021</v>
      </c>
      <c r="E7297" s="1" t="str">
        <f t="shared" ref="E7297:P7297" si="12933">"0"</f>
        <v>0</v>
      </c>
      <c r="F7297" s="1" t="str">
        <f t="shared" si="12933"/>
        <v>0</v>
      </c>
      <c r="G7297" s="1" t="str">
        <f t="shared" si="12933"/>
        <v>0</v>
      </c>
      <c r="H7297" s="1" t="str">
        <f t="shared" si="12933"/>
        <v>0</v>
      </c>
      <c r="I7297" s="1" t="str">
        <f t="shared" si="12933"/>
        <v>0</v>
      </c>
      <c r="J7297" s="1" t="str">
        <f t="shared" si="12933"/>
        <v>0</v>
      </c>
      <c r="K7297" s="1" t="str">
        <f t="shared" si="12933"/>
        <v>0</v>
      </c>
      <c r="L7297" s="1" t="str">
        <f t="shared" si="12933"/>
        <v>0</v>
      </c>
      <c r="M7297" s="1" t="str">
        <f t="shared" si="12933"/>
        <v>0</v>
      </c>
      <c r="N7297" s="1" t="str">
        <f t="shared" si="12933"/>
        <v>0</v>
      </c>
      <c r="O7297" s="1" t="str">
        <f t="shared" si="12933"/>
        <v>0</v>
      </c>
      <c r="P7297" s="1" t="str">
        <f t="shared" si="12933"/>
        <v>0</v>
      </c>
      <c r="Q7297" s="1" t="str">
        <f t="shared" si="12868"/>
        <v>0.0070</v>
      </c>
      <c r="R7297" s="1" t="s">
        <v>25</v>
      </c>
      <c r="T7297" s="1" t="str">
        <f t="shared" si="12869"/>
        <v>0</v>
      </c>
      <c r="U7297" s="1" t="str">
        <f t="shared" si="12922"/>
        <v>0.0070</v>
      </c>
    </row>
    <row r="7298" s="1" customFormat="1" spans="1:21">
      <c r="A7298" s="1" t="str">
        <f>"4601992327223"</f>
        <v>4601992327223</v>
      </c>
      <c r="B7298" s="1" t="s">
        <v>7321</v>
      </c>
      <c r="C7298" s="1" t="s">
        <v>24</v>
      </c>
      <c r="D7298" s="1" t="str">
        <f t="shared" si="12866"/>
        <v>2021</v>
      </c>
      <c r="E7298" s="1" t="str">
        <f t="shared" ref="E7298:P7298" si="12934">"0"</f>
        <v>0</v>
      </c>
      <c r="F7298" s="1" t="str">
        <f t="shared" si="12934"/>
        <v>0</v>
      </c>
      <c r="G7298" s="1" t="str">
        <f t="shared" si="12934"/>
        <v>0</v>
      </c>
      <c r="H7298" s="1" t="str">
        <f t="shared" si="12934"/>
        <v>0</v>
      </c>
      <c r="I7298" s="1" t="str">
        <f t="shared" si="12934"/>
        <v>0</v>
      </c>
      <c r="J7298" s="1" t="str">
        <f t="shared" si="12934"/>
        <v>0</v>
      </c>
      <c r="K7298" s="1" t="str">
        <f t="shared" si="12934"/>
        <v>0</v>
      </c>
      <c r="L7298" s="1" t="str">
        <f t="shared" si="12934"/>
        <v>0</v>
      </c>
      <c r="M7298" s="1" t="str">
        <f t="shared" si="12934"/>
        <v>0</v>
      </c>
      <c r="N7298" s="1" t="str">
        <f t="shared" si="12934"/>
        <v>0</v>
      </c>
      <c r="O7298" s="1" t="str">
        <f t="shared" si="12934"/>
        <v>0</v>
      </c>
      <c r="P7298" s="1" t="str">
        <f t="shared" si="12934"/>
        <v>0</v>
      </c>
      <c r="Q7298" s="1" t="str">
        <f t="shared" si="12868"/>
        <v>0.0070</v>
      </c>
      <c r="R7298" s="1" t="s">
        <v>25</v>
      </c>
      <c r="T7298" s="1" t="str">
        <f t="shared" si="12869"/>
        <v>0</v>
      </c>
      <c r="U7298" s="1" t="str">
        <f t="shared" si="12922"/>
        <v>0.0070</v>
      </c>
    </row>
    <row r="7299" s="1" customFormat="1" spans="1:21">
      <c r="A7299" s="1" t="str">
        <f>"4601992327564"</f>
        <v>4601992327564</v>
      </c>
      <c r="B7299" s="1" t="s">
        <v>7322</v>
      </c>
      <c r="C7299" s="1" t="s">
        <v>24</v>
      </c>
      <c r="D7299" s="1" t="str">
        <f t="shared" ref="D7299:D7362" si="12935">"2021"</f>
        <v>2021</v>
      </c>
      <c r="E7299" s="1" t="str">
        <f t="shared" ref="E7299:P7299" si="12936">"0"</f>
        <v>0</v>
      </c>
      <c r="F7299" s="1" t="str">
        <f t="shared" si="12936"/>
        <v>0</v>
      </c>
      <c r="G7299" s="1" t="str">
        <f t="shared" si="12936"/>
        <v>0</v>
      </c>
      <c r="H7299" s="1" t="str">
        <f t="shared" si="12936"/>
        <v>0</v>
      </c>
      <c r="I7299" s="1" t="str">
        <f t="shared" si="12936"/>
        <v>0</v>
      </c>
      <c r="J7299" s="1" t="str">
        <f t="shared" si="12936"/>
        <v>0</v>
      </c>
      <c r="K7299" s="1" t="str">
        <f t="shared" si="12936"/>
        <v>0</v>
      </c>
      <c r="L7299" s="1" t="str">
        <f t="shared" si="12936"/>
        <v>0</v>
      </c>
      <c r="M7299" s="1" t="str">
        <f t="shared" si="12936"/>
        <v>0</v>
      </c>
      <c r="N7299" s="1" t="str">
        <f t="shared" si="12936"/>
        <v>0</v>
      </c>
      <c r="O7299" s="1" t="str">
        <f t="shared" si="12936"/>
        <v>0</v>
      </c>
      <c r="P7299" s="1" t="str">
        <f t="shared" si="12936"/>
        <v>0</v>
      </c>
      <c r="Q7299" s="1" t="str">
        <f t="shared" ref="Q7299:Q7362" si="12937">"0.0070"</f>
        <v>0.0070</v>
      </c>
      <c r="R7299" s="1" t="s">
        <v>25</v>
      </c>
      <c r="T7299" s="1" t="str">
        <f t="shared" ref="T7299:T7362" si="12938">"0"</f>
        <v>0</v>
      </c>
      <c r="U7299" s="1" t="str">
        <f t="shared" si="12922"/>
        <v>0.0070</v>
      </c>
    </row>
    <row r="7300" s="1" customFormat="1" spans="1:21">
      <c r="A7300" s="1" t="str">
        <f>"4601992327570"</f>
        <v>4601992327570</v>
      </c>
      <c r="B7300" s="1" t="s">
        <v>7323</v>
      </c>
      <c r="C7300" s="1" t="s">
        <v>24</v>
      </c>
      <c r="D7300" s="1" t="str">
        <f t="shared" si="12935"/>
        <v>2021</v>
      </c>
      <c r="E7300" s="1" t="str">
        <f t="shared" ref="E7300:P7300" si="12939">"0"</f>
        <v>0</v>
      </c>
      <c r="F7300" s="1" t="str">
        <f t="shared" si="12939"/>
        <v>0</v>
      </c>
      <c r="G7300" s="1" t="str">
        <f t="shared" si="12939"/>
        <v>0</v>
      </c>
      <c r="H7300" s="1" t="str">
        <f t="shared" si="12939"/>
        <v>0</v>
      </c>
      <c r="I7300" s="1" t="str">
        <f t="shared" si="12939"/>
        <v>0</v>
      </c>
      <c r="J7300" s="1" t="str">
        <f t="shared" si="12939"/>
        <v>0</v>
      </c>
      <c r="K7300" s="1" t="str">
        <f t="shared" si="12939"/>
        <v>0</v>
      </c>
      <c r="L7300" s="1" t="str">
        <f t="shared" si="12939"/>
        <v>0</v>
      </c>
      <c r="M7300" s="1" t="str">
        <f t="shared" si="12939"/>
        <v>0</v>
      </c>
      <c r="N7300" s="1" t="str">
        <f t="shared" si="12939"/>
        <v>0</v>
      </c>
      <c r="O7300" s="1" t="str">
        <f t="shared" si="12939"/>
        <v>0</v>
      </c>
      <c r="P7300" s="1" t="str">
        <f t="shared" si="12939"/>
        <v>0</v>
      </c>
      <c r="Q7300" s="1" t="str">
        <f t="shared" si="12937"/>
        <v>0.0070</v>
      </c>
      <c r="R7300" s="1" t="s">
        <v>25</v>
      </c>
      <c r="T7300" s="1" t="str">
        <f t="shared" si="12938"/>
        <v>0</v>
      </c>
      <c r="U7300" s="1" t="str">
        <f t="shared" si="12922"/>
        <v>0.0070</v>
      </c>
    </row>
    <row r="7301" s="1" customFormat="1" spans="1:21">
      <c r="A7301" s="1" t="str">
        <f>"4601992327633"</f>
        <v>4601992327633</v>
      </c>
      <c r="B7301" s="1" t="s">
        <v>7324</v>
      </c>
      <c r="C7301" s="1" t="s">
        <v>24</v>
      </c>
      <c r="D7301" s="1" t="str">
        <f t="shared" si="12935"/>
        <v>2021</v>
      </c>
      <c r="E7301" s="1" t="str">
        <f t="shared" ref="E7301:P7301" si="12940">"0"</f>
        <v>0</v>
      </c>
      <c r="F7301" s="1" t="str">
        <f t="shared" si="12940"/>
        <v>0</v>
      </c>
      <c r="G7301" s="1" t="str">
        <f t="shared" si="12940"/>
        <v>0</v>
      </c>
      <c r="H7301" s="1" t="str">
        <f t="shared" si="12940"/>
        <v>0</v>
      </c>
      <c r="I7301" s="1" t="str">
        <f t="shared" si="12940"/>
        <v>0</v>
      </c>
      <c r="J7301" s="1" t="str">
        <f t="shared" si="12940"/>
        <v>0</v>
      </c>
      <c r="K7301" s="1" t="str">
        <f t="shared" si="12940"/>
        <v>0</v>
      </c>
      <c r="L7301" s="1" t="str">
        <f t="shared" si="12940"/>
        <v>0</v>
      </c>
      <c r="M7301" s="1" t="str">
        <f t="shared" si="12940"/>
        <v>0</v>
      </c>
      <c r="N7301" s="1" t="str">
        <f t="shared" si="12940"/>
        <v>0</v>
      </c>
      <c r="O7301" s="1" t="str">
        <f t="shared" si="12940"/>
        <v>0</v>
      </c>
      <c r="P7301" s="1" t="str">
        <f t="shared" si="12940"/>
        <v>0</v>
      </c>
      <c r="Q7301" s="1" t="str">
        <f t="shared" si="12937"/>
        <v>0.0070</v>
      </c>
      <c r="R7301" s="1" t="s">
        <v>25</v>
      </c>
      <c r="T7301" s="1" t="str">
        <f t="shared" si="12938"/>
        <v>0</v>
      </c>
      <c r="U7301" s="1" t="str">
        <f t="shared" si="12922"/>
        <v>0.0070</v>
      </c>
    </row>
    <row r="7302" s="1" customFormat="1" spans="1:21">
      <c r="A7302" s="1" t="str">
        <f>"4601992327607"</f>
        <v>4601992327607</v>
      </c>
      <c r="B7302" s="1" t="s">
        <v>7325</v>
      </c>
      <c r="C7302" s="1" t="s">
        <v>24</v>
      </c>
      <c r="D7302" s="1" t="str">
        <f t="shared" si="12935"/>
        <v>2021</v>
      </c>
      <c r="E7302" s="1" t="str">
        <f t="shared" ref="E7302:P7302" si="12941">"0"</f>
        <v>0</v>
      </c>
      <c r="F7302" s="1" t="str">
        <f t="shared" si="12941"/>
        <v>0</v>
      </c>
      <c r="G7302" s="1" t="str">
        <f t="shared" si="12941"/>
        <v>0</v>
      </c>
      <c r="H7302" s="1" t="str">
        <f t="shared" si="12941"/>
        <v>0</v>
      </c>
      <c r="I7302" s="1" t="str">
        <f t="shared" si="12941"/>
        <v>0</v>
      </c>
      <c r="J7302" s="1" t="str">
        <f t="shared" si="12941"/>
        <v>0</v>
      </c>
      <c r="K7302" s="1" t="str">
        <f t="shared" si="12941"/>
        <v>0</v>
      </c>
      <c r="L7302" s="1" t="str">
        <f t="shared" si="12941"/>
        <v>0</v>
      </c>
      <c r="M7302" s="1" t="str">
        <f t="shared" si="12941"/>
        <v>0</v>
      </c>
      <c r="N7302" s="1" t="str">
        <f t="shared" si="12941"/>
        <v>0</v>
      </c>
      <c r="O7302" s="1" t="str">
        <f t="shared" si="12941"/>
        <v>0</v>
      </c>
      <c r="P7302" s="1" t="str">
        <f t="shared" si="12941"/>
        <v>0</v>
      </c>
      <c r="Q7302" s="1" t="str">
        <f t="shared" si="12937"/>
        <v>0.0070</v>
      </c>
      <c r="R7302" s="1" t="s">
        <v>25</v>
      </c>
      <c r="T7302" s="1" t="str">
        <f t="shared" si="12938"/>
        <v>0</v>
      </c>
      <c r="U7302" s="1" t="str">
        <f t="shared" si="12922"/>
        <v>0.0070</v>
      </c>
    </row>
    <row r="7303" s="1" customFormat="1" spans="1:21">
      <c r="A7303" s="1" t="str">
        <f>"4601992328232"</f>
        <v>4601992328232</v>
      </c>
      <c r="B7303" s="1" t="s">
        <v>7326</v>
      </c>
      <c r="C7303" s="1" t="s">
        <v>24</v>
      </c>
      <c r="D7303" s="1" t="str">
        <f t="shared" si="12935"/>
        <v>2021</v>
      </c>
      <c r="E7303" s="1" t="str">
        <f t="shared" ref="E7303:P7303" si="12942">"0"</f>
        <v>0</v>
      </c>
      <c r="F7303" s="1" t="str">
        <f t="shared" si="12942"/>
        <v>0</v>
      </c>
      <c r="G7303" s="1" t="str">
        <f t="shared" si="12942"/>
        <v>0</v>
      </c>
      <c r="H7303" s="1" t="str">
        <f t="shared" si="12942"/>
        <v>0</v>
      </c>
      <c r="I7303" s="1" t="str">
        <f t="shared" si="12942"/>
        <v>0</v>
      </c>
      <c r="J7303" s="1" t="str">
        <f t="shared" si="12942"/>
        <v>0</v>
      </c>
      <c r="K7303" s="1" t="str">
        <f t="shared" si="12942"/>
        <v>0</v>
      </c>
      <c r="L7303" s="1" t="str">
        <f t="shared" si="12942"/>
        <v>0</v>
      </c>
      <c r="M7303" s="1" t="str">
        <f t="shared" si="12942"/>
        <v>0</v>
      </c>
      <c r="N7303" s="1" t="str">
        <f t="shared" si="12942"/>
        <v>0</v>
      </c>
      <c r="O7303" s="1" t="str">
        <f t="shared" si="12942"/>
        <v>0</v>
      </c>
      <c r="P7303" s="1" t="str">
        <f t="shared" si="12942"/>
        <v>0</v>
      </c>
      <c r="Q7303" s="1" t="str">
        <f t="shared" si="12937"/>
        <v>0.0070</v>
      </c>
      <c r="R7303" s="1" t="s">
        <v>25</v>
      </c>
      <c r="T7303" s="1" t="str">
        <f t="shared" si="12938"/>
        <v>0</v>
      </c>
      <c r="U7303" s="1" t="str">
        <f t="shared" si="12922"/>
        <v>0.0070</v>
      </c>
    </row>
    <row r="7304" s="1" customFormat="1" spans="1:21">
      <c r="A7304" s="1" t="str">
        <f>"4601992327833"</f>
        <v>4601992327833</v>
      </c>
      <c r="B7304" s="1" t="s">
        <v>7327</v>
      </c>
      <c r="C7304" s="1" t="s">
        <v>24</v>
      </c>
      <c r="D7304" s="1" t="str">
        <f t="shared" si="12935"/>
        <v>2021</v>
      </c>
      <c r="E7304" s="1" t="str">
        <f t="shared" ref="E7304:P7304" si="12943">"0"</f>
        <v>0</v>
      </c>
      <c r="F7304" s="1" t="str">
        <f t="shared" si="12943"/>
        <v>0</v>
      </c>
      <c r="G7304" s="1" t="str">
        <f t="shared" si="12943"/>
        <v>0</v>
      </c>
      <c r="H7304" s="1" t="str">
        <f t="shared" si="12943"/>
        <v>0</v>
      </c>
      <c r="I7304" s="1" t="str">
        <f t="shared" si="12943"/>
        <v>0</v>
      </c>
      <c r="J7304" s="1" t="str">
        <f t="shared" si="12943"/>
        <v>0</v>
      </c>
      <c r="K7304" s="1" t="str">
        <f t="shared" si="12943"/>
        <v>0</v>
      </c>
      <c r="L7304" s="1" t="str">
        <f t="shared" si="12943"/>
        <v>0</v>
      </c>
      <c r="M7304" s="1" t="str">
        <f t="shared" si="12943"/>
        <v>0</v>
      </c>
      <c r="N7304" s="1" t="str">
        <f t="shared" si="12943"/>
        <v>0</v>
      </c>
      <c r="O7304" s="1" t="str">
        <f t="shared" si="12943"/>
        <v>0</v>
      </c>
      <c r="P7304" s="1" t="str">
        <f t="shared" si="12943"/>
        <v>0</v>
      </c>
      <c r="Q7304" s="1" t="str">
        <f t="shared" si="12937"/>
        <v>0.0070</v>
      </c>
      <c r="R7304" s="1" t="s">
        <v>25</v>
      </c>
      <c r="T7304" s="1" t="str">
        <f t="shared" si="12938"/>
        <v>0</v>
      </c>
      <c r="U7304" s="1" t="str">
        <f t="shared" si="12922"/>
        <v>0.0070</v>
      </c>
    </row>
    <row r="7305" s="1" customFormat="1" spans="1:21">
      <c r="A7305" s="1" t="str">
        <f>"4601992327808"</f>
        <v>4601992327808</v>
      </c>
      <c r="B7305" s="1" t="s">
        <v>7328</v>
      </c>
      <c r="C7305" s="1" t="s">
        <v>24</v>
      </c>
      <c r="D7305" s="1" t="str">
        <f t="shared" si="12935"/>
        <v>2021</v>
      </c>
      <c r="E7305" s="1" t="str">
        <f t="shared" ref="E7305:P7305" si="12944">"0"</f>
        <v>0</v>
      </c>
      <c r="F7305" s="1" t="str">
        <f t="shared" si="12944"/>
        <v>0</v>
      </c>
      <c r="G7305" s="1" t="str">
        <f t="shared" si="12944"/>
        <v>0</v>
      </c>
      <c r="H7305" s="1" t="str">
        <f t="shared" si="12944"/>
        <v>0</v>
      </c>
      <c r="I7305" s="1" t="str">
        <f t="shared" si="12944"/>
        <v>0</v>
      </c>
      <c r="J7305" s="1" t="str">
        <f t="shared" si="12944"/>
        <v>0</v>
      </c>
      <c r="K7305" s="1" t="str">
        <f t="shared" si="12944"/>
        <v>0</v>
      </c>
      <c r="L7305" s="1" t="str">
        <f t="shared" si="12944"/>
        <v>0</v>
      </c>
      <c r="M7305" s="1" t="str">
        <f t="shared" si="12944"/>
        <v>0</v>
      </c>
      <c r="N7305" s="1" t="str">
        <f t="shared" si="12944"/>
        <v>0</v>
      </c>
      <c r="O7305" s="1" t="str">
        <f t="shared" si="12944"/>
        <v>0</v>
      </c>
      <c r="P7305" s="1" t="str">
        <f t="shared" si="12944"/>
        <v>0</v>
      </c>
      <c r="Q7305" s="1" t="str">
        <f t="shared" si="12937"/>
        <v>0.0070</v>
      </c>
      <c r="R7305" s="1" t="s">
        <v>25</v>
      </c>
      <c r="T7305" s="1" t="str">
        <f t="shared" si="12938"/>
        <v>0</v>
      </c>
      <c r="U7305" s="1" t="str">
        <f t="shared" si="12922"/>
        <v>0.0070</v>
      </c>
    </row>
    <row r="7306" s="1" customFormat="1" spans="1:21">
      <c r="A7306" s="1" t="str">
        <f>"4601992327683"</f>
        <v>4601992327683</v>
      </c>
      <c r="B7306" s="1" t="s">
        <v>7329</v>
      </c>
      <c r="C7306" s="1" t="s">
        <v>24</v>
      </c>
      <c r="D7306" s="1" t="str">
        <f t="shared" si="12935"/>
        <v>2021</v>
      </c>
      <c r="E7306" s="1" t="str">
        <f t="shared" ref="E7306:P7306" si="12945">"0"</f>
        <v>0</v>
      </c>
      <c r="F7306" s="1" t="str">
        <f t="shared" si="12945"/>
        <v>0</v>
      </c>
      <c r="G7306" s="1" t="str">
        <f t="shared" si="12945"/>
        <v>0</v>
      </c>
      <c r="H7306" s="1" t="str">
        <f t="shared" si="12945"/>
        <v>0</v>
      </c>
      <c r="I7306" s="1" t="str">
        <f t="shared" si="12945"/>
        <v>0</v>
      </c>
      <c r="J7306" s="1" t="str">
        <f t="shared" si="12945"/>
        <v>0</v>
      </c>
      <c r="K7306" s="1" t="str">
        <f t="shared" si="12945"/>
        <v>0</v>
      </c>
      <c r="L7306" s="1" t="str">
        <f t="shared" si="12945"/>
        <v>0</v>
      </c>
      <c r="M7306" s="1" t="str">
        <f t="shared" si="12945"/>
        <v>0</v>
      </c>
      <c r="N7306" s="1" t="str">
        <f t="shared" si="12945"/>
        <v>0</v>
      </c>
      <c r="O7306" s="1" t="str">
        <f t="shared" si="12945"/>
        <v>0</v>
      </c>
      <c r="P7306" s="1" t="str">
        <f t="shared" si="12945"/>
        <v>0</v>
      </c>
      <c r="Q7306" s="1" t="str">
        <f t="shared" si="12937"/>
        <v>0.0070</v>
      </c>
      <c r="R7306" s="1" t="s">
        <v>25</v>
      </c>
      <c r="T7306" s="1" t="str">
        <f t="shared" si="12938"/>
        <v>0</v>
      </c>
      <c r="U7306" s="1" t="str">
        <f t="shared" si="12922"/>
        <v>0.0070</v>
      </c>
    </row>
    <row r="7307" s="1" customFormat="1" spans="1:21">
      <c r="A7307" s="1" t="str">
        <f>"4601992328260"</f>
        <v>4601992328260</v>
      </c>
      <c r="B7307" s="1" t="s">
        <v>7330</v>
      </c>
      <c r="C7307" s="1" t="s">
        <v>24</v>
      </c>
      <c r="D7307" s="1" t="str">
        <f t="shared" si="12935"/>
        <v>2021</v>
      </c>
      <c r="E7307" s="1" t="str">
        <f t="shared" ref="E7307:P7307" si="12946">"0"</f>
        <v>0</v>
      </c>
      <c r="F7307" s="1" t="str">
        <f t="shared" si="12946"/>
        <v>0</v>
      </c>
      <c r="G7307" s="1" t="str">
        <f t="shared" si="12946"/>
        <v>0</v>
      </c>
      <c r="H7307" s="1" t="str">
        <f t="shared" si="12946"/>
        <v>0</v>
      </c>
      <c r="I7307" s="1" t="str">
        <f t="shared" si="12946"/>
        <v>0</v>
      </c>
      <c r="J7307" s="1" t="str">
        <f t="shared" si="12946"/>
        <v>0</v>
      </c>
      <c r="K7307" s="1" t="str">
        <f t="shared" si="12946"/>
        <v>0</v>
      </c>
      <c r="L7307" s="1" t="str">
        <f t="shared" si="12946"/>
        <v>0</v>
      </c>
      <c r="M7307" s="1" t="str">
        <f t="shared" si="12946"/>
        <v>0</v>
      </c>
      <c r="N7307" s="1" t="str">
        <f t="shared" si="12946"/>
        <v>0</v>
      </c>
      <c r="O7307" s="1" t="str">
        <f t="shared" si="12946"/>
        <v>0</v>
      </c>
      <c r="P7307" s="1" t="str">
        <f t="shared" si="12946"/>
        <v>0</v>
      </c>
      <c r="Q7307" s="1" t="str">
        <f t="shared" si="12937"/>
        <v>0.0070</v>
      </c>
      <c r="R7307" s="1" t="s">
        <v>25</v>
      </c>
      <c r="T7307" s="1" t="str">
        <f t="shared" si="12938"/>
        <v>0</v>
      </c>
      <c r="U7307" s="1" t="str">
        <f t="shared" si="12922"/>
        <v>0.0070</v>
      </c>
    </row>
    <row r="7308" s="1" customFormat="1" spans="1:21">
      <c r="A7308" s="1" t="str">
        <f>"4601992328259"</f>
        <v>4601992328259</v>
      </c>
      <c r="B7308" s="1" t="s">
        <v>7331</v>
      </c>
      <c r="C7308" s="1" t="s">
        <v>24</v>
      </c>
      <c r="D7308" s="1" t="str">
        <f t="shared" si="12935"/>
        <v>2021</v>
      </c>
      <c r="E7308" s="1" t="str">
        <f t="shared" ref="E7308:P7308" si="12947">"0"</f>
        <v>0</v>
      </c>
      <c r="F7308" s="1" t="str">
        <f t="shared" si="12947"/>
        <v>0</v>
      </c>
      <c r="G7308" s="1" t="str">
        <f t="shared" si="12947"/>
        <v>0</v>
      </c>
      <c r="H7308" s="1" t="str">
        <f t="shared" si="12947"/>
        <v>0</v>
      </c>
      <c r="I7308" s="1" t="str">
        <f t="shared" si="12947"/>
        <v>0</v>
      </c>
      <c r="J7308" s="1" t="str">
        <f t="shared" si="12947"/>
        <v>0</v>
      </c>
      <c r="K7308" s="1" t="str">
        <f t="shared" si="12947"/>
        <v>0</v>
      </c>
      <c r="L7308" s="1" t="str">
        <f t="shared" si="12947"/>
        <v>0</v>
      </c>
      <c r="M7308" s="1" t="str">
        <f t="shared" si="12947"/>
        <v>0</v>
      </c>
      <c r="N7308" s="1" t="str">
        <f t="shared" si="12947"/>
        <v>0</v>
      </c>
      <c r="O7308" s="1" t="str">
        <f t="shared" si="12947"/>
        <v>0</v>
      </c>
      <c r="P7308" s="1" t="str">
        <f t="shared" si="12947"/>
        <v>0</v>
      </c>
      <c r="Q7308" s="1" t="str">
        <f t="shared" si="12937"/>
        <v>0.0070</v>
      </c>
      <c r="R7308" s="1" t="s">
        <v>25</v>
      </c>
      <c r="T7308" s="1" t="str">
        <f t="shared" si="12938"/>
        <v>0</v>
      </c>
      <c r="U7308" s="1" t="str">
        <f t="shared" si="12922"/>
        <v>0.0070</v>
      </c>
    </row>
    <row r="7309" s="1" customFormat="1" spans="1:21">
      <c r="A7309" s="1" t="str">
        <f>"4601992328242"</f>
        <v>4601992328242</v>
      </c>
      <c r="B7309" s="1" t="s">
        <v>7332</v>
      </c>
      <c r="C7309" s="1" t="s">
        <v>24</v>
      </c>
      <c r="D7309" s="1" t="str">
        <f t="shared" si="12935"/>
        <v>2021</v>
      </c>
      <c r="E7309" s="1" t="str">
        <f t="shared" ref="E7309:P7309" si="12948">"0"</f>
        <v>0</v>
      </c>
      <c r="F7309" s="1" t="str">
        <f t="shared" si="12948"/>
        <v>0</v>
      </c>
      <c r="G7309" s="1" t="str">
        <f t="shared" si="12948"/>
        <v>0</v>
      </c>
      <c r="H7309" s="1" t="str">
        <f t="shared" si="12948"/>
        <v>0</v>
      </c>
      <c r="I7309" s="1" t="str">
        <f t="shared" si="12948"/>
        <v>0</v>
      </c>
      <c r="J7309" s="1" t="str">
        <f t="shared" si="12948"/>
        <v>0</v>
      </c>
      <c r="K7309" s="1" t="str">
        <f t="shared" si="12948"/>
        <v>0</v>
      </c>
      <c r="L7309" s="1" t="str">
        <f t="shared" si="12948"/>
        <v>0</v>
      </c>
      <c r="M7309" s="1" t="str">
        <f t="shared" si="12948"/>
        <v>0</v>
      </c>
      <c r="N7309" s="1" t="str">
        <f t="shared" si="12948"/>
        <v>0</v>
      </c>
      <c r="O7309" s="1" t="str">
        <f t="shared" si="12948"/>
        <v>0</v>
      </c>
      <c r="P7309" s="1" t="str">
        <f t="shared" si="12948"/>
        <v>0</v>
      </c>
      <c r="Q7309" s="1" t="str">
        <f t="shared" si="12937"/>
        <v>0.0070</v>
      </c>
      <c r="R7309" s="1" t="s">
        <v>25</v>
      </c>
      <c r="T7309" s="1" t="str">
        <f t="shared" si="12938"/>
        <v>0</v>
      </c>
      <c r="U7309" s="1" t="str">
        <f t="shared" si="12922"/>
        <v>0.0070</v>
      </c>
    </row>
    <row r="7310" s="1" customFormat="1" spans="1:21">
      <c r="A7310" s="1" t="str">
        <f>"4601992328318"</f>
        <v>4601992328318</v>
      </c>
      <c r="B7310" s="1" t="s">
        <v>7333</v>
      </c>
      <c r="C7310" s="1" t="s">
        <v>24</v>
      </c>
      <c r="D7310" s="1" t="str">
        <f t="shared" si="12935"/>
        <v>2021</v>
      </c>
      <c r="E7310" s="1" t="str">
        <f t="shared" ref="E7310:P7310" si="12949">"0"</f>
        <v>0</v>
      </c>
      <c r="F7310" s="1" t="str">
        <f t="shared" si="12949"/>
        <v>0</v>
      </c>
      <c r="G7310" s="1" t="str">
        <f t="shared" si="12949"/>
        <v>0</v>
      </c>
      <c r="H7310" s="1" t="str">
        <f t="shared" si="12949"/>
        <v>0</v>
      </c>
      <c r="I7310" s="1" t="str">
        <f t="shared" si="12949"/>
        <v>0</v>
      </c>
      <c r="J7310" s="1" t="str">
        <f t="shared" si="12949"/>
        <v>0</v>
      </c>
      <c r="K7310" s="1" t="str">
        <f t="shared" si="12949"/>
        <v>0</v>
      </c>
      <c r="L7310" s="1" t="str">
        <f t="shared" si="12949"/>
        <v>0</v>
      </c>
      <c r="M7310" s="1" t="str">
        <f t="shared" si="12949"/>
        <v>0</v>
      </c>
      <c r="N7310" s="1" t="str">
        <f t="shared" si="12949"/>
        <v>0</v>
      </c>
      <c r="O7310" s="1" t="str">
        <f t="shared" si="12949"/>
        <v>0</v>
      </c>
      <c r="P7310" s="1" t="str">
        <f t="shared" si="12949"/>
        <v>0</v>
      </c>
      <c r="Q7310" s="1" t="str">
        <f t="shared" si="12937"/>
        <v>0.0070</v>
      </c>
      <c r="R7310" s="1" t="s">
        <v>25</v>
      </c>
      <c r="T7310" s="1" t="str">
        <f t="shared" si="12938"/>
        <v>0</v>
      </c>
      <c r="U7310" s="1" t="str">
        <f t="shared" si="12922"/>
        <v>0.0070</v>
      </c>
    </row>
    <row r="7311" s="1" customFormat="1" spans="1:21">
      <c r="A7311" s="1" t="str">
        <f>"4601992328453"</f>
        <v>4601992328453</v>
      </c>
      <c r="B7311" s="1" t="s">
        <v>7334</v>
      </c>
      <c r="C7311" s="1" t="s">
        <v>24</v>
      </c>
      <c r="D7311" s="1" t="str">
        <f t="shared" si="12935"/>
        <v>2021</v>
      </c>
      <c r="E7311" s="1" t="str">
        <f t="shared" ref="E7311:P7311" si="12950">"0"</f>
        <v>0</v>
      </c>
      <c r="F7311" s="1" t="str">
        <f t="shared" si="12950"/>
        <v>0</v>
      </c>
      <c r="G7311" s="1" t="str">
        <f t="shared" si="12950"/>
        <v>0</v>
      </c>
      <c r="H7311" s="1" t="str">
        <f t="shared" si="12950"/>
        <v>0</v>
      </c>
      <c r="I7311" s="1" t="str">
        <f t="shared" si="12950"/>
        <v>0</v>
      </c>
      <c r="J7311" s="1" t="str">
        <f t="shared" si="12950"/>
        <v>0</v>
      </c>
      <c r="K7311" s="1" t="str">
        <f t="shared" si="12950"/>
        <v>0</v>
      </c>
      <c r="L7311" s="1" t="str">
        <f t="shared" si="12950"/>
        <v>0</v>
      </c>
      <c r="M7311" s="1" t="str">
        <f t="shared" si="12950"/>
        <v>0</v>
      </c>
      <c r="N7311" s="1" t="str">
        <f t="shared" si="12950"/>
        <v>0</v>
      </c>
      <c r="O7311" s="1" t="str">
        <f t="shared" si="12950"/>
        <v>0</v>
      </c>
      <c r="P7311" s="1" t="str">
        <f t="shared" si="12950"/>
        <v>0</v>
      </c>
      <c r="Q7311" s="1" t="str">
        <f t="shared" si="12937"/>
        <v>0.0070</v>
      </c>
      <c r="R7311" s="1" t="s">
        <v>25</v>
      </c>
      <c r="T7311" s="1" t="str">
        <f t="shared" si="12938"/>
        <v>0</v>
      </c>
      <c r="U7311" s="1" t="str">
        <f t="shared" si="12922"/>
        <v>0.0070</v>
      </c>
    </row>
    <row r="7312" s="1" customFormat="1" spans="1:21">
      <c r="A7312" s="1" t="str">
        <f>"4601992328449"</f>
        <v>4601992328449</v>
      </c>
      <c r="B7312" s="1" t="s">
        <v>7335</v>
      </c>
      <c r="C7312" s="1" t="s">
        <v>24</v>
      </c>
      <c r="D7312" s="1" t="str">
        <f t="shared" si="12935"/>
        <v>2021</v>
      </c>
      <c r="E7312" s="1" t="str">
        <f t="shared" ref="E7312:P7312" si="12951">"0"</f>
        <v>0</v>
      </c>
      <c r="F7312" s="1" t="str">
        <f t="shared" si="12951"/>
        <v>0</v>
      </c>
      <c r="G7312" s="1" t="str">
        <f t="shared" si="12951"/>
        <v>0</v>
      </c>
      <c r="H7312" s="1" t="str">
        <f t="shared" si="12951"/>
        <v>0</v>
      </c>
      <c r="I7312" s="1" t="str">
        <f t="shared" si="12951"/>
        <v>0</v>
      </c>
      <c r="J7312" s="1" t="str">
        <f t="shared" si="12951"/>
        <v>0</v>
      </c>
      <c r="K7312" s="1" t="str">
        <f t="shared" si="12951"/>
        <v>0</v>
      </c>
      <c r="L7312" s="1" t="str">
        <f t="shared" si="12951"/>
        <v>0</v>
      </c>
      <c r="M7312" s="1" t="str">
        <f t="shared" si="12951"/>
        <v>0</v>
      </c>
      <c r="N7312" s="1" t="str">
        <f t="shared" si="12951"/>
        <v>0</v>
      </c>
      <c r="O7312" s="1" t="str">
        <f t="shared" si="12951"/>
        <v>0</v>
      </c>
      <c r="P7312" s="1" t="str">
        <f t="shared" si="12951"/>
        <v>0</v>
      </c>
      <c r="Q7312" s="1" t="str">
        <f t="shared" si="12937"/>
        <v>0.0070</v>
      </c>
      <c r="R7312" s="1" t="s">
        <v>25</v>
      </c>
      <c r="T7312" s="1" t="str">
        <f t="shared" si="12938"/>
        <v>0</v>
      </c>
      <c r="U7312" s="1" t="str">
        <f t="shared" si="12922"/>
        <v>0.0070</v>
      </c>
    </row>
    <row r="7313" s="1" customFormat="1" spans="1:21">
      <c r="A7313" s="1" t="str">
        <f>"4601992328341"</f>
        <v>4601992328341</v>
      </c>
      <c r="B7313" s="1" t="s">
        <v>7336</v>
      </c>
      <c r="C7313" s="1" t="s">
        <v>24</v>
      </c>
      <c r="D7313" s="1" t="str">
        <f t="shared" si="12935"/>
        <v>2021</v>
      </c>
      <c r="E7313" s="1" t="str">
        <f t="shared" ref="E7313:P7313" si="12952">"0"</f>
        <v>0</v>
      </c>
      <c r="F7313" s="1" t="str">
        <f t="shared" si="12952"/>
        <v>0</v>
      </c>
      <c r="G7313" s="1" t="str">
        <f t="shared" si="12952"/>
        <v>0</v>
      </c>
      <c r="H7313" s="1" t="str">
        <f t="shared" si="12952"/>
        <v>0</v>
      </c>
      <c r="I7313" s="1" t="str">
        <f t="shared" si="12952"/>
        <v>0</v>
      </c>
      <c r="J7313" s="1" t="str">
        <f t="shared" si="12952"/>
        <v>0</v>
      </c>
      <c r="K7313" s="1" t="str">
        <f t="shared" si="12952"/>
        <v>0</v>
      </c>
      <c r="L7313" s="1" t="str">
        <f t="shared" si="12952"/>
        <v>0</v>
      </c>
      <c r="M7313" s="1" t="str">
        <f t="shared" si="12952"/>
        <v>0</v>
      </c>
      <c r="N7313" s="1" t="str">
        <f t="shared" si="12952"/>
        <v>0</v>
      </c>
      <c r="O7313" s="1" t="str">
        <f t="shared" si="12952"/>
        <v>0</v>
      </c>
      <c r="P7313" s="1" t="str">
        <f t="shared" si="12952"/>
        <v>0</v>
      </c>
      <c r="Q7313" s="1" t="str">
        <f t="shared" si="12937"/>
        <v>0.0070</v>
      </c>
      <c r="R7313" s="1" t="s">
        <v>25</v>
      </c>
      <c r="T7313" s="1" t="str">
        <f t="shared" si="12938"/>
        <v>0</v>
      </c>
      <c r="U7313" s="1" t="str">
        <f t="shared" si="12922"/>
        <v>0.0070</v>
      </c>
    </row>
    <row r="7314" s="1" customFormat="1" spans="1:21">
      <c r="A7314" s="1" t="str">
        <f>"4601992328468"</f>
        <v>4601992328468</v>
      </c>
      <c r="B7314" s="1" t="s">
        <v>7337</v>
      </c>
      <c r="C7314" s="1" t="s">
        <v>24</v>
      </c>
      <c r="D7314" s="1" t="str">
        <f t="shared" si="12935"/>
        <v>2021</v>
      </c>
      <c r="E7314" s="1" t="str">
        <f t="shared" ref="E7314:P7314" si="12953">"0"</f>
        <v>0</v>
      </c>
      <c r="F7314" s="1" t="str">
        <f t="shared" si="12953"/>
        <v>0</v>
      </c>
      <c r="G7314" s="1" t="str">
        <f t="shared" si="12953"/>
        <v>0</v>
      </c>
      <c r="H7314" s="1" t="str">
        <f t="shared" si="12953"/>
        <v>0</v>
      </c>
      <c r="I7314" s="1" t="str">
        <f t="shared" si="12953"/>
        <v>0</v>
      </c>
      <c r="J7314" s="1" t="str">
        <f t="shared" si="12953"/>
        <v>0</v>
      </c>
      <c r="K7314" s="1" t="str">
        <f t="shared" si="12953"/>
        <v>0</v>
      </c>
      <c r="L7314" s="1" t="str">
        <f t="shared" si="12953"/>
        <v>0</v>
      </c>
      <c r="M7314" s="1" t="str">
        <f t="shared" si="12953"/>
        <v>0</v>
      </c>
      <c r="N7314" s="1" t="str">
        <f t="shared" si="12953"/>
        <v>0</v>
      </c>
      <c r="O7314" s="1" t="str">
        <f t="shared" si="12953"/>
        <v>0</v>
      </c>
      <c r="P7314" s="1" t="str">
        <f t="shared" si="12953"/>
        <v>0</v>
      </c>
      <c r="Q7314" s="1" t="str">
        <f t="shared" si="12937"/>
        <v>0.0070</v>
      </c>
      <c r="R7314" s="1" t="s">
        <v>25</v>
      </c>
      <c r="T7314" s="1" t="str">
        <f t="shared" si="12938"/>
        <v>0</v>
      </c>
      <c r="U7314" s="1" t="str">
        <f t="shared" si="12922"/>
        <v>0.0070</v>
      </c>
    </row>
    <row r="7315" s="1" customFormat="1" spans="1:21">
      <c r="A7315" s="1" t="str">
        <f>"4601992328550"</f>
        <v>4601992328550</v>
      </c>
      <c r="B7315" s="1" t="s">
        <v>7338</v>
      </c>
      <c r="C7315" s="1" t="s">
        <v>24</v>
      </c>
      <c r="D7315" s="1" t="str">
        <f t="shared" si="12935"/>
        <v>2021</v>
      </c>
      <c r="E7315" s="1" t="str">
        <f t="shared" ref="E7315:P7315" si="12954">"0"</f>
        <v>0</v>
      </c>
      <c r="F7315" s="1" t="str">
        <f t="shared" si="12954"/>
        <v>0</v>
      </c>
      <c r="G7315" s="1" t="str">
        <f t="shared" si="12954"/>
        <v>0</v>
      </c>
      <c r="H7315" s="1" t="str">
        <f t="shared" si="12954"/>
        <v>0</v>
      </c>
      <c r="I7315" s="1" t="str">
        <f t="shared" si="12954"/>
        <v>0</v>
      </c>
      <c r="J7315" s="1" t="str">
        <f t="shared" si="12954"/>
        <v>0</v>
      </c>
      <c r="K7315" s="1" t="str">
        <f t="shared" si="12954"/>
        <v>0</v>
      </c>
      <c r="L7315" s="1" t="str">
        <f t="shared" si="12954"/>
        <v>0</v>
      </c>
      <c r="M7315" s="1" t="str">
        <f t="shared" si="12954"/>
        <v>0</v>
      </c>
      <c r="N7315" s="1" t="str">
        <f t="shared" si="12954"/>
        <v>0</v>
      </c>
      <c r="O7315" s="1" t="str">
        <f t="shared" si="12954"/>
        <v>0</v>
      </c>
      <c r="P7315" s="1" t="str">
        <f t="shared" si="12954"/>
        <v>0</v>
      </c>
      <c r="Q7315" s="1" t="str">
        <f t="shared" si="12937"/>
        <v>0.0070</v>
      </c>
      <c r="R7315" s="1" t="s">
        <v>25</v>
      </c>
      <c r="T7315" s="1" t="str">
        <f t="shared" si="12938"/>
        <v>0</v>
      </c>
      <c r="U7315" s="1" t="str">
        <f t="shared" si="12922"/>
        <v>0.0070</v>
      </c>
    </row>
    <row r="7316" s="1" customFormat="1" spans="1:21">
      <c r="A7316" s="1" t="str">
        <f>"4601992328608"</f>
        <v>4601992328608</v>
      </c>
      <c r="B7316" s="1" t="s">
        <v>7339</v>
      </c>
      <c r="C7316" s="1" t="s">
        <v>24</v>
      </c>
      <c r="D7316" s="1" t="str">
        <f t="shared" si="12935"/>
        <v>2021</v>
      </c>
      <c r="E7316" s="1" t="str">
        <f t="shared" ref="E7316:P7316" si="12955">"0"</f>
        <v>0</v>
      </c>
      <c r="F7316" s="1" t="str">
        <f t="shared" si="12955"/>
        <v>0</v>
      </c>
      <c r="G7316" s="1" t="str">
        <f t="shared" si="12955"/>
        <v>0</v>
      </c>
      <c r="H7316" s="1" t="str">
        <f t="shared" si="12955"/>
        <v>0</v>
      </c>
      <c r="I7316" s="1" t="str">
        <f t="shared" si="12955"/>
        <v>0</v>
      </c>
      <c r="J7316" s="1" t="str">
        <f t="shared" si="12955"/>
        <v>0</v>
      </c>
      <c r="K7316" s="1" t="str">
        <f t="shared" si="12955"/>
        <v>0</v>
      </c>
      <c r="L7316" s="1" t="str">
        <f t="shared" si="12955"/>
        <v>0</v>
      </c>
      <c r="M7316" s="1" t="str">
        <f t="shared" si="12955"/>
        <v>0</v>
      </c>
      <c r="N7316" s="1" t="str">
        <f t="shared" si="12955"/>
        <v>0</v>
      </c>
      <c r="O7316" s="1" t="str">
        <f t="shared" si="12955"/>
        <v>0</v>
      </c>
      <c r="P7316" s="1" t="str">
        <f t="shared" si="12955"/>
        <v>0</v>
      </c>
      <c r="Q7316" s="1" t="str">
        <f t="shared" si="12937"/>
        <v>0.0070</v>
      </c>
      <c r="R7316" s="1" t="s">
        <v>25</v>
      </c>
      <c r="T7316" s="1" t="str">
        <f t="shared" si="12938"/>
        <v>0</v>
      </c>
      <c r="U7316" s="1" t="str">
        <f t="shared" si="12922"/>
        <v>0.0070</v>
      </c>
    </row>
    <row r="7317" s="1" customFormat="1" spans="1:21">
      <c r="A7317" s="1" t="str">
        <f>"4601992328595"</f>
        <v>4601992328595</v>
      </c>
      <c r="B7317" s="1" t="s">
        <v>7340</v>
      </c>
      <c r="C7317" s="1" t="s">
        <v>24</v>
      </c>
      <c r="D7317" s="1" t="str">
        <f t="shared" si="12935"/>
        <v>2021</v>
      </c>
      <c r="E7317" s="1" t="str">
        <f t="shared" ref="E7317:P7317" si="12956">"0"</f>
        <v>0</v>
      </c>
      <c r="F7317" s="1" t="str">
        <f t="shared" si="12956"/>
        <v>0</v>
      </c>
      <c r="G7317" s="1" t="str">
        <f t="shared" si="12956"/>
        <v>0</v>
      </c>
      <c r="H7317" s="1" t="str">
        <f t="shared" si="12956"/>
        <v>0</v>
      </c>
      <c r="I7317" s="1" t="str">
        <f t="shared" si="12956"/>
        <v>0</v>
      </c>
      <c r="J7317" s="1" t="str">
        <f t="shared" si="12956"/>
        <v>0</v>
      </c>
      <c r="K7317" s="1" t="str">
        <f t="shared" si="12956"/>
        <v>0</v>
      </c>
      <c r="L7317" s="1" t="str">
        <f t="shared" si="12956"/>
        <v>0</v>
      </c>
      <c r="M7317" s="1" t="str">
        <f t="shared" si="12956"/>
        <v>0</v>
      </c>
      <c r="N7317" s="1" t="str">
        <f t="shared" si="12956"/>
        <v>0</v>
      </c>
      <c r="O7317" s="1" t="str">
        <f t="shared" si="12956"/>
        <v>0</v>
      </c>
      <c r="P7317" s="1" t="str">
        <f t="shared" si="12956"/>
        <v>0</v>
      </c>
      <c r="Q7317" s="1" t="str">
        <f t="shared" si="12937"/>
        <v>0.0070</v>
      </c>
      <c r="R7317" s="1" t="s">
        <v>25</v>
      </c>
      <c r="T7317" s="1" t="str">
        <f t="shared" si="12938"/>
        <v>0</v>
      </c>
      <c r="U7317" s="1" t="str">
        <f t="shared" si="12922"/>
        <v>0.0070</v>
      </c>
    </row>
    <row r="7318" s="1" customFormat="1" spans="1:21">
      <c r="A7318" s="1" t="str">
        <f>"4601992328638"</f>
        <v>4601992328638</v>
      </c>
      <c r="B7318" s="1" t="s">
        <v>7341</v>
      </c>
      <c r="C7318" s="1" t="s">
        <v>24</v>
      </c>
      <c r="D7318" s="1" t="str">
        <f t="shared" si="12935"/>
        <v>2021</v>
      </c>
      <c r="E7318" s="1" t="str">
        <f t="shared" ref="E7318:P7318" si="12957">"0"</f>
        <v>0</v>
      </c>
      <c r="F7318" s="1" t="str">
        <f t="shared" si="12957"/>
        <v>0</v>
      </c>
      <c r="G7318" s="1" t="str">
        <f t="shared" si="12957"/>
        <v>0</v>
      </c>
      <c r="H7318" s="1" t="str">
        <f t="shared" si="12957"/>
        <v>0</v>
      </c>
      <c r="I7318" s="1" t="str">
        <f t="shared" si="12957"/>
        <v>0</v>
      </c>
      <c r="J7318" s="1" t="str">
        <f t="shared" si="12957"/>
        <v>0</v>
      </c>
      <c r="K7318" s="1" t="str">
        <f t="shared" si="12957"/>
        <v>0</v>
      </c>
      <c r="L7318" s="1" t="str">
        <f t="shared" si="12957"/>
        <v>0</v>
      </c>
      <c r="M7318" s="1" t="str">
        <f t="shared" si="12957"/>
        <v>0</v>
      </c>
      <c r="N7318" s="1" t="str">
        <f t="shared" si="12957"/>
        <v>0</v>
      </c>
      <c r="O7318" s="1" t="str">
        <f t="shared" si="12957"/>
        <v>0</v>
      </c>
      <c r="P7318" s="1" t="str">
        <f t="shared" si="12957"/>
        <v>0</v>
      </c>
      <c r="Q7318" s="1" t="str">
        <f t="shared" si="12937"/>
        <v>0.0070</v>
      </c>
      <c r="R7318" s="1" t="s">
        <v>25</v>
      </c>
      <c r="T7318" s="1" t="str">
        <f t="shared" si="12938"/>
        <v>0</v>
      </c>
      <c r="U7318" s="1" t="str">
        <f t="shared" si="12922"/>
        <v>0.0070</v>
      </c>
    </row>
    <row r="7319" s="1" customFormat="1" spans="1:21">
      <c r="A7319" s="1" t="str">
        <f>"4601992328650"</f>
        <v>4601992328650</v>
      </c>
      <c r="B7319" s="1" t="s">
        <v>7342</v>
      </c>
      <c r="C7319" s="1" t="s">
        <v>24</v>
      </c>
      <c r="D7319" s="1" t="str">
        <f t="shared" si="12935"/>
        <v>2021</v>
      </c>
      <c r="E7319" s="1" t="str">
        <f t="shared" ref="E7319:P7319" si="12958">"0"</f>
        <v>0</v>
      </c>
      <c r="F7319" s="1" t="str">
        <f t="shared" si="12958"/>
        <v>0</v>
      </c>
      <c r="G7319" s="1" t="str">
        <f t="shared" si="12958"/>
        <v>0</v>
      </c>
      <c r="H7319" s="1" t="str">
        <f t="shared" si="12958"/>
        <v>0</v>
      </c>
      <c r="I7319" s="1" t="str">
        <f t="shared" si="12958"/>
        <v>0</v>
      </c>
      <c r="J7319" s="1" t="str">
        <f t="shared" si="12958"/>
        <v>0</v>
      </c>
      <c r="K7319" s="1" t="str">
        <f t="shared" si="12958"/>
        <v>0</v>
      </c>
      <c r="L7319" s="1" t="str">
        <f t="shared" si="12958"/>
        <v>0</v>
      </c>
      <c r="M7319" s="1" t="str">
        <f t="shared" si="12958"/>
        <v>0</v>
      </c>
      <c r="N7319" s="1" t="str">
        <f t="shared" si="12958"/>
        <v>0</v>
      </c>
      <c r="O7319" s="1" t="str">
        <f t="shared" si="12958"/>
        <v>0</v>
      </c>
      <c r="P7319" s="1" t="str">
        <f t="shared" si="12958"/>
        <v>0</v>
      </c>
      <c r="Q7319" s="1" t="str">
        <f t="shared" si="12937"/>
        <v>0.0070</v>
      </c>
      <c r="R7319" s="1" t="s">
        <v>25</v>
      </c>
      <c r="T7319" s="1" t="str">
        <f t="shared" si="12938"/>
        <v>0</v>
      </c>
      <c r="U7319" s="1" t="str">
        <f t="shared" si="12922"/>
        <v>0.0070</v>
      </c>
    </row>
    <row r="7320" s="1" customFormat="1" spans="1:21">
      <c r="A7320" s="1" t="str">
        <f>"4601992328685"</f>
        <v>4601992328685</v>
      </c>
      <c r="B7320" s="1" t="s">
        <v>7343</v>
      </c>
      <c r="C7320" s="1" t="s">
        <v>24</v>
      </c>
      <c r="D7320" s="1" t="str">
        <f t="shared" si="12935"/>
        <v>2021</v>
      </c>
      <c r="E7320" s="1" t="str">
        <f t="shared" ref="E7320:P7320" si="12959">"0"</f>
        <v>0</v>
      </c>
      <c r="F7320" s="1" t="str">
        <f t="shared" si="12959"/>
        <v>0</v>
      </c>
      <c r="G7320" s="1" t="str">
        <f t="shared" si="12959"/>
        <v>0</v>
      </c>
      <c r="H7320" s="1" t="str">
        <f t="shared" si="12959"/>
        <v>0</v>
      </c>
      <c r="I7320" s="1" t="str">
        <f t="shared" si="12959"/>
        <v>0</v>
      </c>
      <c r="J7320" s="1" t="str">
        <f t="shared" si="12959"/>
        <v>0</v>
      </c>
      <c r="K7320" s="1" t="str">
        <f t="shared" si="12959"/>
        <v>0</v>
      </c>
      <c r="L7320" s="1" t="str">
        <f t="shared" si="12959"/>
        <v>0</v>
      </c>
      <c r="M7320" s="1" t="str">
        <f t="shared" si="12959"/>
        <v>0</v>
      </c>
      <c r="N7320" s="1" t="str">
        <f t="shared" si="12959"/>
        <v>0</v>
      </c>
      <c r="O7320" s="1" t="str">
        <f t="shared" si="12959"/>
        <v>0</v>
      </c>
      <c r="P7320" s="1" t="str">
        <f t="shared" si="12959"/>
        <v>0</v>
      </c>
      <c r="Q7320" s="1" t="str">
        <f t="shared" si="12937"/>
        <v>0.0070</v>
      </c>
      <c r="R7320" s="1" t="s">
        <v>25</v>
      </c>
      <c r="T7320" s="1" t="str">
        <f t="shared" si="12938"/>
        <v>0</v>
      </c>
      <c r="U7320" s="1" t="str">
        <f t="shared" si="12922"/>
        <v>0.0070</v>
      </c>
    </row>
    <row r="7321" s="1" customFormat="1" spans="1:21">
      <c r="A7321" s="1" t="str">
        <f>"4601992328861"</f>
        <v>4601992328861</v>
      </c>
      <c r="B7321" s="1" t="s">
        <v>7344</v>
      </c>
      <c r="C7321" s="1" t="s">
        <v>24</v>
      </c>
      <c r="D7321" s="1" t="str">
        <f t="shared" si="12935"/>
        <v>2021</v>
      </c>
      <c r="E7321" s="1" t="str">
        <f t="shared" ref="E7321:P7321" si="12960">"0"</f>
        <v>0</v>
      </c>
      <c r="F7321" s="1" t="str">
        <f t="shared" si="12960"/>
        <v>0</v>
      </c>
      <c r="G7321" s="1" t="str">
        <f t="shared" si="12960"/>
        <v>0</v>
      </c>
      <c r="H7321" s="1" t="str">
        <f t="shared" si="12960"/>
        <v>0</v>
      </c>
      <c r="I7321" s="1" t="str">
        <f t="shared" si="12960"/>
        <v>0</v>
      </c>
      <c r="J7321" s="1" t="str">
        <f t="shared" si="12960"/>
        <v>0</v>
      </c>
      <c r="K7321" s="1" t="str">
        <f t="shared" si="12960"/>
        <v>0</v>
      </c>
      <c r="L7321" s="1" t="str">
        <f t="shared" si="12960"/>
        <v>0</v>
      </c>
      <c r="M7321" s="1" t="str">
        <f t="shared" si="12960"/>
        <v>0</v>
      </c>
      <c r="N7321" s="1" t="str">
        <f t="shared" si="12960"/>
        <v>0</v>
      </c>
      <c r="O7321" s="1" t="str">
        <f t="shared" si="12960"/>
        <v>0</v>
      </c>
      <c r="P7321" s="1" t="str">
        <f t="shared" si="12960"/>
        <v>0</v>
      </c>
      <c r="Q7321" s="1" t="str">
        <f t="shared" si="12937"/>
        <v>0.0070</v>
      </c>
      <c r="R7321" s="1" t="s">
        <v>25</v>
      </c>
      <c r="T7321" s="1" t="str">
        <f t="shared" si="12938"/>
        <v>0</v>
      </c>
      <c r="U7321" s="1" t="str">
        <f t="shared" si="12922"/>
        <v>0.0070</v>
      </c>
    </row>
    <row r="7322" s="1" customFormat="1" spans="1:21">
      <c r="A7322" s="1" t="str">
        <f>"4601992328882"</f>
        <v>4601992328882</v>
      </c>
      <c r="B7322" s="1" t="s">
        <v>7345</v>
      </c>
      <c r="C7322" s="1" t="s">
        <v>24</v>
      </c>
      <c r="D7322" s="1" t="str">
        <f t="shared" si="12935"/>
        <v>2021</v>
      </c>
      <c r="E7322" s="1" t="str">
        <f t="shared" ref="E7322:P7322" si="12961">"0"</f>
        <v>0</v>
      </c>
      <c r="F7322" s="1" t="str">
        <f t="shared" si="12961"/>
        <v>0</v>
      </c>
      <c r="G7322" s="1" t="str">
        <f t="shared" si="12961"/>
        <v>0</v>
      </c>
      <c r="H7322" s="1" t="str">
        <f t="shared" si="12961"/>
        <v>0</v>
      </c>
      <c r="I7322" s="1" t="str">
        <f t="shared" si="12961"/>
        <v>0</v>
      </c>
      <c r="J7322" s="1" t="str">
        <f t="shared" si="12961"/>
        <v>0</v>
      </c>
      <c r="K7322" s="1" t="str">
        <f t="shared" si="12961"/>
        <v>0</v>
      </c>
      <c r="L7322" s="1" t="str">
        <f t="shared" si="12961"/>
        <v>0</v>
      </c>
      <c r="M7322" s="1" t="str">
        <f t="shared" si="12961"/>
        <v>0</v>
      </c>
      <c r="N7322" s="1" t="str">
        <f t="shared" si="12961"/>
        <v>0</v>
      </c>
      <c r="O7322" s="1" t="str">
        <f t="shared" si="12961"/>
        <v>0</v>
      </c>
      <c r="P7322" s="1" t="str">
        <f t="shared" si="12961"/>
        <v>0</v>
      </c>
      <c r="Q7322" s="1" t="str">
        <f t="shared" si="12937"/>
        <v>0.0070</v>
      </c>
      <c r="R7322" s="1" t="s">
        <v>25</v>
      </c>
      <c r="T7322" s="1" t="str">
        <f t="shared" si="12938"/>
        <v>0</v>
      </c>
      <c r="U7322" s="1" t="str">
        <f t="shared" si="12922"/>
        <v>0.0070</v>
      </c>
    </row>
    <row r="7323" s="1" customFormat="1" spans="1:21">
      <c r="A7323" s="1" t="str">
        <f>"4601992329043"</f>
        <v>4601992329043</v>
      </c>
      <c r="B7323" s="1" t="s">
        <v>7346</v>
      </c>
      <c r="C7323" s="1" t="s">
        <v>24</v>
      </c>
      <c r="D7323" s="1" t="str">
        <f t="shared" si="12935"/>
        <v>2021</v>
      </c>
      <c r="E7323" s="1" t="str">
        <f t="shared" ref="E7323:P7323" si="12962">"0"</f>
        <v>0</v>
      </c>
      <c r="F7323" s="1" t="str">
        <f t="shared" si="12962"/>
        <v>0</v>
      </c>
      <c r="G7323" s="1" t="str">
        <f t="shared" si="12962"/>
        <v>0</v>
      </c>
      <c r="H7323" s="1" t="str">
        <f t="shared" si="12962"/>
        <v>0</v>
      </c>
      <c r="I7323" s="1" t="str">
        <f t="shared" si="12962"/>
        <v>0</v>
      </c>
      <c r="J7323" s="1" t="str">
        <f t="shared" si="12962"/>
        <v>0</v>
      </c>
      <c r="K7323" s="1" t="str">
        <f t="shared" si="12962"/>
        <v>0</v>
      </c>
      <c r="L7323" s="1" t="str">
        <f t="shared" si="12962"/>
        <v>0</v>
      </c>
      <c r="M7323" s="1" t="str">
        <f t="shared" si="12962"/>
        <v>0</v>
      </c>
      <c r="N7323" s="1" t="str">
        <f t="shared" si="12962"/>
        <v>0</v>
      </c>
      <c r="O7323" s="1" t="str">
        <f t="shared" si="12962"/>
        <v>0</v>
      </c>
      <c r="P7323" s="1" t="str">
        <f t="shared" si="12962"/>
        <v>0</v>
      </c>
      <c r="Q7323" s="1" t="str">
        <f t="shared" si="12937"/>
        <v>0.0070</v>
      </c>
      <c r="R7323" s="1" t="s">
        <v>25</v>
      </c>
      <c r="T7323" s="1" t="str">
        <f t="shared" si="12938"/>
        <v>0</v>
      </c>
      <c r="U7323" s="1" t="str">
        <f t="shared" si="12922"/>
        <v>0.0070</v>
      </c>
    </row>
    <row r="7324" s="1" customFormat="1" spans="1:21">
      <c r="A7324" s="1" t="str">
        <f>"4601992329069"</f>
        <v>4601992329069</v>
      </c>
      <c r="B7324" s="1" t="s">
        <v>7347</v>
      </c>
      <c r="C7324" s="1" t="s">
        <v>24</v>
      </c>
      <c r="D7324" s="1" t="str">
        <f t="shared" si="12935"/>
        <v>2021</v>
      </c>
      <c r="E7324" s="1" t="str">
        <f t="shared" ref="E7324:P7324" si="12963">"0"</f>
        <v>0</v>
      </c>
      <c r="F7324" s="1" t="str">
        <f t="shared" si="12963"/>
        <v>0</v>
      </c>
      <c r="G7324" s="1" t="str">
        <f t="shared" si="12963"/>
        <v>0</v>
      </c>
      <c r="H7324" s="1" t="str">
        <f t="shared" si="12963"/>
        <v>0</v>
      </c>
      <c r="I7324" s="1" t="str">
        <f t="shared" si="12963"/>
        <v>0</v>
      </c>
      <c r="J7324" s="1" t="str">
        <f t="shared" si="12963"/>
        <v>0</v>
      </c>
      <c r="K7324" s="1" t="str">
        <f t="shared" si="12963"/>
        <v>0</v>
      </c>
      <c r="L7324" s="1" t="str">
        <f t="shared" si="12963"/>
        <v>0</v>
      </c>
      <c r="M7324" s="1" t="str">
        <f t="shared" si="12963"/>
        <v>0</v>
      </c>
      <c r="N7324" s="1" t="str">
        <f t="shared" si="12963"/>
        <v>0</v>
      </c>
      <c r="O7324" s="1" t="str">
        <f t="shared" si="12963"/>
        <v>0</v>
      </c>
      <c r="P7324" s="1" t="str">
        <f t="shared" si="12963"/>
        <v>0</v>
      </c>
      <c r="Q7324" s="1" t="str">
        <f t="shared" si="12937"/>
        <v>0.0070</v>
      </c>
      <c r="R7324" s="1" t="s">
        <v>25</v>
      </c>
      <c r="T7324" s="1" t="str">
        <f t="shared" si="12938"/>
        <v>0</v>
      </c>
      <c r="U7324" s="1" t="str">
        <f t="shared" si="12922"/>
        <v>0.0070</v>
      </c>
    </row>
    <row r="7325" s="1" customFormat="1" spans="1:21">
      <c r="A7325" s="1" t="str">
        <f>"4601992329071"</f>
        <v>4601992329071</v>
      </c>
      <c r="B7325" s="1" t="s">
        <v>7348</v>
      </c>
      <c r="C7325" s="1" t="s">
        <v>24</v>
      </c>
      <c r="D7325" s="1" t="str">
        <f t="shared" si="12935"/>
        <v>2021</v>
      </c>
      <c r="E7325" s="1" t="str">
        <f t="shared" ref="E7325:P7325" si="12964">"0"</f>
        <v>0</v>
      </c>
      <c r="F7325" s="1" t="str">
        <f t="shared" si="12964"/>
        <v>0</v>
      </c>
      <c r="G7325" s="1" t="str">
        <f t="shared" si="12964"/>
        <v>0</v>
      </c>
      <c r="H7325" s="1" t="str">
        <f t="shared" si="12964"/>
        <v>0</v>
      </c>
      <c r="I7325" s="1" t="str">
        <f t="shared" si="12964"/>
        <v>0</v>
      </c>
      <c r="J7325" s="1" t="str">
        <f t="shared" si="12964"/>
        <v>0</v>
      </c>
      <c r="K7325" s="1" t="str">
        <f t="shared" si="12964"/>
        <v>0</v>
      </c>
      <c r="L7325" s="1" t="str">
        <f t="shared" si="12964"/>
        <v>0</v>
      </c>
      <c r="M7325" s="1" t="str">
        <f t="shared" si="12964"/>
        <v>0</v>
      </c>
      <c r="N7325" s="1" t="str">
        <f t="shared" si="12964"/>
        <v>0</v>
      </c>
      <c r="O7325" s="1" t="str">
        <f t="shared" si="12964"/>
        <v>0</v>
      </c>
      <c r="P7325" s="1" t="str">
        <f t="shared" si="12964"/>
        <v>0</v>
      </c>
      <c r="Q7325" s="1" t="str">
        <f t="shared" si="12937"/>
        <v>0.0070</v>
      </c>
      <c r="R7325" s="1" t="s">
        <v>25</v>
      </c>
      <c r="T7325" s="1" t="str">
        <f t="shared" si="12938"/>
        <v>0</v>
      </c>
      <c r="U7325" s="1" t="str">
        <f t="shared" si="12922"/>
        <v>0.0070</v>
      </c>
    </row>
    <row r="7326" s="1" customFormat="1" spans="1:21">
      <c r="A7326" s="1" t="str">
        <f>"4601992329229"</f>
        <v>4601992329229</v>
      </c>
      <c r="B7326" s="1" t="s">
        <v>7349</v>
      </c>
      <c r="C7326" s="1" t="s">
        <v>24</v>
      </c>
      <c r="D7326" s="1" t="str">
        <f t="shared" si="12935"/>
        <v>2021</v>
      </c>
      <c r="E7326" s="1" t="str">
        <f t="shared" ref="E7326:P7326" si="12965">"0"</f>
        <v>0</v>
      </c>
      <c r="F7326" s="1" t="str">
        <f t="shared" si="12965"/>
        <v>0</v>
      </c>
      <c r="G7326" s="1" t="str">
        <f t="shared" si="12965"/>
        <v>0</v>
      </c>
      <c r="H7326" s="1" t="str">
        <f t="shared" si="12965"/>
        <v>0</v>
      </c>
      <c r="I7326" s="1" t="str">
        <f t="shared" si="12965"/>
        <v>0</v>
      </c>
      <c r="J7326" s="1" t="str">
        <f t="shared" si="12965"/>
        <v>0</v>
      </c>
      <c r="K7326" s="1" t="str">
        <f t="shared" si="12965"/>
        <v>0</v>
      </c>
      <c r="L7326" s="1" t="str">
        <f t="shared" si="12965"/>
        <v>0</v>
      </c>
      <c r="M7326" s="1" t="str">
        <f t="shared" si="12965"/>
        <v>0</v>
      </c>
      <c r="N7326" s="1" t="str">
        <f t="shared" si="12965"/>
        <v>0</v>
      </c>
      <c r="O7326" s="1" t="str">
        <f t="shared" si="12965"/>
        <v>0</v>
      </c>
      <c r="P7326" s="1" t="str">
        <f t="shared" si="12965"/>
        <v>0</v>
      </c>
      <c r="Q7326" s="1" t="str">
        <f t="shared" si="12937"/>
        <v>0.0070</v>
      </c>
      <c r="R7326" s="1" t="s">
        <v>25</v>
      </c>
      <c r="T7326" s="1" t="str">
        <f t="shared" si="12938"/>
        <v>0</v>
      </c>
      <c r="U7326" s="1" t="str">
        <f t="shared" si="12922"/>
        <v>0.0070</v>
      </c>
    </row>
    <row r="7327" s="1" customFormat="1" spans="1:21">
      <c r="A7327" s="1" t="str">
        <f>"4601992329375"</f>
        <v>4601992329375</v>
      </c>
      <c r="B7327" s="1" t="s">
        <v>7350</v>
      </c>
      <c r="C7327" s="1" t="s">
        <v>24</v>
      </c>
      <c r="D7327" s="1" t="str">
        <f t="shared" si="12935"/>
        <v>2021</v>
      </c>
      <c r="E7327" s="1" t="str">
        <f t="shared" ref="E7327:P7327" si="12966">"0"</f>
        <v>0</v>
      </c>
      <c r="F7327" s="1" t="str">
        <f t="shared" si="12966"/>
        <v>0</v>
      </c>
      <c r="G7327" s="1" t="str">
        <f t="shared" si="12966"/>
        <v>0</v>
      </c>
      <c r="H7327" s="1" t="str">
        <f t="shared" si="12966"/>
        <v>0</v>
      </c>
      <c r="I7327" s="1" t="str">
        <f t="shared" si="12966"/>
        <v>0</v>
      </c>
      <c r="J7327" s="1" t="str">
        <f t="shared" si="12966"/>
        <v>0</v>
      </c>
      <c r="K7327" s="1" t="str">
        <f t="shared" si="12966"/>
        <v>0</v>
      </c>
      <c r="L7327" s="1" t="str">
        <f t="shared" si="12966"/>
        <v>0</v>
      </c>
      <c r="M7327" s="1" t="str">
        <f t="shared" si="12966"/>
        <v>0</v>
      </c>
      <c r="N7327" s="1" t="str">
        <f t="shared" si="12966"/>
        <v>0</v>
      </c>
      <c r="O7327" s="1" t="str">
        <f t="shared" si="12966"/>
        <v>0</v>
      </c>
      <c r="P7327" s="1" t="str">
        <f t="shared" si="12966"/>
        <v>0</v>
      </c>
      <c r="Q7327" s="1" t="str">
        <f t="shared" si="12937"/>
        <v>0.0070</v>
      </c>
      <c r="R7327" s="1" t="s">
        <v>25</v>
      </c>
      <c r="T7327" s="1" t="str">
        <f t="shared" si="12938"/>
        <v>0</v>
      </c>
      <c r="U7327" s="1" t="str">
        <f t="shared" si="12922"/>
        <v>0.0070</v>
      </c>
    </row>
    <row r="7328" s="1" customFormat="1" spans="1:21">
      <c r="A7328" s="1" t="str">
        <f>"4601992329279"</f>
        <v>4601992329279</v>
      </c>
      <c r="B7328" s="1" t="s">
        <v>7351</v>
      </c>
      <c r="C7328" s="1" t="s">
        <v>24</v>
      </c>
      <c r="D7328" s="1" t="str">
        <f t="shared" si="12935"/>
        <v>2021</v>
      </c>
      <c r="E7328" s="1" t="str">
        <f t="shared" ref="E7328:P7328" si="12967">"0"</f>
        <v>0</v>
      </c>
      <c r="F7328" s="1" t="str">
        <f t="shared" si="12967"/>
        <v>0</v>
      </c>
      <c r="G7328" s="1" t="str">
        <f t="shared" si="12967"/>
        <v>0</v>
      </c>
      <c r="H7328" s="1" t="str">
        <f t="shared" si="12967"/>
        <v>0</v>
      </c>
      <c r="I7328" s="1" t="str">
        <f t="shared" si="12967"/>
        <v>0</v>
      </c>
      <c r="J7328" s="1" t="str">
        <f t="shared" si="12967"/>
        <v>0</v>
      </c>
      <c r="K7328" s="1" t="str">
        <f t="shared" si="12967"/>
        <v>0</v>
      </c>
      <c r="L7328" s="1" t="str">
        <f t="shared" si="12967"/>
        <v>0</v>
      </c>
      <c r="M7328" s="1" t="str">
        <f t="shared" si="12967"/>
        <v>0</v>
      </c>
      <c r="N7328" s="1" t="str">
        <f t="shared" si="12967"/>
        <v>0</v>
      </c>
      <c r="O7328" s="1" t="str">
        <f t="shared" si="12967"/>
        <v>0</v>
      </c>
      <c r="P7328" s="1" t="str">
        <f t="shared" si="12967"/>
        <v>0</v>
      </c>
      <c r="Q7328" s="1" t="str">
        <f t="shared" si="12937"/>
        <v>0.0070</v>
      </c>
      <c r="R7328" s="1" t="s">
        <v>25</v>
      </c>
      <c r="T7328" s="1" t="str">
        <f t="shared" si="12938"/>
        <v>0</v>
      </c>
      <c r="U7328" s="1" t="str">
        <f t="shared" si="12922"/>
        <v>0.0070</v>
      </c>
    </row>
    <row r="7329" s="1" customFormat="1" spans="1:21">
      <c r="A7329" s="1" t="str">
        <f>"4601992329459"</f>
        <v>4601992329459</v>
      </c>
      <c r="B7329" s="1" t="s">
        <v>7352</v>
      </c>
      <c r="C7329" s="1" t="s">
        <v>24</v>
      </c>
      <c r="D7329" s="1" t="str">
        <f t="shared" si="12935"/>
        <v>2021</v>
      </c>
      <c r="E7329" s="1" t="str">
        <f t="shared" ref="E7329:P7329" si="12968">"0"</f>
        <v>0</v>
      </c>
      <c r="F7329" s="1" t="str">
        <f t="shared" si="12968"/>
        <v>0</v>
      </c>
      <c r="G7329" s="1" t="str">
        <f t="shared" si="12968"/>
        <v>0</v>
      </c>
      <c r="H7329" s="1" t="str">
        <f t="shared" si="12968"/>
        <v>0</v>
      </c>
      <c r="I7329" s="1" t="str">
        <f t="shared" si="12968"/>
        <v>0</v>
      </c>
      <c r="J7329" s="1" t="str">
        <f t="shared" si="12968"/>
        <v>0</v>
      </c>
      <c r="K7329" s="1" t="str">
        <f t="shared" si="12968"/>
        <v>0</v>
      </c>
      <c r="L7329" s="1" t="str">
        <f t="shared" si="12968"/>
        <v>0</v>
      </c>
      <c r="M7329" s="1" t="str">
        <f t="shared" si="12968"/>
        <v>0</v>
      </c>
      <c r="N7329" s="1" t="str">
        <f t="shared" si="12968"/>
        <v>0</v>
      </c>
      <c r="O7329" s="1" t="str">
        <f t="shared" si="12968"/>
        <v>0</v>
      </c>
      <c r="P7329" s="1" t="str">
        <f t="shared" si="12968"/>
        <v>0</v>
      </c>
      <c r="Q7329" s="1" t="str">
        <f t="shared" si="12937"/>
        <v>0.0070</v>
      </c>
      <c r="R7329" s="1" t="s">
        <v>25</v>
      </c>
      <c r="T7329" s="1" t="str">
        <f t="shared" si="12938"/>
        <v>0</v>
      </c>
      <c r="U7329" s="1" t="str">
        <f t="shared" si="12922"/>
        <v>0.0070</v>
      </c>
    </row>
    <row r="7330" s="1" customFormat="1" spans="1:21">
      <c r="A7330" s="1" t="str">
        <f>"4601992329473"</f>
        <v>4601992329473</v>
      </c>
      <c r="B7330" s="1" t="s">
        <v>7353</v>
      </c>
      <c r="C7330" s="1" t="s">
        <v>24</v>
      </c>
      <c r="D7330" s="1" t="str">
        <f t="shared" si="12935"/>
        <v>2021</v>
      </c>
      <c r="E7330" s="1" t="str">
        <f t="shared" ref="E7330:P7330" si="12969">"0"</f>
        <v>0</v>
      </c>
      <c r="F7330" s="1" t="str">
        <f t="shared" si="12969"/>
        <v>0</v>
      </c>
      <c r="G7330" s="1" t="str">
        <f t="shared" si="12969"/>
        <v>0</v>
      </c>
      <c r="H7330" s="1" t="str">
        <f t="shared" si="12969"/>
        <v>0</v>
      </c>
      <c r="I7330" s="1" t="str">
        <f t="shared" si="12969"/>
        <v>0</v>
      </c>
      <c r="J7330" s="1" t="str">
        <f t="shared" si="12969"/>
        <v>0</v>
      </c>
      <c r="K7330" s="1" t="str">
        <f t="shared" si="12969"/>
        <v>0</v>
      </c>
      <c r="L7330" s="1" t="str">
        <f t="shared" si="12969"/>
        <v>0</v>
      </c>
      <c r="M7330" s="1" t="str">
        <f t="shared" si="12969"/>
        <v>0</v>
      </c>
      <c r="N7330" s="1" t="str">
        <f t="shared" si="12969"/>
        <v>0</v>
      </c>
      <c r="O7330" s="1" t="str">
        <f t="shared" si="12969"/>
        <v>0</v>
      </c>
      <c r="P7330" s="1" t="str">
        <f t="shared" si="12969"/>
        <v>0</v>
      </c>
      <c r="Q7330" s="1" t="str">
        <f t="shared" si="12937"/>
        <v>0.0070</v>
      </c>
      <c r="R7330" s="1" t="s">
        <v>25</v>
      </c>
      <c r="T7330" s="1" t="str">
        <f t="shared" si="12938"/>
        <v>0</v>
      </c>
      <c r="U7330" s="1" t="str">
        <f t="shared" si="12922"/>
        <v>0.0070</v>
      </c>
    </row>
    <row r="7331" s="1" customFormat="1" spans="1:21">
      <c r="A7331" s="1" t="str">
        <f>"4601992329497"</f>
        <v>4601992329497</v>
      </c>
      <c r="B7331" s="1" t="s">
        <v>7354</v>
      </c>
      <c r="C7331" s="1" t="s">
        <v>24</v>
      </c>
      <c r="D7331" s="1" t="str">
        <f t="shared" si="12935"/>
        <v>2021</v>
      </c>
      <c r="E7331" s="1" t="str">
        <f t="shared" ref="E7331:P7331" si="12970">"0"</f>
        <v>0</v>
      </c>
      <c r="F7331" s="1" t="str">
        <f t="shared" si="12970"/>
        <v>0</v>
      </c>
      <c r="G7331" s="1" t="str">
        <f t="shared" si="12970"/>
        <v>0</v>
      </c>
      <c r="H7331" s="1" t="str">
        <f t="shared" si="12970"/>
        <v>0</v>
      </c>
      <c r="I7331" s="1" t="str">
        <f t="shared" si="12970"/>
        <v>0</v>
      </c>
      <c r="J7331" s="1" t="str">
        <f t="shared" si="12970"/>
        <v>0</v>
      </c>
      <c r="K7331" s="1" t="str">
        <f t="shared" si="12970"/>
        <v>0</v>
      </c>
      <c r="L7331" s="1" t="str">
        <f t="shared" si="12970"/>
        <v>0</v>
      </c>
      <c r="M7331" s="1" t="str">
        <f t="shared" si="12970"/>
        <v>0</v>
      </c>
      <c r="N7331" s="1" t="str">
        <f t="shared" si="12970"/>
        <v>0</v>
      </c>
      <c r="O7331" s="1" t="str">
        <f t="shared" si="12970"/>
        <v>0</v>
      </c>
      <c r="P7331" s="1" t="str">
        <f t="shared" si="12970"/>
        <v>0</v>
      </c>
      <c r="Q7331" s="1" t="str">
        <f t="shared" si="12937"/>
        <v>0.0070</v>
      </c>
      <c r="R7331" s="1" t="s">
        <v>25</v>
      </c>
      <c r="T7331" s="1" t="str">
        <f t="shared" si="12938"/>
        <v>0</v>
      </c>
      <c r="U7331" s="1" t="str">
        <f t="shared" si="12922"/>
        <v>0.0070</v>
      </c>
    </row>
    <row r="7332" s="1" customFormat="1" spans="1:21">
      <c r="A7332" s="1" t="str">
        <f>"4601992329816"</f>
        <v>4601992329816</v>
      </c>
      <c r="B7332" s="1" t="s">
        <v>7355</v>
      </c>
      <c r="C7332" s="1" t="s">
        <v>24</v>
      </c>
      <c r="D7332" s="1" t="str">
        <f t="shared" si="12935"/>
        <v>2021</v>
      </c>
      <c r="E7332" s="1" t="str">
        <f t="shared" ref="E7332:P7332" si="12971">"0"</f>
        <v>0</v>
      </c>
      <c r="F7332" s="1" t="str">
        <f t="shared" si="12971"/>
        <v>0</v>
      </c>
      <c r="G7332" s="1" t="str">
        <f t="shared" si="12971"/>
        <v>0</v>
      </c>
      <c r="H7332" s="1" t="str">
        <f t="shared" si="12971"/>
        <v>0</v>
      </c>
      <c r="I7332" s="1" t="str">
        <f t="shared" si="12971"/>
        <v>0</v>
      </c>
      <c r="J7332" s="1" t="str">
        <f t="shared" si="12971"/>
        <v>0</v>
      </c>
      <c r="K7332" s="1" t="str">
        <f t="shared" si="12971"/>
        <v>0</v>
      </c>
      <c r="L7332" s="1" t="str">
        <f t="shared" si="12971"/>
        <v>0</v>
      </c>
      <c r="M7332" s="1" t="str">
        <f t="shared" si="12971"/>
        <v>0</v>
      </c>
      <c r="N7332" s="1" t="str">
        <f t="shared" si="12971"/>
        <v>0</v>
      </c>
      <c r="O7332" s="1" t="str">
        <f t="shared" si="12971"/>
        <v>0</v>
      </c>
      <c r="P7332" s="1" t="str">
        <f t="shared" si="12971"/>
        <v>0</v>
      </c>
      <c r="Q7332" s="1" t="str">
        <f t="shared" si="12937"/>
        <v>0.0070</v>
      </c>
      <c r="R7332" s="1" t="s">
        <v>25</v>
      </c>
      <c r="T7332" s="1" t="str">
        <f t="shared" si="12938"/>
        <v>0</v>
      </c>
      <c r="U7332" s="1" t="str">
        <f t="shared" si="12922"/>
        <v>0.0070</v>
      </c>
    </row>
    <row r="7333" s="1" customFormat="1" spans="1:21">
      <c r="A7333" s="1" t="str">
        <f>"4601992329821"</f>
        <v>4601992329821</v>
      </c>
      <c r="B7333" s="1" t="s">
        <v>7356</v>
      </c>
      <c r="C7333" s="1" t="s">
        <v>24</v>
      </c>
      <c r="D7333" s="1" t="str">
        <f t="shared" si="12935"/>
        <v>2021</v>
      </c>
      <c r="E7333" s="1" t="str">
        <f t="shared" ref="E7333:P7333" si="12972">"0"</f>
        <v>0</v>
      </c>
      <c r="F7333" s="1" t="str">
        <f t="shared" si="12972"/>
        <v>0</v>
      </c>
      <c r="G7333" s="1" t="str">
        <f t="shared" si="12972"/>
        <v>0</v>
      </c>
      <c r="H7333" s="1" t="str">
        <f t="shared" si="12972"/>
        <v>0</v>
      </c>
      <c r="I7333" s="1" t="str">
        <f t="shared" si="12972"/>
        <v>0</v>
      </c>
      <c r="J7333" s="1" t="str">
        <f t="shared" si="12972"/>
        <v>0</v>
      </c>
      <c r="K7333" s="1" t="str">
        <f t="shared" si="12972"/>
        <v>0</v>
      </c>
      <c r="L7333" s="1" t="str">
        <f t="shared" si="12972"/>
        <v>0</v>
      </c>
      <c r="M7333" s="1" t="str">
        <f t="shared" si="12972"/>
        <v>0</v>
      </c>
      <c r="N7333" s="1" t="str">
        <f t="shared" si="12972"/>
        <v>0</v>
      </c>
      <c r="O7333" s="1" t="str">
        <f t="shared" si="12972"/>
        <v>0</v>
      </c>
      <c r="P7333" s="1" t="str">
        <f t="shared" si="12972"/>
        <v>0</v>
      </c>
      <c r="Q7333" s="1" t="str">
        <f t="shared" si="12937"/>
        <v>0.0070</v>
      </c>
      <c r="R7333" s="1" t="s">
        <v>25</v>
      </c>
      <c r="T7333" s="1" t="str">
        <f t="shared" si="12938"/>
        <v>0</v>
      </c>
      <c r="U7333" s="1" t="str">
        <f t="shared" si="12922"/>
        <v>0.0070</v>
      </c>
    </row>
    <row r="7334" s="1" customFormat="1" spans="1:21">
      <c r="A7334" s="1" t="str">
        <f>"4601992329905"</f>
        <v>4601992329905</v>
      </c>
      <c r="B7334" s="1" t="s">
        <v>7357</v>
      </c>
      <c r="C7334" s="1" t="s">
        <v>24</v>
      </c>
      <c r="D7334" s="1" t="str">
        <f t="shared" si="12935"/>
        <v>2021</v>
      </c>
      <c r="E7334" s="1" t="str">
        <f t="shared" ref="E7334:P7334" si="12973">"0"</f>
        <v>0</v>
      </c>
      <c r="F7334" s="1" t="str">
        <f t="shared" si="12973"/>
        <v>0</v>
      </c>
      <c r="G7334" s="1" t="str">
        <f t="shared" si="12973"/>
        <v>0</v>
      </c>
      <c r="H7334" s="1" t="str">
        <f t="shared" si="12973"/>
        <v>0</v>
      </c>
      <c r="I7334" s="1" t="str">
        <f t="shared" si="12973"/>
        <v>0</v>
      </c>
      <c r="J7334" s="1" t="str">
        <f t="shared" si="12973"/>
        <v>0</v>
      </c>
      <c r="K7334" s="1" t="str">
        <f t="shared" si="12973"/>
        <v>0</v>
      </c>
      <c r="L7334" s="1" t="str">
        <f t="shared" si="12973"/>
        <v>0</v>
      </c>
      <c r="M7334" s="1" t="str">
        <f t="shared" si="12973"/>
        <v>0</v>
      </c>
      <c r="N7334" s="1" t="str">
        <f t="shared" si="12973"/>
        <v>0</v>
      </c>
      <c r="O7334" s="1" t="str">
        <f t="shared" si="12973"/>
        <v>0</v>
      </c>
      <c r="P7334" s="1" t="str">
        <f t="shared" si="12973"/>
        <v>0</v>
      </c>
      <c r="Q7334" s="1" t="str">
        <f t="shared" si="12937"/>
        <v>0.0070</v>
      </c>
      <c r="R7334" s="1" t="s">
        <v>25</v>
      </c>
      <c r="T7334" s="1" t="str">
        <f t="shared" si="12938"/>
        <v>0</v>
      </c>
      <c r="U7334" s="1" t="str">
        <f t="shared" si="12922"/>
        <v>0.0070</v>
      </c>
    </row>
    <row r="7335" s="1" customFormat="1" spans="1:21">
      <c r="A7335" s="1" t="str">
        <f>"4601992329949"</f>
        <v>4601992329949</v>
      </c>
      <c r="B7335" s="1" t="s">
        <v>7358</v>
      </c>
      <c r="C7335" s="1" t="s">
        <v>24</v>
      </c>
      <c r="D7335" s="1" t="str">
        <f t="shared" si="12935"/>
        <v>2021</v>
      </c>
      <c r="E7335" s="1" t="str">
        <f t="shared" ref="E7335:P7335" si="12974">"0"</f>
        <v>0</v>
      </c>
      <c r="F7335" s="1" t="str">
        <f t="shared" si="12974"/>
        <v>0</v>
      </c>
      <c r="G7335" s="1" t="str">
        <f t="shared" si="12974"/>
        <v>0</v>
      </c>
      <c r="H7335" s="1" t="str">
        <f t="shared" si="12974"/>
        <v>0</v>
      </c>
      <c r="I7335" s="1" t="str">
        <f t="shared" si="12974"/>
        <v>0</v>
      </c>
      <c r="J7335" s="1" t="str">
        <f t="shared" si="12974"/>
        <v>0</v>
      </c>
      <c r="K7335" s="1" t="str">
        <f t="shared" si="12974"/>
        <v>0</v>
      </c>
      <c r="L7335" s="1" t="str">
        <f t="shared" si="12974"/>
        <v>0</v>
      </c>
      <c r="M7335" s="1" t="str">
        <f t="shared" si="12974"/>
        <v>0</v>
      </c>
      <c r="N7335" s="1" t="str">
        <f t="shared" si="12974"/>
        <v>0</v>
      </c>
      <c r="O7335" s="1" t="str">
        <f t="shared" si="12974"/>
        <v>0</v>
      </c>
      <c r="P7335" s="1" t="str">
        <f t="shared" si="12974"/>
        <v>0</v>
      </c>
      <c r="Q7335" s="1" t="str">
        <f t="shared" si="12937"/>
        <v>0.0070</v>
      </c>
      <c r="R7335" s="1" t="s">
        <v>25</v>
      </c>
      <c r="T7335" s="1" t="str">
        <f t="shared" si="12938"/>
        <v>0</v>
      </c>
      <c r="U7335" s="1" t="str">
        <f t="shared" si="12922"/>
        <v>0.0070</v>
      </c>
    </row>
    <row r="7336" s="1" customFormat="1" spans="1:21">
      <c r="A7336" s="1" t="str">
        <f>"4601992330039"</f>
        <v>4601992330039</v>
      </c>
      <c r="B7336" s="1" t="s">
        <v>7359</v>
      </c>
      <c r="C7336" s="1" t="s">
        <v>24</v>
      </c>
      <c r="D7336" s="1" t="str">
        <f t="shared" si="12935"/>
        <v>2021</v>
      </c>
      <c r="E7336" s="1" t="str">
        <f t="shared" ref="E7336:P7336" si="12975">"0"</f>
        <v>0</v>
      </c>
      <c r="F7336" s="1" t="str">
        <f t="shared" si="12975"/>
        <v>0</v>
      </c>
      <c r="G7336" s="1" t="str">
        <f t="shared" si="12975"/>
        <v>0</v>
      </c>
      <c r="H7336" s="1" t="str">
        <f t="shared" si="12975"/>
        <v>0</v>
      </c>
      <c r="I7336" s="1" t="str">
        <f t="shared" si="12975"/>
        <v>0</v>
      </c>
      <c r="J7336" s="1" t="str">
        <f t="shared" si="12975"/>
        <v>0</v>
      </c>
      <c r="K7336" s="1" t="str">
        <f t="shared" si="12975"/>
        <v>0</v>
      </c>
      <c r="L7336" s="1" t="str">
        <f t="shared" si="12975"/>
        <v>0</v>
      </c>
      <c r="M7336" s="1" t="str">
        <f t="shared" si="12975"/>
        <v>0</v>
      </c>
      <c r="N7336" s="1" t="str">
        <f t="shared" si="12975"/>
        <v>0</v>
      </c>
      <c r="O7336" s="1" t="str">
        <f t="shared" si="12975"/>
        <v>0</v>
      </c>
      <c r="P7336" s="1" t="str">
        <f t="shared" si="12975"/>
        <v>0</v>
      </c>
      <c r="Q7336" s="1" t="str">
        <f t="shared" si="12937"/>
        <v>0.0070</v>
      </c>
      <c r="R7336" s="1" t="s">
        <v>25</v>
      </c>
      <c r="T7336" s="1" t="str">
        <f t="shared" si="12938"/>
        <v>0</v>
      </c>
      <c r="U7336" s="1" t="str">
        <f t="shared" si="12922"/>
        <v>0.0070</v>
      </c>
    </row>
    <row r="7337" s="1" customFormat="1" spans="1:21">
      <c r="A7337" s="1" t="str">
        <f>"4601992330081"</f>
        <v>4601992330081</v>
      </c>
      <c r="B7337" s="1" t="s">
        <v>7360</v>
      </c>
      <c r="C7337" s="1" t="s">
        <v>24</v>
      </c>
      <c r="D7337" s="1" t="str">
        <f t="shared" si="12935"/>
        <v>2021</v>
      </c>
      <c r="E7337" s="1" t="str">
        <f t="shared" ref="E7337:P7337" si="12976">"0"</f>
        <v>0</v>
      </c>
      <c r="F7337" s="1" t="str">
        <f t="shared" si="12976"/>
        <v>0</v>
      </c>
      <c r="G7337" s="1" t="str">
        <f t="shared" si="12976"/>
        <v>0</v>
      </c>
      <c r="H7337" s="1" t="str">
        <f t="shared" si="12976"/>
        <v>0</v>
      </c>
      <c r="I7337" s="1" t="str">
        <f t="shared" si="12976"/>
        <v>0</v>
      </c>
      <c r="J7337" s="1" t="str">
        <f t="shared" si="12976"/>
        <v>0</v>
      </c>
      <c r="K7337" s="1" t="str">
        <f t="shared" si="12976"/>
        <v>0</v>
      </c>
      <c r="L7337" s="1" t="str">
        <f t="shared" si="12976"/>
        <v>0</v>
      </c>
      <c r="M7337" s="1" t="str">
        <f t="shared" si="12976"/>
        <v>0</v>
      </c>
      <c r="N7337" s="1" t="str">
        <f t="shared" si="12976"/>
        <v>0</v>
      </c>
      <c r="O7337" s="1" t="str">
        <f t="shared" si="12976"/>
        <v>0</v>
      </c>
      <c r="P7337" s="1" t="str">
        <f t="shared" si="12976"/>
        <v>0</v>
      </c>
      <c r="Q7337" s="1" t="str">
        <f t="shared" si="12937"/>
        <v>0.0070</v>
      </c>
      <c r="R7337" s="1" t="s">
        <v>25</v>
      </c>
      <c r="T7337" s="1" t="str">
        <f t="shared" si="12938"/>
        <v>0</v>
      </c>
      <c r="U7337" s="1" t="str">
        <f t="shared" si="12922"/>
        <v>0.0070</v>
      </c>
    </row>
    <row r="7338" s="1" customFormat="1" spans="1:21">
      <c r="A7338" s="1" t="str">
        <f>"4601992330016"</f>
        <v>4601992330016</v>
      </c>
      <c r="B7338" s="1" t="s">
        <v>7361</v>
      </c>
      <c r="C7338" s="1" t="s">
        <v>24</v>
      </c>
      <c r="D7338" s="1" t="str">
        <f t="shared" si="12935"/>
        <v>2021</v>
      </c>
      <c r="E7338" s="1" t="str">
        <f t="shared" ref="E7338:P7338" si="12977">"0"</f>
        <v>0</v>
      </c>
      <c r="F7338" s="1" t="str">
        <f t="shared" si="12977"/>
        <v>0</v>
      </c>
      <c r="G7338" s="1" t="str">
        <f t="shared" si="12977"/>
        <v>0</v>
      </c>
      <c r="H7338" s="1" t="str">
        <f t="shared" si="12977"/>
        <v>0</v>
      </c>
      <c r="I7338" s="1" t="str">
        <f t="shared" si="12977"/>
        <v>0</v>
      </c>
      <c r="J7338" s="1" t="str">
        <f t="shared" si="12977"/>
        <v>0</v>
      </c>
      <c r="K7338" s="1" t="str">
        <f t="shared" si="12977"/>
        <v>0</v>
      </c>
      <c r="L7338" s="1" t="str">
        <f t="shared" si="12977"/>
        <v>0</v>
      </c>
      <c r="M7338" s="1" t="str">
        <f t="shared" si="12977"/>
        <v>0</v>
      </c>
      <c r="N7338" s="1" t="str">
        <f t="shared" si="12977"/>
        <v>0</v>
      </c>
      <c r="O7338" s="1" t="str">
        <f t="shared" si="12977"/>
        <v>0</v>
      </c>
      <c r="P7338" s="1" t="str">
        <f t="shared" si="12977"/>
        <v>0</v>
      </c>
      <c r="Q7338" s="1" t="str">
        <f t="shared" si="12937"/>
        <v>0.0070</v>
      </c>
      <c r="R7338" s="1" t="s">
        <v>25</v>
      </c>
      <c r="T7338" s="1" t="str">
        <f t="shared" si="12938"/>
        <v>0</v>
      </c>
      <c r="U7338" s="1" t="str">
        <f t="shared" si="12922"/>
        <v>0.0070</v>
      </c>
    </row>
    <row r="7339" s="1" customFormat="1" spans="1:21">
      <c r="A7339" s="1" t="str">
        <f>"4601992330117"</f>
        <v>4601992330117</v>
      </c>
      <c r="B7339" s="1" t="s">
        <v>7362</v>
      </c>
      <c r="C7339" s="1" t="s">
        <v>24</v>
      </c>
      <c r="D7339" s="1" t="str">
        <f t="shared" si="12935"/>
        <v>2021</v>
      </c>
      <c r="E7339" s="1" t="str">
        <f t="shared" ref="E7339:P7339" si="12978">"0"</f>
        <v>0</v>
      </c>
      <c r="F7339" s="1" t="str">
        <f t="shared" si="12978"/>
        <v>0</v>
      </c>
      <c r="G7339" s="1" t="str">
        <f t="shared" si="12978"/>
        <v>0</v>
      </c>
      <c r="H7339" s="1" t="str">
        <f t="shared" si="12978"/>
        <v>0</v>
      </c>
      <c r="I7339" s="1" t="str">
        <f t="shared" si="12978"/>
        <v>0</v>
      </c>
      <c r="J7339" s="1" t="str">
        <f t="shared" si="12978"/>
        <v>0</v>
      </c>
      <c r="K7339" s="1" t="str">
        <f t="shared" si="12978"/>
        <v>0</v>
      </c>
      <c r="L7339" s="1" t="str">
        <f t="shared" si="12978"/>
        <v>0</v>
      </c>
      <c r="M7339" s="1" t="str">
        <f t="shared" si="12978"/>
        <v>0</v>
      </c>
      <c r="N7339" s="1" t="str">
        <f t="shared" si="12978"/>
        <v>0</v>
      </c>
      <c r="O7339" s="1" t="str">
        <f t="shared" si="12978"/>
        <v>0</v>
      </c>
      <c r="P7339" s="1" t="str">
        <f t="shared" si="12978"/>
        <v>0</v>
      </c>
      <c r="Q7339" s="1" t="str">
        <f t="shared" si="12937"/>
        <v>0.0070</v>
      </c>
      <c r="R7339" s="1" t="s">
        <v>25</v>
      </c>
      <c r="T7339" s="1" t="str">
        <f t="shared" si="12938"/>
        <v>0</v>
      </c>
      <c r="U7339" s="1" t="str">
        <f t="shared" si="12922"/>
        <v>0.0070</v>
      </c>
    </row>
    <row r="7340" s="1" customFormat="1" spans="1:21">
      <c r="A7340" s="1" t="str">
        <f>"4601992330139"</f>
        <v>4601992330139</v>
      </c>
      <c r="B7340" s="1" t="s">
        <v>7363</v>
      </c>
      <c r="C7340" s="1" t="s">
        <v>24</v>
      </c>
      <c r="D7340" s="1" t="str">
        <f t="shared" si="12935"/>
        <v>2021</v>
      </c>
      <c r="E7340" s="1" t="str">
        <f t="shared" ref="E7340:P7340" si="12979">"0"</f>
        <v>0</v>
      </c>
      <c r="F7340" s="1" t="str">
        <f t="shared" si="12979"/>
        <v>0</v>
      </c>
      <c r="G7340" s="1" t="str">
        <f t="shared" si="12979"/>
        <v>0</v>
      </c>
      <c r="H7340" s="1" t="str">
        <f t="shared" si="12979"/>
        <v>0</v>
      </c>
      <c r="I7340" s="1" t="str">
        <f t="shared" si="12979"/>
        <v>0</v>
      </c>
      <c r="J7340" s="1" t="str">
        <f t="shared" si="12979"/>
        <v>0</v>
      </c>
      <c r="K7340" s="1" t="str">
        <f t="shared" si="12979"/>
        <v>0</v>
      </c>
      <c r="L7340" s="1" t="str">
        <f t="shared" si="12979"/>
        <v>0</v>
      </c>
      <c r="M7340" s="1" t="str">
        <f t="shared" si="12979"/>
        <v>0</v>
      </c>
      <c r="N7340" s="1" t="str">
        <f t="shared" si="12979"/>
        <v>0</v>
      </c>
      <c r="O7340" s="1" t="str">
        <f t="shared" si="12979"/>
        <v>0</v>
      </c>
      <c r="P7340" s="1" t="str">
        <f t="shared" si="12979"/>
        <v>0</v>
      </c>
      <c r="Q7340" s="1" t="str">
        <f t="shared" si="12937"/>
        <v>0.0070</v>
      </c>
      <c r="R7340" s="1" t="s">
        <v>25</v>
      </c>
      <c r="T7340" s="1" t="str">
        <f t="shared" si="12938"/>
        <v>0</v>
      </c>
      <c r="U7340" s="1" t="str">
        <f t="shared" si="12922"/>
        <v>0.0070</v>
      </c>
    </row>
    <row r="7341" s="1" customFormat="1" spans="1:21">
      <c r="A7341" s="1" t="str">
        <f>"4601992330126"</f>
        <v>4601992330126</v>
      </c>
      <c r="B7341" s="1" t="s">
        <v>7364</v>
      </c>
      <c r="C7341" s="1" t="s">
        <v>24</v>
      </c>
      <c r="D7341" s="1" t="str">
        <f t="shared" si="12935"/>
        <v>2021</v>
      </c>
      <c r="E7341" s="1" t="str">
        <f t="shared" ref="E7341:P7341" si="12980">"0"</f>
        <v>0</v>
      </c>
      <c r="F7341" s="1" t="str">
        <f t="shared" si="12980"/>
        <v>0</v>
      </c>
      <c r="G7341" s="1" t="str">
        <f t="shared" si="12980"/>
        <v>0</v>
      </c>
      <c r="H7341" s="1" t="str">
        <f t="shared" si="12980"/>
        <v>0</v>
      </c>
      <c r="I7341" s="1" t="str">
        <f t="shared" si="12980"/>
        <v>0</v>
      </c>
      <c r="J7341" s="1" t="str">
        <f t="shared" si="12980"/>
        <v>0</v>
      </c>
      <c r="K7341" s="1" t="str">
        <f t="shared" si="12980"/>
        <v>0</v>
      </c>
      <c r="L7341" s="1" t="str">
        <f t="shared" si="12980"/>
        <v>0</v>
      </c>
      <c r="M7341" s="1" t="str">
        <f t="shared" si="12980"/>
        <v>0</v>
      </c>
      <c r="N7341" s="1" t="str">
        <f t="shared" si="12980"/>
        <v>0</v>
      </c>
      <c r="O7341" s="1" t="str">
        <f t="shared" si="12980"/>
        <v>0</v>
      </c>
      <c r="P7341" s="1" t="str">
        <f t="shared" si="12980"/>
        <v>0</v>
      </c>
      <c r="Q7341" s="1" t="str">
        <f t="shared" si="12937"/>
        <v>0.0070</v>
      </c>
      <c r="R7341" s="1" t="s">
        <v>25</v>
      </c>
      <c r="T7341" s="1" t="str">
        <f t="shared" si="12938"/>
        <v>0</v>
      </c>
      <c r="U7341" s="1" t="str">
        <f t="shared" si="12922"/>
        <v>0.0070</v>
      </c>
    </row>
    <row r="7342" s="1" customFormat="1" spans="1:21">
      <c r="A7342" s="1" t="str">
        <f>"4601992330140"</f>
        <v>4601992330140</v>
      </c>
      <c r="B7342" s="1" t="s">
        <v>7365</v>
      </c>
      <c r="C7342" s="1" t="s">
        <v>24</v>
      </c>
      <c r="D7342" s="1" t="str">
        <f t="shared" si="12935"/>
        <v>2021</v>
      </c>
      <c r="E7342" s="1" t="str">
        <f t="shared" ref="E7342:P7342" si="12981">"0"</f>
        <v>0</v>
      </c>
      <c r="F7342" s="1" t="str">
        <f t="shared" si="12981"/>
        <v>0</v>
      </c>
      <c r="G7342" s="1" t="str">
        <f t="shared" si="12981"/>
        <v>0</v>
      </c>
      <c r="H7342" s="1" t="str">
        <f t="shared" si="12981"/>
        <v>0</v>
      </c>
      <c r="I7342" s="1" t="str">
        <f t="shared" si="12981"/>
        <v>0</v>
      </c>
      <c r="J7342" s="1" t="str">
        <f t="shared" si="12981"/>
        <v>0</v>
      </c>
      <c r="K7342" s="1" t="str">
        <f t="shared" si="12981"/>
        <v>0</v>
      </c>
      <c r="L7342" s="1" t="str">
        <f t="shared" si="12981"/>
        <v>0</v>
      </c>
      <c r="M7342" s="1" t="str">
        <f t="shared" si="12981"/>
        <v>0</v>
      </c>
      <c r="N7342" s="1" t="str">
        <f t="shared" si="12981"/>
        <v>0</v>
      </c>
      <c r="O7342" s="1" t="str">
        <f t="shared" si="12981"/>
        <v>0</v>
      </c>
      <c r="P7342" s="1" t="str">
        <f t="shared" si="12981"/>
        <v>0</v>
      </c>
      <c r="Q7342" s="1" t="str">
        <f t="shared" si="12937"/>
        <v>0.0070</v>
      </c>
      <c r="R7342" s="1" t="s">
        <v>25</v>
      </c>
      <c r="T7342" s="1" t="str">
        <f t="shared" si="12938"/>
        <v>0</v>
      </c>
      <c r="U7342" s="1" t="str">
        <f t="shared" si="12922"/>
        <v>0.0070</v>
      </c>
    </row>
    <row r="7343" s="1" customFormat="1" spans="1:21">
      <c r="A7343" s="1" t="str">
        <f>"4601992330174"</f>
        <v>4601992330174</v>
      </c>
      <c r="B7343" s="1" t="s">
        <v>7366</v>
      </c>
      <c r="C7343" s="1" t="s">
        <v>24</v>
      </c>
      <c r="D7343" s="1" t="str">
        <f t="shared" si="12935"/>
        <v>2021</v>
      </c>
      <c r="E7343" s="1" t="str">
        <f t="shared" ref="E7343:P7343" si="12982">"0"</f>
        <v>0</v>
      </c>
      <c r="F7343" s="1" t="str">
        <f t="shared" si="12982"/>
        <v>0</v>
      </c>
      <c r="G7343" s="1" t="str">
        <f t="shared" si="12982"/>
        <v>0</v>
      </c>
      <c r="H7343" s="1" t="str">
        <f t="shared" si="12982"/>
        <v>0</v>
      </c>
      <c r="I7343" s="1" t="str">
        <f t="shared" si="12982"/>
        <v>0</v>
      </c>
      <c r="J7343" s="1" t="str">
        <f t="shared" si="12982"/>
        <v>0</v>
      </c>
      <c r="K7343" s="1" t="str">
        <f t="shared" si="12982"/>
        <v>0</v>
      </c>
      <c r="L7343" s="1" t="str">
        <f t="shared" si="12982"/>
        <v>0</v>
      </c>
      <c r="M7343" s="1" t="str">
        <f t="shared" si="12982"/>
        <v>0</v>
      </c>
      <c r="N7343" s="1" t="str">
        <f t="shared" si="12982"/>
        <v>0</v>
      </c>
      <c r="O7343" s="1" t="str">
        <f t="shared" si="12982"/>
        <v>0</v>
      </c>
      <c r="P7343" s="1" t="str">
        <f t="shared" si="12982"/>
        <v>0</v>
      </c>
      <c r="Q7343" s="1" t="str">
        <f t="shared" si="12937"/>
        <v>0.0070</v>
      </c>
      <c r="R7343" s="1" t="s">
        <v>25</v>
      </c>
      <c r="T7343" s="1" t="str">
        <f t="shared" si="12938"/>
        <v>0</v>
      </c>
      <c r="U7343" s="1" t="str">
        <f t="shared" si="12922"/>
        <v>0.0070</v>
      </c>
    </row>
    <row r="7344" s="1" customFormat="1" spans="1:21">
      <c r="A7344" s="1" t="str">
        <f>"4601992330275"</f>
        <v>4601992330275</v>
      </c>
      <c r="B7344" s="1" t="s">
        <v>7367</v>
      </c>
      <c r="C7344" s="1" t="s">
        <v>24</v>
      </c>
      <c r="D7344" s="1" t="str">
        <f t="shared" si="12935"/>
        <v>2021</v>
      </c>
      <c r="E7344" s="1" t="str">
        <f t="shared" ref="E7344:P7344" si="12983">"0"</f>
        <v>0</v>
      </c>
      <c r="F7344" s="1" t="str">
        <f t="shared" si="12983"/>
        <v>0</v>
      </c>
      <c r="G7344" s="1" t="str">
        <f t="shared" si="12983"/>
        <v>0</v>
      </c>
      <c r="H7344" s="1" t="str">
        <f t="shared" si="12983"/>
        <v>0</v>
      </c>
      <c r="I7344" s="1" t="str">
        <f t="shared" si="12983"/>
        <v>0</v>
      </c>
      <c r="J7344" s="1" t="str">
        <f t="shared" si="12983"/>
        <v>0</v>
      </c>
      <c r="K7344" s="1" t="str">
        <f t="shared" si="12983"/>
        <v>0</v>
      </c>
      <c r="L7344" s="1" t="str">
        <f t="shared" si="12983"/>
        <v>0</v>
      </c>
      <c r="M7344" s="1" t="str">
        <f t="shared" si="12983"/>
        <v>0</v>
      </c>
      <c r="N7344" s="1" t="str">
        <f t="shared" si="12983"/>
        <v>0</v>
      </c>
      <c r="O7344" s="1" t="str">
        <f t="shared" si="12983"/>
        <v>0</v>
      </c>
      <c r="P7344" s="1" t="str">
        <f t="shared" si="12983"/>
        <v>0</v>
      </c>
      <c r="Q7344" s="1" t="str">
        <f t="shared" si="12937"/>
        <v>0.0070</v>
      </c>
      <c r="R7344" s="1" t="s">
        <v>25</v>
      </c>
      <c r="T7344" s="1" t="str">
        <f t="shared" si="12938"/>
        <v>0</v>
      </c>
      <c r="U7344" s="1" t="str">
        <f t="shared" si="12922"/>
        <v>0.0070</v>
      </c>
    </row>
    <row r="7345" s="1" customFormat="1" spans="1:21">
      <c r="A7345" s="1" t="str">
        <f>"4601992330373"</f>
        <v>4601992330373</v>
      </c>
      <c r="B7345" s="1" t="s">
        <v>7368</v>
      </c>
      <c r="C7345" s="1" t="s">
        <v>24</v>
      </c>
      <c r="D7345" s="1" t="str">
        <f t="shared" si="12935"/>
        <v>2021</v>
      </c>
      <c r="E7345" s="1" t="str">
        <f t="shared" ref="E7345:P7345" si="12984">"0"</f>
        <v>0</v>
      </c>
      <c r="F7345" s="1" t="str">
        <f t="shared" si="12984"/>
        <v>0</v>
      </c>
      <c r="G7345" s="1" t="str">
        <f t="shared" si="12984"/>
        <v>0</v>
      </c>
      <c r="H7345" s="1" t="str">
        <f t="shared" si="12984"/>
        <v>0</v>
      </c>
      <c r="I7345" s="1" t="str">
        <f t="shared" si="12984"/>
        <v>0</v>
      </c>
      <c r="J7345" s="1" t="str">
        <f t="shared" si="12984"/>
        <v>0</v>
      </c>
      <c r="K7345" s="1" t="str">
        <f t="shared" si="12984"/>
        <v>0</v>
      </c>
      <c r="L7345" s="1" t="str">
        <f t="shared" si="12984"/>
        <v>0</v>
      </c>
      <c r="M7345" s="1" t="str">
        <f t="shared" si="12984"/>
        <v>0</v>
      </c>
      <c r="N7345" s="1" t="str">
        <f t="shared" si="12984"/>
        <v>0</v>
      </c>
      <c r="O7345" s="1" t="str">
        <f t="shared" si="12984"/>
        <v>0</v>
      </c>
      <c r="P7345" s="1" t="str">
        <f t="shared" si="12984"/>
        <v>0</v>
      </c>
      <c r="Q7345" s="1" t="str">
        <f t="shared" si="12937"/>
        <v>0.0070</v>
      </c>
      <c r="R7345" s="1" t="s">
        <v>25</v>
      </c>
      <c r="T7345" s="1" t="str">
        <f t="shared" si="12938"/>
        <v>0</v>
      </c>
      <c r="U7345" s="1" t="str">
        <f t="shared" si="12922"/>
        <v>0.0070</v>
      </c>
    </row>
    <row r="7346" s="1" customFormat="1" spans="1:21">
      <c r="A7346" s="1" t="str">
        <f>"4601992330310"</f>
        <v>4601992330310</v>
      </c>
      <c r="B7346" s="1" t="s">
        <v>7369</v>
      </c>
      <c r="C7346" s="1" t="s">
        <v>24</v>
      </c>
      <c r="D7346" s="1" t="str">
        <f t="shared" si="12935"/>
        <v>2021</v>
      </c>
      <c r="E7346" s="1" t="str">
        <f t="shared" ref="E7346:P7346" si="12985">"0"</f>
        <v>0</v>
      </c>
      <c r="F7346" s="1" t="str">
        <f t="shared" si="12985"/>
        <v>0</v>
      </c>
      <c r="G7346" s="1" t="str">
        <f t="shared" si="12985"/>
        <v>0</v>
      </c>
      <c r="H7346" s="1" t="str">
        <f t="shared" si="12985"/>
        <v>0</v>
      </c>
      <c r="I7346" s="1" t="str">
        <f t="shared" si="12985"/>
        <v>0</v>
      </c>
      <c r="J7346" s="1" t="str">
        <f t="shared" si="12985"/>
        <v>0</v>
      </c>
      <c r="K7346" s="1" t="str">
        <f t="shared" si="12985"/>
        <v>0</v>
      </c>
      <c r="L7346" s="1" t="str">
        <f t="shared" si="12985"/>
        <v>0</v>
      </c>
      <c r="M7346" s="1" t="str">
        <f t="shared" si="12985"/>
        <v>0</v>
      </c>
      <c r="N7346" s="1" t="str">
        <f t="shared" si="12985"/>
        <v>0</v>
      </c>
      <c r="O7346" s="1" t="str">
        <f t="shared" si="12985"/>
        <v>0</v>
      </c>
      <c r="P7346" s="1" t="str">
        <f t="shared" si="12985"/>
        <v>0</v>
      </c>
      <c r="Q7346" s="1" t="str">
        <f t="shared" si="12937"/>
        <v>0.0070</v>
      </c>
      <c r="R7346" s="1" t="s">
        <v>25</v>
      </c>
      <c r="T7346" s="1" t="str">
        <f t="shared" si="12938"/>
        <v>0</v>
      </c>
      <c r="U7346" s="1" t="str">
        <f t="shared" si="12922"/>
        <v>0.0070</v>
      </c>
    </row>
    <row r="7347" s="1" customFormat="1" spans="1:21">
      <c r="A7347" s="1" t="str">
        <f>"4601992330387"</f>
        <v>4601992330387</v>
      </c>
      <c r="B7347" s="1" t="s">
        <v>7370</v>
      </c>
      <c r="C7347" s="1" t="s">
        <v>24</v>
      </c>
      <c r="D7347" s="1" t="str">
        <f t="shared" si="12935"/>
        <v>2021</v>
      </c>
      <c r="E7347" s="1" t="str">
        <f t="shared" ref="E7347:P7347" si="12986">"0"</f>
        <v>0</v>
      </c>
      <c r="F7347" s="1" t="str">
        <f t="shared" si="12986"/>
        <v>0</v>
      </c>
      <c r="G7347" s="1" t="str">
        <f t="shared" si="12986"/>
        <v>0</v>
      </c>
      <c r="H7347" s="1" t="str">
        <f t="shared" si="12986"/>
        <v>0</v>
      </c>
      <c r="I7347" s="1" t="str">
        <f t="shared" si="12986"/>
        <v>0</v>
      </c>
      <c r="J7347" s="1" t="str">
        <f t="shared" si="12986"/>
        <v>0</v>
      </c>
      <c r="K7347" s="1" t="str">
        <f t="shared" si="12986"/>
        <v>0</v>
      </c>
      <c r="L7347" s="1" t="str">
        <f t="shared" si="12986"/>
        <v>0</v>
      </c>
      <c r="M7347" s="1" t="str">
        <f t="shared" si="12986"/>
        <v>0</v>
      </c>
      <c r="N7347" s="1" t="str">
        <f t="shared" si="12986"/>
        <v>0</v>
      </c>
      <c r="O7347" s="1" t="str">
        <f t="shared" si="12986"/>
        <v>0</v>
      </c>
      <c r="P7347" s="1" t="str">
        <f t="shared" si="12986"/>
        <v>0</v>
      </c>
      <c r="Q7347" s="1" t="str">
        <f t="shared" si="12937"/>
        <v>0.0070</v>
      </c>
      <c r="R7347" s="1" t="s">
        <v>25</v>
      </c>
      <c r="T7347" s="1" t="str">
        <f t="shared" si="12938"/>
        <v>0</v>
      </c>
      <c r="U7347" s="1" t="str">
        <f t="shared" si="12922"/>
        <v>0.0070</v>
      </c>
    </row>
    <row r="7348" s="1" customFormat="1" spans="1:21">
      <c r="A7348" s="1" t="str">
        <f>"4601992330433"</f>
        <v>4601992330433</v>
      </c>
      <c r="B7348" s="1" t="s">
        <v>7371</v>
      </c>
      <c r="C7348" s="1" t="s">
        <v>24</v>
      </c>
      <c r="D7348" s="1" t="str">
        <f t="shared" si="12935"/>
        <v>2021</v>
      </c>
      <c r="E7348" s="1" t="str">
        <f t="shared" ref="E7348:P7348" si="12987">"0"</f>
        <v>0</v>
      </c>
      <c r="F7348" s="1" t="str">
        <f t="shared" si="12987"/>
        <v>0</v>
      </c>
      <c r="G7348" s="1" t="str">
        <f t="shared" si="12987"/>
        <v>0</v>
      </c>
      <c r="H7348" s="1" t="str">
        <f t="shared" si="12987"/>
        <v>0</v>
      </c>
      <c r="I7348" s="1" t="str">
        <f t="shared" si="12987"/>
        <v>0</v>
      </c>
      <c r="J7348" s="1" t="str">
        <f t="shared" si="12987"/>
        <v>0</v>
      </c>
      <c r="K7348" s="1" t="str">
        <f t="shared" si="12987"/>
        <v>0</v>
      </c>
      <c r="L7348" s="1" t="str">
        <f t="shared" si="12987"/>
        <v>0</v>
      </c>
      <c r="M7348" s="1" t="str">
        <f t="shared" si="12987"/>
        <v>0</v>
      </c>
      <c r="N7348" s="1" t="str">
        <f t="shared" si="12987"/>
        <v>0</v>
      </c>
      <c r="O7348" s="1" t="str">
        <f t="shared" si="12987"/>
        <v>0</v>
      </c>
      <c r="P7348" s="1" t="str">
        <f t="shared" si="12987"/>
        <v>0</v>
      </c>
      <c r="Q7348" s="1" t="str">
        <f t="shared" si="12937"/>
        <v>0.0070</v>
      </c>
      <c r="R7348" s="1" t="s">
        <v>25</v>
      </c>
      <c r="T7348" s="1" t="str">
        <f t="shared" si="12938"/>
        <v>0</v>
      </c>
      <c r="U7348" s="1" t="str">
        <f t="shared" si="12922"/>
        <v>0.0070</v>
      </c>
    </row>
    <row r="7349" s="1" customFormat="1" spans="1:21">
      <c r="A7349" s="1" t="str">
        <f>"4601992330483"</f>
        <v>4601992330483</v>
      </c>
      <c r="B7349" s="1" t="s">
        <v>7372</v>
      </c>
      <c r="C7349" s="1" t="s">
        <v>24</v>
      </c>
      <c r="D7349" s="1" t="str">
        <f t="shared" si="12935"/>
        <v>2021</v>
      </c>
      <c r="E7349" s="1" t="str">
        <f t="shared" ref="E7349:P7349" si="12988">"0"</f>
        <v>0</v>
      </c>
      <c r="F7349" s="1" t="str">
        <f t="shared" si="12988"/>
        <v>0</v>
      </c>
      <c r="G7349" s="1" t="str">
        <f t="shared" si="12988"/>
        <v>0</v>
      </c>
      <c r="H7349" s="1" t="str">
        <f t="shared" si="12988"/>
        <v>0</v>
      </c>
      <c r="I7349" s="1" t="str">
        <f t="shared" si="12988"/>
        <v>0</v>
      </c>
      <c r="J7349" s="1" t="str">
        <f t="shared" si="12988"/>
        <v>0</v>
      </c>
      <c r="K7349" s="1" t="str">
        <f t="shared" si="12988"/>
        <v>0</v>
      </c>
      <c r="L7349" s="1" t="str">
        <f t="shared" si="12988"/>
        <v>0</v>
      </c>
      <c r="M7349" s="1" t="str">
        <f t="shared" si="12988"/>
        <v>0</v>
      </c>
      <c r="N7349" s="1" t="str">
        <f t="shared" si="12988"/>
        <v>0</v>
      </c>
      <c r="O7349" s="1" t="str">
        <f t="shared" si="12988"/>
        <v>0</v>
      </c>
      <c r="P7349" s="1" t="str">
        <f t="shared" si="12988"/>
        <v>0</v>
      </c>
      <c r="Q7349" s="1" t="str">
        <f t="shared" si="12937"/>
        <v>0.0070</v>
      </c>
      <c r="R7349" s="1" t="s">
        <v>25</v>
      </c>
      <c r="T7349" s="1" t="str">
        <f t="shared" si="12938"/>
        <v>0</v>
      </c>
      <c r="U7349" s="1" t="str">
        <f t="shared" si="12922"/>
        <v>0.0070</v>
      </c>
    </row>
    <row r="7350" s="1" customFormat="1" spans="1:21">
      <c r="A7350" s="1" t="str">
        <f>"4601992330496"</f>
        <v>4601992330496</v>
      </c>
      <c r="B7350" s="1" t="s">
        <v>7373</v>
      </c>
      <c r="C7350" s="1" t="s">
        <v>24</v>
      </c>
      <c r="D7350" s="1" t="str">
        <f t="shared" si="12935"/>
        <v>2021</v>
      </c>
      <c r="E7350" s="1" t="str">
        <f t="shared" ref="E7350:P7350" si="12989">"0"</f>
        <v>0</v>
      </c>
      <c r="F7350" s="1" t="str">
        <f t="shared" si="12989"/>
        <v>0</v>
      </c>
      <c r="G7350" s="1" t="str">
        <f t="shared" si="12989"/>
        <v>0</v>
      </c>
      <c r="H7350" s="1" t="str">
        <f t="shared" si="12989"/>
        <v>0</v>
      </c>
      <c r="I7350" s="1" t="str">
        <f t="shared" si="12989"/>
        <v>0</v>
      </c>
      <c r="J7350" s="1" t="str">
        <f t="shared" si="12989"/>
        <v>0</v>
      </c>
      <c r="K7350" s="1" t="str">
        <f t="shared" si="12989"/>
        <v>0</v>
      </c>
      <c r="L7350" s="1" t="str">
        <f t="shared" si="12989"/>
        <v>0</v>
      </c>
      <c r="M7350" s="1" t="str">
        <f t="shared" si="12989"/>
        <v>0</v>
      </c>
      <c r="N7350" s="1" t="str">
        <f t="shared" si="12989"/>
        <v>0</v>
      </c>
      <c r="O7350" s="1" t="str">
        <f t="shared" si="12989"/>
        <v>0</v>
      </c>
      <c r="P7350" s="1" t="str">
        <f t="shared" si="12989"/>
        <v>0</v>
      </c>
      <c r="Q7350" s="1" t="str">
        <f t="shared" si="12937"/>
        <v>0.0070</v>
      </c>
      <c r="R7350" s="1" t="s">
        <v>25</v>
      </c>
      <c r="T7350" s="1" t="str">
        <f t="shared" si="12938"/>
        <v>0</v>
      </c>
      <c r="U7350" s="1" t="str">
        <f t="shared" ref="U7350:U7405" si="12990">"0.0070"</f>
        <v>0.0070</v>
      </c>
    </row>
    <row r="7351" s="1" customFormat="1" spans="1:21">
      <c r="A7351" s="1" t="str">
        <f>"4601992330526"</f>
        <v>4601992330526</v>
      </c>
      <c r="B7351" s="1" t="s">
        <v>7374</v>
      </c>
      <c r="C7351" s="1" t="s">
        <v>24</v>
      </c>
      <c r="D7351" s="1" t="str">
        <f t="shared" si="12935"/>
        <v>2021</v>
      </c>
      <c r="E7351" s="1" t="str">
        <f t="shared" ref="E7351:P7351" si="12991">"0"</f>
        <v>0</v>
      </c>
      <c r="F7351" s="1" t="str">
        <f t="shared" si="12991"/>
        <v>0</v>
      </c>
      <c r="G7351" s="1" t="str">
        <f t="shared" si="12991"/>
        <v>0</v>
      </c>
      <c r="H7351" s="1" t="str">
        <f t="shared" si="12991"/>
        <v>0</v>
      </c>
      <c r="I7351" s="1" t="str">
        <f t="shared" si="12991"/>
        <v>0</v>
      </c>
      <c r="J7351" s="1" t="str">
        <f t="shared" si="12991"/>
        <v>0</v>
      </c>
      <c r="K7351" s="1" t="str">
        <f t="shared" si="12991"/>
        <v>0</v>
      </c>
      <c r="L7351" s="1" t="str">
        <f t="shared" si="12991"/>
        <v>0</v>
      </c>
      <c r="M7351" s="1" t="str">
        <f t="shared" si="12991"/>
        <v>0</v>
      </c>
      <c r="N7351" s="1" t="str">
        <f t="shared" si="12991"/>
        <v>0</v>
      </c>
      <c r="O7351" s="1" t="str">
        <f t="shared" si="12991"/>
        <v>0</v>
      </c>
      <c r="P7351" s="1" t="str">
        <f t="shared" si="12991"/>
        <v>0</v>
      </c>
      <c r="Q7351" s="1" t="str">
        <f t="shared" si="12937"/>
        <v>0.0070</v>
      </c>
      <c r="R7351" s="1" t="s">
        <v>25</v>
      </c>
      <c r="T7351" s="1" t="str">
        <f t="shared" si="12938"/>
        <v>0</v>
      </c>
      <c r="U7351" s="1" t="str">
        <f t="shared" si="12990"/>
        <v>0.0070</v>
      </c>
    </row>
    <row r="7352" s="1" customFormat="1" spans="1:21">
      <c r="A7352" s="1" t="str">
        <f>"4601992330535"</f>
        <v>4601992330535</v>
      </c>
      <c r="B7352" s="1" t="s">
        <v>7375</v>
      </c>
      <c r="C7352" s="1" t="s">
        <v>24</v>
      </c>
      <c r="D7352" s="1" t="str">
        <f t="shared" si="12935"/>
        <v>2021</v>
      </c>
      <c r="E7352" s="1" t="str">
        <f t="shared" ref="E7352:P7352" si="12992">"0"</f>
        <v>0</v>
      </c>
      <c r="F7352" s="1" t="str">
        <f t="shared" si="12992"/>
        <v>0</v>
      </c>
      <c r="G7352" s="1" t="str">
        <f t="shared" si="12992"/>
        <v>0</v>
      </c>
      <c r="H7352" s="1" t="str">
        <f t="shared" si="12992"/>
        <v>0</v>
      </c>
      <c r="I7352" s="1" t="str">
        <f t="shared" si="12992"/>
        <v>0</v>
      </c>
      <c r="J7352" s="1" t="str">
        <f t="shared" si="12992"/>
        <v>0</v>
      </c>
      <c r="K7352" s="1" t="str">
        <f t="shared" si="12992"/>
        <v>0</v>
      </c>
      <c r="L7352" s="1" t="str">
        <f t="shared" si="12992"/>
        <v>0</v>
      </c>
      <c r="M7352" s="1" t="str">
        <f t="shared" si="12992"/>
        <v>0</v>
      </c>
      <c r="N7352" s="1" t="str">
        <f t="shared" si="12992"/>
        <v>0</v>
      </c>
      <c r="O7352" s="1" t="str">
        <f t="shared" si="12992"/>
        <v>0</v>
      </c>
      <c r="P7352" s="1" t="str">
        <f t="shared" si="12992"/>
        <v>0</v>
      </c>
      <c r="Q7352" s="1" t="str">
        <f t="shared" si="12937"/>
        <v>0.0070</v>
      </c>
      <c r="R7352" s="1" t="s">
        <v>25</v>
      </c>
      <c r="T7352" s="1" t="str">
        <f t="shared" si="12938"/>
        <v>0</v>
      </c>
      <c r="U7352" s="1" t="str">
        <f t="shared" si="12990"/>
        <v>0.0070</v>
      </c>
    </row>
    <row r="7353" s="1" customFormat="1" spans="1:21">
      <c r="A7353" s="1" t="str">
        <f>"4601992330551"</f>
        <v>4601992330551</v>
      </c>
      <c r="B7353" s="1" t="s">
        <v>7376</v>
      </c>
      <c r="C7353" s="1" t="s">
        <v>24</v>
      </c>
      <c r="D7353" s="1" t="str">
        <f t="shared" si="12935"/>
        <v>2021</v>
      </c>
      <c r="E7353" s="1" t="str">
        <f t="shared" ref="E7353:P7353" si="12993">"0"</f>
        <v>0</v>
      </c>
      <c r="F7353" s="1" t="str">
        <f t="shared" si="12993"/>
        <v>0</v>
      </c>
      <c r="G7353" s="1" t="str">
        <f t="shared" si="12993"/>
        <v>0</v>
      </c>
      <c r="H7353" s="1" t="str">
        <f t="shared" si="12993"/>
        <v>0</v>
      </c>
      <c r="I7353" s="1" t="str">
        <f t="shared" si="12993"/>
        <v>0</v>
      </c>
      <c r="J7353" s="1" t="str">
        <f t="shared" si="12993"/>
        <v>0</v>
      </c>
      <c r="K7353" s="1" t="str">
        <f t="shared" si="12993"/>
        <v>0</v>
      </c>
      <c r="L7353" s="1" t="str">
        <f t="shared" si="12993"/>
        <v>0</v>
      </c>
      <c r="M7353" s="1" t="str">
        <f t="shared" si="12993"/>
        <v>0</v>
      </c>
      <c r="N7353" s="1" t="str">
        <f t="shared" si="12993"/>
        <v>0</v>
      </c>
      <c r="O7353" s="1" t="str">
        <f t="shared" si="12993"/>
        <v>0</v>
      </c>
      <c r="P7353" s="1" t="str">
        <f t="shared" si="12993"/>
        <v>0</v>
      </c>
      <c r="Q7353" s="1" t="str">
        <f t="shared" si="12937"/>
        <v>0.0070</v>
      </c>
      <c r="R7353" s="1" t="s">
        <v>25</v>
      </c>
      <c r="T7353" s="1" t="str">
        <f t="shared" si="12938"/>
        <v>0</v>
      </c>
      <c r="U7353" s="1" t="str">
        <f t="shared" si="12990"/>
        <v>0.0070</v>
      </c>
    </row>
    <row r="7354" s="1" customFormat="1" spans="1:21">
      <c r="A7354" s="1" t="str">
        <f>"4601992330849"</f>
        <v>4601992330849</v>
      </c>
      <c r="B7354" s="1" t="s">
        <v>7377</v>
      </c>
      <c r="C7354" s="1" t="s">
        <v>24</v>
      </c>
      <c r="D7354" s="1" t="str">
        <f t="shared" si="12935"/>
        <v>2021</v>
      </c>
      <c r="E7354" s="1" t="str">
        <f t="shared" ref="E7354:P7354" si="12994">"0"</f>
        <v>0</v>
      </c>
      <c r="F7354" s="1" t="str">
        <f t="shared" si="12994"/>
        <v>0</v>
      </c>
      <c r="G7354" s="1" t="str">
        <f t="shared" si="12994"/>
        <v>0</v>
      </c>
      <c r="H7354" s="1" t="str">
        <f t="shared" si="12994"/>
        <v>0</v>
      </c>
      <c r="I7354" s="1" t="str">
        <f t="shared" si="12994"/>
        <v>0</v>
      </c>
      <c r="J7354" s="1" t="str">
        <f t="shared" si="12994"/>
        <v>0</v>
      </c>
      <c r="K7354" s="1" t="str">
        <f t="shared" si="12994"/>
        <v>0</v>
      </c>
      <c r="L7354" s="1" t="str">
        <f t="shared" si="12994"/>
        <v>0</v>
      </c>
      <c r="M7354" s="1" t="str">
        <f t="shared" si="12994"/>
        <v>0</v>
      </c>
      <c r="N7354" s="1" t="str">
        <f t="shared" si="12994"/>
        <v>0</v>
      </c>
      <c r="O7354" s="1" t="str">
        <f t="shared" si="12994"/>
        <v>0</v>
      </c>
      <c r="P7354" s="1" t="str">
        <f t="shared" si="12994"/>
        <v>0</v>
      </c>
      <c r="Q7354" s="1" t="str">
        <f t="shared" si="12937"/>
        <v>0.0070</v>
      </c>
      <c r="R7354" s="1" t="s">
        <v>25</v>
      </c>
      <c r="T7354" s="1" t="str">
        <f t="shared" si="12938"/>
        <v>0</v>
      </c>
      <c r="U7354" s="1" t="str">
        <f t="shared" si="12990"/>
        <v>0.0070</v>
      </c>
    </row>
    <row r="7355" s="1" customFormat="1" spans="1:21">
      <c r="A7355" s="1" t="str">
        <f>"4601992330865"</f>
        <v>4601992330865</v>
      </c>
      <c r="B7355" s="1" t="s">
        <v>7378</v>
      </c>
      <c r="C7355" s="1" t="s">
        <v>24</v>
      </c>
      <c r="D7355" s="1" t="str">
        <f t="shared" si="12935"/>
        <v>2021</v>
      </c>
      <c r="E7355" s="1" t="str">
        <f t="shared" ref="E7355:P7355" si="12995">"0"</f>
        <v>0</v>
      </c>
      <c r="F7355" s="1" t="str">
        <f t="shared" si="12995"/>
        <v>0</v>
      </c>
      <c r="G7355" s="1" t="str">
        <f t="shared" si="12995"/>
        <v>0</v>
      </c>
      <c r="H7355" s="1" t="str">
        <f t="shared" si="12995"/>
        <v>0</v>
      </c>
      <c r="I7355" s="1" t="str">
        <f t="shared" si="12995"/>
        <v>0</v>
      </c>
      <c r="J7355" s="1" t="str">
        <f t="shared" si="12995"/>
        <v>0</v>
      </c>
      <c r="K7355" s="1" t="str">
        <f t="shared" si="12995"/>
        <v>0</v>
      </c>
      <c r="L7355" s="1" t="str">
        <f t="shared" si="12995"/>
        <v>0</v>
      </c>
      <c r="M7355" s="1" t="str">
        <f t="shared" si="12995"/>
        <v>0</v>
      </c>
      <c r="N7355" s="1" t="str">
        <f t="shared" si="12995"/>
        <v>0</v>
      </c>
      <c r="O7355" s="1" t="str">
        <f t="shared" si="12995"/>
        <v>0</v>
      </c>
      <c r="P7355" s="1" t="str">
        <f t="shared" si="12995"/>
        <v>0</v>
      </c>
      <c r="Q7355" s="1" t="str">
        <f t="shared" si="12937"/>
        <v>0.0070</v>
      </c>
      <c r="R7355" s="1" t="s">
        <v>25</v>
      </c>
      <c r="T7355" s="1" t="str">
        <f t="shared" si="12938"/>
        <v>0</v>
      </c>
      <c r="U7355" s="1" t="str">
        <f t="shared" si="12990"/>
        <v>0.0070</v>
      </c>
    </row>
    <row r="7356" s="1" customFormat="1" spans="1:21">
      <c r="A7356" s="1" t="str">
        <f>"4601992330917"</f>
        <v>4601992330917</v>
      </c>
      <c r="B7356" s="1" t="s">
        <v>7379</v>
      </c>
      <c r="C7356" s="1" t="s">
        <v>24</v>
      </c>
      <c r="D7356" s="1" t="str">
        <f t="shared" si="12935"/>
        <v>2021</v>
      </c>
      <c r="E7356" s="1" t="str">
        <f t="shared" ref="E7356:P7356" si="12996">"0"</f>
        <v>0</v>
      </c>
      <c r="F7356" s="1" t="str">
        <f t="shared" si="12996"/>
        <v>0</v>
      </c>
      <c r="G7356" s="1" t="str">
        <f t="shared" si="12996"/>
        <v>0</v>
      </c>
      <c r="H7356" s="1" t="str">
        <f t="shared" si="12996"/>
        <v>0</v>
      </c>
      <c r="I7356" s="1" t="str">
        <f t="shared" si="12996"/>
        <v>0</v>
      </c>
      <c r="J7356" s="1" t="str">
        <f t="shared" si="12996"/>
        <v>0</v>
      </c>
      <c r="K7356" s="1" t="str">
        <f t="shared" si="12996"/>
        <v>0</v>
      </c>
      <c r="L7356" s="1" t="str">
        <f t="shared" si="12996"/>
        <v>0</v>
      </c>
      <c r="M7356" s="1" t="str">
        <f t="shared" si="12996"/>
        <v>0</v>
      </c>
      <c r="N7356" s="1" t="str">
        <f t="shared" si="12996"/>
        <v>0</v>
      </c>
      <c r="O7356" s="1" t="str">
        <f t="shared" si="12996"/>
        <v>0</v>
      </c>
      <c r="P7356" s="1" t="str">
        <f t="shared" si="12996"/>
        <v>0</v>
      </c>
      <c r="Q7356" s="1" t="str">
        <f t="shared" si="12937"/>
        <v>0.0070</v>
      </c>
      <c r="R7356" s="1" t="s">
        <v>25</v>
      </c>
      <c r="T7356" s="1" t="str">
        <f t="shared" si="12938"/>
        <v>0</v>
      </c>
      <c r="U7356" s="1" t="str">
        <f t="shared" si="12990"/>
        <v>0.0070</v>
      </c>
    </row>
    <row r="7357" s="1" customFormat="1" spans="1:21">
      <c r="A7357" s="1" t="str">
        <f>"4601992330921"</f>
        <v>4601992330921</v>
      </c>
      <c r="B7357" s="1" t="s">
        <v>7380</v>
      </c>
      <c r="C7357" s="1" t="s">
        <v>24</v>
      </c>
      <c r="D7357" s="1" t="str">
        <f t="shared" si="12935"/>
        <v>2021</v>
      </c>
      <c r="E7357" s="1" t="str">
        <f t="shared" ref="E7357:P7357" si="12997">"0"</f>
        <v>0</v>
      </c>
      <c r="F7357" s="1" t="str">
        <f t="shared" si="12997"/>
        <v>0</v>
      </c>
      <c r="G7357" s="1" t="str">
        <f t="shared" si="12997"/>
        <v>0</v>
      </c>
      <c r="H7357" s="1" t="str">
        <f t="shared" si="12997"/>
        <v>0</v>
      </c>
      <c r="I7357" s="1" t="str">
        <f t="shared" si="12997"/>
        <v>0</v>
      </c>
      <c r="J7357" s="1" t="str">
        <f t="shared" si="12997"/>
        <v>0</v>
      </c>
      <c r="K7357" s="1" t="str">
        <f t="shared" si="12997"/>
        <v>0</v>
      </c>
      <c r="L7357" s="1" t="str">
        <f t="shared" si="12997"/>
        <v>0</v>
      </c>
      <c r="M7357" s="1" t="str">
        <f t="shared" si="12997"/>
        <v>0</v>
      </c>
      <c r="N7357" s="1" t="str">
        <f t="shared" si="12997"/>
        <v>0</v>
      </c>
      <c r="O7357" s="1" t="str">
        <f t="shared" si="12997"/>
        <v>0</v>
      </c>
      <c r="P7357" s="1" t="str">
        <f t="shared" si="12997"/>
        <v>0</v>
      </c>
      <c r="Q7357" s="1" t="str">
        <f t="shared" si="12937"/>
        <v>0.0070</v>
      </c>
      <c r="R7357" s="1" t="s">
        <v>25</v>
      </c>
      <c r="T7357" s="1" t="str">
        <f t="shared" si="12938"/>
        <v>0</v>
      </c>
      <c r="U7357" s="1" t="str">
        <f t="shared" si="12990"/>
        <v>0.0070</v>
      </c>
    </row>
    <row r="7358" s="1" customFormat="1" spans="1:21">
      <c r="A7358" s="1" t="str">
        <f>"4601992330938"</f>
        <v>4601992330938</v>
      </c>
      <c r="B7358" s="1" t="s">
        <v>7381</v>
      </c>
      <c r="C7358" s="1" t="s">
        <v>24</v>
      </c>
      <c r="D7358" s="1" t="str">
        <f t="shared" si="12935"/>
        <v>2021</v>
      </c>
      <c r="E7358" s="1" t="str">
        <f t="shared" ref="E7358:P7358" si="12998">"0"</f>
        <v>0</v>
      </c>
      <c r="F7358" s="1" t="str">
        <f t="shared" si="12998"/>
        <v>0</v>
      </c>
      <c r="G7358" s="1" t="str">
        <f t="shared" si="12998"/>
        <v>0</v>
      </c>
      <c r="H7358" s="1" t="str">
        <f t="shared" si="12998"/>
        <v>0</v>
      </c>
      <c r="I7358" s="1" t="str">
        <f t="shared" si="12998"/>
        <v>0</v>
      </c>
      <c r="J7358" s="1" t="str">
        <f t="shared" si="12998"/>
        <v>0</v>
      </c>
      <c r="K7358" s="1" t="str">
        <f t="shared" si="12998"/>
        <v>0</v>
      </c>
      <c r="L7358" s="1" t="str">
        <f t="shared" si="12998"/>
        <v>0</v>
      </c>
      <c r="M7358" s="1" t="str">
        <f t="shared" si="12998"/>
        <v>0</v>
      </c>
      <c r="N7358" s="1" t="str">
        <f t="shared" si="12998"/>
        <v>0</v>
      </c>
      <c r="O7358" s="1" t="str">
        <f t="shared" si="12998"/>
        <v>0</v>
      </c>
      <c r="P7358" s="1" t="str">
        <f t="shared" si="12998"/>
        <v>0</v>
      </c>
      <c r="Q7358" s="1" t="str">
        <f t="shared" si="12937"/>
        <v>0.0070</v>
      </c>
      <c r="R7358" s="1" t="s">
        <v>25</v>
      </c>
      <c r="T7358" s="1" t="str">
        <f t="shared" si="12938"/>
        <v>0</v>
      </c>
      <c r="U7358" s="1" t="str">
        <f t="shared" si="12990"/>
        <v>0.0070</v>
      </c>
    </row>
    <row r="7359" s="1" customFormat="1" spans="1:21">
      <c r="A7359" s="1" t="str">
        <f>"4601992331019"</f>
        <v>4601992331019</v>
      </c>
      <c r="B7359" s="1" t="s">
        <v>7382</v>
      </c>
      <c r="C7359" s="1" t="s">
        <v>24</v>
      </c>
      <c r="D7359" s="1" t="str">
        <f t="shared" si="12935"/>
        <v>2021</v>
      </c>
      <c r="E7359" s="1" t="str">
        <f t="shared" ref="E7359:P7359" si="12999">"0"</f>
        <v>0</v>
      </c>
      <c r="F7359" s="1" t="str">
        <f t="shared" si="12999"/>
        <v>0</v>
      </c>
      <c r="G7359" s="1" t="str">
        <f t="shared" si="12999"/>
        <v>0</v>
      </c>
      <c r="H7359" s="1" t="str">
        <f t="shared" si="12999"/>
        <v>0</v>
      </c>
      <c r="I7359" s="1" t="str">
        <f t="shared" si="12999"/>
        <v>0</v>
      </c>
      <c r="J7359" s="1" t="str">
        <f t="shared" si="12999"/>
        <v>0</v>
      </c>
      <c r="K7359" s="1" t="str">
        <f t="shared" si="12999"/>
        <v>0</v>
      </c>
      <c r="L7359" s="1" t="str">
        <f t="shared" si="12999"/>
        <v>0</v>
      </c>
      <c r="M7359" s="1" t="str">
        <f t="shared" si="12999"/>
        <v>0</v>
      </c>
      <c r="N7359" s="1" t="str">
        <f t="shared" si="12999"/>
        <v>0</v>
      </c>
      <c r="O7359" s="1" t="str">
        <f t="shared" si="12999"/>
        <v>0</v>
      </c>
      <c r="P7359" s="1" t="str">
        <f t="shared" si="12999"/>
        <v>0</v>
      </c>
      <c r="Q7359" s="1" t="str">
        <f t="shared" si="12937"/>
        <v>0.0070</v>
      </c>
      <c r="R7359" s="1" t="s">
        <v>25</v>
      </c>
      <c r="T7359" s="1" t="str">
        <f t="shared" si="12938"/>
        <v>0</v>
      </c>
      <c r="U7359" s="1" t="str">
        <f t="shared" si="12990"/>
        <v>0.0070</v>
      </c>
    </row>
    <row r="7360" s="1" customFormat="1" spans="1:21">
      <c r="A7360" s="1" t="str">
        <f>"4601992331169"</f>
        <v>4601992331169</v>
      </c>
      <c r="B7360" s="1" t="s">
        <v>7383</v>
      </c>
      <c r="C7360" s="1" t="s">
        <v>24</v>
      </c>
      <c r="D7360" s="1" t="str">
        <f t="shared" si="12935"/>
        <v>2021</v>
      </c>
      <c r="E7360" s="1" t="str">
        <f t="shared" ref="E7360:P7360" si="13000">"0"</f>
        <v>0</v>
      </c>
      <c r="F7360" s="1" t="str">
        <f t="shared" si="13000"/>
        <v>0</v>
      </c>
      <c r="G7360" s="1" t="str">
        <f t="shared" si="13000"/>
        <v>0</v>
      </c>
      <c r="H7360" s="1" t="str">
        <f t="shared" si="13000"/>
        <v>0</v>
      </c>
      <c r="I7360" s="1" t="str">
        <f t="shared" si="13000"/>
        <v>0</v>
      </c>
      <c r="J7360" s="1" t="str">
        <f t="shared" si="13000"/>
        <v>0</v>
      </c>
      <c r="K7360" s="1" t="str">
        <f t="shared" si="13000"/>
        <v>0</v>
      </c>
      <c r="L7360" s="1" t="str">
        <f t="shared" si="13000"/>
        <v>0</v>
      </c>
      <c r="M7360" s="1" t="str">
        <f t="shared" si="13000"/>
        <v>0</v>
      </c>
      <c r="N7360" s="1" t="str">
        <f t="shared" si="13000"/>
        <v>0</v>
      </c>
      <c r="O7360" s="1" t="str">
        <f t="shared" si="13000"/>
        <v>0</v>
      </c>
      <c r="P7360" s="1" t="str">
        <f t="shared" si="13000"/>
        <v>0</v>
      </c>
      <c r="Q7360" s="1" t="str">
        <f t="shared" si="12937"/>
        <v>0.0070</v>
      </c>
      <c r="R7360" s="1" t="s">
        <v>25</v>
      </c>
      <c r="T7360" s="1" t="str">
        <f t="shared" si="12938"/>
        <v>0</v>
      </c>
      <c r="U7360" s="1" t="str">
        <f t="shared" si="12990"/>
        <v>0.0070</v>
      </c>
    </row>
    <row r="7361" s="1" customFormat="1" spans="1:21">
      <c r="A7361" s="1" t="str">
        <f>"4601992331288"</f>
        <v>4601992331288</v>
      </c>
      <c r="B7361" s="1" t="s">
        <v>7384</v>
      </c>
      <c r="C7361" s="1" t="s">
        <v>24</v>
      </c>
      <c r="D7361" s="1" t="str">
        <f t="shared" si="12935"/>
        <v>2021</v>
      </c>
      <c r="E7361" s="1" t="str">
        <f t="shared" ref="E7361:P7361" si="13001">"0"</f>
        <v>0</v>
      </c>
      <c r="F7361" s="1" t="str">
        <f t="shared" si="13001"/>
        <v>0</v>
      </c>
      <c r="G7361" s="1" t="str">
        <f t="shared" si="13001"/>
        <v>0</v>
      </c>
      <c r="H7361" s="1" t="str">
        <f t="shared" si="13001"/>
        <v>0</v>
      </c>
      <c r="I7361" s="1" t="str">
        <f t="shared" si="13001"/>
        <v>0</v>
      </c>
      <c r="J7361" s="1" t="str">
        <f t="shared" si="13001"/>
        <v>0</v>
      </c>
      <c r="K7361" s="1" t="str">
        <f t="shared" si="13001"/>
        <v>0</v>
      </c>
      <c r="L7361" s="1" t="str">
        <f t="shared" si="13001"/>
        <v>0</v>
      </c>
      <c r="M7361" s="1" t="str">
        <f t="shared" si="13001"/>
        <v>0</v>
      </c>
      <c r="N7361" s="1" t="str">
        <f t="shared" si="13001"/>
        <v>0</v>
      </c>
      <c r="O7361" s="1" t="str">
        <f t="shared" si="13001"/>
        <v>0</v>
      </c>
      <c r="P7361" s="1" t="str">
        <f t="shared" si="13001"/>
        <v>0</v>
      </c>
      <c r="Q7361" s="1" t="str">
        <f t="shared" si="12937"/>
        <v>0.0070</v>
      </c>
      <c r="R7361" s="1" t="s">
        <v>25</v>
      </c>
      <c r="T7361" s="1" t="str">
        <f t="shared" si="12938"/>
        <v>0</v>
      </c>
      <c r="U7361" s="1" t="str">
        <f t="shared" si="12990"/>
        <v>0.0070</v>
      </c>
    </row>
    <row r="7362" s="1" customFormat="1" spans="1:21">
      <c r="A7362" s="1" t="str">
        <f>"4601992331272"</f>
        <v>4601992331272</v>
      </c>
      <c r="B7362" s="1" t="s">
        <v>7385</v>
      </c>
      <c r="C7362" s="1" t="s">
        <v>24</v>
      </c>
      <c r="D7362" s="1" t="str">
        <f t="shared" si="12935"/>
        <v>2021</v>
      </c>
      <c r="E7362" s="1" t="str">
        <f t="shared" ref="E7362:P7362" si="13002">"0"</f>
        <v>0</v>
      </c>
      <c r="F7362" s="1" t="str">
        <f t="shared" si="13002"/>
        <v>0</v>
      </c>
      <c r="G7362" s="1" t="str">
        <f t="shared" si="13002"/>
        <v>0</v>
      </c>
      <c r="H7362" s="1" t="str">
        <f t="shared" si="13002"/>
        <v>0</v>
      </c>
      <c r="I7362" s="1" t="str">
        <f t="shared" si="13002"/>
        <v>0</v>
      </c>
      <c r="J7362" s="1" t="str">
        <f t="shared" si="13002"/>
        <v>0</v>
      </c>
      <c r="K7362" s="1" t="str">
        <f t="shared" si="13002"/>
        <v>0</v>
      </c>
      <c r="L7362" s="1" t="str">
        <f t="shared" si="13002"/>
        <v>0</v>
      </c>
      <c r="M7362" s="1" t="str">
        <f t="shared" si="13002"/>
        <v>0</v>
      </c>
      <c r="N7362" s="1" t="str">
        <f t="shared" si="13002"/>
        <v>0</v>
      </c>
      <c r="O7362" s="1" t="str">
        <f t="shared" si="13002"/>
        <v>0</v>
      </c>
      <c r="P7362" s="1" t="str">
        <f t="shared" si="13002"/>
        <v>0</v>
      </c>
      <c r="Q7362" s="1" t="str">
        <f t="shared" si="12937"/>
        <v>0.0070</v>
      </c>
      <c r="R7362" s="1" t="s">
        <v>25</v>
      </c>
      <c r="T7362" s="1" t="str">
        <f t="shared" si="12938"/>
        <v>0</v>
      </c>
      <c r="U7362" s="1" t="str">
        <f t="shared" si="12990"/>
        <v>0.0070</v>
      </c>
    </row>
    <row r="7363" s="1" customFormat="1" spans="1:21">
      <c r="A7363" s="1" t="str">
        <f>"4601992331404"</f>
        <v>4601992331404</v>
      </c>
      <c r="B7363" s="1" t="s">
        <v>7386</v>
      </c>
      <c r="C7363" s="1" t="s">
        <v>24</v>
      </c>
      <c r="D7363" s="1" t="str">
        <f t="shared" ref="D7363:D7426" si="13003">"2021"</f>
        <v>2021</v>
      </c>
      <c r="E7363" s="1" t="str">
        <f t="shared" ref="E7363:P7363" si="13004">"0"</f>
        <v>0</v>
      </c>
      <c r="F7363" s="1" t="str">
        <f t="shared" si="13004"/>
        <v>0</v>
      </c>
      <c r="G7363" s="1" t="str">
        <f t="shared" si="13004"/>
        <v>0</v>
      </c>
      <c r="H7363" s="1" t="str">
        <f t="shared" si="13004"/>
        <v>0</v>
      </c>
      <c r="I7363" s="1" t="str">
        <f t="shared" si="13004"/>
        <v>0</v>
      </c>
      <c r="J7363" s="1" t="str">
        <f t="shared" si="13004"/>
        <v>0</v>
      </c>
      <c r="K7363" s="1" t="str">
        <f t="shared" si="13004"/>
        <v>0</v>
      </c>
      <c r="L7363" s="1" t="str">
        <f t="shared" si="13004"/>
        <v>0</v>
      </c>
      <c r="M7363" s="1" t="str">
        <f t="shared" si="13004"/>
        <v>0</v>
      </c>
      <c r="N7363" s="1" t="str">
        <f t="shared" si="13004"/>
        <v>0</v>
      </c>
      <c r="O7363" s="1" t="str">
        <f t="shared" si="13004"/>
        <v>0</v>
      </c>
      <c r="P7363" s="1" t="str">
        <f t="shared" si="13004"/>
        <v>0</v>
      </c>
      <c r="Q7363" s="1" t="str">
        <f t="shared" ref="Q7363:Q7426" si="13005">"0.0070"</f>
        <v>0.0070</v>
      </c>
      <c r="R7363" s="1" t="s">
        <v>25</v>
      </c>
      <c r="T7363" s="1" t="str">
        <f t="shared" ref="T7363:T7426" si="13006">"0"</f>
        <v>0</v>
      </c>
      <c r="U7363" s="1" t="str">
        <f t="shared" si="12990"/>
        <v>0.0070</v>
      </c>
    </row>
    <row r="7364" s="1" customFormat="1" spans="1:21">
      <c r="A7364" s="1" t="str">
        <f>"4601992289024"</f>
        <v>4601992289024</v>
      </c>
      <c r="B7364" s="1" t="s">
        <v>7387</v>
      </c>
      <c r="C7364" s="1" t="s">
        <v>24</v>
      </c>
      <c r="D7364" s="1" t="str">
        <f t="shared" si="13003"/>
        <v>2021</v>
      </c>
      <c r="E7364" s="1" t="str">
        <f t="shared" ref="E7364:P7364" si="13007">"0"</f>
        <v>0</v>
      </c>
      <c r="F7364" s="1" t="str">
        <f t="shared" si="13007"/>
        <v>0</v>
      </c>
      <c r="G7364" s="1" t="str">
        <f t="shared" si="13007"/>
        <v>0</v>
      </c>
      <c r="H7364" s="1" t="str">
        <f t="shared" si="13007"/>
        <v>0</v>
      </c>
      <c r="I7364" s="1" t="str">
        <f t="shared" si="13007"/>
        <v>0</v>
      </c>
      <c r="J7364" s="1" t="str">
        <f t="shared" si="13007"/>
        <v>0</v>
      </c>
      <c r="K7364" s="1" t="str">
        <f t="shared" si="13007"/>
        <v>0</v>
      </c>
      <c r="L7364" s="1" t="str">
        <f t="shared" si="13007"/>
        <v>0</v>
      </c>
      <c r="M7364" s="1" t="str">
        <f t="shared" si="13007"/>
        <v>0</v>
      </c>
      <c r="N7364" s="1" t="str">
        <f t="shared" si="13007"/>
        <v>0</v>
      </c>
      <c r="O7364" s="1" t="str">
        <f t="shared" si="13007"/>
        <v>0</v>
      </c>
      <c r="P7364" s="1" t="str">
        <f t="shared" si="13007"/>
        <v>0</v>
      </c>
      <c r="Q7364" s="1" t="str">
        <f t="shared" si="13005"/>
        <v>0.0070</v>
      </c>
      <c r="R7364" s="1" t="s">
        <v>25</v>
      </c>
      <c r="T7364" s="1" t="str">
        <f t="shared" si="13006"/>
        <v>0</v>
      </c>
      <c r="U7364" s="1" t="str">
        <f t="shared" si="12990"/>
        <v>0.0070</v>
      </c>
    </row>
    <row r="7365" s="1" customFormat="1" spans="1:21">
      <c r="A7365" s="1" t="str">
        <f>"4601992068899"</f>
        <v>4601992068899</v>
      </c>
      <c r="B7365" s="1" t="s">
        <v>7388</v>
      </c>
      <c r="C7365" s="1" t="s">
        <v>24</v>
      </c>
      <c r="D7365" s="1" t="str">
        <f t="shared" si="13003"/>
        <v>2021</v>
      </c>
      <c r="E7365" s="1" t="str">
        <f t="shared" ref="E7365:P7365" si="13008">"0"</f>
        <v>0</v>
      </c>
      <c r="F7365" s="1" t="str">
        <f t="shared" si="13008"/>
        <v>0</v>
      </c>
      <c r="G7365" s="1" t="str">
        <f t="shared" si="13008"/>
        <v>0</v>
      </c>
      <c r="H7365" s="1" t="str">
        <f t="shared" si="13008"/>
        <v>0</v>
      </c>
      <c r="I7365" s="1" t="str">
        <f t="shared" si="13008"/>
        <v>0</v>
      </c>
      <c r="J7365" s="1" t="str">
        <f t="shared" si="13008"/>
        <v>0</v>
      </c>
      <c r="K7365" s="1" t="str">
        <f t="shared" si="13008"/>
        <v>0</v>
      </c>
      <c r="L7365" s="1" t="str">
        <f t="shared" si="13008"/>
        <v>0</v>
      </c>
      <c r="M7365" s="1" t="str">
        <f t="shared" si="13008"/>
        <v>0</v>
      </c>
      <c r="N7365" s="1" t="str">
        <f t="shared" si="13008"/>
        <v>0</v>
      </c>
      <c r="O7365" s="1" t="str">
        <f t="shared" si="13008"/>
        <v>0</v>
      </c>
      <c r="P7365" s="1" t="str">
        <f t="shared" si="13008"/>
        <v>0</v>
      </c>
      <c r="Q7365" s="1" t="str">
        <f t="shared" si="13005"/>
        <v>0.0070</v>
      </c>
      <c r="R7365" s="1" t="s">
        <v>25</v>
      </c>
      <c r="T7365" s="1" t="str">
        <f t="shared" si="13006"/>
        <v>0</v>
      </c>
      <c r="U7365" s="1" t="str">
        <f t="shared" si="12990"/>
        <v>0.0070</v>
      </c>
    </row>
    <row r="7366" s="1" customFormat="1" spans="1:21">
      <c r="A7366" s="1" t="str">
        <f>"4601992331687"</f>
        <v>4601992331687</v>
      </c>
      <c r="B7366" s="1" t="s">
        <v>7389</v>
      </c>
      <c r="C7366" s="1" t="s">
        <v>24</v>
      </c>
      <c r="D7366" s="1" t="str">
        <f t="shared" si="13003"/>
        <v>2021</v>
      </c>
      <c r="E7366" s="1" t="str">
        <f t="shared" ref="E7366:P7366" si="13009">"0"</f>
        <v>0</v>
      </c>
      <c r="F7366" s="1" t="str">
        <f t="shared" si="13009"/>
        <v>0</v>
      </c>
      <c r="G7366" s="1" t="str">
        <f t="shared" si="13009"/>
        <v>0</v>
      </c>
      <c r="H7366" s="1" t="str">
        <f t="shared" si="13009"/>
        <v>0</v>
      </c>
      <c r="I7366" s="1" t="str">
        <f t="shared" si="13009"/>
        <v>0</v>
      </c>
      <c r="J7366" s="1" t="str">
        <f t="shared" si="13009"/>
        <v>0</v>
      </c>
      <c r="K7366" s="1" t="str">
        <f t="shared" si="13009"/>
        <v>0</v>
      </c>
      <c r="L7366" s="1" t="str">
        <f t="shared" si="13009"/>
        <v>0</v>
      </c>
      <c r="M7366" s="1" t="str">
        <f t="shared" si="13009"/>
        <v>0</v>
      </c>
      <c r="N7366" s="1" t="str">
        <f t="shared" si="13009"/>
        <v>0</v>
      </c>
      <c r="O7366" s="1" t="str">
        <f t="shared" si="13009"/>
        <v>0</v>
      </c>
      <c r="P7366" s="1" t="str">
        <f t="shared" si="13009"/>
        <v>0</v>
      </c>
      <c r="Q7366" s="1" t="str">
        <f t="shared" si="13005"/>
        <v>0.0070</v>
      </c>
      <c r="R7366" s="1" t="s">
        <v>25</v>
      </c>
      <c r="T7366" s="1" t="str">
        <f t="shared" si="13006"/>
        <v>0</v>
      </c>
      <c r="U7366" s="1" t="str">
        <f t="shared" si="12990"/>
        <v>0.0070</v>
      </c>
    </row>
    <row r="7367" s="1" customFormat="1" spans="1:21">
      <c r="A7367" s="1" t="str">
        <f>"4601992331773"</f>
        <v>4601992331773</v>
      </c>
      <c r="B7367" s="1" t="s">
        <v>7390</v>
      </c>
      <c r="C7367" s="1" t="s">
        <v>24</v>
      </c>
      <c r="D7367" s="1" t="str">
        <f t="shared" si="13003"/>
        <v>2021</v>
      </c>
      <c r="E7367" s="1" t="str">
        <f t="shared" ref="E7367:P7367" si="13010">"0"</f>
        <v>0</v>
      </c>
      <c r="F7367" s="1" t="str">
        <f t="shared" si="13010"/>
        <v>0</v>
      </c>
      <c r="G7367" s="1" t="str">
        <f t="shared" si="13010"/>
        <v>0</v>
      </c>
      <c r="H7367" s="1" t="str">
        <f t="shared" si="13010"/>
        <v>0</v>
      </c>
      <c r="I7367" s="1" t="str">
        <f t="shared" si="13010"/>
        <v>0</v>
      </c>
      <c r="J7367" s="1" t="str">
        <f t="shared" si="13010"/>
        <v>0</v>
      </c>
      <c r="K7367" s="1" t="str">
        <f t="shared" si="13010"/>
        <v>0</v>
      </c>
      <c r="L7367" s="1" t="str">
        <f t="shared" si="13010"/>
        <v>0</v>
      </c>
      <c r="M7367" s="1" t="str">
        <f t="shared" si="13010"/>
        <v>0</v>
      </c>
      <c r="N7367" s="1" t="str">
        <f t="shared" si="13010"/>
        <v>0</v>
      </c>
      <c r="O7367" s="1" t="str">
        <f t="shared" si="13010"/>
        <v>0</v>
      </c>
      <c r="P7367" s="1" t="str">
        <f t="shared" si="13010"/>
        <v>0</v>
      </c>
      <c r="Q7367" s="1" t="str">
        <f t="shared" si="13005"/>
        <v>0.0070</v>
      </c>
      <c r="R7367" s="1" t="s">
        <v>25</v>
      </c>
      <c r="T7367" s="1" t="str">
        <f t="shared" si="13006"/>
        <v>0</v>
      </c>
      <c r="U7367" s="1" t="str">
        <f t="shared" si="12990"/>
        <v>0.0070</v>
      </c>
    </row>
    <row r="7368" s="1" customFormat="1" spans="1:21">
      <c r="A7368" s="1" t="str">
        <f>"4601992331788"</f>
        <v>4601992331788</v>
      </c>
      <c r="B7368" s="1" t="s">
        <v>7391</v>
      </c>
      <c r="C7368" s="1" t="s">
        <v>24</v>
      </c>
      <c r="D7368" s="1" t="str">
        <f t="shared" si="13003"/>
        <v>2021</v>
      </c>
      <c r="E7368" s="1" t="str">
        <f t="shared" ref="E7368:P7368" si="13011">"0"</f>
        <v>0</v>
      </c>
      <c r="F7368" s="1" t="str">
        <f t="shared" si="13011"/>
        <v>0</v>
      </c>
      <c r="G7368" s="1" t="str">
        <f t="shared" si="13011"/>
        <v>0</v>
      </c>
      <c r="H7368" s="1" t="str">
        <f t="shared" si="13011"/>
        <v>0</v>
      </c>
      <c r="I7368" s="1" t="str">
        <f t="shared" si="13011"/>
        <v>0</v>
      </c>
      <c r="J7368" s="1" t="str">
        <f t="shared" si="13011"/>
        <v>0</v>
      </c>
      <c r="K7368" s="1" t="str">
        <f t="shared" si="13011"/>
        <v>0</v>
      </c>
      <c r="L7368" s="1" t="str">
        <f t="shared" si="13011"/>
        <v>0</v>
      </c>
      <c r="M7368" s="1" t="str">
        <f t="shared" si="13011"/>
        <v>0</v>
      </c>
      <c r="N7368" s="1" t="str">
        <f t="shared" si="13011"/>
        <v>0</v>
      </c>
      <c r="O7368" s="1" t="str">
        <f t="shared" si="13011"/>
        <v>0</v>
      </c>
      <c r="P7368" s="1" t="str">
        <f t="shared" si="13011"/>
        <v>0</v>
      </c>
      <c r="Q7368" s="1" t="str">
        <f t="shared" si="13005"/>
        <v>0.0070</v>
      </c>
      <c r="R7368" s="1" t="s">
        <v>25</v>
      </c>
      <c r="T7368" s="1" t="str">
        <f t="shared" si="13006"/>
        <v>0</v>
      </c>
      <c r="U7368" s="1" t="str">
        <f t="shared" si="12990"/>
        <v>0.0070</v>
      </c>
    </row>
    <row r="7369" s="1" customFormat="1" spans="1:21">
      <c r="A7369" s="1" t="str">
        <f>"4601992331821"</f>
        <v>4601992331821</v>
      </c>
      <c r="B7369" s="1" t="s">
        <v>7392</v>
      </c>
      <c r="C7369" s="1" t="s">
        <v>24</v>
      </c>
      <c r="D7369" s="1" t="str">
        <f t="shared" si="13003"/>
        <v>2021</v>
      </c>
      <c r="E7369" s="1" t="str">
        <f t="shared" ref="E7369:P7369" si="13012">"0"</f>
        <v>0</v>
      </c>
      <c r="F7369" s="1" t="str">
        <f t="shared" si="13012"/>
        <v>0</v>
      </c>
      <c r="G7369" s="1" t="str">
        <f t="shared" si="13012"/>
        <v>0</v>
      </c>
      <c r="H7369" s="1" t="str">
        <f t="shared" si="13012"/>
        <v>0</v>
      </c>
      <c r="I7369" s="1" t="str">
        <f t="shared" si="13012"/>
        <v>0</v>
      </c>
      <c r="J7369" s="1" t="str">
        <f t="shared" si="13012"/>
        <v>0</v>
      </c>
      <c r="K7369" s="1" t="str">
        <f t="shared" si="13012"/>
        <v>0</v>
      </c>
      <c r="L7369" s="1" t="str">
        <f t="shared" si="13012"/>
        <v>0</v>
      </c>
      <c r="M7369" s="1" t="str">
        <f t="shared" si="13012"/>
        <v>0</v>
      </c>
      <c r="N7369" s="1" t="str">
        <f t="shared" si="13012"/>
        <v>0</v>
      </c>
      <c r="O7369" s="1" t="str">
        <f t="shared" si="13012"/>
        <v>0</v>
      </c>
      <c r="P7369" s="1" t="str">
        <f t="shared" si="13012"/>
        <v>0</v>
      </c>
      <c r="Q7369" s="1" t="str">
        <f t="shared" si="13005"/>
        <v>0.0070</v>
      </c>
      <c r="R7369" s="1" t="s">
        <v>25</v>
      </c>
      <c r="T7369" s="1" t="str">
        <f t="shared" si="13006"/>
        <v>0</v>
      </c>
      <c r="U7369" s="1" t="str">
        <f t="shared" si="12990"/>
        <v>0.0070</v>
      </c>
    </row>
    <row r="7370" s="1" customFormat="1" spans="1:21">
      <c r="A7370" s="1" t="str">
        <f>"4601992331828"</f>
        <v>4601992331828</v>
      </c>
      <c r="B7370" s="1" t="s">
        <v>7393</v>
      </c>
      <c r="C7370" s="1" t="s">
        <v>24</v>
      </c>
      <c r="D7370" s="1" t="str">
        <f t="shared" si="13003"/>
        <v>2021</v>
      </c>
      <c r="E7370" s="1" t="str">
        <f t="shared" ref="E7370:P7370" si="13013">"0"</f>
        <v>0</v>
      </c>
      <c r="F7370" s="1" t="str">
        <f t="shared" si="13013"/>
        <v>0</v>
      </c>
      <c r="G7370" s="1" t="str">
        <f t="shared" si="13013"/>
        <v>0</v>
      </c>
      <c r="H7370" s="1" t="str">
        <f t="shared" si="13013"/>
        <v>0</v>
      </c>
      <c r="I7370" s="1" t="str">
        <f t="shared" si="13013"/>
        <v>0</v>
      </c>
      <c r="J7370" s="1" t="str">
        <f t="shared" si="13013"/>
        <v>0</v>
      </c>
      <c r="K7370" s="1" t="str">
        <f t="shared" si="13013"/>
        <v>0</v>
      </c>
      <c r="L7370" s="1" t="str">
        <f t="shared" si="13013"/>
        <v>0</v>
      </c>
      <c r="M7370" s="1" t="str">
        <f t="shared" si="13013"/>
        <v>0</v>
      </c>
      <c r="N7370" s="1" t="str">
        <f t="shared" si="13013"/>
        <v>0</v>
      </c>
      <c r="O7370" s="1" t="str">
        <f t="shared" si="13013"/>
        <v>0</v>
      </c>
      <c r="P7370" s="1" t="str">
        <f t="shared" si="13013"/>
        <v>0</v>
      </c>
      <c r="Q7370" s="1" t="str">
        <f t="shared" si="13005"/>
        <v>0.0070</v>
      </c>
      <c r="R7370" s="1" t="s">
        <v>25</v>
      </c>
      <c r="T7370" s="1" t="str">
        <f t="shared" si="13006"/>
        <v>0</v>
      </c>
      <c r="U7370" s="1" t="str">
        <f t="shared" si="12990"/>
        <v>0.0070</v>
      </c>
    </row>
    <row r="7371" s="1" customFormat="1" spans="1:21">
      <c r="A7371" s="1" t="str">
        <f>"4601992331959"</f>
        <v>4601992331959</v>
      </c>
      <c r="B7371" s="1" t="s">
        <v>7394</v>
      </c>
      <c r="C7371" s="1" t="s">
        <v>24</v>
      </c>
      <c r="D7371" s="1" t="str">
        <f t="shared" si="13003"/>
        <v>2021</v>
      </c>
      <c r="E7371" s="1" t="str">
        <f t="shared" ref="E7371:P7371" si="13014">"0"</f>
        <v>0</v>
      </c>
      <c r="F7371" s="1" t="str">
        <f t="shared" si="13014"/>
        <v>0</v>
      </c>
      <c r="G7371" s="1" t="str">
        <f t="shared" si="13014"/>
        <v>0</v>
      </c>
      <c r="H7371" s="1" t="str">
        <f t="shared" si="13014"/>
        <v>0</v>
      </c>
      <c r="I7371" s="1" t="str">
        <f t="shared" si="13014"/>
        <v>0</v>
      </c>
      <c r="J7371" s="1" t="str">
        <f t="shared" si="13014"/>
        <v>0</v>
      </c>
      <c r="K7371" s="1" t="str">
        <f t="shared" si="13014"/>
        <v>0</v>
      </c>
      <c r="L7371" s="1" t="str">
        <f t="shared" si="13014"/>
        <v>0</v>
      </c>
      <c r="M7371" s="1" t="str">
        <f t="shared" si="13014"/>
        <v>0</v>
      </c>
      <c r="N7371" s="1" t="str">
        <f t="shared" si="13014"/>
        <v>0</v>
      </c>
      <c r="O7371" s="1" t="str">
        <f t="shared" si="13014"/>
        <v>0</v>
      </c>
      <c r="P7371" s="1" t="str">
        <f t="shared" si="13014"/>
        <v>0</v>
      </c>
      <c r="Q7371" s="1" t="str">
        <f t="shared" si="13005"/>
        <v>0.0070</v>
      </c>
      <c r="R7371" s="1" t="s">
        <v>25</v>
      </c>
      <c r="T7371" s="1" t="str">
        <f t="shared" si="13006"/>
        <v>0</v>
      </c>
      <c r="U7371" s="1" t="str">
        <f t="shared" si="12990"/>
        <v>0.0070</v>
      </c>
    </row>
    <row r="7372" s="1" customFormat="1" spans="1:21">
      <c r="A7372" s="1" t="str">
        <f>"4601992331988"</f>
        <v>4601992331988</v>
      </c>
      <c r="B7372" s="1" t="s">
        <v>7395</v>
      </c>
      <c r="C7372" s="1" t="s">
        <v>24</v>
      </c>
      <c r="D7372" s="1" t="str">
        <f t="shared" si="13003"/>
        <v>2021</v>
      </c>
      <c r="E7372" s="1" t="str">
        <f t="shared" ref="E7372:P7372" si="13015">"0"</f>
        <v>0</v>
      </c>
      <c r="F7372" s="1" t="str">
        <f t="shared" si="13015"/>
        <v>0</v>
      </c>
      <c r="G7372" s="1" t="str">
        <f t="shared" si="13015"/>
        <v>0</v>
      </c>
      <c r="H7372" s="1" t="str">
        <f t="shared" si="13015"/>
        <v>0</v>
      </c>
      <c r="I7372" s="1" t="str">
        <f t="shared" si="13015"/>
        <v>0</v>
      </c>
      <c r="J7372" s="1" t="str">
        <f t="shared" si="13015"/>
        <v>0</v>
      </c>
      <c r="K7372" s="1" t="str">
        <f t="shared" si="13015"/>
        <v>0</v>
      </c>
      <c r="L7372" s="1" t="str">
        <f t="shared" si="13015"/>
        <v>0</v>
      </c>
      <c r="M7372" s="1" t="str">
        <f t="shared" si="13015"/>
        <v>0</v>
      </c>
      <c r="N7372" s="1" t="str">
        <f t="shared" si="13015"/>
        <v>0</v>
      </c>
      <c r="O7372" s="1" t="str">
        <f t="shared" si="13015"/>
        <v>0</v>
      </c>
      <c r="P7372" s="1" t="str">
        <f t="shared" si="13015"/>
        <v>0</v>
      </c>
      <c r="Q7372" s="1" t="str">
        <f t="shared" si="13005"/>
        <v>0.0070</v>
      </c>
      <c r="R7372" s="1" t="s">
        <v>25</v>
      </c>
      <c r="T7372" s="1" t="str">
        <f t="shared" si="13006"/>
        <v>0</v>
      </c>
      <c r="U7372" s="1" t="str">
        <f t="shared" si="12990"/>
        <v>0.0070</v>
      </c>
    </row>
    <row r="7373" s="1" customFormat="1" spans="1:21">
      <c r="A7373" s="1" t="str">
        <f>"4601992332050"</f>
        <v>4601992332050</v>
      </c>
      <c r="B7373" s="1" t="s">
        <v>7396</v>
      </c>
      <c r="C7373" s="1" t="s">
        <v>24</v>
      </c>
      <c r="D7373" s="1" t="str">
        <f t="shared" si="13003"/>
        <v>2021</v>
      </c>
      <c r="E7373" s="1" t="str">
        <f t="shared" ref="E7373:P7373" si="13016">"0"</f>
        <v>0</v>
      </c>
      <c r="F7373" s="1" t="str">
        <f t="shared" si="13016"/>
        <v>0</v>
      </c>
      <c r="G7373" s="1" t="str">
        <f t="shared" si="13016"/>
        <v>0</v>
      </c>
      <c r="H7373" s="1" t="str">
        <f t="shared" si="13016"/>
        <v>0</v>
      </c>
      <c r="I7373" s="1" t="str">
        <f t="shared" si="13016"/>
        <v>0</v>
      </c>
      <c r="J7373" s="1" t="str">
        <f t="shared" si="13016"/>
        <v>0</v>
      </c>
      <c r="K7373" s="1" t="str">
        <f t="shared" si="13016"/>
        <v>0</v>
      </c>
      <c r="L7373" s="1" t="str">
        <f t="shared" si="13016"/>
        <v>0</v>
      </c>
      <c r="M7373" s="1" t="str">
        <f t="shared" si="13016"/>
        <v>0</v>
      </c>
      <c r="N7373" s="1" t="str">
        <f t="shared" si="13016"/>
        <v>0</v>
      </c>
      <c r="O7373" s="1" t="str">
        <f t="shared" si="13016"/>
        <v>0</v>
      </c>
      <c r="P7373" s="1" t="str">
        <f t="shared" si="13016"/>
        <v>0</v>
      </c>
      <c r="Q7373" s="1" t="str">
        <f t="shared" si="13005"/>
        <v>0.0070</v>
      </c>
      <c r="R7373" s="1" t="s">
        <v>25</v>
      </c>
      <c r="T7373" s="1" t="str">
        <f t="shared" si="13006"/>
        <v>0</v>
      </c>
      <c r="U7373" s="1" t="str">
        <f t="shared" si="12990"/>
        <v>0.0070</v>
      </c>
    </row>
    <row r="7374" s="1" customFormat="1" spans="1:21">
      <c r="A7374" s="1" t="str">
        <f>"4601992332065"</f>
        <v>4601992332065</v>
      </c>
      <c r="B7374" s="1" t="s">
        <v>7397</v>
      </c>
      <c r="C7374" s="1" t="s">
        <v>24</v>
      </c>
      <c r="D7374" s="1" t="str">
        <f t="shared" si="13003"/>
        <v>2021</v>
      </c>
      <c r="E7374" s="1" t="str">
        <f t="shared" ref="E7374:P7374" si="13017">"0"</f>
        <v>0</v>
      </c>
      <c r="F7374" s="1" t="str">
        <f t="shared" si="13017"/>
        <v>0</v>
      </c>
      <c r="G7374" s="1" t="str">
        <f t="shared" si="13017"/>
        <v>0</v>
      </c>
      <c r="H7374" s="1" t="str">
        <f t="shared" si="13017"/>
        <v>0</v>
      </c>
      <c r="I7374" s="1" t="str">
        <f t="shared" si="13017"/>
        <v>0</v>
      </c>
      <c r="J7374" s="1" t="str">
        <f t="shared" si="13017"/>
        <v>0</v>
      </c>
      <c r="K7374" s="1" t="str">
        <f t="shared" si="13017"/>
        <v>0</v>
      </c>
      <c r="L7374" s="1" t="str">
        <f t="shared" si="13017"/>
        <v>0</v>
      </c>
      <c r="M7374" s="1" t="str">
        <f t="shared" si="13017"/>
        <v>0</v>
      </c>
      <c r="N7374" s="1" t="str">
        <f t="shared" si="13017"/>
        <v>0</v>
      </c>
      <c r="O7374" s="1" t="str">
        <f t="shared" si="13017"/>
        <v>0</v>
      </c>
      <c r="P7374" s="1" t="str">
        <f t="shared" si="13017"/>
        <v>0</v>
      </c>
      <c r="Q7374" s="1" t="str">
        <f t="shared" si="13005"/>
        <v>0.0070</v>
      </c>
      <c r="R7374" s="1" t="s">
        <v>25</v>
      </c>
      <c r="T7374" s="1" t="str">
        <f t="shared" si="13006"/>
        <v>0</v>
      </c>
      <c r="U7374" s="1" t="str">
        <f t="shared" si="12990"/>
        <v>0.0070</v>
      </c>
    </row>
    <row r="7375" s="1" customFormat="1" spans="1:21">
      <c r="A7375" s="1" t="str">
        <f>"4601992332081"</f>
        <v>4601992332081</v>
      </c>
      <c r="B7375" s="1" t="s">
        <v>7398</v>
      </c>
      <c r="C7375" s="1" t="s">
        <v>24</v>
      </c>
      <c r="D7375" s="1" t="str">
        <f t="shared" si="13003"/>
        <v>2021</v>
      </c>
      <c r="E7375" s="1" t="str">
        <f t="shared" ref="E7375:P7375" si="13018">"0"</f>
        <v>0</v>
      </c>
      <c r="F7375" s="1" t="str">
        <f t="shared" si="13018"/>
        <v>0</v>
      </c>
      <c r="G7375" s="1" t="str">
        <f t="shared" si="13018"/>
        <v>0</v>
      </c>
      <c r="H7375" s="1" t="str">
        <f t="shared" si="13018"/>
        <v>0</v>
      </c>
      <c r="I7375" s="1" t="str">
        <f t="shared" si="13018"/>
        <v>0</v>
      </c>
      <c r="J7375" s="1" t="str">
        <f t="shared" si="13018"/>
        <v>0</v>
      </c>
      <c r="K7375" s="1" t="str">
        <f t="shared" si="13018"/>
        <v>0</v>
      </c>
      <c r="L7375" s="1" t="str">
        <f t="shared" si="13018"/>
        <v>0</v>
      </c>
      <c r="M7375" s="1" t="str">
        <f t="shared" si="13018"/>
        <v>0</v>
      </c>
      <c r="N7375" s="1" t="str">
        <f t="shared" si="13018"/>
        <v>0</v>
      </c>
      <c r="O7375" s="1" t="str">
        <f t="shared" si="13018"/>
        <v>0</v>
      </c>
      <c r="P7375" s="1" t="str">
        <f t="shared" si="13018"/>
        <v>0</v>
      </c>
      <c r="Q7375" s="1" t="str">
        <f t="shared" si="13005"/>
        <v>0.0070</v>
      </c>
      <c r="R7375" s="1" t="s">
        <v>25</v>
      </c>
      <c r="T7375" s="1" t="str">
        <f t="shared" si="13006"/>
        <v>0</v>
      </c>
      <c r="U7375" s="1" t="str">
        <f t="shared" si="12990"/>
        <v>0.0070</v>
      </c>
    </row>
    <row r="7376" s="1" customFormat="1" spans="1:21">
      <c r="A7376" s="1" t="str">
        <f>"4601992332103"</f>
        <v>4601992332103</v>
      </c>
      <c r="B7376" s="1" t="s">
        <v>7399</v>
      </c>
      <c r="C7376" s="1" t="s">
        <v>24</v>
      </c>
      <c r="D7376" s="1" t="str">
        <f t="shared" si="13003"/>
        <v>2021</v>
      </c>
      <c r="E7376" s="1" t="str">
        <f t="shared" ref="E7376:P7376" si="13019">"0"</f>
        <v>0</v>
      </c>
      <c r="F7376" s="1" t="str">
        <f t="shared" si="13019"/>
        <v>0</v>
      </c>
      <c r="G7376" s="1" t="str">
        <f t="shared" si="13019"/>
        <v>0</v>
      </c>
      <c r="H7376" s="1" t="str">
        <f t="shared" si="13019"/>
        <v>0</v>
      </c>
      <c r="I7376" s="1" t="str">
        <f t="shared" si="13019"/>
        <v>0</v>
      </c>
      <c r="J7376" s="1" t="str">
        <f t="shared" si="13019"/>
        <v>0</v>
      </c>
      <c r="K7376" s="1" t="str">
        <f t="shared" si="13019"/>
        <v>0</v>
      </c>
      <c r="L7376" s="1" t="str">
        <f t="shared" si="13019"/>
        <v>0</v>
      </c>
      <c r="M7376" s="1" t="str">
        <f t="shared" si="13019"/>
        <v>0</v>
      </c>
      <c r="N7376" s="1" t="str">
        <f t="shared" si="13019"/>
        <v>0</v>
      </c>
      <c r="O7376" s="1" t="str">
        <f t="shared" si="13019"/>
        <v>0</v>
      </c>
      <c r="P7376" s="1" t="str">
        <f t="shared" si="13019"/>
        <v>0</v>
      </c>
      <c r="Q7376" s="1" t="str">
        <f t="shared" si="13005"/>
        <v>0.0070</v>
      </c>
      <c r="R7376" s="1" t="s">
        <v>25</v>
      </c>
      <c r="T7376" s="1" t="str">
        <f t="shared" si="13006"/>
        <v>0</v>
      </c>
      <c r="U7376" s="1" t="str">
        <f t="shared" si="12990"/>
        <v>0.0070</v>
      </c>
    </row>
    <row r="7377" s="1" customFormat="1" spans="1:21">
      <c r="A7377" s="1" t="str">
        <f>"4601992332651"</f>
        <v>4601992332651</v>
      </c>
      <c r="B7377" s="1" t="s">
        <v>7400</v>
      </c>
      <c r="C7377" s="1" t="s">
        <v>24</v>
      </c>
      <c r="D7377" s="1" t="str">
        <f t="shared" si="13003"/>
        <v>2021</v>
      </c>
      <c r="E7377" s="1" t="str">
        <f t="shared" ref="E7377:P7377" si="13020">"0"</f>
        <v>0</v>
      </c>
      <c r="F7377" s="1" t="str">
        <f t="shared" si="13020"/>
        <v>0</v>
      </c>
      <c r="G7377" s="1" t="str">
        <f t="shared" si="13020"/>
        <v>0</v>
      </c>
      <c r="H7377" s="1" t="str">
        <f t="shared" si="13020"/>
        <v>0</v>
      </c>
      <c r="I7377" s="1" t="str">
        <f t="shared" si="13020"/>
        <v>0</v>
      </c>
      <c r="J7377" s="1" t="str">
        <f t="shared" si="13020"/>
        <v>0</v>
      </c>
      <c r="K7377" s="1" t="str">
        <f t="shared" si="13020"/>
        <v>0</v>
      </c>
      <c r="L7377" s="1" t="str">
        <f t="shared" si="13020"/>
        <v>0</v>
      </c>
      <c r="M7377" s="1" t="str">
        <f t="shared" si="13020"/>
        <v>0</v>
      </c>
      <c r="N7377" s="1" t="str">
        <f t="shared" si="13020"/>
        <v>0</v>
      </c>
      <c r="O7377" s="1" t="str">
        <f t="shared" si="13020"/>
        <v>0</v>
      </c>
      <c r="P7377" s="1" t="str">
        <f t="shared" si="13020"/>
        <v>0</v>
      </c>
      <c r="Q7377" s="1" t="str">
        <f t="shared" si="13005"/>
        <v>0.0070</v>
      </c>
      <c r="R7377" s="1" t="s">
        <v>25</v>
      </c>
      <c r="T7377" s="1" t="str">
        <f t="shared" si="13006"/>
        <v>0</v>
      </c>
      <c r="U7377" s="1" t="str">
        <f t="shared" si="12990"/>
        <v>0.0070</v>
      </c>
    </row>
    <row r="7378" s="1" customFormat="1" spans="1:21">
      <c r="A7378" s="1" t="str">
        <f>"4601992332395"</f>
        <v>4601992332395</v>
      </c>
      <c r="B7378" s="1" t="s">
        <v>7401</v>
      </c>
      <c r="C7378" s="1" t="s">
        <v>24</v>
      </c>
      <c r="D7378" s="1" t="str">
        <f t="shared" si="13003"/>
        <v>2021</v>
      </c>
      <c r="E7378" s="1" t="str">
        <f t="shared" ref="E7378:P7378" si="13021">"0"</f>
        <v>0</v>
      </c>
      <c r="F7378" s="1" t="str">
        <f t="shared" si="13021"/>
        <v>0</v>
      </c>
      <c r="G7378" s="1" t="str">
        <f t="shared" si="13021"/>
        <v>0</v>
      </c>
      <c r="H7378" s="1" t="str">
        <f t="shared" si="13021"/>
        <v>0</v>
      </c>
      <c r="I7378" s="1" t="str">
        <f t="shared" si="13021"/>
        <v>0</v>
      </c>
      <c r="J7378" s="1" t="str">
        <f t="shared" si="13021"/>
        <v>0</v>
      </c>
      <c r="K7378" s="1" t="str">
        <f t="shared" si="13021"/>
        <v>0</v>
      </c>
      <c r="L7378" s="1" t="str">
        <f t="shared" si="13021"/>
        <v>0</v>
      </c>
      <c r="M7378" s="1" t="str">
        <f t="shared" si="13021"/>
        <v>0</v>
      </c>
      <c r="N7378" s="1" t="str">
        <f t="shared" si="13021"/>
        <v>0</v>
      </c>
      <c r="O7378" s="1" t="str">
        <f t="shared" si="13021"/>
        <v>0</v>
      </c>
      <c r="P7378" s="1" t="str">
        <f t="shared" si="13021"/>
        <v>0</v>
      </c>
      <c r="Q7378" s="1" t="str">
        <f t="shared" si="13005"/>
        <v>0.0070</v>
      </c>
      <c r="R7378" s="1" t="s">
        <v>25</v>
      </c>
      <c r="T7378" s="1" t="str">
        <f t="shared" si="13006"/>
        <v>0</v>
      </c>
      <c r="U7378" s="1" t="str">
        <f t="shared" si="12990"/>
        <v>0.0070</v>
      </c>
    </row>
    <row r="7379" s="1" customFormat="1" spans="1:21">
      <c r="A7379" s="1" t="str">
        <f>"4601992332757"</f>
        <v>4601992332757</v>
      </c>
      <c r="B7379" s="1" t="s">
        <v>7402</v>
      </c>
      <c r="C7379" s="1" t="s">
        <v>24</v>
      </c>
      <c r="D7379" s="1" t="str">
        <f t="shared" si="13003"/>
        <v>2021</v>
      </c>
      <c r="E7379" s="1" t="str">
        <f t="shared" ref="E7379:P7379" si="13022">"0"</f>
        <v>0</v>
      </c>
      <c r="F7379" s="1" t="str">
        <f t="shared" si="13022"/>
        <v>0</v>
      </c>
      <c r="G7379" s="1" t="str">
        <f t="shared" si="13022"/>
        <v>0</v>
      </c>
      <c r="H7379" s="1" t="str">
        <f t="shared" si="13022"/>
        <v>0</v>
      </c>
      <c r="I7379" s="1" t="str">
        <f t="shared" si="13022"/>
        <v>0</v>
      </c>
      <c r="J7379" s="1" t="str">
        <f t="shared" si="13022"/>
        <v>0</v>
      </c>
      <c r="K7379" s="1" t="str">
        <f t="shared" si="13022"/>
        <v>0</v>
      </c>
      <c r="L7379" s="1" t="str">
        <f t="shared" si="13022"/>
        <v>0</v>
      </c>
      <c r="M7379" s="1" t="str">
        <f t="shared" si="13022"/>
        <v>0</v>
      </c>
      <c r="N7379" s="1" t="str">
        <f t="shared" si="13022"/>
        <v>0</v>
      </c>
      <c r="O7379" s="1" t="str">
        <f t="shared" si="13022"/>
        <v>0</v>
      </c>
      <c r="P7379" s="1" t="str">
        <f t="shared" si="13022"/>
        <v>0</v>
      </c>
      <c r="Q7379" s="1" t="str">
        <f t="shared" si="13005"/>
        <v>0.0070</v>
      </c>
      <c r="R7379" s="1" t="s">
        <v>25</v>
      </c>
      <c r="T7379" s="1" t="str">
        <f t="shared" si="13006"/>
        <v>0</v>
      </c>
      <c r="U7379" s="1" t="str">
        <f t="shared" si="12990"/>
        <v>0.0070</v>
      </c>
    </row>
    <row r="7380" s="1" customFormat="1" spans="1:21">
      <c r="A7380" s="1" t="str">
        <f>"4601992333099"</f>
        <v>4601992333099</v>
      </c>
      <c r="B7380" s="1" t="s">
        <v>7403</v>
      </c>
      <c r="C7380" s="1" t="s">
        <v>24</v>
      </c>
      <c r="D7380" s="1" t="str">
        <f t="shared" si="13003"/>
        <v>2021</v>
      </c>
      <c r="E7380" s="1" t="str">
        <f t="shared" ref="E7380:P7380" si="13023">"0"</f>
        <v>0</v>
      </c>
      <c r="F7380" s="1" t="str">
        <f t="shared" si="13023"/>
        <v>0</v>
      </c>
      <c r="G7380" s="1" t="str">
        <f t="shared" si="13023"/>
        <v>0</v>
      </c>
      <c r="H7380" s="1" t="str">
        <f t="shared" si="13023"/>
        <v>0</v>
      </c>
      <c r="I7380" s="1" t="str">
        <f t="shared" si="13023"/>
        <v>0</v>
      </c>
      <c r="J7380" s="1" t="str">
        <f t="shared" si="13023"/>
        <v>0</v>
      </c>
      <c r="K7380" s="1" t="str">
        <f t="shared" si="13023"/>
        <v>0</v>
      </c>
      <c r="L7380" s="1" t="str">
        <f t="shared" si="13023"/>
        <v>0</v>
      </c>
      <c r="M7380" s="1" t="str">
        <f t="shared" si="13023"/>
        <v>0</v>
      </c>
      <c r="N7380" s="1" t="str">
        <f t="shared" si="13023"/>
        <v>0</v>
      </c>
      <c r="O7380" s="1" t="str">
        <f t="shared" si="13023"/>
        <v>0</v>
      </c>
      <c r="P7380" s="1" t="str">
        <f t="shared" si="13023"/>
        <v>0</v>
      </c>
      <c r="Q7380" s="1" t="str">
        <f t="shared" si="13005"/>
        <v>0.0070</v>
      </c>
      <c r="R7380" s="1" t="s">
        <v>25</v>
      </c>
      <c r="T7380" s="1" t="str">
        <f t="shared" si="13006"/>
        <v>0</v>
      </c>
      <c r="U7380" s="1" t="str">
        <f t="shared" si="12990"/>
        <v>0.0070</v>
      </c>
    </row>
    <row r="7381" s="1" customFormat="1" spans="1:21">
      <c r="A7381" s="1" t="str">
        <f>"4601992333253"</f>
        <v>4601992333253</v>
      </c>
      <c r="B7381" s="1" t="s">
        <v>7404</v>
      </c>
      <c r="C7381" s="1" t="s">
        <v>24</v>
      </c>
      <c r="D7381" s="1" t="str">
        <f t="shared" si="13003"/>
        <v>2021</v>
      </c>
      <c r="E7381" s="1" t="str">
        <f t="shared" ref="E7381:P7381" si="13024">"0"</f>
        <v>0</v>
      </c>
      <c r="F7381" s="1" t="str">
        <f t="shared" si="13024"/>
        <v>0</v>
      </c>
      <c r="G7381" s="1" t="str">
        <f t="shared" si="13024"/>
        <v>0</v>
      </c>
      <c r="H7381" s="1" t="str">
        <f t="shared" si="13024"/>
        <v>0</v>
      </c>
      <c r="I7381" s="1" t="str">
        <f t="shared" si="13024"/>
        <v>0</v>
      </c>
      <c r="J7381" s="1" t="str">
        <f t="shared" si="13024"/>
        <v>0</v>
      </c>
      <c r="K7381" s="1" t="str">
        <f t="shared" si="13024"/>
        <v>0</v>
      </c>
      <c r="L7381" s="1" t="str">
        <f t="shared" si="13024"/>
        <v>0</v>
      </c>
      <c r="M7381" s="1" t="str">
        <f t="shared" si="13024"/>
        <v>0</v>
      </c>
      <c r="N7381" s="1" t="str">
        <f t="shared" si="13024"/>
        <v>0</v>
      </c>
      <c r="O7381" s="1" t="str">
        <f t="shared" si="13024"/>
        <v>0</v>
      </c>
      <c r="P7381" s="1" t="str">
        <f t="shared" si="13024"/>
        <v>0</v>
      </c>
      <c r="Q7381" s="1" t="str">
        <f t="shared" si="13005"/>
        <v>0.0070</v>
      </c>
      <c r="R7381" s="1" t="s">
        <v>25</v>
      </c>
      <c r="T7381" s="1" t="str">
        <f t="shared" si="13006"/>
        <v>0</v>
      </c>
      <c r="U7381" s="1" t="str">
        <f t="shared" si="12990"/>
        <v>0.0070</v>
      </c>
    </row>
    <row r="7382" s="1" customFormat="1" spans="1:21">
      <c r="A7382" s="1" t="str">
        <f>"4601992333323"</f>
        <v>4601992333323</v>
      </c>
      <c r="B7382" s="1" t="s">
        <v>7405</v>
      </c>
      <c r="C7382" s="1" t="s">
        <v>24</v>
      </c>
      <c r="D7382" s="1" t="str">
        <f t="shared" si="13003"/>
        <v>2021</v>
      </c>
      <c r="E7382" s="1" t="str">
        <f t="shared" ref="E7382:P7382" si="13025">"0"</f>
        <v>0</v>
      </c>
      <c r="F7382" s="1" t="str">
        <f t="shared" si="13025"/>
        <v>0</v>
      </c>
      <c r="G7382" s="1" t="str">
        <f t="shared" si="13025"/>
        <v>0</v>
      </c>
      <c r="H7382" s="1" t="str">
        <f t="shared" si="13025"/>
        <v>0</v>
      </c>
      <c r="I7382" s="1" t="str">
        <f t="shared" si="13025"/>
        <v>0</v>
      </c>
      <c r="J7382" s="1" t="str">
        <f t="shared" si="13025"/>
        <v>0</v>
      </c>
      <c r="K7382" s="1" t="str">
        <f t="shared" si="13025"/>
        <v>0</v>
      </c>
      <c r="L7382" s="1" t="str">
        <f t="shared" si="13025"/>
        <v>0</v>
      </c>
      <c r="M7382" s="1" t="str">
        <f t="shared" si="13025"/>
        <v>0</v>
      </c>
      <c r="N7382" s="1" t="str">
        <f t="shared" si="13025"/>
        <v>0</v>
      </c>
      <c r="O7382" s="1" t="str">
        <f t="shared" si="13025"/>
        <v>0</v>
      </c>
      <c r="P7382" s="1" t="str">
        <f t="shared" si="13025"/>
        <v>0</v>
      </c>
      <c r="Q7382" s="1" t="str">
        <f t="shared" si="13005"/>
        <v>0.0070</v>
      </c>
      <c r="R7382" s="1" t="s">
        <v>25</v>
      </c>
      <c r="T7382" s="1" t="str">
        <f t="shared" si="13006"/>
        <v>0</v>
      </c>
      <c r="U7382" s="1" t="str">
        <f t="shared" si="12990"/>
        <v>0.0070</v>
      </c>
    </row>
    <row r="7383" s="1" customFormat="1" spans="1:21">
      <c r="A7383" s="1" t="str">
        <f>"4601992333344"</f>
        <v>4601992333344</v>
      </c>
      <c r="B7383" s="1" t="s">
        <v>7406</v>
      </c>
      <c r="C7383" s="1" t="s">
        <v>24</v>
      </c>
      <c r="D7383" s="1" t="str">
        <f t="shared" si="13003"/>
        <v>2021</v>
      </c>
      <c r="E7383" s="1" t="str">
        <f t="shared" ref="E7383:P7383" si="13026">"0"</f>
        <v>0</v>
      </c>
      <c r="F7383" s="1" t="str">
        <f t="shared" si="13026"/>
        <v>0</v>
      </c>
      <c r="G7383" s="1" t="str">
        <f t="shared" si="13026"/>
        <v>0</v>
      </c>
      <c r="H7383" s="1" t="str">
        <f t="shared" si="13026"/>
        <v>0</v>
      </c>
      <c r="I7383" s="1" t="str">
        <f t="shared" si="13026"/>
        <v>0</v>
      </c>
      <c r="J7383" s="1" t="str">
        <f t="shared" si="13026"/>
        <v>0</v>
      </c>
      <c r="K7383" s="1" t="str">
        <f t="shared" si="13026"/>
        <v>0</v>
      </c>
      <c r="L7383" s="1" t="str">
        <f t="shared" si="13026"/>
        <v>0</v>
      </c>
      <c r="M7383" s="1" t="str">
        <f t="shared" si="13026"/>
        <v>0</v>
      </c>
      <c r="N7383" s="1" t="str">
        <f t="shared" si="13026"/>
        <v>0</v>
      </c>
      <c r="O7383" s="1" t="str">
        <f t="shared" si="13026"/>
        <v>0</v>
      </c>
      <c r="P7383" s="1" t="str">
        <f t="shared" si="13026"/>
        <v>0</v>
      </c>
      <c r="Q7383" s="1" t="str">
        <f t="shared" si="13005"/>
        <v>0.0070</v>
      </c>
      <c r="R7383" s="1" t="s">
        <v>25</v>
      </c>
      <c r="T7383" s="1" t="str">
        <f t="shared" si="13006"/>
        <v>0</v>
      </c>
      <c r="U7383" s="1" t="str">
        <f t="shared" si="12990"/>
        <v>0.0070</v>
      </c>
    </row>
    <row r="7384" s="1" customFormat="1" spans="1:21">
      <c r="A7384" s="1" t="str">
        <f>"4601992333384"</f>
        <v>4601992333384</v>
      </c>
      <c r="B7384" s="1" t="s">
        <v>7407</v>
      </c>
      <c r="C7384" s="1" t="s">
        <v>24</v>
      </c>
      <c r="D7384" s="1" t="str">
        <f t="shared" si="13003"/>
        <v>2021</v>
      </c>
      <c r="E7384" s="1" t="str">
        <f t="shared" ref="E7384:P7384" si="13027">"0"</f>
        <v>0</v>
      </c>
      <c r="F7384" s="1" t="str">
        <f t="shared" si="13027"/>
        <v>0</v>
      </c>
      <c r="G7384" s="1" t="str">
        <f t="shared" si="13027"/>
        <v>0</v>
      </c>
      <c r="H7384" s="1" t="str">
        <f t="shared" si="13027"/>
        <v>0</v>
      </c>
      <c r="I7384" s="1" t="str">
        <f t="shared" si="13027"/>
        <v>0</v>
      </c>
      <c r="J7384" s="1" t="str">
        <f t="shared" si="13027"/>
        <v>0</v>
      </c>
      <c r="K7384" s="1" t="str">
        <f t="shared" si="13027"/>
        <v>0</v>
      </c>
      <c r="L7384" s="1" t="str">
        <f t="shared" si="13027"/>
        <v>0</v>
      </c>
      <c r="M7384" s="1" t="str">
        <f t="shared" si="13027"/>
        <v>0</v>
      </c>
      <c r="N7384" s="1" t="str">
        <f t="shared" si="13027"/>
        <v>0</v>
      </c>
      <c r="O7384" s="1" t="str">
        <f t="shared" si="13027"/>
        <v>0</v>
      </c>
      <c r="P7384" s="1" t="str">
        <f t="shared" si="13027"/>
        <v>0</v>
      </c>
      <c r="Q7384" s="1" t="str">
        <f t="shared" si="13005"/>
        <v>0.0070</v>
      </c>
      <c r="R7384" s="1" t="s">
        <v>25</v>
      </c>
      <c r="T7384" s="1" t="str">
        <f t="shared" si="13006"/>
        <v>0</v>
      </c>
      <c r="U7384" s="1" t="str">
        <f t="shared" si="12990"/>
        <v>0.0070</v>
      </c>
    </row>
    <row r="7385" s="1" customFormat="1" spans="1:21">
      <c r="A7385" s="1" t="str">
        <f>"4601992333539"</f>
        <v>4601992333539</v>
      </c>
      <c r="B7385" s="1" t="s">
        <v>7408</v>
      </c>
      <c r="C7385" s="1" t="s">
        <v>24</v>
      </c>
      <c r="D7385" s="1" t="str">
        <f t="shared" si="13003"/>
        <v>2021</v>
      </c>
      <c r="E7385" s="1" t="str">
        <f t="shared" ref="E7385:P7385" si="13028">"0"</f>
        <v>0</v>
      </c>
      <c r="F7385" s="1" t="str">
        <f t="shared" si="13028"/>
        <v>0</v>
      </c>
      <c r="G7385" s="1" t="str">
        <f t="shared" si="13028"/>
        <v>0</v>
      </c>
      <c r="H7385" s="1" t="str">
        <f t="shared" si="13028"/>
        <v>0</v>
      </c>
      <c r="I7385" s="1" t="str">
        <f t="shared" si="13028"/>
        <v>0</v>
      </c>
      <c r="J7385" s="1" t="str">
        <f t="shared" si="13028"/>
        <v>0</v>
      </c>
      <c r="K7385" s="1" t="str">
        <f t="shared" si="13028"/>
        <v>0</v>
      </c>
      <c r="L7385" s="1" t="str">
        <f t="shared" si="13028"/>
        <v>0</v>
      </c>
      <c r="M7385" s="1" t="str">
        <f t="shared" si="13028"/>
        <v>0</v>
      </c>
      <c r="N7385" s="1" t="str">
        <f t="shared" si="13028"/>
        <v>0</v>
      </c>
      <c r="O7385" s="1" t="str">
        <f t="shared" si="13028"/>
        <v>0</v>
      </c>
      <c r="P7385" s="1" t="str">
        <f t="shared" si="13028"/>
        <v>0</v>
      </c>
      <c r="Q7385" s="1" t="str">
        <f t="shared" si="13005"/>
        <v>0.0070</v>
      </c>
      <c r="R7385" s="1" t="s">
        <v>25</v>
      </c>
      <c r="T7385" s="1" t="str">
        <f t="shared" si="13006"/>
        <v>0</v>
      </c>
      <c r="U7385" s="1" t="str">
        <f t="shared" si="12990"/>
        <v>0.0070</v>
      </c>
    </row>
    <row r="7386" s="1" customFormat="1" spans="1:21">
      <c r="A7386" s="1" t="str">
        <f>"4601992333501"</f>
        <v>4601992333501</v>
      </c>
      <c r="B7386" s="1" t="s">
        <v>7409</v>
      </c>
      <c r="C7386" s="1" t="s">
        <v>24</v>
      </c>
      <c r="D7386" s="1" t="str">
        <f t="shared" si="13003"/>
        <v>2021</v>
      </c>
      <c r="E7386" s="1" t="str">
        <f t="shared" ref="E7386:P7386" si="13029">"0"</f>
        <v>0</v>
      </c>
      <c r="F7386" s="1" t="str">
        <f t="shared" si="13029"/>
        <v>0</v>
      </c>
      <c r="G7386" s="1" t="str">
        <f t="shared" si="13029"/>
        <v>0</v>
      </c>
      <c r="H7386" s="1" t="str">
        <f t="shared" si="13029"/>
        <v>0</v>
      </c>
      <c r="I7386" s="1" t="str">
        <f t="shared" si="13029"/>
        <v>0</v>
      </c>
      <c r="J7386" s="1" t="str">
        <f t="shared" si="13029"/>
        <v>0</v>
      </c>
      <c r="K7386" s="1" t="str">
        <f t="shared" si="13029"/>
        <v>0</v>
      </c>
      <c r="L7386" s="1" t="str">
        <f t="shared" si="13029"/>
        <v>0</v>
      </c>
      <c r="M7386" s="1" t="str">
        <f t="shared" si="13029"/>
        <v>0</v>
      </c>
      <c r="N7386" s="1" t="str">
        <f t="shared" si="13029"/>
        <v>0</v>
      </c>
      <c r="O7386" s="1" t="str">
        <f t="shared" si="13029"/>
        <v>0</v>
      </c>
      <c r="P7386" s="1" t="str">
        <f t="shared" si="13029"/>
        <v>0</v>
      </c>
      <c r="Q7386" s="1" t="str">
        <f t="shared" si="13005"/>
        <v>0.0070</v>
      </c>
      <c r="R7386" s="1" t="s">
        <v>25</v>
      </c>
      <c r="T7386" s="1" t="str">
        <f t="shared" si="13006"/>
        <v>0</v>
      </c>
      <c r="U7386" s="1" t="str">
        <f t="shared" si="12990"/>
        <v>0.0070</v>
      </c>
    </row>
    <row r="7387" s="1" customFormat="1" spans="1:21">
      <c r="A7387" s="1" t="str">
        <f>"4601992333699"</f>
        <v>4601992333699</v>
      </c>
      <c r="B7387" s="1" t="s">
        <v>7410</v>
      </c>
      <c r="C7387" s="1" t="s">
        <v>24</v>
      </c>
      <c r="D7387" s="1" t="str">
        <f t="shared" si="13003"/>
        <v>2021</v>
      </c>
      <c r="E7387" s="1" t="str">
        <f t="shared" ref="E7387:P7387" si="13030">"0"</f>
        <v>0</v>
      </c>
      <c r="F7387" s="1" t="str">
        <f t="shared" si="13030"/>
        <v>0</v>
      </c>
      <c r="G7387" s="1" t="str">
        <f t="shared" si="13030"/>
        <v>0</v>
      </c>
      <c r="H7387" s="1" t="str">
        <f t="shared" si="13030"/>
        <v>0</v>
      </c>
      <c r="I7387" s="1" t="str">
        <f t="shared" si="13030"/>
        <v>0</v>
      </c>
      <c r="J7387" s="1" t="str">
        <f t="shared" si="13030"/>
        <v>0</v>
      </c>
      <c r="K7387" s="1" t="str">
        <f t="shared" si="13030"/>
        <v>0</v>
      </c>
      <c r="L7387" s="1" t="str">
        <f t="shared" si="13030"/>
        <v>0</v>
      </c>
      <c r="M7387" s="1" t="str">
        <f t="shared" si="13030"/>
        <v>0</v>
      </c>
      <c r="N7387" s="1" t="str">
        <f t="shared" si="13030"/>
        <v>0</v>
      </c>
      <c r="O7387" s="1" t="str">
        <f t="shared" si="13030"/>
        <v>0</v>
      </c>
      <c r="P7387" s="1" t="str">
        <f t="shared" si="13030"/>
        <v>0</v>
      </c>
      <c r="Q7387" s="1" t="str">
        <f t="shared" si="13005"/>
        <v>0.0070</v>
      </c>
      <c r="R7387" s="1" t="s">
        <v>25</v>
      </c>
      <c r="T7387" s="1" t="str">
        <f t="shared" si="13006"/>
        <v>0</v>
      </c>
      <c r="U7387" s="1" t="str">
        <f t="shared" si="12990"/>
        <v>0.0070</v>
      </c>
    </row>
    <row r="7388" s="1" customFormat="1" spans="1:21">
      <c r="A7388" s="1" t="str">
        <f>"4601992333731"</f>
        <v>4601992333731</v>
      </c>
      <c r="B7388" s="1" t="s">
        <v>7411</v>
      </c>
      <c r="C7388" s="1" t="s">
        <v>24</v>
      </c>
      <c r="D7388" s="1" t="str">
        <f t="shared" si="13003"/>
        <v>2021</v>
      </c>
      <c r="E7388" s="1" t="str">
        <f t="shared" ref="E7388:P7388" si="13031">"0"</f>
        <v>0</v>
      </c>
      <c r="F7388" s="1" t="str">
        <f t="shared" si="13031"/>
        <v>0</v>
      </c>
      <c r="G7388" s="1" t="str">
        <f t="shared" si="13031"/>
        <v>0</v>
      </c>
      <c r="H7388" s="1" t="str">
        <f t="shared" si="13031"/>
        <v>0</v>
      </c>
      <c r="I7388" s="1" t="str">
        <f t="shared" si="13031"/>
        <v>0</v>
      </c>
      <c r="J7388" s="1" t="str">
        <f t="shared" si="13031"/>
        <v>0</v>
      </c>
      <c r="K7388" s="1" t="str">
        <f t="shared" si="13031"/>
        <v>0</v>
      </c>
      <c r="L7388" s="1" t="str">
        <f t="shared" si="13031"/>
        <v>0</v>
      </c>
      <c r="M7388" s="1" t="str">
        <f t="shared" si="13031"/>
        <v>0</v>
      </c>
      <c r="N7388" s="1" t="str">
        <f t="shared" si="13031"/>
        <v>0</v>
      </c>
      <c r="O7388" s="1" t="str">
        <f t="shared" si="13031"/>
        <v>0</v>
      </c>
      <c r="P7388" s="1" t="str">
        <f t="shared" si="13031"/>
        <v>0</v>
      </c>
      <c r="Q7388" s="1" t="str">
        <f t="shared" si="13005"/>
        <v>0.0070</v>
      </c>
      <c r="R7388" s="1" t="s">
        <v>25</v>
      </c>
      <c r="T7388" s="1" t="str">
        <f t="shared" si="13006"/>
        <v>0</v>
      </c>
      <c r="U7388" s="1" t="str">
        <f t="shared" si="12990"/>
        <v>0.0070</v>
      </c>
    </row>
    <row r="7389" s="1" customFormat="1" spans="1:21">
      <c r="A7389" s="1" t="str">
        <f>"4601992333965"</f>
        <v>4601992333965</v>
      </c>
      <c r="B7389" s="1" t="s">
        <v>7412</v>
      </c>
      <c r="C7389" s="1" t="s">
        <v>24</v>
      </c>
      <c r="D7389" s="1" t="str">
        <f t="shared" si="13003"/>
        <v>2021</v>
      </c>
      <c r="E7389" s="1" t="str">
        <f t="shared" ref="E7389:P7389" si="13032">"0"</f>
        <v>0</v>
      </c>
      <c r="F7389" s="1" t="str">
        <f t="shared" si="13032"/>
        <v>0</v>
      </c>
      <c r="G7389" s="1" t="str">
        <f t="shared" si="13032"/>
        <v>0</v>
      </c>
      <c r="H7389" s="1" t="str">
        <f t="shared" si="13032"/>
        <v>0</v>
      </c>
      <c r="I7389" s="1" t="str">
        <f t="shared" si="13032"/>
        <v>0</v>
      </c>
      <c r="J7389" s="1" t="str">
        <f t="shared" si="13032"/>
        <v>0</v>
      </c>
      <c r="K7389" s="1" t="str">
        <f t="shared" si="13032"/>
        <v>0</v>
      </c>
      <c r="L7389" s="1" t="str">
        <f t="shared" si="13032"/>
        <v>0</v>
      </c>
      <c r="M7389" s="1" t="str">
        <f t="shared" si="13032"/>
        <v>0</v>
      </c>
      <c r="N7389" s="1" t="str">
        <f t="shared" si="13032"/>
        <v>0</v>
      </c>
      <c r="O7389" s="1" t="str">
        <f t="shared" si="13032"/>
        <v>0</v>
      </c>
      <c r="P7389" s="1" t="str">
        <f t="shared" si="13032"/>
        <v>0</v>
      </c>
      <c r="Q7389" s="1" t="str">
        <f t="shared" si="13005"/>
        <v>0.0070</v>
      </c>
      <c r="R7389" s="1" t="s">
        <v>25</v>
      </c>
      <c r="T7389" s="1" t="str">
        <f t="shared" si="13006"/>
        <v>0</v>
      </c>
      <c r="U7389" s="1" t="str">
        <f t="shared" si="12990"/>
        <v>0.0070</v>
      </c>
    </row>
    <row r="7390" s="1" customFormat="1" spans="1:21">
      <c r="A7390" s="1" t="str">
        <f>"4601992333742"</f>
        <v>4601992333742</v>
      </c>
      <c r="B7390" s="1" t="s">
        <v>7413</v>
      </c>
      <c r="C7390" s="1" t="s">
        <v>24</v>
      </c>
      <c r="D7390" s="1" t="str">
        <f t="shared" si="13003"/>
        <v>2021</v>
      </c>
      <c r="E7390" s="1" t="str">
        <f t="shared" ref="E7390:P7390" si="13033">"0"</f>
        <v>0</v>
      </c>
      <c r="F7390" s="1" t="str">
        <f t="shared" si="13033"/>
        <v>0</v>
      </c>
      <c r="G7390" s="1" t="str">
        <f t="shared" si="13033"/>
        <v>0</v>
      </c>
      <c r="H7390" s="1" t="str">
        <f t="shared" si="13033"/>
        <v>0</v>
      </c>
      <c r="I7390" s="1" t="str">
        <f t="shared" si="13033"/>
        <v>0</v>
      </c>
      <c r="J7390" s="1" t="str">
        <f t="shared" si="13033"/>
        <v>0</v>
      </c>
      <c r="K7390" s="1" t="str">
        <f t="shared" si="13033"/>
        <v>0</v>
      </c>
      <c r="L7390" s="1" t="str">
        <f t="shared" si="13033"/>
        <v>0</v>
      </c>
      <c r="M7390" s="1" t="str">
        <f t="shared" si="13033"/>
        <v>0</v>
      </c>
      <c r="N7390" s="1" t="str">
        <f t="shared" si="13033"/>
        <v>0</v>
      </c>
      <c r="O7390" s="1" t="str">
        <f t="shared" si="13033"/>
        <v>0</v>
      </c>
      <c r="P7390" s="1" t="str">
        <f t="shared" si="13033"/>
        <v>0</v>
      </c>
      <c r="Q7390" s="1" t="str">
        <f t="shared" si="13005"/>
        <v>0.0070</v>
      </c>
      <c r="R7390" s="1" t="s">
        <v>25</v>
      </c>
      <c r="T7390" s="1" t="str">
        <f t="shared" si="13006"/>
        <v>0</v>
      </c>
      <c r="U7390" s="1" t="str">
        <f t="shared" si="12990"/>
        <v>0.0070</v>
      </c>
    </row>
    <row r="7391" s="1" customFormat="1" spans="1:21">
      <c r="A7391" s="1" t="str">
        <f>"4601992334043"</f>
        <v>4601992334043</v>
      </c>
      <c r="B7391" s="1" t="s">
        <v>7414</v>
      </c>
      <c r="C7391" s="1" t="s">
        <v>24</v>
      </c>
      <c r="D7391" s="1" t="str">
        <f t="shared" si="13003"/>
        <v>2021</v>
      </c>
      <c r="E7391" s="1" t="str">
        <f t="shared" ref="E7391:P7391" si="13034">"0"</f>
        <v>0</v>
      </c>
      <c r="F7391" s="1" t="str">
        <f t="shared" si="13034"/>
        <v>0</v>
      </c>
      <c r="G7391" s="1" t="str">
        <f t="shared" si="13034"/>
        <v>0</v>
      </c>
      <c r="H7391" s="1" t="str">
        <f t="shared" si="13034"/>
        <v>0</v>
      </c>
      <c r="I7391" s="1" t="str">
        <f t="shared" si="13034"/>
        <v>0</v>
      </c>
      <c r="J7391" s="1" t="str">
        <f t="shared" si="13034"/>
        <v>0</v>
      </c>
      <c r="K7391" s="1" t="str">
        <f t="shared" si="13034"/>
        <v>0</v>
      </c>
      <c r="L7391" s="1" t="str">
        <f t="shared" si="13034"/>
        <v>0</v>
      </c>
      <c r="M7391" s="1" t="str">
        <f t="shared" si="13034"/>
        <v>0</v>
      </c>
      <c r="N7391" s="1" t="str">
        <f t="shared" si="13034"/>
        <v>0</v>
      </c>
      <c r="O7391" s="1" t="str">
        <f t="shared" si="13034"/>
        <v>0</v>
      </c>
      <c r="P7391" s="1" t="str">
        <f t="shared" si="13034"/>
        <v>0</v>
      </c>
      <c r="Q7391" s="1" t="str">
        <f t="shared" si="13005"/>
        <v>0.0070</v>
      </c>
      <c r="R7391" s="1" t="s">
        <v>25</v>
      </c>
      <c r="T7391" s="1" t="str">
        <f t="shared" si="13006"/>
        <v>0</v>
      </c>
      <c r="U7391" s="1" t="str">
        <f t="shared" si="12990"/>
        <v>0.0070</v>
      </c>
    </row>
    <row r="7392" s="1" customFormat="1" spans="1:21">
      <c r="A7392" s="1" t="str">
        <f>"4601992334245"</f>
        <v>4601992334245</v>
      </c>
      <c r="B7392" s="1" t="s">
        <v>7415</v>
      </c>
      <c r="C7392" s="1" t="s">
        <v>24</v>
      </c>
      <c r="D7392" s="1" t="str">
        <f t="shared" si="13003"/>
        <v>2021</v>
      </c>
      <c r="E7392" s="1" t="str">
        <f t="shared" ref="E7392:P7392" si="13035">"0"</f>
        <v>0</v>
      </c>
      <c r="F7392" s="1" t="str">
        <f t="shared" si="13035"/>
        <v>0</v>
      </c>
      <c r="G7392" s="1" t="str">
        <f t="shared" si="13035"/>
        <v>0</v>
      </c>
      <c r="H7392" s="1" t="str">
        <f t="shared" si="13035"/>
        <v>0</v>
      </c>
      <c r="I7392" s="1" t="str">
        <f t="shared" si="13035"/>
        <v>0</v>
      </c>
      <c r="J7392" s="1" t="str">
        <f t="shared" si="13035"/>
        <v>0</v>
      </c>
      <c r="K7392" s="1" t="str">
        <f t="shared" si="13035"/>
        <v>0</v>
      </c>
      <c r="L7392" s="1" t="str">
        <f t="shared" si="13035"/>
        <v>0</v>
      </c>
      <c r="M7392" s="1" t="str">
        <f t="shared" si="13035"/>
        <v>0</v>
      </c>
      <c r="N7392" s="1" t="str">
        <f t="shared" si="13035"/>
        <v>0</v>
      </c>
      <c r="O7392" s="1" t="str">
        <f t="shared" si="13035"/>
        <v>0</v>
      </c>
      <c r="P7392" s="1" t="str">
        <f t="shared" si="13035"/>
        <v>0</v>
      </c>
      <c r="Q7392" s="1" t="str">
        <f t="shared" si="13005"/>
        <v>0.0070</v>
      </c>
      <c r="R7392" s="1" t="s">
        <v>25</v>
      </c>
      <c r="T7392" s="1" t="str">
        <f t="shared" si="13006"/>
        <v>0</v>
      </c>
      <c r="U7392" s="1" t="str">
        <f t="shared" si="12990"/>
        <v>0.0070</v>
      </c>
    </row>
    <row r="7393" s="1" customFormat="1" spans="1:21">
      <c r="A7393" s="1" t="str">
        <f>"4601992334145"</f>
        <v>4601992334145</v>
      </c>
      <c r="B7393" s="1" t="s">
        <v>7416</v>
      </c>
      <c r="C7393" s="1" t="s">
        <v>24</v>
      </c>
      <c r="D7393" s="1" t="str">
        <f t="shared" si="13003"/>
        <v>2021</v>
      </c>
      <c r="E7393" s="1" t="str">
        <f t="shared" ref="E7393:P7393" si="13036">"0"</f>
        <v>0</v>
      </c>
      <c r="F7393" s="1" t="str">
        <f t="shared" si="13036"/>
        <v>0</v>
      </c>
      <c r="G7393" s="1" t="str">
        <f t="shared" si="13036"/>
        <v>0</v>
      </c>
      <c r="H7393" s="1" t="str">
        <f t="shared" si="13036"/>
        <v>0</v>
      </c>
      <c r="I7393" s="1" t="str">
        <f t="shared" si="13036"/>
        <v>0</v>
      </c>
      <c r="J7393" s="1" t="str">
        <f t="shared" si="13036"/>
        <v>0</v>
      </c>
      <c r="K7393" s="1" t="str">
        <f t="shared" si="13036"/>
        <v>0</v>
      </c>
      <c r="L7393" s="1" t="str">
        <f t="shared" si="13036"/>
        <v>0</v>
      </c>
      <c r="M7393" s="1" t="str">
        <f t="shared" si="13036"/>
        <v>0</v>
      </c>
      <c r="N7393" s="1" t="str">
        <f t="shared" si="13036"/>
        <v>0</v>
      </c>
      <c r="O7393" s="1" t="str">
        <f t="shared" si="13036"/>
        <v>0</v>
      </c>
      <c r="P7393" s="1" t="str">
        <f t="shared" si="13036"/>
        <v>0</v>
      </c>
      <c r="Q7393" s="1" t="str">
        <f t="shared" si="13005"/>
        <v>0.0070</v>
      </c>
      <c r="R7393" s="1" t="s">
        <v>25</v>
      </c>
      <c r="T7393" s="1" t="str">
        <f t="shared" si="13006"/>
        <v>0</v>
      </c>
      <c r="U7393" s="1" t="str">
        <f t="shared" si="12990"/>
        <v>0.0070</v>
      </c>
    </row>
    <row r="7394" s="1" customFormat="1" spans="1:21">
      <c r="A7394" s="1" t="str">
        <f>"4601992334203"</f>
        <v>4601992334203</v>
      </c>
      <c r="B7394" s="1" t="s">
        <v>7417</v>
      </c>
      <c r="C7394" s="1" t="s">
        <v>24</v>
      </c>
      <c r="D7394" s="1" t="str">
        <f t="shared" si="13003"/>
        <v>2021</v>
      </c>
      <c r="E7394" s="1" t="str">
        <f t="shared" ref="E7394:P7394" si="13037">"0"</f>
        <v>0</v>
      </c>
      <c r="F7394" s="1" t="str">
        <f t="shared" si="13037"/>
        <v>0</v>
      </c>
      <c r="G7394" s="1" t="str">
        <f t="shared" si="13037"/>
        <v>0</v>
      </c>
      <c r="H7394" s="1" t="str">
        <f t="shared" si="13037"/>
        <v>0</v>
      </c>
      <c r="I7394" s="1" t="str">
        <f t="shared" si="13037"/>
        <v>0</v>
      </c>
      <c r="J7394" s="1" t="str">
        <f t="shared" si="13037"/>
        <v>0</v>
      </c>
      <c r="K7394" s="1" t="str">
        <f t="shared" si="13037"/>
        <v>0</v>
      </c>
      <c r="L7394" s="1" t="str">
        <f t="shared" si="13037"/>
        <v>0</v>
      </c>
      <c r="M7394" s="1" t="str">
        <f t="shared" si="13037"/>
        <v>0</v>
      </c>
      <c r="N7394" s="1" t="str">
        <f t="shared" si="13037"/>
        <v>0</v>
      </c>
      <c r="O7394" s="1" t="str">
        <f t="shared" si="13037"/>
        <v>0</v>
      </c>
      <c r="P7394" s="1" t="str">
        <f t="shared" si="13037"/>
        <v>0</v>
      </c>
      <c r="Q7394" s="1" t="str">
        <f t="shared" si="13005"/>
        <v>0.0070</v>
      </c>
      <c r="R7394" s="1" t="s">
        <v>25</v>
      </c>
      <c r="T7394" s="1" t="str">
        <f t="shared" si="13006"/>
        <v>0</v>
      </c>
      <c r="U7394" s="1" t="str">
        <f t="shared" si="12990"/>
        <v>0.0070</v>
      </c>
    </row>
    <row r="7395" s="1" customFormat="1" spans="1:21">
      <c r="A7395" s="1" t="str">
        <f>"4601992334268"</f>
        <v>4601992334268</v>
      </c>
      <c r="B7395" s="1" t="s">
        <v>7418</v>
      </c>
      <c r="C7395" s="1" t="s">
        <v>24</v>
      </c>
      <c r="D7395" s="1" t="str">
        <f t="shared" si="13003"/>
        <v>2021</v>
      </c>
      <c r="E7395" s="1" t="str">
        <f t="shared" ref="E7395:P7395" si="13038">"0"</f>
        <v>0</v>
      </c>
      <c r="F7395" s="1" t="str">
        <f t="shared" si="13038"/>
        <v>0</v>
      </c>
      <c r="G7395" s="1" t="str">
        <f t="shared" si="13038"/>
        <v>0</v>
      </c>
      <c r="H7395" s="1" t="str">
        <f t="shared" si="13038"/>
        <v>0</v>
      </c>
      <c r="I7395" s="1" t="str">
        <f t="shared" si="13038"/>
        <v>0</v>
      </c>
      <c r="J7395" s="1" t="str">
        <f t="shared" si="13038"/>
        <v>0</v>
      </c>
      <c r="K7395" s="1" t="str">
        <f t="shared" si="13038"/>
        <v>0</v>
      </c>
      <c r="L7395" s="1" t="str">
        <f t="shared" si="13038"/>
        <v>0</v>
      </c>
      <c r="M7395" s="1" t="str">
        <f t="shared" si="13038"/>
        <v>0</v>
      </c>
      <c r="N7395" s="1" t="str">
        <f t="shared" si="13038"/>
        <v>0</v>
      </c>
      <c r="O7395" s="1" t="str">
        <f t="shared" si="13038"/>
        <v>0</v>
      </c>
      <c r="P7395" s="1" t="str">
        <f t="shared" si="13038"/>
        <v>0</v>
      </c>
      <c r="Q7395" s="1" t="str">
        <f t="shared" si="13005"/>
        <v>0.0070</v>
      </c>
      <c r="R7395" s="1" t="s">
        <v>25</v>
      </c>
      <c r="T7395" s="1" t="str">
        <f t="shared" si="13006"/>
        <v>0</v>
      </c>
      <c r="U7395" s="1" t="str">
        <f t="shared" si="12990"/>
        <v>0.0070</v>
      </c>
    </row>
    <row r="7396" s="1" customFormat="1" spans="1:21">
      <c r="A7396" s="1" t="str">
        <f>"4601992334502"</f>
        <v>4601992334502</v>
      </c>
      <c r="B7396" s="1" t="s">
        <v>7419</v>
      </c>
      <c r="C7396" s="1" t="s">
        <v>24</v>
      </c>
      <c r="D7396" s="1" t="str">
        <f t="shared" si="13003"/>
        <v>2021</v>
      </c>
      <c r="E7396" s="1" t="str">
        <f t="shared" ref="E7396:P7396" si="13039">"0"</f>
        <v>0</v>
      </c>
      <c r="F7396" s="1" t="str">
        <f t="shared" si="13039"/>
        <v>0</v>
      </c>
      <c r="G7396" s="1" t="str">
        <f t="shared" si="13039"/>
        <v>0</v>
      </c>
      <c r="H7396" s="1" t="str">
        <f t="shared" si="13039"/>
        <v>0</v>
      </c>
      <c r="I7396" s="1" t="str">
        <f t="shared" si="13039"/>
        <v>0</v>
      </c>
      <c r="J7396" s="1" t="str">
        <f t="shared" si="13039"/>
        <v>0</v>
      </c>
      <c r="K7396" s="1" t="str">
        <f t="shared" si="13039"/>
        <v>0</v>
      </c>
      <c r="L7396" s="1" t="str">
        <f t="shared" si="13039"/>
        <v>0</v>
      </c>
      <c r="M7396" s="1" t="str">
        <f t="shared" si="13039"/>
        <v>0</v>
      </c>
      <c r="N7396" s="1" t="str">
        <f t="shared" si="13039"/>
        <v>0</v>
      </c>
      <c r="O7396" s="1" t="str">
        <f t="shared" si="13039"/>
        <v>0</v>
      </c>
      <c r="P7396" s="1" t="str">
        <f t="shared" si="13039"/>
        <v>0</v>
      </c>
      <c r="Q7396" s="1" t="str">
        <f t="shared" si="13005"/>
        <v>0.0070</v>
      </c>
      <c r="R7396" s="1" t="s">
        <v>25</v>
      </c>
      <c r="T7396" s="1" t="str">
        <f t="shared" si="13006"/>
        <v>0</v>
      </c>
      <c r="U7396" s="1" t="str">
        <f t="shared" si="12990"/>
        <v>0.0070</v>
      </c>
    </row>
    <row r="7397" s="1" customFormat="1" spans="1:21">
      <c r="A7397" s="1" t="str">
        <f>"4601992334334"</f>
        <v>4601992334334</v>
      </c>
      <c r="B7397" s="1" t="s">
        <v>7420</v>
      </c>
      <c r="C7397" s="1" t="s">
        <v>24</v>
      </c>
      <c r="D7397" s="1" t="str">
        <f t="shared" si="13003"/>
        <v>2021</v>
      </c>
      <c r="E7397" s="1" t="str">
        <f t="shared" ref="E7397:P7397" si="13040">"0"</f>
        <v>0</v>
      </c>
      <c r="F7397" s="1" t="str">
        <f t="shared" si="13040"/>
        <v>0</v>
      </c>
      <c r="G7397" s="1" t="str">
        <f t="shared" si="13040"/>
        <v>0</v>
      </c>
      <c r="H7397" s="1" t="str">
        <f t="shared" si="13040"/>
        <v>0</v>
      </c>
      <c r="I7397" s="1" t="str">
        <f t="shared" si="13040"/>
        <v>0</v>
      </c>
      <c r="J7397" s="1" t="str">
        <f t="shared" si="13040"/>
        <v>0</v>
      </c>
      <c r="K7397" s="1" t="str">
        <f t="shared" si="13040"/>
        <v>0</v>
      </c>
      <c r="L7397" s="1" t="str">
        <f t="shared" si="13040"/>
        <v>0</v>
      </c>
      <c r="M7397" s="1" t="str">
        <f t="shared" si="13040"/>
        <v>0</v>
      </c>
      <c r="N7397" s="1" t="str">
        <f t="shared" si="13040"/>
        <v>0</v>
      </c>
      <c r="O7397" s="1" t="str">
        <f t="shared" si="13040"/>
        <v>0</v>
      </c>
      <c r="P7397" s="1" t="str">
        <f t="shared" si="13040"/>
        <v>0</v>
      </c>
      <c r="Q7397" s="1" t="str">
        <f t="shared" si="13005"/>
        <v>0.0070</v>
      </c>
      <c r="R7397" s="1" t="s">
        <v>25</v>
      </c>
      <c r="T7397" s="1" t="str">
        <f t="shared" si="13006"/>
        <v>0</v>
      </c>
      <c r="U7397" s="1" t="str">
        <f t="shared" si="12990"/>
        <v>0.0070</v>
      </c>
    </row>
    <row r="7398" s="1" customFormat="1" spans="1:21">
      <c r="A7398" s="1" t="str">
        <f>"4601992334503"</f>
        <v>4601992334503</v>
      </c>
      <c r="B7398" s="1" t="s">
        <v>7421</v>
      </c>
      <c r="C7398" s="1" t="s">
        <v>24</v>
      </c>
      <c r="D7398" s="1" t="str">
        <f t="shared" si="13003"/>
        <v>2021</v>
      </c>
      <c r="E7398" s="1" t="str">
        <f t="shared" ref="E7398:P7398" si="13041">"0"</f>
        <v>0</v>
      </c>
      <c r="F7398" s="1" t="str">
        <f t="shared" si="13041"/>
        <v>0</v>
      </c>
      <c r="G7398" s="1" t="str">
        <f t="shared" si="13041"/>
        <v>0</v>
      </c>
      <c r="H7398" s="1" t="str">
        <f t="shared" si="13041"/>
        <v>0</v>
      </c>
      <c r="I7398" s="1" t="str">
        <f t="shared" si="13041"/>
        <v>0</v>
      </c>
      <c r="J7398" s="1" t="str">
        <f t="shared" si="13041"/>
        <v>0</v>
      </c>
      <c r="K7398" s="1" t="str">
        <f t="shared" si="13041"/>
        <v>0</v>
      </c>
      <c r="L7398" s="1" t="str">
        <f t="shared" si="13041"/>
        <v>0</v>
      </c>
      <c r="M7398" s="1" t="str">
        <f t="shared" si="13041"/>
        <v>0</v>
      </c>
      <c r="N7398" s="1" t="str">
        <f t="shared" si="13041"/>
        <v>0</v>
      </c>
      <c r="O7398" s="1" t="str">
        <f t="shared" si="13041"/>
        <v>0</v>
      </c>
      <c r="P7398" s="1" t="str">
        <f t="shared" si="13041"/>
        <v>0</v>
      </c>
      <c r="Q7398" s="1" t="str">
        <f t="shared" si="13005"/>
        <v>0.0070</v>
      </c>
      <c r="R7398" s="1" t="s">
        <v>25</v>
      </c>
      <c r="T7398" s="1" t="str">
        <f t="shared" si="13006"/>
        <v>0</v>
      </c>
      <c r="U7398" s="1" t="str">
        <f t="shared" si="12990"/>
        <v>0.0070</v>
      </c>
    </row>
    <row r="7399" s="1" customFormat="1" spans="1:21">
      <c r="A7399" s="1" t="str">
        <f>"4601992334621"</f>
        <v>4601992334621</v>
      </c>
      <c r="B7399" s="1" t="s">
        <v>7422</v>
      </c>
      <c r="C7399" s="1" t="s">
        <v>24</v>
      </c>
      <c r="D7399" s="1" t="str">
        <f t="shared" si="13003"/>
        <v>2021</v>
      </c>
      <c r="E7399" s="1" t="str">
        <f t="shared" ref="E7399:P7399" si="13042">"0"</f>
        <v>0</v>
      </c>
      <c r="F7399" s="1" t="str">
        <f t="shared" si="13042"/>
        <v>0</v>
      </c>
      <c r="G7399" s="1" t="str">
        <f t="shared" si="13042"/>
        <v>0</v>
      </c>
      <c r="H7399" s="1" t="str">
        <f t="shared" si="13042"/>
        <v>0</v>
      </c>
      <c r="I7399" s="1" t="str">
        <f t="shared" si="13042"/>
        <v>0</v>
      </c>
      <c r="J7399" s="1" t="str">
        <f t="shared" si="13042"/>
        <v>0</v>
      </c>
      <c r="K7399" s="1" t="str">
        <f t="shared" si="13042"/>
        <v>0</v>
      </c>
      <c r="L7399" s="1" t="str">
        <f t="shared" si="13042"/>
        <v>0</v>
      </c>
      <c r="M7399" s="1" t="str">
        <f t="shared" si="13042"/>
        <v>0</v>
      </c>
      <c r="N7399" s="1" t="str">
        <f t="shared" si="13042"/>
        <v>0</v>
      </c>
      <c r="O7399" s="1" t="str">
        <f t="shared" si="13042"/>
        <v>0</v>
      </c>
      <c r="P7399" s="1" t="str">
        <f t="shared" si="13042"/>
        <v>0</v>
      </c>
      <c r="Q7399" s="1" t="str">
        <f t="shared" si="13005"/>
        <v>0.0070</v>
      </c>
      <c r="R7399" s="1" t="s">
        <v>25</v>
      </c>
      <c r="T7399" s="1" t="str">
        <f t="shared" si="13006"/>
        <v>0</v>
      </c>
      <c r="U7399" s="1" t="str">
        <f t="shared" si="12990"/>
        <v>0.0070</v>
      </c>
    </row>
    <row r="7400" s="1" customFormat="1" spans="1:21">
      <c r="A7400" s="1" t="str">
        <f>"4601992334740"</f>
        <v>4601992334740</v>
      </c>
      <c r="B7400" s="1" t="s">
        <v>7423</v>
      </c>
      <c r="C7400" s="1" t="s">
        <v>24</v>
      </c>
      <c r="D7400" s="1" t="str">
        <f t="shared" si="13003"/>
        <v>2021</v>
      </c>
      <c r="E7400" s="1" t="str">
        <f t="shared" ref="E7400:P7400" si="13043">"0"</f>
        <v>0</v>
      </c>
      <c r="F7400" s="1" t="str">
        <f t="shared" si="13043"/>
        <v>0</v>
      </c>
      <c r="G7400" s="1" t="str">
        <f t="shared" si="13043"/>
        <v>0</v>
      </c>
      <c r="H7400" s="1" t="str">
        <f t="shared" si="13043"/>
        <v>0</v>
      </c>
      <c r="I7400" s="1" t="str">
        <f t="shared" si="13043"/>
        <v>0</v>
      </c>
      <c r="J7400" s="1" t="str">
        <f t="shared" si="13043"/>
        <v>0</v>
      </c>
      <c r="K7400" s="1" t="str">
        <f t="shared" si="13043"/>
        <v>0</v>
      </c>
      <c r="L7400" s="1" t="str">
        <f t="shared" si="13043"/>
        <v>0</v>
      </c>
      <c r="M7400" s="1" t="str">
        <f t="shared" si="13043"/>
        <v>0</v>
      </c>
      <c r="N7400" s="1" t="str">
        <f t="shared" si="13043"/>
        <v>0</v>
      </c>
      <c r="O7400" s="1" t="str">
        <f t="shared" si="13043"/>
        <v>0</v>
      </c>
      <c r="P7400" s="1" t="str">
        <f t="shared" si="13043"/>
        <v>0</v>
      </c>
      <c r="Q7400" s="1" t="str">
        <f t="shared" si="13005"/>
        <v>0.0070</v>
      </c>
      <c r="R7400" s="1" t="s">
        <v>25</v>
      </c>
      <c r="T7400" s="1" t="str">
        <f t="shared" si="13006"/>
        <v>0</v>
      </c>
      <c r="U7400" s="1" t="str">
        <f t="shared" si="12990"/>
        <v>0.0070</v>
      </c>
    </row>
    <row r="7401" s="1" customFormat="1" spans="1:21">
      <c r="A7401" s="1" t="str">
        <f>"4601992334703"</f>
        <v>4601992334703</v>
      </c>
      <c r="B7401" s="1" t="s">
        <v>7424</v>
      </c>
      <c r="C7401" s="1" t="s">
        <v>24</v>
      </c>
      <c r="D7401" s="1" t="str">
        <f t="shared" si="13003"/>
        <v>2021</v>
      </c>
      <c r="E7401" s="1" t="str">
        <f t="shared" ref="E7401:P7401" si="13044">"0"</f>
        <v>0</v>
      </c>
      <c r="F7401" s="1" t="str">
        <f t="shared" si="13044"/>
        <v>0</v>
      </c>
      <c r="G7401" s="1" t="str">
        <f t="shared" si="13044"/>
        <v>0</v>
      </c>
      <c r="H7401" s="1" t="str">
        <f t="shared" si="13044"/>
        <v>0</v>
      </c>
      <c r="I7401" s="1" t="str">
        <f t="shared" si="13044"/>
        <v>0</v>
      </c>
      <c r="J7401" s="1" t="str">
        <f t="shared" si="13044"/>
        <v>0</v>
      </c>
      <c r="K7401" s="1" t="str">
        <f t="shared" si="13044"/>
        <v>0</v>
      </c>
      <c r="L7401" s="1" t="str">
        <f t="shared" si="13044"/>
        <v>0</v>
      </c>
      <c r="M7401" s="1" t="str">
        <f t="shared" si="13044"/>
        <v>0</v>
      </c>
      <c r="N7401" s="1" t="str">
        <f t="shared" si="13044"/>
        <v>0</v>
      </c>
      <c r="O7401" s="1" t="str">
        <f t="shared" si="13044"/>
        <v>0</v>
      </c>
      <c r="P7401" s="1" t="str">
        <f t="shared" si="13044"/>
        <v>0</v>
      </c>
      <c r="Q7401" s="1" t="str">
        <f t="shared" si="13005"/>
        <v>0.0070</v>
      </c>
      <c r="R7401" s="1" t="s">
        <v>25</v>
      </c>
      <c r="T7401" s="1" t="str">
        <f t="shared" si="13006"/>
        <v>0</v>
      </c>
      <c r="U7401" s="1" t="str">
        <f t="shared" si="12990"/>
        <v>0.0070</v>
      </c>
    </row>
    <row r="7402" s="1" customFormat="1" spans="1:21">
      <c r="A7402" s="1" t="str">
        <f>"4601992334749"</f>
        <v>4601992334749</v>
      </c>
      <c r="B7402" s="1" t="s">
        <v>7425</v>
      </c>
      <c r="C7402" s="1" t="s">
        <v>24</v>
      </c>
      <c r="D7402" s="1" t="str">
        <f t="shared" si="13003"/>
        <v>2021</v>
      </c>
      <c r="E7402" s="1" t="str">
        <f t="shared" ref="E7402:P7402" si="13045">"0"</f>
        <v>0</v>
      </c>
      <c r="F7402" s="1" t="str">
        <f t="shared" si="13045"/>
        <v>0</v>
      </c>
      <c r="G7402" s="1" t="str">
        <f t="shared" si="13045"/>
        <v>0</v>
      </c>
      <c r="H7402" s="1" t="str">
        <f t="shared" si="13045"/>
        <v>0</v>
      </c>
      <c r="I7402" s="1" t="str">
        <f t="shared" si="13045"/>
        <v>0</v>
      </c>
      <c r="J7402" s="1" t="str">
        <f t="shared" si="13045"/>
        <v>0</v>
      </c>
      <c r="K7402" s="1" t="str">
        <f t="shared" si="13045"/>
        <v>0</v>
      </c>
      <c r="L7402" s="1" t="str">
        <f t="shared" si="13045"/>
        <v>0</v>
      </c>
      <c r="M7402" s="1" t="str">
        <f t="shared" si="13045"/>
        <v>0</v>
      </c>
      <c r="N7402" s="1" t="str">
        <f t="shared" si="13045"/>
        <v>0</v>
      </c>
      <c r="O7402" s="1" t="str">
        <f t="shared" si="13045"/>
        <v>0</v>
      </c>
      <c r="P7402" s="1" t="str">
        <f t="shared" si="13045"/>
        <v>0</v>
      </c>
      <c r="Q7402" s="1" t="str">
        <f t="shared" si="13005"/>
        <v>0.0070</v>
      </c>
      <c r="R7402" s="1" t="s">
        <v>25</v>
      </c>
      <c r="T7402" s="1" t="str">
        <f t="shared" si="13006"/>
        <v>0</v>
      </c>
      <c r="U7402" s="1" t="str">
        <f t="shared" si="12990"/>
        <v>0.0070</v>
      </c>
    </row>
    <row r="7403" s="1" customFormat="1" spans="1:21">
      <c r="A7403" s="1" t="str">
        <f>"4601992334750"</f>
        <v>4601992334750</v>
      </c>
      <c r="B7403" s="1" t="s">
        <v>7426</v>
      </c>
      <c r="C7403" s="1" t="s">
        <v>24</v>
      </c>
      <c r="D7403" s="1" t="str">
        <f t="shared" si="13003"/>
        <v>2021</v>
      </c>
      <c r="E7403" s="1" t="str">
        <f t="shared" ref="E7403:P7403" si="13046">"0"</f>
        <v>0</v>
      </c>
      <c r="F7403" s="1" t="str">
        <f t="shared" si="13046"/>
        <v>0</v>
      </c>
      <c r="G7403" s="1" t="str">
        <f t="shared" si="13046"/>
        <v>0</v>
      </c>
      <c r="H7403" s="1" t="str">
        <f t="shared" si="13046"/>
        <v>0</v>
      </c>
      <c r="I7403" s="1" t="str">
        <f t="shared" si="13046"/>
        <v>0</v>
      </c>
      <c r="J7403" s="1" t="str">
        <f t="shared" si="13046"/>
        <v>0</v>
      </c>
      <c r="K7403" s="1" t="str">
        <f t="shared" si="13046"/>
        <v>0</v>
      </c>
      <c r="L7403" s="1" t="str">
        <f t="shared" si="13046"/>
        <v>0</v>
      </c>
      <c r="M7403" s="1" t="str">
        <f t="shared" si="13046"/>
        <v>0</v>
      </c>
      <c r="N7403" s="1" t="str">
        <f t="shared" si="13046"/>
        <v>0</v>
      </c>
      <c r="O7403" s="1" t="str">
        <f t="shared" si="13046"/>
        <v>0</v>
      </c>
      <c r="P7403" s="1" t="str">
        <f t="shared" si="13046"/>
        <v>0</v>
      </c>
      <c r="Q7403" s="1" t="str">
        <f t="shared" si="13005"/>
        <v>0.0070</v>
      </c>
      <c r="R7403" s="1" t="s">
        <v>25</v>
      </c>
      <c r="T7403" s="1" t="str">
        <f t="shared" si="13006"/>
        <v>0</v>
      </c>
      <c r="U7403" s="1" t="str">
        <f t="shared" si="12990"/>
        <v>0.0070</v>
      </c>
    </row>
    <row r="7404" s="1" customFormat="1" spans="1:21">
      <c r="A7404" s="1" t="str">
        <f>"4601992334942"</f>
        <v>4601992334942</v>
      </c>
      <c r="B7404" s="1" t="s">
        <v>7427</v>
      </c>
      <c r="C7404" s="1" t="s">
        <v>24</v>
      </c>
      <c r="D7404" s="1" t="str">
        <f t="shared" si="13003"/>
        <v>2021</v>
      </c>
      <c r="E7404" s="1" t="str">
        <f t="shared" ref="E7404:P7404" si="13047">"0"</f>
        <v>0</v>
      </c>
      <c r="F7404" s="1" t="str">
        <f t="shared" si="13047"/>
        <v>0</v>
      </c>
      <c r="G7404" s="1" t="str">
        <f t="shared" si="13047"/>
        <v>0</v>
      </c>
      <c r="H7404" s="1" t="str">
        <f t="shared" si="13047"/>
        <v>0</v>
      </c>
      <c r="I7404" s="1" t="str">
        <f t="shared" si="13047"/>
        <v>0</v>
      </c>
      <c r="J7404" s="1" t="str">
        <f t="shared" si="13047"/>
        <v>0</v>
      </c>
      <c r="K7404" s="1" t="str">
        <f t="shared" si="13047"/>
        <v>0</v>
      </c>
      <c r="L7404" s="1" t="str">
        <f t="shared" si="13047"/>
        <v>0</v>
      </c>
      <c r="M7404" s="1" t="str">
        <f t="shared" si="13047"/>
        <v>0</v>
      </c>
      <c r="N7404" s="1" t="str">
        <f t="shared" si="13047"/>
        <v>0</v>
      </c>
      <c r="O7404" s="1" t="str">
        <f t="shared" si="13047"/>
        <v>0</v>
      </c>
      <c r="P7404" s="1" t="str">
        <f t="shared" si="13047"/>
        <v>0</v>
      </c>
      <c r="Q7404" s="1" t="str">
        <f t="shared" si="13005"/>
        <v>0.0070</v>
      </c>
      <c r="R7404" s="1" t="s">
        <v>25</v>
      </c>
      <c r="T7404" s="1" t="str">
        <f t="shared" si="13006"/>
        <v>0</v>
      </c>
      <c r="U7404" s="1" t="str">
        <f t="shared" si="12990"/>
        <v>0.0070</v>
      </c>
    </row>
    <row r="7405" s="1" customFormat="1" spans="1:21">
      <c r="A7405" s="1" t="str">
        <f>"4601992334943"</f>
        <v>4601992334943</v>
      </c>
      <c r="B7405" s="1" t="s">
        <v>7428</v>
      </c>
      <c r="C7405" s="1" t="s">
        <v>24</v>
      </c>
      <c r="D7405" s="1" t="str">
        <f t="shared" si="13003"/>
        <v>2021</v>
      </c>
      <c r="E7405" s="1" t="str">
        <f t="shared" ref="E7405:P7405" si="13048">"0"</f>
        <v>0</v>
      </c>
      <c r="F7405" s="1" t="str">
        <f t="shared" si="13048"/>
        <v>0</v>
      </c>
      <c r="G7405" s="1" t="str">
        <f t="shared" si="13048"/>
        <v>0</v>
      </c>
      <c r="H7405" s="1" t="str">
        <f t="shared" si="13048"/>
        <v>0</v>
      </c>
      <c r="I7405" s="1" t="str">
        <f t="shared" si="13048"/>
        <v>0</v>
      </c>
      <c r="J7405" s="1" t="str">
        <f t="shared" si="13048"/>
        <v>0</v>
      </c>
      <c r="K7405" s="1" t="str">
        <f t="shared" si="13048"/>
        <v>0</v>
      </c>
      <c r="L7405" s="1" t="str">
        <f t="shared" si="13048"/>
        <v>0</v>
      </c>
      <c r="M7405" s="1" t="str">
        <f t="shared" si="13048"/>
        <v>0</v>
      </c>
      <c r="N7405" s="1" t="str">
        <f t="shared" si="13048"/>
        <v>0</v>
      </c>
      <c r="O7405" s="1" t="str">
        <f t="shared" si="13048"/>
        <v>0</v>
      </c>
      <c r="P7405" s="1" t="str">
        <f t="shared" si="13048"/>
        <v>0</v>
      </c>
      <c r="Q7405" s="1" t="str">
        <f t="shared" si="13005"/>
        <v>0.0070</v>
      </c>
      <c r="R7405" s="1" t="s">
        <v>25</v>
      </c>
      <c r="T7405" s="1" t="str">
        <f t="shared" si="13006"/>
        <v>0</v>
      </c>
      <c r="U7405" s="1" t="str">
        <f t="shared" si="12990"/>
        <v>0.0070</v>
      </c>
    </row>
    <row r="7406" s="1" customFormat="1" spans="1:21">
      <c r="A7406" s="1" t="str">
        <f>"4601992115498"</f>
        <v>4601992115498</v>
      </c>
      <c r="B7406" s="1" t="s">
        <v>7429</v>
      </c>
      <c r="C7406" s="1" t="s">
        <v>24</v>
      </c>
      <c r="D7406" s="1" t="str">
        <f t="shared" si="13003"/>
        <v>2021</v>
      </c>
      <c r="E7406" s="1" t="str">
        <f>"62.52"</f>
        <v>62.52</v>
      </c>
      <c r="F7406" s="1" t="str">
        <f t="shared" ref="F7406:I7406" si="13049">"0"</f>
        <v>0</v>
      </c>
      <c r="G7406" s="1" t="str">
        <f t="shared" si="13049"/>
        <v>0</v>
      </c>
      <c r="H7406" s="1" t="str">
        <f t="shared" si="13049"/>
        <v>0</v>
      </c>
      <c r="I7406" s="1" t="str">
        <f t="shared" si="13049"/>
        <v>0</v>
      </c>
      <c r="J7406" s="1" t="str">
        <f>"3"</f>
        <v>3</v>
      </c>
      <c r="K7406" s="1" t="str">
        <f t="shared" ref="K7406:P7406" si="13050">"0"</f>
        <v>0</v>
      </c>
      <c r="L7406" s="1" t="str">
        <f t="shared" si="13050"/>
        <v>0</v>
      </c>
      <c r="M7406" s="1" t="str">
        <f t="shared" si="13050"/>
        <v>0</v>
      </c>
      <c r="N7406" s="1" t="str">
        <f t="shared" si="13050"/>
        <v>0</v>
      </c>
      <c r="O7406" s="1" t="str">
        <f t="shared" si="13050"/>
        <v>0</v>
      </c>
      <c r="P7406" s="1" t="str">
        <f t="shared" si="13050"/>
        <v>0</v>
      </c>
      <c r="Q7406" s="1" t="str">
        <f t="shared" si="13005"/>
        <v>0.0070</v>
      </c>
      <c r="R7406" s="1" t="s">
        <v>29</v>
      </c>
      <c r="S7406" s="1">
        <v>-0.0014</v>
      </c>
      <c r="T7406" s="1" t="str">
        <f t="shared" si="13006"/>
        <v>0</v>
      </c>
      <c r="U7406" s="1" t="str">
        <f>"0.0056"</f>
        <v>0.0056</v>
      </c>
    </row>
    <row r="7407" s="1" customFormat="1" spans="1:21">
      <c r="A7407" s="1" t="str">
        <f>"4601992335015"</f>
        <v>4601992335015</v>
      </c>
      <c r="B7407" s="1" t="s">
        <v>7430</v>
      </c>
      <c r="C7407" s="1" t="s">
        <v>24</v>
      </c>
      <c r="D7407" s="1" t="str">
        <f t="shared" si="13003"/>
        <v>2021</v>
      </c>
      <c r="E7407" s="1" t="str">
        <f t="shared" ref="E7407:P7407" si="13051">"0"</f>
        <v>0</v>
      </c>
      <c r="F7407" s="1" t="str">
        <f t="shared" si="13051"/>
        <v>0</v>
      </c>
      <c r="G7407" s="1" t="str">
        <f t="shared" si="13051"/>
        <v>0</v>
      </c>
      <c r="H7407" s="1" t="str">
        <f t="shared" si="13051"/>
        <v>0</v>
      </c>
      <c r="I7407" s="1" t="str">
        <f t="shared" si="13051"/>
        <v>0</v>
      </c>
      <c r="J7407" s="1" t="str">
        <f t="shared" si="13051"/>
        <v>0</v>
      </c>
      <c r="K7407" s="1" t="str">
        <f t="shared" si="13051"/>
        <v>0</v>
      </c>
      <c r="L7407" s="1" t="str">
        <f t="shared" si="13051"/>
        <v>0</v>
      </c>
      <c r="M7407" s="1" t="str">
        <f t="shared" si="13051"/>
        <v>0</v>
      </c>
      <c r="N7407" s="1" t="str">
        <f t="shared" si="13051"/>
        <v>0</v>
      </c>
      <c r="O7407" s="1" t="str">
        <f t="shared" si="13051"/>
        <v>0</v>
      </c>
      <c r="P7407" s="1" t="str">
        <f t="shared" si="13051"/>
        <v>0</v>
      </c>
      <c r="Q7407" s="1" t="str">
        <f t="shared" si="13005"/>
        <v>0.0070</v>
      </c>
      <c r="R7407" s="1" t="s">
        <v>25</v>
      </c>
      <c r="T7407" s="1" t="str">
        <f t="shared" si="13006"/>
        <v>0</v>
      </c>
      <c r="U7407" s="1" t="str">
        <f t="shared" ref="U7407:U7470" si="13052">"0.0070"</f>
        <v>0.0070</v>
      </c>
    </row>
    <row r="7408" s="1" customFormat="1" spans="1:21">
      <c r="A7408" s="1" t="str">
        <f>"4601992335048"</f>
        <v>4601992335048</v>
      </c>
      <c r="B7408" s="1" t="s">
        <v>7431</v>
      </c>
      <c r="C7408" s="1" t="s">
        <v>24</v>
      </c>
      <c r="D7408" s="1" t="str">
        <f t="shared" si="13003"/>
        <v>2021</v>
      </c>
      <c r="E7408" s="1" t="str">
        <f t="shared" ref="E7408:P7408" si="13053">"0"</f>
        <v>0</v>
      </c>
      <c r="F7408" s="1" t="str">
        <f t="shared" si="13053"/>
        <v>0</v>
      </c>
      <c r="G7408" s="1" t="str">
        <f t="shared" si="13053"/>
        <v>0</v>
      </c>
      <c r="H7408" s="1" t="str">
        <f t="shared" si="13053"/>
        <v>0</v>
      </c>
      <c r="I7408" s="1" t="str">
        <f t="shared" si="13053"/>
        <v>0</v>
      </c>
      <c r="J7408" s="1" t="str">
        <f t="shared" si="13053"/>
        <v>0</v>
      </c>
      <c r="K7408" s="1" t="str">
        <f t="shared" si="13053"/>
        <v>0</v>
      </c>
      <c r="L7408" s="1" t="str">
        <f t="shared" si="13053"/>
        <v>0</v>
      </c>
      <c r="M7408" s="1" t="str">
        <f t="shared" si="13053"/>
        <v>0</v>
      </c>
      <c r="N7408" s="1" t="str">
        <f t="shared" si="13053"/>
        <v>0</v>
      </c>
      <c r="O7408" s="1" t="str">
        <f t="shared" si="13053"/>
        <v>0</v>
      </c>
      <c r="P7408" s="1" t="str">
        <f t="shared" si="13053"/>
        <v>0</v>
      </c>
      <c r="Q7408" s="1" t="str">
        <f t="shared" si="13005"/>
        <v>0.0070</v>
      </c>
      <c r="R7408" s="1" t="s">
        <v>25</v>
      </c>
      <c r="T7408" s="1" t="str">
        <f t="shared" si="13006"/>
        <v>0</v>
      </c>
      <c r="U7408" s="1" t="str">
        <f t="shared" si="13052"/>
        <v>0.0070</v>
      </c>
    </row>
    <row r="7409" s="1" customFormat="1" spans="1:21">
      <c r="A7409" s="1" t="str">
        <f>"4601992335338"</f>
        <v>4601992335338</v>
      </c>
      <c r="B7409" s="1" t="s">
        <v>7432</v>
      </c>
      <c r="C7409" s="1" t="s">
        <v>24</v>
      </c>
      <c r="D7409" s="1" t="str">
        <f t="shared" si="13003"/>
        <v>2021</v>
      </c>
      <c r="E7409" s="1" t="str">
        <f t="shared" ref="E7409:P7409" si="13054">"0"</f>
        <v>0</v>
      </c>
      <c r="F7409" s="1" t="str">
        <f t="shared" si="13054"/>
        <v>0</v>
      </c>
      <c r="G7409" s="1" t="str">
        <f t="shared" si="13054"/>
        <v>0</v>
      </c>
      <c r="H7409" s="1" t="str">
        <f t="shared" si="13054"/>
        <v>0</v>
      </c>
      <c r="I7409" s="1" t="str">
        <f t="shared" si="13054"/>
        <v>0</v>
      </c>
      <c r="J7409" s="1" t="str">
        <f t="shared" si="13054"/>
        <v>0</v>
      </c>
      <c r="K7409" s="1" t="str">
        <f t="shared" si="13054"/>
        <v>0</v>
      </c>
      <c r="L7409" s="1" t="str">
        <f t="shared" si="13054"/>
        <v>0</v>
      </c>
      <c r="M7409" s="1" t="str">
        <f t="shared" si="13054"/>
        <v>0</v>
      </c>
      <c r="N7409" s="1" t="str">
        <f t="shared" si="13054"/>
        <v>0</v>
      </c>
      <c r="O7409" s="1" t="str">
        <f t="shared" si="13054"/>
        <v>0</v>
      </c>
      <c r="P7409" s="1" t="str">
        <f t="shared" si="13054"/>
        <v>0</v>
      </c>
      <c r="Q7409" s="1" t="str">
        <f t="shared" si="13005"/>
        <v>0.0070</v>
      </c>
      <c r="R7409" s="1" t="s">
        <v>25</v>
      </c>
      <c r="T7409" s="1" t="str">
        <f t="shared" si="13006"/>
        <v>0</v>
      </c>
      <c r="U7409" s="1" t="str">
        <f t="shared" si="13052"/>
        <v>0.0070</v>
      </c>
    </row>
    <row r="7410" s="1" customFormat="1" spans="1:21">
      <c r="A7410" s="1" t="str">
        <f>"4601992335171"</f>
        <v>4601992335171</v>
      </c>
      <c r="B7410" s="1" t="s">
        <v>7433</v>
      </c>
      <c r="C7410" s="1" t="s">
        <v>24</v>
      </c>
      <c r="D7410" s="1" t="str">
        <f t="shared" si="13003"/>
        <v>2021</v>
      </c>
      <c r="E7410" s="1" t="str">
        <f t="shared" ref="E7410:P7410" si="13055">"0"</f>
        <v>0</v>
      </c>
      <c r="F7410" s="1" t="str">
        <f t="shared" si="13055"/>
        <v>0</v>
      </c>
      <c r="G7410" s="1" t="str">
        <f t="shared" si="13055"/>
        <v>0</v>
      </c>
      <c r="H7410" s="1" t="str">
        <f t="shared" si="13055"/>
        <v>0</v>
      </c>
      <c r="I7410" s="1" t="str">
        <f t="shared" si="13055"/>
        <v>0</v>
      </c>
      <c r="J7410" s="1" t="str">
        <f t="shared" si="13055"/>
        <v>0</v>
      </c>
      <c r="K7410" s="1" t="str">
        <f t="shared" si="13055"/>
        <v>0</v>
      </c>
      <c r="L7410" s="1" t="str">
        <f t="shared" si="13055"/>
        <v>0</v>
      </c>
      <c r="M7410" s="1" t="str">
        <f t="shared" si="13055"/>
        <v>0</v>
      </c>
      <c r="N7410" s="1" t="str">
        <f t="shared" si="13055"/>
        <v>0</v>
      </c>
      <c r="O7410" s="1" t="str">
        <f t="shared" si="13055"/>
        <v>0</v>
      </c>
      <c r="P7410" s="1" t="str">
        <f t="shared" si="13055"/>
        <v>0</v>
      </c>
      <c r="Q7410" s="1" t="str">
        <f t="shared" si="13005"/>
        <v>0.0070</v>
      </c>
      <c r="R7410" s="1" t="s">
        <v>25</v>
      </c>
      <c r="T7410" s="1" t="str">
        <f t="shared" si="13006"/>
        <v>0</v>
      </c>
      <c r="U7410" s="1" t="str">
        <f t="shared" si="13052"/>
        <v>0.0070</v>
      </c>
    </row>
    <row r="7411" s="1" customFormat="1" spans="1:21">
      <c r="A7411" s="1" t="str">
        <f>"4601992335421"</f>
        <v>4601992335421</v>
      </c>
      <c r="B7411" s="1" t="s">
        <v>7434</v>
      </c>
      <c r="C7411" s="1" t="s">
        <v>24</v>
      </c>
      <c r="D7411" s="1" t="str">
        <f t="shared" si="13003"/>
        <v>2021</v>
      </c>
      <c r="E7411" s="1" t="str">
        <f t="shared" ref="E7411:P7411" si="13056">"0"</f>
        <v>0</v>
      </c>
      <c r="F7411" s="1" t="str">
        <f t="shared" si="13056"/>
        <v>0</v>
      </c>
      <c r="G7411" s="1" t="str">
        <f t="shared" si="13056"/>
        <v>0</v>
      </c>
      <c r="H7411" s="1" t="str">
        <f t="shared" si="13056"/>
        <v>0</v>
      </c>
      <c r="I7411" s="1" t="str">
        <f t="shared" si="13056"/>
        <v>0</v>
      </c>
      <c r="J7411" s="1" t="str">
        <f t="shared" si="13056"/>
        <v>0</v>
      </c>
      <c r="K7411" s="1" t="str">
        <f t="shared" si="13056"/>
        <v>0</v>
      </c>
      <c r="L7411" s="1" t="str">
        <f t="shared" si="13056"/>
        <v>0</v>
      </c>
      <c r="M7411" s="1" t="str">
        <f t="shared" si="13056"/>
        <v>0</v>
      </c>
      <c r="N7411" s="1" t="str">
        <f t="shared" si="13056"/>
        <v>0</v>
      </c>
      <c r="O7411" s="1" t="str">
        <f t="shared" si="13056"/>
        <v>0</v>
      </c>
      <c r="P7411" s="1" t="str">
        <f t="shared" si="13056"/>
        <v>0</v>
      </c>
      <c r="Q7411" s="1" t="str">
        <f t="shared" si="13005"/>
        <v>0.0070</v>
      </c>
      <c r="R7411" s="1" t="s">
        <v>25</v>
      </c>
      <c r="T7411" s="1" t="str">
        <f t="shared" si="13006"/>
        <v>0</v>
      </c>
      <c r="U7411" s="1" t="str">
        <f t="shared" si="13052"/>
        <v>0.0070</v>
      </c>
    </row>
    <row r="7412" s="1" customFormat="1" spans="1:21">
      <c r="A7412" s="1" t="str">
        <f>"4601992335403"</f>
        <v>4601992335403</v>
      </c>
      <c r="B7412" s="1" t="s">
        <v>7435</v>
      </c>
      <c r="C7412" s="1" t="s">
        <v>24</v>
      </c>
      <c r="D7412" s="1" t="str">
        <f t="shared" si="13003"/>
        <v>2021</v>
      </c>
      <c r="E7412" s="1" t="str">
        <f t="shared" ref="E7412:P7412" si="13057">"0"</f>
        <v>0</v>
      </c>
      <c r="F7412" s="1" t="str">
        <f t="shared" si="13057"/>
        <v>0</v>
      </c>
      <c r="G7412" s="1" t="str">
        <f t="shared" si="13057"/>
        <v>0</v>
      </c>
      <c r="H7412" s="1" t="str">
        <f t="shared" si="13057"/>
        <v>0</v>
      </c>
      <c r="I7412" s="1" t="str">
        <f t="shared" si="13057"/>
        <v>0</v>
      </c>
      <c r="J7412" s="1" t="str">
        <f t="shared" si="13057"/>
        <v>0</v>
      </c>
      <c r="K7412" s="1" t="str">
        <f t="shared" si="13057"/>
        <v>0</v>
      </c>
      <c r="L7412" s="1" t="str">
        <f t="shared" si="13057"/>
        <v>0</v>
      </c>
      <c r="M7412" s="1" t="str">
        <f t="shared" si="13057"/>
        <v>0</v>
      </c>
      <c r="N7412" s="1" t="str">
        <f t="shared" si="13057"/>
        <v>0</v>
      </c>
      <c r="O7412" s="1" t="str">
        <f t="shared" si="13057"/>
        <v>0</v>
      </c>
      <c r="P7412" s="1" t="str">
        <f t="shared" si="13057"/>
        <v>0</v>
      </c>
      <c r="Q7412" s="1" t="str">
        <f t="shared" si="13005"/>
        <v>0.0070</v>
      </c>
      <c r="R7412" s="1" t="s">
        <v>25</v>
      </c>
      <c r="T7412" s="1" t="str">
        <f t="shared" si="13006"/>
        <v>0</v>
      </c>
      <c r="U7412" s="1" t="str">
        <f t="shared" si="13052"/>
        <v>0.0070</v>
      </c>
    </row>
    <row r="7413" s="1" customFormat="1" spans="1:21">
      <c r="A7413" s="1" t="str">
        <f>"4601992335499"</f>
        <v>4601992335499</v>
      </c>
      <c r="B7413" s="1" t="s">
        <v>7436</v>
      </c>
      <c r="C7413" s="1" t="s">
        <v>24</v>
      </c>
      <c r="D7413" s="1" t="str">
        <f t="shared" si="13003"/>
        <v>2021</v>
      </c>
      <c r="E7413" s="1" t="str">
        <f t="shared" ref="E7413:P7413" si="13058">"0"</f>
        <v>0</v>
      </c>
      <c r="F7413" s="1" t="str">
        <f t="shared" si="13058"/>
        <v>0</v>
      </c>
      <c r="G7413" s="1" t="str">
        <f t="shared" si="13058"/>
        <v>0</v>
      </c>
      <c r="H7413" s="1" t="str">
        <f t="shared" si="13058"/>
        <v>0</v>
      </c>
      <c r="I7413" s="1" t="str">
        <f t="shared" si="13058"/>
        <v>0</v>
      </c>
      <c r="J7413" s="1" t="str">
        <f t="shared" si="13058"/>
        <v>0</v>
      </c>
      <c r="K7413" s="1" t="str">
        <f t="shared" si="13058"/>
        <v>0</v>
      </c>
      <c r="L7413" s="1" t="str">
        <f t="shared" si="13058"/>
        <v>0</v>
      </c>
      <c r="M7413" s="1" t="str">
        <f t="shared" si="13058"/>
        <v>0</v>
      </c>
      <c r="N7413" s="1" t="str">
        <f t="shared" si="13058"/>
        <v>0</v>
      </c>
      <c r="O7413" s="1" t="str">
        <f t="shared" si="13058"/>
        <v>0</v>
      </c>
      <c r="P7413" s="1" t="str">
        <f t="shared" si="13058"/>
        <v>0</v>
      </c>
      <c r="Q7413" s="1" t="str">
        <f t="shared" si="13005"/>
        <v>0.0070</v>
      </c>
      <c r="R7413" s="1" t="s">
        <v>25</v>
      </c>
      <c r="T7413" s="1" t="str">
        <f t="shared" si="13006"/>
        <v>0</v>
      </c>
      <c r="U7413" s="1" t="str">
        <f t="shared" si="13052"/>
        <v>0.0070</v>
      </c>
    </row>
    <row r="7414" s="1" customFormat="1" spans="1:21">
      <c r="A7414" s="1" t="str">
        <f>"4601992335425"</f>
        <v>4601992335425</v>
      </c>
      <c r="B7414" s="1" t="s">
        <v>7437</v>
      </c>
      <c r="C7414" s="1" t="s">
        <v>24</v>
      </c>
      <c r="D7414" s="1" t="str">
        <f t="shared" si="13003"/>
        <v>2021</v>
      </c>
      <c r="E7414" s="1" t="str">
        <f t="shared" ref="E7414:P7414" si="13059">"0"</f>
        <v>0</v>
      </c>
      <c r="F7414" s="1" t="str">
        <f t="shared" si="13059"/>
        <v>0</v>
      </c>
      <c r="G7414" s="1" t="str">
        <f t="shared" si="13059"/>
        <v>0</v>
      </c>
      <c r="H7414" s="1" t="str">
        <f t="shared" si="13059"/>
        <v>0</v>
      </c>
      <c r="I7414" s="1" t="str">
        <f t="shared" si="13059"/>
        <v>0</v>
      </c>
      <c r="J7414" s="1" t="str">
        <f t="shared" si="13059"/>
        <v>0</v>
      </c>
      <c r="K7414" s="1" t="str">
        <f t="shared" si="13059"/>
        <v>0</v>
      </c>
      <c r="L7414" s="1" t="str">
        <f t="shared" si="13059"/>
        <v>0</v>
      </c>
      <c r="M7414" s="1" t="str">
        <f t="shared" si="13059"/>
        <v>0</v>
      </c>
      <c r="N7414" s="1" t="str">
        <f t="shared" si="13059"/>
        <v>0</v>
      </c>
      <c r="O7414" s="1" t="str">
        <f t="shared" si="13059"/>
        <v>0</v>
      </c>
      <c r="P7414" s="1" t="str">
        <f t="shared" si="13059"/>
        <v>0</v>
      </c>
      <c r="Q7414" s="1" t="str">
        <f t="shared" si="13005"/>
        <v>0.0070</v>
      </c>
      <c r="R7414" s="1" t="s">
        <v>25</v>
      </c>
      <c r="T7414" s="1" t="str">
        <f t="shared" si="13006"/>
        <v>0</v>
      </c>
      <c r="U7414" s="1" t="str">
        <f t="shared" si="13052"/>
        <v>0.0070</v>
      </c>
    </row>
    <row r="7415" s="1" customFormat="1" spans="1:21">
      <c r="A7415" s="1" t="str">
        <f>"4601992335544"</f>
        <v>4601992335544</v>
      </c>
      <c r="B7415" s="1" t="s">
        <v>7438</v>
      </c>
      <c r="C7415" s="1" t="s">
        <v>24</v>
      </c>
      <c r="D7415" s="1" t="str">
        <f t="shared" si="13003"/>
        <v>2021</v>
      </c>
      <c r="E7415" s="1" t="str">
        <f t="shared" ref="E7415:P7415" si="13060">"0"</f>
        <v>0</v>
      </c>
      <c r="F7415" s="1" t="str">
        <f t="shared" si="13060"/>
        <v>0</v>
      </c>
      <c r="G7415" s="1" t="str">
        <f t="shared" si="13060"/>
        <v>0</v>
      </c>
      <c r="H7415" s="1" t="str">
        <f t="shared" si="13060"/>
        <v>0</v>
      </c>
      <c r="I7415" s="1" t="str">
        <f t="shared" si="13060"/>
        <v>0</v>
      </c>
      <c r="J7415" s="1" t="str">
        <f t="shared" si="13060"/>
        <v>0</v>
      </c>
      <c r="K7415" s="1" t="str">
        <f t="shared" si="13060"/>
        <v>0</v>
      </c>
      <c r="L7415" s="1" t="str">
        <f t="shared" si="13060"/>
        <v>0</v>
      </c>
      <c r="M7415" s="1" t="str">
        <f t="shared" si="13060"/>
        <v>0</v>
      </c>
      <c r="N7415" s="1" t="str">
        <f t="shared" si="13060"/>
        <v>0</v>
      </c>
      <c r="O7415" s="1" t="str">
        <f t="shared" si="13060"/>
        <v>0</v>
      </c>
      <c r="P7415" s="1" t="str">
        <f t="shared" si="13060"/>
        <v>0</v>
      </c>
      <c r="Q7415" s="1" t="str">
        <f t="shared" si="13005"/>
        <v>0.0070</v>
      </c>
      <c r="R7415" s="1" t="s">
        <v>25</v>
      </c>
      <c r="T7415" s="1" t="str">
        <f t="shared" si="13006"/>
        <v>0</v>
      </c>
      <c r="U7415" s="1" t="str">
        <f t="shared" si="13052"/>
        <v>0.0070</v>
      </c>
    </row>
    <row r="7416" s="1" customFormat="1" spans="1:21">
      <c r="A7416" s="1" t="str">
        <f>"4601992335545"</f>
        <v>4601992335545</v>
      </c>
      <c r="B7416" s="1" t="s">
        <v>7439</v>
      </c>
      <c r="C7416" s="1" t="s">
        <v>24</v>
      </c>
      <c r="D7416" s="1" t="str">
        <f t="shared" si="13003"/>
        <v>2021</v>
      </c>
      <c r="E7416" s="1" t="str">
        <f t="shared" ref="E7416:P7416" si="13061">"0"</f>
        <v>0</v>
      </c>
      <c r="F7416" s="1" t="str">
        <f t="shared" si="13061"/>
        <v>0</v>
      </c>
      <c r="G7416" s="1" t="str">
        <f t="shared" si="13061"/>
        <v>0</v>
      </c>
      <c r="H7416" s="1" t="str">
        <f t="shared" si="13061"/>
        <v>0</v>
      </c>
      <c r="I7416" s="1" t="str">
        <f t="shared" si="13061"/>
        <v>0</v>
      </c>
      <c r="J7416" s="1" t="str">
        <f t="shared" si="13061"/>
        <v>0</v>
      </c>
      <c r="K7416" s="1" t="str">
        <f t="shared" si="13061"/>
        <v>0</v>
      </c>
      <c r="L7416" s="1" t="str">
        <f t="shared" si="13061"/>
        <v>0</v>
      </c>
      <c r="M7416" s="1" t="str">
        <f t="shared" si="13061"/>
        <v>0</v>
      </c>
      <c r="N7416" s="1" t="str">
        <f t="shared" si="13061"/>
        <v>0</v>
      </c>
      <c r="O7416" s="1" t="str">
        <f t="shared" si="13061"/>
        <v>0</v>
      </c>
      <c r="P7416" s="1" t="str">
        <f t="shared" si="13061"/>
        <v>0</v>
      </c>
      <c r="Q7416" s="1" t="str">
        <f t="shared" si="13005"/>
        <v>0.0070</v>
      </c>
      <c r="R7416" s="1" t="s">
        <v>25</v>
      </c>
      <c r="T7416" s="1" t="str">
        <f t="shared" si="13006"/>
        <v>0</v>
      </c>
      <c r="U7416" s="1" t="str">
        <f t="shared" si="13052"/>
        <v>0.0070</v>
      </c>
    </row>
    <row r="7417" s="1" customFormat="1" spans="1:21">
      <c r="A7417" s="1" t="str">
        <f>"4601992335562"</f>
        <v>4601992335562</v>
      </c>
      <c r="B7417" s="1" t="s">
        <v>7440</v>
      </c>
      <c r="C7417" s="1" t="s">
        <v>24</v>
      </c>
      <c r="D7417" s="1" t="str">
        <f t="shared" si="13003"/>
        <v>2021</v>
      </c>
      <c r="E7417" s="1" t="str">
        <f t="shared" ref="E7417:P7417" si="13062">"0"</f>
        <v>0</v>
      </c>
      <c r="F7417" s="1" t="str">
        <f t="shared" si="13062"/>
        <v>0</v>
      </c>
      <c r="G7417" s="1" t="str">
        <f t="shared" si="13062"/>
        <v>0</v>
      </c>
      <c r="H7417" s="1" t="str">
        <f t="shared" si="13062"/>
        <v>0</v>
      </c>
      <c r="I7417" s="1" t="str">
        <f t="shared" si="13062"/>
        <v>0</v>
      </c>
      <c r="J7417" s="1" t="str">
        <f t="shared" si="13062"/>
        <v>0</v>
      </c>
      <c r="K7417" s="1" t="str">
        <f t="shared" si="13062"/>
        <v>0</v>
      </c>
      <c r="L7417" s="1" t="str">
        <f t="shared" si="13062"/>
        <v>0</v>
      </c>
      <c r="M7417" s="1" t="str">
        <f t="shared" si="13062"/>
        <v>0</v>
      </c>
      <c r="N7417" s="1" t="str">
        <f t="shared" si="13062"/>
        <v>0</v>
      </c>
      <c r="O7417" s="1" t="str">
        <f t="shared" si="13062"/>
        <v>0</v>
      </c>
      <c r="P7417" s="1" t="str">
        <f t="shared" si="13062"/>
        <v>0</v>
      </c>
      <c r="Q7417" s="1" t="str">
        <f t="shared" si="13005"/>
        <v>0.0070</v>
      </c>
      <c r="R7417" s="1" t="s">
        <v>25</v>
      </c>
      <c r="T7417" s="1" t="str">
        <f t="shared" si="13006"/>
        <v>0</v>
      </c>
      <c r="U7417" s="1" t="str">
        <f t="shared" si="13052"/>
        <v>0.0070</v>
      </c>
    </row>
    <row r="7418" s="1" customFormat="1" spans="1:21">
      <c r="A7418" s="1" t="str">
        <f>"4601992335602"</f>
        <v>4601992335602</v>
      </c>
      <c r="B7418" s="1" t="s">
        <v>7441</v>
      </c>
      <c r="C7418" s="1" t="s">
        <v>24</v>
      </c>
      <c r="D7418" s="1" t="str">
        <f t="shared" si="13003"/>
        <v>2021</v>
      </c>
      <c r="E7418" s="1" t="str">
        <f t="shared" ref="E7418:P7418" si="13063">"0"</f>
        <v>0</v>
      </c>
      <c r="F7418" s="1" t="str">
        <f t="shared" si="13063"/>
        <v>0</v>
      </c>
      <c r="G7418" s="1" t="str">
        <f t="shared" si="13063"/>
        <v>0</v>
      </c>
      <c r="H7418" s="1" t="str">
        <f t="shared" si="13063"/>
        <v>0</v>
      </c>
      <c r="I7418" s="1" t="str">
        <f t="shared" si="13063"/>
        <v>0</v>
      </c>
      <c r="J7418" s="1" t="str">
        <f t="shared" si="13063"/>
        <v>0</v>
      </c>
      <c r="K7418" s="1" t="str">
        <f t="shared" si="13063"/>
        <v>0</v>
      </c>
      <c r="L7418" s="1" t="str">
        <f t="shared" si="13063"/>
        <v>0</v>
      </c>
      <c r="M7418" s="1" t="str">
        <f t="shared" si="13063"/>
        <v>0</v>
      </c>
      <c r="N7418" s="1" t="str">
        <f t="shared" si="13063"/>
        <v>0</v>
      </c>
      <c r="O7418" s="1" t="str">
        <f t="shared" si="13063"/>
        <v>0</v>
      </c>
      <c r="P7418" s="1" t="str">
        <f t="shared" si="13063"/>
        <v>0</v>
      </c>
      <c r="Q7418" s="1" t="str">
        <f t="shared" si="13005"/>
        <v>0.0070</v>
      </c>
      <c r="R7418" s="1" t="s">
        <v>25</v>
      </c>
      <c r="T7418" s="1" t="str">
        <f t="shared" si="13006"/>
        <v>0</v>
      </c>
      <c r="U7418" s="1" t="str">
        <f t="shared" si="13052"/>
        <v>0.0070</v>
      </c>
    </row>
    <row r="7419" s="1" customFormat="1" spans="1:21">
      <c r="A7419" s="1" t="str">
        <f>"4601992335892"</f>
        <v>4601992335892</v>
      </c>
      <c r="B7419" s="1" t="s">
        <v>7442</v>
      </c>
      <c r="C7419" s="1" t="s">
        <v>24</v>
      </c>
      <c r="D7419" s="1" t="str">
        <f t="shared" si="13003"/>
        <v>2021</v>
      </c>
      <c r="E7419" s="1" t="str">
        <f t="shared" ref="E7419:P7419" si="13064">"0"</f>
        <v>0</v>
      </c>
      <c r="F7419" s="1" t="str">
        <f t="shared" si="13064"/>
        <v>0</v>
      </c>
      <c r="G7419" s="1" t="str">
        <f t="shared" si="13064"/>
        <v>0</v>
      </c>
      <c r="H7419" s="1" t="str">
        <f t="shared" si="13064"/>
        <v>0</v>
      </c>
      <c r="I7419" s="1" t="str">
        <f t="shared" si="13064"/>
        <v>0</v>
      </c>
      <c r="J7419" s="1" t="str">
        <f t="shared" si="13064"/>
        <v>0</v>
      </c>
      <c r="K7419" s="1" t="str">
        <f t="shared" si="13064"/>
        <v>0</v>
      </c>
      <c r="L7419" s="1" t="str">
        <f t="shared" si="13064"/>
        <v>0</v>
      </c>
      <c r="M7419" s="1" t="str">
        <f t="shared" si="13064"/>
        <v>0</v>
      </c>
      <c r="N7419" s="1" t="str">
        <f t="shared" si="13064"/>
        <v>0</v>
      </c>
      <c r="O7419" s="1" t="str">
        <f t="shared" si="13064"/>
        <v>0</v>
      </c>
      <c r="P7419" s="1" t="str">
        <f t="shared" si="13064"/>
        <v>0</v>
      </c>
      <c r="Q7419" s="1" t="str">
        <f t="shared" si="13005"/>
        <v>0.0070</v>
      </c>
      <c r="R7419" s="1" t="s">
        <v>25</v>
      </c>
      <c r="T7419" s="1" t="str">
        <f t="shared" si="13006"/>
        <v>0</v>
      </c>
      <c r="U7419" s="1" t="str">
        <f t="shared" si="13052"/>
        <v>0.0070</v>
      </c>
    </row>
    <row r="7420" s="1" customFormat="1" spans="1:21">
      <c r="A7420" s="1" t="str">
        <f>"4601992335925"</f>
        <v>4601992335925</v>
      </c>
      <c r="B7420" s="1" t="s">
        <v>7443</v>
      </c>
      <c r="C7420" s="1" t="s">
        <v>24</v>
      </c>
      <c r="D7420" s="1" t="str">
        <f t="shared" si="13003"/>
        <v>2021</v>
      </c>
      <c r="E7420" s="1" t="str">
        <f t="shared" ref="E7420:P7420" si="13065">"0"</f>
        <v>0</v>
      </c>
      <c r="F7420" s="1" t="str">
        <f t="shared" si="13065"/>
        <v>0</v>
      </c>
      <c r="G7420" s="1" t="str">
        <f t="shared" si="13065"/>
        <v>0</v>
      </c>
      <c r="H7420" s="1" t="str">
        <f t="shared" si="13065"/>
        <v>0</v>
      </c>
      <c r="I7420" s="1" t="str">
        <f t="shared" si="13065"/>
        <v>0</v>
      </c>
      <c r="J7420" s="1" t="str">
        <f t="shared" si="13065"/>
        <v>0</v>
      </c>
      <c r="K7420" s="1" t="str">
        <f t="shared" si="13065"/>
        <v>0</v>
      </c>
      <c r="L7420" s="1" t="str">
        <f t="shared" si="13065"/>
        <v>0</v>
      </c>
      <c r="M7420" s="1" t="str">
        <f t="shared" si="13065"/>
        <v>0</v>
      </c>
      <c r="N7420" s="1" t="str">
        <f t="shared" si="13065"/>
        <v>0</v>
      </c>
      <c r="O7420" s="1" t="str">
        <f t="shared" si="13065"/>
        <v>0</v>
      </c>
      <c r="P7420" s="1" t="str">
        <f t="shared" si="13065"/>
        <v>0</v>
      </c>
      <c r="Q7420" s="1" t="str">
        <f t="shared" si="13005"/>
        <v>0.0070</v>
      </c>
      <c r="R7420" s="1" t="s">
        <v>25</v>
      </c>
      <c r="T7420" s="1" t="str">
        <f t="shared" si="13006"/>
        <v>0</v>
      </c>
      <c r="U7420" s="1" t="str">
        <f t="shared" si="13052"/>
        <v>0.0070</v>
      </c>
    </row>
    <row r="7421" s="1" customFormat="1" spans="1:21">
      <c r="A7421" s="1" t="str">
        <f>"4601992335927"</f>
        <v>4601992335927</v>
      </c>
      <c r="B7421" s="1" t="s">
        <v>7444</v>
      </c>
      <c r="C7421" s="1" t="s">
        <v>24</v>
      </c>
      <c r="D7421" s="1" t="str">
        <f t="shared" si="13003"/>
        <v>2021</v>
      </c>
      <c r="E7421" s="1" t="str">
        <f t="shared" ref="E7421:P7421" si="13066">"0"</f>
        <v>0</v>
      </c>
      <c r="F7421" s="1" t="str">
        <f t="shared" si="13066"/>
        <v>0</v>
      </c>
      <c r="G7421" s="1" t="str">
        <f t="shared" si="13066"/>
        <v>0</v>
      </c>
      <c r="H7421" s="1" t="str">
        <f t="shared" si="13066"/>
        <v>0</v>
      </c>
      <c r="I7421" s="1" t="str">
        <f t="shared" si="13066"/>
        <v>0</v>
      </c>
      <c r="J7421" s="1" t="str">
        <f t="shared" si="13066"/>
        <v>0</v>
      </c>
      <c r="K7421" s="1" t="str">
        <f t="shared" si="13066"/>
        <v>0</v>
      </c>
      <c r="L7421" s="1" t="str">
        <f t="shared" si="13066"/>
        <v>0</v>
      </c>
      <c r="M7421" s="1" t="str">
        <f t="shared" si="13066"/>
        <v>0</v>
      </c>
      <c r="N7421" s="1" t="str">
        <f t="shared" si="13066"/>
        <v>0</v>
      </c>
      <c r="O7421" s="1" t="str">
        <f t="shared" si="13066"/>
        <v>0</v>
      </c>
      <c r="P7421" s="1" t="str">
        <f t="shared" si="13066"/>
        <v>0</v>
      </c>
      <c r="Q7421" s="1" t="str">
        <f t="shared" si="13005"/>
        <v>0.0070</v>
      </c>
      <c r="R7421" s="1" t="s">
        <v>25</v>
      </c>
      <c r="T7421" s="1" t="str">
        <f t="shared" si="13006"/>
        <v>0</v>
      </c>
      <c r="U7421" s="1" t="str">
        <f t="shared" si="13052"/>
        <v>0.0070</v>
      </c>
    </row>
    <row r="7422" s="1" customFormat="1" spans="1:21">
      <c r="A7422" s="1" t="str">
        <f>"4601992335929"</f>
        <v>4601992335929</v>
      </c>
      <c r="B7422" s="1" t="s">
        <v>7445</v>
      </c>
      <c r="C7422" s="1" t="s">
        <v>24</v>
      </c>
      <c r="D7422" s="1" t="str">
        <f t="shared" si="13003"/>
        <v>2021</v>
      </c>
      <c r="E7422" s="1" t="str">
        <f t="shared" ref="E7422:P7422" si="13067">"0"</f>
        <v>0</v>
      </c>
      <c r="F7422" s="1" t="str">
        <f t="shared" si="13067"/>
        <v>0</v>
      </c>
      <c r="G7422" s="1" t="str">
        <f t="shared" si="13067"/>
        <v>0</v>
      </c>
      <c r="H7422" s="1" t="str">
        <f t="shared" si="13067"/>
        <v>0</v>
      </c>
      <c r="I7422" s="1" t="str">
        <f t="shared" si="13067"/>
        <v>0</v>
      </c>
      <c r="J7422" s="1" t="str">
        <f t="shared" si="13067"/>
        <v>0</v>
      </c>
      <c r="K7422" s="1" t="str">
        <f t="shared" si="13067"/>
        <v>0</v>
      </c>
      <c r="L7422" s="1" t="str">
        <f t="shared" si="13067"/>
        <v>0</v>
      </c>
      <c r="M7422" s="1" t="str">
        <f t="shared" si="13067"/>
        <v>0</v>
      </c>
      <c r="N7422" s="1" t="str">
        <f t="shared" si="13067"/>
        <v>0</v>
      </c>
      <c r="O7422" s="1" t="str">
        <f t="shared" si="13067"/>
        <v>0</v>
      </c>
      <c r="P7422" s="1" t="str">
        <f t="shared" si="13067"/>
        <v>0</v>
      </c>
      <c r="Q7422" s="1" t="str">
        <f t="shared" si="13005"/>
        <v>0.0070</v>
      </c>
      <c r="R7422" s="1" t="s">
        <v>25</v>
      </c>
      <c r="T7422" s="1" t="str">
        <f t="shared" si="13006"/>
        <v>0</v>
      </c>
      <c r="U7422" s="1" t="str">
        <f t="shared" si="13052"/>
        <v>0.0070</v>
      </c>
    </row>
    <row r="7423" s="1" customFormat="1" spans="1:21">
      <c r="A7423" s="1" t="str">
        <f>"4601992335985"</f>
        <v>4601992335985</v>
      </c>
      <c r="B7423" s="1" t="s">
        <v>7446</v>
      </c>
      <c r="C7423" s="1" t="s">
        <v>24</v>
      </c>
      <c r="D7423" s="1" t="str">
        <f t="shared" si="13003"/>
        <v>2021</v>
      </c>
      <c r="E7423" s="1" t="str">
        <f t="shared" ref="E7423:P7423" si="13068">"0"</f>
        <v>0</v>
      </c>
      <c r="F7423" s="1" t="str">
        <f t="shared" si="13068"/>
        <v>0</v>
      </c>
      <c r="G7423" s="1" t="str">
        <f t="shared" si="13068"/>
        <v>0</v>
      </c>
      <c r="H7423" s="1" t="str">
        <f t="shared" si="13068"/>
        <v>0</v>
      </c>
      <c r="I7423" s="1" t="str">
        <f t="shared" si="13068"/>
        <v>0</v>
      </c>
      <c r="J7423" s="1" t="str">
        <f t="shared" si="13068"/>
        <v>0</v>
      </c>
      <c r="K7423" s="1" t="str">
        <f t="shared" si="13068"/>
        <v>0</v>
      </c>
      <c r="L7423" s="1" t="str">
        <f t="shared" si="13068"/>
        <v>0</v>
      </c>
      <c r="M7423" s="1" t="str">
        <f t="shared" si="13068"/>
        <v>0</v>
      </c>
      <c r="N7423" s="1" t="str">
        <f t="shared" si="13068"/>
        <v>0</v>
      </c>
      <c r="O7423" s="1" t="str">
        <f t="shared" si="13068"/>
        <v>0</v>
      </c>
      <c r="P7423" s="1" t="str">
        <f t="shared" si="13068"/>
        <v>0</v>
      </c>
      <c r="Q7423" s="1" t="str">
        <f t="shared" si="13005"/>
        <v>0.0070</v>
      </c>
      <c r="R7423" s="1" t="s">
        <v>25</v>
      </c>
      <c r="T7423" s="1" t="str">
        <f t="shared" si="13006"/>
        <v>0</v>
      </c>
      <c r="U7423" s="1" t="str">
        <f t="shared" si="13052"/>
        <v>0.0070</v>
      </c>
    </row>
    <row r="7424" s="1" customFormat="1" spans="1:21">
      <c r="A7424" s="1" t="str">
        <f>"4601992336037"</f>
        <v>4601992336037</v>
      </c>
      <c r="B7424" s="1" t="s">
        <v>7447</v>
      </c>
      <c r="C7424" s="1" t="s">
        <v>24</v>
      </c>
      <c r="D7424" s="1" t="str">
        <f t="shared" si="13003"/>
        <v>2021</v>
      </c>
      <c r="E7424" s="1" t="str">
        <f t="shared" ref="E7424:P7424" si="13069">"0"</f>
        <v>0</v>
      </c>
      <c r="F7424" s="1" t="str">
        <f t="shared" si="13069"/>
        <v>0</v>
      </c>
      <c r="G7424" s="1" t="str">
        <f t="shared" si="13069"/>
        <v>0</v>
      </c>
      <c r="H7424" s="1" t="str">
        <f t="shared" si="13069"/>
        <v>0</v>
      </c>
      <c r="I7424" s="1" t="str">
        <f t="shared" si="13069"/>
        <v>0</v>
      </c>
      <c r="J7424" s="1" t="str">
        <f t="shared" si="13069"/>
        <v>0</v>
      </c>
      <c r="K7424" s="1" t="str">
        <f t="shared" si="13069"/>
        <v>0</v>
      </c>
      <c r="L7424" s="1" t="str">
        <f t="shared" si="13069"/>
        <v>0</v>
      </c>
      <c r="M7424" s="1" t="str">
        <f t="shared" si="13069"/>
        <v>0</v>
      </c>
      <c r="N7424" s="1" t="str">
        <f t="shared" si="13069"/>
        <v>0</v>
      </c>
      <c r="O7424" s="1" t="str">
        <f t="shared" si="13069"/>
        <v>0</v>
      </c>
      <c r="P7424" s="1" t="str">
        <f t="shared" si="13069"/>
        <v>0</v>
      </c>
      <c r="Q7424" s="1" t="str">
        <f t="shared" si="13005"/>
        <v>0.0070</v>
      </c>
      <c r="R7424" s="1" t="s">
        <v>25</v>
      </c>
      <c r="T7424" s="1" t="str">
        <f t="shared" si="13006"/>
        <v>0</v>
      </c>
      <c r="U7424" s="1" t="str">
        <f t="shared" si="13052"/>
        <v>0.0070</v>
      </c>
    </row>
    <row r="7425" s="1" customFormat="1" spans="1:21">
      <c r="A7425" s="1" t="str">
        <f>"4601992336039"</f>
        <v>4601992336039</v>
      </c>
      <c r="B7425" s="1" t="s">
        <v>7448</v>
      </c>
      <c r="C7425" s="1" t="s">
        <v>24</v>
      </c>
      <c r="D7425" s="1" t="str">
        <f t="shared" si="13003"/>
        <v>2021</v>
      </c>
      <c r="E7425" s="1" t="str">
        <f t="shared" ref="E7425:P7425" si="13070">"0"</f>
        <v>0</v>
      </c>
      <c r="F7425" s="1" t="str">
        <f t="shared" si="13070"/>
        <v>0</v>
      </c>
      <c r="G7425" s="1" t="str">
        <f t="shared" si="13070"/>
        <v>0</v>
      </c>
      <c r="H7425" s="1" t="str">
        <f t="shared" si="13070"/>
        <v>0</v>
      </c>
      <c r="I7425" s="1" t="str">
        <f t="shared" si="13070"/>
        <v>0</v>
      </c>
      <c r="J7425" s="1" t="str">
        <f t="shared" si="13070"/>
        <v>0</v>
      </c>
      <c r="K7425" s="1" t="str">
        <f t="shared" si="13070"/>
        <v>0</v>
      </c>
      <c r="L7425" s="1" t="str">
        <f t="shared" si="13070"/>
        <v>0</v>
      </c>
      <c r="M7425" s="1" t="str">
        <f t="shared" si="13070"/>
        <v>0</v>
      </c>
      <c r="N7425" s="1" t="str">
        <f t="shared" si="13070"/>
        <v>0</v>
      </c>
      <c r="O7425" s="1" t="str">
        <f t="shared" si="13070"/>
        <v>0</v>
      </c>
      <c r="P7425" s="1" t="str">
        <f t="shared" si="13070"/>
        <v>0</v>
      </c>
      <c r="Q7425" s="1" t="str">
        <f t="shared" si="13005"/>
        <v>0.0070</v>
      </c>
      <c r="R7425" s="1" t="s">
        <v>25</v>
      </c>
      <c r="T7425" s="1" t="str">
        <f t="shared" si="13006"/>
        <v>0</v>
      </c>
      <c r="U7425" s="1" t="str">
        <f t="shared" si="13052"/>
        <v>0.0070</v>
      </c>
    </row>
    <row r="7426" s="1" customFormat="1" spans="1:21">
      <c r="A7426" s="1" t="str">
        <f>"4601992336043"</f>
        <v>4601992336043</v>
      </c>
      <c r="B7426" s="1" t="s">
        <v>7449</v>
      </c>
      <c r="C7426" s="1" t="s">
        <v>24</v>
      </c>
      <c r="D7426" s="1" t="str">
        <f t="shared" si="13003"/>
        <v>2021</v>
      </c>
      <c r="E7426" s="1" t="str">
        <f t="shared" ref="E7426:P7426" si="13071">"0"</f>
        <v>0</v>
      </c>
      <c r="F7426" s="1" t="str">
        <f t="shared" si="13071"/>
        <v>0</v>
      </c>
      <c r="G7426" s="1" t="str">
        <f t="shared" si="13071"/>
        <v>0</v>
      </c>
      <c r="H7426" s="1" t="str">
        <f t="shared" si="13071"/>
        <v>0</v>
      </c>
      <c r="I7426" s="1" t="str">
        <f t="shared" si="13071"/>
        <v>0</v>
      </c>
      <c r="J7426" s="1" t="str">
        <f t="shared" si="13071"/>
        <v>0</v>
      </c>
      <c r="K7426" s="1" t="str">
        <f t="shared" si="13071"/>
        <v>0</v>
      </c>
      <c r="L7426" s="1" t="str">
        <f t="shared" si="13071"/>
        <v>0</v>
      </c>
      <c r="M7426" s="1" t="str">
        <f t="shared" si="13071"/>
        <v>0</v>
      </c>
      <c r="N7426" s="1" t="str">
        <f t="shared" si="13071"/>
        <v>0</v>
      </c>
      <c r="O7426" s="1" t="str">
        <f t="shared" si="13071"/>
        <v>0</v>
      </c>
      <c r="P7426" s="1" t="str">
        <f t="shared" si="13071"/>
        <v>0</v>
      </c>
      <c r="Q7426" s="1" t="str">
        <f t="shared" si="13005"/>
        <v>0.0070</v>
      </c>
      <c r="R7426" s="1" t="s">
        <v>25</v>
      </c>
      <c r="T7426" s="1" t="str">
        <f t="shared" si="13006"/>
        <v>0</v>
      </c>
      <c r="U7426" s="1" t="str">
        <f t="shared" si="13052"/>
        <v>0.0070</v>
      </c>
    </row>
    <row r="7427" s="1" customFormat="1" spans="1:21">
      <c r="A7427" s="1" t="str">
        <f>"4601992336086"</f>
        <v>4601992336086</v>
      </c>
      <c r="B7427" s="1" t="s">
        <v>7450</v>
      </c>
      <c r="C7427" s="1" t="s">
        <v>24</v>
      </c>
      <c r="D7427" s="1" t="str">
        <f t="shared" ref="D7427:D7490" si="13072">"2021"</f>
        <v>2021</v>
      </c>
      <c r="E7427" s="1" t="str">
        <f t="shared" ref="E7427:P7427" si="13073">"0"</f>
        <v>0</v>
      </c>
      <c r="F7427" s="1" t="str">
        <f t="shared" si="13073"/>
        <v>0</v>
      </c>
      <c r="G7427" s="1" t="str">
        <f t="shared" si="13073"/>
        <v>0</v>
      </c>
      <c r="H7427" s="1" t="str">
        <f t="shared" si="13073"/>
        <v>0</v>
      </c>
      <c r="I7427" s="1" t="str">
        <f t="shared" si="13073"/>
        <v>0</v>
      </c>
      <c r="J7427" s="1" t="str">
        <f t="shared" si="13073"/>
        <v>0</v>
      </c>
      <c r="K7427" s="1" t="str">
        <f t="shared" si="13073"/>
        <v>0</v>
      </c>
      <c r="L7427" s="1" t="str">
        <f t="shared" si="13073"/>
        <v>0</v>
      </c>
      <c r="M7427" s="1" t="str">
        <f t="shared" si="13073"/>
        <v>0</v>
      </c>
      <c r="N7427" s="1" t="str">
        <f t="shared" si="13073"/>
        <v>0</v>
      </c>
      <c r="O7427" s="1" t="str">
        <f t="shared" si="13073"/>
        <v>0</v>
      </c>
      <c r="P7427" s="1" t="str">
        <f t="shared" si="13073"/>
        <v>0</v>
      </c>
      <c r="Q7427" s="1" t="str">
        <f t="shared" ref="Q7427:Q7490" si="13074">"0.0070"</f>
        <v>0.0070</v>
      </c>
      <c r="R7427" s="1" t="s">
        <v>25</v>
      </c>
      <c r="T7427" s="1" t="str">
        <f t="shared" ref="T7427:T7490" si="13075">"0"</f>
        <v>0</v>
      </c>
      <c r="U7427" s="1" t="str">
        <f t="shared" si="13052"/>
        <v>0.0070</v>
      </c>
    </row>
    <row r="7428" s="1" customFormat="1" spans="1:21">
      <c r="A7428" s="1" t="str">
        <f>"4601992336135"</f>
        <v>4601992336135</v>
      </c>
      <c r="B7428" s="1" t="s">
        <v>7451</v>
      </c>
      <c r="C7428" s="1" t="s">
        <v>24</v>
      </c>
      <c r="D7428" s="1" t="str">
        <f t="shared" si="13072"/>
        <v>2021</v>
      </c>
      <c r="E7428" s="1" t="str">
        <f t="shared" ref="E7428:P7428" si="13076">"0"</f>
        <v>0</v>
      </c>
      <c r="F7428" s="1" t="str">
        <f t="shared" si="13076"/>
        <v>0</v>
      </c>
      <c r="G7428" s="1" t="str">
        <f t="shared" si="13076"/>
        <v>0</v>
      </c>
      <c r="H7428" s="1" t="str">
        <f t="shared" si="13076"/>
        <v>0</v>
      </c>
      <c r="I7428" s="1" t="str">
        <f t="shared" si="13076"/>
        <v>0</v>
      </c>
      <c r="J7428" s="1" t="str">
        <f t="shared" si="13076"/>
        <v>0</v>
      </c>
      <c r="K7428" s="1" t="str">
        <f t="shared" si="13076"/>
        <v>0</v>
      </c>
      <c r="L7428" s="1" t="str">
        <f t="shared" si="13076"/>
        <v>0</v>
      </c>
      <c r="M7428" s="1" t="str">
        <f t="shared" si="13076"/>
        <v>0</v>
      </c>
      <c r="N7428" s="1" t="str">
        <f t="shared" si="13076"/>
        <v>0</v>
      </c>
      <c r="O7428" s="1" t="str">
        <f t="shared" si="13076"/>
        <v>0</v>
      </c>
      <c r="P7428" s="1" t="str">
        <f t="shared" si="13076"/>
        <v>0</v>
      </c>
      <c r="Q7428" s="1" t="str">
        <f t="shared" si="13074"/>
        <v>0.0070</v>
      </c>
      <c r="R7428" s="1" t="s">
        <v>25</v>
      </c>
      <c r="T7428" s="1" t="str">
        <f t="shared" si="13075"/>
        <v>0</v>
      </c>
      <c r="U7428" s="1" t="str">
        <f t="shared" si="13052"/>
        <v>0.0070</v>
      </c>
    </row>
    <row r="7429" s="1" customFormat="1" spans="1:21">
      <c r="A7429" s="1" t="str">
        <f>"4601992336167"</f>
        <v>4601992336167</v>
      </c>
      <c r="B7429" s="1" t="s">
        <v>7452</v>
      </c>
      <c r="C7429" s="1" t="s">
        <v>24</v>
      </c>
      <c r="D7429" s="1" t="str">
        <f t="shared" si="13072"/>
        <v>2021</v>
      </c>
      <c r="E7429" s="1" t="str">
        <f t="shared" ref="E7429:P7429" si="13077">"0"</f>
        <v>0</v>
      </c>
      <c r="F7429" s="1" t="str">
        <f t="shared" si="13077"/>
        <v>0</v>
      </c>
      <c r="G7429" s="1" t="str">
        <f t="shared" si="13077"/>
        <v>0</v>
      </c>
      <c r="H7429" s="1" t="str">
        <f t="shared" si="13077"/>
        <v>0</v>
      </c>
      <c r="I7429" s="1" t="str">
        <f t="shared" si="13077"/>
        <v>0</v>
      </c>
      <c r="J7429" s="1" t="str">
        <f t="shared" si="13077"/>
        <v>0</v>
      </c>
      <c r="K7429" s="1" t="str">
        <f t="shared" si="13077"/>
        <v>0</v>
      </c>
      <c r="L7429" s="1" t="str">
        <f t="shared" si="13077"/>
        <v>0</v>
      </c>
      <c r="M7429" s="1" t="str">
        <f t="shared" si="13077"/>
        <v>0</v>
      </c>
      <c r="N7429" s="1" t="str">
        <f t="shared" si="13077"/>
        <v>0</v>
      </c>
      <c r="O7429" s="1" t="str">
        <f t="shared" si="13077"/>
        <v>0</v>
      </c>
      <c r="P7429" s="1" t="str">
        <f t="shared" si="13077"/>
        <v>0</v>
      </c>
      <c r="Q7429" s="1" t="str">
        <f t="shared" si="13074"/>
        <v>0.0070</v>
      </c>
      <c r="R7429" s="1" t="s">
        <v>25</v>
      </c>
      <c r="T7429" s="1" t="str">
        <f t="shared" si="13075"/>
        <v>0</v>
      </c>
      <c r="U7429" s="1" t="str">
        <f t="shared" si="13052"/>
        <v>0.0070</v>
      </c>
    </row>
    <row r="7430" s="1" customFormat="1" spans="1:21">
      <c r="A7430" s="1" t="str">
        <f>"4601992336377"</f>
        <v>4601992336377</v>
      </c>
      <c r="B7430" s="1" t="s">
        <v>7453</v>
      </c>
      <c r="C7430" s="1" t="s">
        <v>24</v>
      </c>
      <c r="D7430" s="1" t="str">
        <f t="shared" si="13072"/>
        <v>2021</v>
      </c>
      <c r="E7430" s="1" t="str">
        <f t="shared" ref="E7430:P7430" si="13078">"0"</f>
        <v>0</v>
      </c>
      <c r="F7430" s="1" t="str">
        <f t="shared" si="13078"/>
        <v>0</v>
      </c>
      <c r="G7430" s="1" t="str">
        <f t="shared" si="13078"/>
        <v>0</v>
      </c>
      <c r="H7430" s="1" t="str">
        <f t="shared" si="13078"/>
        <v>0</v>
      </c>
      <c r="I7430" s="1" t="str">
        <f t="shared" si="13078"/>
        <v>0</v>
      </c>
      <c r="J7430" s="1" t="str">
        <f t="shared" si="13078"/>
        <v>0</v>
      </c>
      <c r="K7430" s="1" t="str">
        <f t="shared" si="13078"/>
        <v>0</v>
      </c>
      <c r="L7430" s="1" t="str">
        <f t="shared" si="13078"/>
        <v>0</v>
      </c>
      <c r="M7430" s="1" t="str">
        <f t="shared" si="13078"/>
        <v>0</v>
      </c>
      <c r="N7430" s="1" t="str">
        <f t="shared" si="13078"/>
        <v>0</v>
      </c>
      <c r="O7430" s="1" t="str">
        <f t="shared" si="13078"/>
        <v>0</v>
      </c>
      <c r="P7430" s="1" t="str">
        <f t="shared" si="13078"/>
        <v>0</v>
      </c>
      <c r="Q7430" s="1" t="str">
        <f t="shared" si="13074"/>
        <v>0.0070</v>
      </c>
      <c r="R7430" s="1" t="s">
        <v>25</v>
      </c>
      <c r="T7430" s="1" t="str">
        <f t="shared" si="13075"/>
        <v>0</v>
      </c>
      <c r="U7430" s="1" t="str">
        <f t="shared" si="13052"/>
        <v>0.0070</v>
      </c>
    </row>
    <row r="7431" s="1" customFormat="1" spans="1:21">
      <c r="A7431" s="1" t="str">
        <f>"4601992336648"</f>
        <v>4601992336648</v>
      </c>
      <c r="B7431" s="1" t="s">
        <v>7454</v>
      </c>
      <c r="C7431" s="1" t="s">
        <v>24</v>
      </c>
      <c r="D7431" s="1" t="str">
        <f t="shared" si="13072"/>
        <v>2021</v>
      </c>
      <c r="E7431" s="1" t="str">
        <f t="shared" ref="E7431:P7431" si="13079">"0"</f>
        <v>0</v>
      </c>
      <c r="F7431" s="1" t="str">
        <f t="shared" si="13079"/>
        <v>0</v>
      </c>
      <c r="G7431" s="1" t="str">
        <f t="shared" si="13079"/>
        <v>0</v>
      </c>
      <c r="H7431" s="1" t="str">
        <f t="shared" si="13079"/>
        <v>0</v>
      </c>
      <c r="I7431" s="1" t="str">
        <f t="shared" si="13079"/>
        <v>0</v>
      </c>
      <c r="J7431" s="1" t="str">
        <f t="shared" si="13079"/>
        <v>0</v>
      </c>
      <c r="K7431" s="1" t="str">
        <f t="shared" si="13079"/>
        <v>0</v>
      </c>
      <c r="L7431" s="1" t="str">
        <f t="shared" si="13079"/>
        <v>0</v>
      </c>
      <c r="M7431" s="1" t="str">
        <f t="shared" si="13079"/>
        <v>0</v>
      </c>
      <c r="N7431" s="1" t="str">
        <f t="shared" si="13079"/>
        <v>0</v>
      </c>
      <c r="O7431" s="1" t="str">
        <f t="shared" si="13079"/>
        <v>0</v>
      </c>
      <c r="P7431" s="1" t="str">
        <f t="shared" si="13079"/>
        <v>0</v>
      </c>
      <c r="Q7431" s="1" t="str">
        <f t="shared" si="13074"/>
        <v>0.0070</v>
      </c>
      <c r="R7431" s="1" t="s">
        <v>25</v>
      </c>
      <c r="T7431" s="1" t="str">
        <f t="shared" si="13075"/>
        <v>0</v>
      </c>
      <c r="U7431" s="1" t="str">
        <f t="shared" si="13052"/>
        <v>0.0070</v>
      </c>
    </row>
    <row r="7432" s="1" customFormat="1" spans="1:21">
      <c r="A7432" s="1" t="str">
        <f>"4601992336763"</f>
        <v>4601992336763</v>
      </c>
      <c r="B7432" s="1" t="s">
        <v>7455</v>
      </c>
      <c r="C7432" s="1" t="s">
        <v>24</v>
      </c>
      <c r="D7432" s="1" t="str">
        <f t="shared" si="13072"/>
        <v>2021</v>
      </c>
      <c r="E7432" s="1" t="str">
        <f t="shared" ref="E7432:P7432" si="13080">"0"</f>
        <v>0</v>
      </c>
      <c r="F7432" s="1" t="str">
        <f t="shared" si="13080"/>
        <v>0</v>
      </c>
      <c r="G7432" s="1" t="str">
        <f t="shared" si="13080"/>
        <v>0</v>
      </c>
      <c r="H7432" s="1" t="str">
        <f t="shared" si="13080"/>
        <v>0</v>
      </c>
      <c r="I7432" s="1" t="str">
        <f t="shared" si="13080"/>
        <v>0</v>
      </c>
      <c r="J7432" s="1" t="str">
        <f t="shared" si="13080"/>
        <v>0</v>
      </c>
      <c r="K7432" s="1" t="str">
        <f t="shared" si="13080"/>
        <v>0</v>
      </c>
      <c r="L7432" s="1" t="str">
        <f t="shared" si="13080"/>
        <v>0</v>
      </c>
      <c r="M7432" s="1" t="str">
        <f t="shared" si="13080"/>
        <v>0</v>
      </c>
      <c r="N7432" s="1" t="str">
        <f t="shared" si="13080"/>
        <v>0</v>
      </c>
      <c r="O7432" s="1" t="str">
        <f t="shared" si="13080"/>
        <v>0</v>
      </c>
      <c r="P7432" s="1" t="str">
        <f t="shared" si="13080"/>
        <v>0</v>
      </c>
      <c r="Q7432" s="1" t="str">
        <f t="shared" si="13074"/>
        <v>0.0070</v>
      </c>
      <c r="R7432" s="1" t="s">
        <v>25</v>
      </c>
      <c r="T7432" s="1" t="str">
        <f t="shared" si="13075"/>
        <v>0</v>
      </c>
      <c r="U7432" s="1" t="str">
        <f t="shared" si="13052"/>
        <v>0.0070</v>
      </c>
    </row>
    <row r="7433" s="1" customFormat="1" spans="1:21">
      <c r="A7433" s="1" t="str">
        <f>"4601992337088"</f>
        <v>4601992337088</v>
      </c>
      <c r="B7433" s="1" t="s">
        <v>7456</v>
      </c>
      <c r="C7433" s="1" t="s">
        <v>24</v>
      </c>
      <c r="D7433" s="1" t="str">
        <f t="shared" si="13072"/>
        <v>2021</v>
      </c>
      <c r="E7433" s="1" t="str">
        <f t="shared" ref="E7433:P7433" si="13081">"0"</f>
        <v>0</v>
      </c>
      <c r="F7433" s="1" t="str">
        <f t="shared" si="13081"/>
        <v>0</v>
      </c>
      <c r="G7433" s="1" t="str">
        <f t="shared" si="13081"/>
        <v>0</v>
      </c>
      <c r="H7433" s="1" t="str">
        <f t="shared" si="13081"/>
        <v>0</v>
      </c>
      <c r="I7433" s="1" t="str">
        <f t="shared" si="13081"/>
        <v>0</v>
      </c>
      <c r="J7433" s="1" t="str">
        <f t="shared" si="13081"/>
        <v>0</v>
      </c>
      <c r="K7433" s="1" t="str">
        <f t="shared" si="13081"/>
        <v>0</v>
      </c>
      <c r="L7433" s="1" t="str">
        <f t="shared" si="13081"/>
        <v>0</v>
      </c>
      <c r="M7433" s="1" t="str">
        <f t="shared" si="13081"/>
        <v>0</v>
      </c>
      <c r="N7433" s="1" t="str">
        <f t="shared" si="13081"/>
        <v>0</v>
      </c>
      <c r="O7433" s="1" t="str">
        <f t="shared" si="13081"/>
        <v>0</v>
      </c>
      <c r="P7433" s="1" t="str">
        <f t="shared" si="13081"/>
        <v>0</v>
      </c>
      <c r="Q7433" s="1" t="str">
        <f t="shared" si="13074"/>
        <v>0.0070</v>
      </c>
      <c r="R7433" s="1" t="s">
        <v>25</v>
      </c>
      <c r="T7433" s="1" t="str">
        <f t="shared" si="13075"/>
        <v>0</v>
      </c>
      <c r="U7433" s="1" t="str">
        <f t="shared" si="13052"/>
        <v>0.0070</v>
      </c>
    </row>
    <row r="7434" s="1" customFormat="1" spans="1:21">
      <c r="A7434" s="1" t="str">
        <f>"4601992337345"</f>
        <v>4601992337345</v>
      </c>
      <c r="B7434" s="1" t="s">
        <v>7457</v>
      </c>
      <c r="C7434" s="1" t="s">
        <v>24</v>
      </c>
      <c r="D7434" s="1" t="str">
        <f t="shared" si="13072"/>
        <v>2021</v>
      </c>
      <c r="E7434" s="1" t="str">
        <f t="shared" ref="E7434:P7434" si="13082">"0"</f>
        <v>0</v>
      </c>
      <c r="F7434" s="1" t="str">
        <f t="shared" si="13082"/>
        <v>0</v>
      </c>
      <c r="G7434" s="1" t="str">
        <f t="shared" si="13082"/>
        <v>0</v>
      </c>
      <c r="H7434" s="1" t="str">
        <f t="shared" si="13082"/>
        <v>0</v>
      </c>
      <c r="I7434" s="1" t="str">
        <f t="shared" si="13082"/>
        <v>0</v>
      </c>
      <c r="J7434" s="1" t="str">
        <f t="shared" si="13082"/>
        <v>0</v>
      </c>
      <c r="K7434" s="1" t="str">
        <f t="shared" si="13082"/>
        <v>0</v>
      </c>
      <c r="L7434" s="1" t="str">
        <f t="shared" si="13082"/>
        <v>0</v>
      </c>
      <c r="M7434" s="1" t="str">
        <f t="shared" si="13082"/>
        <v>0</v>
      </c>
      <c r="N7434" s="1" t="str">
        <f t="shared" si="13082"/>
        <v>0</v>
      </c>
      <c r="O7434" s="1" t="str">
        <f t="shared" si="13082"/>
        <v>0</v>
      </c>
      <c r="P7434" s="1" t="str">
        <f t="shared" si="13082"/>
        <v>0</v>
      </c>
      <c r="Q7434" s="1" t="str">
        <f t="shared" si="13074"/>
        <v>0.0070</v>
      </c>
      <c r="R7434" s="1" t="s">
        <v>25</v>
      </c>
      <c r="T7434" s="1" t="str">
        <f t="shared" si="13075"/>
        <v>0</v>
      </c>
      <c r="U7434" s="1" t="str">
        <f t="shared" si="13052"/>
        <v>0.0070</v>
      </c>
    </row>
    <row r="7435" s="1" customFormat="1" spans="1:21">
      <c r="A7435" s="1" t="str">
        <f>"4601992031016"</f>
        <v>4601992031016</v>
      </c>
      <c r="B7435" s="1" t="s">
        <v>7458</v>
      </c>
      <c r="C7435" s="1" t="s">
        <v>24</v>
      </c>
      <c r="D7435" s="1" t="str">
        <f t="shared" si="13072"/>
        <v>2021</v>
      </c>
      <c r="E7435" s="1" t="str">
        <f t="shared" ref="E7435:I7435" si="13083">"0"</f>
        <v>0</v>
      </c>
      <c r="F7435" s="1" t="str">
        <f t="shared" si="13083"/>
        <v>0</v>
      </c>
      <c r="G7435" s="1" t="str">
        <f t="shared" si="13083"/>
        <v>0</v>
      </c>
      <c r="H7435" s="1" t="str">
        <f t="shared" si="13083"/>
        <v>0</v>
      </c>
      <c r="I7435" s="1" t="str">
        <f t="shared" si="13083"/>
        <v>0</v>
      </c>
      <c r="J7435" s="1" t="str">
        <f>"3"</f>
        <v>3</v>
      </c>
      <c r="K7435" s="1" t="str">
        <f t="shared" ref="K7435:P7435" si="13084">"0"</f>
        <v>0</v>
      </c>
      <c r="L7435" s="1" t="str">
        <f t="shared" si="13084"/>
        <v>0</v>
      </c>
      <c r="M7435" s="1" t="str">
        <f t="shared" si="13084"/>
        <v>0</v>
      </c>
      <c r="N7435" s="1" t="str">
        <f t="shared" si="13084"/>
        <v>0</v>
      </c>
      <c r="O7435" s="1" t="str">
        <f t="shared" si="13084"/>
        <v>0</v>
      </c>
      <c r="P7435" s="1" t="str">
        <f t="shared" si="13084"/>
        <v>0</v>
      </c>
      <c r="Q7435" s="1" t="str">
        <f t="shared" si="13074"/>
        <v>0.0070</v>
      </c>
      <c r="R7435" s="1" t="s">
        <v>25</v>
      </c>
      <c r="T7435" s="1" t="str">
        <f t="shared" si="13075"/>
        <v>0</v>
      </c>
      <c r="U7435" s="1" t="str">
        <f t="shared" si="13052"/>
        <v>0.0070</v>
      </c>
    </row>
    <row r="7436" s="1" customFormat="1" spans="1:21">
      <c r="A7436" s="1" t="str">
        <f>"4601992337386"</f>
        <v>4601992337386</v>
      </c>
      <c r="B7436" s="1" t="s">
        <v>7459</v>
      </c>
      <c r="C7436" s="1" t="s">
        <v>24</v>
      </c>
      <c r="D7436" s="1" t="str">
        <f t="shared" si="13072"/>
        <v>2021</v>
      </c>
      <c r="E7436" s="1" t="str">
        <f t="shared" ref="E7436:P7436" si="13085">"0"</f>
        <v>0</v>
      </c>
      <c r="F7436" s="1" t="str">
        <f t="shared" si="13085"/>
        <v>0</v>
      </c>
      <c r="G7436" s="1" t="str">
        <f t="shared" si="13085"/>
        <v>0</v>
      </c>
      <c r="H7436" s="1" t="str">
        <f t="shared" si="13085"/>
        <v>0</v>
      </c>
      <c r="I7436" s="1" t="str">
        <f t="shared" si="13085"/>
        <v>0</v>
      </c>
      <c r="J7436" s="1" t="str">
        <f t="shared" si="13085"/>
        <v>0</v>
      </c>
      <c r="K7436" s="1" t="str">
        <f t="shared" si="13085"/>
        <v>0</v>
      </c>
      <c r="L7436" s="1" t="str">
        <f t="shared" si="13085"/>
        <v>0</v>
      </c>
      <c r="M7436" s="1" t="str">
        <f t="shared" si="13085"/>
        <v>0</v>
      </c>
      <c r="N7436" s="1" t="str">
        <f t="shared" si="13085"/>
        <v>0</v>
      </c>
      <c r="O7436" s="1" t="str">
        <f t="shared" si="13085"/>
        <v>0</v>
      </c>
      <c r="P7436" s="1" t="str">
        <f t="shared" si="13085"/>
        <v>0</v>
      </c>
      <c r="Q7436" s="1" t="str">
        <f t="shared" si="13074"/>
        <v>0.0070</v>
      </c>
      <c r="R7436" s="1" t="s">
        <v>25</v>
      </c>
      <c r="T7436" s="1" t="str">
        <f t="shared" si="13075"/>
        <v>0</v>
      </c>
      <c r="U7436" s="1" t="str">
        <f t="shared" si="13052"/>
        <v>0.0070</v>
      </c>
    </row>
    <row r="7437" s="1" customFormat="1" spans="1:21">
      <c r="A7437" s="1" t="str">
        <f>"4601992337439"</f>
        <v>4601992337439</v>
      </c>
      <c r="B7437" s="1" t="s">
        <v>7460</v>
      </c>
      <c r="C7437" s="1" t="s">
        <v>24</v>
      </c>
      <c r="D7437" s="1" t="str">
        <f t="shared" si="13072"/>
        <v>2021</v>
      </c>
      <c r="E7437" s="1" t="str">
        <f t="shared" ref="E7437:P7437" si="13086">"0"</f>
        <v>0</v>
      </c>
      <c r="F7437" s="1" t="str">
        <f t="shared" si="13086"/>
        <v>0</v>
      </c>
      <c r="G7437" s="1" t="str">
        <f t="shared" si="13086"/>
        <v>0</v>
      </c>
      <c r="H7437" s="1" t="str">
        <f t="shared" si="13086"/>
        <v>0</v>
      </c>
      <c r="I7437" s="1" t="str">
        <f t="shared" si="13086"/>
        <v>0</v>
      </c>
      <c r="J7437" s="1" t="str">
        <f t="shared" si="13086"/>
        <v>0</v>
      </c>
      <c r="K7437" s="1" t="str">
        <f t="shared" si="13086"/>
        <v>0</v>
      </c>
      <c r="L7437" s="1" t="str">
        <f t="shared" si="13086"/>
        <v>0</v>
      </c>
      <c r="M7437" s="1" t="str">
        <f t="shared" si="13086"/>
        <v>0</v>
      </c>
      <c r="N7437" s="1" t="str">
        <f t="shared" si="13086"/>
        <v>0</v>
      </c>
      <c r="O7437" s="1" t="str">
        <f t="shared" si="13086"/>
        <v>0</v>
      </c>
      <c r="P7437" s="1" t="str">
        <f t="shared" si="13086"/>
        <v>0</v>
      </c>
      <c r="Q7437" s="1" t="str">
        <f t="shared" si="13074"/>
        <v>0.0070</v>
      </c>
      <c r="R7437" s="1" t="s">
        <v>25</v>
      </c>
      <c r="T7437" s="1" t="str">
        <f t="shared" si="13075"/>
        <v>0</v>
      </c>
      <c r="U7437" s="1" t="str">
        <f t="shared" si="13052"/>
        <v>0.0070</v>
      </c>
    </row>
    <row r="7438" s="1" customFormat="1" spans="1:21">
      <c r="A7438" s="1" t="str">
        <f>"4601992337474"</f>
        <v>4601992337474</v>
      </c>
      <c r="B7438" s="1" t="s">
        <v>7461</v>
      </c>
      <c r="C7438" s="1" t="s">
        <v>24</v>
      </c>
      <c r="D7438" s="1" t="str">
        <f t="shared" si="13072"/>
        <v>2021</v>
      </c>
      <c r="E7438" s="1" t="str">
        <f t="shared" ref="E7438:P7438" si="13087">"0"</f>
        <v>0</v>
      </c>
      <c r="F7438" s="1" t="str">
        <f t="shared" si="13087"/>
        <v>0</v>
      </c>
      <c r="G7438" s="1" t="str">
        <f t="shared" si="13087"/>
        <v>0</v>
      </c>
      <c r="H7438" s="1" t="str">
        <f t="shared" si="13087"/>
        <v>0</v>
      </c>
      <c r="I7438" s="1" t="str">
        <f t="shared" si="13087"/>
        <v>0</v>
      </c>
      <c r="J7438" s="1" t="str">
        <f t="shared" si="13087"/>
        <v>0</v>
      </c>
      <c r="K7438" s="1" t="str">
        <f t="shared" si="13087"/>
        <v>0</v>
      </c>
      <c r="L7438" s="1" t="str">
        <f t="shared" si="13087"/>
        <v>0</v>
      </c>
      <c r="M7438" s="1" t="str">
        <f t="shared" si="13087"/>
        <v>0</v>
      </c>
      <c r="N7438" s="1" t="str">
        <f t="shared" si="13087"/>
        <v>0</v>
      </c>
      <c r="O7438" s="1" t="str">
        <f t="shared" si="13087"/>
        <v>0</v>
      </c>
      <c r="P7438" s="1" t="str">
        <f t="shared" si="13087"/>
        <v>0</v>
      </c>
      <c r="Q7438" s="1" t="str">
        <f t="shared" si="13074"/>
        <v>0.0070</v>
      </c>
      <c r="R7438" s="1" t="s">
        <v>25</v>
      </c>
      <c r="T7438" s="1" t="str">
        <f t="shared" si="13075"/>
        <v>0</v>
      </c>
      <c r="U7438" s="1" t="str">
        <f t="shared" si="13052"/>
        <v>0.0070</v>
      </c>
    </row>
    <row r="7439" s="1" customFormat="1" spans="1:21">
      <c r="A7439" s="1" t="str">
        <f>"4601992337582"</f>
        <v>4601992337582</v>
      </c>
      <c r="B7439" s="1" t="s">
        <v>7462</v>
      </c>
      <c r="C7439" s="1" t="s">
        <v>24</v>
      </c>
      <c r="D7439" s="1" t="str">
        <f t="shared" si="13072"/>
        <v>2021</v>
      </c>
      <c r="E7439" s="1" t="str">
        <f t="shared" ref="E7439:P7439" si="13088">"0"</f>
        <v>0</v>
      </c>
      <c r="F7439" s="1" t="str">
        <f t="shared" si="13088"/>
        <v>0</v>
      </c>
      <c r="G7439" s="1" t="str">
        <f t="shared" si="13088"/>
        <v>0</v>
      </c>
      <c r="H7439" s="1" t="str">
        <f t="shared" si="13088"/>
        <v>0</v>
      </c>
      <c r="I7439" s="1" t="str">
        <f t="shared" si="13088"/>
        <v>0</v>
      </c>
      <c r="J7439" s="1" t="str">
        <f t="shared" si="13088"/>
        <v>0</v>
      </c>
      <c r="K7439" s="1" t="str">
        <f t="shared" si="13088"/>
        <v>0</v>
      </c>
      <c r="L7439" s="1" t="str">
        <f t="shared" si="13088"/>
        <v>0</v>
      </c>
      <c r="M7439" s="1" t="str">
        <f t="shared" si="13088"/>
        <v>0</v>
      </c>
      <c r="N7439" s="1" t="str">
        <f t="shared" si="13088"/>
        <v>0</v>
      </c>
      <c r="O7439" s="1" t="str">
        <f t="shared" si="13088"/>
        <v>0</v>
      </c>
      <c r="P7439" s="1" t="str">
        <f t="shared" si="13088"/>
        <v>0</v>
      </c>
      <c r="Q7439" s="1" t="str">
        <f t="shared" si="13074"/>
        <v>0.0070</v>
      </c>
      <c r="R7439" s="1" t="s">
        <v>25</v>
      </c>
      <c r="T7439" s="1" t="str">
        <f t="shared" si="13075"/>
        <v>0</v>
      </c>
      <c r="U7439" s="1" t="str">
        <f t="shared" si="13052"/>
        <v>0.0070</v>
      </c>
    </row>
    <row r="7440" s="1" customFormat="1" spans="1:21">
      <c r="A7440" s="1" t="str">
        <f>"4601992337587"</f>
        <v>4601992337587</v>
      </c>
      <c r="B7440" s="1" t="s">
        <v>7463</v>
      </c>
      <c r="C7440" s="1" t="s">
        <v>24</v>
      </c>
      <c r="D7440" s="1" t="str">
        <f t="shared" si="13072"/>
        <v>2021</v>
      </c>
      <c r="E7440" s="1" t="str">
        <f t="shared" ref="E7440:P7440" si="13089">"0"</f>
        <v>0</v>
      </c>
      <c r="F7440" s="1" t="str">
        <f t="shared" si="13089"/>
        <v>0</v>
      </c>
      <c r="G7440" s="1" t="str">
        <f t="shared" si="13089"/>
        <v>0</v>
      </c>
      <c r="H7440" s="1" t="str">
        <f t="shared" si="13089"/>
        <v>0</v>
      </c>
      <c r="I7440" s="1" t="str">
        <f t="shared" si="13089"/>
        <v>0</v>
      </c>
      <c r="J7440" s="1" t="str">
        <f t="shared" si="13089"/>
        <v>0</v>
      </c>
      <c r="K7440" s="1" t="str">
        <f t="shared" si="13089"/>
        <v>0</v>
      </c>
      <c r="L7440" s="1" t="str">
        <f t="shared" si="13089"/>
        <v>0</v>
      </c>
      <c r="M7440" s="1" t="str">
        <f t="shared" si="13089"/>
        <v>0</v>
      </c>
      <c r="N7440" s="1" t="str">
        <f t="shared" si="13089"/>
        <v>0</v>
      </c>
      <c r="O7440" s="1" t="str">
        <f t="shared" si="13089"/>
        <v>0</v>
      </c>
      <c r="P7440" s="1" t="str">
        <f t="shared" si="13089"/>
        <v>0</v>
      </c>
      <c r="Q7440" s="1" t="str">
        <f t="shared" si="13074"/>
        <v>0.0070</v>
      </c>
      <c r="R7440" s="1" t="s">
        <v>25</v>
      </c>
      <c r="T7440" s="1" t="str">
        <f t="shared" si="13075"/>
        <v>0</v>
      </c>
      <c r="U7440" s="1" t="str">
        <f t="shared" si="13052"/>
        <v>0.0070</v>
      </c>
    </row>
    <row r="7441" s="1" customFormat="1" spans="1:21">
      <c r="A7441" s="1" t="str">
        <f>"4601992337644"</f>
        <v>4601992337644</v>
      </c>
      <c r="B7441" s="1" t="s">
        <v>7464</v>
      </c>
      <c r="C7441" s="1" t="s">
        <v>24</v>
      </c>
      <c r="D7441" s="1" t="str">
        <f t="shared" si="13072"/>
        <v>2021</v>
      </c>
      <c r="E7441" s="1" t="str">
        <f t="shared" ref="E7441:P7441" si="13090">"0"</f>
        <v>0</v>
      </c>
      <c r="F7441" s="1" t="str">
        <f t="shared" si="13090"/>
        <v>0</v>
      </c>
      <c r="G7441" s="1" t="str">
        <f t="shared" si="13090"/>
        <v>0</v>
      </c>
      <c r="H7441" s="1" t="str">
        <f t="shared" si="13090"/>
        <v>0</v>
      </c>
      <c r="I7441" s="1" t="str">
        <f t="shared" si="13090"/>
        <v>0</v>
      </c>
      <c r="J7441" s="1" t="str">
        <f t="shared" si="13090"/>
        <v>0</v>
      </c>
      <c r="K7441" s="1" t="str">
        <f t="shared" si="13090"/>
        <v>0</v>
      </c>
      <c r="L7441" s="1" t="str">
        <f t="shared" si="13090"/>
        <v>0</v>
      </c>
      <c r="M7441" s="1" t="str">
        <f t="shared" si="13090"/>
        <v>0</v>
      </c>
      <c r="N7441" s="1" t="str">
        <f t="shared" si="13090"/>
        <v>0</v>
      </c>
      <c r="O7441" s="1" t="str">
        <f t="shared" si="13090"/>
        <v>0</v>
      </c>
      <c r="P7441" s="1" t="str">
        <f t="shared" si="13090"/>
        <v>0</v>
      </c>
      <c r="Q7441" s="1" t="str">
        <f t="shared" si="13074"/>
        <v>0.0070</v>
      </c>
      <c r="R7441" s="1" t="s">
        <v>25</v>
      </c>
      <c r="T7441" s="1" t="str">
        <f t="shared" si="13075"/>
        <v>0</v>
      </c>
      <c r="U7441" s="1" t="str">
        <f t="shared" si="13052"/>
        <v>0.0070</v>
      </c>
    </row>
    <row r="7442" s="1" customFormat="1" spans="1:21">
      <c r="A7442" s="1" t="str">
        <f>"4601992337669"</f>
        <v>4601992337669</v>
      </c>
      <c r="B7442" s="1" t="s">
        <v>7465</v>
      </c>
      <c r="C7442" s="1" t="s">
        <v>24</v>
      </c>
      <c r="D7442" s="1" t="str">
        <f t="shared" si="13072"/>
        <v>2021</v>
      </c>
      <c r="E7442" s="1" t="str">
        <f t="shared" ref="E7442:P7442" si="13091">"0"</f>
        <v>0</v>
      </c>
      <c r="F7442" s="1" t="str">
        <f t="shared" si="13091"/>
        <v>0</v>
      </c>
      <c r="G7442" s="1" t="str">
        <f t="shared" si="13091"/>
        <v>0</v>
      </c>
      <c r="H7442" s="1" t="str">
        <f t="shared" si="13091"/>
        <v>0</v>
      </c>
      <c r="I7442" s="1" t="str">
        <f t="shared" si="13091"/>
        <v>0</v>
      </c>
      <c r="J7442" s="1" t="str">
        <f t="shared" si="13091"/>
        <v>0</v>
      </c>
      <c r="K7442" s="1" t="str">
        <f t="shared" si="13091"/>
        <v>0</v>
      </c>
      <c r="L7442" s="1" t="str">
        <f t="shared" si="13091"/>
        <v>0</v>
      </c>
      <c r="M7442" s="1" t="str">
        <f t="shared" si="13091"/>
        <v>0</v>
      </c>
      <c r="N7442" s="1" t="str">
        <f t="shared" si="13091"/>
        <v>0</v>
      </c>
      <c r="O7442" s="1" t="str">
        <f t="shared" si="13091"/>
        <v>0</v>
      </c>
      <c r="P7442" s="1" t="str">
        <f t="shared" si="13091"/>
        <v>0</v>
      </c>
      <c r="Q7442" s="1" t="str">
        <f t="shared" si="13074"/>
        <v>0.0070</v>
      </c>
      <c r="R7442" s="1" t="s">
        <v>25</v>
      </c>
      <c r="T7442" s="1" t="str">
        <f t="shared" si="13075"/>
        <v>0</v>
      </c>
      <c r="U7442" s="1" t="str">
        <f t="shared" si="13052"/>
        <v>0.0070</v>
      </c>
    </row>
    <row r="7443" s="1" customFormat="1" spans="1:21">
      <c r="A7443" s="1" t="str">
        <f>"4601992337701"</f>
        <v>4601992337701</v>
      </c>
      <c r="B7443" s="1" t="s">
        <v>7466</v>
      </c>
      <c r="C7443" s="1" t="s">
        <v>24</v>
      </c>
      <c r="D7443" s="1" t="str">
        <f t="shared" si="13072"/>
        <v>2021</v>
      </c>
      <c r="E7443" s="1" t="str">
        <f t="shared" ref="E7443:P7443" si="13092">"0"</f>
        <v>0</v>
      </c>
      <c r="F7443" s="1" t="str">
        <f t="shared" si="13092"/>
        <v>0</v>
      </c>
      <c r="G7443" s="1" t="str">
        <f t="shared" si="13092"/>
        <v>0</v>
      </c>
      <c r="H7443" s="1" t="str">
        <f t="shared" si="13092"/>
        <v>0</v>
      </c>
      <c r="I7443" s="1" t="str">
        <f t="shared" si="13092"/>
        <v>0</v>
      </c>
      <c r="J7443" s="1" t="str">
        <f t="shared" si="13092"/>
        <v>0</v>
      </c>
      <c r="K7443" s="1" t="str">
        <f t="shared" si="13092"/>
        <v>0</v>
      </c>
      <c r="L7443" s="1" t="str">
        <f t="shared" si="13092"/>
        <v>0</v>
      </c>
      <c r="M7443" s="1" t="str">
        <f t="shared" si="13092"/>
        <v>0</v>
      </c>
      <c r="N7443" s="1" t="str">
        <f t="shared" si="13092"/>
        <v>0</v>
      </c>
      <c r="O7443" s="1" t="str">
        <f t="shared" si="13092"/>
        <v>0</v>
      </c>
      <c r="P7443" s="1" t="str">
        <f t="shared" si="13092"/>
        <v>0</v>
      </c>
      <c r="Q7443" s="1" t="str">
        <f t="shared" si="13074"/>
        <v>0.0070</v>
      </c>
      <c r="R7443" s="1" t="s">
        <v>25</v>
      </c>
      <c r="T7443" s="1" t="str">
        <f t="shared" si="13075"/>
        <v>0</v>
      </c>
      <c r="U7443" s="1" t="str">
        <f t="shared" si="13052"/>
        <v>0.0070</v>
      </c>
    </row>
    <row r="7444" s="1" customFormat="1" spans="1:21">
      <c r="A7444" s="1" t="str">
        <f>"4601992337816"</f>
        <v>4601992337816</v>
      </c>
      <c r="B7444" s="1" t="s">
        <v>7467</v>
      </c>
      <c r="C7444" s="1" t="s">
        <v>24</v>
      </c>
      <c r="D7444" s="1" t="str">
        <f t="shared" si="13072"/>
        <v>2021</v>
      </c>
      <c r="E7444" s="1" t="str">
        <f t="shared" ref="E7444:P7444" si="13093">"0"</f>
        <v>0</v>
      </c>
      <c r="F7444" s="1" t="str">
        <f t="shared" si="13093"/>
        <v>0</v>
      </c>
      <c r="G7444" s="1" t="str">
        <f t="shared" si="13093"/>
        <v>0</v>
      </c>
      <c r="H7444" s="1" t="str">
        <f t="shared" si="13093"/>
        <v>0</v>
      </c>
      <c r="I7444" s="1" t="str">
        <f t="shared" si="13093"/>
        <v>0</v>
      </c>
      <c r="J7444" s="1" t="str">
        <f t="shared" si="13093"/>
        <v>0</v>
      </c>
      <c r="K7444" s="1" t="str">
        <f t="shared" si="13093"/>
        <v>0</v>
      </c>
      <c r="L7444" s="1" t="str">
        <f t="shared" si="13093"/>
        <v>0</v>
      </c>
      <c r="M7444" s="1" t="str">
        <f t="shared" si="13093"/>
        <v>0</v>
      </c>
      <c r="N7444" s="1" t="str">
        <f t="shared" si="13093"/>
        <v>0</v>
      </c>
      <c r="O7444" s="1" t="str">
        <f t="shared" si="13093"/>
        <v>0</v>
      </c>
      <c r="P7444" s="1" t="str">
        <f t="shared" si="13093"/>
        <v>0</v>
      </c>
      <c r="Q7444" s="1" t="str">
        <f t="shared" si="13074"/>
        <v>0.0070</v>
      </c>
      <c r="R7444" s="1" t="s">
        <v>25</v>
      </c>
      <c r="T7444" s="1" t="str">
        <f t="shared" si="13075"/>
        <v>0</v>
      </c>
      <c r="U7444" s="1" t="str">
        <f t="shared" si="13052"/>
        <v>0.0070</v>
      </c>
    </row>
    <row r="7445" s="1" customFormat="1" spans="1:21">
      <c r="A7445" s="1" t="str">
        <f>"4601992337922"</f>
        <v>4601992337922</v>
      </c>
      <c r="B7445" s="1" t="s">
        <v>7468</v>
      </c>
      <c r="C7445" s="1" t="s">
        <v>24</v>
      </c>
      <c r="D7445" s="1" t="str">
        <f t="shared" si="13072"/>
        <v>2021</v>
      </c>
      <c r="E7445" s="1" t="str">
        <f t="shared" ref="E7445:P7445" si="13094">"0"</f>
        <v>0</v>
      </c>
      <c r="F7445" s="1" t="str">
        <f t="shared" si="13094"/>
        <v>0</v>
      </c>
      <c r="G7445" s="1" t="str">
        <f t="shared" si="13094"/>
        <v>0</v>
      </c>
      <c r="H7445" s="1" t="str">
        <f t="shared" si="13094"/>
        <v>0</v>
      </c>
      <c r="I7445" s="1" t="str">
        <f t="shared" si="13094"/>
        <v>0</v>
      </c>
      <c r="J7445" s="1" t="str">
        <f t="shared" si="13094"/>
        <v>0</v>
      </c>
      <c r="K7445" s="1" t="str">
        <f t="shared" si="13094"/>
        <v>0</v>
      </c>
      <c r="L7445" s="1" t="str">
        <f t="shared" si="13094"/>
        <v>0</v>
      </c>
      <c r="M7445" s="1" t="str">
        <f t="shared" si="13094"/>
        <v>0</v>
      </c>
      <c r="N7445" s="1" t="str">
        <f t="shared" si="13094"/>
        <v>0</v>
      </c>
      <c r="O7445" s="1" t="str">
        <f t="shared" si="13094"/>
        <v>0</v>
      </c>
      <c r="P7445" s="1" t="str">
        <f t="shared" si="13094"/>
        <v>0</v>
      </c>
      <c r="Q7445" s="1" t="str">
        <f t="shared" si="13074"/>
        <v>0.0070</v>
      </c>
      <c r="R7445" s="1" t="s">
        <v>25</v>
      </c>
      <c r="T7445" s="1" t="str">
        <f t="shared" si="13075"/>
        <v>0</v>
      </c>
      <c r="U7445" s="1" t="str">
        <f t="shared" si="13052"/>
        <v>0.0070</v>
      </c>
    </row>
    <row r="7446" s="1" customFormat="1" spans="1:21">
      <c r="A7446" s="1" t="str">
        <f>"4601992337949"</f>
        <v>4601992337949</v>
      </c>
      <c r="B7446" s="1" t="s">
        <v>7469</v>
      </c>
      <c r="C7446" s="1" t="s">
        <v>24</v>
      </c>
      <c r="D7446" s="1" t="str">
        <f t="shared" si="13072"/>
        <v>2021</v>
      </c>
      <c r="E7446" s="1" t="str">
        <f t="shared" ref="E7446:P7446" si="13095">"0"</f>
        <v>0</v>
      </c>
      <c r="F7446" s="1" t="str">
        <f t="shared" si="13095"/>
        <v>0</v>
      </c>
      <c r="G7446" s="1" t="str">
        <f t="shared" si="13095"/>
        <v>0</v>
      </c>
      <c r="H7446" s="1" t="str">
        <f t="shared" si="13095"/>
        <v>0</v>
      </c>
      <c r="I7446" s="1" t="str">
        <f t="shared" si="13095"/>
        <v>0</v>
      </c>
      <c r="J7446" s="1" t="str">
        <f t="shared" si="13095"/>
        <v>0</v>
      </c>
      <c r="K7446" s="1" t="str">
        <f t="shared" si="13095"/>
        <v>0</v>
      </c>
      <c r="L7446" s="1" t="str">
        <f t="shared" si="13095"/>
        <v>0</v>
      </c>
      <c r="M7446" s="1" t="str">
        <f t="shared" si="13095"/>
        <v>0</v>
      </c>
      <c r="N7446" s="1" t="str">
        <f t="shared" si="13095"/>
        <v>0</v>
      </c>
      <c r="O7446" s="1" t="str">
        <f t="shared" si="13095"/>
        <v>0</v>
      </c>
      <c r="P7446" s="1" t="str">
        <f t="shared" si="13095"/>
        <v>0</v>
      </c>
      <c r="Q7446" s="1" t="str">
        <f t="shared" si="13074"/>
        <v>0.0070</v>
      </c>
      <c r="R7446" s="1" t="s">
        <v>25</v>
      </c>
      <c r="T7446" s="1" t="str">
        <f t="shared" si="13075"/>
        <v>0</v>
      </c>
      <c r="U7446" s="1" t="str">
        <f t="shared" si="13052"/>
        <v>0.0070</v>
      </c>
    </row>
    <row r="7447" s="1" customFormat="1" spans="1:21">
      <c r="A7447" s="1" t="str">
        <f>"4601992338109"</f>
        <v>4601992338109</v>
      </c>
      <c r="B7447" s="1" t="s">
        <v>7470</v>
      </c>
      <c r="C7447" s="1" t="s">
        <v>24</v>
      </c>
      <c r="D7447" s="1" t="str">
        <f t="shared" si="13072"/>
        <v>2021</v>
      </c>
      <c r="E7447" s="1" t="str">
        <f t="shared" ref="E7447:P7447" si="13096">"0"</f>
        <v>0</v>
      </c>
      <c r="F7447" s="1" t="str">
        <f t="shared" si="13096"/>
        <v>0</v>
      </c>
      <c r="G7447" s="1" t="str">
        <f t="shared" si="13096"/>
        <v>0</v>
      </c>
      <c r="H7447" s="1" t="str">
        <f t="shared" si="13096"/>
        <v>0</v>
      </c>
      <c r="I7447" s="1" t="str">
        <f t="shared" si="13096"/>
        <v>0</v>
      </c>
      <c r="J7447" s="1" t="str">
        <f t="shared" si="13096"/>
        <v>0</v>
      </c>
      <c r="K7447" s="1" t="str">
        <f t="shared" si="13096"/>
        <v>0</v>
      </c>
      <c r="L7447" s="1" t="str">
        <f t="shared" si="13096"/>
        <v>0</v>
      </c>
      <c r="M7447" s="1" t="str">
        <f t="shared" si="13096"/>
        <v>0</v>
      </c>
      <c r="N7447" s="1" t="str">
        <f t="shared" si="13096"/>
        <v>0</v>
      </c>
      <c r="O7447" s="1" t="str">
        <f t="shared" si="13096"/>
        <v>0</v>
      </c>
      <c r="P7447" s="1" t="str">
        <f t="shared" si="13096"/>
        <v>0</v>
      </c>
      <c r="Q7447" s="1" t="str">
        <f t="shared" si="13074"/>
        <v>0.0070</v>
      </c>
      <c r="R7447" s="1" t="s">
        <v>25</v>
      </c>
      <c r="T7447" s="1" t="str">
        <f t="shared" si="13075"/>
        <v>0</v>
      </c>
      <c r="U7447" s="1" t="str">
        <f t="shared" si="13052"/>
        <v>0.0070</v>
      </c>
    </row>
    <row r="7448" s="1" customFormat="1" spans="1:21">
      <c r="A7448" s="1" t="str">
        <f>"4601992338056"</f>
        <v>4601992338056</v>
      </c>
      <c r="B7448" s="1" t="s">
        <v>7471</v>
      </c>
      <c r="C7448" s="1" t="s">
        <v>24</v>
      </c>
      <c r="D7448" s="1" t="str">
        <f t="shared" si="13072"/>
        <v>2021</v>
      </c>
      <c r="E7448" s="1" t="str">
        <f t="shared" ref="E7448:P7448" si="13097">"0"</f>
        <v>0</v>
      </c>
      <c r="F7448" s="1" t="str">
        <f t="shared" si="13097"/>
        <v>0</v>
      </c>
      <c r="G7448" s="1" t="str">
        <f t="shared" si="13097"/>
        <v>0</v>
      </c>
      <c r="H7448" s="1" t="str">
        <f t="shared" si="13097"/>
        <v>0</v>
      </c>
      <c r="I7448" s="1" t="str">
        <f t="shared" si="13097"/>
        <v>0</v>
      </c>
      <c r="J7448" s="1" t="str">
        <f t="shared" si="13097"/>
        <v>0</v>
      </c>
      <c r="K7448" s="1" t="str">
        <f t="shared" si="13097"/>
        <v>0</v>
      </c>
      <c r="L7448" s="1" t="str">
        <f t="shared" si="13097"/>
        <v>0</v>
      </c>
      <c r="M7448" s="1" t="str">
        <f t="shared" si="13097"/>
        <v>0</v>
      </c>
      <c r="N7448" s="1" t="str">
        <f t="shared" si="13097"/>
        <v>0</v>
      </c>
      <c r="O7448" s="1" t="str">
        <f t="shared" si="13097"/>
        <v>0</v>
      </c>
      <c r="P7448" s="1" t="str">
        <f t="shared" si="13097"/>
        <v>0</v>
      </c>
      <c r="Q7448" s="1" t="str">
        <f t="shared" si="13074"/>
        <v>0.0070</v>
      </c>
      <c r="R7448" s="1" t="s">
        <v>25</v>
      </c>
      <c r="T7448" s="1" t="str">
        <f t="shared" si="13075"/>
        <v>0</v>
      </c>
      <c r="U7448" s="1" t="str">
        <f t="shared" si="13052"/>
        <v>0.0070</v>
      </c>
    </row>
    <row r="7449" s="1" customFormat="1" spans="1:21">
      <c r="A7449" s="1" t="str">
        <f>"4601992338178"</f>
        <v>4601992338178</v>
      </c>
      <c r="B7449" s="1" t="s">
        <v>7472</v>
      </c>
      <c r="C7449" s="1" t="s">
        <v>24</v>
      </c>
      <c r="D7449" s="1" t="str">
        <f t="shared" si="13072"/>
        <v>2021</v>
      </c>
      <c r="E7449" s="1" t="str">
        <f t="shared" ref="E7449:P7449" si="13098">"0"</f>
        <v>0</v>
      </c>
      <c r="F7449" s="1" t="str">
        <f t="shared" si="13098"/>
        <v>0</v>
      </c>
      <c r="G7449" s="1" t="str">
        <f t="shared" si="13098"/>
        <v>0</v>
      </c>
      <c r="H7449" s="1" t="str">
        <f t="shared" si="13098"/>
        <v>0</v>
      </c>
      <c r="I7449" s="1" t="str">
        <f t="shared" si="13098"/>
        <v>0</v>
      </c>
      <c r="J7449" s="1" t="str">
        <f t="shared" si="13098"/>
        <v>0</v>
      </c>
      <c r="K7449" s="1" t="str">
        <f t="shared" si="13098"/>
        <v>0</v>
      </c>
      <c r="L7449" s="1" t="str">
        <f t="shared" si="13098"/>
        <v>0</v>
      </c>
      <c r="M7449" s="1" t="str">
        <f t="shared" si="13098"/>
        <v>0</v>
      </c>
      <c r="N7449" s="1" t="str">
        <f t="shared" si="13098"/>
        <v>0</v>
      </c>
      <c r="O7449" s="1" t="str">
        <f t="shared" si="13098"/>
        <v>0</v>
      </c>
      <c r="P7449" s="1" t="str">
        <f t="shared" si="13098"/>
        <v>0</v>
      </c>
      <c r="Q7449" s="1" t="str">
        <f t="shared" si="13074"/>
        <v>0.0070</v>
      </c>
      <c r="R7449" s="1" t="s">
        <v>25</v>
      </c>
      <c r="T7449" s="1" t="str">
        <f t="shared" si="13075"/>
        <v>0</v>
      </c>
      <c r="U7449" s="1" t="str">
        <f t="shared" si="13052"/>
        <v>0.0070</v>
      </c>
    </row>
    <row r="7450" s="1" customFormat="1" spans="1:21">
      <c r="A7450" s="1" t="str">
        <f>"4601992338531"</f>
        <v>4601992338531</v>
      </c>
      <c r="B7450" s="1" t="s">
        <v>7473</v>
      </c>
      <c r="C7450" s="1" t="s">
        <v>24</v>
      </c>
      <c r="D7450" s="1" t="str">
        <f t="shared" si="13072"/>
        <v>2021</v>
      </c>
      <c r="E7450" s="1" t="str">
        <f t="shared" ref="E7450:P7450" si="13099">"0"</f>
        <v>0</v>
      </c>
      <c r="F7450" s="1" t="str">
        <f t="shared" si="13099"/>
        <v>0</v>
      </c>
      <c r="G7450" s="1" t="str">
        <f t="shared" si="13099"/>
        <v>0</v>
      </c>
      <c r="H7450" s="1" t="str">
        <f t="shared" si="13099"/>
        <v>0</v>
      </c>
      <c r="I7450" s="1" t="str">
        <f t="shared" si="13099"/>
        <v>0</v>
      </c>
      <c r="J7450" s="1" t="str">
        <f t="shared" si="13099"/>
        <v>0</v>
      </c>
      <c r="K7450" s="1" t="str">
        <f t="shared" si="13099"/>
        <v>0</v>
      </c>
      <c r="L7450" s="1" t="str">
        <f t="shared" si="13099"/>
        <v>0</v>
      </c>
      <c r="M7450" s="1" t="str">
        <f t="shared" si="13099"/>
        <v>0</v>
      </c>
      <c r="N7450" s="1" t="str">
        <f t="shared" si="13099"/>
        <v>0</v>
      </c>
      <c r="O7450" s="1" t="str">
        <f t="shared" si="13099"/>
        <v>0</v>
      </c>
      <c r="P7450" s="1" t="str">
        <f t="shared" si="13099"/>
        <v>0</v>
      </c>
      <c r="Q7450" s="1" t="str">
        <f t="shared" si="13074"/>
        <v>0.0070</v>
      </c>
      <c r="R7450" s="1" t="s">
        <v>25</v>
      </c>
      <c r="T7450" s="1" t="str">
        <f t="shared" si="13075"/>
        <v>0</v>
      </c>
      <c r="U7450" s="1" t="str">
        <f t="shared" si="13052"/>
        <v>0.0070</v>
      </c>
    </row>
    <row r="7451" s="1" customFormat="1" spans="1:21">
      <c r="A7451" s="1" t="str">
        <f>"4601992338434"</f>
        <v>4601992338434</v>
      </c>
      <c r="B7451" s="1" t="s">
        <v>7474</v>
      </c>
      <c r="C7451" s="1" t="s">
        <v>24</v>
      </c>
      <c r="D7451" s="1" t="str">
        <f t="shared" si="13072"/>
        <v>2021</v>
      </c>
      <c r="E7451" s="1" t="str">
        <f t="shared" ref="E7451:P7451" si="13100">"0"</f>
        <v>0</v>
      </c>
      <c r="F7451" s="1" t="str">
        <f t="shared" si="13100"/>
        <v>0</v>
      </c>
      <c r="G7451" s="1" t="str">
        <f t="shared" si="13100"/>
        <v>0</v>
      </c>
      <c r="H7451" s="1" t="str">
        <f t="shared" si="13100"/>
        <v>0</v>
      </c>
      <c r="I7451" s="1" t="str">
        <f t="shared" si="13100"/>
        <v>0</v>
      </c>
      <c r="J7451" s="1" t="str">
        <f t="shared" si="13100"/>
        <v>0</v>
      </c>
      <c r="K7451" s="1" t="str">
        <f t="shared" si="13100"/>
        <v>0</v>
      </c>
      <c r="L7451" s="1" t="str">
        <f t="shared" si="13100"/>
        <v>0</v>
      </c>
      <c r="M7451" s="1" t="str">
        <f t="shared" si="13100"/>
        <v>0</v>
      </c>
      <c r="N7451" s="1" t="str">
        <f t="shared" si="13100"/>
        <v>0</v>
      </c>
      <c r="O7451" s="1" t="str">
        <f t="shared" si="13100"/>
        <v>0</v>
      </c>
      <c r="P7451" s="1" t="str">
        <f t="shared" si="13100"/>
        <v>0</v>
      </c>
      <c r="Q7451" s="1" t="str">
        <f t="shared" si="13074"/>
        <v>0.0070</v>
      </c>
      <c r="R7451" s="1" t="s">
        <v>25</v>
      </c>
      <c r="T7451" s="1" t="str">
        <f t="shared" si="13075"/>
        <v>0</v>
      </c>
      <c r="U7451" s="1" t="str">
        <f t="shared" si="13052"/>
        <v>0.0070</v>
      </c>
    </row>
    <row r="7452" s="1" customFormat="1" spans="1:21">
      <c r="A7452" s="1" t="str">
        <f>"4601992338319"</f>
        <v>4601992338319</v>
      </c>
      <c r="B7452" s="1" t="s">
        <v>7475</v>
      </c>
      <c r="C7452" s="1" t="s">
        <v>24</v>
      </c>
      <c r="D7452" s="1" t="str">
        <f t="shared" si="13072"/>
        <v>2021</v>
      </c>
      <c r="E7452" s="1" t="str">
        <f t="shared" ref="E7452:P7452" si="13101">"0"</f>
        <v>0</v>
      </c>
      <c r="F7452" s="1" t="str">
        <f t="shared" si="13101"/>
        <v>0</v>
      </c>
      <c r="G7452" s="1" t="str">
        <f t="shared" si="13101"/>
        <v>0</v>
      </c>
      <c r="H7452" s="1" t="str">
        <f t="shared" si="13101"/>
        <v>0</v>
      </c>
      <c r="I7452" s="1" t="str">
        <f t="shared" si="13101"/>
        <v>0</v>
      </c>
      <c r="J7452" s="1" t="str">
        <f t="shared" si="13101"/>
        <v>0</v>
      </c>
      <c r="K7452" s="1" t="str">
        <f t="shared" si="13101"/>
        <v>0</v>
      </c>
      <c r="L7452" s="1" t="str">
        <f t="shared" si="13101"/>
        <v>0</v>
      </c>
      <c r="M7452" s="1" t="str">
        <f t="shared" si="13101"/>
        <v>0</v>
      </c>
      <c r="N7452" s="1" t="str">
        <f t="shared" si="13101"/>
        <v>0</v>
      </c>
      <c r="O7452" s="1" t="str">
        <f t="shared" si="13101"/>
        <v>0</v>
      </c>
      <c r="P7452" s="1" t="str">
        <f t="shared" si="13101"/>
        <v>0</v>
      </c>
      <c r="Q7452" s="1" t="str">
        <f t="shared" si="13074"/>
        <v>0.0070</v>
      </c>
      <c r="R7452" s="1" t="s">
        <v>25</v>
      </c>
      <c r="T7452" s="1" t="str">
        <f t="shared" si="13075"/>
        <v>0</v>
      </c>
      <c r="U7452" s="1" t="str">
        <f t="shared" si="13052"/>
        <v>0.0070</v>
      </c>
    </row>
    <row r="7453" s="1" customFormat="1" spans="1:21">
      <c r="A7453" s="1" t="str">
        <f>"4601992338615"</f>
        <v>4601992338615</v>
      </c>
      <c r="B7453" s="1" t="s">
        <v>7476</v>
      </c>
      <c r="C7453" s="1" t="s">
        <v>24</v>
      </c>
      <c r="D7453" s="1" t="str">
        <f t="shared" si="13072"/>
        <v>2021</v>
      </c>
      <c r="E7453" s="1" t="str">
        <f t="shared" ref="E7453:P7453" si="13102">"0"</f>
        <v>0</v>
      </c>
      <c r="F7453" s="1" t="str">
        <f t="shared" si="13102"/>
        <v>0</v>
      </c>
      <c r="G7453" s="1" t="str">
        <f t="shared" si="13102"/>
        <v>0</v>
      </c>
      <c r="H7453" s="1" t="str">
        <f t="shared" si="13102"/>
        <v>0</v>
      </c>
      <c r="I7453" s="1" t="str">
        <f t="shared" si="13102"/>
        <v>0</v>
      </c>
      <c r="J7453" s="1" t="str">
        <f t="shared" si="13102"/>
        <v>0</v>
      </c>
      <c r="K7453" s="1" t="str">
        <f t="shared" si="13102"/>
        <v>0</v>
      </c>
      <c r="L7453" s="1" t="str">
        <f t="shared" si="13102"/>
        <v>0</v>
      </c>
      <c r="M7453" s="1" t="str">
        <f t="shared" si="13102"/>
        <v>0</v>
      </c>
      <c r="N7453" s="1" t="str">
        <f t="shared" si="13102"/>
        <v>0</v>
      </c>
      <c r="O7453" s="1" t="str">
        <f t="shared" si="13102"/>
        <v>0</v>
      </c>
      <c r="P7453" s="1" t="str">
        <f t="shared" si="13102"/>
        <v>0</v>
      </c>
      <c r="Q7453" s="1" t="str">
        <f t="shared" si="13074"/>
        <v>0.0070</v>
      </c>
      <c r="R7453" s="1" t="s">
        <v>25</v>
      </c>
      <c r="T7453" s="1" t="str">
        <f t="shared" si="13075"/>
        <v>0</v>
      </c>
      <c r="U7453" s="1" t="str">
        <f t="shared" si="13052"/>
        <v>0.0070</v>
      </c>
    </row>
    <row r="7454" s="1" customFormat="1" spans="1:21">
      <c r="A7454" s="1" t="str">
        <f>"4601992338627"</f>
        <v>4601992338627</v>
      </c>
      <c r="B7454" s="1" t="s">
        <v>7477</v>
      </c>
      <c r="C7454" s="1" t="s">
        <v>24</v>
      </c>
      <c r="D7454" s="1" t="str">
        <f t="shared" si="13072"/>
        <v>2021</v>
      </c>
      <c r="E7454" s="1" t="str">
        <f t="shared" ref="E7454:P7454" si="13103">"0"</f>
        <v>0</v>
      </c>
      <c r="F7454" s="1" t="str">
        <f t="shared" si="13103"/>
        <v>0</v>
      </c>
      <c r="G7454" s="1" t="str">
        <f t="shared" si="13103"/>
        <v>0</v>
      </c>
      <c r="H7454" s="1" t="str">
        <f t="shared" si="13103"/>
        <v>0</v>
      </c>
      <c r="I7454" s="1" t="str">
        <f t="shared" si="13103"/>
        <v>0</v>
      </c>
      <c r="J7454" s="1" t="str">
        <f t="shared" si="13103"/>
        <v>0</v>
      </c>
      <c r="K7454" s="1" t="str">
        <f t="shared" si="13103"/>
        <v>0</v>
      </c>
      <c r="L7454" s="1" t="str">
        <f t="shared" si="13103"/>
        <v>0</v>
      </c>
      <c r="M7454" s="1" t="str">
        <f t="shared" si="13103"/>
        <v>0</v>
      </c>
      <c r="N7454" s="1" t="str">
        <f t="shared" si="13103"/>
        <v>0</v>
      </c>
      <c r="O7454" s="1" t="str">
        <f t="shared" si="13103"/>
        <v>0</v>
      </c>
      <c r="P7454" s="1" t="str">
        <f t="shared" si="13103"/>
        <v>0</v>
      </c>
      <c r="Q7454" s="1" t="str">
        <f t="shared" si="13074"/>
        <v>0.0070</v>
      </c>
      <c r="R7454" s="1" t="s">
        <v>25</v>
      </c>
      <c r="T7454" s="1" t="str">
        <f t="shared" si="13075"/>
        <v>0</v>
      </c>
      <c r="U7454" s="1" t="str">
        <f t="shared" si="13052"/>
        <v>0.0070</v>
      </c>
    </row>
    <row r="7455" s="1" customFormat="1" spans="1:21">
      <c r="A7455" s="1" t="str">
        <f>"4601992338697"</f>
        <v>4601992338697</v>
      </c>
      <c r="B7455" s="1" t="s">
        <v>7478</v>
      </c>
      <c r="C7455" s="1" t="s">
        <v>24</v>
      </c>
      <c r="D7455" s="1" t="str">
        <f t="shared" si="13072"/>
        <v>2021</v>
      </c>
      <c r="E7455" s="1" t="str">
        <f t="shared" ref="E7455:P7455" si="13104">"0"</f>
        <v>0</v>
      </c>
      <c r="F7455" s="1" t="str">
        <f t="shared" si="13104"/>
        <v>0</v>
      </c>
      <c r="G7455" s="1" t="str">
        <f t="shared" si="13104"/>
        <v>0</v>
      </c>
      <c r="H7455" s="1" t="str">
        <f t="shared" si="13104"/>
        <v>0</v>
      </c>
      <c r="I7455" s="1" t="str">
        <f t="shared" si="13104"/>
        <v>0</v>
      </c>
      <c r="J7455" s="1" t="str">
        <f t="shared" si="13104"/>
        <v>0</v>
      </c>
      <c r="K7455" s="1" t="str">
        <f t="shared" si="13104"/>
        <v>0</v>
      </c>
      <c r="L7455" s="1" t="str">
        <f t="shared" si="13104"/>
        <v>0</v>
      </c>
      <c r="M7455" s="1" t="str">
        <f t="shared" si="13104"/>
        <v>0</v>
      </c>
      <c r="N7455" s="1" t="str">
        <f t="shared" si="13104"/>
        <v>0</v>
      </c>
      <c r="O7455" s="1" t="str">
        <f t="shared" si="13104"/>
        <v>0</v>
      </c>
      <c r="P7455" s="1" t="str">
        <f t="shared" si="13104"/>
        <v>0</v>
      </c>
      <c r="Q7455" s="1" t="str">
        <f t="shared" si="13074"/>
        <v>0.0070</v>
      </c>
      <c r="R7455" s="1" t="s">
        <v>25</v>
      </c>
      <c r="T7455" s="1" t="str">
        <f t="shared" si="13075"/>
        <v>0</v>
      </c>
      <c r="U7455" s="1" t="str">
        <f t="shared" si="13052"/>
        <v>0.0070</v>
      </c>
    </row>
    <row r="7456" s="1" customFormat="1" spans="1:21">
      <c r="A7456" s="1" t="str">
        <f>"4601992338637"</f>
        <v>4601992338637</v>
      </c>
      <c r="B7456" s="1" t="s">
        <v>7479</v>
      </c>
      <c r="C7456" s="1" t="s">
        <v>24</v>
      </c>
      <c r="D7456" s="1" t="str">
        <f t="shared" si="13072"/>
        <v>2021</v>
      </c>
      <c r="E7456" s="1" t="str">
        <f t="shared" ref="E7456:P7456" si="13105">"0"</f>
        <v>0</v>
      </c>
      <c r="F7456" s="1" t="str">
        <f t="shared" si="13105"/>
        <v>0</v>
      </c>
      <c r="G7456" s="1" t="str">
        <f t="shared" si="13105"/>
        <v>0</v>
      </c>
      <c r="H7456" s="1" t="str">
        <f t="shared" si="13105"/>
        <v>0</v>
      </c>
      <c r="I7456" s="1" t="str">
        <f t="shared" si="13105"/>
        <v>0</v>
      </c>
      <c r="J7456" s="1" t="str">
        <f t="shared" si="13105"/>
        <v>0</v>
      </c>
      <c r="K7456" s="1" t="str">
        <f t="shared" si="13105"/>
        <v>0</v>
      </c>
      <c r="L7456" s="1" t="str">
        <f t="shared" si="13105"/>
        <v>0</v>
      </c>
      <c r="M7456" s="1" t="str">
        <f t="shared" si="13105"/>
        <v>0</v>
      </c>
      <c r="N7456" s="1" t="str">
        <f t="shared" si="13105"/>
        <v>0</v>
      </c>
      <c r="O7456" s="1" t="str">
        <f t="shared" si="13105"/>
        <v>0</v>
      </c>
      <c r="P7456" s="1" t="str">
        <f t="shared" si="13105"/>
        <v>0</v>
      </c>
      <c r="Q7456" s="1" t="str">
        <f t="shared" si="13074"/>
        <v>0.0070</v>
      </c>
      <c r="R7456" s="1" t="s">
        <v>25</v>
      </c>
      <c r="T7456" s="1" t="str">
        <f t="shared" si="13075"/>
        <v>0</v>
      </c>
      <c r="U7456" s="1" t="str">
        <f t="shared" si="13052"/>
        <v>0.0070</v>
      </c>
    </row>
    <row r="7457" s="1" customFormat="1" spans="1:21">
      <c r="A7457" s="1" t="str">
        <f>"4601992338746"</f>
        <v>4601992338746</v>
      </c>
      <c r="B7457" s="1" t="s">
        <v>7480</v>
      </c>
      <c r="C7457" s="1" t="s">
        <v>24</v>
      </c>
      <c r="D7457" s="1" t="str">
        <f t="shared" si="13072"/>
        <v>2021</v>
      </c>
      <c r="E7457" s="1" t="str">
        <f t="shared" ref="E7457:P7457" si="13106">"0"</f>
        <v>0</v>
      </c>
      <c r="F7457" s="1" t="str">
        <f t="shared" si="13106"/>
        <v>0</v>
      </c>
      <c r="G7457" s="1" t="str">
        <f t="shared" si="13106"/>
        <v>0</v>
      </c>
      <c r="H7457" s="1" t="str">
        <f t="shared" si="13106"/>
        <v>0</v>
      </c>
      <c r="I7457" s="1" t="str">
        <f t="shared" si="13106"/>
        <v>0</v>
      </c>
      <c r="J7457" s="1" t="str">
        <f t="shared" si="13106"/>
        <v>0</v>
      </c>
      <c r="K7457" s="1" t="str">
        <f t="shared" si="13106"/>
        <v>0</v>
      </c>
      <c r="L7457" s="1" t="str">
        <f t="shared" si="13106"/>
        <v>0</v>
      </c>
      <c r="M7457" s="1" t="str">
        <f t="shared" si="13106"/>
        <v>0</v>
      </c>
      <c r="N7457" s="1" t="str">
        <f t="shared" si="13106"/>
        <v>0</v>
      </c>
      <c r="O7457" s="1" t="str">
        <f t="shared" si="13106"/>
        <v>0</v>
      </c>
      <c r="P7457" s="1" t="str">
        <f t="shared" si="13106"/>
        <v>0</v>
      </c>
      <c r="Q7457" s="1" t="str">
        <f t="shared" si="13074"/>
        <v>0.0070</v>
      </c>
      <c r="R7457" s="1" t="s">
        <v>25</v>
      </c>
      <c r="T7457" s="1" t="str">
        <f t="shared" si="13075"/>
        <v>0</v>
      </c>
      <c r="U7457" s="1" t="str">
        <f t="shared" si="13052"/>
        <v>0.0070</v>
      </c>
    </row>
    <row r="7458" s="1" customFormat="1" spans="1:21">
      <c r="A7458" s="1" t="str">
        <f>"4601992338765"</f>
        <v>4601992338765</v>
      </c>
      <c r="B7458" s="1" t="s">
        <v>7481</v>
      </c>
      <c r="C7458" s="1" t="s">
        <v>24</v>
      </c>
      <c r="D7458" s="1" t="str">
        <f t="shared" si="13072"/>
        <v>2021</v>
      </c>
      <c r="E7458" s="1" t="str">
        <f t="shared" ref="E7458:P7458" si="13107">"0"</f>
        <v>0</v>
      </c>
      <c r="F7458" s="1" t="str">
        <f t="shared" si="13107"/>
        <v>0</v>
      </c>
      <c r="G7458" s="1" t="str">
        <f t="shared" si="13107"/>
        <v>0</v>
      </c>
      <c r="H7458" s="1" t="str">
        <f t="shared" si="13107"/>
        <v>0</v>
      </c>
      <c r="I7458" s="1" t="str">
        <f t="shared" si="13107"/>
        <v>0</v>
      </c>
      <c r="J7458" s="1" t="str">
        <f t="shared" si="13107"/>
        <v>0</v>
      </c>
      <c r="K7458" s="1" t="str">
        <f t="shared" si="13107"/>
        <v>0</v>
      </c>
      <c r="L7458" s="1" t="str">
        <f t="shared" si="13107"/>
        <v>0</v>
      </c>
      <c r="M7458" s="1" t="str">
        <f t="shared" si="13107"/>
        <v>0</v>
      </c>
      <c r="N7458" s="1" t="str">
        <f t="shared" si="13107"/>
        <v>0</v>
      </c>
      <c r="O7458" s="1" t="str">
        <f t="shared" si="13107"/>
        <v>0</v>
      </c>
      <c r="P7458" s="1" t="str">
        <f t="shared" si="13107"/>
        <v>0</v>
      </c>
      <c r="Q7458" s="1" t="str">
        <f t="shared" si="13074"/>
        <v>0.0070</v>
      </c>
      <c r="R7458" s="1" t="s">
        <v>25</v>
      </c>
      <c r="T7458" s="1" t="str">
        <f t="shared" si="13075"/>
        <v>0</v>
      </c>
      <c r="U7458" s="1" t="str">
        <f t="shared" si="13052"/>
        <v>0.0070</v>
      </c>
    </row>
    <row r="7459" s="1" customFormat="1" spans="1:21">
      <c r="A7459" s="1" t="str">
        <f>"4601992338766"</f>
        <v>4601992338766</v>
      </c>
      <c r="B7459" s="1" t="s">
        <v>7482</v>
      </c>
      <c r="C7459" s="1" t="s">
        <v>24</v>
      </c>
      <c r="D7459" s="1" t="str">
        <f t="shared" si="13072"/>
        <v>2021</v>
      </c>
      <c r="E7459" s="1" t="str">
        <f t="shared" ref="E7459:P7459" si="13108">"0"</f>
        <v>0</v>
      </c>
      <c r="F7459" s="1" t="str">
        <f t="shared" si="13108"/>
        <v>0</v>
      </c>
      <c r="G7459" s="1" t="str">
        <f t="shared" si="13108"/>
        <v>0</v>
      </c>
      <c r="H7459" s="1" t="str">
        <f t="shared" si="13108"/>
        <v>0</v>
      </c>
      <c r="I7459" s="1" t="str">
        <f t="shared" si="13108"/>
        <v>0</v>
      </c>
      <c r="J7459" s="1" t="str">
        <f t="shared" si="13108"/>
        <v>0</v>
      </c>
      <c r="K7459" s="1" t="str">
        <f t="shared" si="13108"/>
        <v>0</v>
      </c>
      <c r="L7459" s="1" t="str">
        <f t="shared" si="13108"/>
        <v>0</v>
      </c>
      <c r="M7459" s="1" t="str">
        <f t="shared" si="13108"/>
        <v>0</v>
      </c>
      <c r="N7459" s="1" t="str">
        <f t="shared" si="13108"/>
        <v>0</v>
      </c>
      <c r="O7459" s="1" t="str">
        <f t="shared" si="13108"/>
        <v>0</v>
      </c>
      <c r="P7459" s="1" t="str">
        <f t="shared" si="13108"/>
        <v>0</v>
      </c>
      <c r="Q7459" s="1" t="str">
        <f t="shared" si="13074"/>
        <v>0.0070</v>
      </c>
      <c r="R7459" s="1" t="s">
        <v>25</v>
      </c>
      <c r="T7459" s="1" t="str">
        <f t="shared" si="13075"/>
        <v>0</v>
      </c>
      <c r="U7459" s="1" t="str">
        <f t="shared" si="13052"/>
        <v>0.0070</v>
      </c>
    </row>
    <row r="7460" s="1" customFormat="1" spans="1:21">
      <c r="A7460" s="1" t="str">
        <f>"4601992338787"</f>
        <v>4601992338787</v>
      </c>
      <c r="B7460" s="1" t="s">
        <v>7483</v>
      </c>
      <c r="C7460" s="1" t="s">
        <v>24</v>
      </c>
      <c r="D7460" s="1" t="str">
        <f t="shared" si="13072"/>
        <v>2021</v>
      </c>
      <c r="E7460" s="1" t="str">
        <f t="shared" ref="E7460:P7460" si="13109">"0"</f>
        <v>0</v>
      </c>
      <c r="F7460" s="1" t="str">
        <f t="shared" si="13109"/>
        <v>0</v>
      </c>
      <c r="G7460" s="1" t="str">
        <f t="shared" si="13109"/>
        <v>0</v>
      </c>
      <c r="H7460" s="1" t="str">
        <f t="shared" si="13109"/>
        <v>0</v>
      </c>
      <c r="I7460" s="1" t="str">
        <f t="shared" si="13109"/>
        <v>0</v>
      </c>
      <c r="J7460" s="1" t="str">
        <f t="shared" si="13109"/>
        <v>0</v>
      </c>
      <c r="K7460" s="1" t="str">
        <f t="shared" si="13109"/>
        <v>0</v>
      </c>
      <c r="L7460" s="1" t="str">
        <f t="shared" si="13109"/>
        <v>0</v>
      </c>
      <c r="M7460" s="1" t="str">
        <f t="shared" si="13109"/>
        <v>0</v>
      </c>
      <c r="N7460" s="1" t="str">
        <f t="shared" si="13109"/>
        <v>0</v>
      </c>
      <c r="O7460" s="1" t="str">
        <f t="shared" si="13109"/>
        <v>0</v>
      </c>
      <c r="P7460" s="1" t="str">
        <f t="shared" si="13109"/>
        <v>0</v>
      </c>
      <c r="Q7460" s="1" t="str">
        <f t="shared" si="13074"/>
        <v>0.0070</v>
      </c>
      <c r="R7460" s="1" t="s">
        <v>25</v>
      </c>
      <c r="T7460" s="1" t="str">
        <f t="shared" si="13075"/>
        <v>0</v>
      </c>
      <c r="U7460" s="1" t="str">
        <f t="shared" si="13052"/>
        <v>0.0070</v>
      </c>
    </row>
    <row r="7461" s="1" customFormat="1" spans="1:21">
      <c r="A7461" s="1" t="str">
        <f>"4601992338789"</f>
        <v>4601992338789</v>
      </c>
      <c r="B7461" s="1" t="s">
        <v>7484</v>
      </c>
      <c r="C7461" s="1" t="s">
        <v>24</v>
      </c>
      <c r="D7461" s="1" t="str">
        <f t="shared" si="13072"/>
        <v>2021</v>
      </c>
      <c r="E7461" s="1" t="str">
        <f t="shared" ref="E7461:P7461" si="13110">"0"</f>
        <v>0</v>
      </c>
      <c r="F7461" s="1" t="str">
        <f t="shared" si="13110"/>
        <v>0</v>
      </c>
      <c r="G7461" s="1" t="str">
        <f t="shared" si="13110"/>
        <v>0</v>
      </c>
      <c r="H7461" s="1" t="str">
        <f t="shared" si="13110"/>
        <v>0</v>
      </c>
      <c r="I7461" s="1" t="str">
        <f t="shared" si="13110"/>
        <v>0</v>
      </c>
      <c r="J7461" s="1" t="str">
        <f t="shared" si="13110"/>
        <v>0</v>
      </c>
      <c r="K7461" s="1" t="str">
        <f t="shared" si="13110"/>
        <v>0</v>
      </c>
      <c r="L7461" s="1" t="str">
        <f t="shared" si="13110"/>
        <v>0</v>
      </c>
      <c r="M7461" s="1" t="str">
        <f t="shared" si="13110"/>
        <v>0</v>
      </c>
      <c r="N7461" s="1" t="str">
        <f t="shared" si="13110"/>
        <v>0</v>
      </c>
      <c r="O7461" s="1" t="str">
        <f t="shared" si="13110"/>
        <v>0</v>
      </c>
      <c r="P7461" s="1" t="str">
        <f t="shared" si="13110"/>
        <v>0</v>
      </c>
      <c r="Q7461" s="1" t="str">
        <f t="shared" si="13074"/>
        <v>0.0070</v>
      </c>
      <c r="R7461" s="1" t="s">
        <v>25</v>
      </c>
      <c r="T7461" s="1" t="str">
        <f t="shared" si="13075"/>
        <v>0</v>
      </c>
      <c r="U7461" s="1" t="str">
        <f t="shared" si="13052"/>
        <v>0.0070</v>
      </c>
    </row>
    <row r="7462" s="1" customFormat="1" spans="1:21">
      <c r="A7462" s="1" t="str">
        <f>"4601992338792"</f>
        <v>4601992338792</v>
      </c>
      <c r="B7462" s="1" t="s">
        <v>7485</v>
      </c>
      <c r="C7462" s="1" t="s">
        <v>24</v>
      </c>
      <c r="D7462" s="1" t="str">
        <f t="shared" si="13072"/>
        <v>2021</v>
      </c>
      <c r="E7462" s="1" t="str">
        <f t="shared" ref="E7462:P7462" si="13111">"0"</f>
        <v>0</v>
      </c>
      <c r="F7462" s="1" t="str">
        <f t="shared" si="13111"/>
        <v>0</v>
      </c>
      <c r="G7462" s="1" t="str">
        <f t="shared" si="13111"/>
        <v>0</v>
      </c>
      <c r="H7462" s="1" t="str">
        <f t="shared" si="13111"/>
        <v>0</v>
      </c>
      <c r="I7462" s="1" t="str">
        <f t="shared" si="13111"/>
        <v>0</v>
      </c>
      <c r="J7462" s="1" t="str">
        <f t="shared" si="13111"/>
        <v>0</v>
      </c>
      <c r="K7462" s="1" t="str">
        <f t="shared" si="13111"/>
        <v>0</v>
      </c>
      <c r="L7462" s="1" t="str">
        <f t="shared" si="13111"/>
        <v>0</v>
      </c>
      <c r="M7462" s="1" t="str">
        <f t="shared" si="13111"/>
        <v>0</v>
      </c>
      <c r="N7462" s="1" t="str">
        <f t="shared" si="13111"/>
        <v>0</v>
      </c>
      <c r="O7462" s="1" t="str">
        <f t="shared" si="13111"/>
        <v>0</v>
      </c>
      <c r="P7462" s="1" t="str">
        <f t="shared" si="13111"/>
        <v>0</v>
      </c>
      <c r="Q7462" s="1" t="str">
        <f t="shared" si="13074"/>
        <v>0.0070</v>
      </c>
      <c r="R7462" s="1" t="s">
        <v>25</v>
      </c>
      <c r="T7462" s="1" t="str">
        <f t="shared" si="13075"/>
        <v>0</v>
      </c>
      <c r="U7462" s="1" t="str">
        <f t="shared" si="13052"/>
        <v>0.0070</v>
      </c>
    </row>
    <row r="7463" s="1" customFormat="1" spans="1:21">
      <c r="A7463" s="1" t="str">
        <f>"4601992338828"</f>
        <v>4601992338828</v>
      </c>
      <c r="B7463" s="1" t="s">
        <v>7486</v>
      </c>
      <c r="C7463" s="1" t="s">
        <v>24</v>
      </c>
      <c r="D7463" s="1" t="str">
        <f t="shared" si="13072"/>
        <v>2021</v>
      </c>
      <c r="E7463" s="1" t="str">
        <f t="shared" ref="E7463:P7463" si="13112">"0"</f>
        <v>0</v>
      </c>
      <c r="F7463" s="1" t="str">
        <f t="shared" si="13112"/>
        <v>0</v>
      </c>
      <c r="G7463" s="1" t="str">
        <f t="shared" si="13112"/>
        <v>0</v>
      </c>
      <c r="H7463" s="1" t="str">
        <f t="shared" si="13112"/>
        <v>0</v>
      </c>
      <c r="I7463" s="1" t="str">
        <f t="shared" si="13112"/>
        <v>0</v>
      </c>
      <c r="J7463" s="1" t="str">
        <f t="shared" si="13112"/>
        <v>0</v>
      </c>
      <c r="K7463" s="1" t="str">
        <f t="shared" si="13112"/>
        <v>0</v>
      </c>
      <c r="L7463" s="1" t="str">
        <f t="shared" si="13112"/>
        <v>0</v>
      </c>
      <c r="M7463" s="1" t="str">
        <f t="shared" si="13112"/>
        <v>0</v>
      </c>
      <c r="N7463" s="1" t="str">
        <f t="shared" si="13112"/>
        <v>0</v>
      </c>
      <c r="O7463" s="1" t="str">
        <f t="shared" si="13112"/>
        <v>0</v>
      </c>
      <c r="P7463" s="1" t="str">
        <f t="shared" si="13112"/>
        <v>0</v>
      </c>
      <c r="Q7463" s="1" t="str">
        <f t="shared" si="13074"/>
        <v>0.0070</v>
      </c>
      <c r="R7463" s="1" t="s">
        <v>25</v>
      </c>
      <c r="T7463" s="1" t="str">
        <f t="shared" si="13075"/>
        <v>0</v>
      </c>
      <c r="U7463" s="1" t="str">
        <f t="shared" si="13052"/>
        <v>0.0070</v>
      </c>
    </row>
    <row r="7464" s="1" customFormat="1" spans="1:21">
      <c r="A7464" s="1" t="str">
        <f>"4601992338802"</f>
        <v>4601992338802</v>
      </c>
      <c r="B7464" s="1" t="s">
        <v>7487</v>
      </c>
      <c r="C7464" s="1" t="s">
        <v>24</v>
      </c>
      <c r="D7464" s="1" t="str">
        <f t="shared" si="13072"/>
        <v>2021</v>
      </c>
      <c r="E7464" s="1" t="str">
        <f t="shared" ref="E7464:P7464" si="13113">"0"</f>
        <v>0</v>
      </c>
      <c r="F7464" s="1" t="str">
        <f t="shared" si="13113"/>
        <v>0</v>
      </c>
      <c r="G7464" s="1" t="str">
        <f t="shared" si="13113"/>
        <v>0</v>
      </c>
      <c r="H7464" s="1" t="str">
        <f t="shared" si="13113"/>
        <v>0</v>
      </c>
      <c r="I7464" s="1" t="str">
        <f t="shared" si="13113"/>
        <v>0</v>
      </c>
      <c r="J7464" s="1" t="str">
        <f t="shared" si="13113"/>
        <v>0</v>
      </c>
      <c r="K7464" s="1" t="str">
        <f t="shared" si="13113"/>
        <v>0</v>
      </c>
      <c r="L7464" s="1" t="str">
        <f t="shared" si="13113"/>
        <v>0</v>
      </c>
      <c r="M7464" s="1" t="str">
        <f t="shared" si="13113"/>
        <v>0</v>
      </c>
      <c r="N7464" s="1" t="str">
        <f t="shared" si="13113"/>
        <v>0</v>
      </c>
      <c r="O7464" s="1" t="str">
        <f t="shared" si="13113"/>
        <v>0</v>
      </c>
      <c r="P7464" s="1" t="str">
        <f t="shared" si="13113"/>
        <v>0</v>
      </c>
      <c r="Q7464" s="1" t="str">
        <f t="shared" si="13074"/>
        <v>0.0070</v>
      </c>
      <c r="R7464" s="1" t="s">
        <v>25</v>
      </c>
      <c r="T7464" s="1" t="str">
        <f t="shared" si="13075"/>
        <v>0</v>
      </c>
      <c r="U7464" s="1" t="str">
        <f t="shared" si="13052"/>
        <v>0.0070</v>
      </c>
    </row>
    <row r="7465" s="1" customFormat="1" spans="1:21">
      <c r="A7465" s="1" t="str">
        <f>"4601992338908"</f>
        <v>4601992338908</v>
      </c>
      <c r="B7465" s="1" t="s">
        <v>7488</v>
      </c>
      <c r="C7465" s="1" t="s">
        <v>24</v>
      </c>
      <c r="D7465" s="1" t="str">
        <f t="shared" si="13072"/>
        <v>2021</v>
      </c>
      <c r="E7465" s="1" t="str">
        <f t="shared" ref="E7465:P7465" si="13114">"0"</f>
        <v>0</v>
      </c>
      <c r="F7465" s="1" t="str">
        <f t="shared" si="13114"/>
        <v>0</v>
      </c>
      <c r="G7465" s="1" t="str">
        <f t="shared" si="13114"/>
        <v>0</v>
      </c>
      <c r="H7465" s="1" t="str">
        <f t="shared" si="13114"/>
        <v>0</v>
      </c>
      <c r="I7465" s="1" t="str">
        <f t="shared" si="13114"/>
        <v>0</v>
      </c>
      <c r="J7465" s="1" t="str">
        <f t="shared" si="13114"/>
        <v>0</v>
      </c>
      <c r="K7465" s="1" t="str">
        <f t="shared" si="13114"/>
        <v>0</v>
      </c>
      <c r="L7465" s="1" t="str">
        <f t="shared" si="13114"/>
        <v>0</v>
      </c>
      <c r="M7465" s="1" t="str">
        <f t="shared" si="13114"/>
        <v>0</v>
      </c>
      <c r="N7465" s="1" t="str">
        <f t="shared" si="13114"/>
        <v>0</v>
      </c>
      <c r="O7465" s="1" t="str">
        <f t="shared" si="13114"/>
        <v>0</v>
      </c>
      <c r="P7465" s="1" t="str">
        <f t="shared" si="13114"/>
        <v>0</v>
      </c>
      <c r="Q7465" s="1" t="str">
        <f t="shared" si="13074"/>
        <v>0.0070</v>
      </c>
      <c r="R7465" s="1" t="s">
        <v>25</v>
      </c>
      <c r="T7465" s="1" t="str">
        <f t="shared" si="13075"/>
        <v>0</v>
      </c>
      <c r="U7465" s="1" t="str">
        <f t="shared" si="13052"/>
        <v>0.0070</v>
      </c>
    </row>
    <row r="7466" s="1" customFormat="1" spans="1:21">
      <c r="A7466" s="1" t="str">
        <f>"4601992338989"</f>
        <v>4601992338989</v>
      </c>
      <c r="B7466" s="1" t="s">
        <v>7489</v>
      </c>
      <c r="C7466" s="1" t="s">
        <v>24</v>
      </c>
      <c r="D7466" s="1" t="str">
        <f t="shared" si="13072"/>
        <v>2021</v>
      </c>
      <c r="E7466" s="1" t="str">
        <f t="shared" ref="E7466:P7466" si="13115">"0"</f>
        <v>0</v>
      </c>
      <c r="F7466" s="1" t="str">
        <f t="shared" si="13115"/>
        <v>0</v>
      </c>
      <c r="G7466" s="1" t="str">
        <f t="shared" si="13115"/>
        <v>0</v>
      </c>
      <c r="H7466" s="1" t="str">
        <f t="shared" si="13115"/>
        <v>0</v>
      </c>
      <c r="I7466" s="1" t="str">
        <f t="shared" si="13115"/>
        <v>0</v>
      </c>
      <c r="J7466" s="1" t="str">
        <f t="shared" si="13115"/>
        <v>0</v>
      </c>
      <c r="K7466" s="1" t="str">
        <f t="shared" si="13115"/>
        <v>0</v>
      </c>
      <c r="L7466" s="1" t="str">
        <f t="shared" si="13115"/>
        <v>0</v>
      </c>
      <c r="M7466" s="1" t="str">
        <f t="shared" si="13115"/>
        <v>0</v>
      </c>
      <c r="N7466" s="1" t="str">
        <f t="shared" si="13115"/>
        <v>0</v>
      </c>
      <c r="O7466" s="1" t="str">
        <f t="shared" si="13115"/>
        <v>0</v>
      </c>
      <c r="P7466" s="1" t="str">
        <f t="shared" si="13115"/>
        <v>0</v>
      </c>
      <c r="Q7466" s="1" t="str">
        <f t="shared" si="13074"/>
        <v>0.0070</v>
      </c>
      <c r="R7466" s="1" t="s">
        <v>25</v>
      </c>
      <c r="T7466" s="1" t="str">
        <f t="shared" si="13075"/>
        <v>0</v>
      </c>
      <c r="U7466" s="1" t="str">
        <f t="shared" si="13052"/>
        <v>0.0070</v>
      </c>
    </row>
    <row r="7467" s="1" customFormat="1" spans="1:21">
      <c r="A7467" s="1" t="str">
        <f>"4601992338986"</f>
        <v>4601992338986</v>
      </c>
      <c r="B7467" s="1" t="s">
        <v>7490</v>
      </c>
      <c r="C7467" s="1" t="s">
        <v>24</v>
      </c>
      <c r="D7467" s="1" t="str">
        <f t="shared" si="13072"/>
        <v>2021</v>
      </c>
      <c r="E7467" s="1" t="str">
        <f t="shared" ref="E7467:P7467" si="13116">"0"</f>
        <v>0</v>
      </c>
      <c r="F7467" s="1" t="str">
        <f t="shared" si="13116"/>
        <v>0</v>
      </c>
      <c r="G7467" s="1" t="str">
        <f t="shared" si="13116"/>
        <v>0</v>
      </c>
      <c r="H7467" s="1" t="str">
        <f t="shared" si="13116"/>
        <v>0</v>
      </c>
      <c r="I7467" s="1" t="str">
        <f t="shared" si="13116"/>
        <v>0</v>
      </c>
      <c r="J7467" s="1" t="str">
        <f t="shared" si="13116"/>
        <v>0</v>
      </c>
      <c r="K7467" s="1" t="str">
        <f t="shared" si="13116"/>
        <v>0</v>
      </c>
      <c r="L7467" s="1" t="str">
        <f t="shared" si="13116"/>
        <v>0</v>
      </c>
      <c r="M7467" s="1" t="str">
        <f t="shared" si="13116"/>
        <v>0</v>
      </c>
      <c r="N7467" s="1" t="str">
        <f t="shared" si="13116"/>
        <v>0</v>
      </c>
      <c r="O7467" s="1" t="str">
        <f t="shared" si="13116"/>
        <v>0</v>
      </c>
      <c r="P7467" s="1" t="str">
        <f t="shared" si="13116"/>
        <v>0</v>
      </c>
      <c r="Q7467" s="1" t="str">
        <f t="shared" si="13074"/>
        <v>0.0070</v>
      </c>
      <c r="R7467" s="1" t="s">
        <v>25</v>
      </c>
      <c r="T7467" s="1" t="str">
        <f t="shared" si="13075"/>
        <v>0</v>
      </c>
      <c r="U7467" s="1" t="str">
        <f t="shared" si="13052"/>
        <v>0.0070</v>
      </c>
    </row>
    <row r="7468" s="1" customFormat="1" spans="1:21">
      <c r="A7468" s="1" t="str">
        <f>"4601992339024"</f>
        <v>4601992339024</v>
      </c>
      <c r="B7468" s="1" t="s">
        <v>7491</v>
      </c>
      <c r="C7468" s="1" t="s">
        <v>24</v>
      </c>
      <c r="D7468" s="1" t="str">
        <f t="shared" si="13072"/>
        <v>2021</v>
      </c>
      <c r="E7468" s="1" t="str">
        <f t="shared" ref="E7468:P7468" si="13117">"0"</f>
        <v>0</v>
      </c>
      <c r="F7468" s="1" t="str">
        <f t="shared" si="13117"/>
        <v>0</v>
      </c>
      <c r="G7468" s="1" t="str">
        <f t="shared" si="13117"/>
        <v>0</v>
      </c>
      <c r="H7468" s="1" t="str">
        <f t="shared" si="13117"/>
        <v>0</v>
      </c>
      <c r="I7468" s="1" t="str">
        <f t="shared" si="13117"/>
        <v>0</v>
      </c>
      <c r="J7468" s="1" t="str">
        <f t="shared" si="13117"/>
        <v>0</v>
      </c>
      <c r="K7468" s="1" t="str">
        <f t="shared" si="13117"/>
        <v>0</v>
      </c>
      <c r="L7468" s="1" t="str">
        <f t="shared" si="13117"/>
        <v>0</v>
      </c>
      <c r="M7468" s="1" t="str">
        <f t="shared" si="13117"/>
        <v>0</v>
      </c>
      <c r="N7468" s="1" t="str">
        <f t="shared" si="13117"/>
        <v>0</v>
      </c>
      <c r="O7468" s="1" t="str">
        <f t="shared" si="13117"/>
        <v>0</v>
      </c>
      <c r="P7468" s="1" t="str">
        <f t="shared" si="13117"/>
        <v>0</v>
      </c>
      <c r="Q7468" s="1" t="str">
        <f t="shared" si="13074"/>
        <v>0.0070</v>
      </c>
      <c r="R7468" s="1" t="s">
        <v>25</v>
      </c>
      <c r="T7468" s="1" t="str">
        <f t="shared" si="13075"/>
        <v>0</v>
      </c>
      <c r="U7468" s="1" t="str">
        <f t="shared" si="13052"/>
        <v>0.0070</v>
      </c>
    </row>
    <row r="7469" s="1" customFormat="1" spans="1:21">
      <c r="A7469" s="1" t="str">
        <f>"4601992339032"</f>
        <v>4601992339032</v>
      </c>
      <c r="B7469" s="1" t="s">
        <v>7492</v>
      </c>
      <c r="C7469" s="1" t="s">
        <v>24</v>
      </c>
      <c r="D7469" s="1" t="str">
        <f t="shared" si="13072"/>
        <v>2021</v>
      </c>
      <c r="E7469" s="1" t="str">
        <f t="shared" ref="E7469:P7469" si="13118">"0"</f>
        <v>0</v>
      </c>
      <c r="F7469" s="1" t="str">
        <f t="shared" si="13118"/>
        <v>0</v>
      </c>
      <c r="G7469" s="1" t="str">
        <f t="shared" si="13118"/>
        <v>0</v>
      </c>
      <c r="H7469" s="1" t="str">
        <f t="shared" si="13118"/>
        <v>0</v>
      </c>
      <c r="I7469" s="1" t="str">
        <f t="shared" si="13118"/>
        <v>0</v>
      </c>
      <c r="J7469" s="1" t="str">
        <f t="shared" si="13118"/>
        <v>0</v>
      </c>
      <c r="K7469" s="1" t="str">
        <f t="shared" si="13118"/>
        <v>0</v>
      </c>
      <c r="L7469" s="1" t="str">
        <f t="shared" si="13118"/>
        <v>0</v>
      </c>
      <c r="M7469" s="1" t="str">
        <f t="shared" si="13118"/>
        <v>0</v>
      </c>
      <c r="N7469" s="1" t="str">
        <f t="shared" si="13118"/>
        <v>0</v>
      </c>
      <c r="O7469" s="1" t="str">
        <f t="shared" si="13118"/>
        <v>0</v>
      </c>
      <c r="P7469" s="1" t="str">
        <f t="shared" si="13118"/>
        <v>0</v>
      </c>
      <c r="Q7469" s="1" t="str">
        <f t="shared" si="13074"/>
        <v>0.0070</v>
      </c>
      <c r="R7469" s="1" t="s">
        <v>25</v>
      </c>
      <c r="T7469" s="1" t="str">
        <f t="shared" si="13075"/>
        <v>0</v>
      </c>
      <c r="U7469" s="1" t="str">
        <f t="shared" si="13052"/>
        <v>0.0070</v>
      </c>
    </row>
    <row r="7470" s="1" customFormat="1" spans="1:21">
      <c r="A7470" s="1" t="str">
        <f>"4601992339031"</f>
        <v>4601992339031</v>
      </c>
      <c r="B7470" s="1" t="s">
        <v>7493</v>
      </c>
      <c r="C7470" s="1" t="s">
        <v>24</v>
      </c>
      <c r="D7470" s="1" t="str">
        <f t="shared" si="13072"/>
        <v>2021</v>
      </c>
      <c r="E7470" s="1" t="str">
        <f t="shared" ref="E7470:P7470" si="13119">"0"</f>
        <v>0</v>
      </c>
      <c r="F7470" s="1" t="str">
        <f t="shared" si="13119"/>
        <v>0</v>
      </c>
      <c r="G7470" s="1" t="str">
        <f t="shared" si="13119"/>
        <v>0</v>
      </c>
      <c r="H7470" s="1" t="str">
        <f t="shared" si="13119"/>
        <v>0</v>
      </c>
      <c r="I7470" s="1" t="str">
        <f t="shared" si="13119"/>
        <v>0</v>
      </c>
      <c r="J7470" s="1" t="str">
        <f t="shared" si="13119"/>
        <v>0</v>
      </c>
      <c r="K7470" s="1" t="str">
        <f t="shared" si="13119"/>
        <v>0</v>
      </c>
      <c r="L7470" s="1" t="str">
        <f t="shared" si="13119"/>
        <v>0</v>
      </c>
      <c r="M7470" s="1" t="str">
        <f t="shared" si="13119"/>
        <v>0</v>
      </c>
      <c r="N7470" s="1" t="str">
        <f t="shared" si="13119"/>
        <v>0</v>
      </c>
      <c r="O7470" s="1" t="str">
        <f t="shared" si="13119"/>
        <v>0</v>
      </c>
      <c r="P7470" s="1" t="str">
        <f t="shared" si="13119"/>
        <v>0</v>
      </c>
      <c r="Q7470" s="1" t="str">
        <f t="shared" si="13074"/>
        <v>0.0070</v>
      </c>
      <c r="R7470" s="1" t="s">
        <v>25</v>
      </c>
      <c r="T7470" s="1" t="str">
        <f t="shared" si="13075"/>
        <v>0</v>
      </c>
      <c r="U7470" s="1" t="str">
        <f t="shared" si="13052"/>
        <v>0.0070</v>
      </c>
    </row>
    <row r="7471" s="1" customFormat="1" spans="1:21">
      <c r="A7471" s="1" t="str">
        <f>"4601992023007"</f>
        <v>4601992023007</v>
      </c>
      <c r="B7471" s="1" t="s">
        <v>7494</v>
      </c>
      <c r="C7471" s="1" t="s">
        <v>24</v>
      </c>
      <c r="D7471" s="1" t="str">
        <f t="shared" si="13072"/>
        <v>2021</v>
      </c>
      <c r="E7471" s="1" t="str">
        <f>"11.98"</f>
        <v>11.98</v>
      </c>
      <c r="F7471" s="1" t="str">
        <f t="shared" ref="F7471:I7471" si="13120">"0"</f>
        <v>0</v>
      </c>
      <c r="G7471" s="1" t="str">
        <f t="shared" si="13120"/>
        <v>0</v>
      </c>
      <c r="H7471" s="1" t="str">
        <f t="shared" si="13120"/>
        <v>0</v>
      </c>
      <c r="I7471" s="1" t="str">
        <f t="shared" si="13120"/>
        <v>0</v>
      </c>
      <c r="J7471" s="1" t="str">
        <f>"1"</f>
        <v>1</v>
      </c>
      <c r="K7471" s="1" t="str">
        <f t="shared" ref="K7471:P7471" si="13121">"0"</f>
        <v>0</v>
      </c>
      <c r="L7471" s="1" t="str">
        <f t="shared" si="13121"/>
        <v>0</v>
      </c>
      <c r="M7471" s="1" t="str">
        <f t="shared" si="13121"/>
        <v>0</v>
      </c>
      <c r="N7471" s="1" t="str">
        <f t="shared" si="13121"/>
        <v>0</v>
      </c>
      <c r="O7471" s="1" t="str">
        <f t="shared" si="13121"/>
        <v>0</v>
      </c>
      <c r="P7471" s="1" t="str">
        <f t="shared" si="13121"/>
        <v>0</v>
      </c>
      <c r="Q7471" s="1" t="str">
        <f t="shared" si="13074"/>
        <v>0.0070</v>
      </c>
      <c r="R7471" s="1" t="s">
        <v>29</v>
      </c>
      <c r="S7471" s="1">
        <v>-0.0014</v>
      </c>
      <c r="T7471" s="1" t="str">
        <f t="shared" si="13075"/>
        <v>0</v>
      </c>
      <c r="U7471" s="1" t="str">
        <f>"0.0056"</f>
        <v>0.0056</v>
      </c>
    </row>
    <row r="7472" s="1" customFormat="1" spans="1:21">
      <c r="A7472" s="1" t="str">
        <f>"4601992339084"</f>
        <v>4601992339084</v>
      </c>
      <c r="B7472" s="1" t="s">
        <v>7495</v>
      </c>
      <c r="C7472" s="1" t="s">
        <v>24</v>
      </c>
      <c r="D7472" s="1" t="str">
        <f t="shared" si="13072"/>
        <v>2021</v>
      </c>
      <c r="E7472" s="1" t="str">
        <f t="shared" ref="E7472:P7472" si="13122">"0"</f>
        <v>0</v>
      </c>
      <c r="F7472" s="1" t="str">
        <f t="shared" si="13122"/>
        <v>0</v>
      </c>
      <c r="G7472" s="1" t="str">
        <f t="shared" si="13122"/>
        <v>0</v>
      </c>
      <c r="H7472" s="1" t="str">
        <f t="shared" si="13122"/>
        <v>0</v>
      </c>
      <c r="I7472" s="1" t="str">
        <f t="shared" si="13122"/>
        <v>0</v>
      </c>
      <c r="J7472" s="1" t="str">
        <f t="shared" si="13122"/>
        <v>0</v>
      </c>
      <c r="K7472" s="1" t="str">
        <f t="shared" si="13122"/>
        <v>0</v>
      </c>
      <c r="L7472" s="1" t="str">
        <f t="shared" si="13122"/>
        <v>0</v>
      </c>
      <c r="M7472" s="1" t="str">
        <f t="shared" si="13122"/>
        <v>0</v>
      </c>
      <c r="N7472" s="1" t="str">
        <f t="shared" si="13122"/>
        <v>0</v>
      </c>
      <c r="O7472" s="1" t="str">
        <f t="shared" si="13122"/>
        <v>0</v>
      </c>
      <c r="P7472" s="1" t="str">
        <f t="shared" si="13122"/>
        <v>0</v>
      </c>
      <c r="Q7472" s="1" t="str">
        <f t="shared" si="13074"/>
        <v>0.0070</v>
      </c>
      <c r="R7472" s="1" t="s">
        <v>25</v>
      </c>
      <c r="T7472" s="1" t="str">
        <f t="shared" si="13075"/>
        <v>0</v>
      </c>
      <c r="U7472" s="1" t="str">
        <f t="shared" ref="U7472:U7498" si="13123">"0.0070"</f>
        <v>0.0070</v>
      </c>
    </row>
    <row r="7473" s="1" customFormat="1" spans="1:21">
      <c r="A7473" s="1" t="str">
        <f>"4601992339168"</f>
        <v>4601992339168</v>
      </c>
      <c r="B7473" s="1" t="s">
        <v>7496</v>
      </c>
      <c r="C7473" s="1" t="s">
        <v>24</v>
      </c>
      <c r="D7473" s="1" t="str">
        <f t="shared" si="13072"/>
        <v>2021</v>
      </c>
      <c r="E7473" s="1" t="str">
        <f t="shared" ref="E7473:P7473" si="13124">"0"</f>
        <v>0</v>
      </c>
      <c r="F7473" s="1" t="str">
        <f t="shared" si="13124"/>
        <v>0</v>
      </c>
      <c r="G7473" s="1" t="str">
        <f t="shared" si="13124"/>
        <v>0</v>
      </c>
      <c r="H7473" s="1" t="str">
        <f t="shared" si="13124"/>
        <v>0</v>
      </c>
      <c r="I7473" s="1" t="str">
        <f t="shared" si="13124"/>
        <v>0</v>
      </c>
      <c r="J7473" s="1" t="str">
        <f t="shared" si="13124"/>
        <v>0</v>
      </c>
      <c r="K7473" s="1" t="str">
        <f t="shared" si="13124"/>
        <v>0</v>
      </c>
      <c r="L7473" s="1" t="str">
        <f t="shared" si="13124"/>
        <v>0</v>
      </c>
      <c r="M7473" s="1" t="str">
        <f t="shared" si="13124"/>
        <v>0</v>
      </c>
      <c r="N7473" s="1" t="str">
        <f t="shared" si="13124"/>
        <v>0</v>
      </c>
      <c r="O7473" s="1" t="str">
        <f t="shared" si="13124"/>
        <v>0</v>
      </c>
      <c r="P7473" s="1" t="str">
        <f t="shared" si="13124"/>
        <v>0</v>
      </c>
      <c r="Q7473" s="1" t="str">
        <f t="shared" si="13074"/>
        <v>0.0070</v>
      </c>
      <c r="R7473" s="1" t="s">
        <v>25</v>
      </c>
      <c r="T7473" s="1" t="str">
        <f t="shared" si="13075"/>
        <v>0</v>
      </c>
      <c r="U7473" s="1" t="str">
        <f t="shared" si="13123"/>
        <v>0.0070</v>
      </c>
    </row>
    <row r="7474" s="1" customFormat="1" spans="1:21">
      <c r="A7474" s="1" t="str">
        <f>"4601992339279"</f>
        <v>4601992339279</v>
      </c>
      <c r="B7474" s="1" t="s">
        <v>7497</v>
      </c>
      <c r="C7474" s="1" t="s">
        <v>24</v>
      </c>
      <c r="D7474" s="1" t="str">
        <f t="shared" si="13072"/>
        <v>2021</v>
      </c>
      <c r="E7474" s="1" t="str">
        <f t="shared" ref="E7474:P7474" si="13125">"0"</f>
        <v>0</v>
      </c>
      <c r="F7474" s="1" t="str">
        <f t="shared" si="13125"/>
        <v>0</v>
      </c>
      <c r="G7474" s="1" t="str">
        <f t="shared" si="13125"/>
        <v>0</v>
      </c>
      <c r="H7474" s="1" t="str">
        <f t="shared" si="13125"/>
        <v>0</v>
      </c>
      <c r="I7474" s="1" t="str">
        <f t="shared" si="13125"/>
        <v>0</v>
      </c>
      <c r="J7474" s="1" t="str">
        <f t="shared" si="13125"/>
        <v>0</v>
      </c>
      <c r="K7474" s="1" t="str">
        <f t="shared" si="13125"/>
        <v>0</v>
      </c>
      <c r="L7474" s="1" t="str">
        <f t="shared" si="13125"/>
        <v>0</v>
      </c>
      <c r="M7474" s="1" t="str">
        <f t="shared" si="13125"/>
        <v>0</v>
      </c>
      <c r="N7474" s="1" t="str">
        <f t="shared" si="13125"/>
        <v>0</v>
      </c>
      <c r="O7474" s="1" t="str">
        <f t="shared" si="13125"/>
        <v>0</v>
      </c>
      <c r="P7474" s="1" t="str">
        <f t="shared" si="13125"/>
        <v>0</v>
      </c>
      <c r="Q7474" s="1" t="str">
        <f t="shared" si="13074"/>
        <v>0.0070</v>
      </c>
      <c r="R7474" s="1" t="s">
        <v>25</v>
      </c>
      <c r="T7474" s="1" t="str">
        <f t="shared" si="13075"/>
        <v>0</v>
      </c>
      <c r="U7474" s="1" t="str">
        <f t="shared" si="13123"/>
        <v>0.0070</v>
      </c>
    </row>
    <row r="7475" s="1" customFormat="1" spans="1:21">
      <c r="A7475" s="1" t="str">
        <f>"4601992339264"</f>
        <v>4601992339264</v>
      </c>
      <c r="B7475" s="1" t="s">
        <v>7498</v>
      </c>
      <c r="C7475" s="1" t="s">
        <v>24</v>
      </c>
      <c r="D7475" s="1" t="str">
        <f t="shared" si="13072"/>
        <v>2021</v>
      </c>
      <c r="E7475" s="1" t="str">
        <f t="shared" ref="E7475:P7475" si="13126">"0"</f>
        <v>0</v>
      </c>
      <c r="F7475" s="1" t="str">
        <f t="shared" si="13126"/>
        <v>0</v>
      </c>
      <c r="G7475" s="1" t="str">
        <f t="shared" si="13126"/>
        <v>0</v>
      </c>
      <c r="H7475" s="1" t="str">
        <f t="shared" si="13126"/>
        <v>0</v>
      </c>
      <c r="I7475" s="1" t="str">
        <f t="shared" si="13126"/>
        <v>0</v>
      </c>
      <c r="J7475" s="1" t="str">
        <f t="shared" si="13126"/>
        <v>0</v>
      </c>
      <c r="K7475" s="1" t="str">
        <f t="shared" si="13126"/>
        <v>0</v>
      </c>
      <c r="L7475" s="1" t="str">
        <f t="shared" si="13126"/>
        <v>0</v>
      </c>
      <c r="M7475" s="1" t="str">
        <f t="shared" si="13126"/>
        <v>0</v>
      </c>
      <c r="N7475" s="1" t="str">
        <f t="shared" si="13126"/>
        <v>0</v>
      </c>
      <c r="O7475" s="1" t="str">
        <f t="shared" si="13126"/>
        <v>0</v>
      </c>
      <c r="P7475" s="1" t="str">
        <f t="shared" si="13126"/>
        <v>0</v>
      </c>
      <c r="Q7475" s="1" t="str">
        <f t="shared" si="13074"/>
        <v>0.0070</v>
      </c>
      <c r="R7475" s="1" t="s">
        <v>25</v>
      </c>
      <c r="T7475" s="1" t="str">
        <f t="shared" si="13075"/>
        <v>0</v>
      </c>
      <c r="U7475" s="1" t="str">
        <f t="shared" si="13123"/>
        <v>0.0070</v>
      </c>
    </row>
    <row r="7476" s="1" customFormat="1" spans="1:21">
      <c r="A7476" s="1" t="str">
        <f>"4601992339317"</f>
        <v>4601992339317</v>
      </c>
      <c r="B7476" s="1" t="s">
        <v>7499</v>
      </c>
      <c r="C7476" s="1" t="s">
        <v>24</v>
      </c>
      <c r="D7476" s="1" t="str">
        <f t="shared" si="13072"/>
        <v>2021</v>
      </c>
      <c r="E7476" s="1" t="str">
        <f t="shared" ref="E7476:P7476" si="13127">"0"</f>
        <v>0</v>
      </c>
      <c r="F7476" s="1" t="str">
        <f t="shared" si="13127"/>
        <v>0</v>
      </c>
      <c r="G7476" s="1" t="str">
        <f t="shared" si="13127"/>
        <v>0</v>
      </c>
      <c r="H7476" s="1" t="str">
        <f t="shared" si="13127"/>
        <v>0</v>
      </c>
      <c r="I7476" s="1" t="str">
        <f t="shared" si="13127"/>
        <v>0</v>
      </c>
      <c r="J7476" s="1" t="str">
        <f t="shared" si="13127"/>
        <v>0</v>
      </c>
      <c r="K7476" s="1" t="str">
        <f t="shared" si="13127"/>
        <v>0</v>
      </c>
      <c r="L7476" s="1" t="str">
        <f t="shared" si="13127"/>
        <v>0</v>
      </c>
      <c r="M7476" s="1" t="str">
        <f t="shared" si="13127"/>
        <v>0</v>
      </c>
      <c r="N7476" s="1" t="str">
        <f t="shared" si="13127"/>
        <v>0</v>
      </c>
      <c r="O7476" s="1" t="str">
        <f t="shared" si="13127"/>
        <v>0</v>
      </c>
      <c r="P7476" s="1" t="str">
        <f t="shared" si="13127"/>
        <v>0</v>
      </c>
      <c r="Q7476" s="1" t="str">
        <f t="shared" si="13074"/>
        <v>0.0070</v>
      </c>
      <c r="R7476" s="1" t="s">
        <v>25</v>
      </c>
      <c r="T7476" s="1" t="str">
        <f t="shared" si="13075"/>
        <v>0</v>
      </c>
      <c r="U7476" s="1" t="str">
        <f t="shared" si="13123"/>
        <v>0.0070</v>
      </c>
    </row>
    <row r="7477" s="1" customFormat="1" spans="1:21">
      <c r="A7477" s="1" t="str">
        <f>"4601992339480"</f>
        <v>4601992339480</v>
      </c>
      <c r="B7477" s="1" t="s">
        <v>7500</v>
      </c>
      <c r="C7477" s="1" t="s">
        <v>24</v>
      </c>
      <c r="D7477" s="1" t="str">
        <f t="shared" si="13072"/>
        <v>2021</v>
      </c>
      <c r="E7477" s="1" t="str">
        <f t="shared" ref="E7477:P7477" si="13128">"0"</f>
        <v>0</v>
      </c>
      <c r="F7477" s="1" t="str">
        <f t="shared" si="13128"/>
        <v>0</v>
      </c>
      <c r="G7477" s="1" t="str">
        <f t="shared" si="13128"/>
        <v>0</v>
      </c>
      <c r="H7477" s="1" t="str">
        <f t="shared" si="13128"/>
        <v>0</v>
      </c>
      <c r="I7477" s="1" t="str">
        <f t="shared" si="13128"/>
        <v>0</v>
      </c>
      <c r="J7477" s="1" t="str">
        <f t="shared" si="13128"/>
        <v>0</v>
      </c>
      <c r="K7477" s="1" t="str">
        <f t="shared" si="13128"/>
        <v>0</v>
      </c>
      <c r="L7477" s="1" t="str">
        <f t="shared" si="13128"/>
        <v>0</v>
      </c>
      <c r="M7477" s="1" t="str">
        <f t="shared" si="13128"/>
        <v>0</v>
      </c>
      <c r="N7477" s="1" t="str">
        <f t="shared" si="13128"/>
        <v>0</v>
      </c>
      <c r="O7477" s="1" t="str">
        <f t="shared" si="13128"/>
        <v>0</v>
      </c>
      <c r="P7477" s="1" t="str">
        <f t="shared" si="13128"/>
        <v>0</v>
      </c>
      <c r="Q7477" s="1" t="str">
        <f t="shared" si="13074"/>
        <v>0.0070</v>
      </c>
      <c r="R7477" s="1" t="s">
        <v>25</v>
      </c>
      <c r="T7477" s="1" t="str">
        <f t="shared" si="13075"/>
        <v>0</v>
      </c>
      <c r="U7477" s="1" t="str">
        <f t="shared" si="13123"/>
        <v>0.0070</v>
      </c>
    </row>
    <row r="7478" s="1" customFormat="1" spans="1:21">
      <c r="A7478" s="1" t="str">
        <f>"4601992339356"</f>
        <v>4601992339356</v>
      </c>
      <c r="B7478" s="1" t="s">
        <v>7501</v>
      </c>
      <c r="C7478" s="1" t="s">
        <v>24</v>
      </c>
      <c r="D7478" s="1" t="str">
        <f t="shared" si="13072"/>
        <v>2021</v>
      </c>
      <c r="E7478" s="1" t="str">
        <f t="shared" ref="E7478:P7478" si="13129">"0"</f>
        <v>0</v>
      </c>
      <c r="F7478" s="1" t="str">
        <f t="shared" si="13129"/>
        <v>0</v>
      </c>
      <c r="G7478" s="1" t="str">
        <f t="shared" si="13129"/>
        <v>0</v>
      </c>
      <c r="H7478" s="1" t="str">
        <f t="shared" si="13129"/>
        <v>0</v>
      </c>
      <c r="I7478" s="1" t="str">
        <f t="shared" si="13129"/>
        <v>0</v>
      </c>
      <c r="J7478" s="1" t="str">
        <f t="shared" si="13129"/>
        <v>0</v>
      </c>
      <c r="K7478" s="1" t="str">
        <f t="shared" si="13129"/>
        <v>0</v>
      </c>
      <c r="L7478" s="1" t="str">
        <f t="shared" si="13129"/>
        <v>0</v>
      </c>
      <c r="M7478" s="1" t="str">
        <f t="shared" si="13129"/>
        <v>0</v>
      </c>
      <c r="N7478" s="1" t="str">
        <f t="shared" si="13129"/>
        <v>0</v>
      </c>
      <c r="O7478" s="1" t="str">
        <f t="shared" si="13129"/>
        <v>0</v>
      </c>
      <c r="P7478" s="1" t="str">
        <f t="shared" si="13129"/>
        <v>0</v>
      </c>
      <c r="Q7478" s="1" t="str">
        <f t="shared" si="13074"/>
        <v>0.0070</v>
      </c>
      <c r="R7478" s="1" t="s">
        <v>25</v>
      </c>
      <c r="T7478" s="1" t="str">
        <f t="shared" si="13075"/>
        <v>0</v>
      </c>
      <c r="U7478" s="1" t="str">
        <f t="shared" si="13123"/>
        <v>0.0070</v>
      </c>
    </row>
    <row r="7479" s="1" customFormat="1" spans="1:21">
      <c r="A7479" s="1" t="str">
        <f>"4601992339646"</f>
        <v>4601992339646</v>
      </c>
      <c r="B7479" s="1" t="s">
        <v>7502</v>
      </c>
      <c r="C7479" s="1" t="s">
        <v>24</v>
      </c>
      <c r="D7479" s="1" t="str">
        <f t="shared" si="13072"/>
        <v>2021</v>
      </c>
      <c r="E7479" s="1" t="str">
        <f t="shared" ref="E7479:P7479" si="13130">"0"</f>
        <v>0</v>
      </c>
      <c r="F7479" s="1" t="str">
        <f t="shared" si="13130"/>
        <v>0</v>
      </c>
      <c r="G7479" s="1" t="str">
        <f t="shared" si="13130"/>
        <v>0</v>
      </c>
      <c r="H7479" s="1" t="str">
        <f t="shared" si="13130"/>
        <v>0</v>
      </c>
      <c r="I7479" s="1" t="str">
        <f t="shared" si="13130"/>
        <v>0</v>
      </c>
      <c r="J7479" s="1" t="str">
        <f t="shared" si="13130"/>
        <v>0</v>
      </c>
      <c r="K7479" s="1" t="str">
        <f t="shared" si="13130"/>
        <v>0</v>
      </c>
      <c r="L7479" s="1" t="str">
        <f t="shared" si="13130"/>
        <v>0</v>
      </c>
      <c r="M7479" s="1" t="str">
        <f t="shared" si="13130"/>
        <v>0</v>
      </c>
      <c r="N7479" s="1" t="str">
        <f t="shared" si="13130"/>
        <v>0</v>
      </c>
      <c r="O7479" s="1" t="str">
        <f t="shared" si="13130"/>
        <v>0</v>
      </c>
      <c r="P7479" s="1" t="str">
        <f t="shared" si="13130"/>
        <v>0</v>
      </c>
      <c r="Q7479" s="1" t="str">
        <f t="shared" si="13074"/>
        <v>0.0070</v>
      </c>
      <c r="R7479" s="1" t="s">
        <v>25</v>
      </c>
      <c r="T7479" s="1" t="str">
        <f t="shared" si="13075"/>
        <v>0</v>
      </c>
      <c r="U7479" s="1" t="str">
        <f t="shared" si="13123"/>
        <v>0.0070</v>
      </c>
    </row>
    <row r="7480" s="1" customFormat="1" spans="1:21">
      <c r="A7480" s="1" t="str">
        <f>"4601992339652"</f>
        <v>4601992339652</v>
      </c>
      <c r="B7480" s="1" t="s">
        <v>7503</v>
      </c>
      <c r="C7480" s="1" t="s">
        <v>24</v>
      </c>
      <c r="D7480" s="1" t="str">
        <f t="shared" si="13072"/>
        <v>2021</v>
      </c>
      <c r="E7480" s="1" t="str">
        <f t="shared" ref="E7480:P7480" si="13131">"0"</f>
        <v>0</v>
      </c>
      <c r="F7480" s="1" t="str">
        <f t="shared" si="13131"/>
        <v>0</v>
      </c>
      <c r="G7480" s="1" t="str">
        <f t="shared" si="13131"/>
        <v>0</v>
      </c>
      <c r="H7480" s="1" t="str">
        <f t="shared" si="13131"/>
        <v>0</v>
      </c>
      <c r="I7480" s="1" t="str">
        <f t="shared" si="13131"/>
        <v>0</v>
      </c>
      <c r="J7480" s="1" t="str">
        <f t="shared" si="13131"/>
        <v>0</v>
      </c>
      <c r="K7480" s="1" t="str">
        <f t="shared" si="13131"/>
        <v>0</v>
      </c>
      <c r="L7480" s="1" t="str">
        <f t="shared" si="13131"/>
        <v>0</v>
      </c>
      <c r="M7480" s="1" t="str">
        <f t="shared" si="13131"/>
        <v>0</v>
      </c>
      <c r="N7480" s="1" t="str">
        <f t="shared" si="13131"/>
        <v>0</v>
      </c>
      <c r="O7480" s="1" t="str">
        <f t="shared" si="13131"/>
        <v>0</v>
      </c>
      <c r="P7480" s="1" t="str">
        <f t="shared" si="13131"/>
        <v>0</v>
      </c>
      <c r="Q7480" s="1" t="str">
        <f t="shared" si="13074"/>
        <v>0.0070</v>
      </c>
      <c r="R7480" s="1" t="s">
        <v>25</v>
      </c>
      <c r="T7480" s="1" t="str">
        <f t="shared" si="13075"/>
        <v>0</v>
      </c>
      <c r="U7480" s="1" t="str">
        <f t="shared" si="13123"/>
        <v>0.0070</v>
      </c>
    </row>
    <row r="7481" s="1" customFormat="1" spans="1:21">
      <c r="A7481" s="1" t="str">
        <f>"4601992339866"</f>
        <v>4601992339866</v>
      </c>
      <c r="B7481" s="1" t="s">
        <v>7504</v>
      </c>
      <c r="C7481" s="1" t="s">
        <v>24</v>
      </c>
      <c r="D7481" s="1" t="str">
        <f t="shared" si="13072"/>
        <v>2021</v>
      </c>
      <c r="E7481" s="1" t="str">
        <f t="shared" ref="E7481:P7481" si="13132">"0"</f>
        <v>0</v>
      </c>
      <c r="F7481" s="1" t="str">
        <f t="shared" si="13132"/>
        <v>0</v>
      </c>
      <c r="G7481" s="1" t="str">
        <f t="shared" si="13132"/>
        <v>0</v>
      </c>
      <c r="H7481" s="1" t="str">
        <f t="shared" si="13132"/>
        <v>0</v>
      </c>
      <c r="I7481" s="1" t="str">
        <f t="shared" si="13132"/>
        <v>0</v>
      </c>
      <c r="J7481" s="1" t="str">
        <f t="shared" si="13132"/>
        <v>0</v>
      </c>
      <c r="K7481" s="1" t="str">
        <f t="shared" si="13132"/>
        <v>0</v>
      </c>
      <c r="L7481" s="1" t="str">
        <f t="shared" si="13132"/>
        <v>0</v>
      </c>
      <c r="M7481" s="1" t="str">
        <f t="shared" si="13132"/>
        <v>0</v>
      </c>
      <c r="N7481" s="1" t="str">
        <f t="shared" si="13132"/>
        <v>0</v>
      </c>
      <c r="O7481" s="1" t="str">
        <f t="shared" si="13132"/>
        <v>0</v>
      </c>
      <c r="P7481" s="1" t="str">
        <f t="shared" si="13132"/>
        <v>0</v>
      </c>
      <c r="Q7481" s="1" t="str">
        <f t="shared" si="13074"/>
        <v>0.0070</v>
      </c>
      <c r="R7481" s="1" t="s">
        <v>25</v>
      </c>
      <c r="T7481" s="1" t="str">
        <f t="shared" si="13075"/>
        <v>0</v>
      </c>
      <c r="U7481" s="1" t="str">
        <f t="shared" si="13123"/>
        <v>0.0070</v>
      </c>
    </row>
    <row r="7482" s="1" customFormat="1" spans="1:21">
      <c r="A7482" s="1" t="str">
        <f>"4601992339661"</f>
        <v>4601992339661</v>
      </c>
      <c r="B7482" s="1" t="s">
        <v>7505</v>
      </c>
      <c r="C7482" s="1" t="s">
        <v>24</v>
      </c>
      <c r="D7482" s="1" t="str">
        <f t="shared" si="13072"/>
        <v>2021</v>
      </c>
      <c r="E7482" s="1" t="str">
        <f t="shared" ref="E7482:P7482" si="13133">"0"</f>
        <v>0</v>
      </c>
      <c r="F7482" s="1" t="str">
        <f t="shared" si="13133"/>
        <v>0</v>
      </c>
      <c r="G7482" s="1" t="str">
        <f t="shared" si="13133"/>
        <v>0</v>
      </c>
      <c r="H7482" s="1" t="str">
        <f t="shared" si="13133"/>
        <v>0</v>
      </c>
      <c r="I7482" s="1" t="str">
        <f t="shared" si="13133"/>
        <v>0</v>
      </c>
      <c r="J7482" s="1" t="str">
        <f t="shared" si="13133"/>
        <v>0</v>
      </c>
      <c r="K7482" s="1" t="str">
        <f t="shared" si="13133"/>
        <v>0</v>
      </c>
      <c r="L7482" s="1" t="str">
        <f t="shared" si="13133"/>
        <v>0</v>
      </c>
      <c r="M7482" s="1" t="str">
        <f t="shared" si="13133"/>
        <v>0</v>
      </c>
      <c r="N7482" s="1" t="str">
        <f t="shared" si="13133"/>
        <v>0</v>
      </c>
      <c r="O7482" s="1" t="str">
        <f t="shared" si="13133"/>
        <v>0</v>
      </c>
      <c r="P7482" s="1" t="str">
        <f t="shared" si="13133"/>
        <v>0</v>
      </c>
      <c r="Q7482" s="1" t="str">
        <f t="shared" si="13074"/>
        <v>0.0070</v>
      </c>
      <c r="R7482" s="1" t="s">
        <v>25</v>
      </c>
      <c r="T7482" s="1" t="str">
        <f t="shared" si="13075"/>
        <v>0</v>
      </c>
      <c r="U7482" s="1" t="str">
        <f t="shared" si="13123"/>
        <v>0.0070</v>
      </c>
    </row>
    <row r="7483" s="1" customFormat="1" spans="1:21">
      <c r="A7483" s="1" t="str">
        <f>"4601992339753"</f>
        <v>4601992339753</v>
      </c>
      <c r="B7483" s="1" t="s">
        <v>7506</v>
      </c>
      <c r="C7483" s="1" t="s">
        <v>24</v>
      </c>
      <c r="D7483" s="1" t="str">
        <f t="shared" si="13072"/>
        <v>2021</v>
      </c>
      <c r="E7483" s="1" t="str">
        <f t="shared" ref="E7483:P7483" si="13134">"0"</f>
        <v>0</v>
      </c>
      <c r="F7483" s="1" t="str">
        <f t="shared" si="13134"/>
        <v>0</v>
      </c>
      <c r="G7483" s="1" t="str">
        <f t="shared" si="13134"/>
        <v>0</v>
      </c>
      <c r="H7483" s="1" t="str">
        <f t="shared" si="13134"/>
        <v>0</v>
      </c>
      <c r="I7483" s="1" t="str">
        <f t="shared" si="13134"/>
        <v>0</v>
      </c>
      <c r="J7483" s="1" t="str">
        <f t="shared" si="13134"/>
        <v>0</v>
      </c>
      <c r="K7483" s="1" t="str">
        <f t="shared" si="13134"/>
        <v>0</v>
      </c>
      <c r="L7483" s="1" t="str">
        <f t="shared" si="13134"/>
        <v>0</v>
      </c>
      <c r="M7483" s="1" t="str">
        <f t="shared" si="13134"/>
        <v>0</v>
      </c>
      <c r="N7483" s="1" t="str">
        <f t="shared" si="13134"/>
        <v>0</v>
      </c>
      <c r="O7483" s="1" t="str">
        <f t="shared" si="13134"/>
        <v>0</v>
      </c>
      <c r="P7483" s="1" t="str">
        <f t="shared" si="13134"/>
        <v>0</v>
      </c>
      <c r="Q7483" s="1" t="str">
        <f t="shared" si="13074"/>
        <v>0.0070</v>
      </c>
      <c r="R7483" s="1" t="s">
        <v>25</v>
      </c>
      <c r="T7483" s="1" t="str">
        <f t="shared" si="13075"/>
        <v>0</v>
      </c>
      <c r="U7483" s="1" t="str">
        <f t="shared" si="13123"/>
        <v>0.0070</v>
      </c>
    </row>
    <row r="7484" s="1" customFormat="1" spans="1:21">
      <c r="A7484" s="1" t="str">
        <f>"4601992208032"</f>
        <v>4601992208032</v>
      </c>
      <c r="B7484" s="1" t="s">
        <v>7507</v>
      </c>
      <c r="C7484" s="1" t="s">
        <v>24</v>
      </c>
      <c r="D7484" s="1" t="str">
        <f t="shared" si="13072"/>
        <v>2021</v>
      </c>
      <c r="E7484" s="1" t="str">
        <f t="shared" ref="E7484:P7484" si="13135">"0"</f>
        <v>0</v>
      </c>
      <c r="F7484" s="1" t="str">
        <f t="shared" si="13135"/>
        <v>0</v>
      </c>
      <c r="G7484" s="1" t="str">
        <f t="shared" si="13135"/>
        <v>0</v>
      </c>
      <c r="H7484" s="1" t="str">
        <f t="shared" si="13135"/>
        <v>0</v>
      </c>
      <c r="I7484" s="1" t="str">
        <f t="shared" si="13135"/>
        <v>0</v>
      </c>
      <c r="J7484" s="1" t="str">
        <f t="shared" si="13135"/>
        <v>0</v>
      </c>
      <c r="K7484" s="1" t="str">
        <f t="shared" si="13135"/>
        <v>0</v>
      </c>
      <c r="L7484" s="1" t="str">
        <f t="shared" si="13135"/>
        <v>0</v>
      </c>
      <c r="M7484" s="1" t="str">
        <f t="shared" si="13135"/>
        <v>0</v>
      </c>
      <c r="N7484" s="1" t="str">
        <f t="shared" si="13135"/>
        <v>0</v>
      </c>
      <c r="O7484" s="1" t="str">
        <f t="shared" si="13135"/>
        <v>0</v>
      </c>
      <c r="P7484" s="1" t="str">
        <f t="shared" si="13135"/>
        <v>0</v>
      </c>
      <c r="Q7484" s="1" t="str">
        <f t="shared" si="13074"/>
        <v>0.0070</v>
      </c>
      <c r="R7484" s="1" t="s">
        <v>25</v>
      </c>
      <c r="T7484" s="1" t="str">
        <f t="shared" si="13075"/>
        <v>0</v>
      </c>
      <c r="U7484" s="1" t="str">
        <f t="shared" si="13123"/>
        <v>0.0070</v>
      </c>
    </row>
    <row r="7485" s="1" customFormat="1" spans="1:21">
      <c r="A7485" s="1" t="str">
        <f>"4601992340032"</f>
        <v>4601992340032</v>
      </c>
      <c r="B7485" s="1" t="s">
        <v>7508</v>
      </c>
      <c r="C7485" s="1" t="s">
        <v>24</v>
      </c>
      <c r="D7485" s="1" t="str">
        <f t="shared" si="13072"/>
        <v>2021</v>
      </c>
      <c r="E7485" s="1" t="str">
        <f t="shared" ref="E7485:P7485" si="13136">"0"</f>
        <v>0</v>
      </c>
      <c r="F7485" s="1" t="str">
        <f t="shared" si="13136"/>
        <v>0</v>
      </c>
      <c r="G7485" s="1" t="str">
        <f t="shared" si="13136"/>
        <v>0</v>
      </c>
      <c r="H7485" s="1" t="str">
        <f t="shared" si="13136"/>
        <v>0</v>
      </c>
      <c r="I7485" s="1" t="str">
        <f t="shared" si="13136"/>
        <v>0</v>
      </c>
      <c r="J7485" s="1" t="str">
        <f t="shared" si="13136"/>
        <v>0</v>
      </c>
      <c r="K7485" s="1" t="str">
        <f t="shared" si="13136"/>
        <v>0</v>
      </c>
      <c r="L7485" s="1" t="str">
        <f t="shared" si="13136"/>
        <v>0</v>
      </c>
      <c r="M7485" s="1" t="str">
        <f t="shared" si="13136"/>
        <v>0</v>
      </c>
      <c r="N7485" s="1" t="str">
        <f t="shared" si="13136"/>
        <v>0</v>
      </c>
      <c r="O7485" s="1" t="str">
        <f t="shared" si="13136"/>
        <v>0</v>
      </c>
      <c r="P7485" s="1" t="str">
        <f t="shared" si="13136"/>
        <v>0</v>
      </c>
      <c r="Q7485" s="1" t="str">
        <f t="shared" si="13074"/>
        <v>0.0070</v>
      </c>
      <c r="R7485" s="1" t="s">
        <v>25</v>
      </c>
      <c r="T7485" s="1" t="str">
        <f t="shared" si="13075"/>
        <v>0</v>
      </c>
      <c r="U7485" s="1" t="str">
        <f t="shared" si="13123"/>
        <v>0.0070</v>
      </c>
    </row>
    <row r="7486" s="1" customFormat="1" spans="1:21">
      <c r="A7486" s="1" t="str">
        <f>"4601992339885"</f>
        <v>4601992339885</v>
      </c>
      <c r="B7486" s="1" t="s">
        <v>7509</v>
      </c>
      <c r="C7486" s="1" t="s">
        <v>24</v>
      </c>
      <c r="D7486" s="1" t="str">
        <f t="shared" si="13072"/>
        <v>2021</v>
      </c>
      <c r="E7486" s="1" t="str">
        <f t="shared" ref="E7486:P7486" si="13137">"0"</f>
        <v>0</v>
      </c>
      <c r="F7486" s="1" t="str">
        <f t="shared" si="13137"/>
        <v>0</v>
      </c>
      <c r="G7486" s="1" t="str">
        <f t="shared" si="13137"/>
        <v>0</v>
      </c>
      <c r="H7486" s="1" t="str">
        <f t="shared" si="13137"/>
        <v>0</v>
      </c>
      <c r="I7486" s="1" t="str">
        <f t="shared" si="13137"/>
        <v>0</v>
      </c>
      <c r="J7486" s="1" t="str">
        <f t="shared" si="13137"/>
        <v>0</v>
      </c>
      <c r="K7486" s="1" t="str">
        <f t="shared" si="13137"/>
        <v>0</v>
      </c>
      <c r="L7486" s="1" t="str">
        <f t="shared" si="13137"/>
        <v>0</v>
      </c>
      <c r="M7486" s="1" t="str">
        <f t="shared" si="13137"/>
        <v>0</v>
      </c>
      <c r="N7486" s="1" t="str">
        <f t="shared" si="13137"/>
        <v>0</v>
      </c>
      <c r="O7486" s="1" t="str">
        <f t="shared" si="13137"/>
        <v>0</v>
      </c>
      <c r="P7486" s="1" t="str">
        <f t="shared" si="13137"/>
        <v>0</v>
      </c>
      <c r="Q7486" s="1" t="str">
        <f t="shared" si="13074"/>
        <v>0.0070</v>
      </c>
      <c r="R7486" s="1" t="s">
        <v>25</v>
      </c>
      <c r="T7486" s="1" t="str">
        <f t="shared" si="13075"/>
        <v>0</v>
      </c>
      <c r="U7486" s="1" t="str">
        <f t="shared" si="13123"/>
        <v>0.0070</v>
      </c>
    </row>
    <row r="7487" s="1" customFormat="1" spans="1:21">
      <c r="A7487" s="1" t="str">
        <f>"4601992340111"</f>
        <v>4601992340111</v>
      </c>
      <c r="B7487" s="1" t="s">
        <v>7510</v>
      </c>
      <c r="C7487" s="1" t="s">
        <v>24</v>
      </c>
      <c r="D7487" s="1" t="str">
        <f t="shared" si="13072"/>
        <v>2021</v>
      </c>
      <c r="E7487" s="1" t="str">
        <f t="shared" ref="E7487:P7487" si="13138">"0"</f>
        <v>0</v>
      </c>
      <c r="F7487" s="1" t="str">
        <f t="shared" si="13138"/>
        <v>0</v>
      </c>
      <c r="G7487" s="1" t="str">
        <f t="shared" si="13138"/>
        <v>0</v>
      </c>
      <c r="H7487" s="1" t="str">
        <f t="shared" si="13138"/>
        <v>0</v>
      </c>
      <c r="I7487" s="1" t="str">
        <f t="shared" si="13138"/>
        <v>0</v>
      </c>
      <c r="J7487" s="1" t="str">
        <f t="shared" si="13138"/>
        <v>0</v>
      </c>
      <c r="K7487" s="1" t="str">
        <f t="shared" si="13138"/>
        <v>0</v>
      </c>
      <c r="L7487" s="1" t="str">
        <f t="shared" si="13138"/>
        <v>0</v>
      </c>
      <c r="M7487" s="1" t="str">
        <f t="shared" si="13138"/>
        <v>0</v>
      </c>
      <c r="N7487" s="1" t="str">
        <f t="shared" si="13138"/>
        <v>0</v>
      </c>
      <c r="O7487" s="1" t="str">
        <f t="shared" si="13138"/>
        <v>0</v>
      </c>
      <c r="P7487" s="1" t="str">
        <f t="shared" si="13138"/>
        <v>0</v>
      </c>
      <c r="Q7487" s="1" t="str">
        <f t="shared" si="13074"/>
        <v>0.0070</v>
      </c>
      <c r="R7487" s="1" t="s">
        <v>25</v>
      </c>
      <c r="T7487" s="1" t="str">
        <f t="shared" si="13075"/>
        <v>0</v>
      </c>
      <c r="U7487" s="1" t="str">
        <f t="shared" si="13123"/>
        <v>0.0070</v>
      </c>
    </row>
    <row r="7488" s="1" customFormat="1" spans="1:21">
      <c r="A7488" s="1" t="str">
        <f>"4601992340150"</f>
        <v>4601992340150</v>
      </c>
      <c r="B7488" s="1" t="s">
        <v>7511</v>
      </c>
      <c r="C7488" s="1" t="s">
        <v>24</v>
      </c>
      <c r="D7488" s="1" t="str">
        <f t="shared" si="13072"/>
        <v>2021</v>
      </c>
      <c r="E7488" s="1" t="str">
        <f t="shared" ref="E7488:P7488" si="13139">"0"</f>
        <v>0</v>
      </c>
      <c r="F7488" s="1" t="str">
        <f t="shared" si="13139"/>
        <v>0</v>
      </c>
      <c r="G7488" s="1" t="str">
        <f t="shared" si="13139"/>
        <v>0</v>
      </c>
      <c r="H7488" s="1" t="str">
        <f t="shared" si="13139"/>
        <v>0</v>
      </c>
      <c r="I7488" s="1" t="str">
        <f t="shared" si="13139"/>
        <v>0</v>
      </c>
      <c r="J7488" s="1" t="str">
        <f t="shared" si="13139"/>
        <v>0</v>
      </c>
      <c r="K7488" s="1" t="str">
        <f t="shared" si="13139"/>
        <v>0</v>
      </c>
      <c r="L7488" s="1" t="str">
        <f t="shared" si="13139"/>
        <v>0</v>
      </c>
      <c r="M7488" s="1" t="str">
        <f t="shared" si="13139"/>
        <v>0</v>
      </c>
      <c r="N7488" s="1" t="str">
        <f t="shared" si="13139"/>
        <v>0</v>
      </c>
      <c r="O7488" s="1" t="str">
        <f t="shared" si="13139"/>
        <v>0</v>
      </c>
      <c r="P7488" s="1" t="str">
        <f t="shared" si="13139"/>
        <v>0</v>
      </c>
      <c r="Q7488" s="1" t="str">
        <f t="shared" si="13074"/>
        <v>0.0070</v>
      </c>
      <c r="R7488" s="1" t="s">
        <v>25</v>
      </c>
      <c r="T7488" s="1" t="str">
        <f t="shared" si="13075"/>
        <v>0</v>
      </c>
      <c r="U7488" s="1" t="str">
        <f t="shared" si="13123"/>
        <v>0.0070</v>
      </c>
    </row>
    <row r="7489" s="1" customFormat="1" spans="1:21">
      <c r="A7489" s="1" t="str">
        <f>"4601992340310"</f>
        <v>4601992340310</v>
      </c>
      <c r="B7489" s="1" t="s">
        <v>7512</v>
      </c>
      <c r="C7489" s="1" t="s">
        <v>24</v>
      </c>
      <c r="D7489" s="1" t="str">
        <f t="shared" si="13072"/>
        <v>2021</v>
      </c>
      <c r="E7489" s="1" t="str">
        <f t="shared" ref="E7489:P7489" si="13140">"0"</f>
        <v>0</v>
      </c>
      <c r="F7489" s="1" t="str">
        <f t="shared" si="13140"/>
        <v>0</v>
      </c>
      <c r="G7489" s="1" t="str">
        <f t="shared" si="13140"/>
        <v>0</v>
      </c>
      <c r="H7489" s="1" t="str">
        <f t="shared" si="13140"/>
        <v>0</v>
      </c>
      <c r="I7489" s="1" t="str">
        <f t="shared" si="13140"/>
        <v>0</v>
      </c>
      <c r="J7489" s="1" t="str">
        <f t="shared" si="13140"/>
        <v>0</v>
      </c>
      <c r="K7489" s="1" t="str">
        <f t="shared" si="13140"/>
        <v>0</v>
      </c>
      <c r="L7489" s="1" t="str">
        <f t="shared" si="13140"/>
        <v>0</v>
      </c>
      <c r="M7489" s="1" t="str">
        <f t="shared" si="13140"/>
        <v>0</v>
      </c>
      <c r="N7489" s="1" t="str">
        <f t="shared" si="13140"/>
        <v>0</v>
      </c>
      <c r="O7489" s="1" t="str">
        <f t="shared" si="13140"/>
        <v>0</v>
      </c>
      <c r="P7489" s="1" t="str">
        <f t="shared" si="13140"/>
        <v>0</v>
      </c>
      <c r="Q7489" s="1" t="str">
        <f t="shared" si="13074"/>
        <v>0.0070</v>
      </c>
      <c r="R7489" s="1" t="s">
        <v>25</v>
      </c>
      <c r="T7489" s="1" t="str">
        <f t="shared" si="13075"/>
        <v>0</v>
      </c>
      <c r="U7489" s="1" t="str">
        <f t="shared" si="13123"/>
        <v>0.0070</v>
      </c>
    </row>
    <row r="7490" s="1" customFormat="1" spans="1:21">
      <c r="A7490" s="1" t="str">
        <f>"4601992340291"</f>
        <v>4601992340291</v>
      </c>
      <c r="B7490" s="1" t="s">
        <v>7513</v>
      </c>
      <c r="C7490" s="1" t="s">
        <v>24</v>
      </c>
      <c r="D7490" s="1" t="str">
        <f t="shared" si="13072"/>
        <v>2021</v>
      </c>
      <c r="E7490" s="1" t="str">
        <f t="shared" ref="E7490:P7490" si="13141">"0"</f>
        <v>0</v>
      </c>
      <c r="F7490" s="1" t="str">
        <f t="shared" si="13141"/>
        <v>0</v>
      </c>
      <c r="G7490" s="1" t="str">
        <f t="shared" si="13141"/>
        <v>0</v>
      </c>
      <c r="H7490" s="1" t="str">
        <f t="shared" si="13141"/>
        <v>0</v>
      </c>
      <c r="I7490" s="1" t="str">
        <f t="shared" si="13141"/>
        <v>0</v>
      </c>
      <c r="J7490" s="1" t="str">
        <f t="shared" si="13141"/>
        <v>0</v>
      </c>
      <c r="K7490" s="1" t="str">
        <f t="shared" si="13141"/>
        <v>0</v>
      </c>
      <c r="L7490" s="1" t="str">
        <f t="shared" si="13141"/>
        <v>0</v>
      </c>
      <c r="M7490" s="1" t="str">
        <f t="shared" si="13141"/>
        <v>0</v>
      </c>
      <c r="N7490" s="1" t="str">
        <f t="shared" si="13141"/>
        <v>0</v>
      </c>
      <c r="O7490" s="1" t="str">
        <f t="shared" si="13141"/>
        <v>0</v>
      </c>
      <c r="P7490" s="1" t="str">
        <f t="shared" si="13141"/>
        <v>0</v>
      </c>
      <c r="Q7490" s="1" t="str">
        <f t="shared" si="13074"/>
        <v>0.0070</v>
      </c>
      <c r="R7490" s="1" t="s">
        <v>25</v>
      </c>
      <c r="T7490" s="1" t="str">
        <f t="shared" si="13075"/>
        <v>0</v>
      </c>
      <c r="U7490" s="1" t="str">
        <f t="shared" si="13123"/>
        <v>0.0070</v>
      </c>
    </row>
    <row r="7491" s="1" customFormat="1" spans="1:21">
      <c r="A7491" s="1" t="str">
        <f>"4601992340161"</f>
        <v>4601992340161</v>
      </c>
      <c r="B7491" s="1" t="s">
        <v>7514</v>
      </c>
      <c r="C7491" s="1" t="s">
        <v>24</v>
      </c>
      <c r="D7491" s="1" t="str">
        <f t="shared" ref="D7491:D7554" si="13142">"2021"</f>
        <v>2021</v>
      </c>
      <c r="E7491" s="1" t="str">
        <f t="shared" ref="E7491:P7491" si="13143">"0"</f>
        <v>0</v>
      </c>
      <c r="F7491" s="1" t="str">
        <f t="shared" si="13143"/>
        <v>0</v>
      </c>
      <c r="G7491" s="1" t="str">
        <f t="shared" si="13143"/>
        <v>0</v>
      </c>
      <c r="H7491" s="1" t="str">
        <f t="shared" si="13143"/>
        <v>0</v>
      </c>
      <c r="I7491" s="1" t="str">
        <f t="shared" si="13143"/>
        <v>0</v>
      </c>
      <c r="J7491" s="1" t="str">
        <f t="shared" si="13143"/>
        <v>0</v>
      </c>
      <c r="K7491" s="1" t="str">
        <f t="shared" si="13143"/>
        <v>0</v>
      </c>
      <c r="L7491" s="1" t="str">
        <f t="shared" si="13143"/>
        <v>0</v>
      </c>
      <c r="M7491" s="1" t="str">
        <f t="shared" si="13143"/>
        <v>0</v>
      </c>
      <c r="N7491" s="1" t="str">
        <f t="shared" si="13143"/>
        <v>0</v>
      </c>
      <c r="O7491" s="1" t="str">
        <f t="shared" si="13143"/>
        <v>0</v>
      </c>
      <c r="P7491" s="1" t="str">
        <f t="shared" si="13143"/>
        <v>0</v>
      </c>
      <c r="Q7491" s="1" t="str">
        <f t="shared" ref="Q7491:Q7554" si="13144">"0.0070"</f>
        <v>0.0070</v>
      </c>
      <c r="R7491" s="1" t="s">
        <v>25</v>
      </c>
      <c r="T7491" s="1" t="str">
        <f t="shared" ref="T7491:T7554" si="13145">"0"</f>
        <v>0</v>
      </c>
      <c r="U7491" s="1" t="str">
        <f t="shared" si="13123"/>
        <v>0.0070</v>
      </c>
    </row>
    <row r="7492" s="1" customFormat="1" spans="1:21">
      <c r="A7492" s="1" t="str">
        <f>"4601992340416"</f>
        <v>4601992340416</v>
      </c>
      <c r="B7492" s="1" t="s">
        <v>7515</v>
      </c>
      <c r="C7492" s="1" t="s">
        <v>24</v>
      </c>
      <c r="D7492" s="1" t="str">
        <f t="shared" si="13142"/>
        <v>2021</v>
      </c>
      <c r="E7492" s="1" t="str">
        <f t="shared" ref="E7492:P7492" si="13146">"0"</f>
        <v>0</v>
      </c>
      <c r="F7492" s="1" t="str">
        <f t="shared" si="13146"/>
        <v>0</v>
      </c>
      <c r="G7492" s="1" t="str">
        <f t="shared" si="13146"/>
        <v>0</v>
      </c>
      <c r="H7492" s="1" t="str">
        <f t="shared" si="13146"/>
        <v>0</v>
      </c>
      <c r="I7492" s="1" t="str">
        <f t="shared" si="13146"/>
        <v>0</v>
      </c>
      <c r="J7492" s="1" t="str">
        <f t="shared" si="13146"/>
        <v>0</v>
      </c>
      <c r="K7492" s="1" t="str">
        <f t="shared" si="13146"/>
        <v>0</v>
      </c>
      <c r="L7492" s="1" t="str">
        <f t="shared" si="13146"/>
        <v>0</v>
      </c>
      <c r="M7492" s="1" t="str">
        <f t="shared" si="13146"/>
        <v>0</v>
      </c>
      <c r="N7492" s="1" t="str">
        <f t="shared" si="13146"/>
        <v>0</v>
      </c>
      <c r="O7492" s="1" t="str">
        <f t="shared" si="13146"/>
        <v>0</v>
      </c>
      <c r="P7492" s="1" t="str">
        <f t="shared" si="13146"/>
        <v>0</v>
      </c>
      <c r="Q7492" s="1" t="str">
        <f t="shared" si="13144"/>
        <v>0.0070</v>
      </c>
      <c r="R7492" s="1" t="s">
        <v>25</v>
      </c>
      <c r="T7492" s="1" t="str">
        <f t="shared" si="13145"/>
        <v>0</v>
      </c>
      <c r="U7492" s="1" t="str">
        <f t="shared" si="13123"/>
        <v>0.0070</v>
      </c>
    </row>
    <row r="7493" s="1" customFormat="1" spans="1:21">
      <c r="A7493" s="1" t="str">
        <f>"4601992340464"</f>
        <v>4601992340464</v>
      </c>
      <c r="B7493" s="1" t="s">
        <v>7516</v>
      </c>
      <c r="C7493" s="1" t="s">
        <v>24</v>
      </c>
      <c r="D7493" s="1" t="str">
        <f t="shared" si="13142"/>
        <v>2021</v>
      </c>
      <c r="E7493" s="1" t="str">
        <f t="shared" ref="E7493:P7493" si="13147">"0"</f>
        <v>0</v>
      </c>
      <c r="F7493" s="1" t="str">
        <f t="shared" si="13147"/>
        <v>0</v>
      </c>
      <c r="G7493" s="1" t="str">
        <f t="shared" si="13147"/>
        <v>0</v>
      </c>
      <c r="H7493" s="1" t="str">
        <f t="shared" si="13147"/>
        <v>0</v>
      </c>
      <c r="I7493" s="1" t="str">
        <f t="shared" si="13147"/>
        <v>0</v>
      </c>
      <c r="J7493" s="1" t="str">
        <f t="shared" si="13147"/>
        <v>0</v>
      </c>
      <c r="K7493" s="1" t="str">
        <f t="shared" si="13147"/>
        <v>0</v>
      </c>
      <c r="L7493" s="1" t="str">
        <f t="shared" si="13147"/>
        <v>0</v>
      </c>
      <c r="M7493" s="1" t="str">
        <f t="shared" si="13147"/>
        <v>0</v>
      </c>
      <c r="N7493" s="1" t="str">
        <f t="shared" si="13147"/>
        <v>0</v>
      </c>
      <c r="O7493" s="1" t="str">
        <f t="shared" si="13147"/>
        <v>0</v>
      </c>
      <c r="P7493" s="1" t="str">
        <f t="shared" si="13147"/>
        <v>0</v>
      </c>
      <c r="Q7493" s="1" t="str">
        <f t="shared" si="13144"/>
        <v>0.0070</v>
      </c>
      <c r="R7493" s="1" t="s">
        <v>25</v>
      </c>
      <c r="T7493" s="1" t="str">
        <f t="shared" si="13145"/>
        <v>0</v>
      </c>
      <c r="U7493" s="1" t="str">
        <f t="shared" si="13123"/>
        <v>0.0070</v>
      </c>
    </row>
    <row r="7494" s="1" customFormat="1" spans="1:21">
      <c r="A7494" s="1" t="str">
        <f>"4601992340463"</f>
        <v>4601992340463</v>
      </c>
      <c r="B7494" s="1" t="s">
        <v>7517</v>
      </c>
      <c r="C7494" s="1" t="s">
        <v>24</v>
      </c>
      <c r="D7494" s="1" t="str">
        <f t="shared" si="13142"/>
        <v>2021</v>
      </c>
      <c r="E7494" s="1" t="str">
        <f t="shared" ref="E7494:P7494" si="13148">"0"</f>
        <v>0</v>
      </c>
      <c r="F7494" s="1" t="str">
        <f t="shared" si="13148"/>
        <v>0</v>
      </c>
      <c r="G7494" s="1" t="str">
        <f t="shared" si="13148"/>
        <v>0</v>
      </c>
      <c r="H7494" s="1" t="str">
        <f t="shared" si="13148"/>
        <v>0</v>
      </c>
      <c r="I7494" s="1" t="str">
        <f t="shared" si="13148"/>
        <v>0</v>
      </c>
      <c r="J7494" s="1" t="str">
        <f t="shared" si="13148"/>
        <v>0</v>
      </c>
      <c r="K7494" s="1" t="str">
        <f t="shared" si="13148"/>
        <v>0</v>
      </c>
      <c r="L7494" s="1" t="str">
        <f t="shared" si="13148"/>
        <v>0</v>
      </c>
      <c r="M7494" s="1" t="str">
        <f t="shared" si="13148"/>
        <v>0</v>
      </c>
      <c r="N7494" s="1" t="str">
        <f t="shared" si="13148"/>
        <v>0</v>
      </c>
      <c r="O7494" s="1" t="str">
        <f t="shared" si="13148"/>
        <v>0</v>
      </c>
      <c r="P7494" s="1" t="str">
        <f t="shared" si="13148"/>
        <v>0</v>
      </c>
      <c r="Q7494" s="1" t="str">
        <f t="shared" si="13144"/>
        <v>0.0070</v>
      </c>
      <c r="R7494" s="1" t="s">
        <v>25</v>
      </c>
      <c r="T7494" s="1" t="str">
        <f t="shared" si="13145"/>
        <v>0</v>
      </c>
      <c r="U7494" s="1" t="str">
        <f t="shared" si="13123"/>
        <v>0.0070</v>
      </c>
    </row>
    <row r="7495" s="1" customFormat="1" spans="1:21">
      <c r="A7495" s="1" t="str">
        <f>"4601992340604"</f>
        <v>4601992340604</v>
      </c>
      <c r="B7495" s="1" t="s">
        <v>7518</v>
      </c>
      <c r="C7495" s="1" t="s">
        <v>24</v>
      </c>
      <c r="D7495" s="1" t="str">
        <f t="shared" si="13142"/>
        <v>2021</v>
      </c>
      <c r="E7495" s="1" t="str">
        <f t="shared" ref="E7495:P7495" si="13149">"0"</f>
        <v>0</v>
      </c>
      <c r="F7495" s="1" t="str">
        <f t="shared" si="13149"/>
        <v>0</v>
      </c>
      <c r="G7495" s="1" t="str">
        <f t="shared" si="13149"/>
        <v>0</v>
      </c>
      <c r="H7495" s="1" t="str">
        <f t="shared" si="13149"/>
        <v>0</v>
      </c>
      <c r="I7495" s="1" t="str">
        <f t="shared" si="13149"/>
        <v>0</v>
      </c>
      <c r="J7495" s="1" t="str">
        <f t="shared" si="13149"/>
        <v>0</v>
      </c>
      <c r="K7495" s="1" t="str">
        <f t="shared" si="13149"/>
        <v>0</v>
      </c>
      <c r="L7495" s="1" t="str">
        <f t="shared" si="13149"/>
        <v>0</v>
      </c>
      <c r="M7495" s="1" t="str">
        <f t="shared" si="13149"/>
        <v>0</v>
      </c>
      <c r="N7495" s="1" t="str">
        <f t="shared" si="13149"/>
        <v>0</v>
      </c>
      <c r="O7495" s="1" t="str">
        <f t="shared" si="13149"/>
        <v>0</v>
      </c>
      <c r="P7495" s="1" t="str">
        <f t="shared" si="13149"/>
        <v>0</v>
      </c>
      <c r="Q7495" s="1" t="str">
        <f t="shared" si="13144"/>
        <v>0.0070</v>
      </c>
      <c r="R7495" s="1" t="s">
        <v>25</v>
      </c>
      <c r="T7495" s="1" t="str">
        <f t="shared" si="13145"/>
        <v>0</v>
      </c>
      <c r="U7495" s="1" t="str">
        <f t="shared" si="13123"/>
        <v>0.0070</v>
      </c>
    </row>
    <row r="7496" s="1" customFormat="1" spans="1:21">
      <c r="A7496" s="1" t="str">
        <f>"4601992340641"</f>
        <v>4601992340641</v>
      </c>
      <c r="B7496" s="1" t="s">
        <v>7519</v>
      </c>
      <c r="C7496" s="1" t="s">
        <v>24</v>
      </c>
      <c r="D7496" s="1" t="str">
        <f t="shared" si="13142"/>
        <v>2021</v>
      </c>
      <c r="E7496" s="1" t="str">
        <f t="shared" ref="E7496:P7496" si="13150">"0"</f>
        <v>0</v>
      </c>
      <c r="F7496" s="1" t="str">
        <f t="shared" si="13150"/>
        <v>0</v>
      </c>
      <c r="G7496" s="1" t="str">
        <f t="shared" si="13150"/>
        <v>0</v>
      </c>
      <c r="H7496" s="1" t="str">
        <f t="shared" si="13150"/>
        <v>0</v>
      </c>
      <c r="I7496" s="1" t="str">
        <f t="shared" si="13150"/>
        <v>0</v>
      </c>
      <c r="J7496" s="1" t="str">
        <f t="shared" si="13150"/>
        <v>0</v>
      </c>
      <c r="K7496" s="1" t="str">
        <f t="shared" si="13150"/>
        <v>0</v>
      </c>
      <c r="L7496" s="1" t="str">
        <f t="shared" si="13150"/>
        <v>0</v>
      </c>
      <c r="M7496" s="1" t="str">
        <f t="shared" si="13150"/>
        <v>0</v>
      </c>
      <c r="N7496" s="1" t="str">
        <f t="shared" si="13150"/>
        <v>0</v>
      </c>
      <c r="O7496" s="1" t="str">
        <f t="shared" si="13150"/>
        <v>0</v>
      </c>
      <c r="P7496" s="1" t="str">
        <f t="shared" si="13150"/>
        <v>0</v>
      </c>
      <c r="Q7496" s="1" t="str">
        <f t="shared" si="13144"/>
        <v>0.0070</v>
      </c>
      <c r="R7496" s="1" t="s">
        <v>25</v>
      </c>
      <c r="T7496" s="1" t="str">
        <f t="shared" si="13145"/>
        <v>0</v>
      </c>
      <c r="U7496" s="1" t="str">
        <f t="shared" si="13123"/>
        <v>0.0070</v>
      </c>
    </row>
    <row r="7497" s="1" customFormat="1" spans="1:21">
      <c r="A7497" s="1" t="str">
        <f>"4601992340625"</f>
        <v>4601992340625</v>
      </c>
      <c r="B7497" s="1" t="s">
        <v>7520</v>
      </c>
      <c r="C7497" s="1" t="s">
        <v>24</v>
      </c>
      <c r="D7497" s="1" t="str">
        <f t="shared" si="13142"/>
        <v>2021</v>
      </c>
      <c r="E7497" s="1" t="str">
        <f t="shared" ref="E7497:P7497" si="13151">"0"</f>
        <v>0</v>
      </c>
      <c r="F7497" s="1" t="str">
        <f t="shared" si="13151"/>
        <v>0</v>
      </c>
      <c r="G7497" s="1" t="str">
        <f t="shared" si="13151"/>
        <v>0</v>
      </c>
      <c r="H7497" s="1" t="str">
        <f t="shared" si="13151"/>
        <v>0</v>
      </c>
      <c r="I7497" s="1" t="str">
        <f t="shared" si="13151"/>
        <v>0</v>
      </c>
      <c r="J7497" s="1" t="str">
        <f t="shared" si="13151"/>
        <v>0</v>
      </c>
      <c r="K7497" s="1" t="str">
        <f t="shared" si="13151"/>
        <v>0</v>
      </c>
      <c r="L7497" s="1" t="str">
        <f t="shared" si="13151"/>
        <v>0</v>
      </c>
      <c r="M7497" s="1" t="str">
        <f t="shared" si="13151"/>
        <v>0</v>
      </c>
      <c r="N7497" s="1" t="str">
        <f t="shared" si="13151"/>
        <v>0</v>
      </c>
      <c r="O7497" s="1" t="str">
        <f t="shared" si="13151"/>
        <v>0</v>
      </c>
      <c r="P7497" s="1" t="str">
        <f t="shared" si="13151"/>
        <v>0</v>
      </c>
      <c r="Q7497" s="1" t="str">
        <f t="shared" si="13144"/>
        <v>0.0070</v>
      </c>
      <c r="R7497" s="1" t="s">
        <v>25</v>
      </c>
      <c r="T7497" s="1" t="str">
        <f t="shared" si="13145"/>
        <v>0</v>
      </c>
      <c r="U7497" s="1" t="str">
        <f t="shared" si="13123"/>
        <v>0.0070</v>
      </c>
    </row>
    <row r="7498" s="1" customFormat="1" spans="1:21">
      <c r="A7498" s="1" t="str">
        <f>"4601992340648"</f>
        <v>4601992340648</v>
      </c>
      <c r="B7498" s="1" t="s">
        <v>7521</v>
      </c>
      <c r="C7498" s="1" t="s">
        <v>24</v>
      </c>
      <c r="D7498" s="1" t="str">
        <f t="shared" si="13142"/>
        <v>2021</v>
      </c>
      <c r="E7498" s="1" t="str">
        <f t="shared" ref="E7498:P7498" si="13152">"0"</f>
        <v>0</v>
      </c>
      <c r="F7498" s="1" t="str">
        <f t="shared" si="13152"/>
        <v>0</v>
      </c>
      <c r="G7498" s="1" t="str">
        <f t="shared" si="13152"/>
        <v>0</v>
      </c>
      <c r="H7498" s="1" t="str">
        <f t="shared" si="13152"/>
        <v>0</v>
      </c>
      <c r="I7498" s="1" t="str">
        <f t="shared" si="13152"/>
        <v>0</v>
      </c>
      <c r="J7498" s="1" t="str">
        <f t="shared" si="13152"/>
        <v>0</v>
      </c>
      <c r="K7498" s="1" t="str">
        <f t="shared" si="13152"/>
        <v>0</v>
      </c>
      <c r="L7498" s="1" t="str">
        <f t="shared" si="13152"/>
        <v>0</v>
      </c>
      <c r="M7498" s="1" t="str">
        <f t="shared" si="13152"/>
        <v>0</v>
      </c>
      <c r="N7498" s="1" t="str">
        <f t="shared" si="13152"/>
        <v>0</v>
      </c>
      <c r="O7498" s="1" t="str">
        <f t="shared" si="13152"/>
        <v>0</v>
      </c>
      <c r="P7498" s="1" t="str">
        <f t="shared" si="13152"/>
        <v>0</v>
      </c>
      <c r="Q7498" s="1" t="str">
        <f t="shared" si="13144"/>
        <v>0.0070</v>
      </c>
      <c r="R7498" s="1" t="s">
        <v>25</v>
      </c>
      <c r="T7498" s="1" t="str">
        <f t="shared" si="13145"/>
        <v>0</v>
      </c>
      <c r="U7498" s="1" t="str">
        <f t="shared" si="13123"/>
        <v>0.0070</v>
      </c>
    </row>
    <row r="7499" s="1" customFormat="1" spans="1:21">
      <c r="A7499" s="1" t="str">
        <f>"4601991421285"</f>
        <v>4601991421285</v>
      </c>
      <c r="B7499" s="1" t="s">
        <v>7522</v>
      </c>
      <c r="C7499" s="1" t="s">
        <v>24</v>
      </c>
      <c r="D7499" s="1" t="str">
        <f t="shared" si="13142"/>
        <v>2021</v>
      </c>
      <c r="E7499" s="1" t="str">
        <f>"29.01"</f>
        <v>29.01</v>
      </c>
      <c r="F7499" s="1" t="str">
        <f t="shared" ref="F7499:I7499" si="13153">"0"</f>
        <v>0</v>
      </c>
      <c r="G7499" s="1" t="str">
        <f t="shared" si="13153"/>
        <v>0</v>
      </c>
      <c r="H7499" s="1" t="str">
        <f t="shared" si="13153"/>
        <v>0</v>
      </c>
      <c r="I7499" s="1" t="str">
        <f t="shared" si="13153"/>
        <v>0</v>
      </c>
      <c r="J7499" s="1" t="str">
        <f>"3"</f>
        <v>3</v>
      </c>
      <c r="K7499" s="1" t="str">
        <f t="shared" ref="K7499:P7499" si="13154">"0"</f>
        <v>0</v>
      </c>
      <c r="L7499" s="1" t="str">
        <f t="shared" si="13154"/>
        <v>0</v>
      </c>
      <c r="M7499" s="1" t="str">
        <f t="shared" si="13154"/>
        <v>0</v>
      </c>
      <c r="N7499" s="1" t="str">
        <f t="shared" si="13154"/>
        <v>0</v>
      </c>
      <c r="O7499" s="1" t="str">
        <f t="shared" si="13154"/>
        <v>0</v>
      </c>
      <c r="P7499" s="1" t="str">
        <f t="shared" si="13154"/>
        <v>0</v>
      </c>
      <c r="Q7499" s="1" t="str">
        <f t="shared" si="13144"/>
        <v>0.0070</v>
      </c>
      <c r="R7499" s="1" t="s">
        <v>29</v>
      </c>
      <c r="S7499" s="1">
        <v>-0.0014</v>
      </c>
      <c r="T7499" s="1" t="str">
        <f t="shared" si="13145"/>
        <v>0</v>
      </c>
      <c r="U7499" s="1" t="str">
        <f>"0.0056"</f>
        <v>0.0056</v>
      </c>
    </row>
    <row r="7500" s="1" customFormat="1" spans="1:21">
      <c r="A7500" s="1" t="str">
        <f>"4601992340891"</f>
        <v>4601992340891</v>
      </c>
      <c r="B7500" s="1" t="s">
        <v>7523</v>
      </c>
      <c r="C7500" s="1" t="s">
        <v>24</v>
      </c>
      <c r="D7500" s="1" t="str">
        <f t="shared" si="13142"/>
        <v>2021</v>
      </c>
      <c r="E7500" s="1" t="str">
        <f t="shared" ref="E7500:P7500" si="13155">"0"</f>
        <v>0</v>
      </c>
      <c r="F7500" s="1" t="str">
        <f t="shared" si="13155"/>
        <v>0</v>
      </c>
      <c r="G7500" s="1" t="str">
        <f t="shared" si="13155"/>
        <v>0</v>
      </c>
      <c r="H7500" s="1" t="str">
        <f t="shared" si="13155"/>
        <v>0</v>
      </c>
      <c r="I7500" s="1" t="str">
        <f t="shared" si="13155"/>
        <v>0</v>
      </c>
      <c r="J7500" s="1" t="str">
        <f t="shared" si="13155"/>
        <v>0</v>
      </c>
      <c r="K7500" s="1" t="str">
        <f t="shared" si="13155"/>
        <v>0</v>
      </c>
      <c r="L7500" s="1" t="str">
        <f t="shared" si="13155"/>
        <v>0</v>
      </c>
      <c r="M7500" s="1" t="str">
        <f t="shared" si="13155"/>
        <v>0</v>
      </c>
      <c r="N7500" s="1" t="str">
        <f t="shared" si="13155"/>
        <v>0</v>
      </c>
      <c r="O7500" s="1" t="str">
        <f t="shared" si="13155"/>
        <v>0</v>
      </c>
      <c r="P7500" s="1" t="str">
        <f t="shared" si="13155"/>
        <v>0</v>
      </c>
      <c r="Q7500" s="1" t="str">
        <f t="shared" si="13144"/>
        <v>0.0070</v>
      </c>
      <c r="R7500" s="1" t="s">
        <v>25</v>
      </c>
      <c r="T7500" s="1" t="str">
        <f t="shared" si="13145"/>
        <v>0</v>
      </c>
      <c r="U7500" s="1" t="str">
        <f t="shared" ref="U7500:U7563" si="13156">"0.0070"</f>
        <v>0.0070</v>
      </c>
    </row>
    <row r="7501" s="1" customFormat="1" spans="1:21">
      <c r="A7501" s="1" t="str">
        <f>"4601992340758"</f>
        <v>4601992340758</v>
      </c>
      <c r="B7501" s="1" t="s">
        <v>7524</v>
      </c>
      <c r="C7501" s="1" t="s">
        <v>24</v>
      </c>
      <c r="D7501" s="1" t="str">
        <f t="shared" si="13142"/>
        <v>2021</v>
      </c>
      <c r="E7501" s="1" t="str">
        <f t="shared" ref="E7501:P7501" si="13157">"0"</f>
        <v>0</v>
      </c>
      <c r="F7501" s="1" t="str">
        <f t="shared" si="13157"/>
        <v>0</v>
      </c>
      <c r="G7501" s="1" t="str">
        <f t="shared" si="13157"/>
        <v>0</v>
      </c>
      <c r="H7501" s="1" t="str">
        <f t="shared" si="13157"/>
        <v>0</v>
      </c>
      <c r="I7501" s="1" t="str">
        <f t="shared" si="13157"/>
        <v>0</v>
      </c>
      <c r="J7501" s="1" t="str">
        <f t="shared" si="13157"/>
        <v>0</v>
      </c>
      <c r="K7501" s="1" t="str">
        <f t="shared" si="13157"/>
        <v>0</v>
      </c>
      <c r="L7501" s="1" t="str">
        <f t="shared" si="13157"/>
        <v>0</v>
      </c>
      <c r="M7501" s="1" t="str">
        <f t="shared" si="13157"/>
        <v>0</v>
      </c>
      <c r="N7501" s="1" t="str">
        <f t="shared" si="13157"/>
        <v>0</v>
      </c>
      <c r="O7501" s="1" t="str">
        <f t="shared" si="13157"/>
        <v>0</v>
      </c>
      <c r="P7501" s="1" t="str">
        <f t="shared" si="13157"/>
        <v>0</v>
      </c>
      <c r="Q7501" s="1" t="str">
        <f t="shared" si="13144"/>
        <v>0.0070</v>
      </c>
      <c r="R7501" s="1" t="s">
        <v>25</v>
      </c>
      <c r="T7501" s="1" t="str">
        <f t="shared" si="13145"/>
        <v>0</v>
      </c>
      <c r="U7501" s="1" t="str">
        <f t="shared" si="13156"/>
        <v>0.0070</v>
      </c>
    </row>
    <row r="7502" s="1" customFormat="1" spans="1:21">
      <c r="A7502" s="1" t="str">
        <f>"4601992340910"</f>
        <v>4601992340910</v>
      </c>
      <c r="B7502" s="1" t="s">
        <v>7525</v>
      </c>
      <c r="C7502" s="1" t="s">
        <v>24</v>
      </c>
      <c r="D7502" s="1" t="str">
        <f t="shared" si="13142"/>
        <v>2021</v>
      </c>
      <c r="E7502" s="1" t="str">
        <f t="shared" ref="E7502:P7502" si="13158">"0"</f>
        <v>0</v>
      </c>
      <c r="F7502" s="1" t="str">
        <f t="shared" si="13158"/>
        <v>0</v>
      </c>
      <c r="G7502" s="1" t="str">
        <f t="shared" si="13158"/>
        <v>0</v>
      </c>
      <c r="H7502" s="1" t="str">
        <f t="shared" si="13158"/>
        <v>0</v>
      </c>
      <c r="I7502" s="1" t="str">
        <f t="shared" si="13158"/>
        <v>0</v>
      </c>
      <c r="J7502" s="1" t="str">
        <f t="shared" si="13158"/>
        <v>0</v>
      </c>
      <c r="K7502" s="1" t="str">
        <f t="shared" si="13158"/>
        <v>0</v>
      </c>
      <c r="L7502" s="1" t="str">
        <f t="shared" si="13158"/>
        <v>0</v>
      </c>
      <c r="M7502" s="1" t="str">
        <f t="shared" si="13158"/>
        <v>0</v>
      </c>
      <c r="N7502" s="1" t="str">
        <f t="shared" si="13158"/>
        <v>0</v>
      </c>
      <c r="O7502" s="1" t="str">
        <f t="shared" si="13158"/>
        <v>0</v>
      </c>
      <c r="P7502" s="1" t="str">
        <f t="shared" si="13158"/>
        <v>0</v>
      </c>
      <c r="Q7502" s="1" t="str">
        <f t="shared" si="13144"/>
        <v>0.0070</v>
      </c>
      <c r="R7502" s="1" t="s">
        <v>25</v>
      </c>
      <c r="T7502" s="1" t="str">
        <f t="shared" si="13145"/>
        <v>0</v>
      </c>
      <c r="U7502" s="1" t="str">
        <f t="shared" si="13156"/>
        <v>0.0070</v>
      </c>
    </row>
    <row r="7503" s="1" customFormat="1" spans="1:21">
      <c r="A7503" s="1" t="str">
        <f>"4601992341036"</f>
        <v>4601992341036</v>
      </c>
      <c r="B7503" s="1" t="s">
        <v>7526</v>
      </c>
      <c r="C7503" s="1" t="s">
        <v>24</v>
      </c>
      <c r="D7503" s="1" t="str">
        <f t="shared" si="13142"/>
        <v>2021</v>
      </c>
      <c r="E7503" s="1" t="str">
        <f t="shared" ref="E7503:P7503" si="13159">"0"</f>
        <v>0</v>
      </c>
      <c r="F7503" s="1" t="str">
        <f t="shared" si="13159"/>
        <v>0</v>
      </c>
      <c r="G7503" s="1" t="str">
        <f t="shared" si="13159"/>
        <v>0</v>
      </c>
      <c r="H7503" s="1" t="str">
        <f t="shared" si="13159"/>
        <v>0</v>
      </c>
      <c r="I7503" s="1" t="str">
        <f t="shared" si="13159"/>
        <v>0</v>
      </c>
      <c r="J7503" s="1" t="str">
        <f t="shared" si="13159"/>
        <v>0</v>
      </c>
      <c r="K7503" s="1" t="str">
        <f t="shared" si="13159"/>
        <v>0</v>
      </c>
      <c r="L7503" s="1" t="str">
        <f t="shared" si="13159"/>
        <v>0</v>
      </c>
      <c r="M7503" s="1" t="str">
        <f t="shared" si="13159"/>
        <v>0</v>
      </c>
      <c r="N7503" s="1" t="str">
        <f t="shared" si="13159"/>
        <v>0</v>
      </c>
      <c r="O7503" s="1" t="str">
        <f t="shared" si="13159"/>
        <v>0</v>
      </c>
      <c r="P7503" s="1" t="str">
        <f t="shared" si="13159"/>
        <v>0</v>
      </c>
      <c r="Q7503" s="1" t="str">
        <f t="shared" si="13144"/>
        <v>0.0070</v>
      </c>
      <c r="R7503" s="1" t="s">
        <v>25</v>
      </c>
      <c r="T7503" s="1" t="str">
        <f t="shared" si="13145"/>
        <v>0</v>
      </c>
      <c r="U7503" s="1" t="str">
        <f t="shared" si="13156"/>
        <v>0.0070</v>
      </c>
    </row>
    <row r="7504" s="1" customFormat="1" spans="1:21">
      <c r="A7504" s="1" t="str">
        <f>"4601992341053"</f>
        <v>4601992341053</v>
      </c>
      <c r="B7504" s="1" t="s">
        <v>7527</v>
      </c>
      <c r="C7504" s="1" t="s">
        <v>24</v>
      </c>
      <c r="D7504" s="1" t="str">
        <f t="shared" si="13142"/>
        <v>2021</v>
      </c>
      <c r="E7504" s="1" t="str">
        <f t="shared" ref="E7504:P7504" si="13160">"0"</f>
        <v>0</v>
      </c>
      <c r="F7504" s="1" t="str">
        <f t="shared" si="13160"/>
        <v>0</v>
      </c>
      <c r="G7504" s="1" t="str">
        <f t="shared" si="13160"/>
        <v>0</v>
      </c>
      <c r="H7504" s="1" t="str">
        <f t="shared" si="13160"/>
        <v>0</v>
      </c>
      <c r="I7504" s="1" t="str">
        <f t="shared" si="13160"/>
        <v>0</v>
      </c>
      <c r="J7504" s="1" t="str">
        <f t="shared" si="13160"/>
        <v>0</v>
      </c>
      <c r="K7504" s="1" t="str">
        <f t="shared" si="13160"/>
        <v>0</v>
      </c>
      <c r="L7504" s="1" t="str">
        <f t="shared" si="13160"/>
        <v>0</v>
      </c>
      <c r="M7504" s="1" t="str">
        <f t="shared" si="13160"/>
        <v>0</v>
      </c>
      <c r="N7504" s="1" t="str">
        <f t="shared" si="13160"/>
        <v>0</v>
      </c>
      <c r="O7504" s="1" t="str">
        <f t="shared" si="13160"/>
        <v>0</v>
      </c>
      <c r="P7504" s="1" t="str">
        <f t="shared" si="13160"/>
        <v>0</v>
      </c>
      <c r="Q7504" s="1" t="str">
        <f t="shared" si="13144"/>
        <v>0.0070</v>
      </c>
      <c r="R7504" s="1" t="s">
        <v>25</v>
      </c>
      <c r="T7504" s="1" t="str">
        <f t="shared" si="13145"/>
        <v>0</v>
      </c>
      <c r="U7504" s="1" t="str">
        <f t="shared" si="13156"/>
        <v>0.0070</v>
      </c>
    </row>
    <row r="7505" s="1" customFormat="1" spans="1:21">
      <c r="A7505" s="1" t="str">
        <f>"4601992341013"</f>
        <v>4601992341013</v>
      </c>
      <c r="B7505" s="1" t="s">
        <v>7528</v>
      </c>
      <c r="C7505" s="1" t="s">
        <v>24</v>
      </c>
      <c r="D7505" s="1" t="str">
        <f t="shared" si="13142"/>
        <v>2021</v>
      </c>
      <c r="E7505" s="1" t="str">
        <f t="shared" ref="E7505:P7505" si="13161">"0"</f>
        <v>0</v>
      </c>
      <c r="F7505" s="1" t="str">
        <f t="shared" si="13161"/>
        <v>0</v>
      </c>
      <c r="G7505" s="1" t="str">
        <f t="shared" si="13161"/>
        <v>0</v>
      </c>
      <c r="H7505" s="1" t="str">
        <f t="shared" si="13161"/>
        <v>0</v>
      </c>
      <c r="I7505" s="1" t="str">
        <f t="shared" si="13161"/>
        <v>0</v>
      </c>
      <c r="J7505" s="1" t="str">
        <f t="shared" si="13161"/>
        <v>0</v>
      </c>
      <c r="K7505" s="1" t="str">
        <f t="shared" si="13161"/>
        <v>0</v>
      </c>
      <c r="L7505" s="1" t="str">
        <f t="shared" si="13161"/>
        <v>0</v>
      </c>
      <c r="M7505" s="1" t="str">
        <f t="shared" si="13161"/>
        <v>0</v>
      </c>
      <c r="N7505" s="1" t="str">
        <f t="shared" si="13161"/>
        <v>0</v>
      </c>
      <c r="O7505" s="1" t="str">
        <f t="shared" si="13161"/>
        <v>0</v>
      </c>
      <c r="P7505" s="1" t="str">
        <f t="shared" si="13161"/>
        <v>0</v>
      </c>
      <c r="Q7505" s="1" t="str">
        <f t="shared" si="13144"/>
        <v>0.0070</v>
      </c>
      <c r="R7505" s="1" t="s">
        <v>25</v>
      </c>
      <c r="T7505" s="1" t="str">
        <f t="shared" si="13145"/>
        <v>0</v>
      </c>
      <c r="U7505" s="1" t="str">
        <f t="shared" si="13156"/>
        <v>0.0070</v>
      </c>
    </row>
    <row r="7506" s="1" customFormat="1" spans="1:21">
      <c r="A7506" s="1" t="str">
        <f>"4601992341077"</f>
        <v>4601992341077</v>
      </c>
      <c r="B7506" s="1" t="s">
        <v>7529</v>
      </c>
      <c r="C7506" s="1" t="s">
        <v>24</v>
      </c>
      <c r="D7506" s="1" t="str">
        <f t="shared" si="13142"/>
        <v>2021</v>
      </c>
      <c r="E7506" s="1" t="str">
        <f t="shared" ref="E7506:P7506" si="13162">"0"</f>
        <v>0</v>
      </c>
      <c r="F7506" s="1" t="str">
        <f t="shared" si="13162"/>
        <v>0</v>
      </c>
      <c r="G7506" s="1" t="str">
        <f t="shared" si="13162"/>
        <v>0</v>
      </c>
      <c r="H7506" s="1" t="str">
        <f t="shared" si="13162"/>
        <v>0</v>
      </c>
      <c r="I7506" s="1" t="str">
        <f t="shared" si="13162"/>
        <v>0</v>
      </c>
      <c r="J7506" s="1" t="str">
        <f t="shared" si="13162"/>
        <v>0</v>
      </c>
      <c r="K7506" s="1" t="str">
        <f t="shared" si="13162"/>
        <v>0</v>
      </c>
      <c r="L7506" s="1" t="str">
        <f t="shared" si="13162"/>
        <v>0</v>
      </c>
      <c r="M7506" s="1" t="str">
        <f t="shared" si="13162"/>
        <v>0</v>
      </c>
      <c r="N7506" s="1" t="str">
        <f t="shared" si="13162"/>
        <v>0</v>
      </c>
      <c r="O7506" s="1" t="str">
        <f t="shared" si="13162"/>
        <v>0</v>
      </c>
      <c r="P7506" s="1" t="str">
        <f t="shared" si="13162"/>
        <v>0</v>
      </c>
      <c r="Q7506" s="1" t="str">
        <f t="shared" si="13144"/>
        <v>0.0070</v>
      </c>
      <c r="R7506" s="1" t="s">
        <v>25</v>
      </c>
      <c r="T7506" s="1" t="str">
        <f t="shared" si="13145"/>
        <v>0</v>
      </c>
      <c r="U7506" s="1" t="str">
        <f t="shared" si="13156"/>
        <v>0.0070</v>
      </c>
    </row>
    <row r="7507" s="1" customFormat="1" spans="1:21">
      <c r="A7507" s="1" t="str">
        <f>"4601992341084"</f>
        <v>4601992341084</v>
      </c>
      <c r="B7507" s="1" t="s">
        <v>7530</v>
      </c>
      <c r="C7507" s="1" t="s">
        <v>24</v>
      </c>
      <c r="D7507" s="1" t="str">
        <f t="shared" si="13142"/>
        <v>2021</v>
      </c>
      <c r="E7507" s="1" t="str">
        <f t="shared" ref="E7507:P7507" si="13163">"0"</f>
        <v>0</v>
      </c>
      <c r="F7507" s="1" t="str">
        <f t="shared" si="13163"/>
        <v>0</v>
      </c>
      <c r="G7507" s="1" t="str">
        <f t="shared" si="13163"/>
        <v>0</v>
      </c>
      <c r="H7507" s="1" t="str">
        <f t="shared" si="13163"/>
        <v>0</v>
      </c>
      <c r="I7507" s="1" t="str">
        <f t="shared" si="13163"/>
        <v>0</v>
      </c>
      <c r="J7507" s="1" t="str">
        <f t="shared" si="13163"/>
        <v>0</v>
      </c>
      <c r="K7507" s="1" t="str">
        <f t="shared" si="13163"/>
        <v>0</v>
      </c>
      <c r="L7507" s="1" t="str">
        <f t="shared" si="13163"/>
        <v>0</v>
      </c>
      <c r="M7507" s="1" t="str">
        <f t="shared" si="13163"/>
        <v>0</v>
      </c>
      <c r="N7507" s="1" t="str">
        <f t="shared" si="13163"/>
        <v>0</v>
      </c>
      <c r="O7507" s="1" t="str">
        <f t="shared" si="13163"/>
        <v>0</v>
      </c>
      <c r="P7507" s="1" t="str">
        <f t="shared" si="13163"/>
        <v>0</v>
      </c>
      <c r="Q7507" s="1" t="str">
        <f t="shared" si="13144"/>
        <v>0.0070</v>
      </c>
      <c r="R7507" s="1" t="s">
        <v>25</v>
      </c>
      <c r="T7507" s="1" t="str">
        <f t="shared" si="13145"/>
        <v>0</v>
      </c>
      <c r="U7507" s="1" t="str">
        <f t="shared" si="13156"/>
        <v>0.0070</v>
      </c>
    </row>
    <row r="7508" s="1" customFormat="1" spans="1:21">
      <c r="A7508" s="1" t="str">
        <f>"4601992341135"</f>
        <v>4601992341135</v>
      </c>
      <c r="B7508" s="1" t="s">
        <v>7531</v>
      </c>
      <c r="C7508" s="1" t="s">
        <v>24</v>
      </c>
      <c r="D7508" s="1" t="str">
        <f t="shared" si="13142"/>
        <v>2021</v>
      </c>
      <c r="E7508" s="1" t="str">
        <f t="shared" ref="E7508:P7508" si="13164">"0"</f>
        <v>0</v>
      </c>
      <c r="F7508" s="1" t="str">
        <f t="shared" si="13164"/>
        <v>0</v>
      </c>
      <c r="G7508" s="1" t="str">
        <f t="shared" si="13164"/>
        <v>0</v>
      </c>
      <c r="H7508" s="1" t="str">
        <f t="shared" si="13164"/>
        <v>0</v>
      </c>
      <c r="I7508" s="1" t="str">
        <f t="shared" si="13164"/>
        <v>0</v>
      </c>
      <c r="J7508" s="1" t="str">
        <f t="shared" si="13164"/>
        <v>0</v>
      </c>
      <c r="K7508" s="1" t="str">
        <f t="shared" si="13164"/>
        <v>0</v>
      </c>
      <c r="L7508" s="1" t="str">
        <f t="shared" si="13164"/>
        <v>0</v>
      </c>
      <c r="M7508" s="1" t="str">
        <f t="shared" si="13164"/>
        <v>0</v>
      </c>
      <c r="N7508" s="1" t="str">
        <f t="shared" si="13164"/>
        <v>0</v>
      </c>
      <c r="O7508" s="1" t="str">
        <f t="shared" si="13164"/>
        <v>0</v>
      </c>
      <c r="P7508" s="1" t="str">
        <f t="shared" si="13164"/>
        <v>0</v>
      </c>
      <c r="Q7508" s="1" t="str">
        <f t="shared" si="13144"/>
        <v>0.0070</v>
      </c>
      <c r="R7508" s="1" t="s">
        <v>25</v>
      </c>
      <c r="T7508" s="1" t="str">
        <f t="shared" si="13145"/>
        <v>0</v>
      </c>
      <c r="U7508" s="1" t="str">
        <f t="shared" si="13156"/>
        <v>0.0070</v>
      </c>
    </row>
    <row r="7509" s="1" customFormat="1" spans="1:21">
      <c r="A7509" s="1" t="str">
        <f>"4601992341163"</f>
        <v>4601992341163</v>
      </c>
      <c r="B7509" s="1" t="s">
        <v>7532</v>
      </c>
      <c r="C7509" s="1" t="s">
        <v>24</v>
      </c>
      <c r="D7509" s="1" t="str">
        <f t="shared" si="13142"/>
        <v>2021</v>
      </c>
      <c r="E7509" s="1" t="str">
        <f t="shared" ref="E7509:P7509" si="13165">"0"</f>
        <v>0</v>
      </c>
      <c r="F7509" s="1" t="str">
        <f t="shared" si="13165"/>
        <v>0</v>
      </c>
      <c r="G7509" s="1" t="str">
        <f t="shared" si="13165"/>
        <v>0</v>
      </c>
      <c r="H7509" s="1" t="str">
        <f t="shared" si="13165"/>
        <v>0</v>
      </c>
      <c r="I7509" s="1" t="str">
        <f t="shared" si="13165"/>
        <v>0</v>
      </c>
      <c r="J7509" s="1" t="str">
        <f t="shared" si="13165"/>
        <v>0</v>
      </c>
      <c r="K7509" s="1" t="str">
        <f t="shared" si="13165"/>
        <v>0</v>
      </c>
      <c r="L7509" s="1" t="str">
        <f t="shared" si="13165"/>
        <v>0</v>
      </c>
      <c r="M7509" s="1" t="str">
        <f t="shared" si="13165"/>
        <v>0</v>
      </c>
      <c r="N7509" s="1" t="str">
        <f t="shared" si="13165"/>
        <v>0</v>
      </c>
      <c r="O7509" s="1" t="str">
        <f t="shared" si="13165"/>
        <v>0</v>
      </c>
      <c r="P7509" s="1" t="str">
        <f t="shared" si="13165"/>
        <v>0</v>
      </c>
      <c r="Q7509" s="1" t="str">
        <f t="shared" si="13144"/>
        <v>0.0070</v>
      </c>
      <c r="R7509" s="1" t="s">
        <v>25</v>
      </c>
      <c r="T7509" s="1" t="str">
        <f t="shared" si="13145"/>
        <v>0</v>
      </c>
      <c r="U7509" s="1" t="str">
        <f t="shared" si="13156"/>
        <v>0.0070</v>
      </c>
    </row>
    <row r="7510" s="1" customFormat="1" spans="1:21">
      <c r="A7510" s="1" t="str">
        <f>"4601992341177"</f>
        <v>4601992341177</v>
      </c>
      <c r="B7510" s="1" t="s">
        <v>7533</v>
      </c>
      <c r="C7510" s="1" t="s">
        <v>24</v>
      </c>
      <c r="D7510" s="1" t="str">
        <f t="shared" si="13142"/>
        <v>2021</v>
      </c>
      <c r="E7510" s="1" t="str">
        <f t="shared" ref="E7510:P7510" si="13166">"0"</f>
        <v>0</v>
      </c>
      <c r="F7510" s="1" t="str">
        <f t="shared" si="13166"/>
        <v>0</v>
      </c>
      <c r="G7510" s="1" t="str">
        <f t="shared" si="13166"/>
        <v>0</v>
      </c>
      <c r="H7510" s="1" t="str">
        <f t="shared" si="13166"/>
        <v>0</v>
      </c>
      <c r="I7510" s="1" t="str">
        <f t="shared" si="13166"/>
        <v>0</v>
      </c>
      <c r="J7510" s="1" t="str">
        <f t="shared" si="13166"/>
        <v>0</v>
      </c>
      <c r="K7510" s="1" t="str">
        <f t="shared" si="13166"/>
        <v>0</v>
      </c>
      <c r="L7510" s="1" t="str">
        <f t="shared" si="13166"/>
        <v>0</v>
      </c>
      <c r="M7510" s="1" t="str">
        <f t="shared" si="13166"/>
        <v>0</v>
      </c>
      <c r="N7510" s="1" t="str">
        <f t="shared" si="13166"/>
        <v>0</v>
      </c>
      <c r="O7510" s="1" t="str">
        <f t="shared" si="13166"/>
        <v>0</v>
      </c>
      <c r="P7510" s="1" t="str">
        <f t="shared" si="13166"/>
        <v>0</v>
      </c>
      <c r="Q7510" s="1" t="str">
        <f t="shared" si="13144"/>
        <v>0.0070</v>
      </c>
      <c r="R7510" s="1" t="s">
        <v>25</v>
      </c>
      <c r="T7510" s="1" t="str">
        <f t="shared" si="13145"/>
        <v>0</v>
      </c>
      <c r="U7510" s="1" t="str">
        <f t="shared" si="13156"/>
        <v>0.0070</v>
      </c>
    </row>
    <row r="7511" s="1" customFormat="1" spans="1:21">
      <c r="A7511" s="1" t="str">
        <f>"4601992341226"</f>
        <v>4601992341226</v>
      </c>
      <c r="B7511" s="1" t="s">
        <v>7534</v>
      </c>
      <c r="C7511" s="1" t="s">
        <v>24</v>
      </c>
      <c r="D7511" s="1" t="str">
        <f t="shared" si="13142"/>
        <v>2021</v>
      </c>
      <c r="E7511" s="1" t="str">
        <f t="shared" ref="E7511:P7511" si="13167">"0"</f>
        <v>0</v>
      </c>
      <c r="F7511" s="1" t="str">
        <f t="shared" si="13167"/>
        <v>0</v>
      </c>
      <c r="G7511" s="1" t="str">
        <f t="shared" si="13167"/>
        <v>0</v>
      </c>
      <c r="H7511" s="1" t="str">
        <f t="shared" si="13167"/>
        <v>0</v>
      </c>
      <c r="I7511" s="1" t="str">
        <f t="shared" si="13167"/>
        <v>0</v>
      </c>
      <c r="J7511" s="1" t="str">
        <f t="shared" si="13167"/>
        <v>0</v>
      </c>
      <c r="K7511" s="1" t="str">
        <f t="shared" si="13167"/>
        <v>0</v>
      </c>
      <c r="L7511" s="1" t="str">
        <f t="shared" si="13167"/>
        <v>0</v>
      </c>
      <c r="M7511" s="1" t="str">
        <f t="shared" si="13167"/>
        <v>0</v>
      </c>
      <c r="N7511" s="1" t="str">
        <f t="shared" si="13167"/>
        <v>0</v>
      </c>
      <c r="O7511" s="1" t="str">
        <f t="shared" si="13167"/>
        <v>0</v>
      </c>
      <c r="P7511" s="1" t="str">
        <f t="shared" si="13167"/>
        <v>0</v>
      </c>
      <c r="Q7511" s="1" t="str">
        <f t="shared" si="13144"/>
        <v>0.0070</v>
      </c>
      <c r="R7511" s="1" t="s">
        <v>25</v>
      </c>
      <c r="T7511" s="1" t="str">
        <f t="shared" si="13145"/>
        <v>0</v>
      </c>
      <c r="U7511" s="1" t="str">
        <f t="shared" si="13156"/>
        <v>0.0070</v>
      </c>
    </row>
    <row r="7512" s="1" customFormat="1" spans="1:21">
      <c r="A7512" s="1" t="str">
        <f>"4601992341456"</f>
        <v>4601992341456</v>
      </c>
      <c r="B7512" s="1" t="s">
        <v>7535</v>
      </c>
      <c r="C7512" s="1" t="s">
        <v>24</v>
      </c>
      <c r="D7512" s="1" t="str">
        <f t="shared" si="13142"/>
        <v>2021</v>
      </c>
      <c r="E7512" s="1" t="str">
        <f t="shared" ref="E7512:P7512" si="13168">"0"</f>
        <v>0</v>
      </c>
      <c r="F7512" s="1" t="str">
        <f t="shared" si="13168"/>
        <v>0</v>
      </c>
      <c r="G7512" s="1" t="str">
        <f t="shared" si="13168"/>
        <v>0</v>
      </c>
      <c r="H7512" s="1" t="str">
        <f t="shared" si="13168"/>
        <v>0</v>
      </c>
      <c r="I7512" s="1" t="str">
        <f t="shared" si="13168"/>
        <v>0</v>
      </c>
      <c r="J7512" s="1" t="str">
        <f t="shared" si="13168"/>
        <v>0</v>
      </c>
      <c r="K7512" s="1" t="str">
        <f t="shared" si="13168"/>
        <v>0</v>
      </c>
      <c r="L7512" s="1" t="str">
        <f t="shared" si="13168"/>
        <v>0</v>
      </c>
      <c r="M7512" s="1" t="str">
        <f t="shared" si="13168"/>
        <v>0</v>
      </c>
      <c r="N7512" s="1" t="str">
        <f t="shared" si="13168"/>
        <v>0</v>
      </c>
      <c r="O7512" s="1" t="str">
        <f t="shared" si="13168"/>
        <v>0</v>
      </c>
      <c r="P7512" s="1" t="str">
        <f t="shared" si="13168"/>
        <v>0</v>
      </c>
      <c r="Q7512" s="1" t="str">
        <f t="shared" si="13144"/>
        <v>0.0070</v>
      </c>
      <c r="R7512" s="1" t="s">
        <v>25</v>
      </c>
      <c r="T7512" s="1" t="str">
        <f t="shared" si="13145"/>
        <v>0</v>
      </c>
      <c r="U7512" s="1" t="str">
        <f t="shared" si="13156"/>
        <v>0.0070</v>
      </c>
    </row>
    <row r="7513" s="1" customFormat="1" spans="1:21">
      <c r="A7513" s="1" t="str">
        <f>"4601992341483"</f>
        <v>4601992341483</v>
      </c>
      <c r="B7513" s="1" t="s">
        <v>7536</v>
      </c>
      <c r="C7513" s="1" t="s">
        <v>24</v>
      </c>
      <c r="D7513" s="1" t="str">
        <f t="shared" si="13142"/>
        <v>2021</v>
      </c>
      <c r="E7513" s="1" t="str">
        <f t="shared" ref="E7513:P7513" si="13169">"0"</f>
        <v>0</v>
      </c>
      <c r="F7513" s="1" t="str">
        <f t="shared" si="13169"/>
        <v>0</v>
      </c>
      <c r="G7513" s="1" t="str">
        <f t="shared" si="13169"/>
        <v>0</v>
      </c>
      <c r="H7513" s="1" t="str">
        <f t="shared" si="13169"/>
        <v>0</v>
      </c>
      <c r="I7513" s="1" t="str">
        <f t="shared" si="13169"/>
        <v>0</v>
      </c>
      <c r="J7513" s="1" t="str">
        <f t="shared" si="13169"/>
        <v>0</v>
      </c>
      <c r="K7513" s="1" t="str">
        <f t="shared" si="13169"/>
        <v>0</v>
      </c>
      <c r="L7513" s="1" t="str">
        <f t="shared" si="13169"/>
        <v>0</v>
      </c>
      <c r="M7513" s="1" t="str">
        <f t="shared" si="13169"/>
        <v>0</v>
      </c>
      <c r="N7513" s="1" t="str">
        <f t="shared" si="13169"/>
        <v>0</v>
      </c>
      <c r="O7513" s="1" t="str">
        <f t="shared" si="13169"/>
        <v>0</v>
      </c>
      <c r="P7513" s="1" t="str">
        <f t="shared" si="13169"/>
        <v>0</v>
      </c>
      <c r="Q7513" s="1" t="str">
        <f t="shared" si="13144"/>
        <v>0.0070</v>
      </c>
      <c r="R7513" s="1" t="s">
        <v>25</v>
      </c>
      <c r="T7513" s="1" t="str">
        <f t="shared" si="13145"/>
        <v>0</v>
      </c>
      <c r="U7513" s="1" t="str">
        <f t="shared" si="13156"/>
        <v>0.0070</v>
      </c>
    </row>
    <row r="7514" s="1" customFormat="1" spans="1:21">
      <c r="A7514" s="1" t="str">
        <f>"4601992341495"</f>
        <v>4601992341495</v>
      </c>
      <c r="B7514" s="1" t="s">
        <v>7537</v>
      </c>
      <c r="C7514" s="1" t="s">
        <v>24</v>
      </c>
      <c r="D7514" s="1" t="str">
        <f t="shared" si="13142"/>
        <v>2021</v>
      </c>
      <c r="E7514" s="1" t="str">
        <f t="shared" ref="E7514:P7514" si="13170">"0"</f>
        <v>0</v>
      </c>
      <c r="F7514" s="1" t="str">
        <f t="shared" si="13170"/>
        <v>0</v>
      </c>
      <c r="G7514" s="1" t="str">
        <f t="shared" si="13170"/>
        <v>0</v>
      </c>
      <c r="H7514" s="1" t="str">
        <f t="shared" si="13170"/>
        <v>0</v>
      </c>
      <c r="I7514" s="1" t="str">
        <f t="shared" si="13170"/>
        <v>0</v>
      </c>
      <c r="J7514" s="1" t="str">
        <f t="shared" si="13170"/>
        <v>0</v>
      </c>
      <c r="K7514" s="1" t="str">
        <f t="shared" si="13170"/>
        <v>0</v>
      </c>
      <c r="L7514" s="1" t="str">
        <f t="shared" si="13170"/>
        <v>0</v>
      </c>
      <c r="M7514" s="1" t="str">
        <f t="shared" si="13170"/>
        <v>0</v>
      </c>
      <c r="N7514" s="1" t="str">
        <f t="shared" si="13170"/>
        <v>0</v>
      </c>
      <c r="O7514" s="1" t="str">
        <f t="shared" si="13170"/>
        <v>0</v>
      </c>
      <c r="P7514" s="1" t="str">
        <f t="shared" si="13170"/>
        <v>0</v>
      </c>
      <c r="Q7514" s="1" t="str">
        <f t="shared" si="13144"/>
        <v>0.0070</v>
      </c>
      <c r="R7514" s="1" t="s">
        <v>25</v>
      </c>
      <c r="T7514" s="1" t="str">
        <f t="shared" si="13145"/>
        <v>0</v>
      </c>
      <c r="U7514" s="1" t="str">
        <f t="shared" si="13156"/>
        <v>0.0070</v>
      </c>
    </row>
    <row r="7515" s="1" customFormat="1" spans="1:21">
      <c r="A7515" s="1" t="str">
        <f>"4601992341596"</f>
        <v>4601992341596</v>
      </c>
      <c r="B7515" s="1" t="s">
        <v>7538</v>
      </c>
      <c r="C7515" s="1" t="s">
        <v>24</v>
      </c>
      <c r="D7515" s="1" t="str">
        <f t="shared" si="13142"/>
        <v>2021</v>
      </c>
      <c r="E7515" s="1" t="str">
        <f t="shared" ref="E7515:P7515" si="13171">"0"</f>
        <v>0</v>
      </c>
      <c r="F7515" s="1" t="str">
        <f t="shared" si="13171"/>
        <v>0</v>
      </c>
      <c r="G7515" s="1" t="str">
        <f t="shared" si="13171"/>
        <v>0</v>
      </c>
      <c r="H7515" s="1" t="str">
        <f t="shared" si="13171"/>
        <v>0</v>
      </c>
      <c r="I7515" s="1" t="str">
        <f t="shared" si="13171"/>
        <v>0</v>
      </c>
      <c r="J7515" s="1" t="str">
        <f t="shared" si="13171"/>
        <v>0</v>
      </c>
      <c r="K7515" s="1" t="str">
        <f t="shared" si="13171"/>
        <v>0</v>
      </c>
      <c r="L7515" s="1" t="str">
        <f t="shared" si="13171"/>
        <v>0</v>
      </c>
      <c r="M7515" s="1" t="str">
        <f t="shared" si="13171"/>
        <v>0</v>
      </c>
      <c r="N7515" s="1" t="str">
        <f t="shared" si="13171"/>
        <v>0</v>
      </c>
      <c r="O7515" s="1" t="str">
        <f t="shared" si="13171"/>
        <v>0</v>
      </c>
      <c r="P7515" s="1" t="str">
        <f t="shared" si="13171"/>
        <v>0</v>
      </c>
      <c r="Q7515" s="1" t="str">
        <f t="shared" si="13144"/>
        <v>0.0070</v>
      </c>
      <c r="R7515" s="1" t="s">
        <v>25</v>
      </c>
      <c r="T7515" s="1" t="str">
        <f t="shared" si="13145"/>
        <v>0</v>
      </c>
      <c r="U7515" s="1" t="str">
        <f t="shared" si="13156"/>
        <v>0.0070</v>
      </c>
    </row>
    <row r="7516" s="1" customFormat="1" spans="1:21">
      <c r="A7516" s="1" t="str">
        <f>"4601992341602"</f>
        <v>4601992341602</v>
      </c>
      <c r="B7516" s="1" t="s">
        <v>7539</v>
      </c>
      <c r="C7516" s="1" t="s">
        <v>24</v>
      </c>
      <c r="D7516" s="1" t="str">
        <f t="shared" si="13142"/>
        <v>2021</v>
      </c>
      <c r="E7516" s="1" t="str">
        <f t="shared" ref="E7516:P7516" si="13172">"0"</f>
        <v>0</v>
      </c>
      <c r="F7516" s="1" t="str">
        <f t="shared" si="13172"/>
        <v>0</v>
      </c>
      <c r="G7516" s="1" t="str">
        <f t="shared" si="13172"/>
        <v>0</v>
      </c>
      <c r="H7516" s="1" t="str">
        <f t="shared" si="13172"/>
        <v>0</v>
      </c>
      <c r="I7516" s="1" t="str">
        <f t="shared" si="13172"/>
        <v>0</v>
      </c>
      <c r="J7516" s="1" t="str">
        <f t="shared" si="13172"/>
        <v>0</v>
      </c>
      <c r="K7516" s="1" t="str">
        <f t="shared" si="13172"/>
        <v>0</v>
      </c>
      <c r="L7516" s="1" t="str">
        <f t="shared" si="13172"/>
        <v>0</v>
      </c>
      <c r="M7516" s="1" t="str">
        <f t="shared" si="13172"/>
        <v>0</v>
      </c>
      <c r="N7516" s="1" t="str">
        <f t="shared" si="13172"/>
        <v>0</v>
      </c>
      <c r="O7516" s="1" t="str">
        <f t="shared" si="13172"/>
        <v>0</v>
      </c>
      <c r="P7516" s="1" t="str">
        <f t="shared" si="13172"/>
        <v>0</v>
      </c>
      <c r="Q7516" s="1" t="str">
        <f t="shared" si="13144"/>
        <v>0.0070</v>
      </c>
      <c r="R7516" s="1" t="s">
        <v>25</v>
      </c>
      <c r="T7516" s="1" t="str">
        <f t="shared" si="13145"/>
        <v>0</v>
      </c>
      <c r="U7516" s="1" t="str">
        <f t="shared" si="13156"/>
        <v>0.0070</v>
      </c>
    </row>
    <row r="7517" s="1" customFormat="1" spans="1:21">
      <c r="A7517" s="1" t="str">
        <f>"4601992341606"</f>
        <v>4601992341606</v>
      </c>
      <c r="B7517" s="1" t="s">
        <v>7540</v>
      </c>
      <c r="C7517" s="1" t="s">
        <v>24</v>
      </c>
      <c r="D7517" s="1" t="str">
        <f t="shared" si="13142"/>
        <v>2021</v>
      </c>
      <c r="E7517" s="1" t="str">
        <f t="shared" ref="E7517:P7517" si="13173">"0"</f>
        <v>0</v>
      </c>
      <c r="F7517" s="1" t="str">
        <f t="shared" si="13173"/>
        <v>0</v>
      </c>
      <c r="G7517" s="1" t="str">
        <f t="shared" si="13173"/>
        <v>0</v>
      </c>
      <c r="H7517" s="1" t="str">
        <f t="shared" si="13173"/>
        <v>0</v>
      </c>
      <c r="I7517" s="1" t="str">
        <f t="shared" si="13173"/>
        <v>0</v>
      </c>
      <c r="J7517" s="1" t="str">
        <f t="shared" si="13173"/>
        <v>0</v>
      </c>
      <c r="K7517" s="1" t="str">
        <f t="shared" si="13173"/>
        <v>0</v>
      </c>
      <c r="L7517" s="1" t="str">
        <f t="shared" si="13173"/>
        <v>0</v>
      </c>
      <c r="M7517" s="1" t="str">
        <f t="shared" si="13173"/>
        <v>0</v>
      </c>
      <c r="N7517" s="1" t="str">
        <f t="shared" si="13173"/>
        <v>0</v>
      </c>
      <c r="O7517" s="1" t="str">
        <f t="shared" si="13173"/>
        <v>0</v>
      </c>
      <c r="P7517" s="1" t="str">
        <f t="shared" si="13173"/>
        <v>0</v>
      </c>
      <c r="Q7517" s="1" t="str">
        <f t="shared" si="13144"/>
        <v>0.0070</v>
      </c>
      <c r="R7517" s="1" t="s">
        <v>25</v>
      </c>
      <c r="T7517" s="1" t="str">
        <f t="shared" si="13145"/>
        <v>0</v>
      </c>
      <c r="U7517" s="1" t="str">
        <f t="shared" si="13156"/>
        <v>0.0070</v>
      </c>
    </row>
    <row r="7518" s="1" customFormat="1" spans="1:21">
      <c r="A7518" s="1" t="str">
        <f>"4601992341692"</f>
        <v>4601992341692</v>
      </c>
      <c r="B7518" s="1" t="s">
        <v>7541</v>
      </c>
      <c r="C7518" s="1" t="s">
        <v>24</v>
      </c>
      <c r="D7518" s="1" t="str">
        <f t="shared" si="13142"/>
        <v>2021</v>
      </c>
      <c r="E7518" s="1" t="str">
        <f t="shared" ref="E7518:P7518" si="13174">"0"</f>
        <v>0</v>
      </c>
      <c r="F7518" s="1" t="str">
        <f t="shared" si="13174"/>
        <v>0</v>
      </c>
      <c r="G7518" s="1" t="str">
        <f t="shared" si="13174"/>
        <v>0</v>
      </c>
      <c r="H7518" s="1" t="str">
        <f t="shared" si="13174"/>
        <v>0</v>
      </c>
      <c r="I7518" s="1" t="str">
        <f t="shared" si="13174"/>
        <v>0</v>
      </c>
      <c r="J7518" s="1" t="str">
        <f t="shared" si="13174"/>
        <v>0</v>
      </c>
      <c r="K7518" s="1" t="str">
        <f t="shared" si="13174"/>
        <v>0</v>
      </c>
      <c r="L7518" s="1" t="str">
        <f t="shared" si="13174"/>
        <v>0</v>
      </c>
      <c r="M7518" s="1" t="str">
        <f t="shared" si="13174"/>
        <v>0</v>
      </c>
      <c r="N7518" s="1" t="str">
        <f t="shared" si="13174"/>
        <v>0</v>
      </c>
      <c r="O7518" s="1" t="str">
        <f t="shared" si="13174"/>
        <v>0</v>
      </c>
      <c r="P7518" s="1" t="str">
        <f t="shared" si="13174"/>
        <v>0</v>
      </c>
      <c r="Q7518" s="1" t="str">
        <f t="shared" si="13144"/>
        <v>0.0070</v>
      </c>
      <c r="R7518" s="1" t="s">
        <v>25</v>
      </c>
      <c r="T7518" s="1" t="str">
        <f t="shared" si="13145"/>
        <v>0</v>
      </c>
      <c r="U7518" s="1" t="str">
        <f t="shared" si="13156"/>
        <v>0.0070</v>
      </c>
    </row>
    <row r="7519" s="1" customFormat="1" spans="1:21">
      <c r="A7519" s="1" t="str">
        <f>"4601992341731"</f>
        <v>4601992341731</v>
      </c>
      <c r="B7519" s="1" t="s">
        <v>7542</v>
      </c>
      <c r="C7519" s="1" t="s">
        <v>24</v>
      </c>
      <c r="D7519" s="1" t="str">
        <f t="shared" si="13142"/>
        <v>2021</v>
      </c>
      <c r="E7519" s="1" t="str">
        <f t="shared" ref="E7519:P7519" si="13175">"0"</f>
        <v>0</v>
      </c>
      <c r="F7519" s="1" t="str">
        <f t="shared" si="13175"/>
        <v>0</v>
      </c>
      <c r="G7519" s="1" t="str">
        <f t="shared" si="13175"/>
        <v>0</v>
      </c>
      <c r="H7519" s="1" t="str">
        <f t="shared" si="13175"/>
        <v>0</v>
      </c>
      <c r="I7519" s="1" t="str">
        <f t="shared" si="13175"/>
        <v>0</v>
      </c>
      <c r="J7519" s="1" t="str">
        <f t="shared" si="13175"/>
        <v>0</v>
      </c>
      <c r="K7519" s="1" t="str">
        <f t="shared" si="13175"/>
        <v>0</v>
      </c>
      <c r="L7519" s="1" t="str">
        <f t="shared" si="13175"/>
        <v>0</v>
      </c>
      <c r="M7519" s="1" t="str">
        <f t="shared" si="13175"/>
        <v>0</v>
      </c>
      <c r="N7519" s="1" t="str">
        <f t="shared" si="13175"/>
        <v>0</v>
      </c>
      <c r="O7519" s="1" t="str">
        <f t="shared" si="13175"/>
        <v>0</v>
      </c>
      <c r="P7519" s="1" t="str">
        <f t="shared" si="13175"/>
        <v>0</v>
      </c>
      <c r="Q7519" s="1" t="str">
        <f t="shared" si="13144"/>
        <v>0.0070</v>
      </c>
      <c r="R7519" s="1" t="s">
        <v>25</v>
      </c>
      <c r="T7519" s="1" t="str">
        <f t="shared" si="13145"/>
        <v>0</v>
      </c>
      <c r="U7519" s="1" t="str">
        <f t="shared" si="13156"/>
        <v>0.0070</v>
      </c>
    </row>
    <row r="7520" s="1" customFormat="1" spans="1:21">
      <c r="A7520" s="1" t="str">
        <f>"4601992341878"</f>
        <v>4601992341878</v>
      </c>
      <c r="B7520" s="1" t="s">
        <v>7543</v>
      </c>
      <c r="C7520" s="1" t="s">
        <v>24</v>
      </c>
      <c r="D7520" s="1" t="str">
        <f t="shared" si="13142"/>
        <v>2021</v>
      </c>
      <c r="E7520" s="1" t="str">
        <f t="shared" ref="E7520:P7520" si="13176">"0"</f>
        <v>0</v>
      </c>
      <c r="F7520" s="1" t="str">
        <f t="shared" si="13176"/>
        <v>0</v>
      </c>
      <c r="G7520" s="1" t="str">
        <f t="shared" si="13176"/>
        <v>0</v>
      </c>
      <c r="H7520" s="1" t="str">
        <f t="shared" si="13176"/>
        <v>0</v>
      </c>
      <c r="I7520" s="1" t="str">
        <f t="shared" si="13176"/>
        <v>0</v>
      </c>
      <c r="J7520" s="1" t="str">
        <f t="shared" si="13176"/>
        <v>0</v>
      </c>
      <c r="K7520" s="1" t="str">
        <f t="shared" si="13176"/>
        <v>0</v>
      </c>
      <c r="L7520" s="1" t="str">
        <f t="shared" si="13176"/>
        <v>0</v>
      </c>
      <c r="M7520" s="1" t="str">
        <f t="shared" si="13176"/>
        <v>0</v>
      </c>
      <c r="N7520" s="1" t="str">
        <f t="shared" si="13176"/>
        <v>0</v>
      </c>
      <c r="O7520" s="1" t="str">
        <f t="shared" si="13176"/>
        <v>0</v>
      </c>
      <c r="P7520" s="1" t="str">
        <f t="shared" si="13176"/>
        <v>0</v>
      </c>
      <c r="Q7520" s="1" t="str">
        <f t="shared" si="13144"/>
        <v>0.0070</v>
      </c>
      <c r="R7520" s="1" t="s">
        <v>25</v>
      </c>
      <c r="T7520" s="1" t="str">
        <f t="shared" si="13145"/>
        <v>0</v>
      </c>
      <c r="U7520" s="1" t="str">
        <f t="shared" si="13156"/>
        <v>0.0070</v>
      </c>
    </row>
    <row r="7521" s="1" customFormat="1" spans="1:21">
      <c r="A7521" s="1" t="str">
        <f>"4601992342052"</f>
        <v>4601992342052</v>
      </c>
      <c r="B7521" s="1" t="s">
        <v>7544</v>
      </c>
      <c r="C7521" s="1" t="s">
        <v>24</v>
      </c>
      <c r="D7521" s="1" t="str">
        <f t="shared" si="13142"/>
        <v>2021</v>
      </c>
      <c r="E7521" s="1" t="str">
        <f t="shared" ref="E7521:P7521" si="13177">"0"</f>
        <v>0</v>
      </c>
      <c r="F7521" s="1" t="str">
        <f t="shared" si="13177"/>
        <v>0</v>
      </c>
      <c r="G7521" s="1" t="str">
        <f t="shared" si="13177"/>
        <v>0</v>
      </c>
      <c r="H7521" s="1" t="str">
        <f t="shared" si="13177"/>
        <v>0</v>
      </c>
      <c r="I7521" s="1" t="str">
        <f t="shared" si="13177"/>
        <v>0</v>
      </c>
      <c r="J7521" s="1" t="str">
        <f t="shared" si="13177"/>
        <v>0</v>
      </c>
      <c r="K7521" s="1" t="str">
        <f t="shared" si="13177"/>
        <v>0</v>
      </c>
      <c r="L7521" s="1" t="str">
        <f t="shared" si="13177"/>
        <v>0</v>
      </c>
      <c r="M7521" s="1" t="str">
        <f t="shared" si="13177"/>
        <v>0</v>
      </c>
      <c r="N7521" s="1" t="str">
        <f t="shared" si="13177"/>
        <v>0</v>
      </c>
      <c r="O7521" s="1" t="str">
        <f t="shared" si="13177"/>
        <v>0</v>
      </c>
      <c r="P7521" s="1" t="str">
        <f t="shared" si="13177"/>
        <v>0</v>
      </c>
      <c r="Q7521" s="1" t="str">
        <f t="shared" si="13144"/>
        <v>0.0070</v>
      </c>
      <c r="R7521" s="1" t="s">
        <v>25</v>
      </c>
      <c r="T7521" s="1" t="str">
        <f t="shared" si="13145"/>
        <v>0</v>
      </c>
      <c r="U7521" s="1" t="str">
        <f t="shared" si="13156"/>
        <v>0.0070</v>
      </c>
    </row>
    <row r="7522" s="1" customFormat="1" spans="1:21">
      <c r="A7522" s="1" t="str">
        <f>"4601992342055"</f>
        <v>4601992342055</v>
      </c>
      <c r="B7522" s="1" t="s">
        <v>7545</v>
      </c>
      <c r="C7522" s="1" t="s">
        <v>24</v>
      </c>
      <c r="D7522" s="1" t="str">
        <f t="shared" si="13142"/>
        <v>2021</v>
      </c>
      <c r="E7522" s="1" t="str">
        <f t="shared" ref="E7522:P7522" si="13178">"0"</f>
        <v>0</v>
      </c>
      <c r="F7522" s="1" t="str">
        <f t="shared" si="13178"/>
        <v>0</v>
      </c>
      <c r="G7522" s="1" t="str">
        <f t="shared" si="13178"/>
        <v>0</v>
      </c>
      <c r="H7522" s="1" t="str">
        <f t="shared" si="13178"/>
        <v>0</v>
      </c>
      <c r="I7522" s="1" t="str">
        <f t="shared" si="13178"/>
        <v>0</v>
      </c>
      <c r="J7522" s="1" t="str">
        <f t="shared" si="13178"/>
        <v>0</v>
      </c>
      <c r="K7522" s="1" t="str">
        <f t="shared" si="13178"/>
        <v>0</v>
      </c>
      <c r="L7522" s="1" t="str">
        <f t="shared" si="13178"/>
        <v>0</v>
      </c>
      <c r="M7522" s="1" t="str">
        <f t="shared" si="13178"/>
        <v>0</v>
      </c>
      <c r="N7522" s="1" t="str">
        <f t="shared" si="13178"/>
        <v>0</v>
      </c>
      <c r="O7522" s="1" t="str">
        <f t="shared" si="13178"/>
        <v>0</v>
      </c>
      <c r="P7522" s="1" t="str">
        <f t="shared" si="13178"/>
        <v>0</v>
      </c>
      <c r="Q7522" s="1" t="str">
        <f t="shared" si="13144"/>
        <v>0.0070</v>
      </c>
      <c r="R7522" s="1" t="s">
        <v>25</v>
      </c>
      <c r="T7522" s="1" t="str">
        <f t="shared" si="13145"/>
        <v>0</v>
      </c>
      <c r="U7522" s="1" t="str">
        <f t="shared" si="13156"/>
        <v>0.0070</v>
      </c>
    </row>
    <row r="7523" s="1" customFormat="1" spans="1:21">
      <c r="A7523" s="1" t="str">
        <f>"4601992342141"</f>
        <v>4601992342141</v>
      </c>
      <c r="B7523" s="1" t="s">
        <v>7546</v>
      </c>
      <c r="C7523" s="1" t="s">
        <v>24</v>
      </c>
      <c r="D7523" s="1" t="str">
        <f t="shared" si="13142"/>
        <v>2021</v>
      </c>
      <c r="E7523" s="1" t="str">
        <f t="shared" ref="E7523:P7523" si="13179">"0"</f>
        <v>0</v>
      </c>
      <c r="F7523" s="1" t="str">
        <f t="shared" si="13179"/>
        <v>0</v>
      </c>
      <c r="G7523" s="1" t="str">
        <f t="shared" si="13179"/>
        <v>0</v>
      </c>
      <c r="H7523" s="1" t="str">
        <f t="shared" si="13179"/>
        <v>0</v>
      </c>
      <c r="I7523" s="1" t="str">
        <f t="shared" si="13179"/>
        <v>0</v>
      </c>
      <c r="J7523" s="1" t="str">
        <f t="shared" si="13179"/>
        <v>0</v>
      </c>
      <c r="K7523" s="1" t="str">
        <f t="shared" si="13179"/>
        <v>0</v>
      </c>
      <c r="L7523" s="1" t="str">
        <f t="shared" si="13179"/>
        <v>0</v>
      </c>
      <c r="M7523" s="1" t="str">
        <f t="shared" si="13179"/>
        <v>0</v>
      </c>
      <c r="N7523" s="1" t="str">
        <f t="shared" si="13179"/>
        <v>0</v>
      </c>
      <c r="O7523" s="1" t="str">
        <f t="shared" si="13179"/>
        <v>0</v>
      </c>
      <c r="P7523" s="1" t="str">
        <f t="shared" si="13179"/>
        <v>0</v>
      </c>
      <c r="Q7523" s="1" t="str">
        <f t="shared" si="13144"/>
        <v>0.0070</v>
      </c>
      <c r="R7523" s="1" t="s">
        <v>25</v>
      </c>
      <c r="T7523" s="1" t="str">
        <f t="shared" si="13145"/>
        <v>0</v>
      </c>
      <c r="U7523" s="1" t="str">
        <f t="shared" si="13156"/>
        <v>0.0070</v>
      </c>
    </row>
    <row r="7524" s="1" customFormat="1" spans="1:21">
      <c r="A7524" s="1" t="str">
        <f>"4601992342235"</f>
        <v>4601992342235</v>
      </c>
      <c r="B7524" s="1" t="s">
        <v>7547</v>
      </c>
      <c r="C7524" s="1" t="s">
        <v>24</v>
      </c>
      <c r="D7524" s="1" t="str">
        <f t="shared" si="13142"/>
        <v>2021</v>
      </c>
      <c r="E7524" s="1" t="str">
        <f t="shared" ref="E7524:P7524" si="13180">"0"</f>
        <v>0</v>
      </c>
      <c r="F7524" s="1" t="str">
        <f t="shared" si="13180"/>
        <v>0</v>
      </c>
      <c r="G7524" s="1" t="str">
        <f t="shared" si="13180"/>
        <v>0</v>
      </c>
      <c r="H7524" s="1" t="str">
        <f t="shared" si="13180"/>
        <v>0</v>
      </c>
      <c r="I7524" s="1" t="str">
        <f t="shared" si="13180"/>
        <v>0</v>
      </c>
      <c r="J7524" s="1" t="str">
        <f t="shared" si="13180"/>
        <v>0</v>
      </c>
      <c r="K7524" s="1" t="str">
        <f t="shared" si="13180"/>
        <v>0</v>
      </c>
      <c r="L7524" s="1" t="str">
        <f t="shared" si="13180"/>
        <v>0</v>
      </c>
      <c r="M7524" s="1" t="str">
        <f t="shared" si="13180"/>
        <v>0</v>
      </c>
      <c r="N7524" s="1" t="str">
        <f t="shared" si="13180"/>
        <v>0</v>
      </c>
      <c r="O7524" s="1" t="str">
        <f t="shared" si="13180"/>
        <v>0</v>
      </c>
      <c r="P7524" s="1" t="str">
        <f t="shared" si="13180"/>
        <v>0</v>
      </c>
      <c r="Q7524" s="1" t="str">
        <f t="shared" si="13144"/>
        <v>0.0070</v>
      </c>
      <c r="R7524" s="1" t="s">
        <v>25</v>
      </c>
      <c r="T7524" s="1" t="str">
        <f t="shared" si="13145"/>
        <v>0</v>
      </c>
      <c r="U7524" s="1" t="str">
        <f t="shared" si="13156"/>
        <v>0.0070</v>
      </c>
    </row>
    <row r="7525" s="1" customFormat="1" spans="1:21">
      <c r="A7525" s="1" t="str">
        <f>"4601992342153"</f>
        <v>4601992342153</v>
      </c>
      <c r="B7525" s="1" t="s">
        <v>7548</v>
      </c>
      <c r="C7525" s="1" t="s">
        <v>24</v>
      </c>
      <c r="D7525" s="1" t="str">
        <f t="shared" si="13142"/>
        <v>2021</v>
      </c>
      <c r="E7525" s="1" t="str">
        <f t="shared" ref="E7525:P7525" si="13181">"0"</f>
        <v>0</v>
      </c>
      <c r="F7525" s="1" t="str">
        <f t="shared" si="13181"/>
        <v>0</v>
      </c>
      <c r="G7525" s="1" t="str">
        <f t="shared" si="13181"/>
        <v>0</v>
      </c>
      <c r="H7525" s="1" t="str">
        <f t="shared" si="13181"/>
        <v>0</v>
      </c>
      <c r="I7525" s="1" t="str">
        <f t="shared" si="13181"/>
        <v>0</v>
      </c>
      <c r="J7525" s="1" t="str">
        <f t="shared" si="13181"/>
        <v>0</v>
      </c>
      <c r="K7525" s="1" t="str">
        <f t="shared" si="13181"/>
        <v>0</v>
      </c>
      <c r="L7525" s="1" t="str">
        <f t="shared" si="13181"/>
        <v>0</v>
      </c>
      <c r="M7525" s="1" t="str">
        <f t="shared" si="13181"/>
        <v>0</v>
      </c>
      <c r="N7525" s="1" t="str">
        <f t="shared" si="13181"/>
        <v>0</v>
      </c>
      <c r="O7525" s="1" t="str">
        <f t="shared" si="13181"/>
        <v>0</v>
      </c>
      <c r="P7525" s="1" t="str">
        <f t="shared" si="13181"/>
        <v>0</v>
      </c>
      <c r="Q7525" s="1" t="str">
        <f t="shared" si="13144"/>
        <v>0.0070</v>
      </c>
      <c r="R7525" s="1" t="s">
        <v>25</v>
      </c>
      <c r="T7525" s="1" t="str">
        <f t="shared" si="13145"/>
        <v>0</v>
      </c>
      <c r="U7525" s="1" t="str">
        <f t="shared" si="13156"/>
        <v>0.0070</v>
      </c>
    </row>
    <row r="7526" s="1" customFormat="1" spans="1:21">
      <c r="A7526" s="1" t="str">
        <f>"4601992342412"</f>
        <v>4601992342412</v>
      </c>
      <c r="B7526" s="1" t="s">
        <v>7549</v>
      </c>
      <c r="C7526" s="1" t="s">
        <v>24</v>
      </c>
      <c r="D7526" s="1" t="str">
        <f t="shared" si="13142"/>
        <v>2021</v>
      </c>
      <c r="E7526" s="1" t="str">
        <f t="shared" ref="E7526:P7526" si="13182">"0"</f>
        <v>0</v>
      </c>
      <c r="F7526" s="1" t="str">
        <f t="shared" si="13182"/>
        <v>0</v>
      </c>
      <c r="G7526" s="1" t="str">
        <f t="shared" si="13182"/>
        <v>0</v>
      </c>
      <c r="H7526" s="1" t="str">
        <f t="shared" si="13182"/>
        <v>0</v>
      </c>
      <c r="I7526" s="1" t="str">
        <f t="shared" si="13182"/>
        <v>0</v>
      </c>
      <c r="J7526" s="1" t="str">
        <f t="shared" si="13182"/>
        <v>0</v>
      </c>
      <c r="K7526" s="1" t="str">
        <f t="shared" si="13182"/>
        <v>0</v>
      </c>
      <c r="L7526" s="1" t="str">
        <f t="shared" si="13182"/>
        <v>0</v>
      </c>
      <c r="M7526" s="1" t="str">
        <f t="shared" si="13182"/>
        <v>0</v>
      </c>
      <c r="N7526" s="1" t="str">
        <f t="shared" si="13182"/>
        <v>0</v>
      </c>
      <c r="O7526" s="1" t="str">
        <f t="shared" si="13182"/>
        <v>0</v>
      </c>
      <c r="P7526" s="1" t="str">
        <f t="shared" si="13182"/>
        <v>0</v>
      </c>
      <c r="Q7526" s="1" t="str">
        <f t="shared" si="13144"/>
        <v>0.0070</v>
      </c>
      <c r="R7526" s="1" t="s">
        <v>25</v>
      </c>
      <c r="T7526" s="1" t="str">
        <f t="shared" si="13145"/>
        <v>0</v>
      </c>
      <c r="U7526" s="1" t="str">
        <f t="shared" si="13156"/>
        <v>0.0070</v>
      </c>
    </row>
    <row r="7527" s="1" customFormat="1" spans="1:21">
      <c r="A7527" s="1" t="str">
        <f>"4601992342438"</f>
        <v>4601992342438</v>
      </c>
      <c r="B7527" s="1" t="s">
        <v>7550</v>
      </c>
      <c r="C7527" s="1" t="s">
        <v>24</v>
      </c>
      <c r="D7527" s="1" t="str">
        <f t="shared" si="13142"/>
        <v>2021</v>
      </c>
      <c r="E7527" s="1" t="str">
        <f t="shared" ref="E7527:P7527" si="13183">"0"</f>
        <v>0</v>
      </c>
      <c r="F7527" s="1" t="str">
        <f t="shared" si="13183"/>
        <v>0</v>
      </c>
      <c r="G7527" s="1" t="str">
        <f t="shared" si="13183"/>
        <v>0</v>
      </c>
      <c r="H7527" s="1" t="str">
        <f t="shared" si="13183"/>
        <v>0</v>
      </c>
      <c r="I7527" s="1" t="str">
        <f t="shared" si="13183"/>
        <v>0</v>
      </c>
      <c r="J7527" s="1" t="str">
        <f t="shared" si="13183"/>
        <v>0</v>
      </c>
      <c r="K7527" s="1" t="str">
        <f t="shared" si="13183"/>
        <v>0</v>
      </c>
      <c r="L7527" s="1" t="str">
        <f t="shared" si="13183"/>
        <v>0</v>
      </c>
      <c r="M7527" s="1" t="str">
        <f t="shared" si="13183"/>
        <v>0</v>
      </c>
      <c r="N7527" s="1" t="str">
        <f t="shared" si="13183"/>
        <v>0</v>
      </c>
      <c r="O7527" s="1" t="str">
        <f t="shared" si="13183"/>
        <v>0</v>
      </c>
      <c r="P7527" s="1" t="str">
        <f t="shared" si="13183"/>
        <v>0</v>
      </c>
      <c r="Q7527" s="1" t="str">
        <f t="shared" si="13144"/>
        <v>0.0070</v>
      </c>
      <c r="R7527" s="1" t="s">
        <v>25</v>
      </c>
      <c r="T7527" s="1" t="str">
        <f t="shared" si="13145"/>
        <v>0</v>
      </c>
      <c r="U7527" s="1" t="str">
        <f t="shared" si="13156"/>
        <v>0.0070</v>
      </c>
    </row>
    <row r="7528" s="1" customFormat="1" spans="1:21">
      <c r="A7528" s="1" t="str">
        <f>"4601992342600"</f>
        <v>4601992342600</v>
      </c>
      <c r="B7528" s="1" t="s">
        <v>7551</v>
      </c>
      <c r="C7528" s="1" t="s">
        <v>24</v>
      </c>
      <c r="D7528" s="1" t="str">
        <f t="shared" si="13142"/>
        <v>2021</v>
      </c>
      <c r="E7528" s="1" t="str">
        <f t="shared" ref="E7528:P7528" si="13184">"0"</f>
        <v>0</v>
      </c>
      <c r="F7528" s="1" t="str">
        <f t="shared" si="13184"/>
        <v>0</v>
      </c>
      <c r="G7528" s="1" t="str">
        <f t="shared" si="13184"/>
        <v>0</v>
      </c>
      <c r="H7528" s="1" t="str">
        <f t="shared" si="13184"/>
        <v>0</v>
      </c>
      <c r="I7528" s="1" t="str">
        <f t="shared" si="13184"/>
        <v>0</v>
      </c>
      <c r="J7528" s="1" t="str">
        <f t="shared" si="13184"/>
        <v>0</v>
      </c>
      <c r="K7528" s="1" t="str">
        <f t="shared" si="13184"/>
        <v>0</v>
      </c>
      <c r="L7528" s="1" t="str">
        <f t="shared" si="13184"/>
        <v>0</v>
      </c>
      <c r="M7528" s="1" t="str">
        <f t="shared" si="13184"/>
        <v>0</v>
      </c>
      <c r="N7528" s="1" t="str">
        <f t="shared" si="13184"/>
        <v>0</v>
      </c>
      <c r="O7528" s="1" t="str">
        <f t="shared" si="13184"/>
        <v>0</v>
      </c>
      <c r="P7528" s="1" t="str">
        <f t="shared" si="13184"/>
        <v>0</v>
      </c>
      <c r="Q7528" s="1" t="str">
        <f t="shared" si="13144"/>
        <v>0.0070</v>
      </c>
      <c r="R7528" s="1" t="s">
        <v>25</v>
      </c>
      <c r="T7528" s="1" t="str">
        <f t="shared" si="13145"/>
        <v>0</v>
      </c>
      <c r="U7528" s="1" t="str">
        <f t="shared" si="13156"/>
        <v>0.0070</v>
      </c>
    </row>
    <row r="7529" s="1" customFormat="1" spans="1:21">
      <c r="A7529" s="1" t="str">
        <f>"4601992342574"</f>
        <v>4601992342574</v>
      </c>
      <c r="B7529" s="1" t="s">
        <v>7552</v>
      </c>
      <c r="C7529" s="1" t="s">
        <v>24</v>
      </c>
      <c r="D7529" s="1" t="str">
        <f t="shared" si="13142"/>
        <v>2021</v>
      </c>
      <c r="E7529" s="1" t="str">
        <f t="shared" ref="E7529:P7529" si="13185">"0"</f>
        <v>0</v>
      </c>
      <c r="F7529" s="1" t="str">
        <f t="shared" si="13185"/>
        <v>0</v>
      </c>
      <c r="G7529" s="1" t="str">
        <f t="shared" si="13185"/>
        <v>0</v>
      </c>
      <c r="H7529" s="1" t="str">
        <f t="shared" si="13185"/>
        <v>0</v>
      </c>
      <c r="I7529" s="1" t="str">
        <f t="shared" si="13185"/>
        <v>0</v>
      </c>
      <c r="J7529" s="1" t="str">
        <f t="shared" si="13185"/>
        <v>0</v>
      </c>
      <c r="K7529" s="1" t="str">
        <f t="shared" si="13185"/>
        <v>0</v>
      </c>
      <c r="L7529" s="1" t="str">
        <f t="shared" si="13185"/>
        <v>0</v>
      </c>
      <c r="M7529" s="1" t="str">
        <f t="shared" si="13185"/>
        <v>0</v>
      </c>
      <c r="N7529" s="1" t="str">
        <f t="shared" si="13185"/>
        <v>0</v>
      </c>
      <c r="O7529" s="1" t="str">
        <f t="shared" si="13185"/>
        <v>0</v>
      </c>
      <c r="P7529" s="1" t="str">
        <f t="shared" si="13185"/>
        <v>0</v>
      </c>
      <c r="Q7529" s="1" t="str">
        <f t="shared" si="13144"/>
        <v>0.0070</v>
      </c>
      <c r="R7529" s="1" t="s">
        <v>25</v>
      </c>
      <c r="T7529" s="1" t="str">
        <f t="shared" si="13145"/>
        <v>0</v>
      </c>
      <c r="U7529" s="1" t="str">
        <f t="shared" si="13156"/>
        <v>0.0070</v>
      </c>
    </row>
    <row r="7530" s="1" customFormat="1" spans="1:21">
      <c r="A7530" s="1" t="str">
        <f>"4601992342633"</f>
        <v>4601992342633</v>
      </c>
      <c r="B7530" s="1" t="s">
        <v>7553</v>
      </c>
      <c r="C7530" s="1" t="s">
        <v>24</v>
      </c>
      <c r="D7530" s="1" t="str">
        <f t="shared" si="13142"/>
        <v>2021</v>
      </c>
      <c r="E7530" s="1" t="str">
        <f t="shared" ref="E7530:P7530" si="13186">"0"</f>
        <v>0</v>
      </c>
      <c r="F7530" s="1" t="str">
        <f t="shared" si="13186"/>
        <v>0</v>
      </c>
      <c r="G7530" s="1" t="str">
        <f t="shared" si="13186"/>
        <v>0</v>
      </c>
      <c r="H7530" s="1" t="str">
        <f t="shared" si="13186"/>
        <v>0</v>
      </c>
      <c r="I7530" s="1" t="str">
        <f t="shared" si="13186"/>
        <v>0</v>
      </c>
      <c r="J7530" s="1" t="str">
        <f t="shared" si="13186"/>
        <v>0</v>
      </c>
      <c r="K7530" s="1" t="str">
        <f t="shared" si="13186"/>
        <v>0</v>
      </c>
      <c r="L7530" s="1" t="str">
        <f t="shared" si="13186"/>
        <v>0</v>
      </c>
      <c r="M7530" s="1" t="str">
        <f t="shared" si="13186"/>
        <v>0</v>
      </c>
      <c r="N7530" s="1" t="str">
        <f t="shared" si="13186"/>
        <v>0</v>
      </c>
      <c r="O7530" s="1" t="str">
        <f t="shared" si="13186"/>
        <v>0</v>
      </c>
      <c r="P7530" s="1" t="str">
        <f t="shared" si="13186"/>
        <v>0</v>
      </c>
      <c r="Q7530" s="1" t="str">
        <f t="shared" si="13144"/>
        <v>0.0070</v>
      </c>
      <c r="R7530" s="1" t="s">
        <v>25</v>
      </c>
      <c r="T7530" s="1" t="str">
        <f t="shared" si="13145"/>
        <v>0</v>
      </c>
      <c r="U7530" s="1" t="str">
        <f t="shared" si="13156"/>
        <v>0.0070</v>
      </c>
    </row>
    <row r="7531" s="1" customFormat="1" spans="1:21">
      <c r="A7531" s="1" t="str">
        <f>"4601992342699"</f>
        <v>4601992342699</v>
      </c>
      <c r="B7531" s="1" t="s">
        <v>7554</v>
      </c>
      <c r="C7531" s="1" t="s">
        <v>24</v>
      </c>
      <c r="D7531" s="1" t="str">
        <f t="shared" si="13142"/>
        <v>2021</v>
      </c>
      <c r="E7531" s="1" t="str">
        <f t="shared" ref="E7531:P7531" si="13187">"0"</f>
        <v>0</v>
      </c>
      <c r="F7531" s="1" t="str">
        <f t="shared" si="13187"/>
        <v>0</v>
      </c>
      <c r="G7531" s="1" t="str">
        <f t="shared" si="13187"/>
        <v>0</v>
      </c>
      <c r="H7531" s="1" t="str">
        <f t="shared" si="13187"/>
        <v>0</v>
      </c>
      <c r="I7531" s="1" t="str">
        <f t="shared" si="13187"/>
        <v>0</v>
      </c>
      <c r="J7531" s="1" t="str">
        <f t="shared" si="13187"/>
        <v>0</v>
      </c>
      <c r="K7531" s="1" t="str">
        <f t="shared" si="13187"/>
        <v>0</v>
      </c>
      <c r="L7531" s="1" t="str">
        <f t="shared" si="13187"/>
        <v>0</v>
      </c>
      <c r="M7531" s="1" t="str">
        <f t="shared" si="13187"/>
        <v>0</v>
      </c>
      <c r="N7531" s="1" t="str">
        <f t="shared" si="13187"/>
        <v>0</v>
      </c>
      <c r="O7531" s="1" t="str">
        <f t="shared" si="13187"/>
        <v>0</v>
      </c>
      <c r="P7531" s="1" t="str">
        <f t="shared" si="13187"/>
        <v>0</v>
      </c>
      <c r="Q7531" s="1" t="str">
        <f t="shared" si="13144"/>
        <v>0.0070</v>
      </c>
      <c r="R7531" s="1" t="s">
        <v>25</v>
      </c>
      <c r="T7531" s="1" t="str">
        <f t="shared" si="13145"/>
        <v>0</v>
      </c>
      <c r="U7531" s="1" t="str">
        <f t="shared" si="13156"/>
        <v>0.0070</v>
      </c>
    </row>
    <row r="7532" s="1" customFormat="1" spans="1:21">
      <c r="A7532" s="1" t="str">
        <f>"4601992342710"</f>
        <v>4601992342710</v>
      </c>
      <c r="B7532" s="1" t="s">
        <v>7555</v>
      </c>
      <c r="C7532" s="1" t="s">
        <v>24</v>
      </c>
      <c r="D7532" s="1" t="str">
        <f t="shared" si="13142"/>
        <v>2021</v>
      </c>
      <c r="E7532" s="1" t="str">
        <f t="shared" ref="E7532:P7532" si="13188">"0"</f>
        <v>0</v>
      </c>
      <c r="F7532" s="1" t="str">
        <f t="shared" si="13188"/>
        <v>0</v>
      </c>
      <c r="G7532" s="1" t="str">
        <f t="shared" si="13188"/>
        <v>0</v>
      </c>
      <c r="H7532" s="1" t="str">
        <f t="shared" si="13188"/>
        <v>0</v>
      </c>
      <c r="I7532" s="1" t="str">
        <f t="shared" si="13188"/>
        <v>0</v>
      </c>
      <c r="J7532" s="1" t="str">
        <f t="shared" si="13188"/>
        <v>0</v>
      </c>
      <c r="K7532" s="1" t="str">
        <f t="shared" si="13188"/>
        <v>0</v>
      </c>
      <c r="L7532" s="1" t="str">
        <f t="shared" si="13188"/>
        <v>0</v>
      </c>
      <c r="M7532" s="1" t="str">
        <f t="shared" si="13188"/>
        <v>0</v>
      </c>
      <c r="N7532" s="1" t="str">
        <f t="shared" si="13188"/>
        <v>0</v>
      </c>
      <c r="O7532" s="1" t="str">
        <f t="shared" si="13188"/>
        <v>0</v>
      </c>
      <c r="P7532" s="1" t="str">
        <f t="shared" si="13188"/>
        <v>0</v>
      </c>
      <c r="Q7532" s="1" t="str">
        <f t="shared" si="13144"/>
        <v>0.0070</v>
      </c>
      <c r="R7532" s="1" t="s">
        <v>25</v>
      </c>
      <c r="T7532" s="1" t="str">
        <f t="shared" si="13145"/>
        <v>0</v>
      </c>
      <c r="U7532" s="1" t="str">
        <f t="shared" si="13156"/>
        <v>0.0070</v>
      </c>
    </row>
    <row r="7533" s="1" customFormat="1" spans="1:21">
      <c r="A7533" s="1" t="str">
        <f>"4601992342700"</f>
        <v>4601992342700</v>
      </c>
      <c r="B7533" s="1" t="s">
        <v>7556</v>
      </c>
      <c r="C7533" s="1" t="s">
        <v>24</v>
      </c>
      <c r="D7533" s="1" t="str">
        <f t="shared" si="13142"/>
        <v>2021</v>
      </c>
      <c r="E7533" s="1" t="str">
        <f t="shared" ref="E7533:P7533" si="13189">"0"</f>
        <v>0</v>
      </c>
      <c r="F7533" s="1" t="str">
        <f t="shared" si="13189"/>
        <v>0</v>
      </c>
      <c r="G7533" s="1" t="str">
        <f t="shared" si="13189"/>
        <v>0</v>
      </c>
      <c r="H7533" s="1" t="str">
        <f t="shared" si="13189"/>
        <v>0</v>
      </c>
      <c r="I7533" s="1" t="str">
        <f t="shared" si="13189"/>
        <v>0</v>
      </c>
      <c r="J7533" s="1" t="str">
        <f t="shared" si="13189"/>
        <v>0</v>
      </c>
      <c r="K7533" s="1" t="str">
        <f t="shared" si="13189"/>
        <v>0</v>
      </c>
      <c r="L7533" s="1" t="str">
        <f t="shared" si="13189"/>
        <v>0</v>
      </c>
      <c r="M7533" s="1" t="str">
        <f t="shared" si="13189"/>
        <v>0</v>
      </c>
      <c r="N7533" s="1" t="str">
        <f t="shared" si="13189"/>
        <v>0</v>
      </c>
      <c r="O7533" s="1" t="str">
        <f t="shared" si="13189"/>
        <v>0</v>
      </c>
      <c r="P7533" s="1" t="str">
        <f t="shared" si="13189"/>
        <v>0</v>
      </c>
      <c r="Q7533" s="1" t="str">
        <f t="shared" si="13144"/>
        <v>0.0070</v>
      </c>
      <c r="R7533" s="1" t="s">
        <v>25</v>
      </c>
      <c r="T7533" s="1" t="str">
        <f t="shared" si="13145"/>
        <v>0</v>
      </c>
      <c r="U7533" s="1" t="str">
        <f t="shared" si="13156"/>
        <v>0.0070</v>
      </c>
    </row>
    <row r="7534" s="1" customFormat="1" spans="1:21">
      <c r="A7534" s="1" t="str">
        <f>"4601992342731"</f>
        <v>4601992342731</v>
      </c>
      <c r="B7534" s="1" t="s">
        <v>7557</v>
      </c>
      <c r="C7534" s="1" t="s">
        <v>24</v>
      </c>
      <c r="D7534" s="1" t="str">
        <f t="shared" si="13142"/>
        <v>2021</v>
      </c>
      <c r="E7534" s="1" t="str">
        <f t="shared" ref="E7534:P7534" si="13190">"0"</f>
        <v>0</v>
      </c>
      <c r="F7534" s="1" t="str">
        <f t="shared" si="13190"/>
        <v>0</v>
      </c>
      <c r="G7534" s="1" t="str">
        <f t="shared" si="13190"/>
        <v>0</v>
      </c>
      <c r="H7534" s="1" t="str">
        <f t="shared" si="13190"/>
        <v>0</v>
      </c>
      <c r="I7534" s="1" t="str">
        <f t="shared" si="13190"/>
        <v>0</v>
      </c>
      <c r="J7534" s="1" t="str">
        <f t="shared" si="13190"/>
        <v>0</v>
      </c>
      <c r="K7534" s="1" t="str">
        <f t="shared" si="13190"/>
        <v>0</v>
      </c>
      <c r="L7534" s="1" t="str">
        <f t="shared" si="13190"/>
        <v>0</v>
      </c>
      <c r="M7534" s="1" t="str">
        <f t="shared" si="13190"/>
        <v>0</v>
      </c>
      <c r="N7534" s="1" t="str">
        <f t="shared" si="13190"/>
        <v>0</v>
      </c>
      <c r="O7534" s="1" t="str">
        <f t="shared" si="13190"/>
        <v>0</v>
      </c>
      <c r="P7534" s="1" t="str">
        <f t="shared" si="13190"/>
        <v>0</v>
      </c>
      <c r="Q7534" s="1" t="str">
        <f t="shared" si="13144"/>
        <v>0.0070</v>
      </c>
      <c r="R7534" s="1" t="s">
        <v>25</v>
      </c>
      <c r="T7534" s="1" t="str">
        <f t="shared" si="13145"/>
        <v>0</v>
      </c>
      <c r="U7534" s="1" t="str">
        <f t="shared" si="13156"/>
        <v>0.0070</v>
      </c>
    </row>
    <row r="7535" s="1" customFormat="1" spans="1:21">
      <c r="A7535" s="1" t="str">
        <f>"4601992342755"</f>
        <v>4601992342755</v>
      </c>
      <c r="B7535" s="1" t="s">
        <v>7558</v>
      </c>
      <c r="C7535" s="1" t="s">
        <v>24</v>
      </c>
      <c r="D7535" s="1" t="str">
        <f t="shared" si="13142"/>
        <v>2021</v>
      </c>
      <c r="E7535" s="1" t="str">
        <f t="shared" ref="E7535:P7535" si="13191">"0"</f>
        <v>0</v>
      </c>
      <c r="F7535" s="1" t="str">
        <f t="shared" si="13191"/>
        <v>0</v>
      </c>
      <c r="G7535" s="1" t="str">
        <f t="shared" si="13191"/>
        <v>0</v>
      </c>
      <c r="H7535" s="1" t="str">
        <f t="shared" si="13191"/>
        <v>0</v>
      </c>
      <c r="I7535" s="1" t="str">
        <f t="shared" si="13191"/>
        <v>0</v>
      </c>
      <c r="J7535" s="1" t="str">
        <f t="shared" si="13191"/>
        <v>0</v>
      </c>
      <c r="K7535" s="1" t="str">
        <f t="shared" si="13191"/>
        <v>0</v>
      </c>
      <c r="L7535" s="1" t="str">
        <f t="shared" si="13191"/>
        <v>0</v>
      </c>
      <c r="M7535" s="1" t="str">
        <f t="shared" si="13191"/>
        <v>0</v>
      </c>
      <c r="N7535" s="1" t="str">
        <f t="shared" si="13191"/>
        <v>0</v>
      </c>
      <c r="O7535" s="1" t="str">
        <f t="shared" si="13191"/>
        <v>0</v>
      </c>
      <c r="P7535" s="1" t="str">
        <f t="shared" si="13191"/>
        <v>0</v>
      </c>
      <c r="Q7535" s="1" t="str">
        <f t="shared" si="13144"/>
        <v>0.0070</v>
      </c>
      <c r="R7535" s="1" t="s">
        <v>25</v>
      </c>
      <c r="T7535" s="1" t="str">
        <f t="shared" si="13145"/>
        <v>0</v>
      </c>
      <c r="U7535" s="1" t="str">
        <f t="shared" si="13156"/>
        <v>0.0070</v>
      </c>
    </row>
    <row r="7536" s="1" customFormat="1" spans="1:21">
      <c r="A7536" s="1" t="str">
        <f>"4601992342973"</f>
        <v>4601992342973</v>
      </c>
      <c r="B7536" s="1" t="s">
        <v>7559</v>
      </c>
      <c r="C7536" s="1" t="s">
        <v>24</v>
      </c>
      <c r="D7536" s="1" t="str">
        <f t="shared" si="13142"/>
        <v>2021</v>
      </c>
      <c r="E7536" s="1" t="str">
        <f t="shared" ref="E7536:P7536" si="13192">"0"</f>
        <v>0</v>
      </c>
      <c r="F7536" s="1" t="str">
        <f t="shared" si="13192"/>
        <v>0</v>
      </c>
      <c r="G7536" s="1" t="str">
        <f t="shared" si="13192"/>
        <v>0</v>
      </c>
      <c r="H7536" s="1" t="str">
        <f t="shared" si="13192"/>
        <v>0</v>
      </c>
      <c r="I7536" s="1" t="str">
        <f t="shared" si="13192"/>
        <v>0</v>
      </c>
      <c r="J7536" s="1" t="str">
        <f t="shared" si="13192"/>
        <v>0</v>
      </c>
      <c r="K7536" s="1" t="str">
        <f t="shared" si="13192"/>
        <v>0</v>
      </c>
      <c r="L7536" s="1" t="str">
        <f t="shared" si="13192"/>
        <v>0</v>
      </c>
      <c r="M7536" s="1" t="str">
        <f t="shared" si="13192"/>
        <v>0</v>
      </c>
      <c r="N7536" s="1" t="str">
        <f t="shared" si="13192"/>
        <v>0</v>
      </c>
      <c r="O7536" s="1" t="str">
        <f t="shared" si="13192"/>
        <v>0</v>
      </c>
      <c r="P7536" s="1" t="str">
        <f t="shared" si="13192"/>
        <v>0</v>
      </c>
      <c r="Q7536" s="1" t="str">
        <f t="shared" si="13144"/>
        <v>0.0070</v>
      </c>
      <c r="R7536" s="1" t="s">
        <v>25</v>
      </c>
      <c r="T7536" s="1" t="str">
        <f t="shared" si="13145"/>
        <v>0</v>
      </c>
      <c r="U7536" s="1" t="str">
        <f t="shared" si="13156"/>
        <v>0.0070</v>
      </c>
    </row>
    <row r="7537" s="1" customFormat="1" spans="1:21">
      <c r="A7537" s="1" t="str">
        <f>"4601992342847"</f>
        <v>4601992342847</v>
      </c>
      <c r="B7537" s="1" t="s">
        <v>7560</v>
      </c>
      <c r="C7537" s="1" t="s">
        <v>24</v>
      </c>
      <c r="D7537" s="1" t="str">
        <f t="shared" si="13142"/>
        <v>2021</v>
      </c>
      <c r="E7537" s="1" t="str">
        <f t="shared" ref="E7537:P7537" si="13193">"0"</f>
        <v>0</v>
      </c>
      <c r="F7537" s="1" t="str">
        <f t="shared" si="13193"/>
        <v>0</v>
      </c>
      <c r="G7537" s="1" t="str">
        <f t="shared" si="13193"/>
        <v>0</v>
      </c>
      <c r="H7537" s="1" t="str">
        <f t="shared" si="13193"/>
        <v>0</v>
      </c>
      <c r="I7537" s="1" t="str">
        <f t="shared" si="13193"/>
        <v>0</v>
      </c>
      <c r="J7537" s="1" t="str">
        <f t="shared" si="13193"/>
        <v>0</v>
      </c>
      <c r="K7537" s="1" t="str">
        <f t="shared" si="13193"/>
        <v>0</v>
      </c>
      <c r="L7537" s="1" t="str">
        <f t="shared" si="13193"/>
        <v>0</v>
      </c>
      <c r="M7537" s="1" t="str">
        <f t="shared" si="13193"/>
        <v>0</v>
      </c>
      <c r="N7537" s="1" t="str">
        <f t="shared" si="13193"/>
        <v>0</v>
      </c>
      <c r="O7537" s="1" t="str">
        <f t="shared" si="13193"/>
        <v>0</v>
      </c>
      <c r="P7537" s="1" t="str">
        <f t="shared" si="13193"/>
        <v>0</v>
      </c>
      <c r="Q7537" s="1" t="str">
        <f t="shared" si="13144"/>
        <v>0.0070</v>
      </c>
      <c r="R7537" s="1" t="s">
        <v>25</v>
      </c>
      <c r="T7537" s="1" t="str">
        <f t="shared" si="13145"/>
        <v>0</v>
      </c>
      <c r="U7537" s="1" t="str">
        <f t="shared" si="13156"/>
        <v>0.0070</v>
      </c>
    </row>
    <row r="7538" s="1" customFormat="1" spans="1:21">
      <c r="A7538" s="1" t="str">
        <f>"4601992343124"</f>
        <v>4601992343124</v>
      </c>
      <c r="B7538" s="1" t="s">
        <v>7561</v>
      </c>
      <c r="C7538" s="1" t="s">
        <v>24</v>
      </c>
      <c r="D7538" s="1" t="str">
        <f t="shared" si="13142"/>
        <v>2021</v>
      </c>
      <c r="E7538" s="1" t="str">
        <f t="shared" ref="E7538:P7538" si="13194">"0"</f>
        <v>0</v>
      </c>
      <c r="F7538" s="1" t="str">
        <f t="shared" si="13194"/>
        <v>0</v>
      </c>
      <c r="G7538" s="1" t="str">
        <f t="shared" si="13194"/>
        <v>0</v>
      </c>
      <c r="H7538" s="1" t="str">
        <f t="shared" si="13194"/>
        <v>0</v>
      </c>
      <c r="I7538" s="1" t="str">
        <f t="shared" si="13194"/>
        <v>0</v>
      </c>
      <c r="J7538" s="1" t="str">
        <f t="shared" si="13194"/>
        <v>0</v>
      </c>
      <c r="K7538" s="1" t="str">
        <f t="shared" si="13194"/>
        <v>0</v>
      </c>
      <c r="L7538" s="1" t="str">
        <f t="shared" si="13194"/>
        <v>0</v>
      </c>
      <c r="M7538" s="1" t="str">
        <f t="shared" si="13194"/>
        <v>0</v>
      </c>
      <c r="N7538" s="1" t="str">
        <f t="shared" si="13194"/>
        <v>0</v>
      </c>
      <c r="O7538" s="1" t="str">
        <f t="shared" si="13194"/>
        <v>0</v>
      </c>
      <c r="P7538" s="1" t="str">
        <f t="shared" si="13194"/>
        <v>0</v>
      </c>
      <c r="Q7538" s="1" t="str">
        <f t="shared" si="13144"/>
        <v>0.0070</v>
      </c>
      <c r="R7538" s="1" t="s">
        <v>25</v>
      </c>
      <c r="T7538" s="1" t="str">
        <f t="shared" si="13145"/>
        <v>0</v>
      </c>
      <c r="U7538" s="1" t="str">
        <f t="shared" si="13156"/>
        <v>0.0070</v>
      </c>
    </row>
    <row r="7539" s="1" customFormat="1" spans="1:21">
      <c r="A7539" s="1" t="str">
        <f>"4601992343231"</f>
        <v>4601992343231</v>
      </c>
      <c r="B7539" s="1" t="s">
        <v>7562</v>
      </c>
      <c r="C7539" s="1" t="s">
        <v>24</v>
      </c>
      <c r="D7539" s="1" t="str">
        <f t="shared" si="13142"/>
        <v>2021</v>
      </c>
      <c r="E7539" s="1" t="str">
        <f t="shared" ref="E7539:P7539" si="13195">"0"</f>
        <v>0</v>
      </c>
      <c r="F7539" s="1" t="str">
        <f t="shared" si="13195"/>
        <v>0</v>
      </c>
      <c r="G7539" s="1" t="str">
        <f t="shared" si="13195"/>
        <v>0</v>
      </c>
      <c r="H7539" s="1" t="str">
        <f t="shared" si="13195"/>
        <v>0</v>
      </c>
      <c r="I7539" s="1" t="str">
        <f t="shared" si="13195"/>
        <v>0</v>
      </c>
      <c r="J7539" s="1" t="str">
        <f t="shared" si="13195"/>
        <v>0</v>
      </c>
      <c r="K7539" s="1" t="str">
        <f t="shared" si="13195"/>
        <v>0</v>
      </c>
      <c r="L7539" s="1" t="str">
        <f t="shared" si="13195"/>
        <v>0</v>
      </c>
      <c r="M7539" s="1" t="str">
        <f t="shared" si="13195"/>
        <v>0</v>
      </c>
      <c r="N7539" s="1" t="str">
        <f t="shared" si="13195"/>
        <v>0</v>
      </c>
      <c r="O7539" s="1" t="str">
        <f t="shared" si="13195"/>
        <v>0</v>
      </c>
      <c r="P7539" s="1" t="str">
        <f t="shared" si="13195"/>
        <v>0</v>
      </c>
      <c r="Q7539" s="1" t="str">
        <f t="shared" si="13144"/>
        <v>0.0070</v>
      </c>
      <c r="R7539" s="1" t="s">
        <v>25</v>
      </c>
      <c r="T7539" s="1" t="str">
        <f t="shared" si="13145"/>
        <v>0</v>
      </c>
      <c r="U7539" s="1" t="str">
        <f t="shared" si="13156"/>
        <v>0.0070</v>
      </c>
    </row>
    <row r="7540" s="1" customFormat="1" spans="1:21">
      <c r="A7540" s="1" t="str">
        <f>"4601992343164"</f>
        <v>4601992343164</v>
      </c>
      <c r="B7540" s="1" t="s">
        <v>7563</v>
      </c>
      <c r="C7540" s="1" t="s">
        <v>24</v>
      </c>
      <c r="D7540" s="1" t="str">
        <f t="shared" si="13142"/>
        <v>2021</v>
      </c>
      <c r="E7540" s="1" t="str">
        <f t="shared" ref="E7540:P7540" si="13196">"0"</f>
        <v>0</v>
      </c>
      <c r="F7540" s="1" t="str">
        <f t="shared" si="13196"/>
        <v>0</v>
      </c>
      <c r="G7540" s="1" t="str">
        <f t="shared" si="13196"/>
        <v>0</v>
      </c>
      <c r="H7540" s="1" t="str">
        <f t="shared" si="13196"/>
        <v>0</v>
      </c>
      <c r="I7540" s="1" t="str">
        <f t="shared" si="13196"/>
        <v>0</v>
      </c>
      <c r="J7540" s="1" t="str">
        <f t="shared" si="13196"/>
        <v>0</v>
      </c>
      <c r="K7540" s="1" t="str">
        <f t="shared" si="13196"/>
        <v>0</v>
      </c>
      <c r="L7540" s="1" t="str">
        <f t="shared" si="13196"/>
        <v>0</v>
      </c>
      <c r="M7540" s="1" t="str">
        <f t="shared" si="13196"/>
        <v>0</v>
      </c>
      <c r="N7540" s="1" t="str">
        <f t="shared" si="13196"/>
        <v>0</v>
      </c>
      <c r="O7540" s="1" t="str">
        <f t="shared" si="13196"/>
        <v>0</v>
      </c>
      <c r="P7540" s="1" t="str">
        <f t="shared" si="13196"/>
        <v>0</v>
      </c>
      <c r="Q7540" s="1" t="str">
        <f t="shared" si="13144"/>
        <v>0.0070</v>
      </c>
      <c r="R7540" s="1" t="s">
        <v>25</v>
      </c>
      <c r="T7540" s="1" t="str">
        <f t="shared" si="13145"/>
        <v>0</v>
      </c>
      <c r="U7540" s="1" t="str">
        <f t="shared" si="13156"/>
        <v>0.0070</v>
      </c>
    </row>
    <row r="7541" s="1" customFormat="1" spans="1:21">
      <c r="A7541" s="1" t="str">
        <f>"4601992343380"</f>
        <v>4601992343380</v>
      </c>
      <c r="B7541" s="1" t="s">
        <v>7564</v>
      </c>
      <c r="C7541" s="1" t="s">
        <v>24</v>
      </c>
      <c r="D7541" s="1" t="str">
        <f t="shared" si="13142"/>
        <v>2021</v>
      </c>
      <c r="E7541" s="1" t="str">
        <f t="shared" ref="E7541:P7541" si="13197">"0"</f>
        <v>0</v>
      </c>
      <c r="F7541" s="1" t="str">
        <f t="shared" si="13197"/>
        <v>0</v>
      </c>
      <c r="G7541" s="1" t="str">
        <f t="shared" si="13197"/>
        <v>0</v>
      </c>
      <c r="H7541" s="1" t="str">
        <f t="shared" si="13197"/>
        <v>0</v>
      </c>
      <c r="I7541" s="1" t="str">
        <f t="shared" si="13197"/>
        <v>0</v>
      </c>
      <c r="J7541" s="1" t="str">
        <f t="shared" si="13197"/>
        <v>0</v>
      </c>
      <c r="K7541" s="1" t="str">
        <f t="shared" si="13197"/>
        <v>0</v>
      </c>
      <c r="L7541" s="1" t="str">
        <f t="shared" si="13197"/>
        <v>0</v>
      </c>
      <c r="M7541" s="1" t="str">
        <f t="shared" si="13197"/>
        <v>0</v>
      </c>
      <c r="N7541" s="1" t="str">
        <f t="shared" si="13197"/>
        <v>0</v>
      </c>
      <c r="O7541" s="1" t="str">
        <f t="shared" si="13197"/>
        <v>0</v>
      </c>
      <c r="P7541" s="1" t="str">
        <f t="shared" si="13197"/>
        <v>0</v>
      </c>
      <c r="Q7541" s="1" t="str">
        <f t="shared" si="13144"/>
        <v>0.0070</v>
      </c>
      <c r="R7541" s="1" t="s">
        <v>25</v>
      </c>
      <c r="T7541" s="1" t="str">
        <f t="shared" si="13145"/>
        <v>0</v>
      </c>
      <c r="U7541" s="1" t="str">
        <f t="shared" si="13156"/>
        <v>0.0070</v>
      </c>
    </row>
    <row r="7542" s="1" customFormat="1" spans="1:21">
      <c r="A7542" s="1" t="str">
        <f>"4601992343534"</f>
        <v>4601992343534</v>
      </c>
      <c r="B7542" s="1" t="s">
        <v>7565</v>
      </c>
      <c r="C7542" s="1" t="s">
        <v>24</v>
      </c>
      <c r="D7542" s="1" t="str">
        <f t="shared" si="13142"/>
        <v>2021</v>
      </c>
      <c r="E7542" s="1" t="str">
        <f t="shared" ref="E7542:P7542" si="13198">"0"</f>
        <v>0</v>
      </c>
      <c r="F7542" s="1" t="str">
        <f t="shared" si="13198"/>
        <v>0</v>
      </c>
      <c r="G7542" s="1" t="str">
        <f t="shared" si="13198"/>
        <v>0</v>
      </c>
      <c r="H7542" s="1" t="str">
        <f t="shared" si="13198"/>
        <v>0</v>
      </c>
      <c r="I7542" s="1" t="str">
        <f t="shared" si="13198"/>
        <v>0</v>
      </c>
      <c r="J7542" s="1" t="str">
        <f t="shared" si="13198"/>
        <v>0</v>
      </c>
      <c r="K7542" s="1" t="str">
        <f t="shared" si="13198"/>
        <v>0</v>
      </c>
      <c r="L7542" s="1" t="str">
        <f t="shared" si="13198"/>
        <v>0</v>
      </c>
      <c r="M7542" s="1" t="str">
        <f t="shared" si="13198"/>
        <v>0</v>
      </c>
      <c r="N7542" s="1" t="str">
        <f t="shared" si="13198"/>
        <v>0</v>
      </c>
      <c r="O7542" s="1" t="str">
        <f t="shared" si="13198"/>
        <v>0</v>
      </c>
      <c r="P7542" s="1" t="str">
        <f t="shared" si="13198"/>
        <v>0</v>
      </c>
      <c r="Q7542" s="1" t="str">
        <f t="shared" si="13144"/>
        <v>0.0070</v>
      </c>
      <c r="R7542" s="1" t="s">
        <v>25</v>
      </c>
      <c r="T7542" s="1" t="str">
        <f t="shared" si="13145"/>
        <v>0</v>
      </c>
      <c r="U7542" s="1" t="str">
        <f t="shared" si="13156"/>
        <v>0.0070</v>
      </c>
    </row>
    <row r="7543" s="1" customFormat="1" spans="1:21">
      <c r="A7543" s="1" t="str">
        <f>"4601992343544"</f>
        <v>4601992343544</v>
      </c>
      <c r="B7543" s="1" t="s">
        <v>7566</v>
      </c>
      <c r="C7543" s="1" t="s">
        <v>24</v>
      </c>
      <c r="D7543" s="1" t="str">
        <f t="shared" si="13142"/>
        <v>2021</v>
      </c>
      <c r="E7543" s="1" t="str">
        <f t="shared" ref="E7543:P7543" si="13199">"0"</f>
        <v>0</v>
      </c>
      <c r="F7543" s="1" t="str">
        <f t="shared" si="13199"/>
        <v>0</v>
      </c>
      <c r="G7543" s="1" t="str">
        <f t="shared" si="13199"/>
        <v>0</v>
      </c>
      <c r="H7543" s="1" t="str">
        <f t="shared" si="13199"/>
        <v>0</v>
      </c>
      <c r="I7543" s="1" t="str">
        <f t="shared" si="13199"/>
        <v>0</v>
      </c>
      <c r="J7543" s="1" t="str">
        <f t="shared" si="13199"/>
        <v>0</v>
      </c>
      <c r="K7543" s="1" t="str">
        <f t="shared" si="13199"/>
        <v>0</v>
      </c>
      <c r="L7543" s="1" t="str">
        <f t="shared" si="13199"/>
        <v>0</v>
      </c>
      <c r="M7543" s="1" t="str">
        <f t="shared" si="13199"/>
        <v>0</v>
      </c>
      <c r="N7543" s="1" t="str">
        <f t="shared" si="13199"/>
        <v>0</v>
      </c>
      <c r="O7543" s="1" t="str">
        <f t="shared" si="13199"/>
        <v>0</v>
      </c>
      <c r="P7543" s="1" t="str">
        <f t="shared" si="13199"/>
        <v>0</v>
      </c>
      <c r="Q7543" s="1" t="str">
        <f t="shared" si="13144"/>
        <v>0.0070</v>
      </c>
      <c r="R7543" s="1" t="s">
        <v>25</v>
      </c>
      <c r="T7543" s="1" t="str">
        <f t="shared" si="13145"/>
        <v>0</v>
      </c>
      <c r="U7543" s="1" t="str">
        <f t="shared" si="13156"/>
        <v>0.0070</v>
      </c>
    </row>
    <row r="7544" s="1" customFormat="1" spans="1:21">
      <c r="A7544" s="1" t="str">
        <f>"4601992343542"</f>
        <v>4601992343542</v>
      </c>
      <c r="B7544" s="1" t="s">
        <v>7567</v>
      </c>
      <c r="C7544" s="1" t="s">
        <v>24</v>
      </c>
      <c r="D7544" s="1" t="str">
        <f t="shared" si="13142"/>
        <v>2021</v>
      </c>
      <c r="E7544" s="1" t="str">
        <f t="shared" ref="E7544:P7544" si="13200">"0"</f>
        <v>0</v>
      </c>
      <c r="F7544" s="1" t="str">
        <f t="shared" si="13200"/>
        <v>0</v>
      </c>
      <c r="G7544" s="1" t="str">
        <f t="shared" si="13200"/>
        <v>0</v>
      </c>
      <c r="H7544" s="1" t="str">
        <f t="shared" si="13200"/>
        <v>0</v>
      </c>
      <c r="I7544" s="1" t="str">
        <f t="shared" si="13200"/>
        <v>0</v>
      </c>
      <c r="J7544" s="1" t="str">
        <f t="shared" si="13200"/>
        <v>0</v>
      </c>
      <c r="K7544" s="1" t="str">
        <f t="shared" si="13200"/>
        <v>0</v>
      </c>
      <c r="L7544" s="1" t="str">
        <f t="shared" si="13200"/>
        <v>0</v>
      </c>
      <c r="M7544" s="1" t="str">
        <f t="shared" si="13200"/>
        <v>0</v>
      </c>
      <c r="N7544" s="1" t="str">
        <f t="shared" si="13200"/>
        <v>0</v>
      </c>
      <c r="O7544" s="1" t="str">
        <f t="shared" si="13200"/>
        <v>0</v>
      </c>
      <c r="P7544" s="1" t="str">
        <f t="shared" si="13200"/>
        <v>0</v>
      </c>
      <c r="Q7544" s="1" t="str">
        <f t="shared" si="13144"/>
        <v>0.0070</v>
      </c>
      <c r="R7544" s="1" t="s">
        <v>25</v>
      </c>
      <c r="T7544" s="1" t="str">
        <f t="shared" si="13145"/>
        <v>0</v>
      </c>
      <c r="U7544" s="1" t="str">
        <f t="shared" si="13156"/>
        <v>0.0070</v>
      </c>
    </row>
    <row r="7545" s="1" customFormat="1" spans="1:21">
      <c r="A7545" s="1" t="str">
        <f>"4601992343675"</f>
        <v>4601992343675</v>
      </c>
      <c r="B7545" s="1" t="s">
        <v>7568</v>
      </c>
      <c r="C7545" s="1" t="s">
        <v>24</v>
      </c>
      <c r="D7545" s="1" t="str">
        <f t="shared" si="13142"/>
        <v>2021</v>
      </c>
      <c r="E7545" s="1" t="str">
        <f t="shared" ref="E7545:P7545" si="13201">"0"</f>
        <v>0</v>
      </c>
      <c r="F7545" s="1" t="str">
        <f t="shared" si="13201"/>
        <v>0</v>
      </c>
      <c r="G7545" s="1" t="str">
        <f t="shared" si="13201"/>
        <v>0</v>
      </c>
      <c r="H7545" s="1" t="str">
        <f t="shared" si="13201"/>
        <v>0</v>
      </c>
      <c r="I7545" s="1" t="str">
        <f t="shared" si="13201"/>
        <v>0</v>
      </c>
      <c r="J7545" s="1" t="str">
        <f t="shared" si="13201"/>
        <v>0</v>
      </c>
      <c r="K7545" s="1" t="str">
        <f t="shared" si="13201"/>
        <v>0</v>
      </c>
      <c r="L7545" s="1" t="str">
        <f t="shared" si="13201"/>
        <v>0</v>
      </c>
      <c r="M7545" s="1" t="str">
        <f t="shared" si="13201"/>
        <v>0</v>
      </c>
      <c r="N7545" s="1" t="str">
        <f t="shared" si="13201"/>
        <v>0</v>
      </c>
      <c r="O7545" s="1" t="str">
        <f t="shared" si="13201"/>
        <v>0</v>
      </c>
      <c r="P7545" s="1" t="str">
        <f t="shared" si="13201"/>
        <v>0</v>
      </c>
      <c r="Q7545" s="1" t="str">
        <f t="shared" si="13144"/>
        <v>0.0070</v>
      </c>
      <c r="R7545" s="1" t="s">
        <v>25</v>
      </c>
      <c r="T7545" s="1" t="str">
        <f t="shared" si="13145"/>
        <v>0</v>
      </c>
      <c r="U7545" s="1" t="str">
        <f t="shared" si="13156"/>
        <v>0.0070</v>
      </c>
    </row>
    <row r="7546" s="1" customFormat="1" spans="1:21">
      <c r="A7546" s="1" t="str">
        <f>"4601992343703"</f>
        <v>4601992343703</v>
      </c>
      <c r="B7546" s="1" t="s">
        <v>7569</v>
      </c>
      <c r="C7546" s="1" t="s">
        <v>24</v>
      </c>
      <c r="D7546" s="1" t="str">
        <f t="shared" si="13142"/>
        <v>2021</v>
      </c>
      <c r="E7546" s="1" t="str">
        <f t="shared" ref="E7546:P7546" si="13202">"0"</f>
        <v>0</v>
      </c>
      <c r="F7546" s="1" t="str">
        <f t="shared" si="13202"/>
        <v>0</v>
      </c>
      <c r="G7546" s="1" t="str">
        <f t="shared" si="13202"/>
        <v>0</v>
      </c>
      <c r="H7546" s="1" t="str">
        <f t="shared" si="13202"/>
        <v>0</v>
      </c>
      <c r="I7546" s="1" t="str">
        <f t="shared" si="13202"/>
        <v>0</v>
      </c>
      <c r="J7546" s="1" t="str">
        <f t="shared" si="13202"/>
        <v>0</v>
      </c>
      <c r="K7546" s="1" t="str">
        <f t="shared" si="13202"/>
        <v>0</v>
      </c>
      <c r="L7546" s="1" t="str">
        <f t="shared" si="13202"/>
        <v>0</v>
      </c>
      <c r="M7546" s="1" t="str">
        <f t="shared" si="13202"/>
        <v>0</v>
      </c>
      <c r="N7546" s="1" t="str">
        <f t="shared" si="13202"/>
        <v>0</v>
      </c>
      <c r="O7546" s="1" t="str">
        <f t="shared" si="13202"/>
        <v>0</v>
      </c>
      <c r="P7546" s="1" t="str">
        <f t="shared" si="13202"/>
        <v>0</v>
      </c>
      <c r="Q7546" s="1" t="str">
        <f t="shared" si="13144"/>
        <v>0.0070</v>
      </c>
      <c r="R7546" s="1" t="s">
        <v>25</v>
      </c>
      <c r="T7546" s="1" t="str">
        <f t="shared" si="13145"/>
        <v>0</v>
      </c>
      <c r="U7546" s="1" t="str">
        <f t="shared" si="13156"/>
        <v>0.0070</v>
      </c>
    </row>
    <row r="7547" s="1" customFormat="1" spans="1:21">
      <c r="A7547" s="1" t="str">
        <f>"4601992343734"</f>
        <v>4601992343734</v>
      </c>
      <c r="B7547" s="1" t="s">
        <v>7570</v>
      </c>
      <c r="C7547" s="1" t="s">
        <v>24</v>
      </c>
      <c r="D7547" s="1" t="str">
        <f t="shared" si="13142"/>
        <v>2021</v>
      </c>
      <c r="E7547" s="1" t="str">
        <f t="shared" ref="E7547:P7547" si="13203">"0"</f>
        <v>0</v>
      </c>
      <c r="F7547" s="1" t="str">
        <f t="shared" si="13203"/>
        <v>0</v>
      </c>
      <c r="G7547" s="1" t="str">
        <f t="shared" si="13203"/>
        <v>0</v>
      </c>
      <c r="H7547" s="1" t="str">
        <f t="shared" si="13203"/>
        <v>0</v>
      </c>
      <c r="I7547" s="1" t="str">
        <f t="shared" si="13203"/>
        <v>0</v>
      </c>
      <c r="J7547" s="1" t="str">
        <f t="shared" si="13203"/>
        <v>0</v>
      </c>
      <c r="K7547" s="1" t="str">
        <f t="shared" si="13203"/>
        <v>0</v>
      </c>
      <c r="L7547" s="1" t="str">
        <f t="shared" si="13203"/>
        <v>0</v>
      </c>
      <c r="M7547" s="1" t="str">
        <f t="shared" si="13203"/>
        <v>0</v>
      </c>
      <c r="N7547" s="1" t="str">
        <f t="shared" si="13203"/>
        <v>0</v>
      </c>
      <c r="O7547" s="1" t="str">
        <f t="shared" si="13203"/>
        <v>0</v>
      </c>
      <c r="P7547" s="1" t="str">
        <f t="shared" si="13203"/>
        <v>0</v>
      </c>
      <c r="Q7547" s="1" t="str">
        <f t="shared" si="13144"/>
        <v>0.0070</v>
      </c>
      <c r="R7547" s="1" t="s">
        <v>25</v>
      </c>
      <c r="T7547" s="1" t="str">
        <f t="shared" si="13145"/>
        <v>0</v>
      </c>
      <c r="U7547" s="1" t="str">
        <f t="shared" si="13156"/>
        <v>0.0070</v>
      </c>
    </row>
    <row r="7548" s="1" customFormat="1" spans="1:21">
      <c r="A7548" s="1" t="str">
        <f>"4601992343747"</f>
        <v>4601992343747</v>
      </c>
      <c r="B7548" s="1" t="s">
        <v>7571</v>
      </c>
      <c r="C7548" s="1" t="s">
        <v>24</v>
      </c>
      <c r="D7548" s="1" t="str">
        <f t="shared" si="13142"/>
        <v>2021</v>
      </c>
      <c r="E7548" s="1" t="str">
        <f t="shared" ref="E7548:P7548" si="13204">"0"</f>
        <v>0</v>
      </c>
      <c r="F7548" s="1" t="str">
        <f t="shared" si="13204"/>
        <v>0</v>
      </c>
      <c r="G7548" s="1" t="str">
        <f t="shared" si="13204"/>
        <v>0</v>
      </c>
      <c r="H7548" s="1" t="str">
        <f t="shared" si="13204"/>
        <v>0</v>
      </c>
      <c r="I7548" s="1" t="str">
        <f t="shared" si="13204"/>
        <v>0</v>
      </c>
      <c r="J7548" s="1" t="str">
        <f t="shared" si="13204"/>
        <v>0</v>
      </c>
      <c r="K7548" s="1" t="str">
        <f t="shared" si="13204"/>
        <v>0</v>
      </c>
      <c r="L7548" s="1" t="str">
        <f t="shared" si="13204"/>
        <v>0</v>
      </c>
      <c r="M7548" s="1" t="str">
        <f t="shared" si="13204"/>
        <v>0</v>
      </c>
      <c r="N7548" s="1" t="str">
        <f t="shared" si="13204"/>
        <v>0</v>
      </c>
      <c r="O7548" s="1" t="str">
        <f t="shared" si="13204"/>
        <v>0</v>
      </c>
      <c r="P7548" s="1" t="str">
        <f t="shared" si="13204"/>
        <v>0</v>
      </c>
      <c r="Q7548" s="1" t="str">
        <f t="shared" si="13144"/>
        <v>0.0070</v>
      </c>
      <c r="R7548" s="1" t="s">
        <v>25</v>
      </c>
      <c r="T7548" s="1" t="str">
        <f t="shared" si="13145"/>
        <v>0</v>
      </c>
      <c r="U7548" s="1" t="str">
        <f t="shared" si="13156"/>
        <v>0.0070</v>
      </c>
    </row>
    <row r="7549" s="1" customFormat="1" spans="1:21">
      <c r="A7549" s="1" t="str">
        <f>"4601992343753"</f>
        <v>4601992343753</v>
      </c>
      <c r="B7549" s="1" t="s">
        <v>7572</v>
      </c>
      <c r="C7549" s="1" t="s">
        <v>24</v>
      </c>
      <c r="D7549" s="1" t="str">
        <f t="shared" si="13142"/>
        <v>2021</v>
      </c>
      <c r="E7549" s="1" t="str">
        <f t="shared" ref="E7549:P7549" si="13205">"0"</f>
        <v>0</v>
      </c>
      <c r="F7549" s="1" t="str">
        <f t="shared" si="13205"/>
        <v>0</v>
      </c>
      <c r="G7549" s="1" t="str">
        <f t="shared" si="13205"/>
        <v>0</v>
      </c>
      <c r="H7549" s="1" t="str">
        <f t="shared" si="13205"/>
        <v>0</v>
      </c>
      <c r="I7549" s="1" t="str">
        <f t="shared" si="13205"/>
        <v>0</v>
      </c>
      <c r="J7549" s="1" t="str">
        <f t="shared" si="13205"/>
        <v>0</v>
      </c>
      <c r="K7549" s="1" t="str">
        <f t="shared" si="13205"/>
        <v>0</v>
      </c>
      <c r="L7549" s="1" t="str">
        <f t="shared" si="13205"/>
        <v>0</v>
      </c>
      <c r="M7549" s="1" t="str">
        <f t="shared" si="13205"/>
        <v>0</v>
      </c>
      <c r="N7549" s="1" t="str">
        <f t="shared" si="13205"/>
        <v>0</v>
      </c>
      <c r="O7549" s="1" t="str">
        <f t="shared" si="13205"/>
        <v>0</v>
      </c>
      <c r="P7549" s="1" t="str">
        <f t="shared" si="13205"/>
        <v>0</v>
      </c>
      <c r="Q7549" s="1" t="str">
        <f t="shared" si="13144"/>
        <v>0.0070</v>
      </c>
      <c r="R7549" s="1" t="s">
        <v>25</v>
      </c>
      <c r="T7549" s="1" t="str">
        <f t="shared" si="13145"/>
        <v>0</v>
      </c>
      <c r="U7549" s="1" t="str">
        <f t="shared" si="13156"/>
        <v>0.0070</v>
      </c>
    </row>
    <row r="7550" s="1" customFormat="1" spans="1:21">
      <c r="A7550" s="1" t="str">
        <f>"4601992343954"</f>
        <v>4601992343954</v>
      </c>
      <c r="B7550" s="1" t="s">
        <v>7573</v>
      </c>
      <c r="C7550" s="1" t="s">
        <v>24</v>
      </c>
      <c r="D7550" s="1" t="str">
        <f t="shared" si="13142"/>
        <v>2021</v>
      </c>
      <c r="E7550" s="1" t="str">
        <f t="shared" ref="E7550:P7550" si="13206">"0"</f>
        <v>0</v>
      </c>
      <c r="F7550" s="1" t="str">
        <f t="shared" si="13206"/>
        <v>0</v>
      </c>
      <c r="G7550" s="1" t="str">
        <f t="shared" si="13206"/>
        <v>0</v>
      </c>
      <c r="H7550" s="1" t="str">
        <f t="shared" si="13206"/>
        <v>0</v>
      </c>
      <c r="I7550" s="1" t="str">
        <f t="shared" si="13206"/>
        <v>0</v>
      </c>
      <c r="J7550" s="1" t="str">
        <f t="shared" si="13206"/>
        <v>0</v>
      </c>
      <c r="K7550" s="1" t="str">
        <f t="shared" si="13206"/>
        <v>0</v>
      </c>
      <c r="L7550" s="1" t="str">
        <f t="shared" si="13206"/>
        <v>0</v>
      </c>
      <c r="M7550" s="1" t="str">
        <f t="shared" si="13206"/>
        <v>0</v>
      </c>
      <c r="N7550" s="1" t="str">
        <f t="shared" si="13206"/>
        <v>0</v>
      </c>
      <c r="O7550" s="1" t="str">
        <f t="shared" si="13206"/>
        <v>0</v>
      </c>
      <c r="P7550" s="1" t="str">
        <f t="shared" si="13206"/>
        <v>0</v>
      </c>
      <c r="Q7550" s="1" t="str">
        <f t="shared" si="13144"/>
        <v>0.0070</v>
      </c>
      <c r="R7550" s="1" t="s">
        <v>25</v>
      </c>
      <c r="T7550" s="1" t="str">
        <f t="shared" si="13145"/>
        <v>0</v>
      </c>
      <c r="U7550" s="1" t="str">
        <f t="shared" si="13156"/>
        <v>0.0070</v>
      </c>
    </row>
    <row r="7551" s="1" customFormat="1" spans="1:21">
      <c r="A7551" s="1" t="str">
        <f>"4601992344169"</f>
        <v>4601992344169</v>
      </c>
      <c r="B7551" s="1" t="s">
        <v>7574</v>
      </c>
      <c r="C7551" s="1" t="s">
        <v>24</v>
      </c>
      <c r="D7551" s="1" t="str">
        <f t="shared" si="13142"/>
        <v>2021</v>
      </c>
      <c r="E7551" s="1" t="str">
        <f t="shared" ref="E7551:P7551" si="13207">"0"</f>
        <v>0</v>
      </c>
      <c r="F7551" s="1" t="str">
        <f t="shared" si="13207"/>
        <v>0</v>
      </c>
      <c r="G7551" s="1" t="str">
        <f t="shared" si="13207"/>
        <v>0</v>
      </c>
      <c r="H7551" s="1" t="str">
        <f t="shared" si="13207"/>
        <v>0</v>
      </c>
      <c r="I7551" s="1" t="str">
        <f t="shared" si="13207"/>
        <v>0</v>
      </c>
      <c r="J7551" s="1" t="str">
        <f t="shared" si="13207"/>
        <v>0</v>
      </c>
      <c r="K7551" s="1" t="str">
        <f t="shared" si="13207"/>
        <v>0</v>
      </c>
      <c r="L7551" s="1" t="str">
        <f t="shared" si="13207"/>
        <v>0</v>
      </c>
      <c r="M7551" s="1" t="str">
        <f t="shared" si="13207"/>
        <v>0</v>
      </c>
      <c r="N7551" s="1" t="str">
        <f t="shared" si="13207"/>
        <v>0</v>
      </c>
      <c r="O7551" s="1" t="str">
        <f t="shared" si="13207"/>
        <v>0</v>
      </c>
      <c r="P7551" s="1" t="str">
        <f t="shared" si="13207"/>
        <v>0</v>
      </c>
      <c r="Q7551" s="1" t="str">
        <f t="shared" si="13144"/>
        <v>0.0070</v>
      </c>
      <c r="R7551" s="1" t="s">
        <v>25</v>
      </c>
      <c r="T7551" s="1" t="str">
        <f t="shared" si="13145"/>
        <v>0</v>
      </c>
      <c r="U7551" s="1" t="str">
        <f t="shared" si="13156"/>
        <v>0.0070</v>
      </c>
    </row>
    <row r="7552" s="1" customFormat="1" spans="1:21">
      <c r="A7552" s="1" t="str">
        <f>"4601992344095"</f>
        <v>4601992344095</v>
      </c>
      <c r="B7552" s="1" t="s">
        <v>7575</v>
      </c>
      <c r="C7552" s="1" t="s">
        <v>24</v>
      </c>
      <c r="D7552" s="1" t="str">
        <f t="shared" si="13142"/>
        <v>2021</v>
      </c>
      <c r="E7552" s="1" t="str">
        <f t="shared" ref="E7552:P7552" si="13208">"0"</f>
        <v>0</v>
      </c>
      <c r="F7552" s="1" t="str">
        <f t="shared" si="13208"/>
        <v>0</v>
      </c>
      <c r="G7552" s="1" t="str">
        <f t="shared" si="13208"/>
        <v>0</v>
      </c>
      <c r="H7552" s="1" t="str">
        <f t="shared" si="13208"/>
        <v>0</v>
      </c>
      <c r="I7552" s="1" t="str">
        <f t="shared" si="13208"/>
        <v>0</v>
      </c>
      <c r="J7552" s="1" t="str">
        <f t="shared" si="13208"/>
        <v>0</v>
      </c>
      <c r="K7552" s="1" t="str">
        <f t="shared" si="13208"/>
        <v>0</v>
      </c>
      <c r="L7552" s="1" t="str">
        <f t="shared" si="13208"/>
        <v>0</v>
      </c>
      <c r="M7552" s="1" t="str">
        <f t="shared" si="13208"/>
        <v>0</v>
      </c>
      <c r="N7552" s="1" t="str">
        <f t="shared" si="13208"/>
        <v>0</v>
      </c>
      <c r="O7552" s="1" t="str">
        <f t="shared" si="13208"/>
        <v>0</v>
      </c>
      <c r="P7552" s="1" t="str">
        <f t="shared" si="13208"/>
        <v>0</v>
      </c>
      <c r="Q7552" s="1" t="str">
        <f t="shared" si="13144"/>
        <v>0.0070</v>
      </c>
      <c r="R7552" s="1" t="s">
        <v>25</v>
      </c>
      <c r="T7552" s="1" t="str">
        <f t="shared" si="13145"/>
        <v>0</v>
      </c>
      <c r="U7552" s="1" t="str">
        <f t="shared" si="13156"/>
        <v>0.0070</v>
      </c>
    </row>
    <row r="7553" s="1" customFormat="1" spans="1:21">
      <c r="A7553" s="1" t="str">
        <f>"4601992343963"</f>
        <v>4601992343963</v>
      </c>
      <c r="B7553" s="1" t="s">
        <v>7576</v>
      </c>
      <c r="C7553" s="1" t="s">
        <v>24</v>
      </c>
      <c r="D7553" s="1" t="str">
        <f t="shared" si="13142"/>
        <v>2021</v>
      </c>
      <c r="E7553" s="1" t="str">
        <f t="shared" ref="E7553:P7553" si="13209">"0"</f>
        <v>0</v>
      </c>
      <c r="F7553" s="1" t="str">
        <f t="shared" si="13209"/>
        <v>0</v>
      </c>
      <c r="G7553" s="1" t="str">
        <f t="shared" si="13209"/>
        <v>0</v>
      </c>
      <c r="H7553" s="1" t="str">
        <f t="shared" si="13209"/>
        <v>0</v>
      </c>
      <c r="I7553" s="1" t="str">
        <f t="shared" si="13209"/>
        <v>0</v>
      </c>
      <c r="J7553" s="1" t="str">
        <f t="shared" si="13209"/>
        <v>0</v>
      </c>
      <c r="K7553" s="1" t="str">
        <f t="shared" si="13209"/>
        <v>0</v>
      </c>
      <c r="L7553" s="1" t="str">
        <f t="shared" si="13209"/>
        <v>0</v>
      </c>
      <c r="M7553" s="1" t="str">
        <f t="shared" si="13209"/>
        <v>0</v>
      </c>
      <c r="N7553" s="1" t="str">
        <f t="shared" si="13209"/>
        <v>0</v>
      </c>
      <c r="O7553" s="1" t="str">
        <f t="shared" si="13209"/>
        <v>0</v>
      </c>
      <c r="P7553" s="1" t="str">
        <f t="shared" si="13209"/>
        <v>0</v>
      </c>
      <c r="Q7553" s="1" t="str">
        <f t="shared" si="13144"/>
        <v>0.0070</v>
      </c>
      <c r="R7553" s="1" t="s">
        <v>25</v>
      </c>
      <c r="T7553" s="1" t="str">
        <f t="shared" si="13145"/>
        <v>0</v>
      </c>
      <c r="U7553" s="1" t="str">
        <f t="shared" si="13156"/>
        <v>0.0070</v>
      </c>
    </row>
    <row r="7554" s="1" customFormat="1" spans="1:21">
      <c r="A7554" s="1" t="str">
        <f>"4601992344174"</f>
        <v>4601992344174</v>
      </c>
      <c r="B7554" s="1" t="s">
        <v>7577</v>
      </c>
      <c r="C7554" s="1" t="s">
        <v>24</v>
      </c>
      <c r="D7554" s="1" t="str">
        <f t="shared" si="13142"/>
        <v>2021</v>
      </c>
      <c r="E7554" s="1" t="str">
        <f t="shared" ref="E7554:P7554" si="13210">"0"</f>
        <v>0</v>
      </c>
      <c r="F7554" s="1" t="str">
        <f t="shared" si="13210"/>
        <v>0</v>
      </c>
      <c r="G7554" s="1" t="str">
        <f t="shared" si="13210"/>
        <v>0</v>
      </c>
      <c r="H7554" s="1" t="str">
        <f t="shared" si="13210"/>
        <v>0</v>
      </c>
      <c r="I7554" s="1" t="str">
        <f t="shared" si="13210"/>
        <v>0</v>
      </c>
      <c r="J7554" s="1" t="str">
        <f t="shared" si="13210"/>
        <v>0</v>
      </c>
      <c r="K7554" s="1" t="str">
        <f t="shared" si="13210"/>
        <v>0</v>
      </c>
      <c r="L7554" s="1" t="str">
        <f t="shared" si="13210"/>
        <v>0</v>
      </c>
      <c r="M7554" s="1" t="str">
        <f t="shared" si="13210"/>
        <v>0</v>
      </c>
      <c r="N7554" s="1" t="str">
        <f t="shared" si="13210"/>
        <v>0</v>
      </c>
      <c r="O7554" s="1" t="str">
        <f t="shared" si="13210"/>
        <v>0</v>
      </c>
      <c r="P7554" s="1" t="str">
        <f t="shared" si="13210"/>
        <v>0</v>
      </c>
      <c r="Q7554" s="1" t="str">
        <f t="shared" si="13144"/>
        <v>0.0070</v>
      </c>
      <c r="R7554" s="1" t="s">
        <v>25</v>
      </c>
      <c r="T7554" s="1" t="str">
        <f t="shared" si="13145"/>
        <v>0</v>
      </c>
      <c r="U7554" s="1" t="str">
        <f t="shared" si="13156"/>
        <v>0.0070</v>
      </c>
    </row>
    <row r="7555" s="1" customFormat="1" spans="1:21">
      <c r="A7555" s="1" t="str">
        <f>"4601992344235"</f>
        <v>4601992344235</v>
      </c>
      <c r="B7555" s="1" t="s">
        <v>7578</v>
      </c>
      <c r="C7555" s="1" t="s">
        <v>24</v>
      </c>
      <c r="D7555" s="1" t="str">
        <f t="shared" ref="D7555:D7618" si="13211">"2021"</f>
        <v>2021</v>
      </c>
      <c r="E7555" s="1" t="str">
        <f t="shared" ref="E7555:P7555" si="13212">"0"</f>
        <v>0</v>
      </c>
      <c r="F7555" s="1" t="str">
        <f t="shared" si="13212"/>
        <v>0</v>
      </c>
      <c r="G7555" s="1" t="str">
        <f t="shared" si="13212"/>
        <v>0</v>
      </c>
      <c r="H7555" s="1" t="str">
        <f t="shared" si="13212"/>
        <v>0</v>
      </c>
      <c r="I7555" s="1" t="str">
        <f t="shared" si="13212"/>
        <v>0</v>
      </c>
      <c r="J7555" s="1" t="str">
        <f t="shared" si="13212"/>
        <v>0</v>
      </c>
      <c r="K7555" s="1" t="str">
        <f t="shared" si="13212"/>
        <v>0</v>
      </c>
      <c r="L7555" s="1" t="str">
        <f t="shared" si="13212"/>
        <v>0</v>
      </c>
      <c r="M7555" s="1" t="str">
        <f t="shared" si="13212"/>
        <v>0</v>
      </c>
      <c r="N7555" s="1" t="str">
        <f t="shared" si="13212"/>
        <v>0</v>
      </c>
      <c r="O7555" s="1" t="str">
        <f t="shared" si="13212"/>
        <v>0</v>
      </c>
      <c r="P7555" s="1" t="str">
        <f t="shared" si="13212"/>
        <v>0</v>
      </c>
      <c r="Q7555" s="1" t="str">
        <f t="shared" ref="Q7555:Q7618" si="13213">"0.0070"</f>
        <v>0.0070</v>
      </c>
      <c r="R7555" s="1" t="s">
        <v>25</v>
      </c>
      <c r="T7555" s="1" t="str">
        <f t="shared" ref="T7555:T7618" si="13214">"0"</f>
        <v>0</v>
      </c>
      <c r="U7555" s="1" t="str">
        <f t="shared" si="13156"/>
        <v>0.0070</v>
      </c>
    </row>
    <row r="7556" s="1" customFormat="1" spans="1:21">
      <c r="A7556" s="1" t="str">
        <f>"4601992344318"</f>
        <v>4601992344318</v>
      </c>
      <c r="B7556" s="1" t="s">
        <v>7579</v>
      </c>
      <c r="C7556" s="1" t="s">
        <v>24</v>
      </c>
      <c r="D7556" s="1" t="str">
        <f t="shared" si="13211"/>
        <v>2021</v>
      </c>
      <c r="E7556" s="1" t="str">
        <f t="shared" ref="E7556:P7556" si="13215">"0"</f>
        <v>0</v>
      </c>
      <c r="F7556" s="1" t="str">
        <f t="shared" si="13215"/>
        <v>0</v>
      </c>
      <c r="G7556" s="1" t="str">
        <f t="shared" si="13215"/>
        <v>0</v>
      </c>
      <c r="H7556" s="1" t="str">
        <f t="shared" si="13215"/>
        <v>0</v>
      </c>
      <c r="I7556" s="1" t="str">
        <f t="shared" si="13215"/>
        <v>0</v>
      </c>
      <c r="J7556" s="1" t="str">
        <f t="shared" si="13215"/>
        <v>0</v>
      </c>
      <c r="K7556" s="1" t="str">
        <f t="shared" si="13215"/>
        <v>0</v>
      </c>
      <c r="L7556" s="1" t="str">
        <f t="shared" si="13215"/>
        <v>0</v>
      </c>
      <c r="M7556" s="1" t="str">
        <f t="shared" si="13215"/>
        <v>0</v>
      </c>
      <c r="N7556" s="1" t="str">
        <f t="shared" si="13215"/>
        <v>0</v>
      </c>
      <c r="O7556" s="1" t="str">
        <f t="shared" si="13215"/>
        <v>0</v>
      </c>
      <c r="P7556" s="1" t="str">
        <f t="shared" si="13215"/>
        <v>0</v>
      </c>
      <c r="Q7556" s="1" t="str">
        <f t="shared" si="13213"/>
        <v>0.0070</v>
      </c>
      <c r="R7556" s="1" t="s">
        <v>25</v>
      </c>
      <c r="T7556" s="1" t="str">
        <f t="shared" si="13214"/>
        <v>0</v>
      </c>
      <c r="U7556" s="1" t="str">
        <f t="shared" si="13156"/>
        <v>0.0070</v>
      </c>
    </row>
    <row r="7557" s="1" customFormat="1" spans="1:21">
      <c r="A7557" s="1" t="str">
        <f>"4601992344303"</f>
        <v>4601992344303</v>
      </c>
      <c r="B7557" s="1" t="s">
        <v>7580</v>
      </c>
      <c r="C7557" s="1" t="s">
        <v>24</v>
      </c>
      <c r="D7557" s="1" t="str">
        <f t="shared" si="13211"/>
        <v>2021</v>
      </c>
      <c r="E7557" s="1" t="str">
        <f t="shared" ref="E7557:P7557" si="13216">"0"</f>
        <v>0</v>
      </c>
      <c r="F7557" s="1" t="str">
        <f t="shared" si="13216"/>
        <v>0</v>
      </c>
      <c r="G7557" s="1" t="str">
        <f t="shared" si="13216"/>
        <v>0</v>
      </c>
      <c r="H7557" s="1" t="str">
        <f t="shared" si="13216"/>
        <v>0</v>
      </c>
      <c r="I7557" s="1" t="str">
        <f t="shared" si="13216"/>
        <v>0</v>
      </c>
      <c r="J7557" s="1" t="str">
        <f t="shared" si="13216"/>
        <v>0</v>
      </c>
      <c r="K7557" s="1" t="str">
        <f t="shared" si="13216"/>
        <v>0</v>
      </c>
      <c r="L7557" s="1" t="str">
        <f t="shared" si="13216"/>
        <v>0</v>
      </c>
      <c r="M7557" s="1" t="str">
        <f t="shared" si="13216"/>
        <v>0</v>
      </c>
      <c r="N7557" s="1" t="str">
        <f t="shared" si="13216"/>
        <v>0</v>
      </c>
      <c r="O7557" s="1" t="str">
        <f t="shared" si="13216"/>
        <v>0</v>
      </c>
      <c r="P7557" s="1" t="str">
        <f t="shared" si="13216"/>
        <v>0</v>
      </c>
      <c r="Q7557" s="1" t="str">
        <f t="shared" si="13213"/>
        <v>0.0070</v>
      </c>
      <c r="R7557" s="1" t="s">
        <v>25</v>
      </c>
      <c r="T7557" s="1" t="str">
        <f t="shared" si="13214"/>
        <v>0</v>
      </c>
      <c r="U7557" s="1" t="str">
        <f t="shared" si="13156"/>
        <v>0.0070</v>
      </c>
    </row>
    <row r="7558" s="1" customFormat="1" spans="1:21">
      <c r="A7558" s="1" t="str">
        <f>"4601992344337"</f>
        <v>4601992344337</v>
      </c>
      <c r="B7558" s="1" t="s">
        <v>7581</v>
      </c>
      <c r="C7558" s="1" t="s">
        <v>24</v>
      </c>
      <c r="D7558" s="1" t="str">
        <f t="shared" si="13211"/>
        <v>2021</v>
      </c>
      <c r="E7558" s="1" t="str">
        <f t="shared" ref="E7558:P7558" si="13217">"0"</f>
        <v>0</v>
      </c>
      <c r="F7558" s="1" t="str">
        <f t="shared" si="13217"/>
        <v>0</v>
      </c>
      <c r="G7558" s="1" t="str">
        <f t="shared" si="13217"/>
        <v>0</v>
      </c>
      <c r="H7558" s="1" t="str">
        <f t="shared" si="13217"/>
        <v>0</v>
      </c>
      <c r="I7558" s="1" t="str">
        <f t="shared" si="13217"/>
        <v>0</v>
      </c>
      <c r="J7558" s="1" t="str">
        <f t="shared" si="13217"/>
        <v>0</v>
      </c>
      <c r="K7558" s="1" t="str">
        <f t="shared" si="13217"/>
        <v>0</v>
      </c>
      <c r="L7558" s="1" t="str">
        <f t="shared" si="13217"/>
        <v>0</v>
      </c>
      <c r="M7558" s="1" t="str">
        <f t="shared" si="13217"/>
        <v>0</v>
      </c>
      <c r="N7558" s="1" t="str">
        <f t="shared" si="13217"/>
        <v>0</v>
      </c>
      <c r="O7558" s="1" t="str">
        <f t="shared" si="13217"/>
        <v>0</v>
      </c>
      <c r="P7558" s="1" t="str">
        <f t="shared" si="13217"/>
        <v>0</v>
      </c>
      <c r="Q7558" s="1" t="str">
        <f t="shared" si="13213"/>
        <v>0.0070</v>
      </c>
      <c r="R7558" s="1" t="s">
        <v>25</v>
      </c>
      <c r="T7558" s="1" t="str">
        <f t="shared" si="13214"/>
        <v>0</v>
      </c>
      <c r="U7558" s="1" t="str">
        <f t="shared" si="13156"/>
        <v>0.0070</v>
      </c>
    </row>
    <row r="7559" s="1" customFormat="1" spans="1:21">
      <c r="A7559" s="1" t="str">
        <f>"4601992344511"</f>
        <v>4601992344511</v>
      </c>
      <c r="B7559" s="1" t="s">
        <v>7582</v>
      </c>
      <c r="C7559" s="1" t="s">
        <v>24</v>
      </c>
      <c r="D7559" s="1" t="str">
        <f t="shared" si="13211"/>
        <v>2021</v>
      </c>
      <c r="E7559" s="1" t="str">
        <f t="shared" ref="E7559:P7559" si="13218">"0"</f>
        <v>0</v>
      </c>
      <c r="F7559" s="1" t="str">
        <f t="shared" si="13218"/>
        <v>0</v>
      </c>
      <c r="G7559" s="1" t="str">
        <f t="shared" si="13218"/>
        <v>0</v>
      </c>
      <c r="H7559" s="1" t="str">
        <f t="shared" si="13218"/>
        <v>0</v>
      </c>
      <c r="I7559" s="1" t="str">
        <f t="shared" si="13218"/>
        <v>0</v>
      </c>
      <c r="J7559" s="1" t="str">
        <f t="shared" si="13218"/>
        <v>0</v>
      </c>
      <c r="K7559" s="1" t="str">
        <f t="shared" si="13218"/>
        <v>0</v>
      </c>
      <c r="L7559" s="1" t="str">
        <f t="shared" si="13218"/>
        <v>0</v>
      </c>
      <c r="M7559" s="1" t="str">
        <f t="shared" si="13218"/>
        <v>0</v>
      </c>
      <c r="N7559" s="1" t="str">
        <f t="shared" si="13218"/>
        <v>0</v>
      </c>
      <c r="O7559" s="1" t="str">
        <f t="shared" si="13218"/>
        <v>0</v>
      </c>
      <c r="P7559" s="1" t="str">
        <f t="shared" si="13218"/>
        <v>0</v>
      </c>
      <c r="Q7559" s="1" t="str">
        <f t="shared" si="13213"/>
        <v>0.0070</v>
      </c>
      <c r="R7559" s="1" t="s">
        <v>25</v>
      </c>
      <c r="T7559" s="1" t="str">
        <f t="shared" si="13214"/>
        <v>0</v>
      </c>
      <c r="U7559" s="1" t="str">
        <f t="shared" si="13156"/>
        <v>0.0070</v>
      </c>
    </row>
    <row r="7560" s="1" customFormat="1" spans="1:21">
      <c r="A7560" s="1" t="str">
        <f>"4601992344488"</f>
        <v>4601992344488</v>
      </c>
      <c r="B7560" s="1" t="s">
        <v>7583</v>
      </c>
      <c r="C7560" s="1" t="s">
        <v>24</v>
      </c>
      <c r="D7560" s="1" t="str">
        <f t="shared" si="13211"/>
        <v>2021</v>
      </c>
      <c r="E7560" s="1" t="str">
        <f t="shared" ref="E7560:P7560" si="13219">"0"</f>
        <v>0</v>
      </c>
      <c r="F7560" s="1" t="str">
        <f t="shared" si="13219"/>
        <v>0</v>
      </c>
      <c r="G7560" s="1" t="str">
        <f t="shared" si="13219"/>
        <v>0</v>
      </c>
      <c r="H7560" s="1" t="str">
        <f t="shared" si="13219"/>
        <v>0</v>
      </c>
      <c r="I7560" s="1" t="str">
        <f t="shared" si="13219"/>
        <v>0</v>
      </c>
      <c r="J7560" s="1" t="str">
        <f t="shared" si="13219"/>
        <v>0</v>
      </c>
      <c r="K7560" s="1" t="str">
        <f t="shared" si="13219"/>
        <v>0</v>
      </c>
      <c r="L7560" s="1" t="str">
        <f t="shared" si="13219"/>
        <v>0</v>
      </c>
      <c r="M7560" s="1" t="str">
        <f t="shared" si="13219"/>
        <v>0</v>
      </c>
      <c r="N7560" s="1" t="str">
        <f t="shared" si="13219"/>
        <v>0</v>
      </c>
      <c r="O7560" s="1" t="str">
        <f t="shared" si="13219"/>
        <v>0</v>
      </c>
      <c r="P7560" s="1" t="str">
        <f t="shared" si="13219"/>
        <v>0</v>
      </c>
      <c r="Q7560" s="1" t="str">
        <f t="shared" si="13213"/>
        <v>0.0070</v>
      </c>
      <c r="R7560" s="1" t="s">
        <v>25</v>
      </c>
      <c r="T7560" s="1" t="str">
        <f t="shared" si="13214"/>
        <v>0</v>
      </c>
      <c r="U7560" s="1" t="str">
        <f t="shared" si="13156"/>
        <v>0.0070</v>
      </c>
    </row>
    <row r="7561" s="1" customFormat="1" spans="1:21">
      <c r="A7561" s="1" t="str">
        <f>"4601992344475"</f>
        <v>4601992344475</v>
      </c>
      <c r="B7561" s="1" t="s">
        <v>7584</v>
      </c>
      <c r="C7561" s="1" t="s">
        <v>24</v>
      </c>
      <c r="D7561" s="1" t="str">
        <f t="shared" si="13211"/>
        <v>2021</v>
      </c>
      <c r="E7561" s="1" t="str">
        <f t="shared" ref="E7561:P7561" si="13220">"0"</f>
        <v>0</v>
      </c>
      <c r="F7561" s="1" t="str">
        <f t="shared" si="13220"/>
        <v>0</v>
      </c>
      <c r="G7561" s="1" t="str">
        <f t="shared" si="13220"/>
        <v>0</v>
      </c>
      <c r="H7561" s="1" t="str">
        <f t="shared" si="13220"/>
        <v>0</v>
      </c>
      <c r="I7561" s="1" t="str">
        <f t="shared" si="13220"/>
        <v>0</v>
      </c>
      <c r="J7561" s="1" t="str">
        <f t="shared" si="13220"/>
        <v>0</v>
      </c>
      <c r="K7561" s="1" t="str">
        <f t="shared" si="13220"/>
        <v>0</v>
      </c>
      <c r="L7561" s="1" t="str">
        <f t="shared" si="13220"/>
        <v>0</v>
      </c>
      <c r="M7561" s="1" t="str">
        <f t="shared" si="13220"/>
        <v>0</v>
      </c>
      <c r="N7561" s="1" t="str">
        <f t="shared" si="13220"/>
        <v>0</v>
      </c>
      <c r="O7561" s="1" t="str">
        <f t="shared" si="13220"/>
        <v>0</v>
      </c>
      <c r="P7561" s="1" t="str">
        <f t="shared" si="13220"/>
        <v>0</v>
      </c>
      <c r="Q7561" s="1" t="str">
        <f t="shared" si="13213"/>
        <v>0.0070</v>
      </c>
      <c r="R7561" s="1" t="s">
        <v>25</v>
      </c>
      <c r="T7561" s="1" t="str">
        <f t="shared" si="13214"/>
        <v>0</v>
      </c>
      <c r="U7561" s="1" t="str">
        <f t="shared" si="13156"/>
        <v>0.0070</v>
      </c>
    </row>
    <row r="7562" s="1" customFormat="1" spans="1:21">
      <c r="A7562" s="1" t="str">
        <f>"4601992344563"</f>
        <v>4601992344563</v>
      </c>
      <c r="B7562" s="1" t="s">
        <v>7585</v>
      </c>
      <c r="C7562" s="1" t="s">
        <v>24</v>
      </c>
      <c r="D7562" s="1" t="str">
        <f t="shared" si="13211"/>
        <v>2021</v>
      </c>
      <c r="E7562" s="1" t="str">
        <f t="shared" ref="E7562:P7562" si="13221">"0"</f>
        <v>0</v>
      </c>
      <c r="F7562" s="1" t="str">
        <f t="shared" si="13221"/>
        <v>0</v>
      </c>
      <c r="G7562" s="1" t="str">
        <f t="shared" si="13221"/>
        <v>0</v>
      </c>
      <c r="H7562" s="1" t="str">
        <f t="shared" si="13221"/>
        <v>0</v>
      </c>
      <c r="I7562" s="1" t="str">
        <f t="shared" si="13221"/>
        <v>0</v>
      </c>
      <c r="J7562" s="1" t="str">
        <f t="shared" si="13221"/>
        <v>0</v>
      </c>
      <c r="K7562" s="1" t="str">
        <f t="shared" si="13221"/>
        <v>0</v>
      </c>
      <c r="L7562" s="1" t="str">
        <f t="shared" si="13221"/>
        <v>0</v>
      </c>
      <c r="M7562" s="1" t="str">
        <f t="shared" si="13221"/>
        <v>0</v>
      </c>
      <c r="N7562" s="1" t="str">
        <f t="shared" si="13221"/>
        <v>0</v>
      </c>
      <c r="O7562" s="1" t="str">
        <f t="shared" si="13221"/>
        <v>0</v>
      </c>
      <c r="P7562" s="1" t="str">
        <f t="shared" si="13221"/>
        <v>0</v>
      </c>
      <c r="Q7562" s="1" t="str">
        <f t="shared" si="13213"/>
        <v>0.0070</v>
      </c>
      <c r="R7562" s="1" t="s">
        <v>25</v>
      </c>
      <c r="T7562" s="1" t="str">
        <f t="shared" si="13214"/>
        <v>0</v>
      </c>
      <c r="U7562" s="1" t="str">
        <f t="shared" si="13156"/>
        <v>0.0070</v>
      </c>
    </row>
    <row r="7563" s="1" customFormat="1" spans="1:21">
      <c r="A7563" s="1" t="str">
        <f>"4601992344660"</f>
        <v>4601992344660</v>
      </c>
      <c r="B7563" s="1" t="s">
        <v>7586</v>
      </c>
      <c r="C7563" s="1" t="s">
        <v>24</v>
      </c>
      <c r="D7563" s="1" t="str">
        <f t="shared" si="13211"/>
        <v>2021</v>
      </c>
      <c r="E7563" s="1" t="str">
        <f t="shared" ref="E7563:P7563" si="13222">"0"</f>
        <v>0</v>
      </c>
      <c r="F7563" s="1" t="str">
        <f t="shared" si="13222"/>
        <v>0</v>
      </c>
      <c r="G7563" s="1" t="str">
        <f t="shared" si="13222"/>
        <v>0</v>
      </c>
      <c r="H7563" s="1" t="str">
        <f t="shared" si="13222"/>
        <v>0</v>
      </c>
      <c r="I7563" s="1" t="str">
        <f t="shared" si="13222"/>
        <v>0</v>
      </c>
      <c r="J7563" s="1" t="str">
        <f t="shared" si="13222"/>
        <v>0</v>
      </c>
      <c r="K7563" s="1" t="str">
        <f t="shared" si="13222"/>
        <v>0</v>
      </c>
      <c r="L7563" s="1" t="str">
        <f t="shared" si="13222"/>
        <v>0</v>
      </c>
      <c r="M7563" s="1" t="str">
        <f t="shared" si="13222"/>
        <v>0</v>
      </c>
      <c r="N7563" s="1" t="str">
        <f t="shared" si="13222"/>
        <v>0</v>
      </c>
      <c r="O7563" s="1" t="str">
        <f t="shared" si="13222"/>
        <v>0</v>
      </c>
      <c r="P7563" s="1" t="str">
        <f t="shared" si="13222"/>
        <v>0</v>
      </c>
      <c r="Q7563" s="1" t="str">
        <f t="shared" si="13213"/>
        <v>0.0070</v>
      </c>
      <c r="R7563" s="1" t="s">
        <v>25</v>
      </c>
      <c r="T7563" s="1" t="str">
        <f t="shared" si="13214"/>
        <v>0</v>
      </c>
      <c r="U7563" s="1" t="str">
        <f t="shared" si="13156"/>
        <v>0.0070</v>
      </c>
    </row>
    <row r="7564" s="1" customFormat="1" spans="1:21">
      <c r="A7564" s="1" t="str">
        <f>"4601992344611"</f>
        <v>4601992344611</v>
      </c>
      <c r="B7564" s="1" t="s">
        <v>7587</v>
      </c>
      <c r="C7564" s="1" t="s">
        <v>24</v>
      </c>
      <c r="D7564" s="1" t="str">
        <f t="shared" si="13211"/>
        <v>2021</v>
      </c>
      <c r="E7564" s="1" t="str">
        <f t="shared" ref="E7564:P7564" si="13223">"0"</f>
        <v>0</v>
      </c>
      <c r="F7564" s="1" t="str">
        <f t="shared" si="13223"/>
        <v>0</v>
      </c>
      <c r="G7564" s="1" t="str">
        <f t="shared" si="13223"/>
        <v>0</v>
      </c>
      <c r="H7564" s="1" t="str">
        <f t="shared" si="13223"/>
        <v>0</v>
      </c>
      <c r="I7564" s="1" t="str">
        <f t="shared" si="13223"/>
        <v>0</v>
      </c>
      <c r="J7564" s="1" t="str">
        <f t="shared" si="13223"/>
        <v>0</v>
      </c>
      <c r="K7564" s="1" t="str">
        <f t="shared" si="13223"/>
        <v>0</v>
      </c>
      <c r="L7564" s="1" t="str">
        <f t="shared" si="13223"/>
        <v>0</v>
      </c>
      <c r="M7564" s="1" t="str">
        <f t="shared" si="13223"/>
        <v>0</v>
      </c>
      <c r="N7564" s="1" t="str">
        <f t="shared" si="13223"/>
        <v>0</v>
      </c>
      <c r="O7564" s="1" t="str">
        <f t="shared" si="13223"/>
        <v>0</v>
      </c>
      <c r="P7564" s="1" t="str">
        <f t="shared" si="13223"/>
        <v>0</v>
      </c>
      <c r="Q7564" s="1" t="str">
        <f t="shared" si="13213"/>
        <v>0.0070</v>
      </c>
      <c r="R7564" s="1" t="s">
        <v>25</v>
      </c>
      <c r="T7564" s="1" t="str">
        <f t="shared" si="13214"/>
        <v>0</v>
      </c>
      <c r="U7564" s="1" t="str">
        <f t="shared" ref="U7564:U7627" si="13224">"0.0070"</f>
        <v>0.0070</v>
      </c>
    </row>
    <row r="7565" s="1" customFormat="1" spans="1:21">
      <c r="A7565" s="1" t="str">
        <f>"4601992344678"</f>
        <v>4601992344678</v>
      </c>
      <c r="B7565" s="1" t="s">
        <v>7588</v>
      </c>
      <c r="C7565" s="1" t="s">
        <v>24</v>
      </c>
      <c r="D7565" s="1" t="str">
        <f t="shared" si="13211"/>
        <v>2021</v>
      </c>
      <c r="E7565" s="1" t="str">
        <f t="shared" ref="E7565:P7565" si="13225">"0"</f>
        <v>0</v>
      </c>
      <c r="F7565" s="1" t="str">
        <f t="shared" si="13225"/>
        <v>0</v>
      </c>
      <c r="G7565" s="1" t="str">
        <f t="shared" si="13225"/>
        <v>0</v>
      </c>
      <c r="H7565" s="1" t="str">
        <f t="shared" si="13225"/>
        <v>0</v>
      </c>
      <c r="I7565" s="1" t="str">
        <f t="shared" si="13225"/>
        <v>0</v>
      </c>
      <c r="J7565" s="1" t="str">
        <f t="shared" si="13225"/>
        <v>0</v>
      </c>
      <c r="K7565" s="1" t="str">
        <f t="shared" si="13225"/>
        <v>0</v>
      </c>
      <c r="L7565" s="1" t="str">
        <f t="shared" si="13225"/>
        <v>0</v>
      </c>
      <c r="M7565" s="1" t="str">
        <f t="shared" si="13225"/>
        <v>0</v>
      </c>
      <c r="N7565" s="1" t="str">
        <f t="shared" si="13225"/>
        <v>0</v>
      </c>
      <c r="O7565" s="1" t="str">
        <f t="shared" si="13225"/>
        <v>0</v>
      </c>
      <c r="P7565" s="1" t="str">
        <f t="shared" si="13225"/>
        <v>0</v>
      </c>
      <c r="Q7565" s="1" t="str">
        <f t="shared" si="13213"/>
        <v>0.0070</v>
      </c>
      <c r="R7565" s="1" t="s">
        <v>25</v>
      </c>
      <c r="T7565" s="1" t="str">
        <f t="shared" si="13214"/>
        <v>0</v>
      </c>
      <c r="U7565" s="1" t="str">
        <f t="shared" si="13224"/>
        <v>0.0070</v>
      </c>
    </row>
    <row r="7566" s="1" customFormat="1" spans="1:21">
      <c r="A7566" s="1" t="str">
        <f>"4601992344694"</f>
        <v>4601992344694</v>
      </c>
      <c r="B7566" s="1" t="s">
        <v>7589</v>
      </c>
      <c r="C7566" s="1" t="s">
        <v>24</v>
      </c>
      <c r="D7566" s="1" t="str">
        <f t="shared" si="13211"/>
        <v>2021</v>
      </c>
      <c r="E7566" s="1" t="str">
        <f t="shared" ref="E7566:P7566" si="13226">"0"</f>
        <v>0</v>
      </c>
      <c r="F7566" s="1" t="str">
        <f t="shared" si="13226"/>
        <v>0</v>
      </c>
      <c r="G7566" s="1" t="str">
        <f t="shared" si="13226"/>
        <v>0</v>
      </c>
      <c r="H7566" s="1" t="str">
        <f t="shared" si="13226"/>
        <v>0</v>
      </c>
      <c r="I7566" s="1" t="str">
        <f t="shared" si="13226"/>
        <v>0</v>
      </c>
      <c r="J7566" s="1" t="str">
        <f t="shared" si="13226"/>
        <v>0</v>
      </c>
      <c r="K7566" s="1" t="str">
        <f t="shared" si="13226"/>
        <v>0</v>
      </c>
      <c r="L7566" s="1" t="str">
        <f t="shared" si="13226"/>
        <v>0</v>
      </c>
      <c r="M7566" s="1" t="str">
        <f t="shared" si="13226"/>
        <v>0</v>
      </c>
      <c r="N7566" s="1" t="str">
        <f t="shared" si="13226"/>
        <v>0</v>
      </c>
      <c r="O7566" s="1" t="str">
        <f t="shared" si="13226"/>
        <v>0</v>
      </c>
      <c r="P7566" s="1" t="str">
        <f t="shared" si="13226"/>
        <v>0</v>
      </c>
      <c r="Q7566" s="1" t="str">
        <f t="shared" si="13213"/>
        <v>0.0070</v>
      </c>
      <c r="R7566" s="1" t="s">
        <v>25</v>
      </c>
      <c r="T7566" s="1" t="str">
        <f t="shared" si="13214"/>
        <v>0</v>
      </c>
      <c r="U7566" s="1" t="str">
        <f t="shared" si="13224"/>
        <v>0.0070</v>
      </c>
    </row>
    <row r="7567" s="1" customFormat="1" spans="1:21">
      <c r="A7567" s="1" t="str">
        <f>"4601992344711"</f>
        <v>4601992344711</v>
      </c>
      <c r="B7567" s="1" t="s">
        <v>7590</v>
      </c>
      <c r="C7567" s="1" t="s">
        <v>24</v>
      </c>
      <c r="D7567" s="1" t="str">
        <f t="shared" si="13211"/>
        <v>2021</v>
      </c>
      <c r="E7567" s="1" t="str">
        <f t="shared" ref="E7567:P7567" si="13227">"0"</f>
        <v>0</v>
      </c>
      <c r="F7567" s="1" t="str">
        <f t="shared" si="13227"/>
        <v>0</v>
      </c>
      <c r="G7567" s="1" t="str">
        <f t="shared" si="13227"/>
        <v>0</v>
      </c>
      <c r="H7567" s="1" t="str">
        <f t="shared" si="13227"/>
        <v>0</v>
      </c>
      <c r="I7567" s="1" t="str">
        <f t="shared" si="13227"/>
        <v>0</v>
      </c>
      <c r="J7567" s="1" t="str">
        <f t="shared" si="13227"/>
        <v>0</v>
      </c>
      <c r="K7567" s="1" t="str">
        <f t="shared" si="13227"/>
        <v>0</v>
      </c>
      <c r="L7567" s="1" t="str">
        <f t="shared" si="13227"/>
        <v>0</v>
      </c>
      <c r="M7567" s="1" t="str">
        <f t="shared" si="13227"/>
        <v>0</v>
      </c>
      <c r="N7567" s="1" t="str">
        <f t="shared" si="13227"/>
        <v>0</v>
      </c>
      <c r="O7567" s="1" t="str">
        <f t="shared" si="13227"/>
        <v>0</v>
      </c>
      <c r="P7567" s="1" t="str">
        <f t="shared" si="13227"/>
        <v>0</v>
      </c>
      <c r="Q7567" s="1" t="str">
        <f t="shared" si="13213"/>
        <v>0.0070</v>
      </c>
      <c r="R7567" s="1" t="s">
        <v>25</v>
      </c>
      <c r="T7567" s="1" t="str">
        <f t="shared" si="13214"/>
        <v>0</v>
      </c>
      <c r="U7567" s="1" t="str">
        <f t="shared" si="13224"/>
        <v>0.0070</v>
      </c>
    </row>
    <row r="7568" s="1" customFormat="1" spans="1:21">
      <c r="A7568" s="1" t="str">
        <f>"4601992344768"</f>
        <v>4601992344768</v>
      </c>
      <c r="B7568" s="1" t="s">
        <v>7591</v>
      </c>
      <c r="C7568" s="1" t="s">
        <v>24</v>
      </c>
      <c r="D7568" s="1" t="str">
        <f t="shared" si="13211"/>
        <v>2021</v>
      </c>
      <c r="E7568" s="1" t="str">
        <f t="shared" ref="E7568:P7568" si="13228">"0"</f>
        <v>0</v>
      </c>
      <c r="F7568" s="1" t="str">
        <f t="shared" si="13228"/>
        <v>0</v>
      </c>
      <c r="G7568" s="1" t="str">
        <f t="shared" si="13228"/>
        <v>0</v>
      </c>
      <c r="H7568" s="1" t="str">
        <f t="shared" si="13228"/>
        <v>0</v>
      </c>
      <c r="I7568" s="1" t="str">
        <f t="shared" si="13228"/>
        <v>0</v>
      </c>
      <c r="J7568" s="1" t="str">
        <f t="shared" si="13228"/>
        <v>0</v>
      </c>
      <c r="K7568" s="1" t="str">
        <f t="shared" si="13228"/>
        <v>0</v>
      </c>
      <c r="L7568" s="1" t="str">
        <f t="shared" si="13228"/>
        <v>0</v>
      </c>
      <c r="M7568" s="1" t="str">
        <f t="shared" si="13228"/>
        <v>0</v>
      </c>
      <c r="N7568" s="1" t="str">
        <f t="shared" si="13228"/>
        <v>0</v>
      </c>
      <c r="O7568" s="1" t="str">
        <f t="shared" si="13228"/>
        <v>0</v>
      </c>
      <c r="P7568" s="1" t="str">
        <f t="shared" si="13228"/>
        <v>0</v>
      </c>
      <c r="Q7568" s="1" t="str">
        <f t="shared" si="13213"/>
        <v>0.0070</v>
      </c>
      <c r="R7568" s="1" t="s">
        <v>25</v>
      </c>
      <c r="T7568" s="1" t="str">
        <f t="shared" si="13214"/>
        <v>0</v>
      </c>
      <c r="U7568" s="1" t="str">
        <f t="shared" si="13224"/>
        <v>0.0070</v>
      </c>
    </row>
    <row r="7569" s="1" customFormat="1" spans="1:21">
      <c r="A7569" s="1" t="str">
        <f>"4601992344699"</f>
        <v>4601992344699</v>
      </c>
      <c r="B7569" s="1" t="s">
        <v>7592</v>
      </c>
      <c r="C7569" s="1" t="s">
        <v>24</v>
      </c>
      <c r="D7569" s="1" t="str">
        <f t="shared" si="13211"/>
        <v>2021</v>
      </c>
      <c r="E7569" s="1" t="str">
        <f t="shared" ref="E7569:P7569" si="13229">"0"</f>
        <v>0</v>
      </c>
      <c r="F7569" s="1" t="str">
        <f t="shared" si="13229"/>
        <v>0</v>
      </c>
      <c r="G7569" s="1" t="str">
        <f t="shared" si="13229"/>
        <v>0</v>
      </c>
      <c r="H7569" s="1" t="str">
        <f t="shared" si="13229"/>
        <v>0</v>
      </c>
      <c r="I7569" s="1" t="str">
        <f t="shared" si="13229"/>
        <v>0</v>
      </c>
      <c r="J7569" s="1" t="str">
        <f t="shared" si="13229"/>
        <v>0</v>
      </c>
      <c r="K7569" s="1" t="str">
        <f t="shared" si="13229"/>
        <v>0</v>
      </c>
      <c r="L7569" s="1" t="str">
        <f t="shared" si="13229"/>
        <v>0</v>
      </c>
      <c r="M7569" s="1" t="str">
        <f t="shared" si="13229"/>
        <v>0</v>
      </c>
      <c r="N7569" s="1" t="str">
        <f t="shared" si="13229"/>
        <v>0</v>
      </c>
      <c r="O7569" s="1" t="str">
        <f t="shared" si="13229"/>
        <v>0</v>
      </c>
      <c r="P7569" s="1" t="str">
        <f t="shared" si="13229"/>
        <v>0</v>
      </c>
      <c r="Q7569" s="1" t="str">
        <f t="shared" si="13213"/>
        <v>0.0070</v>
      </c>
      <c r="R7569" s="1" t="s">
        <v>25</v>
      </c>
      <c r="T7569" s="1" t="str">
        <f t="shared" si="13214"/>
        <v>0</v>
      </c>
      <c r="U7569" s="1" t="str">
        <f t="shared" si="13224"/>
        <v>0.0070</v>
      </c>
    </row>
    <row r="7570" s="1" customFormat="1" spans="1:21">
      <c r="A7570" s="1" t="str">
        <f>"4601992344825"</f>
        <v>4601992344825</v>
      </c>
      <c r="B7570" s="1" t="s">
        <v>7593</v>
      </c>
      <c r="C7570" s="1" t="s">
        <v>24</v>
      </c>
      <c r="D7570" s="1" t="str">
        <f t="shared" si="13211"/>
        <v>2021</v>
      </c>
      <c r="E7570" s="1" t="str">
        <f t="shared" ref="E7570:P7570" si="13230">"0"</f>
        <v>0</v>
      </c>
      <c r="F7570" s="1" t="str">
        <f t="shared" si="13230"/>
        <v>0</v>
      </c>
      <c r="G7570" s="1" t="str">
        <f t="shared" si="13230"/>
        <v>0</v>
      </c>
      <c r="H7570" s="1" t="str">
        <f t="shared" si="13230"/>
        <v>0</v>
      </c>
      <c r="I7570" s="1" t="str">
        <f t="shared" si="13230"/>
        <v>0</v>
      </c>
      <c r="J7570" s="1" t="str">
        <f t="shared" si="13230"/>
        <v>0</v>
      </c>
      <c r="K7570" s="1" t="str">
        <f t="shared" si="13230"/>
        <v>0</v>
      </c>
      <c r="L7570" s="1" t="str">
        <f t="shared" si="13230"/>
        <v>0</v>
      </c>
      <c r="M7570" s="1" t="str">
        <f t="shared" si="13230"/>
        <v>0</v>
      </c>
      <c r="N7570" s="1" t="str">
        <f t="shared" si="13230"/>
        <v>0</v>
      </c>
      <c r="O7570" s="1" t="str">
        <f t="shared" si="13230"/>
        <v>0</v>
      </c>
      <c r="P7570" s="1" t="str">
        <f t="shared" si="13230"/>
        <v>0</v>
      </c>
      <c r="Q7570" s="1" t="str">
        <f t="shared" si="13213"/>
        <v>0.0070</v>
      </c>
      <c r="R7570" s="1" t="s">
        <v>25</v>
      </c>
      <c r="T7570" s="1" t="str">
        <f t="shared" si="13214"/>
        <v>0</v>
      </c>
      <c r="U7570" s="1" t="str">
        <f t="shared" si="13224"/>
        <v>0.0070</v>
      </c>
    </row>
    <row r="7571" s="1" customFormat="1" spans="1:21">
      <c r="A7571" s="1" t="str">
        <f>"4601992344971"</f>
        <v>4601992344971</v>
      </c>
      <c r="B7571" s="1" t="s">
        <v>7594</v>
      </c>
      <c r="C7571" s="1" t="s">
        <v>24</v>
      </c>
      <c r="D7571" s="1" t="str">
        <f t="shared" si="13211"/>
        <v>2021</v>
      </c>
      <c r="E7571" s="1" t="str">
        <f t="shared" ref="E7571:P7571" si="13231">"0"</f>
        <v>0</v>
      </c>
      <c r="F7571" s="1" t="str">
        <f t="shared" si="13231"/>
        <v>0</v>
      </c>
      <c r="G7571" s="1" t="str">
        <f t="shared" si="13231"/>
        <v>0</v>
      </c>
      <c r="H7571" s="1" t="str">
        <f t="shared" si="13231"/>
        <v>0</v>
      </c>
      <c r="I7571" s="1" t="str">
        <f t="shared" si="13231"/>
        <v>0</v>
      </c>
      <c r="J7571" s="1" t="str">
        <f t="shared" si="13231"/>
        <v>0</v>
      </c>
      <c r="K7571" s="1" t="str">
        <f t="shared" si="13231"/>
        <v>0</v>
      </c>
      <c r="L7571" s="1" t="str">
        <f t="shared" si="13231"/>
        <v>0</v>
      </c>
      <c r="M7571" s="1" t="str">
        <f t="shared" si="13231"/>
        <v>0</v>
      </c>
      <c r="N7571" s="1" t="str">
        <f t="shared" si="13231"/>
        <v>0</v>
      </c>
      <c r="O7571" s="1" t="str">
        <f t="shared" si="13231"/>
        <v>0</v>
      </c>
      <c r="P7571" s="1" t="str">
        <f t="shared" si="13231"/>
        <v>0</v>
      </c>
      <c r="Q7571" s="1" t="str">
        <f t="shared" si="13213"/>
        <v>0.0070</v>
      </c>
      <c r="R7571" s="1" t="s">
        <v>25</v>
      </c>
      <c r="T7571" s="1" t="str">
        <f t="shared" si="13214"/>
        <v>0</v>
      </c>
      <c r="U7571" s="1" t="str">
        <f t="shared" si="13224"/>
        <v>0.0070</v>
      </c>
    </row>
    <row r="7572" s="1" customFormat="1" spans="1:21">
      <c r="A7572" s="1" t="str">
        <f>"4601992344952"</f>
        <v>4601992344952</v>
      </c>
      <c r="B7572" s="1" t="s">
        <v>7595</v>
      </c>
      <c r="C7572" s="1" t="s">
        <v>24</v>
      </c>
      <c r="D7572" s="1" t="str">
        <f t="shared" si="13211"/>
        <v>2021</v>
      </c>
      <c r="E7572" s="1" t="str">
        <f t="shared" ref="E7572:P7572" si="13232">"0"</f>
        <v>0</v>
      </c>
      <c r="F7572" s="1" t="str">
        <f t="shared" si="13232"/>
        <v>0</v>
      </c>
      <c r="G7572" s="1" t="str">
        <f t="shared" si="13232"/>
        <v>0</v>
      </c>
      <c r="H7572" s="1" t="str">
        <f t="shared" si="13232"/>
        <v>0</v>
      </c>
      <c r="I7572" s="1" t="str">
        <f t="shared" si="13232"/>
        <v>0</v>
      </c>
      <c r="J7572" s="1" t="str">
        <f t="shared" si="13232"/>
        <v>0</v>
      </c>
      <c r="K7572" s="1" t="str">
        <f t="shared" si="13232"/>
        <v>0</v>
      </c>
      <c r="L7572" s="1" t="str">
        <f t="shared" si="13232"/>
        <v>0</v>
      </c>
      <c r="M7572" s="1" t="str">
        <f t="shared" si="13232"/>
        <v>0</v>
      </c>
      <c r="N7572" s="1" t="str">
        <f t="shared" si="13232"/>
        <v>0</v>
      </c>
      <c r="O7572" s="1" t="str">
        <f t="shared" si="13232"/>
        <v>0</v>
      </c>
      <c r="P7572" s="1" t="str">
        <f t="shared" si="13232"/>
        <v>0</v>
      </c>
      <c r="Q7572" s="1" t="str">
        <f t="shared" si="13213"/>
        <v>0.0070</v>
      </c>
      <c r="R7572" s="1" t="s">
        <v>25</v>
      </c>
      <c r="T7572" s="1" t="str">
        <f t="shared" si="13214"/>
        <v>0</v>
      </c>
      <c r="U7572" s="1" t="str">
        <f t="shared" si="13224"/>
        <v>0.0070</v>
      </c>
    </row>
    <row r="7573" s="1" customFormat="1" spans="1:21">
      <c r="A7573" s="1" t="str">
        <f>"4601992344986"</f>
        <v>4601992344986</v>
      </c>
      <c r="B7573" s="1" t="s">
        <v>7596</v>
      </c>
      <c r="C7573" s="1" t="s">
        <v>24</v>
      </c>
      <c r="D7573" s="1" t="str">
        <f t="shared" si="13211"/>
        <v>2021</v>
      </c>
      <c r="E7573" s="1" t="str">
        <f t="shared" ref="E7573:P7573" si="13233">"0"</f>
        <v>0</v>
      </c>
      <c r="F7573" s="1" t="str">
        <f t="shared" si="13233"/>
        <v>0</v>
      </c>
      <c r="G7573" s="1" t="str">
        <f t="shared" si="13233"/>
        <v>0</v>
      </c>
      <c r="H7573" s="1" t="str">
        <f t="shared" si="13233"/>
        <v>0</v>
      </c>
      <c r="I7573" s="1" t="str">
        <f t="shared" si="13233"/>
        <v>0</v>
      </c>
      <c r="J7573" s="1" t="str">
        <f t="shared" si="13233"/>
        <v>0</v>
      </c>
      <c r="K7573" s="1" t="str">
        <f t="shared" si="13233"/>
        <v>0</v>
      </c>
      <c r="L7573" s="1" t="str">
        <f t="shared" si="13233"/>
        <v>0</v>
      </c>
      <c r="M7573" s="1" t="str">
        <f t="shared" si="13233"/>
        <v>0</v>
      </c>
      <c r="N7573" s="1" t="str">
        <f t="shared" si="13233"/>
        <v>0</v>
      </c>
      <c r="O7573" s="1" t="str">
        <f t="shared" si="13233"/>
        <v>0</v>
      </c>
      <c r="P7573" s="1" t="str">
        <f t="shared" si="13233"/>
        <v>0</v>
      </c>
      <c r="Q7573" s="1" t="str">
        <f t="shared" si="13213"/>
        <v>0.0070</v>
      </c>
      <c r="R7573" s="1" t="s">
        <v>25</v>
      </c>
      <c r="T7573" s="1" t="str">
        <f t="shared" si="13214"/>
        <v>0</v>
      </c>
      <c r="U7573" s="1" t="str">
        <f t="shared" si="13224"/>
        <v>0.0070</v>
      </c>
    </row>
    <row r="7574" s="1" customFormat="1" spans="1:21">
      <c r="A7574" s="1" t="str">
        <f>"4601992344898"</f>
        <v>4601992344898</v>
      </c>
      <c r="B7574" s="1" t="s">
        <v>7597</v>
      </c>
      <c r="C7574" s="1" t="s">
        <v>24</v>
      </c>
      <c r="D7574" s="1" t="str">
        <f t="shared" si="13211"/>
        <v>2021</v>
      </c>
      <c r="E7574" s="1" t="str">
        <f t="shared" ref="E7574:P7574" si="13234">"0"</f>
        <v>0</v>
      </c>
      <c r="F7574" s="1" t="str">
        <f t="shared" si="13234"/>
        <v>0</v>
      </c>
      <c r="G7574" s="1" t="str">
        <f t="shared" si="13234"/>
        <v>0</v>
      </c>
      <c r="H7574" s="1" t="str">
        <f t="shared" si="13234"/>
        <v>0</v>
      </c>
      <c r="I7574" s="1" t="str">
        <f t="shared" si="13234"/>
        <v>0</v>
      </c>
      <c r="J7574" s="1" t="str">
        <f t="shared" si="13234"/>
        <v>0</v>
      </c>
      <c r="K7574" s="1" t="str">
        <f t="shared" si="13234"/>
        <v>0</v>
      </c>
      <c r="L7574" s="1" t="str">
        <f t="shared" si="13234"/>
        <v>0</v>
      </c>
      <c r="M7574" s="1" t="str">
        <f t="shared" si="13234"/>
        <v>0</v>
      </c>
      <c r="N7574" s="1" t="str">
        <f t="shared" si="13234"/>
        <v>0</v>
      </c>
      <c r="O7574" s="1" t="str">
        <f t="shared" si="13234"/>
        <v>0</v>
      </c>
      <c r="P7574" s="1" t="str">
        <f t="shared" si="13234"/>
        <v>0</v>
      </c>
      <c r="Q7574" s="1" t="str">
        <f t="shared" si="13213"/>
        <v>0.0070</v>
      </c>
      <c r="R7574" s="1" t="s">
        <v>25</v>
      </c>
      <c r="T7574" s="1" t="str">
        <f t="shared" si="13214"/>
        <v>0</v>
      </c>
      <c r="U7574" s="1" t="str">
        <f t="shared" si="13224"/>
        <v>0.0070</v>
      </c>
    </row>
    <row r="7575" s="1" customFormat="1" spans="1:21">
      <c r="A7575" s="1" t="str">
        <f>"4601992345208"</f>
        <v>4601992345208</v>
      </c>
      <c r="B7575" s="1" t="s">
        <v>7598</v>
      </c>
      <c r="C7575" s="1" t="s">
        <v>24</v>
      </c>
      <c r="D7575" s="1" t="str">
        <f t="shared" si="13211"/>
        <v>2021</v>
      </c>
      <c r="E7575" s="1" t="str">
        <f t="shared" ref="E7575:P7575" si="13235">"0"</f>
        <v>0</v>
      </c>
      <c r="F7575" s="1" t="str">
        <f t="shared" si="13235"/>
        <v>0</v>
      </c>
      <c r="G7575" s="1" t="str">
        <f t="shared" si="13235"/>
        <v>0</v>
      </c>
      <c r="H7575" s="1" t="str">
        <f t="shared" si="13235"/>
        <v>0</v>
      </c>
      <c r="I7575" s="1" t="str">
        <f t="shared" si="13235"/>
        <v>0</v>
      </c>
      <c r="J7575" s="1" t="str">
        <f t="shared" si="13235"/>
        <v>0</v>
      </c>
      <c r="K7575" s="1" t="str">
        <f t="shared" si="13235"/>
        <v>0</v>
      </c>
      <c r="L7575" s="1" t="str">
        <f t="shared" si="13235"/>
        <v>0</v>
      </c>
      <c r="M7575" s="1" t="str">
        <f t="shared" si="13235"/>
        <v>0</v>
      </c>
      <c r="N7575" s="1" t="str">
        <f t="shared" si="13235"/>
        <v>0</v>
      </c>
      <c r="O7575" s="1" t="str">
        <f t="shared" si="13235"/>
        <v>0</v>
      </c>
      <c r="P7575" s="1" t="str">
        <f t="shared" si="13235"/>
        <v>0</v>
      </c>
      <c r="Q7575" s="1" t="str">
        <f t="shared" si="13213"/>
        <v>0.0070</v>
      </c>
      <c r="R7575" s="1" t="s">
        <v>25</v>
      </c>
      <c r="T7575" s="1" t="str">
        <f t="shared" si="13214"/>
        <v>0</v>
      </c>
      <c r="U7575" s="1" t="str">
        <f t="shared" si="13224"/>
        <v>0.0070</v>
      </c>
    </row>
    <row r="7576" s="1" customFormat="1" spans="1:21">
      <c r="A7576" s="1" t="str">
        <f>"4601992345030"</f>
        <v>4601992345030</v>
      </c>
      <c r="B7576" s="1" t="s">
        <v>7599</v>
      </c>
      <c r="C7576" s="1" t="s">
        <v>24</v>
      </c>
      <c r="D7576" s="1" t="str">
        <f t="shared" si="13211"/>
        <v>2021</v>
      </c>
      <c r="E7576" s="1" t="str">
        <f t="shared" ref="E7576:P7576" si="13236">"0"</f>
        <v>0</v>
      </c>
      <c r="F7576" s="1" t="str">
        <f t="shared" si="13236"/>
        <v>0</v>
      </c>
      <c r="G7576" s="1" t="str">
        <f t="shared" si="13236"/>
        <v>0</v>
      </c>
      <c r="H7576" s="1" t="str">
        <f t="shared" si="13236"/>
        <v>0</v>
      </c>
      <c r="I7576" s="1" t="str">
        <f t="shared" si="13236"/>
        <v>0</v>
      </c>
      <c r="J7576" s="1" t="str">
        <f t="shared" si="13236"/>
        <v>0</v>
      </c>
      <c r="K7576" s="1" t="str">
        <f t="shared" si="13236"/>
        <v>0</v>
      </c>
      <c r="L7576" s="1" t="str">
        <f t="shared" si="13236"/>
        <v>0</v>
      </c>
      <c r="M7576" s="1" t="str">
        <f t="shared" si="13236"/>
        <v>0</v>
      </c>
      <c r="N7576" s="1" t="str">
        <f t="shared" si="13236"/>
        <v>0</v>
      </c>
      <c r="O7576" s="1" t="str">
        <f t="shared" si="13236"/>
        <v>0</v>
      </c>
      <c r="P7576" s="1" t="str">
        <f t="shared" si="13236"/>
        <v>0</v>
      </c>
      <c r="Q7576" s="1" t="str">
        <f t="shared" si="13213"/>
        <v>0.0070</v>
      </c>
      <c r="R7576" s="1" t="s">
        <v>25</v>
      </c>
      <c r="T7576" s="1" t="str">
        <f t="shared" si="13214"/>
        <v>0</v>
      </c>
      <c r="U7576" s="1" t="str">
        <f t="shared" si="13224"/>
        <v>0.0070</v>
      </c>
    </row>
    <row r="7577" s="1" customFormat="1" spans="1:21">
      <c r="A7577" s="1" t="str">
        <f>"4601992345139"</f>
        <v>4601992345139</v>
      </c>
      <c r="B7577" s="1" t="s">
        <v>7600</v>
      </c>
      <c r="C7577" s="1" t="s">
        <v>24</v>
      </c>
      <c r="D7577" s="1" t="str">
        <f t="shared" si="13211"/>
        <v>2021</v>
      </c>
      <c r="E7577" s="1" t="str">
        <f t="shared" ref="E7577:P7577" si="13237">"0"</f>
        <v>0</v>
      </c>
      <c r="F7577" s="1" t="str">
        <f t="shared" si="13237"/>
        <v>0</v>
      </c>
      <c r="G7577" s="1" t="str">
        <f t="shared" si="13237"/>
        <v>0</v>
      </c>
      <c r="H7577" s="1" t="str">
        <f t="shared" si="13237"/>
        <v>0</v>
      </c>
      <c r="I7577" s="1" t="str">
        <f t="shared" si="13237"/>
        <v>0</v>
      </c>
      <c r="J7577" s="1" t="str">
        <f t="shared" si="13237"/>
        <v>0</v>
      </c>
      <c r="K7577" s="1" t="str">
        <f t="shared" si="13237"/>
        <v>0</v>
      </c>
      <c r="L7577" s="1" t="str">
        <f t="shared" si="13237"/>
        <v>0</v>
      </c>
      <c r="M7577" s="1" t="str">
        <f t="shared" si="13237"/>
        <v>0</v>
      </c>
      <c r="N7577" s="1" t="str">
        <f t="shared" si="13237"/>
        <v>0</v>
      </c>
      <c r="O7577" s="1" t="str">
        <f t="shared" si="13237"/>
        <v>0</v>
      </c>
      <c r="P7577" s="1" t="str">
        <f t="shared" si="13237"/>
        <v>0</v>
      </c>
      <c r="Q7577" s="1" t="str">
        <f t="shared" si="13213"/>
        <v>0.0070</v>
      </c>
      <c r="R7577" s="1" t="s">
        <v>25</v>
      </c>
      <c r="T7577" s="1" t="str">
        <f t="shared" si="13214"/>
        <v>0</v>
      </c>
      <c r="U7577" s="1" t="str">
        <f t="shared" si="13224"/>
        <v>0.0070</v>
      </c>
    </row>
    <row r="7578" s="1" customFormat="1" spans="1:21">
      <c r="A7578" s="1" t="str">
        <f>"4601992345184"</f>
        <v>4601992345184</v>
      </c>
      <c r="B7578" s="1" t="s">
        <v>7601</v>
      </c>
      <c r="C7578" s="1" t="s">
        <v>24</v>
      </c>
      <c r="D7578" s="1" t="str">
        <f t="shared" si="13211"/>
        <v>2021</v>
      </c>
      <c r="E7578" s="1" t="str">
        <f t="shared" ref="E7578:P7578" si="13238">"0"</f>
        <v>0</v>
      </c>
      <c r="F7578" s="1" t="str">
        <f t="shared" si="13238"/>
        <v>0</v>
      </c>
      <c r="G7578" s="1" t="str">
        <f t="shared" si="13238"/>
        <v>0</v>
      </c>
      <c r="H7578" s="1" t="str">
        <f t="shared" si="13238"/>
        <v>0</v>
      </c>
      <c r="I7578" s="1" t="str">
        <f t="shared" si="13238"/>
        <v>0</v>
      </c>
      <c r="J7578" s="1" t="str">
        <f t="shared" si="13238"/>
        <v>0</v>
      </c>
      <c r="K7578" s="1" t="str">
        <f t="shared" si="13238"/>
        <v>0</v>
      </c>
      <c r="L7578" s="1" t="str">
        <f t="shared" si="13238"/>
        <v>0</v>
      </c>
      <c r="M7578" s="1" t="str">
        <f t="shared" si="13238"/>
        <v>0</v>
      </c>
      <c r="N7578" s="1" t="str">
        <f t="shared" si="13238"/>
        <v>0</v>
      </c>
      <c r="O7578" s="1" t="str">
        <f t="shared" si="13238"/>
        <v>0</v>
      </c>
      <c r="P7578" s="1" t="str">
        <f t="shared" si="13238"/>
        <v>0</v>
      </c>
      <c r="Q7578" s="1" t="str">
        <f t="shared" si="13213"/>
        <v>0.0070</v>
      </c>
      <c r="R7578" s="1" t="s">
        <v>25</v>
      </c>
      <c r="T7578" s="1" t="str">
        <f t="shared" si="13214"/>
        <v>0</v>
      </c>
      <c r="U7578" s="1" t="str">
        <f t="shared" si="13224"/>
        <v>0.0070</v>
      </c>
    </row>
    <row r="7579" s="1" customFormat="1" spans="1:21">
      <c r="A7579" s="1" t="str">
        <f>"4601992345258"</f>
        <v>4601992345258</v>
      </c>
      <c r="B7579" s="1" t="s">
        <v>7602</v>
      </c>
      <c r="C7579" s="1" t="s">
        <v>24</v>
      </c>
      <c r="D7579" s="1" t="str">
        <f t="shared" si="13211"/>
        <v>2021</v>
      </c>
      <c r="E7579" s="1" t="str">
        <f t="shared" ref="E7579:P7579" si="13239">"0"</f>
        <v>0</v>
      </c>
      <c r="F7579" s="1" t="str">
        <f t="shared" si="13239"/>
        <v>0</v>
      </c>
      <c r="G7579" s="1" t="str">
        <f t="shared" si="13239"/>
        <v>0</v>
      </c>
      <c r="H7579" s="1" t="str">
        <f t="shared" si="13239"/>
        <v>0</v>
      </c>
      <c r="I7579" s="1" t="str">
        <f t="shared" si="13239"/>
        <v>0</v>
      </c>
      <c r="J7579" s="1" t="str">
        <f t="shared" si="13239"/>
        <v>0</v>
      </c>
      <c r="K7579" s="1" t="str">
        <f t="shared" si="13239"/>
        <v>0</v>
      </c>
      <c r="L7579" s="1" t="str">
        <f t="shared" si="13239"/>
        <v>0</v>
      </c>
      <c r="M7579" s="1" t="str">
        <f t="shared" si="13239"/>
        <v>0</v>
      </c>
      <c r="N7579" s="1" t="str">
        <f t="shared" si="13239"/>
        <v>0</v>
      </c>
      <c r="O7579" s="1" t="str">
        <f t="shared" si="13239"/>
        <v>0</v>
      </c>
      <c r="P7579" s="1" t="str">
        <f t="shared" si="13239"/>
        <v>0</v>
      </c>
      <c r="Q7579" s="1" t="str">
        <f t="shared" si="13213"/>
        <v>0.0070</v>
      </c>
      <c r="R7579" s="1" t="s">
        <v>25</v>
      </c>
      <c r="T7579" s="1" t="str">
        <f t="shared" si="13214"/>
        <v>0</v>
      </c>
      <c r="U7579" s="1" t="str">
        <f t="shared" si="13224"/>
        <v>0.0070</v>
      </c>
    </row>
    <row r="7580" s="1" customFormat="1" spans="1:21">
      <c r="A7580" s="1" t="str">
        <f>"4601992345269"</f>
        <v>4601992345269</v>
      </c>
      <c r="B7580" s="1" t="s">
        <v>7603</v>
      </c>
      <c r="C7580" s="1" t="s">
        <v>24</v>
      </c>
      <c r="D7580" s="1" t="str">
        <f t="shared" si="13211"/>
        <v>2021</v>
      </c>
      <c r="E7580" s="1" t="str">
        <f t="shared" ref="E7580:P7580" si="13240">"0"</f>
        <v>0</v>
      </c>
      <c r="F7580" s="1" t="str">
        <f t="shared" si="13240"/>
        <v>0</v>
      </c>
      <c r="G7580" s="1" t="str">
        <f t="shared" si="13240"/>
        <v>0</v>
      </c>
      <c r="H7580" s="1" t="str">
        <f t="shared" si="13240"/>
        <v>0</v>
      </c>
      <c r="I7580" s="1" t="str">
        <f t="shared" si="13240"/>
        <v>0</v>
      </c>
      <c r="J7580" s="1" t="str">
        <f t="shared" si="13240"/>
        <v>0</v>
      </c>
      <c r="K7580" s="1" t="str">
        <f t="shared" si="13240"/>
        <v>0</v>
      </c>
      <c r="L7580" s="1" t="str">
        <f t="shared" si="13240"/>
        <v>0</v>
      </c>
      <c r="M7580" s="1" t="str">
        <f t="shared" si="13240"/>
        <v>0</v>
      </c>
      <c r="N7580" s="1" t="str">
        <f t="shared" si="13240"/>
        <v>0</v>
      </c>
      <c r="O7580" s="1" t="str">
        <f t="shared" si="13240"/>
        <v>0</v>
      </c>
      <c r="P7580" s="1" t="str">
        <f t="shared" si="13240"/>
        <v>0</v>
      </c>
      <c r="Q7580" s="1" t="str">
        <f t="shared" si="13213"/>
        <v>0.0070</v>
      </c>
      <c r="R7580" s="1" t="s">
        <v>25</v>
      </c>
      <c r="T7580" s="1" t="str">
        <f t="shared" si="13214"/>
        <v>0</v>
      </c>
      <c r="U7580" s="1" t="str">
        <f t="shared" si="13224"/>
        <v>0.0070</v>
      </c>
    </row>
    <row r="7581" s="1" customFormat="1" spans="1:21">
      <c r="A7581" s="1" t="str">
        <f>"4601992345306"</f>
        <v>4601992345306</v>
      </c>
      <c r="B7581" s="1" t="s">
        <v>7604</v>
      </c>
      <c r="C7581" s="1" t="s">
        <v>24</v>
      </c>
      <c r="D7581" s="1" t="str">
        <f t="shared" si="13211"/>
        <v>2021</v>
      </c>
      <c r="E7581" s="1" t="str">
        <f t="shared" ref="E7581:P7581" si="13241">"0"</f>
        <v>0</v>
      </c>
      <c r="F7581" s="1" t="str">
        <f t="shared" si="13241"/>
        <v>0</v>
      </c>
      <c r="G7581" s="1" t="str">
        <f t="shared" si="13241"/>
        <v>0</v>
      </c>
      <c r="H7581" s="1" t="str">
        <f t="shared" si="13241"/>
        <v>0</v>
      </c>
      <c r="I7581" s="1" t="str">
        <f t="shared" si="13241"/>
        <v>0</v>
      </c>
      <c r="J7581" s="1" t="str">
        <f t="shared" si="13241"/>
        <v>0</v>
      </c>
      <c r="K7581" s="1" t="str">
        <f t="shared" si="13241"/>
        <v>0</v>
      </c>
      <c r="L7581" s="1" t="str">
        <f t="shared" si="13241"/>
        <v>0</v>
      </c>
      <c r="M7581" s="1" t="str">
        <f t="shared" si="13241"/>
        <v>0</v>
      </c>
      <c r="N7581" s="1" t="str">
        <f t="shared" si="13241"/>
        <v>0</v>
      </c>
      <c r="O7581" s="1" t="str">
        <f t="shared" si="13241"/>
        <v>0</v>
      </c>
      <c r="P7581" s="1" t="str">
        <f t="shared" si="13241"/>
        <v>0</v>
      </c>
      <c r="Q7581" s="1" t="str">
        <f t="shared" si="13213"/>
        <v>0.0070</v>
      </c>
      <c r="R7581" s="1" t="s">
        <v>25</v>
      </c>
      <c r="T7581" s="1" t="str">
        <f t="shared" si="13214"/>
        <v>0</v>
      </c>
      <c r="U7581" s="1" t="str">
        <f t="shared" si="13224"/>
        <v>0.0070</v>
      </c>
    </row>
    <row r="7582" s="1" customFormat="1" spans="1:21">
      <c r="A7582" s="1" t="str">
        <f>"4601992345366"</f>
        <v>4601992345366</v>
      </c>
      <c r="B7582" s="1" t="s">
        <v>7605</v>
      </c>
      <c r="C7582" s="1" t="s">
        <v>24</v>
      </c>
      <c r="D7582" s="1" t="str">
        <f t="shared" si="13211"/>
        <v>2021</v>
      </c>
      <c r="E7582" s="1" t="str">
        <f t="shared" ref="E7582:P7582" si="13242">"0"</f>
        <v>0</v>
      </c>
      <c r="F7582" s="1" t="str">
        <f t="shared" si="13242"/>
        <v>0</v>
      </c>
      <c r="G7582" s="1" t="str">
        <f t="shared" si="13242"/>
        <v>0</v>
      </c>
      <c r="H7582" s="1" t="str">
        <f t="shared" si="13242"/>
        <v>0</v>
      </c>
      <c r="I7582" s="1" t="str">
        <f t="shared" si="13242"/>
        <v>0</v>
      </c>
      <c r="J7582" s="1" t="str">
        <f t="shared" si="13242"/>
        <v>0</v>
      </c>
      <c r="K7582" s="1" t="str">
        <f t="shared" si="13242"/>
        <v>0</v>
      </c>
      <c r="L7582" s="1" t="str">
        <f t="shared" si="13242"/>
        <v>0</v>
      </c>
      <c r="M7582" s="1" t="str">
        <f t="shared" si="13242"/>
        <v>0</v>
      </c>
      <c r="N7582" s="1" t="str">
        <f t="shared" si="13242"/>
        <v>0</v>
      </c>
      <c r="O7582" s="1" t="str">
        <f t="shared" si="13242"/>
        <v>0</v>
      </c>
      <c r="P7582" s="1" t="str">
        <f t="shared" si="13242"/>
        <v>0</v>
      </c>
      <c r="Q7582" s="1" t="str">
        <f t="shared" si="13213"/>
        <v>0.0070</v>
      </c>
      <c r="R7582" s="1" t="s">
        <v>25</v>
      </c>
      <c r="T7582" s="1" t="str">
        <f t="shared" si="13214"/>
        <v>0</v>
      </c>
      <c r="U7582" s="1" t="str">
        <f t="shared" si="13224"/>
        <v>0.0070</v>
      </c>
    </row>
    <row r="7583" s="1" customFormat="1" spans="1:21">
      <c r="A7583" s="1" t="str">
        <f>"4601992345834"</f>
        <v>4601992345834</v>
      </c>
      <c r="B7583" s="1" t="s">
        <v>7606</v>
      </c>
      <c r="C7583" s="1" t="s">
        <v>24</v>
      </c>
      <c r="D7583" s="1" t="str">
        <f t="shared" si="13211"/>
        <v>2021</v>
      </c>
      <c r="E7583" s="1" t="str">
        <f t="shared" ref="E7583:P7583" si="13243">"0"</f>
        <v>0</v>
      </c>
      <c r="F7583" s="1" t="str">
        <f t="shared" si="13243"/>
        <v>0</v>
      </c>
      <c r="G7583" s="1" t="str">
        <f t="shared" si="13243"/>
        <v>0</v>
      </c>
      <c r="H7583" s="1" t="str">
        <f t="shared" si="13243"/>
        <v>0</v>
      </c>
      <c r="I7583" s="1" t="str">
        <f t="shared" si="13243"/>
        <v>0</v>
      </c>
      <c r="J7583" s="1" t="str">
        <f t="shared" si="13243"/>
        <v>0</v>
      </c>
      <c r="K7583" s="1" t="str">
        <f t="shared" si="13243"/>
        <v>0</v>
      </c>
      <c r="L7583" s="1" t="str">
        <f t="shared" si="13243"/>
        <v>0</v>
      </c>
      <c r="M7583" s="1" t="str">
        <f t="shared" si="13243"/>
        <v>0</v>
      </c>
      <c r="N7583" s="1" t="str">
        <f t="shared" si="13243"/>
        <v>0</v>
      </c>
      <c r="O7583" s="1" t="str">
        <f t="shared" si="13243"/>
        <v>0</v>
      </c>
      <c r="P7583" s="1" t="str">
        <f t="shared" si="13243"/>
        <v>0</v>
      </c>
      <c r="Q7583" s="1" t="str">
        <f t="shared" si="13213"/>
        <v>0.0070</v>
      </c>
      <c r="R7583" s="1" t="s">
        <v>25</v>
      </c>
      <c r="T7583" s="1" t="str">
        <f t="shared" si="13214"/>
        <v>0</v>
      </c>
      <c r="U7583" s="1" t="str">
        <f t="shared" si="13224"/>
        <v>0.0070</v>
      </c>
    </row>
    <row r="7584" s="1" customFormat="1" spans="1:21">
      <c r="A7584" s="1" t="str">
        <f>"4601992345625"</f>
        <v>4601992345625</v>
      </c>
      <c r="B7584" s="1" t="s">
        <v>7607</v>
      </c>
      <c r="C7584" s="1" t="s">
        <v>24</v>
      </c>
      <c r="D7584" s="1" t="str">
        <f t="shared" si="13211"/>
        <v>2021</v>
      </c>
      <c r="E7584" s="1" t="str">
        <f t="shared" ref="E7584:P7584" si="13244">"0"</f>
        <v>0</v>
      </c>
      <c r="F7584" s="1" t="str">
        <f t="shared" si="13244"/>
        <v>0</v>
      </c>
      <c r="G7584" s="1" t="str">
        <f t="shared" si="13244"/>
        <v>0</v>
      </c>
      <c r="H7584" s="1" t="str">
        <f t="shared" si="13244"/>
        <v>0</v>
      </c>
      <c r="I7584" s="1" t="str">
        <f t="shared" si="13244"/>
        <v>0</v>
      </c>
      <c r="J7584" s="1" t="str">
        <f t="shared" si="13244"/>
        <v>0</v>
      </c>
      <c r="K7584" s="1" t="str">
        <f t="shared" si="13244"/>
        <v>0</v>
      </c>
      <c r="L7584" s="1" t="str">
        <f t="shared" si="13244"/>
        <v>0</v>
      </c>
      <c r="M7584" s="1" t="str">
        <f t="shared" si="13244"/>
        <v>0</v>
      </c>
      <c r="N7584" s="1" t="str">
        <f t="shared" si="13244"/>
        <v>0</v>
      </c>
      <c r="O7584" s="1" t="str">
        <f t="shared" si="13244"/>
        <v>0</v>
      </c>
      <c r="P7584" s="1" t="str">
        <f t="shared" si="13244"/>
        <v>0</v>
      </c>
      <c r="Q7584" s="1" t="str">
        <f t="shared" si="13213"/>
        <v>0.0070</v>
      </c>
      <c r="R7584" s="1" t="s">
        <v>25</v>
      </c>
      <c r="T7584" s="1" t="str">
        <f t="shared" si="13214"/>
        <v>0</v>
      </c>
      <c r="U7584" s="1" t="str">
        <f t="shared" si="13224"/>
        <v>0.0070</v>
      </c>
    </row>
    <row r="7585" s="1" customFormat="1" spans="1:21">
      <c r="A7585" s="1" t="str">
        <f>"4601992345604"</f>
        <v>4601992345604</v>
      </c>
      <c r="B7585" s="1" t="s">
        <v>7608</v>
      </c>
      <c r="C7585" s="1" t="s">
        <v>24</v>
      </c>
      <c r="D7585" s="1" t="str">
        <f t="shared" si="13211"/>
        <v>2021</v>
      </c>
      <c r="E7585" s="1" t="str">
        <f t="shared" ref="E7585:P7585" si="13245">"0"</f>
        <v>0</v>
      </c>
      <c r="F7585" s="1" t="str">
        <f t="shared" si="13245"/>
        <v>0</v>
      </c>
      <c r="G7585" s="1" t="str">
        <f t="shared" si="13245"/>
        <v>0</v>
      </c>
      <c r="H7585" s="1" t="str">
        <f t="shared" si="13245"/>
        <v>0</v>
      </c>
      <c r="I7585" s="1" t="str">
        <f t="shared" si="13245"/>
        <v>0</v>
      </c>
      <c r="J7585" s="1" t="str">
        <f t="shared" si="13245"/>
        <v>0</v>
      </c>
      <c r="K7585" s="1" t="str">
        <f t="shared" si="13245"/>
        <v>0</v>
      </c>
      <c r="L7585" s="1" t="str">
        <f t="shared" si="13245"/>
        <v>0</v>
      </c>
      <c r="M7585" s="1" t="str">
        <f t="shared" si="13245"/>
        <v>0</v>
      </c>
      <c r="N7585" s="1" t="str">
        <f t="shared" si="13245"/>
        <v>0</v>
      </c>
      <c r="O7585" s="1" t="str">
        <f t="shared" si="13245"/>
        <v>0</v>
      </c>
      <c r="P7585" s="1" t="str">
        <f t="shared" si="13245"/>
        <v>0</v>
      </c>
      <c r="Q7585" s="1" t="str">
        <f t="shared" si="13213"/>
        <v>0.0070</v>
      </c>
      <c r="R7585" s="1" t="s">
        <v>25</v>
      </c>
      <c r="T7585" s="1" t="str">
        <f t="shared" si="13214"/>
        <v>0</v>
      </c>
      <c r="U7585" s="1" t="str">
        <f t="shared" si="13224"/>
        <v>0.0070</v>
      </c>
    </row>
    <row r="7586" s="1" customFormat="1" spans="1:21">
      <c r="A7586" s="1" t="str">
        <f>"4601992345935"</f>
        <v>4601992345935</v>
      </c>
      <c r="B7586" s="1" t="s">
        <v>7609</v>
      </c>
      <c r="C7586" s="1" t="s">
        <v>24</v>
      </c>
      <c r="D7586" s="1" t="str">
        <f t="shared" si="13211"/>
        <v>2021</v>
      </c>
      <c r="E7586" s="1" t="str">
        <f t="shared" ref="E7586:P7586" si="13246">"0"</f>
        <v>0</v>
      </c>
      <c r="F7586" s="1" t="str">
        <f t="shared" si="13246"/>
        <v>0</v>
      </c>
      <c r="G7586" s="1" t="str">
        <f t="shared" si="13246"/>
        <v>0</v>
      </c>
      <c r="H7586" s="1" t="str">
        <f t="shared" si="13246"/>
        <v>0</v>
      </c>
      <c r="I7586" s="1" t="str">
        <f t="shared" si="13246"/>
        <v>0</v>
      </c>
      <c r="J7586" s="1" t="str">
        <f t="shared" si="13246"/>
        <v>0</v>
      </c>
      <c r="K7586" s="1" t="str">
        <f t="shared" si="13246"/>
        <v>0</v>
      </c>
      <c r="L7586" s="1" t="str">
        <f t="shared" si="13246"/>
        <v>0</v>
      </c>
      <c r="M7586" s="1" t="str">
        <f t="shared" si="13246"/>
        <v>0</v>
      </c>
      <c r="N7586" s="1" t="str">
        <f t="shared" si="13246"/>
        <v>0</v>
      </c>
      <c r="O7586" s="1" t="str">
        <f t="shared" si="13246"/>
        <v>0</v>
      </c>
      <c r="P7586" s="1" t="str">
        <f t="shared" si="13246"/>
        <v>0</v>
      </c>
      <c r="Q7586" s="1" t="str">
        <f t="shared" si="13213"/>
        <v>0.0070</v>
      </c>
      <c r="R7586" s="1" t="s">
        <v>25</v>
      </c>
      <c r="T7586" s="1" t="str">
        <f t="shared" si="13214"/>
        <v>0</v>
      </c>
      <c r="U7586" s="1" t="str">
        <f t="shared" si="13224"/>
        <v>0.0070</v>
      </c>
    </row>
    <row r="7587" s="1" customFormat="1" spans="1:21">
      <c r="A7587" s="1" t="str">
        <f>"4601992346076"</f>
        <v>4601992346076</v>
      </c>
      <c r="B7587" s="1" t="s">
        <v>7610</v>
      </c>
      <c r="C7587" s="1" t="s">
        <v>24</v>
      </c>
      <c r="D7587" s="1" t="str">
        <f t="shared" si="13211"/>
        <v>2021</v>
      </c>
      <c r="E7587" s="1" t="str">
        <f t="shared" ref="E7587:P7587" si="13247">"0"</f>
        <v>0</v>
      </c>
      <c r="F7587" s="1" t="str">
        <f t="shared" si="13247"/>
        <v>0</v>
      </c>
      <c r="G7587" s="1" t="str">
        <f t="shared" si="13247"/>
        <v>0</v>
      </c>
      <c r="H7587" s="1" t="str">
        <f t="shared" si="13247"/>
        <v>0</v>
      </c>
      <c r="I7587" s="1" t="str">
        <f t="shared" si="13247"/>
        <v>0</v>
      </c>
      <c r="J7587" s="1" t="str">
        <f t="shared" si="13247"/>
        <v>0</v>
      </c>
      <c r="K7587" s="1" t="str">
        <f t="shared" si="13247"/>
        <v>0</v>
      </c>
      <c r="L7587" s="1" t="str">
        <f t="shared" si="13247"/>
        <v>0</v>
      </c>
      <c r="M7587" s="1" t="str">
        <f t="shared" si="13247"/>
        <v>0</v>
      </c>
      <c r="N7587" s="1" t="str">
        <f t="shared" si="13247"/>
        <v>0</v>
      </c>
      <c r="O7587" s="1" t="str">
        <f t="shared" si="13247"/>
        <v>0</v>
      </c>
      <c r="P7587" s="1" t="str">
        <f t="shared" si="13247"/>
        <v>0</v>
      </c>
      <c r="Q7587" s="1" t="str">
        <f t="shared" si="13213"/>
        <v>0.0070</v>
      </c>
      <c r="R7587" s="1" t="s">
        <v>25</v>
      </c>
      <c r="T7587" s="1" t="str">
        <f t="shared" si="13214"/>
        <v>0</v>
      </c>
      <c r="U7587" s="1" t="str">
        <f t="shared" si="13224"/>
        <v>0.0070</v>
      </c>
    </row>
    <row r="7588" s="1" customFormat="1" spans="1:21">
      <c r="A7588" s="1" t="str">
        <f>"4601992346136"</f>
        <v>4601992346136</v>
      </c>
      <c r="B7588" s="1" t="s">
        <v>7611</v>
      </c>
      <c r="C7588" s="1" t="s">
        <v>24</v>
      </c>
      <c r="D7588" s="1" t="str">
        <f t="shared" si="13211"/>
        <v>2021</v>
      </c>
      <c r="E7588" s="1" t="str">
        <f t="shared" ref="E7588:P7588" si="13248">"0"</f>
        <v>0</v>
      </c>
      <c r="F7588" s="1" t="str">
        <f t="shared" si="13248"/>
        <v>0</v>
      </c>
      <c r="G7588" s="1" t="str">
        <f t="shared" si="13248"/>
        <v>0</v>
      </c>
      <c r="H7588" s="1" t="str">
        <f t="shared" si="13248"/>
        <v>0</v>
      </c>
      <c r="I7588" s="1" t="str">
        <f t="shared" si="13248"/>
        <v>0</v>
      </c>
      <c r="J7588" s="1" t="str">
        <f t="shared" si="13248"/>
        <v>0</v>
      </c>
      <c r="K7588" s="1" t="str">
        <f t="shared" si="13248"/>
        <v>0</v>
      </c>
      <c r="L7588" s="1" t="str">
        <f t="shared" si="13248"/>
        <v>0</v>
      </c>
      <c r="M7588" s="1" t="str">
        <f t="shared" si="13248"/>
        <v>0</v>
      </c>
      <c r="N7588" s="1" t="str">
        <f t="shared" si="13248"/>
        <v>0</v>
      </c>
      <c r="O7588" s="1" t="str">
        <f t="shared" si="13248"/>
        <v>0</v>
      </c>
      <c r="P7588" s="1" t="str">
        <f t="shared" si="13248"/>
        <v>0</v>
      </c>
      <c r="Q7588" s="1" t="str">
        <f t="shared" si="13213"/>
        <v>0.0070</v>
      </c>
      <c r="R7588" s="1" t="s">
        <v>25</v>
      </c>
      <c r="T7588" s="1" t="str">
        <f t="shared" si="13214"/>
        <v>0</v>
      </c>
      <c r="U7588" s="1" t="str">
        <f t="shared" si="13224"/>
        <v>0.0070</v>
      </c>
    </row>
    <row r="7589" s="1" customFormat="1" spans="1:21">
      <c r="A7589" s="1" t="str">
        <f>"4601992346007"</f>
        <v>4601992346007</v>
      </c>
      <c r="B7589" s="1" t="s">
        <v>7612</v>
      </c>
      <c r="C7589" s="1" t="s">
        <v>24</v>
      </c>
      <c r="D7589" s="1" t="str">
        <f t="shared" si="13211"/>
        <v>2021</v>
      </c>
      <c r="E7589" s="1" t="str">
        <f t="shared" ref="E7589:P7589" si="13249">"0"</f>
        <v>0</v>
      </c>
      <c r="F7589" s="1" t="str">
        <f t="shared" si="13249"/>
        <v>0</v>
      </c>
      <c r="G7589" s="1" t="str">
        <f t="shared" si="13249"/>
        <v>0</v>
      </c>
      <c r="H7589" s="1" t="str">
        <f t="shared" si="13249"/>
        <v>0</v>
      </c>
      <c r="I7589" s="1" t="str">
        <f t="shared" si="13249"/>
        <v>0</v>
      </c>
      <c r="J7589" s="1" t="str">
        <f t="shared" si="13249"/>
        <v>0</v>
      </c>
      <c r="K7589" s="1" t="str">
        <f t="shared" si="13249"/>
        <v>0</v>
      </c>
      <c r="L7589" s="1" t="str">
        <f t="shared" si="13249"/>
        <v>0</v>
      </c>
      <c r="M7589" s="1" t="str">
        <f t="shared" si="13249"/>
        <v>0</v>
      </c>
      <c r="N7589" s="1" t="str">
        <f t="shared" si="13249"/>
        <v>0</v>
      </c>
      <c r="O7589" s="1" t="str">
        <f t="shared" si="13249"/>
        <v>0</v>
      </c>
      <c r="P7589" s="1" t="str">
        <f t="shared" si="13249"/>
        <v>0</v>
      </c>
      <c r="Q7589" s="1" t="str">
        <f t="shared" si="13213"/>
        <v>0.0070</v>
      </c>
      <c r="R7589" s="1" t="s">
        <v>25</v>
      </c>
      <c r="T7589" s="1" t="str">
        <f t="shared" si="13214"/>
        <v>0</v>
      </c>
      <c r="U7589" s="1" t="str">
        <f t="shared" si="13224"/>
        <v>0.0070</v>
      </c>
    </row>
    <row r="7590" s="1" customFormat="1" spans="1:21">
      <c r="A7590" s="1" t="str">
        <f>"4601992346145"</f>
        <v>4601992346145</v>
      </c>
      <c r="B7590" s="1" t="s">
        <v>7613</v>
      </c>
      <c r="C7590" s="1" t="s">
        <v>24</v>
      </c>
      <c r="D7590" s="1" t="str">
        <f t="shared" si="13211"/>
        <v>2021</v>
      </c>
      <c r="E7590" s="1" t="str">
        <f t="shared" ref="E7590:P7590" si="13250">"0"</f>
        <v>0</v>
      </c>
      <c r="F7590" s="1" t="str">
        <f t="shared" si="13250"/>
        <v>0</v>
      </c>
      <c r="G7590" s="1" t="str">
        <f t="shared" si="13250"/>
        <v>0</v>
      </c>
      <c r="H7590" s="1" t="str">
        <f t="shared" si="13250"/>
        <v>0</v>
      </c>
      <c r="I7590" s="1" t="str">
        <f t="shared" si="13250"/>
        <v>0</v>
      </c>
      <c r="J7590" s="1" t="str">
        <f t="shared" si="13250"/>
        <v>0</v>
      </c>
      <c r="K7590" s="1" t="str">
        <f t="shared" si="13250"/>
        <v>0</v>
      </c>
      <c r="L7590" s="1" t="str">
        <f t="shared" si="13250"/>
        <v>0</v>
      </c>
      <c r="M7590" s="1" t="str">
        <f t="shared" si="13250"/>
        <v>0</v>
      </c>
      <c r="N7590" s="1" t="str">
        <f t="shared" si="13250"/>
        <v>0</v>
      </c>
      <c r="O7590" s="1" t="str">
        <f t="shared" si="13250"/>
        <v>0</v>
      </c>
      <c r="P7590" s="1" t="str">
        <f t="shared" si="13250"/>
        <v>0</v>
      </c>
      <c r="Q7590" s="1" t="str">
        <f t="shared" si="13213"/>
        <v>0.0070</v>
      </c>
      <c r="R7590" s="1" t="s">
        <v>25</v>
      </c>
      <c r="T7590" s="1" t="str">
        <f t="shared" si="13214"/>
        <v>0</v>
      </c>
      <c r="U7590" s="1" t="str">
        <f t="shared" si="13224"/>
        <v>0.0070</v>
      </c>
    </row>
    <row r="7591" s="1" customFormat="1" spans="1:21">
      <c r="A7591" s="1" t="str">
        <f>"4601992346465"</f>
        <v>4601992346465</v>
      </c>
      <c r="B7591" s="1" t="s">
        <v>7614</v>
      </c>
      <c r="C7591" s="1" t="s">
        <v>24</v>
      </c>
      <c r="D7591" s="1" t="str">
        <f t="shared" si="13211"/>
        <v>2021</v>
      </c>
      <c r="E7591" s="1" t="str">
        <f t="shared" ref="E7591:P7591" si="13251">"0"</f>
        <v>0</v>
      </c>
      <c r="F7591" s="1" t="str">
        <f t="shared" si="13251"/>
        <v>0</v>
      </c>
      <c r="G7591" s="1" t="str">
        <f t="shared" si="13251"/>
        <v>0</v>
      </c>
      <c r="H7591" s="1" t="str">
        <f t="shared" si="13251"/>
        <v>0</v>
      </c>
      <c r="I7591" s="1" t="str">
        <f t="shared" si="13251"/>
        <v>0</v>
      </c>
      <c r="J7591" s="1" t="str">
        <f t="shared" si="13251"/>
        <v>0</v>
      </c>
      <c r="K7591" s="1" t="str">
        <f t="shared" si="13251"/>
        <v>0</v>
      </c>
      <c r="L7591" s="1" t="str">
        <f t="shared" si="13251"/>
        <v>0</v>
      </c>
      <c r="M7591" s="1" t="str">
        <f t="shared" si="13251"/>
        <v>0</v>
      </c>
      <c r="N7591" s="1" t="str">
        <f t="shared" si="13251"/>
        <v>0</v>
      </c>
      <c r="O7591" s="1" t="str">
        <f t="shared" si="13251"/>
        <v>0</v>
      </c>
      <c r="P7591" s="1" t="str">
        <f t="shared" si="13251"/>
        <v>0</v>
      </c>
      <c r="Q7591" s="1" t="str">
        <f t="shared" si="13213"/>
        <v>0.0070</v>
      </c>
      <c r="R7591" s="1" t="s">
        <v>25</v>
      </c>
      <c r="T7591" s="1" t="str">
        <f t="shared" si="13214"/>
        <v>0</v>
      </c>
      <c r="U7591" s="1" t="str">
        <f t="shared" si="13224"/>
        <v>0.0070</v>
      </c>
    </row>
    <row r="7592" s="1" customFormat="1" spans="1:21">
      <c r="A7592" s="1" t="str">
        <f>"4601992346362"</f>
        <v>4601992346362</v>
      </c>
      <c r="B7592" s="1" t="s">
        <v>7615</v>
      </c>
      <c r="C7592" s="1" t="s">
        <v>24</v>
      </c>
      <c r="D7592" s="1" t="str">
        <f t="shared" si="13211"/>
        <v>2021</v>
      </c>
      <c r="E7592" s="1" t="str">
        <f t="shared" ref="E7592:P7592" si="13252">"0"</f>
        <v>0</v>
      </c>
      <c r="F7592" s="1" t="str">
        <f t="shared" si="13252"/>
        <v>0</v>
      </c>
      <c r="G7592" s="1" t="str">
        <f t="shared" si="13252"/>
        <v>0</v>
      </c>
      <c r="H7592" s="1" t="str">
        <f t="shared" si="13252"/>
        <v>0</v>
      </c>
      <c r="I7592" s="1" t="str">
        <f t="shared" si="13252"/>
        <v>0</v>
      </c>
      <c r="J7592" s="1" t="str">
        <f t="shared" si="13252"/>
        <v>0</v>
      </c>
      <c r="K7592" s="1" t="str">
        <f t="shared" si="13252"/>
        <v>0</v>
      </c>
      <c r="L7592" s="1" t="str">
        <f t="shared" si="13252"/>
        <v>0</v>
      </c>
      <c r="M7592" s="1" t="str">
        <f t="shared" si="13252"/>
        <v>0</v>
      </c>
      <c r="N7592" s="1" t="str">
        <f t="shared" si="13252"/>
        <v>0</v>
      </c>
      <c r="O7592" s="1" t="str">
        <f t="shared" si="13252"/>
        <v>0</v>
      </c>
      <c r="P7592" s="1" t="str">
        <f t="shared" si="13252"/>
        <v>0</v>
      </c>
      <c r="Q7592" s="1" t="str">
        <f t="shared" si="13213"/>
        <v>0.0070</v>
      </c>
      <c r="R7592" s="1" t="s">
        <v>25</v>
      </c>
      <c r="T7592" s="1" t="str">
        <f t="shared" si="13214"/>
        <v>0</v>
      </c>
      <c r="U7592" s="1" t="str">
        <f t="shared" si="13224"/>
        <v>0.0070</v>
      </c>
    </row>
    <row r="7593" s="1" customFormat="1" spans="1:21">
      <c r="A7593" s="1" t="str">
        <f>"4601992346396"</f>
        <v>4601992346396</v>
      </c>
      <c r="B7593" s="1" t="s">
        <v>7616</v>
      </c>
      <c r="C7593" s="1" t="s">
        <v>24</v>
      </c>
      <c r="D7593" s="1" t="str">
        <f t="shared" si="13211"/>
        <v>2021</v>
      </c>
      <c r="E7593" s="1" t="str">
        <f t="shared" ref="E7593:P7593" si="13253">"0"</f>
        <v>0</v>
      </c>
      <c r="F7593" s="1" t="str">
        <f t="shared" si="13253"/>
        <v>0</v>
      </c>
      <c r="G7593" s="1" t="str">
        <f t="shared" si="13253"/>
        <v>0</v>
      </c>
      <c r="H7593" s="1" t="str">
        <f t="shared" si="13253"/>
        <v>0</v>
      </c>
      <c r="I7593" s="1" t="str">
        <f t="shared" si="13253"/>
        <v>0</v>
      </c>
      <c r="J7593" s="1" t="str">
        <f t="shared" si="13253"/>
        <v>0</v>
      </c>
      <c r="K7593" s="1" t="str">
        <f t="shared" si="13253"/>
        <v>0</v>
      </c>
      <c r="L7593" s="1" t="str">
        <f t="shared" si="13253"/>
        <v>0</v>
      </c>
      <c r="M7593" s="1" t="str">
        <f t="shared" si="13253"/>
        <v>0</v>
      </c>
      <c r="N7593" s="1" t="str">
        <f t="shared" si="13253"/>
        <v>0</v>
      </c>
      <c r="O7593" s="1" t="str">
        <f t="shared" si="13253"/>
        <v>0</v>
      </c>
      <c r="P7593" s="1" t="str">
        <f t="shared" si="13253"/>
        <v>0</v>
      </c>
      <c r="Q7593" s="1" t="str">
        <f t="shared" si="13213"/>
        <v>0.0070</v>
      </c>
      <c r="R7593" s="1" t="s">
        <v>25</v>
      </c>
      <c r="T7593" s="1" t="str">
        <f t="shared" si="13214"/>
        <v>0</v>
      </c>
      <c r="U7593" s="1" t="str">
        <f t="shared" si="13224"/>
        <v>0.0070</v>
      </c>
    </row>
    <row r="7594" s="1" customFormat="1" spans="1:21">
      <c r="A7594" s="1" t="str">
        <f>"4601992346490"</f>
        <v>4601992346490</v>
      </c>
      <c r="B7594" s="1" t="s">
        <v>7617</v>
      </c>
      <c r="C7594" s="1" t="s">
        <v>24</v>
      </c>
      <c r="D7594" s="1" t="str">
        <f t="shared" si="13211"/>
        <v>2021</v>
      </c>
      <c r="E7594" s="1" t="str">
        <f t="shared" ref="E7594:P7594" si="13254">"0"</f>
        <v>0</v>
      </c>
      <c r="F7594" s="1" t="str">
        <f t="shared" si="13254"/>
        <v>0</v>
      </c>
      <c r="G7594" s="1" t="str">
        <f t="shared" si="13254"/>
        <v>0</v>
      </c>
      <c r="H7594" s="1" t="str">
        <f t="shared" si="13254"/>
        <v>0</v>
      </c>
      <c r="I7594" s="1" t="str">
        <f t="shared" si="13254"/>
        <v>0</v>
      </c>
      <c r="J7594" s="1" t="str">
        <f t="shared" si="13254"/>
        <v>0</v>
      </c>
      <c r="K7594" s="1" t="str">
        <f t="shared" si="13254"/>
        <v>0</v>
      </c>
      <c r="L7594" s="1" t="str">
        <f t="shared" si="13254"/>
        <v>0</v>
      </c>
      <c r="M7594" s="1" t="str">
        <f t="shared" si="13254"/>
        <v>0</v>
      </c>
      <c r="N7594" s="1" t="str">
        <f t="shared" si="13254"/>
        <v>0</v>
      </c>
      <c r="O7594" s="1" t="str">
        <f t="shared" si="13254"/>
        <v>0</v>
      </c>
      <c r="P7594" s="1" t="str">
        <f t="shared" si="13254"/>
        <v>0</v>
      </c>
      <c r="Q7594" s="1" t="str">
        <f t="shared" si="13213"/>
        <v>0.0070</v>
      </c>
      <c r="R7594" s="1" t="s">
        <v>25</v>
      </c>
      <c r="T7594" s="1" t="str">
        <f t="shared" si="13214"/>
        <v>0</v>
      </c>
      <c r="U7594" s="1" t="str">
        <f t="shared" si="13224"/>
        <v>0.0070</v>
      </c>
    </row>
    <row r="7595" s="1" customFormat="1" spans="1:21">
      <c r="A7595" s="1" t="str">
        <f>"4601992346576"</f>
        <v>4601992346576</v>
      </c>
      <c r="B7595" s="1" t="s">
        <v>7618</v>
      </c>
      <c r="C7595" s="1" t="s">
        <v>24</v>
      </c>
      <c r="D7595" s="1" t="str">
        <f t="shared" si="13211"/>
        <v>2021</v>
      </c>
      <c r="E7595" s="1" t="str">
        <f t="shared" ref="E7595:P7595" si="13255">"0"</f>
        <v>0</v>
      </c>
      <c r="F7595" s="1" t="str">
        <f t="shared" si="13255"/>
        <v>0</v>
      </c>
      <c r="G7595" s="1" t="str">
        <f t="shared" si="13255"/>
        <v>0</v>
      </c>
      <c r="H7595" s="1" t="str">
        <f t="shared" si="13255"/>
        <v>0</v>
      </c>
      <c r="I7595" s="1" t="str">
        <f t="shared" si="13255"/>
        <v>0</v>
      </c>
      <c r="J7595" s="1" t="str">
        <f t="shared" si="13255"/>
        <v>0</v>
      </c>
      <c r="K7595" s="1" t="str">
        <f t="shared" si="13255"/>
        <v>0</v>
      </c>
      <c r="L7595" s="1" t="str">
        <f t="shared" si="13255"/>
        <v>0</v>
      </c>
      <c r="M7595" s="1" t="str">
        <f t="shared" si="13255"/>
        <v>0</v>
      </c>
      <c r="N7595" s="1" t="str">
        <f t="shared" si="13255"/>
        <v>0</v>
      </c>
      <c r="O7595" s="1" t="str">
        <f t="shared" si="13255"/>
        <v>0</v>
      </c>
      <c r="P7595" s="1" t="str">
        <f t="shared" si="13255"/>
        <v>0</v>
      </c>
      <c r="Q7595" s="1" t="str">
        <f t="shared" si="13213"/>
        <v>0.0070</v>
      </c>
      <c r="R7595" s="1" t="s">
        <v>25</v>
      </c>
      <c r="T7595" s="1" t="str">
        <f t="shared" si="13214"/>
        <v>0</v>
      </c>
      <c r="U7595" s="1" t="str">
        <f t="shared" si="13224"/>
        <v>0.0070</v>
      </c>
    </row>
    <row r="7596" s="1" customFormat="1" spans="1:21">
      <c r="A7596" s="1" t="str">
        <f>"4601992346597"</f>
        <v>4601992346597</v>
      </c>
      <c r="B7596" s="1" t="s">
        <v>7619</v>
      </c>
      <c r="C7596" s="1" t="s">
        <v>24</v>
      </c>
      <c r="D7596" s="1" t="str">
        <f t="shared" si="13211"/>
        <v>2021</v>
      </c>
      <c r="E7596" s="1" t="str">
        <f t="shared" ref="E7596:P7596" si="13256">"0"</f>
        <v>0</v>
      </c>
      <c r="F7596" s="1" t="str">
        <f t="shared" si="13256"/>
        <v>0</v>
      </c>
      <c r="G7596" s="1" t="str">
        <f t="shared" si="13256"/>
        <v>0</v>
      </c>
      <c r="H7596" s="1" t="str">
        <f t="shared" si="13256"/>
        <v>0</v>
      </c>
      <c r="I7596" s="1" t="str">
        <f t="shared" si="13256"/>
        <v>0</v>
      </c>
      <c r="J7596" s="1" t="str">
        <f t="shared" si="13256"/>
        <v>0</v>
      </c>
      <c r="K7596" s="1" t="str">
        <f t="shared" si="13256"/>
        <v>0</v>
      </c>
      <c r="L7596" s="1" t="str">
        <f t="shared" si="13256"/>
        <v>0</v>
      </c>
      <c r="M7596" s="1" t="str">
        <f t="shared" si="13256"/>
        <v>0</v>
      </c>
      <c r="N7596" s="1" t="str">
        <f t="shared" si="13256"/>
        <v>0</v>
      </c>
      <c r="O7596" s="1" t="str">
        <f t="shared" si="13256"/>
        <v>0</v>
      </c>
      <c r="P7596" s="1" t="str">
        <f t="shared" si="13256"/>
        <v>0</v>
      </c>
      <c r="Q7596" s="1" t="str">
        <f t="shared" si="13213"/>
        <v>0.0070</v>
      </c>
      <c r="R7596" s="1" t="s">
        <v>25</v>
      </c>
      <c r="T7596" s="1" t="str">
        <f t="shared" si="13214"/>
        <v>0</v>
      </c>
      <c r="U7596" s="1" t="str">
        <f t="shared" si="13224"/>
        <v>0.0070</v>
      </c>
    </row>
    <row r="7597" s="1" customFormat="1" spans="1:21">
      <c r="A7597" s="1" t="str">
        <f>"4601992346578"</f>
        <v>4601992346578</v>
      </c>
      <c r="B7597" s="1" t="s">
        <v>7620</v>
      </c>
      <c r="C7597" s="1" t="s">
        <v>24</v>
      </c>
      <c r="D7597" s="1" t="str">
        <f t="shared" si="13211"/>
        <v>2021</v>
      </c>
      <c r="E7597" s="1" t="str">
        <f t="shared" ref="E7597:P7597" si="13257">"0"</f>
        <v>0</v>
      </c>
      <c r="F7597" s="1" t="str">
        <f t="shared" si="13257"/>
        <v>0</v>
      </c>
      <c r="G7597" s="1" t="str">
        <f t="shared" si="13257"/>
        <v>0</v>
      </c>
      <c r="H7597" s="1" t="str">
        <f t="shared" si="13257"/>
        <v>0</v>
      </c>
      <c r="I7597" s="1" t="str">
        <f t="shared" si="13257"/>
        <v>0</v>
      </c>
      <c r="J7597" s="1" t="str">
        <f t="shared" si="13257"/>
        <v>0</v>
      </c>
      <c r="K7597" s="1" t="str">
        <f t="shared" si="13257"/>
        <v>0</v>
      </c>
      <c r="L7597" s="1" t="str">
        <f t="shared" si="13257"/>
        <v>0</v>
      </c>
      <c r="M7597" s="1" t="str">
        <f t="shared" si="13257"/>
        <v>0</v>
      </c>
      <c r="N7597" s="1" t="str">
        <f t="shared" si="13257"/>
        <v>0</v>
      </c>
      <c r="O7597" s="1" t="str">
        <f t="shared" si="13257"/>
        <v>0</v>
      </c>
      <c r="P7597" s="1" t="str">
        <f t="shared" si="13257"/>
        <v>0</v>
      </c>
      <c r="Q7597" s="1" t="str">
        <f t="shared" si="13213"/>
        <v>0.0070</v>
      </c>
      <c r="R7597" s="1" t="s">
        <v>25</v>
      </c>
      <c r="T7597" s="1" t="str">
        <f t="shared" si="13214"/>
        <v>0</v>
      </c>
      <c r="U7597" s="1" t="str">
        <f t="shared" si="13224"/>
        <v>0.0070</v>
      </c>
    </row>
    <row r="7598" s="1" customFormat="1" spans="1:21">
      <c r="A7598" s="1" t="str">
        <f>"4601992346601"</f>
        <v>4601992346601</v>
      </c>
      <c r="B7598" s="1" t="s">
        <v>7621</v>
      </c>
      <c r="C7598" s="1" t="s">
        <v>24</v>
      </c>
      <c r="D7598" s="1" t="str">
        <f t="shared" si="13211"/>
        <v>2021</v>
      </c>
      <c r="E7598" s="1" t="str">
        <f t="shared" ref="E7598:P7598" si="13258">"0"</f>
        <v>0</v>
      </c>
      <c r="F7598" s="1" t="str">
        <f t="shared" si="13258"/>
        <v>0</v>
      </c>
      <c r="G7598" s="1" t="str">
        <f t="shared" si="13258"/>
        <v>0</v>
      </c>
      <c r="H7598" s="1" t="str">
        <f t="shared" si="13258"/>
        <v>0</v>
      </c>
      <c r="I7598" s="1" t="str">
        <f t="shared" si="13258"/>
        <v>0</v>
      </c>
      <c r="J7598" s="1" t="str">
        <f t="shared" si="13258"/>
        <v>0</v>
      </c>
      <c r="K7598" s="1" t="str">
        <f t="shared" si="13258"/>
        <v>0</v>
      </c>
      <c r="L7598" s="1" t="str">
        <f t="shared" si="13258"/>
        <v>0</v>
      </c>
      <c r="M7598" s="1" t="str">
        <f t="shared" si="13258"/>
        <v>0</v>
      </c>
      <c r="N7598" s="1" t="str">
        <f t="shared" si="13258"/>
        <v>0</v>
      </c>
      <c r="O7598" s="1" t="str">
        <f t="shared" si="13258"/>
        <v>0</v>
      </c>
      <c r="P7598" s="1" t="str">
        <f t="shared" si="13258"/>
        <v>0</v>
      </c>
      <c r="Q7598" s="1" t="str">
        <f t="shared" si="13213"/>
        <v>0.0070</v>
      </c>
      <c r="R7598" s="1" t="s">
        <v>25</v>
      </c>
      <c r="T7598" s="1" t="str">
        <f t="shared" si="13214"/>
        <v>0</v>
      </c>
      <c r="U7598" s="1" t="str">
        <f t="shared" si="13224"/>
        <v>0.0070</v>
      </c>
    </row>
    <row r="7599" s="1" customFormat="1" spans="1:21">
      <c r="A7599" s="1" t="str">
        <f>"4601992346636"</f>
        <v>4601992346636</v>
      </c>
      <c r="B7599" s="1" t="s">
        <v>7622</v>
      </c>
      <c r="C7599" s="1" t="s">
        <v>24</v>
      </c>
      <c r="D7599" s="1" t="str">
        <f t="shared" si="13211"/>
        <v>2021</v>
      </c>
      <c r="E7599" s="1" t="str">
        <f t="shared" ref="E7599:P7599" si="13259">"0"</f>
        <v>0</v>
      </c>
      <c r="F7599" s="1" t="str">
        <f t="shared" si="13259"/>
        <v>0</v>
      </c>
      <c r="G7599" s="1" t="str">
        <f t="shared" si="13259"/>
        <v>0</v>
      </c>
      <c r="H7599" s="1" t="str">
        <f t="shared" si="13259"/>
        <v>0</v>
      </c>
      <c r="I7599" s="1" t="str">
        <f t="shared" si="13259"/>
        <v>0</v>
      </c>
      <c r="J7599" s="1" t="str">
        <f t="shared" si="13259"/>
        <v>0</v>
      </c>
      <c r="K7599" s="1" t="str">
        <f t="shared" si="13259"/>
        <v>0</v>
      </c>
      <c r="L7599" s="1" t="str">
        <f t="shared" si="13259"/>
        <v>0</v>
      </c>
      <c r="M7599" s="1" t="str">
        <f t="shared" si="13259"/>
        <v>0</v>
      </c>
      <c r="N7599" s="1" t="str">
        <f t="shared" si="13259"/>
        <v>0</v>
      </c>
      <c r="O7599" s="1" t="str">
        <f t="shared" si="13259"/>
        <v>0</v>
      </c>
      <c r="P7599" s="1" t="str">
        <f t="shared" si="13259"/>
        <v>0</v>
      </c>
      <c r="Q7599" s="1" t="str">
        <f t="shared" si="13213"/>
        <v>0.0070</v>
      </c>
      <c r="R7599" s="1" t="s">
        <v>25</v>
      </c>
      <c r="T7599" s="1" t="str">
        <f t="shared" si="13214"/>
        <v>0</v>
      </c>
      <c r="U7599" s="1" t="str">
        <f t="shared" si="13224"/>
        <v>0.0070</v>
      </c>
    </row>
    <row r="7600" s="1" customFormat="1" spans="1:21">
      <c r="A7600" s="1" t="str">
        <f>"4601992346643"</f>
        <v>4601992346643</v>
      </c>
      <c r="B7600" s="1" t="s">
        <v>7623</v>
      </c>
      <c r="C7600" s="1" t="s">
        <v>24</v>
      </c>
      <c r="D7600" s="1" t="str">
        <f t="shared" si="13211"/>
        <v>2021</v>
      </c>
      <c r="E7600" s="1" t="str">
        <f t="shared" ref="E7600:P7600" si="13260">"0"</f>
        <v>0</v>
      </c>
      <c r="F7600" s="1" t="str">
        <f t="shared" si="13260"/>
        <v>0</v>
      </c>
      <c r="G7600" s="1" t="str">
        <f t="shared" si="13260"/>
        <v>0</v>
      </c>
      <c r="H7600" s="1" t="str">
        <f t="shared" si="13260"/>
        <v>0</v>
      </c>
      <c r="I7600" s="1" t="str">
        <f t="shared" si="13260"/>
        <v>0</v>
      </c>
      <c r="J7600" s="1" t="str">
        <f t="shared" si="13260"/>
        <v>0</v>
      </c>
      <c r="K7600" s="1" t="str">
        <f t="shared" si="13260"/>
        <v>0</v>
      </c>
      <c r="L7600" s="1" t="str">
        <f t="shared" si="13260"/>
        <v>0</v>
      </c>
      <c r="M7600" s="1" t="str">
        <f t="shared" si="13260"/>
        <v>0</v>
      </c>
      <c r="N7600" s="1" t="str">
        <f t="shared" si="13260"/>
        <v>0</v>
      </c>
      <c r="O7600" s="1" t="str">
        <f t="shared" si="13260"/>
        <v>0</v>
      </c>
      <c r="P7600" s="1" t="str">
        <f t="shared" si="13260"/>
        <v>0</v>
      </c>
      <c r="Q7600" s="1" t="str">
        <f t="shared" si="13213"/>
        <v>0.0070</v>
      </c>
      <c r="R7600" s="1" t="s">
        <v>25</v>
      </c>
      <c r="T7600" s="1" t="str">
        <f t="shared" si="13214"/>
        <v>0</v>
      </c>
      <c r="U7600" s="1" t="str">
        <f t="shared" si="13224"/>
        <v>0.0070</v>
      </c>
    </row>
    <row r="7601" s="1" customFormat="1" spans="1:21">
      <c r="A7601" s="1" t="str">
        <f>"4601992346704"</f>
        <v>4601992346704</v>
      </c>
      <c r="B7601" s="1" t="s">
        <v>7624</v>
      </c>
      <c r="C7601" s="1" t="s">
        <v>24</v>
      </c>
      <c r="D7601" s="1" t="str">
        <f t="shared" si="13211"/>
        <v>2021</v>
      </c>
      <c r="E7601" s="1" t="str">
        <f t="shared" ref="E7601:P7601" si="13261">"0"</f>
        <v>0</v>
      </c>
      <c r="F7601" s="1" t="str">
        <f t="shared" si="13261"/>
        <v>0</v>
      </c>
      <c r="G7601" s="1" t="str">
        <f t="shared" si="13261"/>
        <v>0</v>
      </c>
      <c r="H7601" s="1" t="str">
        <f t="shared" si="13261"/>
        <v>0</v>
      </c>
      <c r="I7601" s="1" t="str">
        <f t="shared" si="13261"/>
        <v>0</v>
      </c>
      <c r="J7601" s="1" t="str">
        <f t="shared" si="13261"/>
        <v>0</v>
      </c>
      <c r="K7601" s="1" t="str">
        <f t="shared" si="13261"/>
        <v>0</v>
      </c>
      <c r="L7601" s="1" t="str">
        <f t="shared" si="13261"/>
        <v>0</v>
      </c>
      <c r="M7601" s="1" t="str">
        <f t="shared" si="13261"/>
        <v>0</v>
      </c>
      <c r="N7601" s="1" t="str">
        <f t="shared" si="13261"/>
        <v>0</v>
      </c>
      <c r="O7601" s="1" t="str">
        <f t="shared" si="13261"/>
        <v>0</v>
      </c>
      <c r="P7601" s="1" t="str">
        <f t="shared" si="13261"/>
        <v>0</v>
      </c>
      <c r="Q7601" s="1" t="str">
        <f t="shared" si="13213"/>
        <v>0.0070</v>
      </c>
      <c r="R7601" s="1" t="s">
        <v>25</v>
      </c>
      <c r="T7601" s="1" t="str">
        <f t="shared" si="13214"/>
        <v>0</v>
      </c>
      <c r="U7601" s="1" t="str">
        <f t="shared" si="13224"/>
        <v>0.0070</v>
      </c>
    </row>
    <row r="7602" s="1" customFormat="1" spans="1:21">
      <c r="A7602" s="1" t="str">
        <f>"4601992346800"</f>
        <v>4601992346800</v>
      </c>
      <c r="B7602" s="1" t="s">
        <v>7625</v>
      </c>
      <c r="C7602" s="1" t="s">
        <v>24</v>
      </c>
      <c r="D7602" s="1" t="str">
        <f t="shared" si="13211"/>
        <v>2021</v>
      </c>
      <c r="E7602" s="1" t="str">
        <f t="shared" ref="E7602:P7602" si="13262">"0"</f>
        <v>0</v>
      </c>
      <c r="F7602" s="1" t="str">
        <f t="shared" si="13262"/>
        <v>0</v>
      </c>
      <c r="G7602" s="1" t="str">
        <f t="shared" si="13262"/>
        <v>0</v>
      </c>
      <c r="H7602" s="1" t="str">
        <f t="shared" si="13262"/>
        <v>0</v>
      </c>
      <c r="I7602" s="1" t="str">
        <f t="shared" si="13262"/>
        <v>0</v>
      </c>
      <c r="J7602" s="1" t="str">
        <f t="shared" si="13262"/>
        <v>0</v>
      </c>
      <c r="K7602" s="1" t="str">
        <f t="shared" si="13262"/>
        <v>0</v>
      </c>
      <c r="L7602" s="1" t="str">
        <f t="shared" si="13262"/>
        <v>0</v>
      </c>
      <c r="M7602" s="1" t="str">
        <f t="shared" si="13262"/>
        <v>0</v>
      </c>
      <c r="N7602" s="1" t="str">
        <f t="shared" si="13262"/>
        <v>0</v>
      </c>
      <c r="O7602" s="1" t="str">
        <f t="shared" si="13262"/>
        <v>0</v>
      </c>
      <c r="P7602" s="1" t="str">
        <f t="shared" si="13262"/>
        <v>0</v>
      </c>
      <c r="Q7602" s="1" t="str">
        <f t="shared" si="13213"/>
        <v>0.0070</v>
      </c>
      <c r="R7602" s="1" t="s">
        <v>25</v>
      </c>
      <c r="T7602" s="1" t="str">
        <f t="shared" si="13214"/>
        <v>0</v>
      </c>
      <c r="U7602" s="1" t="str">
        <f t="shared" si="13224"/>
        <v>0.0070</v>
      </c>
    </row>
    <row r="7603" s="1" customFormat="1" spans="1:21">
      <c r="A7603" s="1" t="str">
        <f>"4601992347186"</f>
        <v>4601992347186</v>
      </c>
      <c r="B7603" s="1" t="s">
        <v>7626</v>
      </c>
      <c r="C7603" s="1" t="s">
        <v>24</v>
      </c>
      <c r="D7603" s="1" t="str">
        <f t="shared" si="13211"/>
        <v>2021</v>
      </c>
      <c r="E7603" s="1" t="str">
        <f t="shared" ref="E7603:P7603" si="13263">"0"</f>
        <v>0</v>
      </c>
      <c r="F7603" s="1" t="str">
        <f t="shared" si="13263"/>
        <v>0</v>
      </c>
      <c r="G7603" s="1" t="str">
        <f t="shared" si="13263"/>
        <v>0</v>
      </c>
      <c r="H7603" s="1" t="str">
        <f t="shared" si="13263"/>
        <v>0</v>
      </c>
      <c r="I7603" s="1" t="str">
        <f t="shared" si="13263"/>
        <v>0</v>
      </c>
      <c r="J7603" s="1" t="str">
        <f t="shared" si="13263"/>
        <v>0</v>
      </c>
      <c r="K7603" s="1" t="str">
        <f t="shared" si="13263"/>
        <v>0</v>
      </c>
      <c r="L7603" s="1" t="str">
        <f t="shared" si="13263"/>
        <v>0</v>
      </c>
      <c r="M7603" s="1" t="str">
        <f t="shared" si="13263"/>
        <v>0</v>
      </c>
      <c r="N7603" s="1" t="str">
        <f t="shared" si="13263"/>
        <v>0</v>
      </c>
      <c r="O7603" s="1" t="str">
        <f t="shared" si="13263"/>
        <v>0</v>
      </c>
      <c r="P7603" s="1" t="str">
        <f t="shared" si="13263"/>
        <v>0</v>
      </c>
      <c r="Q7603" s="1" t="str">
        <f t="shared" si="13213"/>
        <v>0.0070</v>
      </c>
      <c r="R7603" s="1" t="s">
        <v>25</v>
      </c>
      <c r="T7603" s="1" t="str">
        <f t="shared" si="13214"/>
        <v>0</v>
      </c>
      <c r="U7603" s="1" t="str">
        <f t="shared" si="13224"/>
        <v>0.0070</v>
      </c>
    </row>
    <row r="7604" s="1" customFormat="1" spans="1:21">
      <c r="A7604" s="1" t="str">
        <f>"4601992347332"</f>
        <v>4601992347332</v>
      </c>
      <c r="B7604" s="1" t="s">
        <v>7627</v>
      </c>
      <c r="C7604" s="1" t="s">
        <v>24</v>
      </c>
      <c r="D7604" s="1" t="str">
        <f t="shared" si="13211"/>
        <v>2021</v>
      </c>
      <c r="E7604" s="1" t="str">
        <f t="shared" ref="E7604:P7604" si="13264">"0"</f>
        <v>0</v>
      </c>
      <c r="F7604" s="1" t="str">
        <f t="shared" si="13264"/>
        <v>0</v>
      </c>
      <c r="G7604" s="1" t="str">
        <f t="shared" si="13264"/>
        <v>0</v>
      </c>
      <c r="H7604" s="1" t="str">
        <f t="shared" si="13264"/>
        <v>0</v>
      </c>
      <c r="I7604" s="1" t="str">
        <f t="shared" si="13264"/>
        <v>0</v>
      </c>
      <c r="J7604" s="1" t="str">
        <f t="shared" si="13264"/>
        <v>0</v>
      </c>
      <c r="K7604" s="1" t="str">
        <f t="shared" si="13264"/>
        <v>0</v>
      </c>
      <c r="L7604" s="1" t="str">
        <f t="shared" si="13264"/>
        <v>0</v>
      </c>
      <c r="M7604" s="1" t="str">
        <f t="shared" si="13264"/>
        <v>0</v>
      </c>
      <c r="N7604" s="1" t="str">
        <f t="shared" si="13264"/>
        <v>0</v>
      </c>
      <c r="O7604" s="1" t="str">
        <f t="shared" si="13264"/>
        <v>0</v>
      </c>
      <c r="P7604" s="1" t="str">
        <f t="shared" si="13264"/>
        <v>0</v>
      </c>
      <c r="Q7604" s="1" t="str">
        <f t="shared" si="13213"/>
        <v>0.0070</v>
      </c>
      <c r="R7604" s="1" t="s">
        <v>25</v>
      </c>
      <c r="T7604" s="1" t="str">
        <f t="shared" si="13214"/>
        <v>0</v>
      </c>
      <c r="U7604" s="1" t="str">
        <f t="shared" si="13224"/>
        <v>0.0070</v>
      </c>
    </row>
    <row r="7605" s="1" customFormat="1" spans="1:21">
      <c r="A7605" s="1" t="str">
        <f>"4601992347230"</f>
        <v>4601992347230</v>
      </c>
      <c r="B7605" s="1" t="s">
        <v>7628</v>
      </c>
      <c r="C7605" s="1" t="s">
        <v>24</v>
      </c>
      <c r="D7605" s="1" t="str">
        <f t="shared" si="13211"/>
        <v>2021</v>
      </c>
      <c r="E7605" s="1" t="str">
        <f t="shared" ref="E7605:P7605" si="13265">"0"</f>
        <v>0</v>
      </c>
      <c r="F7605" s="1" t="str">
        <f t="shared" si="13265"/>
        <v>0</v>
      </c>
      <c r="G7605" s="1" t="str">
        <f t="shared" si="13265"/>
        <v>0</v>
      </c>
      <c r="H7605" s="1" t="str">
        <f t="shared" si="13265"/>
        <v>0</v>
      </c>
      <c r="I7605" s="1" t="str">
        <f t="shared" si="13265"/>
        <v>0</v>
      </c>
      <c r="J7605" s="1" t="str">
        <f t="shared" si="13265"/>
        <v>0</v>
      </c>
      <c r="K7605" s="1" t="str">
        <f t="shared" si="13265"/>
        <v>0</v>
      </c>
      <c r="L7605" s="1" t="str">
        <f t="shared" si="13265"/>
        <v>0</v>
      </c>
      <c r="M7605" s="1" t="str">
        <f t="shared" si="13265"/>
        <v>0</v>
      </c>
      <c r="N7605" s="1" t="str">
        <f t="shared" si="13265"/>
        <v>0</v>
      </c>
      <c r="O7605" s="1" t="str">
        <f t="shared" si="13265"/>
        <v>0</v>
      </c>
      <c r="P7605" s="1" t="str">
        <f t="shared" si="13265"/>
        <v>0</v>
      </c>
      <c r="Q7605" s="1" t="str">
        <f t="shared" si="13213"/>
        <v>0.0070</v>
      </c>
      <c r="R7605" s="1" t="s">
        <v>25</v>
      </c>
      <c r="T7605" s="1" t="str">
        <f t="shared" si="13214"/>
        <v>0</v>
      </c>
      <c r="U7605" s="1" t="str">
        <f t="shared" si="13224"/>
        <v>0.0070</v>
      </c>
    </row>
    <row r="7606" s="1" customFormat="1" spans="1:21">
      <c r="A7606" s="1" t="str">
        <f>"4601992347392"</f>
        <v>4601992347392</v>
      </c>
      <c r="B7606" s="1" t="s">
        <v>7629</v>
      </c>
      <c r="C7606" s="1" t="s">
        <v>24</v>
      </c>
      <c r="D7606" s="1" t="str">
        <f t="shared" si="13211"/>
        <v>2021</v>
      </c>
      <c r="E7606" s="1" t="str">
        <f t="shared" ref="E7606:P7606" si="13266">"0"</f>
        <v>0</v>
      </c>
      <c r="F7606" s="1" t="str">
        <f t="shared" si="13266"/>
        <v>0</v>
      </c>
      <c r="G7606" s="1" t="str">
        <f t="shared" si="13266"/>
        <v>0</v>
      </c>
      <c r="H7606" s="1" t="str">
        <f t="shared" si="13266"/>
        <v>0</v>
      </c>
      <c r="I7606" s="1" t="str">
        <f t="shared" si="13266"/>
        <v>0</v>
      </c>
      <c r="J7606" s="1" t="str">
        <f t="shared" si="13266"/>
        <v>0</v>
      </c>
      <c r="K7606" s="1" t="str">
        <f t="shared" si="13266"/>
        <v>0</v>
      </c>
      <c r="L7606" s="1" t="str">
        <f t="shared" si="13266"/>
        <v>0</v>
      </c>
      <c r="M7606" s="1" t="str">
        <f t="shared" si="13266"/>
        <v>0</v>
      </c>
      <c r="N7606" s="1" t="str">
        <f t="shared" si="13266"/>
        <v>0</v>
      </c>
      <c r="O7606" s="1" t="str">
        <f t="shared" si="13266"/>
        <v>0</v>
      </c>
      <c r="P7606" s="1" t="str">
        <f t="shared" si="13266"/>
        <v>0</v>
      </c>
      <c r="Q7606" s="1" t="str">
        <f t="shared" si="13213"/>
        <v>0.0070</v>
      </c>
      <c r="R7606" s="1" t="s">
        <v>25</v>
      </c>
      <c r="T7606" s="1" t="str">
        <f t="shared" si="13214"/>
        <v>0</v>
      </c>
      <c r="U7606" s="1" t="str">
        <f t="shared" si="13224"/>
        <v>0.0070</v>
      </c>
    </row>
    <row r="7607" s="1" customFormat="1" spans="1:21">
      <c r="A7607" s="1" t="str">
        <f>"4601992347454"</f>
        <v>4601992347454</v>
      </c>
      <c r="B7607" s="1" t="s">
        <v>7630</v>
      </c>
      <c r="C7607" s="1" t="s">
        <v>24</v>
      </c>
      <c r="D7607" s="1" t="str">
        <f t="shared" si="13211"/>
        <v>2021</v>
      </c>
      <c r="E7607" s="1" t="str">
        <f t="shared" ref="E7607:P7607" si="13267">"0"</f>
        <v>0</v>
      </c>
      <c r="F7607" s="1" t="str">
        <f t="shared" si="13267"/>
        <v>0</v>
      </c>
      <c r="G7607" s="1" t="str">
        <f t="shared" si="13267"/>
        <v>0</v>
      </c>
      <c r="H7607" s="1" t="str">
        <f t="shared" si="13267"/>
        <v>0</v>
      </c>
      <c r="I7607" s="1" t="str">
        <f t="shared" si="13267"/>
        <v>0</v>
      </c>
      <c r="J7607" s="1" t="str">
        <f t="shared" si="13267"/>
        <v>0</v>
      </c>
      <c r="K7607" s="1" t="str">
        <f t="shared" si="13267"/>
        <v>0</v>
      </c>
      <c r="L7607" s="1" t="str">
        <f t="shared" si="13267"/>
        <v>0</v>
      </c>
      <c r="M7607" s="1" t="str">
        <f t="shared" si="13267"/>
        <v>0</v>
      </c>
      <c r="N7607" s="1" t="str">
        <f t="shared" si="13267"/>
        <v>0</v>
      </c>
      <c r="O7607" s="1" t="str">
        <f t="shared" si="13267"/>
        <v>0</v>
      </c>
      <c r="P7607" s="1" t="str">
        <f t="shared" si="13267"/>
        <v>0</v>
      </c>
      <c r="Q7607" s="1" t="str">
        <f t="shared" si="13213"/>
        <v>0.0070</v>
      </c>
      <c r="R7607" s="1" t="s">
        <v>25</v>
      </c>
      <c r="T7607" s="1" t="str">
        <f t="shared" si="13214"/>
        <v>0</v>
      </c>
      <c r="U7607" s="1" t="str">
        <f t="shared" si="13224"/>
        <v>0.0070</v>
      </c>
    </row>
    <row r="7608" s="1" customFormat="1" spans="1:21">
      <c r="A7608" s="1" t="str">
        <f>"4601992347476"</f>
        <v>4601992347476</v>
      </c>
      <c r="B7608" s="1" t="s">
        <v>7631</v>
      </c>
      <c r="C7608" s="1" t="s">
        <v>24</v>
      </c>
      <c r="D7608" s="1" t="str">
        <f t="shared" si="13211"/>
        <v>2021</v>
      </c>
      <c r="E7608" s="1" t="str">
        <f t="shared" ref="E7608:P7608" si="13268">"0"</f>
        <v>0</v>
      </c>
      <c r="F7608" s="1" t="str">
        <f t="shared" si="13268"/>
        <v>0</v>
      </c>
      <c r="G7608" s="1" t="str">
        <f t="shared" si="13268"/>
        <v>0</v>
      </c>
      <c r="H7608" s="1" t="str">
        <f t="shared" si="13268"/>
        <v>0</v>
      </c>
      <c r="I7608" s="1" t="str">
        <f t="shared" si="13268"/>
        <v>0</v>
      </c>
      <c r="J7608" s="1" t="str">
        <f t="shared" si="13268"/>
        <v>0</v>
      </c>
      <c r="K7608" s="1" t="str">
        <f t="shared" si="13268"/>
        <v>0</v>
      </c>
      <c r="L7608" s="1" t="str">
        <f t="shared" si="13268"/>
        <v>0</v>
      </c>
      <c r="M7608" s="1" t="str">
        <f t="shared" si="13268"/>
        <v>0</v>
      </c>
      <c r="N7608" s="1" t="str">
        <f t="shared" si="13268"/>
        <v>0</v>
      </c>
      <c r="O7608" s="1" t="str">
        <f t="shared" si="13268"/>
        <v>0</v>
      </c>
      <c r="P7608" s="1" t="str">
        <f t="shared" si="13268"/>
        <v>0</v>
      </c>
      <c r="Q7608" s="1" t="str">
        <f t="shared" si="13213"/>
        <v>0.0070</v>
      </c>
      <c r="R7608" s="1" t="s">
        <v>25</v>
      </c>
      <c r="T7608" s="1" t="str">
        <f t="shared" si="13214"/>
        <v>0</v>
      </c>
      <c r="U7608" s="1" t="str">
        <f t="shared" si="13224"/>
        <v>0.0070</v>
      </c>
    </row>
    <row r="7609" s="1" customFormat="1" spans="1:21">
      <c r="A7609" s="1" t="str">
        <f>"4601992347556"</f>
        <v>4601992347556</v>
      </c>
      <c r="B7609" s="1" t="s">
        <v>7632</v>
      </c>
      <c r="C7609" s="1" t="s">
        <v>24</v>
      </c>
      <c r="D7609" s="1" t="str">
        <f t="shared" si="13211"/>
        <v>2021</v>
      </c>
      <c r="E7609" s="1" t="str">
        <f t="shared" ref="E7609:P7609" si="13269">"0"</f>
        <v>0</v>
      </c>
      <c r="F7609" s="1" t="str">
        <f t="shared" si="13269"/>
        <v>0</v>
      </c>
      <c r="G7609" s="1" t="str">
        <f t="shared" si="13269"/>
        <v>0</v>
      </c>
      <c r="H7609" s="1" t="str">
        <f t="shared" si="13269"/>
        <v>0</v>
      </c>
      <c r="I7609" s="1" t="str">
        <f t="shared" si="13269"/>
        <v>0</v>
      </c>
      <c r="J7609" s="1" t="str">
        <f t="shared" si="13269"/>
        <v>0</v>
      </c>
      <c r="K7609" s="1" t="str">
        <f t="shared" si="13269"/>
        <v>0</v>
      </c>
      <c r="L7609" s="1" t="str">
        <f t="shared" si="13269"/>
        <v>0</v>
      </c>
      <c r="M7609" s="1" t="str">
        <f t="shared" si="13269"/>
        <v>0</v>
      </c>
      <c r="N7609" s="1" t="str">
        <f t="shared" si="13269"/>
        <v>0</v>
      </c>
      <c r="O7609" s="1" t="str">
        <f t="shared" si="13269"/>
        <v>0</v>
      </c>
      <c r="P7609" s="1" t="str">
        <f t="shared" si="13269"/>
        <v>0</v>
      </c>
      <c r="Q7609" s="1" t="str">
        <f t="shared" si="13213"/>
        <v>0.0070</v>
      </c>
      <c r="R7609" s="1" t="s">
        <v>25</v>
      </c>
      <c r="T7609" s="1" t="str">
        <f t="shared" si="13214"/>
        <v>0</v>
      </c>
      <c r="U7609" s="1" t="str">
        <f t="shared" si="13224"/>
        <v>0.0070</v>
      </c>
    </row>
    <row r="7610" s="1" customFormat="1" spans="1:21">
      <c r="A7610" s="1" t="str">
        <f>"4601992347557"</f>
        <v>4601992347557</v>
      </c>
      <c r="B7610" s="1" t="s">
        <v>7633</v>
      </c>
      <c r="C7610" s="1" t="s">
        <v>24</v>
      </c>
      <c r="D7610" s="1" t="str">
        <f t="shared" si="13211"/>
        <v>2021</v>
      </c>
      <c r="E7610" s="1" t="str">
        <f t="shared" ref="E7610:P7610" si="13270">"0"</f>
        <v>0</v>
      </c>
      <c r="F7610" s="1" t="str">
        <f t="shared" si="13270"/>
        <v>0</v>
      </c>
      <c r="G7610" s="1" t="str">
        <f t="shared" si="13270"/>
        <v>0</v>
      </c>
      <c r="H7610" s="1" t="str">
        <f t="shared" si="13270"/>
        <v>0</v>
      </c>
      <c r="I7610" s="1" t="str">
        <f t="shared" si="13270"/>
        <v>0</v>
      </c>
      <c r="J7610" s="1" t="str">
        <f t="shared" si="13270"/>
        <v>0</v>
      </c>
      <c r="K7610" s="1" t="str">
        <f t="shared" si="13270"/>
        <v>0</v>
      </c>
      <c r="L7610" s="1" t="str">
        <f t="shared" si="13270"/>
        <v>0</v>
      </c>
      <c r="M7610" s="1" t="str">
        <f t="shared" si="13270"/>
        <v>0</v>
      </c>
      <c r="N7610" s="1" t="str">
        <f t="shared" si="13270"/>
        <v>0</v>
      </c>
      <c r="O7610" s="1" t="str">
        <f t="shared" si="13270"/>
        <v>0</v>
      </c>
      <c r="P7610" s="1" t="str">
        <f t="shared" si="13270"/>
        <v>0</v>
      </c>
      <c r="Q7610" s="1" t="str">
        <f t="shared" si="13213"/>
        <v>0.0070</v>
      </c>
      <c r="R7610" s="1" t="s">
        <v>25</v>
      </c>
      <c r="T7610" s="1" t="str">
        <f t="shared" si="13214"/>
        <v>0</v>
      </c>
      <c r="U7610" s="1" t="str">
        <f t="shared" si="13224"/>
        <v>0.0070</v>
      </c>
    </row>
    <row r="7611" s="1" customFormat="1" spans="1:21">
      <c r="A7611" s="1" t="str">
        <f>"4601992347757"</f>
        <v>4601992347757</v>
      </c>
      <c r="B7611" s="1" t="s">
        <v>7634</v>
      </c>
      <c r="C7611" s="1" t="s">
        <v>24</v>
      </c>
      <c r="D7611" s="1" t="str">
        <f t="shared" si="13211"/>
        <v>2021</v>
      </c>
      <c r="E7611" s="1" t="str">
        <f t="shared" ref="E7611:P7611" si="13271">"0"</f>
        <v>0</v>
      </c>
      <c r="F7611" s="1" t="str">
        <f t="shared" si="13271"/>
        <v>0</v>
      </c>
      <c r="G7611" s="1" t="str">
        <f t="shared" si="13271"/>
        <v>0</v>
      </c>
      <c r="H7611" s="1" t="str">
        <f t="shared" si="13271"/>
        <v>0</v>
      </c>
      <c r="I7611" s="1" t="str">
        <f t="shared" si="13271"/>
        <v>0</v>
      </c>
      <c r="J7611" s="1" t="str">
        <f t="shared" si="13271"/>
        <v>0</v>
      </c>
      <c r="K7611" s="1" t="str">
        <f t="shared" si="13271"/>
        <v>0</v>
      </c>
      <c r="L7611" s="1" t="str">
        <f t="shared" si="13271"/>
        <v>0</v>
      </c>
      <c r="M7611" s="1" t="str">
        <f t="shared" si="13271"/>
        <v>0</v>
      </c>
      <c r="N7611" s="1" t="str">
        <f t="shared" si="13271"/>
        <v>0</v>
      </c>
      <c r="O7611" s="1" t="str">
        <f t="shared" si="13271"/>
        <v>0</v>
      </c>
      <c r="P7611" s="1" t="str">
        <f t="shared" si="13271"/>
        <v>0</v>
      </c>
      <c r="Q7611" s="1" t="str">
        <f t="shared" si="13213"/>
        <v>0.0070</v>
      </c>
      <c r="R7611" s="1" t="s">
        <v>25</v>
      </c>
      <c r="T7611" s="1" t="str">
        <f t="shared" si="13214"/>
        <v>0</v>
      </c>
      <c r="U7611" s="1" t="str">
        <f t="shared" si="13224"/>
        <v>0.0070</v>
      </c>
    </row>
    <row r="7612" s="1" customFormat="1" spans="1:21">
      <c r="A7612" s="1" t="str">
        <f>"4601992347888"</f>
        <v>4601992347888</v>
      </c>
      <c r="B7612" s="1" t="s">
        <v>7635</v>
      </c>
      <c r="C7612" s="1" t="s">
        <v>24</v>
      </c>
      <c r="D7612" s="1" t="str">
        <f t="shared" si="13211"/>
        <v>2021</v>
      </c>
      <c r="E7612" s="1" t="str">
        <f t="shared" ref="E7612:P7612" si="13272">"0"</f>
        <v>0</v>
      </c>
      <c r="F7612" s="1" t="str">
        <f t="shared" si="13272"/>
        <v>0</v>
      </c>
      <c r="G7612" s="1" t="str">
        <f t="shared" si="13272"/>
        <v>0</v>
      </c>
      <c r="H7612" s="1" t="str">
        <f t="shared" si="13272"/>
        <v>0</v>
      </c>
      <c r="I7612" s="1" t="str">
        <f t="shared" si="13272"/>
        <v>0</v>
      </c>
      <c r="J7612" s="1" t="str">
        <f t="shared" si="13272"/>
        <v>0</v>
      </c>
      <c r="K7612" s="1" t="str">
        <f t="shared" si="13272"/>
        <v>0</v>
      </c>
      <c r="L7612" s="1" t="str">
        <f t="shared" si="13272"/>
        <v>0</v>
      </c>
      <c r="M7612" s="1" t="str">
        <f t="shared" si="13272"/>
        <v>0</v>
      </c>
      <c r="N7612" s="1" t="str">
        <f t="shared" si="13272"/>
        <v>0</v>
      </c>
      <c r="O7612" s="1" t="str">
        <f t="shared" si="13272"/>
        <v>0</v>
      </c>
      <c r="P7612" s="1" t="str">
        <f t="shared" si="13272"/>
        <v>0</v>
      </c>
      <c r="Q7612" s="1" t="str">
        <f t="shared" si="13213"/>
        <v>0.0070</v>
      </c>
      <c r="R7612" s="1" t="s">
        <v>25</v>
      </c>
      <c r="T7612" s="1" t="str">
        <f t="shared" si="13214"/>
        <v>0</v>
      </c>
      <c r="U7612" s="1" t="str">
        <f t="shared" si="13224"/>
        <v>0.0070</v>
      </c>
    </row>
    <row r="7613" s="1" customFormat="1" spans="1:21">
      <c r="A7613" s="1" t="str">
        <f>"4601992347866"</f>
        <v>4601992347866</v>
      </c>
      <c r="B7613" s="1" t="s">
        <v>7636</v>
      </c>
      <c r="C7613" s="1" t="s">
        <v>24</v>
      </c>
      <c r="D7613" s="1" t="str">
        <f t="shared" si="13211"/>
        <v>2021</v>
      </c>
      <c r="E7613" s="1" t="str">
        <f t="shared" ref="E7613:P7613" si="13273">"0"</f>
        <v>0</v>
      </c>
      <c r="F7613" s="1" t="str">
        <f t="shared" si="13273"/>
        <v>0</v>
      </c>
      <c r="G7613" s="1" t="str">
        <f t="shared" si="13273"/>
        <v>0</v>
      </c>
      <c r="H7613" s="1" t="str">
        <f t="shared" si="13273"/>
        <v>0</v>
      </c>
      <c r="I7613" s="1" t="str">
        <f t="shared" si="13273"/>
        <v>0</v>
      </c>
      <c r="J7613" s="1" t="str">
        <f t="shared" si="13273"/>
        <v>0</v>
      </c>
      <c r="K7613" s="1" t="str">
        <f t="shared" si="13273"/>
        <v>0</v>
      </c>
      <c r="L7613" s="1" t="str">
        <f t="shared" si="13273"/>
        <v>0</v>
      </c>
      <c r="M7613" s="1" t="str">
        <f t="shared" si="13273"/>
        <v>0</v>
      </c>
      <c r="N7613" s="1" t="str">
        <f t="shared" si="13273"/>
        <v>0</v>
      </c>
      <c r="O7613" s="1" t="str">
        <f t="shared" si="13273"/>
        <v>0</v>
      </c>
      <c r="P7613" s="1" t="str">
        <f t="shared" si="13273"/>
        <v>0</v>
      </c>
      <c r="Q7613" s="1" t="str">
        <f t="shared" si="13213"/>
        <v>0.0070</v>
      </c>
      <c r="R7613" s="1" t="s">
        <v>25</v>
      </c>
      <c r="T7613" s="1" t="str">
        <f t="shared" si="13214"/>
        <v>0</v>
      </c>
      <c r="U7613" s="1" t="str">
        <f t="shared" si="13224"/>
        <v>0.0070</v>
      </c>
    </row>
    <row r="7614" s="1" customFormat="1" spans="1:21">
      <c r="A7614" s="1" t="str">
        <f>"4601992347899"</f>
        <v>4601992347899</v>
      </c>
      <c r="B7614" s="1" t="s">
        <v>7637</v>
      </c>
      <c r="C7614" s="1" t="s">
        <v>24</v>
      </c>
      <c r="D7614" s="1" t="str">
        <f t="shared" si="13211"/>
        <v>2021</v>
      </c>
      <c r="E7614" s="1" t="str">
        <f t="shared" ref="E7614:P7614" si="13274">"0"</f>
        <v>0</v>
      </c>
      <c r="F7614" s="1" t="str">
        <f t="shared" si="13274"/>
        <v>0</v>
      </c>
      <c r="G7614" s="1" t="str">
        <f t="shared" si="13274"/>
        <v>0</v>
      </c>
      <c r="H7614" s="1" t="str">
        <f t="shared" si="13274"/>
        <v>0</v>
      </c>
      <c r="I7614" s="1" t="str">
        <f t="shared" si="13274"/>
        <v>0</v>
      </c>
      <c r="J7614" s="1" t="str">
        <f t="shared" si="13274"/>
        <v>0</v>
      </c>
      <c r="K7614" s="1" t="str">
        <f t="shared" si="13274"/>
        <v>0</v>
      </c>
      <c r="L7614" s="1" t="str">
        <f t="shared" si="13274"/>
        <v>0</v>
      </c>
      <c r="M7614" s="1" t="str">
        <f t="shared" si="13274"/>
        <v>0</v>
      </c>
      <c r="N7614" s="1" t="str">
        <f t="shared" si="13274"/>
        <v>0</v>
      </c>
      <c r="O7614" s="1" t="str">
        <f t="shared" si="13274"/>
        <v>0</v>
      </c>
      <c r="P7614" s="1" t="str">
        <f t="shared" si="13274"/>
        <v>0</v>
      </c>
      <c r="Q7614" s="1" t="str">
        <f t="shared" si="13213"/>
        <v>0.0070</v>
      </c>
      <c r="R7614" s="1" t="s">
        <v>25</v>
      </c>
      <c r="T7614" s="1" t="str">
        <f t="shared" si="13214"/>
        <v>0</v>
      </c>
      <c r="U7614" s="1" t="str">
        <f t="shared" si="13224"/>
        <v>0.0070</v>
      </c>
    </row>
    <row r="7615" s="1" customFormat="1" spans="1:21">
      <c r="A7615" s="1" t="str">
        <f>"4601992347916"</f>
        <v>4601992347916</v>
      </c>
      <c r="B7615" s="1" t="s">
        <v>7638</v>
      </c>
      <c r="C7615" s="1" t="s">
        <v>24</v>
      </c>
      <c r="D7615" s="1" t="str">
        <f t="shared" si="13211"/>
        <v>2021</v>
      </c>
      <c r="E7615" s="1" t="str">
        <f t="shared" ref="E7615:P7615" si="13275">"0"</f>
        <v>0</v>
      </c>
      <c r="F7615" s="1" t="str">
        <f t="shared" si="13275"/>
        <v>0</v>
      </c>
      <c r="G7615" s="1" t="str">
        <f t="shared" si="13275"/>
        <v>0</v>
      </c>
      <c r="H7615" s="1" t="str">
        <f t="shared" si="13275"/>
        <v>0</v>
      </c>
      <c r="I7615" s="1" t="str">
        <f t="shared" si="13275"/>
        <v>0</v>
      </c>
      <c r="J7615" s="1" t="str">
        <f t="shared" si="13275"/>
        <v>0</v>
      </c>
      <c r="K7615" s="1" t="str">
        <f t="shared" si="13275"/>
        <v>0</v>
      </c>
      <c r="L7615" s="1" t="str">
        <f t="shared" si="13275"/>
        <v>0</v>
      </c>
      <c r="M7615" s="1" t="str">
        <f t="shared" si="13275"/>
        <v>0</v>
      </c>
      <c r="N7615" s="1" t="str">
        <f t="shared" si="13275"/>
        <v>0</v>
      </c>
      <c r="O7615" s="1" t="str">
        <f t="shared" si="13275"/>
        <v>0</v>
      </c>
      <c r="P7615" s="1" t="str">
        <f t="shared" si="13275"/>
        <v>0</v>
      </c>
      <c r="Q7615" s="1" t="str">
        <f t="shared" si="13213"/>
        <v>0.0070</v>
      </c>
      <c r="R7615" s="1" t="s">
        <v>25</v>
      </c>
      <c r="T7615" s="1" t="str">
        <f t="shared" si="13214"/>
        <v>0</v>
      </c>
      <c r="U7615" s="1" t="str">
        <f t="shared" si="13224"/>
        <v>0.0070</v>
      </c>
    </row>
    <row r="7616" s="1" customFormat="1" spans="1:21">
      <c r="A7616" s="1" t="str">
        <f>"4601992347940"</f>
        <v>4601992347940</v>
      </c>
      <c r="B7616" s="1" t="s">
        <v>7639</v>
      </c>
      <c r="C7616" s="1" t="s">
        <v>24</v>
      </c>
      <c r="D7616" s="1" t="str">
        <f t="shared" si="13211"/>
        <v>2021</v>
      </c>
      <c r="E7616" s="1" t="str">
        <f t="shared" ref="E7616:P7616" si="13276">"0"</f>
        <v>0</v>
      </c>
      <c r="F7616" s="1" t="str">
        <f t="shared" si="13276"/>
        <v>0</v>
      </c>
      <c r="G7616" s="1" t="str">
        <f t="shared" si="13276"/>
        <v>0</v>
      </c>
      <c r="H7616" s="1" t="str">
        <f t="shared" si="13276"/>
        <v>0</v>
      </c>
      <c r="I7616" s="1" t="str">
        <f t="shared" si="13276"/>
        <v>0</v>
      </c>
      <c r="J7616" s="1" t="str">
        <f t="shared" si="13276"/>
        <v>0</v>
      </c>
      <c r="K7616" s="1" t="str">
        <f t="shared" si="13276"/>
        <v>0</v>
      </c>
      <c r="L7616" s="1" t="str">
        <f t="shared" si="13276"/>
        <v>0</v>
      </c>
      <c r="M7616" s="1" t="str">
        <f t="shared" si="13276"/>
        <v>0</v>
      </c>
      <c r="N7616" s="1" t="str">
        <f t="shared" si="13276"/>
        <v>0</v>
      </c>
      <c r="O7616" s="1" t="str">
        <f t="shared" si="13276"/>
        <v>0</v>
      </c>
      <c r="P7616" s="1" t="str">
        <f t="shared" si="13276"/>
        <v>0</v>
      </c>
      <c r="Q7616" s="1" t="str">
        <f t="shared" si="13213"/>
        <v>0.0070</v>
      </c>
      <c r="R7616" s="1" t="s">
        <v>25</v>
      </c>
      <c r="T7616" s="1" t="str">
        <f t="shared" si="13214"/>
        <v>0</v>
      </c>
      <c r="U7616" s="1" t="str">
        <f t="shared" si="13224"/>
        <v>0.0070</v>
      </c>
    </row>
    <row r="7617" s="1" customFormat="1" spans="1:21">
      <c r="A7617" s="1" t="str">
        <f>"4601992348107"</f>
        <v>4601992348107</v>
      </c>
      <c r="B7617" s="1" t="s">
        <v>7640</v>
      </c>
      <c r="C7617" s="1" t="s">
        <v>24</v>
      </c>
      <c r="D7617" s="1" t="str">
        <f t="shared" si="13211"/>
        <v>2021</v>
      </c>
      <c r="E7617" s="1" t="str">
        <f t="shared" ref="E7617:P7617" si="13277">"0"</f>
        <v>0</v>
      </c>
      <c r="F7617" s="1" t="str">
        <f t="shared" si="13277"/>
        <v>0</v>
      </c>
      <c r="G7617" s="1" t="str">
        <f t="shared" si="13277"/>
        <v>0</v>
      </c>
      <c r="H7617" s="1" t="str">
        <f t="shared" si="13277"/>
        <v>0</v>
      </c>
      <c r="I7617" s="1" t="str">
        <f t="shared" si="13277"/>
        <v>0</v>
      </c>
      <c r="J7617" s="1" t="str">
        <f t="shared" si="13277"/>
        <v>0</v>
      </c>
      <c r="K7617" s="1" t="str">
        <f t="shared" si="13277"/>
        <v>0</v>
      </c>
      <c r="L7617" s="1" t="str">
        <f t="shared" si="13277"/>
        <v>0</v>
      </c>
      <c r="M7617" s="1" t="str">
        <f t="shared" si="13277"/>
        <v>0</v>
      </c>
      <c r="N7617" s="1" t="str">
        <f t="shared" si="13277"/>
        <v>0</v>
      </c>
      <c r="O7617" s="1" t="str">
        <f t="shared" si="13277"/>
        <v>0</v>
      </c>
      <c r="P7617" s="1" t="str">
        <f t="shared" si="13277"/>
        <v>0</v>
      </c>
      <c r="Q7617" s="1" t="str">
        <f t="shared" si="13213"/>
        <v>0.0070</v>
      </c>
      <c r="R7617" s="1" t="s">
        <v>25</v>
      </c>
      <c r="T7617" s="1" t="str">
        <f t="shared" si="13214"/>
        <v>0</v>
      </c>
      <c r="U7617" s="1" t="str">
        <f t="shared" si="13224"/>
        <v>0.0070</v>
      </c>
    </row>
    <row r="7618" s="1" customFormat="1" spans="1:21">
      <c r="A7618" s="1" t="str">
        <f>"4601992347969"</f>
        <v>4601992347969</v>
      </c>
      <c r="B7618" s="1" t="s">
        <v>7641</v>
      </c>
      <c r="C7618" s="1" t="s">
        <v>24</v>
      </c>
      <c r="D7618" s="1" t="str">
        <f t="shared" si="13211"/>
        <v>2021</v>
      </c>
      <c r="E7618" s="1" t="str">
        <f t="shared" ref="E7618:P7618" si="13278">"0"</f>
        <v>0</v>
      </c>
      <c r="F7618" s="1" t="str">
        <f t="shared" si="13278"/>
        <v>0</v>
      </c>
      <c r="G7618" s="1" t="str">
        <f t="shared" si="13278"/>
        <v>0</v>
      </c>
      <c r="H7618" s="1" t="str">
        <f t="shared" si="13278"/>
        <v>0</v>
      </c>
      <c r="I7618" s="1" t="str">
        <f t="shared" si="13278"/>
        <v>0</v>
      </c>
      <c r="J7618" s="1" t="str">
        <f t="shared" si="13278"/>
        <v>0</v>
      </c>
      <c r="K7618" s="1" t="str">
        <f t="shared" si="13278"/>
        <v>0</v>
      </c>
      <c r="L7618" s="1" t="str">
        <f t="shared" si="13278"/>
        <v>0</v>
      </c>
      <c r="M7618" s="1" t="str">
        <f t="shared" si="13278"/>
        <v>0</v>
      </c>
      <c r="N7618" s="1" t="str">
        <f t="shared" si="13278"/>
        <v>0</v>
      </c>
      <c r="O7618" s="1" t="str">
        <f t="shared" si="13278"/>
        <v>0</v>
      </c>
      <c r="P7618" s="1" t="str">
        <f t="shared" si="13278"/>
        <v>0</v>
      </c>
      <c r="Q7618" s="1" t="str">
        <f t="shared" si="13213"/>
        <v>0.0070</v>
      </c>
      <c r="R7618" s="1" t="s">
        <v>25</v>
      </c>
      <c r="T7618" s="1" t="str">
        <f t="shared" si="13214"/>
        <v>0</v>
      </c>
      <c r="U7618" s="1" t="str">
        <f t="shared" si="13224"/>
        <v>0.0070</v>
      </c>
    </row>
    <row r="7619" s="1" customFormat="1" spans="1:21">
      <c r="A7619" s="1" t="str">
        <f>"4601992348199"</f>
        <v>4601992348199</v>
      </c>
      <c r="B7619" s="1" t="s">
        <v>7642</v>
      </c>
      <c r="C7619" s="1" t="s">
        <v>24</v>
      </c>
      <c r="D7619" s="1" t="str">
        <f t="shared" ref="D7619:D7682" si="13279">"2021"</f>
        <v>2021</v>
      </c>
      <c r="E7619" s="1" t="str">
        <f t="shared" ref="E7619:P7619" si="13280">"0"</f>
        <v>0</v>
      </c>
      <c r="F7619" s="1" t="str">
        <f t="shared" si="13280"/>
        <v>0</v>
      </c>
      <c r="G7619" s="1" t="str">
        <f t="shared" si="13280"/>
        <v>0</v>
      </c>
      <c r="H7619" s="1" t="str">
        <f t="shared" si="13280"/>
        <v>0</v>
      </c>
      <c r="I7619" s="1" t="str">
        <f t="shared" si="13280"/>
        <v>0</v>
      </c>
      <c r="J7619" s="1" t="str">
        <f t="shared" si="13280"/>
        <v>0</v>
      </c>
      <c r="K7619" s="1" t="str">
        <f t="shared" si="13280"/>
        <v>0</v>
      </c>
      <c r="L7619" s="1" t="str">
        <f t="shared" si="13280"/>
        <v>0</v>
      </c>
      <c r="M7619" s="1" t="str">
        <f t="shared" si="13280"/>
        <v>0</v>
      </c>
      <c r="N7619" s="1" t="str">
        <f t="shared" si="13280"/>
        <v>0</v>
      </c>
      <c r="O7619" s="1" t="str">
        <f t="shared" si="13280"/>
        <v>0</v>
      </c>
      <c r="P7619" s="1" t="str">
        <f t="shared" si="13280"/>
        <v>0</v>
      </c>
      <c r="Q7619" s="1" t="str">
        <f t="shared" ref="Q7619:Q7682" si="13281">"0.0070"</f>
        <v>0.0070</v>
      </c>
      <c r="R7619" s="1" t="s">
        <v>25</v>
      </c>
      <c r="T7619" s="1" t="str">
        <f t="shared" ref="T7619:T7682" si="13282">"0"</f>
        <v>0</v>
      </c>
      <c r="U7619" s="1" t="str">
        <f t="shared" si="13224"/>
        <v>0.0070</v>
      </c>
    </row>
    <row r="7620" s="1" customFormat="1" spans="1:21">
      <c r="A7620" s="1" t="str">
        <f>"4601992348285"</f>
        <v>4601992348285</v>
      </c>
      <c r="B7620" s="1" t="s">
        <v>7643</v>
      </c>
      <c r="C7620" s="1" t="s">
        <v>24</v>
      </c>
      <c r="D7620" s="1" t="str">
        <f t="shared" si="13279"/>
        <v>2021</v>
      </c>
      <c r="E7620" s="1" t="str">
        <f t="shared" ref="E7620:P7620" si="13283">"0"</f>
        <v>0</v>
      </c>
      <c r="F7620" s="1" t="str">
        <f t="shared" si="13283"/>
        <v>0</v>
      </c>
      <c r="G7620" s="1" t="str">
        <f t="shared" si="13283"/>
        <v>0</v>
      </c>
      <c r="H7620" s="1" t="str">
        <f t="shared" si="13283"/>
        <v>0</v>
      </c>
      <c r="I7620" s="1" t="str">
        <f t="shared" si="13283"/>
        <v>0</v>
      </c>
      <c r="J7620" s="1" t="str">
        <f t="shared" si="13283"/>
        <v>0</v>
      </c>
      <c r="K7620" s="1" t="str">
        <f t="shared" si="13283"/>
        <v>0</v>
      </c>
      <c r="L7620" s="1" t="str">
        <f t="shared" si="13283"/>
        <v>0</v>
      </c>
      <c r="M7620" s="1" t="str">
        <f t="shared" si="13283"/>
        <v>0</v>
      </c>
      <c r="N7620" s="1" t="str">
        <f t="shared" si="13283"/>
        <v>0</v>
      </c>
      <c r="O7620" s="1" t="str">
        <f t="shared" si="13283"/>
        <v>0</v>
      </c>
      <c r="P7620" s="1" t="str">
        <f t="shared" si="13283"/>
        <v>0</v>
      </c>
      <c r="Q7620" s="1" t="str">
        <f t="shared" si="13281"/>
        <v>0.0070</v>
      </c>
      <c r="R7620" s="1" t="s">
        <v>25</v>
      </c>
      <c r="T7620" s="1" t="str">
        <f t="shared" si="13282"/>
        <v>0</v>
      </c>
      <c r="U7620" s="1" t="str">
        <f t="shared" si="13224"/>
        <v>0.0070</v>
      </c>
    </row>
    <row r="7621" s="1" customFormat="1" spans="1:21">
      <c r="A7621" s="1" t="str">
        <f>"4601992348645"</f>
        <v>4601992348645</v>
      </c>
      <c r="B7621" s="1" t="s">
        <v>7644</v>
      </c>
      <c r="C7621" s="1" t="s">
        <v>24</v>
      </c>
      <c r="D7621" s="1" t="str">
        <f t="shared" si="13279"/>
        <v>2021</v>
      </c>
      <c r="E7621" s="1" t="str">
        <f t="shared" ref="E7621:P7621" si="13284">"0"</f>
        <v>0</v>
      </c>
      <c r="F7621" s="1" t="str">
        <f t="shared" si="13284"/>
        <v>0</v>
      </c>
      <c r="G7621" s="1" t="str">
        <f t="shared" si="13284"/>
        <v>0</v>
      </c>
      <c r="H7621" s="1" t="str">
        <f t="shared" si="13284"/>
        <v>0</v>
      </c>
      <c r="I7621" s="1" t="str">
        <f t="shared" si="13284"/>
        <v>0</v>
      </c>
      <c r="J7621" s="1" t="str">
        <f t="shared" si="13284"/>
        <v>0</v>
      </c>
      <c r="K7621" s="1" t="str">
        <f t="shared" si="13284"/>
        <v>0</v>
      </c>
      <c r="L7621" s="1" t="str">
        <f t="shared" si="13284"/>
        <v>0</v>
      </c>
      <c r="M7621" s="1" t="str">
        <f t="shared" si="13284"/>
        <v>0</v>
      </c>
      <c r="N7621" s="1" t="str">
        <f t="shared" si="13284"/>
        <v>0</v>
      </c>
      <c r="O7621" s="1" t="str">
        <f t="shared" si="13284"/>
        <v>0</v>
      </c>
      <c r="P7621" s="1" t="str">
        <f t="shared" si="13284"/>
        <v>0</v>
      </c>
      <c r="Q7621" s="1" t="str">
        <f t="shared" si="13281"/>
        <v>0.0070</v>
      </c>
      <c r="R7621" s="1" t="s">
        <v>25</v>
      </c>
      <c r="T7621" s="1" t="str">
        <f t="shared" si="13282"/>
        <v>0</v>
      </c>
      <c r="U7621" s="1" t="str">
        <f t="shared" si="13224"/>
        <v>0.0070</v>
      </c>
    </row>
    <row r="7622" s="1" customFormat="1" spans="1:21">
      <c r="A7622" s="1" t="str">
        <f>"4601992348399"</f>
        <v>4601992348399</v>
      </c>
      <c r="B7622" s="1" t="s">
        <v>7645</v>
      </c>
      <c r="C7622" s="1" t="s">
        <v>24</v>
      </c>
      <c r="D7622" s="1" t="str">
        <f t="shared" si="13279"/>
        <v>2021</v>
      </c>
      <c r="E7622" s="1" t="str">
        <f t="shared" ref="E7622:P7622" si="13285">"0"</f>
        <v>0</v>
      </c>
      <c r="F7622" s="1" t="str">
        <f t="shared" si="13285"/>
        <v>0</v>
      </c>
      <c r="G7622" s="1" t="str">
        <f t="shared" si="13285"/>
        <v>0</v>
      </c>
      <c r="H7622" s="1" t="str">
        <f t="shared" si="13285"/>
        <v>0</v>
      </c>
      <c r="I7622" s="1" t="str">
        <f t="shared" si="13285"/>
        <v>0</v>
      </c>
      <c r="J7622" s="1" t="str">
        <f t="shared" si="13285"/>
        <v>0</v>
      </c>
      <c r="K7622" s="1" t="str">
        <f t="shared" si="13285"/>
        <v>0</v>
      </c>
      <c r="L7622" s="1" t="str">
        <f t="shared" si="13285"/>
        <v>0</v>
      </c>
      <c r="M7622" s="1" t="str">
        <f t="shared" si="13285"/>
        <v>0</v>
      </c>
      <c r="N7622" s="1" t="str">
        <f t="shared" si="13285"/>
        <v>0</v>
      </c>
      <c r="O7622" s="1" t="str">
        <f t="shared" si="13285"/>
        <v>0</v>
      </c>
      <c r="P7622" s="1" t="str">
        <f t="shared" si="13285"/>
        <v>0</v>
      </c>
      <c r="Q7622" s="1" t="str">
        <f t="shared" si="13281"/>
        <v>0.0070</v>
      </c>
      <c r="R7622" s="1" t="s">
        <v>25</v>
      </c>
      <c r="T7622" s="1" t="str">
        <f t="shared" si="13282"/>
        <v>0</v>
      </c>
      <c r="U7622" s="1" t="str">
        <f t="shared" si="13224"/>
        <v>0.0070</v>
      </c>
    </row>
    <row r="7623" s="1" customFormat="1" spans="1:21">
      <c r="A7623" s="1" t="str">
        <f>"4601992348660"</f>
        <v>4601992348660</v>
      </c>
      <c r="B7623" s="1" t="s">
        <v>7646</v>
      </c>
      <c r="C7623" s="1" t="s">
        <v>24</v>
      </c>
      <c r="D7623" s="1" t="str">
        <f t="shared" si="13279"/>
        <v>2021</v>
      </c>
      <c r="E7623" s="1" t="str">
        <f t="shared" ref="E7623:P7623" si="13286">"0"</f>
        <v>0</v>
      </c>
      <c r="F7623" s="1" t="str">
        <f t="shared" si="13286"/>
        <v>0</v>
      </c>
      <c r="G7623" s="1" t="str">
        <f t="shared" si="13286"/>
        <v>0</v>
      </c>
      <c r="H7623" s="1" t="str">
        <f t="shared" si="13286"/>
        <v>0</v>
      </c>
      <c r="I7623" s="1" t="str">
        <f t="shared" si="13286"/>
        <v>0</v>
      </c>
      <c r="J7623" s="1" t="str">
        <f t="shared" si="13286"/>
        <v>0</v>
      </c>
      <c r="K7623" s="1" t="str">
        <f t="shared" si="13286"/>
        <v>0</v>
      </c>
      <c r="L7623" s="1" t="str">
        <f t="shared" si="13286"/>
        <v>0</v>
      </c>
      <c r="M7623" s="1" t="str">
        <f t="shared" si="13286"/>
        <v>0</v>
      </c>
      <c r="N7623" s="1" t="str">
        <f t="shared" si="13286"/>
        <v>0</v>
      </c>
      <c r="O7623" s="1" t="str">
        <f t="shared" si="13286"/>
        <v>0</v>
      </c>
      <c r="P7623" s="1" t="str">
        <f t="shared" si="13286"/>
        <v>0</v>
      </c>
      <c r="Q7623" s="1" t="str">
        <f t="shared" si="13281"/>
        <v>0.0070</v>
      </c>
      <c r="R7623" s="1" t="s">
        <v>25</v>
      </c>
      <c r="T7623" s="1" t="str">
        <f t="shared" si="13282"/>
        <v>0</v>
      </c>
      <c r="U7623" s="1" t="str">
        <f t="shared" si="13224"/>
        <v>0.0070</v>
      </c>
    </row>
    <row r="7624" s="1" customFormat="1" spans="1:21">
      <c r="A7624" s="1" t="str">
        <f>"4601992348830"</f>
        <v>4601992348830</v>
      </c>
      <c r="B7624" s="1" t="s">
        <v>7647</v>
      </c>
      <c r="C7624" s="1" t="s">
        <v>24</v>
      </c>
      <c r="D7624" s="1" t="str">
        <f t="shared" si="13279"/>
        <v>2021</v>
      </c>
      <c r="E7624" s="1" t="str">
        <f t="shared" ref="E7624:P7624" si="13287">"0"</f>
        <v>0</v>
      </c>
      <c r="F7624" s="1" t="str">
        <f t="shared" si="13287"/>
        <v>0</v>
      </c>
      <c r="G7624" s="1" t="str">
        <f t="shared" si="13287"/>
        <v>0</v>
      </c>
      <c r="H7624" s="1" t="str">
        <f t="shared" si="13287"/>
        <v>0</v>
      </c>
      <c r="I7624" s="1" t="str">
        <f t="shared" si="13287"/>
        <v>0</v>
      </c>
      <c r="J7624" s="1" t="str">
        <f t="shared" si="13287"/>
        <v>0</v>
      </c>
      <c r="K7624" s="1" t="str">
        <f t="shared" si="13287"/>
        <v>0</v>
      </c>
      <c r="L7624" s="1" t="str">
        <f t="shared" si="13287"/>
        <v>0</v>
      </c>
      <c r="M7624" s="1" t="str">
        <f t="shared" si="13287"/>
        <v>0</v>
      </c>
      <c r="N7624" s="1" t="str">
        <f t="shared" si="13287"/>
        <v>0</v>
      </c>
      <c r="O7624" s="1" t="str">
        <f t="shared" si="13287"/>
        <v>0</v>
      </c>
      <c r="P7624" s="1" t="str">
        <f t="shared" si="13287"/>
        <v>0</v>
      </c>
      <c r="Q7624" s="1" t="str">
        <f t="shared" si="13281"/>
        <v>0.0070</v>
      </c>
      <c r="R7624" s="1" t="s">
        <v>25</v>
      </c>
      <c r="T7624" s="1" t="str">
        <f t="shared" si="13282"/>
        <v>0</v>
      </c>
      <c r="U7624" s="1" t="str">
        <f t="shared" si="13224"/>
        <v>0.0070</v>
      </c>
    </row>
    <row r="7625" s="1" customFormat="1" spans="1:21">
      <c r="A7625" s="1" t="str">
        <f>"4601992348788"</f>
        <v>4601992348788</v>
      </c>
      <c r="B7625" s="1" t="s">
        <v>7648</v>
      </c>
      <c r="C7625" s="1" t="s">
        <v>24</v>
      </c>
      <c r="D7625" s="1" t="str">
        <f t="shared" si="13279"/>
        <v>2021</v>
      </c>
      <c r="E7625" s="1" t="str">
        <f t="shared" ref="E7625:P7625" si="13288">"0"</f>
        <v>0</v>
      </c>
      <c r="F7625" s="1" t="str">
        <f t="shared" si="13288"/>
        <v>0</v>
      </c>
      <c r="G7625" s="1" t="str">
        <f t="shared" si="13288"/>
        <v>0</v>
      </c>
      <c r="H7625" s="1" t="str">
        <f t="shared" si="13288"/>
        <v>0</v>
      </c>
      <c r="I7625" s="1" t="str">
        <f t="shared" si="13288"/>
        <v>0</v>
      </c>
      <c r="J7625" s="1" t="str">
        <f t="shared" si="13288"/>
        <v>0</v>
      </c>
      <c r="K7625" s="1" t="str">
        <f t="shared" si="13288"/>
        <v>0</v>
      </c>
      <c r="L7625" s="1" t="str">
        <f t="shared" si="13288"/>
        <v>0</v>
      </c>
      <c r="M7625" s="1" t="str">
        <f t="shared" si="13288"/>
        <v>0</v>
      </c>
      <c r="N7625" s="1" t="str">
        <f t="shared" si="13288"/>
        <v>0</v>
      </c>
      <c r="O7625" s="1" t="str">
        <f t="shared" si="13288"/>
        <v>0</v>
      </c>
      <c r="P7625" s="1" t="str">
        <f t="shared" si="13288"/>
        <v>0</v>
      </c>
      <c r="Q7625" s="1" t="str">
        <f t="shared" si="13281"/>
        <v>0.0070</v>
      </c>
      <c r="R7625" s="1" t="s">
        <v>25</v>
      </c>
      <c r="T7625" s="1" t="str">
        <f t="shared" si="13282"/>
        <v>0</v>
      </c>
      <c r="U7625" s="1" t="str">
        <f t="shared" si="13224"/>
        <v>0.0070</v>
      </c>
    </row>
    <row r="7626" s="1" customFormat="1" spans="1:21">
      <c r="A7626" s="1" t="str">
        <f>"4601992348870"</f>
        <v>4601992348870</v>
      </c>
      <c r="B7626" s="1" t="s">
        <v>7649</v>
      </c>
      <c r="C7626" s="1" t="s">
        <v>24</v>
      </c>
      <c r="D7626" s="1" t="str">
        <f t="shared" si="13279"/>
        <v>2021</v>
      </c>
      <c r="E7626" s="1" t="str">
        <f t="shared" ref="E7626:P7626" si="13289">"0"</f>
        <v>0</v>
      </c>
      <c r="F7626" s="1" t="str">
        <f t="shared" si="13289"/>
        <v>0</v>
      </c>
      <c r="G7626" s="1" t="str">
        <f t="shared" si="13289"/>
        <v>0</v>
      </c>
      <c r="H7626" s="1" t="str">
        <f t="shared" si="13289"/>
        <v>0</v>
      </c>
      <c r="I7626" s="1" t="str">
        <f t="shared" si="13289"/>
        <v>0</v>
      </c>
      <c r="J7626" s="1" t="str">
        <f t="shared" si="13289"/>
        <v>0</v>
      </c>
      <c r="K7626" s="1" t="str">
        <f t="shared" si="13289"/>
        <v>0</v>
      </c>
      <c r="L7626" s="1" t="str">
        <f t="shared" si="13289"/>
        <v>0</v>
      </c>
      <c r="M7626" s="1" t="str">
        <f t="shared" si="13289"/>
        <v>0</v>
      </c>
      <c r="N7626" s="1" t="str">
        <f t="shared" si="13289"/>
        <v>0</v>
      </c>
      <c r="O7626" s="1" t="str">
        <f t="shared" si="13289"/>
        <v>0</v>
      </c>
      <c r="P7626" s="1" t="str">
        <f t="shared" si="13289"/>
        <v>0</v>
      </c>
      <c r="Q7626" s="1" t="str">
        <f t="shared" si="13281"/>
        <v>0.0070</v>
      </c>
      <c r="R7626" s="1" t="s">
        <v>25</v>
      </c>
      <c r="T7626" s="1" t="str">
        <f t="shared" si="13282"/>
        <v>0</v>
      </c>
      <c r="U7626" s="1" t="str">
        <f t="shared" si="13224"/>
        <v>0.0070</v>
      </c>
    </row>
    <row r="7627" s="1" customFormat="1" spans="1:21">
      <c r="A7627" s="1" t="str">
        <f>"4601992348881"</f>
        <v>4601992348881</v>
      </c>
      <c r="B7627" s="1" t="s">
        <v>7650</v>
      </c>
      <c r="C7627" s="1" t="s">
        <v>24</v>
      </c>
      <c r="D7627" s="1" t="str">
        <f t="shared" si="13279"/>
        <v>2021</v>
      </c>
      <c r="E7627" s="1" t="str">
        <f t="shared" ref="E7627:P7627" si="13290">"0"</f>
        <v>0</v>
      </c>
      <c r="F7627" s="1" t="str">
        <f t="shared" si="13290"/>
        <v>0</v>
      </c>
      <c r="G7627" s="1" t="str">
        <f t="shared" si="13290"/>
        <v>0</v>
      </c>
      <c r="H7627" s="1" t="str">
        <f t="shared" si="13290"/>
        <v>0</v>
      </c>
      <c r="I7627" s="1" t="str">
        <f t="shared" si="13290"/>
        <v>0</v>
      </c>
      <c r="J7627" s="1" t="str">
        <f t="shared" si="13290"/>
        <v>0</v>
      </c>
      <c r="K7627" s="1" t="str">
        <f t="shared" si="13290"/>
        <v>0</v>
      </c>
      <c r="L7627" s="1" t="str">
        <f t="shared" si="13290"/>
        <v>0</v>
      </c>
      <c r="M7627" s="1" t="str">
        <f t="shared" si="13290"/>
        <v>0</v>
      </c>
      <c r="N7627" s="1" t="str">
        <f t="shared" si="13290"/>
        <v>0</v>
      </c>
      <c r="O7627" s="1" t="str">
        <f t="shared" si="13290"/>
        <v>0</v>
      </c>
      <c r="P7627" s="1" t="str">
        <f t="shared" si="13290"/>
        <v>0</v>
      </c>
      <c r="Q7627" s="1" t="str">
        <f t="shared" si="13281"/>
        <v>0.0070</v>
      </c>
      <c r="R7627" s="1" t="s">
        <v>25</v>
      </c>
      <c r="T7627" s="1" t="str">
        <f t="shared" si="13282"/>
        <v>0</v>
      </c>
      <c r="U7627" s="1" t="str">
        <f t="shared" si="13224"/>
        <v>0.0070</v>
      </c>
    </row>
    <row r="7628" s="1" customFormat="1" spans="1:21">
      <c r="A7628" s="1" t="str">
        <f>"4601992348882"</f>
        <v>4601992348882</v>
      </c>
      <c r="B7628" s="1" t="s">
        <v>7651</v>
      </c>
      <c r="C7628" s="1" t="s">
        <v>24</v>
      </c>
      <c r="D7628" s="1" t="str">
        <f t="shared" si="13279"/>
        <v>2021</v>
      </c>
      <c r="E7628" s="1" t="str">
        <f t="shared" ref="E7628:P7628" si="13291">"0"</f>
        <v>0</v>
      </c>
      <c r="F7628" s="1" t="str">
        <f t="shared" si="13291"/>
        <v>0</v>
      </c>
      <c r="G7628" s="1" t="str">
        <f t="shared" si="13291"/>
        <v>0</v>
      </c>
      <c r="H7628" s="1" t="str">
        <f t="shared" si="13291"/>
        <v>0</v>
      </c>
      <c r="I7628" s="1" t="str">
        <f t="shared" si="13291"/>
        <v>0</v>
      </c>
      <c r="J7628" s="1" t="str">
        <f t="shared" si="13291"/>
        <v>0</v>
      </c>
      <c r="K7628" s="1" t="str">
        <f t="shared" si="13291"/>
        <v>0</v>
      </c>
      <c r="L7628" s="1" t="str">
        <f t="shared" si="13291"/>
        <v>0</v>
      </c>
      <c r="M7628" s="1" t="str">
        <f t="shared" si="13291"/>
        <v>0</v>
      </c>
      <c r="N7628" s="1" t="str">
        <f t="shared" si="13291"/>
        <v>0</v>
      </c>
      <c r="O7628" s="1" t="str">
        <f t="shared" si="13291"/>
        <v>0</v>
      </c>
      <c r="P7628" s="1" t="str">
        <f t="shared" si="13291"/>
        <v>0</v>
      </c>
      <c r="Q7628" s="1" t="str">
        <f t="shared" si="13281"/>
        <v>0.0070</v>
      </c>
      <c r="R7628" s="1" t="s">
        <v>25</v>
      </c>
      <c r="T7628" s="1" t="str">
        <f t="shared" si="13282"/>
        <v>0</v>
      </c>
      <c r="U7628" s="1" t="str">
        <f t="shared" ref="U7628:U7691" si="13292">"0.0070"</f>
        <v>0.0070</v>
      </c>
    </row>
    <row r="7629" s="1" customFormat="1" spans="1:21">
      <c r="A7629" s="1" t="str">
        <f>"4601992349229"</f>
        <v>4601992349229</v>
      </c>
      <c r="B7629" s="1" t="s">
        <v>7652</v>
      </c>
      <c r="C7629" s="1" t="s">
        <v>24</v>
      </c>
      <c r="D7629" s="1" t="str">
        <f t="shared" si="13279"/>
        <v>2021</v>
      </c>
      <c r="E7629" s="1" t="str">
        <f t="shared" ref="E7629:P7629" si="13293">"0"</f>
        <v>0</v>
      </c>
      <c r="F7629" s="1" t="str">
        <f t="shared" si="13293"/>
        <v>0</v>
      </c>
      <c r="G7629" s="1" t="str">
        <f t="shared" si="13293"/>
        <v>0</v>
      </c>
      <c r="H7629" s="1" t="str">
        <f t="shared" si="13293"/>
        <v>0</v>
      </c>
      <c r="I7629" s="1" t="str">
        <f t="shared" si="13293"/>
        <v>0</v>
      </c>
      <c r="J7629" s="1" t="str">
        <f t="shared" si="13293"/>
        <v>0</v>
      </c>
      <c r="K7629" s="1" t="str">
        <f t="shared" si="13293"/>
        <v>0</v>
      </c>
      <c r="L7629" s="1" t="str">
        <f t="shared" si="13293"/>
        <v>0</v>
      </c>
      <c r="M7629" s="1" t="str">
        <f t="shared" si="13293"/>
        <v>0</v>
      </c>
      <c r="N7629" s="1" t="str">
        <f t="shared" si="13293"/>
        <v>0</v>
      </c>
      <c r="O7629" s="1" t="str">
        <f t="shared" si="13293"/>
        <v>0</v>
      </c>
      <c r="P7629" s="1" t="str">
        <f t="shared" si="13293"/>
        <v>0</v>
      </c>
      <c r="Q7629" s="1" t="str">
        <f t="shared" si="13281"/>
        <v>0.0070</v>
      </c>
      <c r="R7629" s="1" t="s">
        <v>25</v>
      </c>
      <c r="T7629" s="1" t="str">
        <f t="shared" si="13282"/>
        <v>0</v>
      </c>
      <c r="U7629" s="1" t="str">
        <f t="shared" si="13292"/>
        <v>0.0070</v>
      </c>
    </row>
    <row r="7630" s="1" customFormat="1" spans="1:21">
      <c r="A7630" s="1" t="str">
        <f>"4601992349381"</f>
        <v>4601992349381</v>
      </c>
      <c r="B7630" s="1" t="s">
        <v>7653</v>
      </c>
      <c r="C7630" s="1" t="s">
        <v>24</v>
      </c>
      <c r="D7630" s="1" t="str">
        <f t="shared" si="13279"/>
        <v>2021</v>
      </c>
      <c r="E7630" s="1" t="str">
        <f t="shared" ref="E7630:P7630" si="13294">"0"</f>
        <v>0</v>
      </c>
      <c r="F7630" s="1" t="str">
        <f t="shared" si="13294"/>
        <v>0</v>
      </c>
      <c r="G7630" s="1" t="str">
        <f t="shared" si="13294"/>
        <v>0</v>
      </c>
      <c r="H7630" s="1" t="str">
        <f t="shared" si="13294"/>
        <v>0</v>
      </c>
      <c r="I7630" s="1" t="str">
        <f t="shared" si="13294"/>
        <v>0</v>
      </c>
      <c r="J7630" s="1" t="str">
        <f t="shared" si="13294"/>
        <v>0</v>
      </c>
      <c r="K7630" s="1" t="str">
        <f t="shared" si="13294"/>
        <v>0</v>
      </c>
      <c r="L7630" s="1" t="str">
        <f t="shared" si="13294"/>
        <v>0</v>
      </c>
      <c r="M7630" s="1" t="str">
        <f t="shared" si="13294"/>
        <v>0</v>
      </c>
      <c r="N7630" s="1" t="str">
        <f t="shared" si="13294"/>
        <v>0</v>
      </c>
      <c r="O7630" s="1" t="str">
        <f t="shared" si="13294"/>
        <v>0</v>
      </c>
      <c r="P7630" s="1" t="str">
        <f t="shared" si="13294"/>
        <v>0</v>
      </c>
      <c r="Q7630" s="1" t="str">
        <f t="shared" si="13281"/>
        <v>0.0070</v>
      </c>
      <c r="R7630" s="1" t="s">
        <v>25</v>
      </c>
      <c r="T7630" s="1" t="str">
        <f t="shared" si="13282"/>
        <v>0</v>
      </c>
      <c r="U7630" s="1" t="str">
        <f t="shared" si="13292"/>
        <v>0.0070</v>
      </c>
    </row>
    <row r="7631" s="1" customFormat="1" spans="1:21">
      <c r="A7631" s="1" t="str">
        <f>"4601992349395"</f>
        <v>4601992349395</v>
      </c>
      <c r="B7631" s="1" t="s">
        <v>7654</v>
      </c>
      <c r="C7631" s="1" t="s">
        <v>24</v>
      </c>
      <c r="D7631" s="1" t="str">
        <f t="shared" si="13279"/>
        <v>2021</v>
      </c>
      <c r="E7631" s="1" t="str">
        <f t="shared" ref="E7631:P7631" si="13295">"0"</f>
        <v>0</v>
      </c>
      <c r="F7631" s="1" t="str">
        <f t="shared" si="13295"/>
        <v>0</v>
      </c>
      <c r="G7631" s="1" t="str">
        <f t="shared" si="13295"/>
        <v>0</v>
      </c>
      <c r="H7631" s="1" t="str">
        <f t="shared" si="13295"/>
        <v>0</v>
      </c>
      <c r="I7631" s="1" t="str">
        <f t="shared" si="13295"/>
        <v>0</v>
      </c>
      <c r="J7631" s="1" t="str">
        <f t="shared" si="13295"/>
        <v>0</v>
      </c>
      <c r="K7631" s="1" t="str">
        <f t="shared" si="13295"/>
        <v>0</v>
      </c>
      <c r="L7631" s="1" t="str">
        <f t="shared" si="13295"/>
        <v>0</v>
      </c>
      <c r="M7631" s="1" t="str">
        <f t="shared" si="13295"/>
        <v>0</v>
      </c>
      <c r="N7631" s="1" t="str">
        <f t="shared" si="13295"/>
        <v>0</v>
      </c>
      <c r="O7631" s="1" t="str">
        <f t="shared" si="13295"/>
        <v>0</v>
      </c>
      <c r="P7631" s="1" t="str">
        <f t="shared" si="13295"/>
        <v>0</v>
      </c>
      <c r="Q7631" s="1" t="str">
        <f t="shared" si="13281"/>
        <v>0.0070</v>
      </c>
      <c r="R7631" s="1" t="s">
        <v>25</v>
      </c>
      <c r="T7631" s="1" t="str">
        <f t="shared" si="13282"/>
        <v>0</v>
      </c>
      <c r="U7631" s="1" t="str">
        <f t="shared" si="13292"/>
        <v>0.0070</v>
      </c>
    </row>
    <row r="7632" s="1" customFormat="1" spans="1:21">
      <c r="A7632" s="1" t="str">
        <f>"4601992349435"</f>
        <v>4601992349435</v>
      </c>
      <c r="B7632" s="1" t="s">
        <v>7655</v>
      </c>
      <c r="C7632" s="1" t="s">
        <v>24</v>
      </c>
      <c r="D7632" s="1" t="str">
        <f t="shared" si="13279"/>
        <v>2021</v>
      </c>
      <c r="E7632" s="1" t="str">
        <f t="shared" ref="E7632:P7632" si="13296">"0"</f>
        <v>0</v>
      </c>
      <c r="F7632" s="1" t="str">
        <f t="shared" si="13296"/>
        <v>0</v>
      </c>
      <c r="G7632" s="1" t="str">
        <f t="shared" si="13296"/>
        <v>0</v>
      </c>
      <c r="H7632" s="1" t="str">
        <f t="shared" si="13296"/>
        <v>0</v>
      </c>
      <c r="I7632" s="1" t="str">
        <f t="shared" si="13296"/>
        <v>0</v>
      </c>
      <c r="J7632" s="1" t="str">
        <f t="shared" si="13296"/>
        <v>0</v>
      </c>
      <c r="K7632" s="1" t="str">
        <f t="shared" si="13296"/>
        <v>0</v>
      </c>
      <c r="L7632" s="1" t="str">
        <f t="shared" si="13296"/>
        <v>0</v>
      </c>
      <c r="M7632" s="1" t="str">
        <f t="shared" si="13296"/>
        <v>0</v>
      </c>
      <c r="N7632" s="1" t="str">
        <f t="shared" si="13296"/>
        <v>0</v>
      </c>
      <c r="O7632" s="1" t="str">
        <f t="shared" si="13296"/>
        <v>0</v>
      </c>
      <c r="P7632" s="1" t="str">
        <f t="shared" si="13296"/>
        <v>0</v>
      </c>
      <c r="Q7632" s="1" t="str">
        <f t="shared" si="13281"/>
        <v>0.0070</v>
      </c>
      <c r="R7632" s="1" t="s">
        <v>25</v>
      </c>
      <c r="T7632" s="1" t="str">
        <f t="shared" si="13282"/>
        <v>0</v>
      </c>
      <c r="U7632" s="1" t="str">
        <f t="shared" si="13292"/>
        <v>0.0070</v>
      </c>
    </row>
    <row r="7633" s="1" customFormat="1" spans="1:21">
      <c r="A7633" s="1" t="str">
        <f>"4601992349417"</f>
        <v>4601992349417</v>
      </c>
      <c r="B7633" s="1" t="s">
        <v>7656</v>
      </c>
      <c r="C7633" s="1" t="s">
        <v>24</v>
      </c>
      <c r="D7633" s="1" t="str">
        <f t="shared" si="13279"/>
        <v>2021</v>
      </c>
      <c r="E7633" s="1" t="str">
        <f t="shared" ref="E7633:P7633" si="13297">"0"</f>
        <v>0</v>
      </c>
      <c r="F7633" s="1" t="str">
        <f t="shared" si="13297"/>
        <v>0</v>
      </c>
      <c r="G7633" s="1" t="str">
        <f t="shared" si="13297"/>
        <v>0</v>
      </c>
      <c r="H7633" s="1" t="str">
        <f t="shared" si="13297"/>
        <v>0</v>
      </c>
      <c r="I7633" s="1" t="str">
        <f t="shared" si="13297"/>
        <v>0</v>
      </c>
      <c r="J7633" s="1" t="str">
        <f t="shared" si="13297"/>
        <v>0</v>
      </c>
      <c r="K7633" s="1" t="str">
        <f t="shared" si="13297"/>
        <v>0</v>
      </c>
      <c r="L7633" s="1" t="str">
        <f t="shared" si="13297"/>
        <v>0</v>
      </c>
      <c r="M7633" s="1" t="str">
        <f t="shared" si="13297"/>
        <v>0</v>
      </c>
      <c r="N7633" s="1" t="str">
        <f t="shared" si="13297"/>
        <v>0</v>
      </c>
      <c r="O7633" s="1" t="str">
        <f t="shared" si="13297"/>
        <v>0</v>
      </c>
      <c r="P7633" s="1" t="str">
        <f t="shared" si="13297"/>
        <v>0</v>
      </c>
      <c r="Q7633" s="1" t="str">
        <f t="shared" si="13281"/>
        <v>0.0070</v>
      </c>
      <c r="R7633" s="1" t="s">
        <v>25</v>
      </c>
      <c r="T7633" s="1" t="str">
        <f t="shared" si="13282"/>
        <v>0</v>
      </c>
      <c r="U7633" s="1" t="str">
        <f t="shared" si="13292"/>
        <v>0.0070</v>
      </c>
    </row>
    <row r="7634" s="1" customFormat="1" spans="1:21">
      <c r="A7634" s="1" t="str">
        <f>"4601992349470"</f>
        <v>4601992349470</v>
      </c>
      <c r="B7634" s="1" t="s">
        <v>7657</v>
      </c>
      <c r="C7634" s="1" t="s">
        <v>24</v>
      </c>
      <c r="D7634" s="1" t="str">
        <f t="shared" si="13279"/>
        <v>2021</v>
      </c>
      <c r="E7634" s="1" t="str">
        <f t="shared" ref="E7634:P7634" si="13298">"0"</f>
        <v>0</v>
      </c>
      <c r="F7634" s="1" t="str">
        <f t="shared" si="13298"/>
        <v>0</v>
      </c>
      <c r="G7634" s="1" t="str">
        <f t="shared" si="13298"/>
        <v>0</v>
      </c>
      <c r="H7634" s="1" t="str">
        <f t="shared" si="13298"/>
        <v>0</v>
      </c>
      <c r="I7634" s="1" t="str">
        <f t="shared" si="13298"/>
        <v>0</v>
      </c>
      <c r="J7634" s="1" t="str">
        <f t="shared" si="13298"/>
        <v>0</v>
      </c>
      <c r="K7634" s="1" t="str">
        <f t="shared" si="13298"/>
        <v>0</v>
      </c>
      <c r="L7634" s="1" t="str">
        <f t="shared" si="13298"/>
        <v>0</v>
      </c>
      <c r="M7634" s="1" t="str">
        <f t="shared" si="13298"/>
        <v>0</v>
      </c>
      <c r="N7634" s="1" t="str">
        <f t="shared" si="13298"/>
        <v>0</v>
      </c>
      <c r="O7634" s="1" t="str">
        <f t="shared" si="13298"/>
        <v>0</v>
      </c>
      <c r="P7634" s="1" t="str">
        <f t="shared" si="13298"/>
        <v>0</v>
      </c>
      <c r="Q7634" s="1" t="str">
        <f t="shared" si="13281"/>
        <v>0.0070</v>
      </c>
      <c r="R7634" s="1" t="s">
        <v>25</v>
      </c>
      <c r="T7634" s="1" t="str">
        <f t="shared" si="13282"/>
        <v>0</v>
      </c>
      <c r="U7634" s="1" t="str">
        <f t="shared" si="13292"/>
        <v>0.0070</v>
      </c>
    </row>
    <row r="7635" s="1" customFormat="1" spans="1:21">
      <c r="A7635" s="1" t="str">
        <f>"4601992349483"</f>
        <v>4601992349483</v>
      </c>
      <c r="B7635" s="1" t="s">
        <v>7658</v>
      </c>
      <c r="C7635" s="1" t="s">
        <v>24</v>
      </c>
      <c r="D7635" s="1" t="str">
        <f t="shared" si="13279"/>
        <v>2021</v>
      </c>
      <c r="E7635" s="1" t="str">
        <f t="shared" ref="E7635:P7635" si="13299">"0"</f>
        <v>0</v>
      </c>
      <c r="F7635" s="1" t="str">
        <f t="shared" si="13299"/>
        <v>0</v>
      </c>
      <c r="G7635" s="1" t="str">
        <f t="shared" si="13299"/>
        <v>0</v>
      </c>
      <c r="H7635" s="1" t="str">
        <f t="shared" si="13299"/>
        <v>0</v>
      </c>
      <c r="I7635" s="1" t="str">
        <f t="shared" si="13299"/>
        <v>0</v>
      </c>
      <c r="J7635" s="1" t="str">
        <f t="shared" si="13299"/>
        <v>0</v>
      </c>
      <c r="K7635" s="1" t="str">
        <f t="shared" si="13299"/>
        <v>0</v>
      </c>
      <c r="L7635" s="1" t="str">
        <f t="shared" si="13299"/>
        <v>0</v>
      </c>
      <c r="M7635" s="1" t="str">
        <f t="shared" si="13299"/>
        <v>0</v>
      </c>
      <c r="N7635" s="1" t="str">
        <f t="shared" si="13299"/>
        <v>0</v>
      </c>
      <c r="O7635" s="1" t="str">
        <f t="shared" si="13299"/>
        <v>0</v>
      </c>
      <c r="P7635" s="1" t="str">
        <f t="shared" si="13299"/>
        <v>0</v>
      </c>
      <c r="Q7635" s="1" t="str">
        <f t="shared" si="13281"/>
        <v>0.0070</v>
      </c>
      <c r="R7635" s="1" t="s">
        <v>25</v>
      </c>
      <c r="T7635" s="1" t="str">
        <f t="shared" si="13282"/>
        <v>0</v>
      </c>
      <c r="U7635" s="1" t="str">
        <f t="shared" si="13292"/>
        <v>0.0070</v>
      </c>
    </row>
    <row r="7636" s="1" customFormat="1" spans="1:21">
      <c r="A7636" s="1" t="str">
        <f>"4601992349503"</f>
        <v>4601992349503</v>
      </c>
      <c r="B7636" s="1" t="s">
        <v>7659</v>
      </c>
      <c r="C7636" s="1" t="s">
        <v>24</v>
      </c>
      <c r="D7636" s="1" t="str">
        <f t="shared" si="13279"/>
        <v>2021</v>
      </c>
      <c r="E7636" s="1" t="str">
        <f t="shared" ref="E7636:P7636" si="13300">"0"</f>
        <v>0</v>
      </c>
      <c r="F7636" s="1" t="str">
        <f t="shared" si="13300"/>
        <v>0</v>
      </c>
      <c r="G7636" s="1" t="str">
        <f t="shared" si="13300"/>
        <v>0</v>
      </c>
      <c r="H7636" s="1" t="str">
        <f t="shared" si="13300"/>
        <v>0</v>
      </c>
      <c r="I7636" s="1" t="str">
        <f t="shared" si="13300"/>
        <v>0</v>
      </c>
      <c r="J7636" s="1" t="str">
        <f t="shared" si="13300"/>
        <v>0</v>
      </c>
      <c r="K7636" s="1" t="str">
        <f t="shared" si="13300"/>
        <v>0</v>
      </c>
      <c r="L7636" s="1" t="str">
        <f t="shared" si="13300"/>
        <v>0</v>
      </c>
      <c r="M7636" s="1" t="str">
        <f t="shared" si="13300"/>
        <v>0</v>
      </c>
      <c r="N7636" s="1" t="str">
        <f t="shared" si="13300"/>
        <v>0</v>
      </c>
      <c r="O7636" s="1" t="str">
        <f t="shared" si="13300"/>
        <v>0</v>
      </c>
      <c r="P7636" s="1" t="str">
        <f t="shared" si="13300"/>
        <v>0</v>
      </c>
      <c r="Q7636" s="1" t="str">
        <f t="shared" si="13281"/>
        <v>0.0070</v>
      </c>
      <c r="R7636" s="1" t="s">
        <v>25</v>
      </c>
      <c r="T7636" s="1" t="str">
        <f t="shared" si="13282"/>
        <v>0</v>
      </c>
      <c r="U7636" s="1" t="str">
        <f t="shared" si="13292"/>
        <v>0.0070</v>
      </c>
    </row>
    <row r="7637" s="1" customFormat="1" spans="1:21">
      <c r="A7637" s="1" t="str">
        <f>"4601992349608"</f>
        <v>4601992349608</v>
      </c>
      <c r="B7637" s="1" t="s">
        <v>7660</v>
      </c>
      <c r="C7637" s="1" t="s">
        <v>24</v>
      </c>
      <c r="D7637" s="1" t="str">
        <f t="shared" si="13279"/>
        <v>2021</v>
      </c>
      <c r="E7637" s="1" t="str">
        <f t="shared" ref="E7637:P7637" si="13301">"0"</f>
        <v>0</v>
      </c>
      <c r="F7637" s="1" t="str">
        <f t="shared" si="13301"/>
        <v>0</v>
      </c>
      <c r="G7637" s="1" t="str">
        <f t="shared" si="13301"/>
        <v>0</v>
      </c>
      <c r="H7637" s="1" t="str">
        <f t="shared" si="13301"/>
        <v>0</v>
      </c>
      <c r="I7637" s="1" t="str">
        <f t="shared" si="13301"/>
        <v>0</v>
      </c>
      <c r="J7637" s="1" t="str">
        <f t="shared" si="13301"/>
        <v>0</v>
      </c>
      <c r="K7637" s="1" t="str">
        <f t="shared" si="13301"/>
        <v>0</v>
      </c>
      <c r="L7637" s="1" t="str">
        <f t="shared" si="13301"/>
        <v>0</v>
      </c>
      <c r="M7637" s="1" t="str">
        <f t="shared" si="13301"/>
        <v>0</v>
      </c>
      <c r="N7637" s="1" t="str">
        <f t="shared" si="13301"/>
        <v>0</v>
      </c>
      <c r="O7637" s="1" t="str">
        <f t="shared" si="13301"/>
        <v>0</v>
      </c>
      <c r="P7637" s="1" t="str">
        <f t="shared" si="13301"/>
        <v>0</v>
      </c>
      <c r="Q7637" s="1" t="str">
        <f t="shared" si="13281"/>
        <v>0.0070</v>
      </c>
      <c r="R7637" s="1" t="s">
        <v>25</v>
      </c>
      <c r="T7637" s="1" t="str">
        <f t="shared" si="13282"/>
        <v>0</v>
      </c>
      <c r="U7637" s="1" t="str">
        <f t="shared" si="13292"/>
        <v>0.0070</v>
      </c>
    </row>
    <row r="7638" s="1" customFormat="1" spans="1:21">
      <c r="A7638" s="1" t="str">
        <f>"4601992349610"</f>
        <v>4601992349610</v>
      </c>
      <c r="B7638" s="1" t="s">
        <v>7661</v>
      </c>
      <c r="C7638" s="1" t="s">
        <v>24</v>
      </c>
      <c r="D7638" s="1" t="str">
        <f t="shared" si="13279"/>
        <v>2021</v>
      </c>
      <c r="E7638" s="1" t="str">
        <f t="shared" ref="E7638:P7638" si="13302">"0"</f>
        <v>0</v>
      </c>
      <c r="F7638" s="1" t="str">
        <f t="shared" si="13302"/>
        <v>0</v>
      </c>
      <c r="G7638" s="1" t="str">
        <f t="shared" si="13302"/>
        <v>0</v>
      </c>
      <c r="H7638" s="1" t="str">
        <f t="shared" si="13302"/>
        <v>0</v>
      </c>
      <c r="I7638" s="1" t="str">
        <f t="shared" si="13302"/>
        <v>0</v>
      </c>
      <c r="J7638" s="1" t="str">
        <f t="shared" si="13302"/>
        <v>0</v>
      </c>
      <c r="K7638" s="1" t="str">
        <f t="shared" si="13302"/>
        <v>0</v>
      </c>
      <c r="L7638" s="1" t="str">
        <f t="shared" si="13302"/>
        <v>0</v>
      </c>
      <c r="M7638" s="1" t="str">
        <f t="shared" si="13302"/>
        <v>0</v>
      </c>
      <c r="N7638" s="1" t="str">
        <f t="shared" si="13302"/>
        <v>0</v>
      </c>
      <c r="O7638" s="1" t="str">
        <f t="shared" si="13302"/>
        <v>0</v>
      </c>
      <c r="P7638" s="1" t="str">
        <f t="shared" si="13302"/>
        <v>0</v>
      </c>
      <c r="Q7638" s="1" t="str">
        <f t="shared" si="13281"/>
        <v>0.0070</v>
      </c>
      <c r="R7638" s="1" t="s">
        <v>25</v>
      </c>
      <c r="T7638" s="1" t="str">
        <f t="shared" si="13282"/>
        <v>0</v>
      </c>
      <c r="U7638" s="1" t="str">
        <f t="shared" si="13292"/>
        <v>0.0070</v>
      </c>
    </row>
    <row r="7639" s="1" customFormat="1" spans="1:21">
      <c r="A7639" s="1" t="str">
        <f>"4601992349755"</f>
        <v>4601992349755</v>
      </c>
      <c r="B7639" s="1" t="s">
        <v>7662</v>
      </c>
      <c r="C7639" s="1" t="s">
        <v>24</v>
      </c>
      <c r="D7639" s="1" t="str">
        <f t="shared" si="13279"/>
        <v>2021</v>
      </c>
      <c r="E7639" s="1" t="str">
        <f t="shared" ref="E7639:P7639" si="13303">"0"</f>
        <v>0</v>
      </c>
      <c r="F7639" s="1" t="str">
        <f t="shared" si="13303"/>
        <v>0</v>
      </c>
      <c r="G7639" s="1" t="str">
        <f t="shared" si="13303"/>
        <v>0</v>
      </c>
      <c r="H7639" s="1" t="str">
        <f t="shared" si="13303"/>
        <v>0</v>
      </c>
      <c r="I7639" s="1" t="str">
        <f t="shared" si="13303"/>
        <v>0</v>
      </c>
      <c r="J7639" s="1" t="str">
        <f t="shared" si="13303"/>
        <v>0</v>
      </c>
      <c r="K7639" s="1" t="str">
        <f t="shared" si="13303"/>
        <v>0</v>
      </c>
      <c r="L7639" s="1" t="str">
        <f t="shared" si="13303"/>
        <v>0</v>
      </c>
      <c r="M7639" s="1" t="str">
        <f t="shared" si="13303"/>
        <v>0</v>
      </c>
      <c r="N7639" s="1" t="str">
        <f t="shared" si="13303"/>
        <v>0</v>
      </c>
      <c r="O7639" s="1" t="str">
        <f t="shared" si="13303"/>
        <v>0</v>
      </c>
      <c r="P7639" s="1" t="str">
        <f t="shared" si="13303"/>
        <v>0</v>
      </c>
      <c r="Q7639" s="1" t="str">
        <f t="shared" si="13281"/>
        <v>0.0070</v>
      </c>
      <c r="R7639" s="1" t="s">
        <v>25</v>
      </c>
      <c r="T7639" s="1" t="str">
        <f t="shared" si="13282"/>
        <v>0</v>
      </c>
      <c r="U7639" s="1" t="str">
        <f t="shared" si="13292"/>
        <v>0.0070</v>
      </c>
    </row>
    <row r="7640" s="1" customFormat="1" spans="1:21">
      <c r="A7640" s="1" t="str">
        <f>"4601992349759"</f>
        <v>4601992349759</v>
      </c>
      <c r="B7640" s="1" t="s">
        <v>7663</v>
      </c>
      <c r="C7640" s="1" t="s">
        <v>24</v>
      </c>
      <c r="D7640" s="1" t="str">
        <f t="shared" si="13279"/>
        <v>2021</v>
      </c>
      <c r="E7640" s="1" t="str">
        <f t="shared" ref="E7640:P7640" si="13304">"0"</f>
        <v>0</v>
      </c>
      <c r="F7640" s="1" t="str">
        <f t="shared" si="13304"/>
        <v>0</v>
      </c>
      <c r="G7640" s="1" t="str">
        <f t="shared" si="13304"/>
        <v>0</v>
      </c>
      <c r="H7640" s="1" t="str">
        <f t="shared" si="13304"/>
        <v>0</v>
      </c>
      <c r="I7640" s="1" t="str">
        <f t="shared" si="13304"/>
        <v>0</v>
      </c>
      <c r="J7640" s="1" t="str">
        <f t="shared" si="13304"/>
        <v>0</v>
      </c>
      <c r="K7640" s="1" t="str">
        <f t="shared" si="13304"/>
        <v>0</v>
      </c>
      <c r="L7640" s="1" t="str">
        <f t="shared" si="13304"/>
        <v>0</v>
      </c>
      <c r="M7640" s="1" t="str">
        <f t="shared" si="13304"/>
        <v>0</v>
      </c>
      <c r="N7640" s="1" t="str">
        <f t="shared" si="13304"/>
        <v>0</v>
      </c>
      <c r="O7640" s="1" t="str">
        <f t="shared" si="13304"/>
        <v>0</v>
      </c>
      <c r="P7640" s="1" t="str">
        <f t="shared" si="13304"/>
        <v>0</v>
      </c>
      <c r="Q7640" s="1" t="str">
        <f t="shared" si="13281"/>
        <v>0.0070</v>
      </c>
      <c r="R7640" s="1" t="s">
        <v>25</v>
      </c>
      <c r="T7640" s="1" t="str">
        <f t="shared" si="13282"/>
        <v>0</v>
      </c>
      <c r="U7640" s="1" t="str">
        <f t="shared" si="13292"/>
        <v>0.0070</v>
      </c>
    </row>
    <row r="7641" s="1" customFormat="1" spans="1:21">
      <c r="A7641" s="1" t="str">
        <f>"4601992349871"</f>
        <v>4601992349871</v>
      </c>
      <c r="B7641" s="1" t="s">
        <v>7664</v>
      </c>
      <c r="C7641" s="1" t="s">
        <v>24</v>
      </c>
      <c r="D7641" s="1" t="str">
        <f t="shared" si="13279"/>
        <v>2021</v>
      </c>
      <c r="E7641" s="1" t="str">
        <f t="shared" ref="E7641:P7641" si="13305">"0"</f>
        <v>0</v>
      </c>
      <c r="F7641" s="1" t="str">
        <f t="shared" si="13305"/>
        <v>0</v>
      </c>
      <c r="G7641" s="1" t="str">
        <f t="shared" si="13305"/>
        <v>0</v>
      </c>
      <c r="H7641" s="1" t="str">
        <f t="shared" si="13305"/>
        <v>0</v>
      </c>
      <c r="I7641" s="1" t="str">
        <f t="shared" si="13305"/>
        <v>0</v>
      </c>
      <c r="J7641" s="1" t="str">
        <f t="shared" si="13305"/>
        <v>0</v>
      </c>
      <c r="K7641" s="1" t="str">
        <f t="shared" si="13305"/>
        <v>0</v>
      </c>
      <c r="L7641" s="1" t="str">
        <f t="shared" si="13305"/>
        <v>0</v>
      </c>
      <c r="M7641" s="1" t="str">
        <f t="shared" si="13305"/>
        <v>0</v>
      </c>
      <c r="N7641" s="1" t="str">
        <f t="shared" si="13305"/>
        <v>0</v>
      </c>
      <c r="O7641" s="1" t="str">
        <f t="shared" si="13305"/>
        <v>0</v>
      </c>
      <c r="P7641" s="1" t="str">
        <f t="shared" si="13305"/>
        <v>0</v>
      </c>
      <c r="Q7641" s="1" t="str">
        <f t="shared" si="13281"/>
        <v>0.0070</v>
      </c>
      <c r="R7641" s="1" t="s">
        <v>25</v>
      </c>
      <c r="T7641" s="1" t="str">
        <f t="shared" si="13282"/>
        <v>0</v>
      </c>
      <c r="U7641" s="1" t="str">
        <f t="shared" si="13292"/>
        <v>0.0070</v>
      </c>
    </row>
    <row r="7642" s="1" customFormat="1" spans="1:21">
      <c r="A7642" s="1" t="str">
        <f>"4601992350187"</f>
        <v>4601992350187</v>
      </c>
      <c r="B7642" s="1" t="s">
        <v>7665</v>
      </c>
      <c r="C7642" s="1" t="s">
        <v>24</v>
      </c>
      <c r="D7642" s="1" t="str">
        <f t="shared" si="13279"/>
        <v>2021</v>
      </c>
      <c r="E7642" s="1" t="str">
        <f t="shared" ref="E7642:P7642" si="13306">"0"</f>
        <v>0</v>
      </c>
      <c r="F7642" s="1" t="str">
        <f t="shared" si="13306"/>
        <v>0</v>
      </c>
      <c r="G7642" s="1" t="str">
        <f t="shared" si="13306"/>
        <v>0</v>
      </c>
      <c r="H7642" s="1" t="str">
        <f t="shared" si="13306"/>
        <v>0</v>
      </c>
      <c r="I7642" s="1" t="str">
        <f t="shared" si="13306"/>
        <v>0</v>
      </c>
      <c r="J7642" s="1" t="str">
        <f t="shared" si="13306"/>
        <v>0</v>
      </c>
      <c r="K7642" s="1" t="str">
        <f t="shared" si="13306"/>
        <v>0</v>
      </c>
      <c r="L7642" s="1" t="str">
        <f t="shared" si="13306"/>
        <v>0</v>
      </c>
      <c r="M7642" s="1" t="str">
        <f t="shared" si="13306"/>
        <v>0</v>
      </c>
      <c r="N7642" s="1" t="str">
        <f t="shared" si="13306"/>
        <v>0</v>
      </c>
      <c r="O7642" s="1" t="str">
        <f t="shared" si="13306"/>
        <v>0</v>
      </c>
      <c r="P7642" s="1" t="str">
        <f t="shared" si="13306"/>
        <v>0</v>
      </c>
      <c r="Q7642" s="1" t="str">
        <f t="shared" si="13281"/>
        <v>0.0070</v>
      </c>
      <c r="R7642" s="1" t="s">
        <v>25</v>
      </c>
      <c r="T7642" s="1" t="str">
        <f t="shared" si="13282"/>
        <v>0</v>
      </c>
      <c r="U7642" s="1" t="str">
        <f t="shared" si="13292"/>
        <v>0.0070</v>
      </c>
    </row>
    <row r="7643" s="1" customFormat="1" spans="1:21">
      <c r="A7643" s="1" t="str">
        <f>"4601992350085"</f>
        <v>4601992350085</v>
      </c>
      <c r="B7643" s="1" t="s">
        <v>7666</v>
      </c>
      <c r="C7643" s="1" t="s">
        <v>24</v>
      </c>
      <c r="D7643" s="1" t="str">
        <f t="shared" si="13279"/>
        <v>2021</v>
      </c>
      <c r="E7643" s="1" t="str">
        <f t="shared" ref="E7643:P7643" si="13307">"0"</f>
        <v>0</v>
      </c>
      <c r="F7643" s="1" t="str">
        <f t="shared" si="13307"/>
        <v>0</v>
      </c>
      <c r="G7643" s="1" t="str">
        <f t="shared" si="13307"/>
        <v>0</v>
      </c>
      <c r="H7643" s="1" t="str">
        <f t="shared" si="13307"/>
        <v>0</v>
      </c>
      <c r="I7643" s="1" t="str">
        <f t="shared" si="13307"/>
        <v>0</v>
      </c>
      <c r="J7643" s="1" t="str">
        <f t="shared" si="13307"/>
        <v>0</v>
      </c>
      <c r="K7643" s="1" t="str">
        <f t="shared" si="13307"/>
        <v>0</v>
      </c>
      <c r="L7643" s="1" t="str">
        <f t="shared" si="13307"/>
        <v>0</v>
      </c>
      <c r="M7643" s="1" t="str">
        <f t="shared" si="13307"/>
        <v>0</v>
      </c>
      <c r="N7643" s="1" t="str">
        <f t="shared" si="13307"/>
        <v>0</v>
      </c>
      <c r="O7643" s="1" t="str">
        <f t="shared" si="13307"/>
        <v>0</v>
      </c>
      <c r="P7643" s="1" t="str">
        <f t="shared" si="13307"/>
        <v>0</v>
      </c>
      <c r="Q7643" s="1" t="str">
        <f t="shared" si="13281"/>
        <v>0.0070</v>
      </c>
      <c r="R7643" s="1" t="s">
        <v>25</v>
      </c>
      <c r="T7643" s="1" t="str">
        <f t="shared" si="13282"/>
        <v>0</v>
      </c>
      <c r="U7643" s="1" t="str">
        <f t="shared" si="13292"/>
        <v>0.0070</v>
      </c>
    </row>
    <row r="7644" s="1" customFormat="1" spans="1:21">
      <c r="A7644" s="1" t="str">
        <f>"4601992350341"</f>
        <v>4601992350341</v>
      </c>
      <c r="B7644" s="1" t="s">
        <v>7667</v>
      </c>
      <c r="C7644" s="1" t="s">
        <v>24</v>
      </c>
      <c r="D7644" s="1" t="str">
        <f t="shared" si="13279"/>
        <v>2021</v>
      </c>
      <c r="E7644" s="1" t="str">
        <f t="shared" ref="E7644:P7644" si="13308">"0"</f>
        <v>0</v>
      </c>
      <c r="F7644" s="1" t="str">
        <f t="shared" si="13308"/>
        <v>0</v>
      </c>
      <c r="G7644" s="1" t="str">
        <f t="shared" si="13308"/>
        <v>0</v>
      </c>
      <c r="H7644" s="1" t="str">
        <f t="shared" si="13308"/>
        <v>0</v>
      </c>
      <c r="I7644" s="1" t="str">
        <f t="shared" si="13308"/>
        <v>0</v>
      </c>
      <c r="J7644" s="1" t="str">
        <f t="shared" si="13308"/>
        <v>0</v>
      </c>
      <c r="K7644" s="1" t="str">
        <f t="shared" si="13308"/>
        <v>0</v>
      </c>
      <c r="L7644" s="1" t="str">
        <f t="shared" si="13308"/>
        <v>0</v>
      </c>
      <c r="M7644" s="1" t="str">
        <f t="shared" si="13308"/>
        <v>0</v>
      </c>
      <c r="N7644" s="1" t="str">
        <f t="shared" si="13308"/>
        <v>0</v>
      </c>
      <c r="O7644" s="1" t="str">
        <f t="shared" si="13308"/>
        <v>0</v>
      </c>
      <c r="P7644" s="1" t="str">
        <f t="shared" si="13308"/>
        <v>0</v>
      </c>
      <c r="Q7644" s="1" t="str">
        <f t="shared" si="13281"/>
        <v>0.0070</v>
      </c>
      <c r="R7644" s="1" t="s">
        <v>25</v>
      </c>
      <c r="T7644" s="1" t="str">
        <f t="shared" si="13282"/>
        <v>0</v>
      </c>
      <c r="U7644" s="1" t="str">
        <f t="shared" si="13292"/>
        <v>0.0070</v>
      </c>
    </row>
    <row r="7645" s="1" customFormat="1" spans="1:21">
      <c r="A7645" s="1" t="str">
        <f>"4601992350661"</f>
        <v>4601992350661</v>
      </c>
      <c r="B7645" s="1" t="s">
        <v>7668</v>
      </c>
      <c r="C7645" s="1" t="s">
        <v>24</v>
      </c>
      <c r="D7645" s="1" t="str">
        <f t="shared" si="13279"/>
        <v>2021</v>
      </c>
      <c r="E7645" s="1" t="str">
        <f t="shared" ref="E7645:P7645" si="13309">"0"</f>
        <v>0</v>
      </c>
      <c r="F7645" s="1" t="str">
        <f t="shared" si="13309"/>
        <v>0</v>
      </c>
      <c r="G7645" s="1" t="str">
        <f t="shared" si="13309"/>
        <v>0</v>
      </c>
      <c r="H7645" s="1" t="str">
        <f t="shared" si="13309"/>
        <v>0</v>
      </c>
      <c r="I7645" s="1" t="str">
        <f t="shared" si="13309"/>
        <v>0</v>
      </c>
      <c r="J7645" s="1" t="str">
        <f t="shared" si="13309"/>
        <v>0</v>
      </c>
      <c r="K7645" s="1" t="str">
        <f t="shared" si="13309"/>
        <v>0</v>
      </c>
      <c r="L7645" s="1" t="str">
        <f t="shared" si="13309"/>
        <v>0</v>
      </c>
      <c r="M7645" s="1" t="str">
        <f t="shared" si="13309"/>
        <v>0</v>
      </c>
      <c r="N7645" s="1" t="str">
        <f t="shared" si="13309"/>
        <v>0</v>
      </c>
      <c r="O7645" s="1" t="str">
        <f t="shared" si="13309"/>
        <v>0</v>
      </c>
      <c r="P7645" s="1" t="str">
        <f t="shared" si="13309"/>
        <v>0</v>
      </c>
      <c r="Q7645" s="1" t="str">
        <f t="shared" si="13281"/>
        <v>0.0070</v>
      </c>
      <c r="R7645" s="1" t="s">
        <v>25</v>
      </c>
      <c r="T7645" s="1" t="str">
        <f t="shared" si="13282"/>
        <v>0</v>
      </c>
      <c r="U7645" s="1" t="str">
        <f t="shared" si="13292"/>
        <v>0.0070</v>
      </c>
    </row>
    <row r="7646" s="1" customFormat="1" spans="1:21">
      <c r="A7646" s="1" t="str">
        <f>"4601992350672"</f>
        <v>4601992350672</v>
      </c>
      <c r="B7646" s="1" t="s">
        <v>7669</v>
      </c>
      <c r="C7646" s="1" t="s">
        <v>24</v>
      </c>
      <c r="D7646" s="1" t="str">
        <f t="shared" si="13279"/>
        <v>2021</v>
      </c>
      <c r="E7646" s="1" t="str">
        <f t="shared" ref="E7646:P7646" si="13310">"0"</f>
        <v>0</v>
      </c>
      <c r="F7646" s="1" t="str">
        <f t="shared" si="13310"/>
        <v>0</v>
      </c>
      <c r="G7646" s="1" t="str">
        <f t="shared" si="13310"/>
        <v>0</v>
      </c>
      <c r="H7646" s="1" t="str">
        <f t="shared" si="13310"/>
        <v>0</v>
      </c>
      <c r="I7646" s="1" t="str">
        <f t="shared" si="13310"/>
        <v>0</v>
      </c>
      <c r="J7646" s="1" t="str">
        <f t="shared" si="13310"/>
        <v>0</v>
      </c>
      <c r="K7646" s="1" t="str">
        <f t="shared" si="13310"/>
        <v>0</v>
      </c>
      <c r="L7646" s="1" t="str">
        <f t="shared" si="13310"/>
        <v>0</v>
      </c>
      <c r="M7646" s="1" t="str">
        <f t="shared" si="13310"/>
        <v>0</v>
      </c>
      <c r="N7646" s="1" t="str">
        <f t="shared" si="13310"/>
        <v>0</v>
      </c>
      <c r="O7646" s="1" t="str">
        <f t="shared" si="13310"/>
        <v>0</v>
      </c>
      <c r="P7646" s="1" t="str">
        <f t="shared" si="13310"/>
        <v>0</v>
      </c>
      <c r="Q7646" s="1" t="str">
        <f t="shared" si="13281"/>
        <v>0.0070</v>
      </c>
      <c r="R7646" s="1" t="s">
        <v>25</v>
      </c>
      <c r="T7646" s="1" t="str">
        <f t="shared" si="13282"/>
        <v>0</v>
      </c>
      <c r="U7646" s="1" t="str">
        <f t="shared" si="13292"/>
        <v>0.0070</v>
      </c>
    </row>
    <row r="7647" s="1" customFormat="1" spans="1:21">
      <c r="A7647" s="1" t="str">
        <f>"4601992350748"</f>
        <v>4601992350748</v>
      </c>
      <c r="B7647" s="1" t="s">
        <v>7670</v>
      </c>
      <c r="C7647" s="1" t="s">
        <v>24</v>
      </c>
      <c r="D7647" s="1" t="str">
        <f t="shared" si="13279"/>
        <v>2021</v>
      </c>
      <c r="E7647" s="1" t="str">
        <f t="shared" ref="E7647:P7647" si="13311">"0"</f>
        <v>0</v>
      </c>
      <c r="F7647" s="1" t="str">
        <f t="shared" si="13311"/>
        <v>0</v>
      </c>
      <c r="G7647" s="1" t="str">
        <f t="shared" si="13311"/>
        <v>0</v>
      </c>
      <c r="H7647" s="1" t="str">
        <f t="shared" si="13311"/>
        <v>0</v>
      </c>
      <c r="I7647" s="1" t="str">
        <f t="shared" si="13311"/>
        <v>0</v>
      </c>
      <c r="J7647" s="1" t="str">
        <f t="shared" si="13311"/>
        <v>0</v>
      </c>
      <c r="K7647" s="1" t="str">
        <f t="shared" si="13311"/>
        <v>0</v>
      </c>
      <c r="L7647" s="1" t="str">
        <f t="shared" si="13311"/>
        <v>0</v>
      </c>
      <c r="M7647" s="1" t="str">
        <f t="shared" si="13311"/>
        <v>0</v>
      </c>
      <c r="N7647" s="1" t="str">
        <f t="shared" si="13311"/>
        <v>0</v>
      </c>
      <c r="O7647" s="1" t="str">
        <f t="shared" si="13311"/>
        <v>0</v>
      </c>
      <c r="P7647" s="1" t="str">
        <f t="shared" si="13311"/>
        <v>0</v>
      </c>
      <c r="Q7647" s="1" t="str">
        <f t="shared" si="13281"/>
        <v>0.0070</v>
      </c>
      <c r="R7647" s="1" t="s">
        <v>25</v>
      </c>
      <c r="T7647" s="1" t="str">
        <f t="shared" si="13282"/>
        <v>0</v>
      </c>
      <c r="U7647" s="1" t="str">
        <f t="shared" si="13292"/>
        <v>0.0070</v>
      </c>
    </row>
    <row r="7648" s="1" customFormat="1" spans="1:21">
      <c r="A7648" s="1" t="str">
        <f>"4601992350759"</f>
        <v>4601992350759</v>
      </c>
      <c r="B7648" s="1" t="s">
        <v>7671</v>
      </c>
      <c r="C7648" s="1" t="s">
        <v>24</v>
      </c>
      <c r="D7648" s="1" t="str">
        <f t="shared" si="13279"/>
        <v>2021</v>
      </c>
      <c r="E7648" s="1" t="str">
        <f t="shared" ref="E7648:P7648" si="13312">"0"</f>
        <v>0</v>
      </c>
      <c r="F7648" s="1" t="str">
        <f t="shared" si="13312"/>
        <v>0</v>
      </c>
      <c r="G7648" s="1" t="str">
        <f t="shared" si="13312"/>
        <v>0</v>
      </c>
      <c r="H7648" s="1" t="str">
        <f t="shared" si="13312"/>
        <v>0</v>
      </c>
      <c r="I7648" s="1" t="str">
        <f t="shared" si="13312"/>
        <v>0</v>
      </c>
      <c r="J7648" s="1" t="str">
        <f t="shared" si="13312"/>
        <v>0</v>
      </c>
      <c r="K7648" s="1" t="str">
        <f t="shared" si="13312"/>
        <v>0</v>
      </c>
      <c r="L7648" s="1" t="str">
        <f t="shared" si="13312"/>
        <v>0</v>
      </c>
      <c r="M7648" s="1" t="str">
        <f t="shared" si="13312"/>
        <v>0</v>
      </c>
      <c r="N7648" s="1" t="str">
        <f t="shared" si="13312"/>
        <v>0</v>
      </c>
      <c r="O7648" s="1" t="str">
        <f t="shared" si="13312"/>
        <v>0</v>
      </c>
      <c r="P7648" s="1" t="str">
        <f t="shared" si="13312"/>
        <v>0</v>
      </c>
      <c r="Q7648" s="1" t="str">
        <f t="shared" si="13281"/>
        <v>0.0070</v>
      </c>
      <c r="R7648" s="1" t="s">
        <v>25</v>
      </c>
      <c r="T7648" s="1" t="str">
        <f t="shared" si="13282"/>
        <v>0</v>
      </c>
      <c r="U7648" s="1" t="str">
        <f t="shared" si="13292"/>
        <v>0.0070</v>
      </c>
    </row>
    <row r="7649" s="1" customFormat="1" spans="1:21">
      <c r="A7649" s="1" t="str">
        <f>"4601992350768"</f>
        <v>4601992350768</v>
      </c>
      <c r="B7649" s="1" t="s">
        <v>7672</v>
      </c>
      <c r="C7649" s="1" t="s">
        <v>24</v>
      </c>
      <c r="D7649" s="1" t="str">
        <f t="shared" si="13279"/>
        <v>2021</v>
      </c>
      <c r="E7649" s="1" t="str">
        <f t="shared" ref="E7649:P7649" si="13313">"0"</f>
        <v>0</v>
      </c>
      <c r="F7649" s="1" t="str">
        <f t="shared" si="13313"/>
        <v>0</v>
      </c>
      <c r="G7649" s="1" t="str">
        <f t="shared" si="13313"/>
        <v>0</v>
      </c>
      <c r="H7649" s="1" t="str">
        <f t="shared" si="13313"/>
        <v>0</v>
      </c>
      <c r="I7649" s="1" t="str">
        <f t="shared" si="13313"/>
        <v>0</v>
      </c>
      <c r="J7649" s="1" t="str">
        <f t="shared" si="13313"/>
        <v>0</v>
      </c>
      <c r="K7649" s="1" t="str">
        <f t="shared" si="13313"/>
        <v>0</v>
      </c>
      <c r="L7649" s="1" t="str">
        <f t="shared" si="13313"/>
        <v>0</v>
      </c>
      <c r="M7649" s="1" t="str">
        <f t="shared" si="13313"/>
        <v>0</v>
      </c>
      <c r="N7649" s="1" t="str">
        <f t="shared" si="13313"/>
        <v>0</v>
      </c>
      <c r="O7649" s="1" t="str">
        <f t="shared" si="13313"/>
        <v>0</v>
      </c>
      <c r="P7649" s="1" t="str">
        <f t="shared" si="13313"/>
        <v>0</v>
      </c>
      <c r="Q7649" s="1" t="str">
        <f t="shared" si="13281"/>
        <v>0.0070</v>
      </c>
      <c r="R7649" s="1" t="s">
        <v>25</v>
      </c>
      <c r="T7649" s="1" t="str">
        <f t="shared" si="13282"/>
        <v>0</v>
      </c>
      <c r="U7649" s="1" t="str">
        <f t="shared" si="13292"/>
        <v>0.0070</v>
      </c>
    </row>
    <row r="7650" s="1" customFormat="1" spans="1:21">
      <c r="A7650" s="1" t="str">
        <f>"4601992350745"</f>
        <v>4601992350745</v>
      </c>
      <c r="B7650" s="1" t="s">
        <v>7673</v>
      </c>
      <c r="C7650" s="1" t="s">
        <v>24</v>
      </c>
      <c r="D7650" s="1" t="str">
        <f t="shared" si="13279"/>
        <v>2021</v>
      </c>
      <c r="E7650" s="1" t="str">
        <f t="shared" ref="E7650:P7650" si="13314">"0"</f>
        <v>0</v>
      </c>
      <c r="F7650" s="1" t="str">
        <f t="shared" si="13314"/>
        <v>0</v>
      </c>
      <c r="G7650" s="1" t="str">
        <f t="shared" si="13314"/>
        <v>0</v>
      </c>
      <c r="H7650" s="1" t="str">
        <f t="shared" si="13314"/>
        <v>0</v>
      </c>
      <c r="I7650" s="1" t="str">
        <f t="shared" si="13314"/>
        <v>0</v>
      </c>
      <c r="J7650" s="1" t="str">
        <f t="shared" si="13314"/>
        <v>0</v>
      </c>
      <c r="K7650" s="1" t="str">
        <f t="shared" si="13314"/>
        <v>0</v>
      </c>
      <c r="L7650" s="1" t="str">
        <f t="shared" si="13314"/>
        <v>0</v>
      </c>
      <c r="M7650" s="1" t="str">
        <f t="shared" si="13314"/>
        <v>0</v>
      </c>
      <c r="N7650" s="1" t="str">
        <f t="shared" si="13314"/>
        <v>0</v>
      </c>
      <c r="O7650" s="1" t="str">
        <f t="shared" si="13314"/>
        <v>0</v>
      </c>
      <c r="P7650" s="1" t="str">
        <f t="shared" si="13314"/>
        <v>0</v>
      </c>
      <c r="Q7650" s="1" t="str">
        <f t="shared" si="13281"/>
        <v>0.0070</v>
      </c>
      <c r="R7650" s="1" t="s">
        <v>25</v>
      </c>
      <c r="T7650" s="1" t="str">
        <f t="shared" si="13282"/>
        <v>0</v>
      </c>
      <c r="U7650" s="1" t="str">
        <f t="shared" si="13292"/>
        <v>0.0070</v>
      </c>
    </row>
    <row r="7651" s="1" customFormat="1" spans="1:21">
      <c r="A7651" s="1" t="str">
        <f>"4601992350778"</f>
        <v>4601992350778</v>
      </c>
      <c r="B7651" s="1" t="s">
        <v>7674</v>
      </c>
      <c r="C7651" s="1" t="s">
        <v>24</v>
      </c>
      <c r="D7651" s="1" t="str">
        <f t="shared" si="13279"/>
        <v>2021</v>
      </c>
      <c r="E7651" s="1" t="str">
        <f t="shared" ref="E7651:P7651" si="13315">"0"</f>
        <v>0</v>
      </c>
      <c r="F7651" s="1" t="str">
        <f t="shared" si="13315"/>
        <v>0</v>
      </c>
      <c r="G7651" s="1" t="str">
        <f t="shared" si="13315"/>
        <v>0</v>
      </c>
      <c r="H7651" s="1" t="str">
        <f t="shared" si="13315"/>
        <v>0</v>
      </c>
      <c r="I7651" s="1" t="str">
        <f t="shared" si="13315"/>
        <v>0</v>
      </c>
      <c r="J7651" s="1" t="str">
        <f t="shared" si="13315"/>
        <v>0</v>
      </c>
      <c r="K7651" s="1" t="str">
        <f t="shared" si="13315"/>
        <v>0</v>
      </c>
      <c r="L7651" s="1" t="str">
        <f t="shared" si="13315"/>
        <v>0</v>
      </c>
      <c r="M7651" s="1" t="str">
        <f t="shared" si="13315"/>
        <v>0</v>
      </c>
      <c r="N7651" s="1" t="str">
        <f t="shared" si="13315"/>
        <v>0</v>
      </c>
      <c r="O7651" s="1" t="str">
        <f t="shared" si="13315"/>
        <v>0</v>
      </c>
      <c r="P7651" s="1" t="str">
        <f t="shared" si="13315"/>
        <v>0</v>
      </c>
      <c r="Q7651" s="1" t="str">
        <f t="shared" si="13281"/>
        <v>0.0070</v>
      </c>
      <c r="R7651" s="1" t="s">
        <v>25</v>
      </c>
      <c r="T7651" s="1" t="str">
        <f t="shared" si="13282"/>
        <v>0</v>
      </c>
      <c r="U7651" s="1" t="str">
        <f t="shared" si="13292"/>
        <v>0.0070</v>
      </c>
    </row>
    <row r="7652" s="1" customFormat="1" spans="1:21">
      <c r="A7652" s="1" t="str">
        <f>"4601992350888"</f>
        <v>4601992350888</v>
      </c>
      <c r="B7652" s="1" t="s">
        <v>7675</v>
      </c>
      <c r="C7652" s="1" t="s">
        <v>24</v>
      </c>
      <c r="D7652" s="1" t="str">
        <f t="shared" si="13279"/>
        <v>2021</v>
      </c>
      <c r="E7652" s="1" t="str">
        <f t="shared" ref="E7652:P7652" si="13316">"0"</f>
        <v>0</v>
      </c>
      <c r="F7652" s="1" t="str">
        <f t="shared" si="13316"/>
        <v>0</v>
      </c>
      <c r="G7652" s="1" t="str">
        <f t="shared" si="13316"/>
        <v>0</v>
      </c>
      <c r="H7652" s="1" t="str">
        <f t="shared" si="13316"/>
        <v>0</v>
      </c>
      <c r="I7652" s="1" t="str">
        <f t="shared" si="13316"/>
        <v>0</v>
      </c>
      <c r="J7652" s="1" t="str">
        <f t="shared" si="13316"/>
        <v>0</v>
      </c>
      <c r="K7652" s="1" t="str">
        <f t="shared" si="13316"/>
        <v>0</v>
      </c>
      <c r="L7652" s="1" t="str">
        <f t="shared" si="13316"/>
        <v>0</v>
      </c>
      <c r="M7652" s="1" t="str">
        <f t="shared" si="13316"/>
        <v>0</v>
      </c>
      <c r="N7652" s="1" t="str">
        <f t="shared" si="13316"/>
        <v>0</v>
      </c>
      <c r="O7652" s="1" t="str">
        <f t="shared" si="13316"/>
        <v>0</v>
      </c>
      <c r="P7652" s="1" t="str">
        <f t="shared" si="13316"/>
        <v>0</v>
      </c>
      <c r="Q7652" s="1" t="str">
        <f t="shared" si="13281"/>
        <v>0.0070</v>
      </c>
      <c r="R7652" s="1" t="s">
        <v>25</v>
      </c>
      <c r="T7652" s="1" t="str">
        <f t="shared" si="13282"/>
        <v>0</v>
      </c>
      <c r="U7652" s="1" t="str">
        <f t="shared" si="13292"/>
        <v>0.0070</v>
      </c>
    </row>
    <row r="7653" s="1" customFormat="1" spans="1:21">
      <c r="A7653" s="1" t="str">
        <f>"4601992351000"</f>
        <v>4601992351000</v>
      </c>
      <c r="B7653" s="1" t="s">
        <v>7676</v>
      </c>
      <c r="C7653" s="1" t="s">
        <v>24</v>
      </c>
      <c r="D7653" s="1" t="str">
        <f t="shared" si="13279"/>
        <v>2021</v>
      </c>
      <c r="E7653" s="1" t="str">
        <f t="shared" ref="E7653:P7653" si="13317">"0"</f>
        <v>0</v>
      </c>
      <c r="F7653" s="1" t="str">
        <f t="shared" si="13317"/>
        <v>0</v>
      </c>
      <c r="G7653" s="1" t="str">
        <f t="shared" si="13317"/>
        <v>0</v>
      </c>
      <c r="H7653" s="1" t="str">
        <f t="shared" si="13317"/>
        <v>0</v>
      </c>
      <c r="I7653" s="1" t="str">
        <f t="shared" si="13317"/>
        <v>0</v>
      </c>
      <c r="J7653" s="1" t="str">
        <f t="shared" si="13317"/>
        <v>0</v>
      </c>
      <c r="K7653" s="1" t="str">
        <f t="shared" si="13317"/>
        <v>0</v>
      </c>
      <c r="L7653" s="1" t="str">
        <f t="shared" si="13317"/>
        <v>0</v>
      </c>
      <c r="M7653" s="1" t="str">
        <f t="shared" si="13317"/>
        <v>0</v>
      </c>
      <c r="N7653" s="1" t="str">
        <f t="shared" si="13317"/>
        <v>0</v>
      </c>
      <c r="O7653" s="1" t="str">
        <f t="shared" si="13317"/>
        <v>0</v>
      </c>
      <c r="P7653" s="1" t="str">
        <f t="shared" si="13317"/>
        <v>0</v>
      </c>
      <c r="Q7653" s="1" t="str">
        <f t="shared" si="13281"/>
        <v>0.0070</v>
      </c>
      <c r="R7653" s="1" t="s">
        <v>25</v>
      </c>
      <c r="T7653" s="1" t="str">
        <f t="shared" si="13282"/>
        <v>0</v>
      </c>
      <c r="U7653" s="1" t="str">
        <f t="shared" si="13292"/>
        <v>0.0070</v>
      </c>
    </row>
    <row r="7654" s="1" customFormat="1" spans="1:21">
      <c r="A7654" s="1" t="str">
        <f>"4601992351010"</f>
        <v>4601992351010</v>
      </c>
      <c r="B7654" s="1" t="s">
        <v>7677</v>
      </c>
      <c r="C7654" s="1" t="s">
        <v>24</v>
      </c>
      <c r="D7654" s="1" t="str">
        <f t="shared" si="13279"/>
        <v>2021</v>
      </c>
      <c r="E7654" s="1" t="str">
        <f t="shared" ref="E7654:P7654" si="13318">"0"</f>
        <v>0</v>
      </c>
      <c r="F7654" s="1" t="str">
        <f t="shared" si="13318"/>
        <v>0</v>
      </c>
      <c r="G7654" s="1" t="str">
        <f t="shared" si="13318"/>
        <v>0</v>
      </c>
      <c r="H7654" s="1" t="str">
        <f t="shared" si="13318"/>
        <v>0</v>
      </c>
      <c r="I7654" s="1" t="str">
        <f t="shared" si="13318"/>
        <v>0</v>
      </c>
      <c r="J7654" s="1" t="str">
        <f t="shared" si="13318"/>
        <v>0</v>
      </c>
      <c r="K7654" s="1" t="str">
        <f t="shared" si="13318"/>
        <v>0</v>
      </c>
      <c r="L7654" s="1" t="str">
        <f t="shared" si="13318"/>
        <v>0</v>
      </c>
      <c r="M7654" s="1" t="str">
        <f t="shared" si="13318"/>
        <v>0</v>
      </c>
      <c r="N7654" s="1" t="str">
        <f t="shared" si="13318"/>
        <v>0</v>
      </c>
      <c r="O7654" s="1" t="str">
        <f t="shared" si="13318"/>
        <v>0</v>
      </c>
      <c r="P7654" s="1" t="str">
        <f t="shared" si="13318"/>
        <v>0</v>
      </c>
      <c r="Q7654" s="1" t="str">
        <f t="shared" si="13281"/>
        <v>0.0070</v>
      </c>
      <c r="R7654" s="1" t="s">
        <v>25</v>
      </c>
      <c r="T7654" s="1" t="str">
        <f t="shared" si="13282"/>
        <v>0</v>
      </c>
      <c r="U7654" s="1" t="str">
        <f t="shared" si="13292"/>
        <v>0.0070</v>
      </c>
    </row>
    <row r="7655" s="1" customFormat="1" spans="1:21">
      <c r="A7655" s="1" t="str">
        <f>"4601992351211"</f>
        <v>4601992351211</v>
      </c>
      <c r="B7655" s="1" t="s">
        <v>7678</v>
      </c>
      <c r="C7655" s="1" t="s">
        <v>24</v>
      </c>
      <c r="D7655" s="1" t="str">
        <f t="shared" si="13279"/>
        <v>2021</v>
      </c>
      <c r="E7655" s="1" t="str">
        <f t="shared" ref="E7655:P7655" si="13319">"0"</f>
        <v>0</v>
      </c>
      <c r="F7655" s="1" t="str">
        <f t="shared" si="13319"/>
        <v>0</v>
      </c>
      <c r="G7655" s="1" t="str">
        <f t="shared" si="13319"/>
        <v>0</v>
      </c>
      <c r="H7655" s="1" t="str">
        <f t="shared" si="13319"/>
        <v>0</v>
      </c>
      <c r="I7655" s="1" t="str">
        <f t="shared" si="13319"/>
        <v>0</v>
      </c>
      <c r="J7655" s="1" t="str">
        <f t="shared" si="13319"/>
        <v>0</v>
      </c>
      <c r="K7655" s="1" t="str">
        <f t="shared" si="13319"/>
        <v>0</v>
      </c>
      <c r="L7655" s="1" t="str">
        <f t="shared" si="13319"/>
        <v>0</v>
      </c>
      <c r="M7655" s="1" t="str">
        <f t="shared" si="13319"/>
        <v>0</v>
      </c>
      <c r="N7655" s="1" t="str">
        <f t="shared" si="13319"/>
        <v>0</v>
      </c>
      <c r="O7655" s="1" t="str">
        <f t="shared" si="13319"/>
        <v>0</v>
      </c>
      <c r="P7655" s="1" t="str">
        <f t="shared" si="13319"/>
        <v>0</v>
      </c>
      <c r="Q7655" s="1" t="str">
        <f t="shared" si="13281"/>
        <v>0.0070</v>
      </c>
      <c r="R7655" s="1" t="s">
        <v>25</v>
      </c>
      <c r="T7655" s="1" t="str">
        <f t="shared" si="13282"/>
        <v>0</v>
      </c>
      <c r="U7655" s="1" t="str">
        <f t="shared" si="13292"/>
        <v>0.0070</v>
      </c>
    </row>
    <row r="7656" s="1" customFormat="1" spans="1:21">
      <c r="A7656" s="1" t="str">
        <f>"4601992351387"</f>
        <v>4601992351387</v>
      </c>
      <c r="B7656" s="1" t="s">
        <v>7679</v>
      </c>
      <c r="C7656" s="1" t="s">
        <v>24</v>
      </c>
      <c r="D7656" s="1" t="str">
        <f t="shared" si="13279"/>
        <v>2021</v>
      </c>
      <c r="E7656" s="1" t="str">
        <f t="shared" ref="E7656:P7656" si="13320">"0"</f>
        <v>0</v>
      </c>
      <c r="F7656" s="1" t="str">
        <f t="shared" si="13320"/>
        <v>0</v>
      </c>
      <c r="G7656" s="1" t="str">
        <f t="shared" si="13320"/>
        <v>0</v>
      </c>
      <c r="H7656" s="1" t="str">
        <f t="shared" si="13320"/>
        <v>0</v>
      </c>
      <c r="I7656" s="1" t="str">
        <f t="shared" si="13320"/>
        <v>0</v>
      </c>
      <c r="J7656" s="1" t="str">
        <f t="shared" si="13320"/>
        <v>0</v>
      </c>
      <c r="K7656" s="1" t="str">
        <f t="shared" si="13320"/>
        <v>0</v>
      </c>
      <c r="L7656" s="1" t="str">
        <f t="shared" si="13320"/>
        <v>0</v>
      </c>
      <c r="M7656" s="1" t="str">
        <f t="shared" si="13320"/>
        <v>0</v>
      </c>
      <c r="N7656" s="1" t="str">
        <f t="shared" si="13320"/>
        <v>0</v>
      </c>
      <c r="O7656" s="1" t="str">
        <f t="shared" si="13320"/>
        <v>0</v>
      </c>
      <c r="P7656" s="1" t="str">
        <f t="shared" si="13320"/>
        <v>0</v>
      </c>
      <c r="Q7656" s="1" t="str">
        <f t="shared" si="13281"/>
        <v>0.0070</v>
      </c>
      <c r="R7656" s="1" t="s">
        <v>25</v>
      </c>
      <c r="T7656" s="1" t="str">
        <f t="shared" si="13282"/>
        <v>0</v>
      </c>
      <c r="U7656" s="1" t="str">
        <f t="shared" si="13292"/>
        <v>0.0070</v>
      </c>
    </row>
    <row r="7657" s="1" customFormat="1" spans="1:21">
      <c r="A7657" s="1" t="str">
        <f>"4601992351397"</f>
        <v>4601992351397</v>
      </c>
      <c r="B7657" s="1" t="s">
        <v>7680</v>
      </c>
      <c r="C7657" s="1" t="s">
        <v>24</v>
      </c>
      <c r="D7657" s="1" t="str">
        <f t="shared" si="13279"/>
        <v>2021</v>
      </c>
      <c r="E7657" s="1" t="str">
        <f t="shared" ref="E7657:P7657" si="13321">"0"</f>
        <v>0</v>
      </c>
      <c r="F7657" s="1" t="str">
        <f t="shared" si="13321"/>
        <v>0</v>
      </c>
      <c r="G7657" s="1" t="str">
        <f t="shared" si="13321"/>
        <v>0</v>
      </c>
      <c r="H7657" s="1" t="str">
        <f t="shared" si="13321"/>
        <v>0</v>
      </c>
      <c r="I7657" s="1" t="str">
        <f t="shared" si="13321"/>
        <v>0</v>
      </c>
      <c r="J7657" s="1" t="str">
        <f t="shared" si="13321"/>
        <v>0</v>
      </c>
      <c r="K7657" s="1" t="str">
        <f t="shared" si="13321"/>
        <v>0</v>
      </c>
      <c r="L7657" s="1" t="str">
        <f t="shared" si="13321"/>
        <v>0</v>
      </c>
      <c r="M7657" s="1" t="str">
        <f t="shared" si="13321"/>
        <v>0</v>
      </c>
      <c r="N7657" s="1" t="str">
        <f t="shared" si="13321"/>
        <v>0</v>
      </c>
      <c r="O7657" s="1" t="str">
        <f t="shared" si="13321"/>
        <v>0</v>
      </c>
      <c r="P7657" s="1" t="str">
        <f t="shared" si="13321"/>
        <v>0</v>
      </c>
      <c r="Q7657" s="1" t="str">
        <f t="shared" si="13281"/>
        <v>0.0070</v>
      </c>
      <c r="R7657" s="1" t="s">
        <v>25</v>
      </c>
      <c r="T7657" s="1" t="str">
        <f t="shared" si="13282"/>
        <v>0</v>
      </c>
      <c r="U7657" s="1" t="str">
        <f t="shared" si="13292"/>
        <v>0.0070</v>
      </c>
    </row>
    <row r="7658" s="1" customFormat="1" spans="1:21">
      <c r="A7658" s="1" t="str">
        <f>"4601992351444"</f>
        <v>4601992351444</v>
      </c>
      <c r="B7658" s="1" t="s">
        <v>7681</v>
      </c>
      <c r="C7658" s="1" t="s">
        <v>24</v>
      </c>
      <c r="D7658" s="1" t="str">
        <f t="shared" si="13279"/>
        <v>2021</v>
      </c>
      <c r="E7658" s="1" t="str">
        <f t="shared" ref="E7658:P7658" si="13322">"0"</f>
        <v>0</v>
      </c>
      <c r="F7658" s="1" t="str">
        <f t="shared" si="13322"/>
        <v>0</v>
      </c>
      <c r="G7658" s="1" t="str">
        <f t="shared" si="13322"/>
        <v>0</v>
      </c>
      <c r="H7658" s="1" t="str">
        <f t="shared" si="13322"/>
        <v>0</v>
      </c>
      <c r="I7658" s="1" t="str">
        <f t="shared" si="13322"/>
        <v>0</v>
      </c>
      <c r="J7658" s="1" t="str">
        <f t="shared" si="13322"/>
        <v>0</v>
      </c>
      <c r="K7658" s="1" t="str">
        <f t="shared" si="13322"/>
        <v>0</v>
      </c>
      <c r="L7658" s="1" t="str">
        <f t="shared" si="13322"/>
        <v>0</v>
      </c>
      <c r="M7658" s="1" t="str">
        <f t="shared" si="13322"/>
        <v>0</v>
      </c>
      <c r="N7658" s="1" t="str">
        <f t="shared" si="13322"/>
        <v>0</v>
      </c>
      <c r="O7658" s="1" t="str">
        <f t="shared" si="13322"/>
        <v>0</v>
      </c>
      <c r="P7658" s="1" t="str">
        <f t="shared" si="13322"/>
        <v>0</v>
      </c>
      <c r="Q7658" s="1" t="str">
        <f t="shared" si="13281"/>
        <v>0.0070</v>
      </c>
      <c r="R7658" s="1" t="s">
        <v>25</v>
      </c>
      <c r="T7658" s="1" t="str">
        <f t="shared" si="13282"/>
        <v>0</v>
      </c>
      <c r="U7658" s="1" t="str">
        <f t="shared" si="13292"/>
        <v>0.0070</v>
      </c>
    </row>
    <row r="7659" s="1" customFormat="1" spans="1:21">
      <c r="A7659" s="1" t="str">
        <f>"4601992351527"</f>
        <v>4601992351527</v>
      </c>
      <c r="B7659" s="1" t="s">
        <v>7682</v>
      </c>
      <c r="C7659" s="1" t="s">
        <v>24</v>
      </c>
      <c r="D7659" s="1" t="str">
        <f t="shared" si="13279"/>
        <v>2021</v>
      </c>
      <c r="E7659" s="1" t="str">
        <f t="shared" ref="E7659:P7659" si="13323">"0"</f>
        <v>0</v>
      </c>
      <c r="F7659" s="1" t="str">
        <f t="shared" si="13323"/>
        <v>0</v>
      </c>
      <c r="G7659" s="1" t="str">
        <f t="shared" si="13323"/>
        <v>0</v>
      </c>
      <c r="H7659" s="1" t="str">
        <f t="shared" si="13323"/>
        <v>0</v>
      </c>
      <c r="I7659" s="1" t="str">
        <f t="shared" si="13323"/>
        <v>0</v>
      </c>
      <c r="J7659" s="1" t="str">
        <f t="shared" si="13323"/>
        <v>0</v>
      </c>
      <c r="K7659" s="1" t="str">
        <f t="shared" si="13323"/>
        <v>0</v>
      </c>
      <c r="L7659" s="1" t="str">
        <f t="shared" si="13323"/>
        <v>0</v>
      </c>
      <c r="M7659" s="1" t="str">
        <f t="shared" si="13323"/>
        <v>0</v>
      </c>
      <c r="N7659" s="1" t="str">
        <f t="shared" si="13323"/>
        <v>0</v>
      </c>
      <c r="O7659" s="1" t="str">
        <f t="shared" si="13323"/>
        <v>0</v>
      </c>
      <c r="P7659" s="1" t="str">
        <f t="shared" si="13323"/>
        <v>0</v>
      </c>
      <c r="Q7659" s="1" t="str">
        <f t="shared" si="13281"/>
        <v>0.0070</v>
      </c>
      <c r="R7659" s="1" t="s">
        <v>25</v>
      </c>
      <c r="T7659" s="1" t="str">
        <f t="shared" si="13282"/>
        <v>0</v>
      </c>
      <c r="U7659" s="1" t="str">
        <f t="shared" si="13292"/>
        <v>0.0070</v>
      </c>
    </row>
    <row r="7660" s="1" customFormat="1" spans="1:21">
      <c r="A7660" s="1" t="str">
        <f>"4601992351793"</f>
        <v>4601992351793</v>
      </c>
      <c r="B7660" s="1" t="s">
        <v>7683</v>
      </c>
      <c r="C7660" s="1" t="s">
        <v>24</v>
      </c>
      <c r="D7660" s="1" t="str">
        <f t="shared" si="13279"/>
        <v>2021</v>
      </c>
      <c r="E7660" s="1" t="str">
        <f t="shared" ref="E7660:P7660" si="13324">"0"</f>
        <v>0</v>
      </c>
      <c r="F7660" s="1" t="str">
        <f t="shared" si="13324"/>
        <v>0</v>
      </c>
      <c r="G7660" s="1" t="str">
        <f t="shared" si="13324"/>
        <v>0</v>
      </c>
      <c r="H7660" s="1" t="str">
        <f t="shared" si="13324"/>
        <v>0</v>
      </c>
      <c r="I7660" s="1" t="str">
        <f t="shared" si="13324"/>
        <v>0</v>
      </c>
      <c r="J7660" s="1" t="str">
        <f t="shared" si="13324"/>
        <v>0</v>
      </c>
      <c r="K7660" s="1" t="str">
        <f t="shared" si="13324"/>
        <v>0</v>
      </c>
      <c r="L7660" s="1" t="str">
        <f t="shared" si="13324"/>
        <v>0</v>
      </c>
      <c r="M7660" s="1" t="str">
        <f t="shared" si="13324"/>
        <v>0</v>
      </c>
      <c r="N7660" s="1" t="str">
        <f t="shared" si="13324"/>
        <v>0</v>
      </c>
      <c r="O7660" s="1" t="str">
        <f t="shared" si="13324"/>
        <v>0</v>
      </c>
      <c r="P7660" s="1" t="str">
        <f t="shared" si="13324"/>
        <v>0</v>
      </c>
      <c r="Q7660" s="1" t="str">
        <f t="shared" si="13281"/>
        <v>0.0070</v>
      </c>
      <c r="R7660" s="1" t="s">
        <v>25</v>
      </c>
      <c r="T7660" s="1" t="str">
        <f t="shared" si="13282"/>
        <v>0</v>
      </c>
      <c r="U7660" s="1" t="str">
        <f t="shared" si="13292"/>
        <v>0.0070</v>
      </c>
    </row>
    <row r="7661" s="1" customFormat="1" spans="1:21">
      <c r="A7661" s="1" t="str">
        <f>"4601992351906"</f>
        <v>4601992351906</v>
      </c>
      <c r="B7661" s="1" t="s">
        <v>7684</v>
      </c>
      <c r="C7661" s="1" t="s">
        <v>24</v>
      </c>
      <c r="D7661" s="1" t="str">
        <f t="shared" si="13279"/>
        <v>2021</v>
      </c>
      <c r="E7661" s="1" t="str">
        <f t="shared" ref="E7661:P7661" si="13325">"0"</f>
        <v>0</v>
      </c>
      <c r="F7661" s="1" t="str">
        <f t="shared" si="13325"/>
        <v>0</v>
      </c>
      <c r="G7661" s="1" t="str">
        <f t="shared" si="13325"/>
        <v>0</v>
      </c>
      <c r="H7661" s="1" t="str">
        <f t="shared" si="13325"/>
        <v>0</v>
      </c>
      <c r="I7661" s="1" t="str">
        <f t="shared" si="13325"/>
        <v>0</v>
      </c>
      <c r="J7661" s="1" t="str">
        <f t="shared" si="13325"/>
        <v>0</v>
      </c>
      <c r="K7661" s="1" t="str">
        <f t="shared" si="13325"/>
        <v>0</v>
      </c>
      <c r="L7661" s="1" t="str">
        <f t="shared" si="13325"/>
        <v>0</v>
      </c>
      <c r="M7661" s="1" t="str">
        <f t="shared" si="13325"/>
        <v>0</v>
      </c>
      <c r="N7661" s="1" t="str">
        <f t="shared" si="13325"/>
        <v>0</v>
      </c>
      <c r="O7661" s="1" t="str">
        <f t="shared" si="13325"/>
        <v>0</v>
      </c>
      <c r="P7661" s="1" t="str">
        <f t="shared" si="13325"/>
        <v>0</v>
      </c>
      <c r="Q7661" s="1" t="str">
        <f t="shared" si="13281"/>
        <v>0.0070</v>
      </c>
      <c r="R7661" s="1" t="s">
        <v>25</v>
      </c>
      <c r="T7661" s="1" t="str">
        <f t="shared" si="13282"/>
        <v>0</v>
      </c>
      <c r="U7661" s="1" t="str">
        <f t="shared" si="13292"/>
        <v>0.0070</v>
      </c>
    </row>
    <row r="7662" s="1" customFormat="1" spans="1:21">
      <c r="A7662" s="1" t="str">
        <f>"4601992352139"</f>
        <v>4601992352139</v>
      </c>
      <c r="B7662" s="1" t="s">
        <v>7685</v>
      </c>
      <c r="C7662" s="1" t="s">
        <v>24</v>
      </c>
      <c r="D7662" s="1" t="str">
        <f t="shared" si="13279"/>
        <v>2021</v>
      </c>
      <c r="E7662" s="1" t="str">
        <f t="shared" ref="E7662:P7662" si="13326">"0"</f>
        <v>0</v>
      </c>
      <c r="F7662" s="1" t="str">
        <f t="shared" si="13326"/>
        <v>0</v>
      </c>
      <c r="G7662" s="1" t="str">
        <f t="shared" si="13326"/>
        <v>0</v>
      </c>
      <c r="H7662" s="1" t="str">
        <f t="shared" si="13326"/>
        <v>0</v>
      </c>
      <c r="I7662" s="1" t="str">
        <f t="shared" si="13326"/>
        <v>0</v>
      </c>
      <c r="J7662" s="1" t="str">
        <f t="shared" si="13326"/>
        <v>0</v>
      </c>
      <c r="K7662" s="1" t="str">
        <f t="shared" si="13326"/>
        <v>0</v>
      </c>
      <c r="L7662" s="1" t="str">
        <f t="shared" si="13326"/>
        <v>0</v>
      </c>
      <c r="M7662" s="1" t="str">
        <f t="shared" si="13326"/>
        <v>0</v>
      </c>
      <c r="N7662" s="1" t="str">
        <f t="shared" si="13326"/>
        <v>0</v>
      </c>
      <c r="O7662" s="1" t="str">
        <f t="shared" si="13326"/>
        <v>0</v>
      </c>
      <c r="P7662" s="1" t="str">
        <f t="shared" si="13326"/>
        <v>0</v>
      </c>
      <c r="Q7662" s="1" t="str">
        <f t="shared" si="13281"/>
        <v>0.0070</v>
      </c>
      <c r="R7662" s="1" t="s">
        <v>25</v>
      </c>
      <c r="T7662" s="1" t="str">
        <f t="shared" si="13282"/>
        <v>0</v>
      </c>
      <c r="U7662" s="1" t="str">
        <f t="shared" si="13292"/>
        <v>0.0070</v>
      </c>
    </row>
    <row r="7663" s="1" customFormat="1" spans="1:21">
      <c r="A7663" s="1" t="str">
        <f>"4601992351912"</f>
        <v>4601992351912</v>
      </c>
      <c r="B7663" s="1" t="s">
        <v>7686</v>
      </c>
      <c r="C7663" s="1" t="s">
        <v>24</v>
      </c>
      <c r="D7663" s="1" t="str">
        <f t="shared" si="13279"/>
        <v>2021</v>
      </c>
      <c r="E7663" s="1" t="str">
        <f t="shared" ref="E7663:P7663" si="13327">"0"</f>
        <v>0</v>
      </c>
      <c r="F7663" s="1" t="str">
        <f t="shared" si="13327"/>
        <v>0</v>
      </c>
      <c r="G7663" s="1" t="str">
        <f t="shared" si="13327"/>
        <v>0</v>
      </c>
      <c r="H7663" s="1" t="str">
        <f t="shared" si="13327"/>
        <v>0</v>
      </c>
      <c r="I7663" s="1" t="str">
        <f t="shared" si="13327"/>
        <v>0</v>
      </c>
      <c r="J7663" s="1" t="str">
        <f t="shared" si="13327"/>
        <v>0</v>
      </c>
      <c r="K7663" s="1" t="str">
        <f t="shared" si="13327"/>
        <v>0</v>
      </c>
      <c r="L7663" s="1" t="str">
        <f t="shared" si="13327"/>
        <v>0</v>
      </c>
      <c r="M7663" s="1" t="str">
        <f t="shared" si="13327"/>
        <v>0</v>
      </c>
      <c r="N7663" s="1" t="str">
        <f t="shared" si="13327"/>
        <v>0</v>
      </c>
      <c r="O7663" s="1" t="str">
        <f t="shared" si="13327"/>
        <v>0</v>
      </c>
      <c r="P7663" s="1" t="str">
        <f t="shared" si="13327"/>
        <v>0</v>
      </c>
      <c r="Q7663" s="1" t="str">
        <f t="shared" si="13281"/>
        <v>0.0070</v>
      </c>
      <c r="R7663" s="1" t="s">
        <v>25</v>
      </c>
      <c r="T7663" s="1" t="str">
        <f t="shared" si="13282"/>
        <v>0</v>
      </c>
      <c r="U7663" s="1" t="str">
        <f t="shared" si="13292"/>
        <v>0.0070</v>
      </c>
    </row>
    <row r="7664" s="1" customFormat="1" spans="1:21">
      <c r="A7664" s="1" t="str">
        <f>"4601992352183"</f>
        <v>4601992352183</v>
      </c>
      <c r="B7664" s="1" t="s">
        <v>7687</v>
      </c>
      <c r="C7664" s="1" t="s">
        <v>24</v>
      </c>
      <c r="D7664" s="1" t="str">
        <f t="shared" si="13279"/>
        <v>2021</v>
      </c>
      <c r="E7664" s="1" t="str">
        <f t="shared" ref="E7664:P7664" si="13328">"0"</f>
        <v>0</v>
      </c>
      <c r="F7664" s="1" t="str">
        <f t="shared" si="13328"/>
        <v>0</v>
      </c>
      <c r="G7664" s="1" t="str">
        <f t="shared" si="13328"/>
        <v>0</v>
      </c>
      <c r="H7664" s="1" t="str">
        <f t="shared" si="13328"/>
        <v>0</v>
      </c>
      <c r="I7664" s="1" t="str">
        <f t="shared" si="13328"/>
        <v>0</v>
      </c>
      <c r="J7664" s="1" t="str">
        <f t="shared" si="13328"/>
        <v>0</v>
      </c>
      <c r="K7664" s="1" t="str">
        <f t="shared" si="13328"/>
        <v>0</v>
      </c>
      <c r="L7664" s="1" t="str">
        <f t="shared" si="13328"/>
        <v>0</v>
      </c>
      <c r="M7664" s="1" t="str">
        <f t="shared" si="13328"/>
        <v>0</v>
      </c>
      <c r="N7664" s="1" t="str">
        <f t="shared" si="13328"/>
        <v>0</v>
      </c>
      <c r="O7664" s="1" t="str">
        <f t="shared" si="13328"/>
        <v>0</v>
      </c>
      <c r="P7664" s="1" t="str">
        <f t="shared" si="13328"/>
        <v>0</v>
      </c>
      <c r="Q7664" s="1" t="str">
        <f t="shared" si="13281"/>
        <v>0.0070</v>
      </c>
      <c r="R7664" s="1" t="s">
        <v>25</v>
      </c>
      <c r="T7664" s="1" t="str">
        <f t="shared" si="13282"/>
        <v>0</v>
      </c>
      <c r="U7664" s="1" t="str">
        <f t="shared" si="13292"/>
        <v>0.0070</v>
      </c>
    </row>
    <row r="7665" s="1" customFormat="1" spans="1:21">
      <c r="A7665" s="1" t="str">
        <f>"4601992352392"</f>
        <v>4601992352392</v>
      </c>
      <c r="B7665" s="1" t="s">
        <v>7688</v>
      </c>
      <c r="C7665" s="1" t="s">
        <v>24</v>
      </c>
      <c r="D7665" s="1" t="str">
        <f t="shared" si="13279"/>
        <v>2021</v>
      </c>
      <c r="E7665" s="1" t="str">
        <f t="shared" ref="E7665:P7665" si="13329">"0"</f>
        <v>0</v>
      </c>
      <c r="F7665" s="1" t="str">
        <f t="shared" si="13329"/>
        <v>0</v>
      </c>
      <c r="G7665" s="1" t="str">
        <f t="shared" si="13329"/>
        <v>0</v>
      </c>
      <c r="H7665" s="1" t="str">
        <f t="shared" si="13329"/>
        <v>0</v>
      </c>
      <c r="I7665" s="1" t="str">
        <f t="shared" si="13329"/>
        <v>0</v>
      </c>
      <c r="J7665" s="1" t="str">
        <f t="shared" si="13329"/>
        <v>0</v>
      </c>
      <c r="K7665" s="1" t="str">
        <f t="shared" si="13329"/>
        <v>0</v>
      </c>
      <c r="L7665" s="1" t="str">
        <f t="shared" si="13329"/>
        <v>0</v>
      </c>
      <c r="M7665" s="1" t="str">
        <f t="shared" si="13329"/>
        <v>0</v>
      </c>
      <c r="N7665" s="1" t="str">
        <f t="shared" si="13329"/>
        <v>0</v>
      </c>
      <c r="O7665" s="1" t="str">
        <f t="shared" si="13329"/>
        <v>0</v>
      </c>
      <c r="P7665" s="1" t="str">
        <f t="shared" si="13329"/>
        <v>0</v>
      </c>
      <c r="Q7665" s="1" t="str">
        <f t="shared" si="13281"/>
        <v>0.0070</v>
      </c>
      <c r="R7665" s="1" t="s">
        <v>25</v>
      </c>
      <c r="T7665" s="1" t="str">
        <f t="shared" si="13282"/>
        <v>0</v>
      </c>
      <c r="U7665" s="1" t="str">
        <f t="shared" si="13292"/>
        <v>0.0070</v>
      </c>
    </row>
    <row r="7666" s="1" customFormat="1" spans="1:21">
      <c r="A7666" s="1" t="str">
        <f>"4601992352496"</f>
        <v>4601992352496</v>
      </c>
      <c r="B7666" s="1" t="s">
        <v>7689</v>
      </c>
      <c r="C7666" s="1" t="s">
        <v>24</v>
      </c>
      <c r="D7666" s="1" t="str">
        <f t="shared" si="13279"/>
        <v>2021</v>
      </c>
      <c r="E7666" s="1" t="str">
        <f t="shared" ref="E7666:P7666" si="13330">"0"</f>
        <v>0</v>
      </c>
      <c r="F7666" s="1" t="str">
        <f t="shared" si="13330"/>
        <v>0</v>
      </c>
      <c r="G7666" s="1" t="str">
        <f t="shared" si="13330"/>
        <v>0</v>
      </c>
      <c r="H7666" s="1" t="str">
        <f t="shared" si="13330"/>
        <v>0</v>
      </c>
      <c r="I7666" s="1" t="str">
        <f t="shared" si="13330"/>
        <v>0</v>
      </c>
      <c r="J7666" s="1" t="str">
        <f t="shared" si="13330"/>
        <v>0</v>
      </c>
      <c r="K7666" s="1" t="str">
        <f t="shared" si="13330"/>
        <v>0</v>
      </c>
      <c r="L7666" s="1" t="str">
        <f t="shared" si="13330"/>
        <v>0</v>
      </c>
      <c r="M7666" s="1" t="str">
        <f t="shared" si="13330"/>
        <v>0</v>
      </c>
      <c r="N7666" s="1" t="str">
        <f t="shared" si="13330"/>
        <v>0</v>
      </c>
      <c r="O7666" s="1" t="str">
        <f t="shared" si="13330"/>
        <v>0</v>
      </c>
      <c r="P7666" s="1" t="str">
        <f t="shared" si="13330"/>
        <v>0</v>
      </c>
      <c r="Q7666" s="1" t="str">
        <f t="shared" si="13281"/>
        <v>0.0070</v>
      </c>
      <c r="R7666" s="1" t="s">
        <v>25</v>
      </c>
      <c r="T7666" s="1" t="str">
        <f t="shared" si="13282"/>
        <v>0</v>
      </c>
      <c r="U7666" s="1" t="str">
        <f t="shared" si="13292"/>
        <v>0.0070</v>
      </c>
    </row>
    <row r="7667" s="1" customFormat="1" spans="1:21">
      <c r="A7667" s="1" t="str">
        <f>"4601992352483"</f>
        <v>4601992352483</v>
      </c>
      <c r="B7667" s="1" t="s">
        <v>7690</v>
      </c>
      <c r="C7667" s="1" t="s">
        <v>24</v>
      </c>
      <c r="D7667" s="1" t="str">
        <f t="shared" si="13279"/>
        <v>2021</v>
      </c>
      <c r="E7667" s="1" t="str">
        <f t="shared" ref="E7667:P7667" si="13331">"0"</f>
        <v>0</v>
      </c>
      <c r="F7667" s="1" t="str">
        <f t="shared" si="13331"/>
        <v>0</v>
      </c>
      <c r="G7667" s="1" t="str">
        <f t="shared" si="13331"/>
        <v>0</v>
      </c>
      <c r="H7667" s="1" t="str">
        <f t="shared" si="13331"/>
        <v>0</v>
      </c>
      <c r="I7667" s="1" t="str">
        <f t="shared" si="13331"/>
        <v>0</v>
      </c>
      <c r="J7667" s="1" t="str">
        <f t="shared" si="13331"/>
        <v>0</v>
      </c>
      <c r="K7667" s="1" t="str">
        <f t="shared" si="13331"/>
        <v>0</v>
      </c>
      <c r="L7667" s="1" t="str">
        <f t="shared" si="13331"/>
        <v>0</v>
      </c>
      <c r="M7667" s="1" t="str">
        <f t="shared" si="13331"/>
        <v>0</v>
      </c>
      <c r="N7667" s="1" t="str">
        <f t="shared" si="13331"/>
        <v>0</v>
      </c>
      <c r="O7667" s="1" t="str">
        <f t="shared" si="13331"/>
        <v>0</v>
      </c>
      <c r="P7667" s="1" t="str">
        <f t="shared" si="13331"/>
        <v>0</v>
      </c>
      <c r="Q7667" s="1" t="str">
        <f t="shared" si="13281"/>
        <v>0.0070</v>
      </c>
      <c r="R7667" s="1" t="s">
        <v>25</v>
      </c>
      <c r="T7667" s="1" t="str">
        <f t="shared" si="13282"/>
        <v>0</v>
      </c>
      <c r="U7667" s="1" t="str">
        <f t="shared" si="13292"/>
        <v>0.0070</v>
      </c>
    </row>
    <row r="7668" s="1" customFormat="1" spans="1:21">
      <c r="A7668" s="1" t="str">
        <f>"4601992352504"</f>
        <v>4601992352504</v>
      </c>
      <c r="B7668" s="1" t="s">
        <v>7691</v>
      </c>
      <c r="C7668" s="1" t="s">
        <v>24</v>
      </c>
      <c r="D7668" s="1" t="str">
        <f t="shared" si="13279"/>
        <v>2021</v>
      </c>
      <c r="E7668" s="1" t="str">
        <f t="shared" ref="E7668:P7668" si="13332">"0"</f>
        <v>0</v>
      </c>
      <c r="F7668" s="1" t="str">
        <f t="shared" si="13332"/>
        <v>0</v>
      </c>
      <c r="G7668" s="1" t="str">
        <f t="shared" si="13332"/>
        <v>0</v>
      </c>
      <c r="H7668" s="1" t="str">
        <f t="shared" si="13332"/>
        <v>0</v>
      </c>
      <c r="I7668" s="1" t="str">
        <f t="shared" si="13332"/>
        <v>0</v>
      </c>
      <c r="J7668" s="1" t="str">
        <f t="shared" si="13332"/>
        <v>0</v>
      </c>
      <c r="K7668" s="1" t="str">
        <f t="shared" si="13332"/>
        <v>0</v>
      </c>
      <c r="L7668" s="1" t="str">
        <f t="shared" si="13332"/>
        <v>0</v>
      </c>
      <c r="M7668" s="1" t="str">
        <f t="shared" si="13332"/>
        <v>0</v>
      </c>
      <c r="N7668" s="1" t="str">
        <f t="shared" si="13332"/>
        <v>0</v>
      </c>
      <c r="O7668" s="1" t="str">
        <f t="shared" si="13332"/>
        <v>0</v>
      </c>
      <c r="P7668" s="1" t="str">
        <f t="shared" si="13332"/>
        <v>0</v>
      </c>
      <c r="Q7668" s="1" t="str">
        <f t="shared" si="13281"/>
        <v>0.0070</v>
      </c>
      <c r="R7668" s="1" t="s">
        <v>25</v>
      </c>
      <c r="T7668" s="1" t="str">
        <f t="shared" si="13282"/>
        <v>0</v>
      </c>
      <c r="U7668" s="1" t="str">
        <f t="shared" si="13292"/>
        <v>0.0070</v>
      </c>
    </row>
    <row r="7669" s="1" customFormat="1" spans="1:21">
      <c r="A7669" s="1" t="str">
        <f>"4601992352602"</f>
        <v>4601992352602</v>
      </c>
      <c r="B7669" s="1" t="s">
        <v>7692</v>
      </c>
      <c r="C7669" s="1" t="s">
        <v>24</v>
      </c>
      <c r="D7669" s="1" t="str">
        <f t="shared" si="13279"/>
        <v>2021</v>
      </c>
      <c r="E7669" s="1" t="str">
        <f t="shared" ref="E7669:P7669" si="13333">"0"</f>
        <v>0</v>
      </c>
      <c r="F7669" s="1" t="str">
        <f t="shared" si="13333"/>
        <v>0</v>
      </c>
      <c r="G7669" s="1" t="str">
        <f t="shared" si="13333"/>
        <v>0</v>
      </c>
      <c r="H7669" s="1" t="str">
        <f t="shared" si="13333"/>
        <v>0</v>
      </c>
      <c r="I7669" s="1" t="str">
        <f t="shared" si="13333"/>
        <v>0</v>
      </c>
      <c r="J7669" s="1" t="str">
        <f t="shared" si="13333"/>
        <v>0</v>
      </c>
      <c r="K7669" s="1" t="str">
        <f t="shared" si="13333"/>
        <v>0</v>
      </c>
      <c r="L7669" s="1" t="str">
        <f t="shared" si="13333"/>
        <v>0</v>
      </c>
      <c r="M7669" s="1" t="str">
        <f t="shared" si="13333"/>
        <v>0</v>
      </c>
      <c r="N7669" s="1" t="str">
        <f t="shared" si="13333"/>
        <v>0</v>
      </c>
      <c r="O7669" s="1" t="str">
        <f t="shared" si="13333"/>
        <v>0</v>
      </c>
      <c r="P7669" s="1" t="str">
        <f t="shared" si="13333"/>
        <v>0</v>
      </c>
      <c r="Q7669" s="1" t="str">
        <f t="shared" si="13281"/>
        <v>0.0070</v>
      </c>
      <c r="R7669" s="1" t="s">
        <v>25</v>
      </c>
      <c r="T7669" s="1" t="str">
        <f t="shared" si="13282"/>
        <v>0</v>
      </c>
      <c r="U7669" s="1" t="str">
        <f t="shared" si="13292"/>
        <v>0.0070</v>
      </c>
    </row>
    <row r="7670" s="1" customFormat="1" spans="1:21">
      <c r="A7670" s="1" t="str">
        <f>"4601992352696"</f>
        <v>4601992352696</v>
      </c>
      <c r="B7670" s="1" t="s">
        <v>7693</v>
      </c>
      <c r="C7670" s="1" t="s">
        <v>24</v>
      </c>
      <c r="D7670" s="1" t="str">
        <f t="shared" si="13279"/>
        <v>2021</v>
      </c>
      <c r="E7670" s="1" t="str">
        <f t="shared" ref="E7670:P7670" si="13334">"0"</f>
        <v>0</v>
      </c>
      <c r="F7670" s="1" t="str">
        <f t="shared" si="13334"/>
        <v>0</v>
      </c>
      <c r="G7670" s="1" t="str">
        <f t="shared" si="13334"/>
        <v>0</v>
      </c>
      <c r="H7670" s="1" t="str">
        <f t="shared" si="13334"/>
        <v>0</v>
      </c>
      <c r="I7670" s="1" t="str">
        <f t="shared" si="13334"/>
        <v>0</v>
      </c>
      <c r="J7670" s="1" t="str">
        <f t="shared" si="13334"/>
        <v>0</v>
      </c>
      <c r="K7670" s="1" t="str">
        <f t="shared" si="13334"/>
        <v>0</v>
      </c>
      <c r="L7670" s="1" t="str">
        <f t="shared" si="13334"/>
        <v>0</v>
      </c>
      <c r="M7670" s="1" t="str">
        <f t="shared" si="13334"/>
        <v>0</v>
      </c>
      <c r="N7670" s="1" t="str">
        <f t="shared" si="13334"/>
        <v>0</v>
      </c>
      <c r="O7670" s="1" t="str">
        <f t="shared" si="13334"/>
        <v>0</v>
      </c>
      <c r="P7670" s="1" t="str">
        <f t="shared" si="13334"/>
        <v>0</v>
      </c>
      <c r="Q7670" s="1" t="str">
        <f t="shared" si="13281"/>
        <v>0.0070</v>
      </c>
      <c r="R7670" s="1" t="s">
        <v>25</v>
      </c>
      <c r="T7670" s="1" t="str">
        <f t="shared" si="13282"/>
        <v>0</v>
      </c>
      <c r="U7670" s="1" t="str">
        <f t="shared" si="13292"/>
        <v>0.0070</v>
      </c>
    </row>
    <row r="7671" s="1" customFormat="1" spans="1:21">
      <c r="A7671" s="1" t="str">
        <f>"4601992352632"</f>
        <v>4601992352632</v>
      </c>
      <c r="B7671" s="1" t="s">
        <v>7694</v>
      </c>
      <c r="C7671" s="1" t="s">
        <v>24</v>
      </c>
      <c r="D7671" s="1" t="str">
        <f t="shared" si="13279"/>
        <v>2021</v>
      </c>
      <c r="E7671" s="1" t="str">
        <f t="shared" ref="E7671:P7671" si="13335">"0"</f>
        <v>0</v>
      </c>
      <c r="F7671" s="1" t="str">
        <f t="shared" si="13335"/>
        <v>0</v>
      </c>
      <c r="G7671" s="1" t="str">
        <f t="shared" si="13335"/>
        <v>0</v>
      </c>
      <c r="H7671" s="1" t="str">
        <f t="shared" si="13335"/>
        <v>0</v>
      </c>
      <c r="I7671" s="1" t="str">
        <f t="shared" si="13335"/>
        <v>0</v>
      </c>
      <c r="J7671" s="1" t="str">
        <f t="shared" si="13335"/>
        <v>0</v>
      </c>
      <c r="K7671" s="1" t="str">
        <f t="shared" si="13335"/>
        <v>0</v>
      </c>
      <c r="L7671" s="1" t="str">
        <f t="shared" si="13335"/>
        <v>0</v>
      </c>
      <c r="M7671" s="1" t="str">
        <f t="shared" si="13335"/>
        <v>0</v>
      </c>
      <c r="N7671" s="1" t="str">
        <f t="shared" si="13335"/>
        <v>0</v>
      </c>
      <c r="O7671" s="1" t="str">
        <f t="shared" si="13335"/>
        <v>0</v>
      </c>
      <c r="P7671" s="1" t="str">
        <f t="shared" si="13335"/>
        <v>0</v>
      </c>
      <c r="Q7671" s="1" t="str">
        <f t="shared" si="13281"/>
        <v>0.0070</v>
      </c>
      <c r="R7671" s="1" t="s">
        <v>25</v>
      </c>
      <c r="T7671" s="1" t="str">
        <f t="shared" si="13282"/>
        <v>0</v>
      </c>
      <c r="U7671" s="1" t="str">
        <f t="shared" si="13292"/>
        <v>0.0070</v>
      </c>
    </row>
    <row r="7672" s="1" customFormat="1" spans="1:21">
      <c r="A7672" s="1" t="str">
        <f>"4601992352807"</f>
        <v>4601992352807</v>
      </c>
      <c r="B7672" s="1" t="s">
        <v>7695</v>
      </c>
      <c r="C7672" s="1" t="s">
        <v>24</v>
      </c>
      <c r="D7672" s="1" t="str">
        <f t="shared" si="13279"/>
        <v>2021</v>
      </c>
      <c r="E7672" s="1" t="str">
        <f t="shared" ref="E7672:P7672" si="13336">"0"</f>
        <v>0</v>
      </c>
      <c r="F7672" s="1" t="str">
        <f t="shared" si="13336"/>
        <v>0</v>
      </c>
      <c r="G7672" s="1" t="str">
        <f t="shared" si="13336"/>
        <v>0</v>
      </c>
      <c r="H7672" s="1" t="str">
        <f t="shared" si="13336"/>
        <v>0</v>
      </c>
      <c r="I7672" s="1" t="str">
        <f t="shared" si="13336"/>
        <v>0</v>
      </c>
      <c r="J7672" s="1" t="str">
        <f t="shared" si="13336"/>
        <v>0</v>
      </c>
      <c r="K7672" s="1" t="str">
        <f t="shared" si="13336"/>
        <v>0</v>
      </c>
      <c r="L7672" s="1" t="str">
        <f t="shared" si="13336"/>
        <v>0</v>
      </c>
      <c r="M7672" s="1" t="str">
        <f t="shared" si="13336"/>
        <v>0</v>
      </c>
      <c r="N7672" s="1" t="str">
        <f t="shared" si="13336"/>
        <v>0</v>
      </c>
      <c r="O7672" s="1" t="str">
        <f t="shared" si="13336"/>
        <v>0</v>
      </c>
      <c r="P7672" s="1" t="str">
        <f t="shared" si="13336"/>
        <v>0</v>
      </c>
      <c r="Q7672" s="1" t="str">
        <f t="shared" si="13281"/>
        <v>0.0070</v>
      </c>
      <c r="R7672" s="1" t="s">
        <v>25</v>
      </c>
      <c r="T7672" s="1" t="str">
        <f t="shared" si="13282"/>
        <v>0</v>
      </c>
      <c r="U7672" s="1" t="str">
        <f t="shared" si="13292"/>
        <v>0.0070</v>
      </c>
    </row>
    <row r="7673" s="1" customFormat="1" spans="1:21">
      <c r="A7673" s="1" t="str">
        <f>"4601992352827"</f>
        <v>4601992352827</v>
      </c>
      <c r="B7673" s="1" t="s">
        <v>7696</v>
      </c>
      <c r="C7673" s="1" t="s">
        <v>24</v>
      </c>
      <c r="D7673" s="1" t="str">
        <f t="shared" si="13279"/>
        <v>2021</v>
      </c>
      <c r="E7673" s="1" t="str">
        <f t="shared" ref="E7673:P7673" si="13337">"0"</f>
        <v>0</v>
      </c>
      <c r="F7673" s="1" t="str">
        <f t="shared" si="13337"/>
        <v>0</v>
      </c>
      <c r="G7673" s="1" t="str">
        <f t="shared" si="13337"/>
        <v>0</v>
      </c>
      <c r="H7673" s="1" t="str">
        <f t="shared" si="13337"/>
        <v>0</v>
      </c>
      <c r="I7673" s="1" t="str">
        <f t="shared" si="13337"/>
        <v>0</v>
      </c>
      <c r="J7673" s="1" t="str">
        <f t="shared" si="13337"/>
        <v>0</v>
      </c>
      <c r="K7673" s="1" t="str">
        <f t="shared" si="13337"/>
        <v>0</v>
      </c>
      <c r="L7673" s="1" t="str">
        <f t="shared" si="13337"/>
        <v>0</v>
      </c>
      <c r="M7673" s="1" t="str">
        <f t="shared" si="13337"/>
        <v>0</v>
      </c>
      <c r="N7673" s="1" t="str">
        <f t="shared" si="13337"/>
        <v>0</v>
      </c>
      <c r="O7673" s="1" t="str">
        <f t="shared" si="13337"/>
        <v>0</v>
      </c>
      <c r="P7673" s="1" t="str">
        <f t="shared" si="13337"/>
        <v>0</v>
      </c>
      <c r="Q7673" s="1" t="str">
        <f t="shared" si="13281"/>
        <v>0.0070</v>
      </c>
      <c r="R7673" s="1" t="s">
        <v>25</v>
      </c>
      <c r="T7673" s="1" t="str">
        <f t="shared" si="13282"/>
        <v>0</v>
      </c>
      <c r="U7673" s="1" t="str">
        <f t="shared" si="13292"/>
        <v>0.0070</v>
      </c>
    </row>
    <row r="7674" s="1" customFormat="1" spans="1:21">
      <c r="A7674" s="1" t="str">
        <f>"4601992352851"</f>
        <v>4601992352851</v>
      </c>
      <c r="B7674" s="1" t="s">
        <v>7697</v>
      </c>
      <c r="C7674" s="1" t="s">
        <v>24</v>
      </c>
      <c r="D7674" s="1" t="str">
        <f t="shared" si="13279"/>
        <v>2021</v>
      </c>
      <c r="E7674" s="1" t="str">
        <f t="shared" ref="E7674:P7674" si="13338">"0"</f>
        <v>0</v>
      </c>
      <c r="F7674" s="1" t="str">
        <f t="shared" si="13338"/>
        <v>0</v>
      </c>
      <c r="G7674" s="1" t="str">
        <f t="shared" si="13338"/>
        <v>0</v>
      </c>
      <c r="H7674" s="1" t="str">
        <f t="shared" si="13338"/>
        <v>0</v>
      </c>
      <c r="I7674" s="1" t="str">
        <f t="shared" si="13338"/>
        <v>0</v>
      </c>
      <c r="J7674" s="1" t="str">
        <f t="shared" si="13338"/>
        <v>0</v>
      </c>
      <c r="K7674" s="1" t="str">
        <f t="shared" si="13338"/>
        <v>0</v>
      </c>
      <c r="L7674" s="1" t="str">
        <f t="shared" si="13338"/>
        <v>0</v>
      </c>
      <c r="M7674" s="1" t="str">
        <f t="shared" si="13338"/>
        <v>0</v>
      </c>
      <c r="N7674" s="1" t="str">
        <f t="shared" si="13338"/>
        <v>0</v>
      </c>
      <c r="O7674" s="1" t="str">
        <f t="shared" si="13338"/>
        <v>0</v>
      </c>
      <c r="P7674" s="1" t="str">
        <f t="shared" si="13338"/>
        <v>0</v>
      </c>
      <c r="Q7674" s="1" t="str">
        <f t="shared" si="13281"/>
        <v>0.0070</v>
      </c>
      <c r="R7674" s="1" t="s">
        <v>25</v>
      </c>
      <c r="T7674" s="1" t="str">
        <f t="shared" si="13282"/>
        <v>0</v>
      </c>
      <c r="U7674" s="1" t="str">
        <f t="shared" si="13292"/>
        <v>0.0070</v>
      </c>
    </row>
    <row r="7675" s="1" customFormat="1" spans="1:21">
      <c r="A7675" s="1" t="str">
        <f>"4601992352865"</f>
        <v>4601992352865</v>
      </c>
      <c r="B7675" s="1" t="s">
        <v>7698</v>
      </c>
      <c r="C7675" s="1" t="s">
        <v>24</v>
      </c>
      <c r="D7675" s="1" t="str">
        <f t="shared" si="13279"/>
        <v>2021</v>
      </c>
      <c r="E7675" s="1" t="str">
        <f t="shared" ref="E7675:P7675" si="13339">"0"</f>
        <v>0</v>
      </c>
      <c r="F7675" s="1" t="str">
        <f t="shared" si="13339"/>
        <v>0</v>
      </c>
      <c r="G7675" s="1" t="str">
        <f t="shared" si="13339"/>
        <v>0</v>
      </c>
      <c r="H7675" s="1" t="str">
        <f t="shared" si="13339"/>
        <v>0</v>
      </c>
      <c r="I7675" s="1" t="str">
        <f t="shared" si="13339"/>
        <v>0</v>
      </c>
      <c r="J7675" s="1" t="str">
        <f t="shared" si="13339"/>
        <v>0</v>
      </c>
      <c r="K7675" s="1" t="str">
        <f t="shared" si="13339"/>
        <v>0</v>
      </c>
      <c r="L7675" s="1" t="str">
        <f t="shared" si="13339"/>
        <v>0</v>
      </c>
      <c r="M7675" s="1" t="str">
        <f t="shared" si="13339"/>
        <v>0</v>
      </c>
      <c r="N7675" s="1" t="str">
        <f t="shared" si="13339"/>
        <v>0</v>
      </c>
      <c r="O7675" s="1" t="str">
        <f t="shared" si="13339"/>
        <v>0</v>
      </c>
      <c r="P7675" s="1" t="str">
        <f t="shared" si="13339"/>
        <v>0</v>
      </c>
      <c r="Q7675" s="1" t="str">
        <f t="shared" si="13281"/>
        <v>0.0070</v>
      </c>
      <c r="R7675" s="1" t="s">
        <v>25</v>
      </c>
      <c r="T7675" s="1" t="str">
        <f t="shared" si="13282"/>
        <v>0</v>
      </c>
      <c r="U7675" s="1" t="str">
        <f t="shared" si="13292"/>
        <v>0.0070</v>
      </c>
    </row>
    <row r="7676" s="1" customFormat="1" spans="1:21">
      <c r="A7676" s="1" t="str">
        <f>"4601992352886"</f>
        <v>4601992352886</v>
      </c>
      <c r="B7676" s="1" t="s">
        <v>7699</v>
      </c>
      <c r="C7676" s="1" t="s">
        <v>24</v>
      </c>
      <c r="D7676" s="1" t="str">
        <f t="shared" si="13279"/>
        <v>2021</v>
      </c>
      <c r="E7676" s="1" t="str">
        <f t="shared" ref="E7676:P7676" si="13340">"0"</f>
        <v>0</v>
      </c>
      <c r="F7676" s="1" t="str">
        <f t="shared" si="13340"/>
        <v>0</v>
      </c>
      <c r="G7676" s="1" t="str">
        <f t="shared" si="13340"/>
        <v>0</v>
      </c>
      <c r="H7676" s="1" t="str">
        <f t="shared" si="13340"/>
        <v>0</v>
      </c>
      <c r="I7676" s="1" t="str">
        <f t="shared" si="13340"/>
        <v>0</v>
      </c>
      <c r="J7676" s="1" t="str">
        <f t="shared" si="13340"/>
        <v>0</v>
      </c>
      <c r="K7676" s="1" t="str">
        <f t="shared" si="13340"/>
        <v>0</v>
      </c>
      <c r="L7676" s="1" t="str">
        <f t="shared" si="13340"/>
        <v>0</v>
      </c>
      <c r="M7676" s="1" t="str">
        <f t="shared" si="13340"/>
        <v>0</v>
      </c>
      <c r="N7676" s="1" t="str">
        <f t="shared" si="13340"/>
        <v>0</v>
      </c>
      <c r="O7676" s="1" t="str">
        <f t="shared" si="13340"/>
        <v>0</v>
      </c>
      <c r="P7676" s="1" t="str">
        <f t="shared" si="13340"/>
        <v>0</v>
      </c>
      <c r="Q7676" s="1" t="str">
        <f t="shared" si="13281"/>
        <v>0.0070</v>
      </c>
      <c r="R7676" s="1" t="s">
        <v>25</v>
      </c>
      <c r="T7676" s="1" t="str">
        <f t="shared" si="13282"/>
        <v>0</v>
      </c>
      <c r="U7676" s="1" t="str">
        <f t="shared" si="13292"/>
        <v>0.0070</v>
      </c>
    </row>
    <row r="7677" s="1" customFormat="1" spans="1:21">
      <c r="A7677" s="1" t="str">
        <f>"4601992352962"</f>
        <v>4601992352962</v>
      </c>
      <c r="B7677" s="1" t="s">
        <v>7700</v>
      </c>
      <c r="C7677" s="1" t="s">
        <v>24</v>
      </c>
      <c r="D7677" s="1" t="str">
        <f t="shared" si="13279"/>
        <v>2021</v>
      </c>
      <c r="E7677" s="1" t="str">
        <f t="shared" ref="E7677:P7677" si="13341">"0"</f>
        <v>0</v>
      </c>
      <c r="F7677" s="1" t="str">
        <f t="shared" si="13341"/>
        <v>0</v>
      </c>
      <c r="G7677" s="1" t="str">
        <f t="shared" si="13341"/>
        <v>0</v>
      </c>
      <c r="H7677" s="1" t="str">
        <f t="shared" si="13341"/>
        <v>0</v>
      </c>
      <c r="I7677" s="1" t="str">
        <f t="shared" si="13341"/>
        <v>0</v>
      </c>
      <c r="J7677" s="1" t="str">
        <f t="shared" si="13341"/>
        <v>0</v>
      </c>
      <c r="K7677" s="1" t="str">
        <f t="shared" si="13341"/>
        <v>0</v>
      </c>
      <c r="L7677" s="1" t="str">
        <f t="shared" si="13341"/>
        <v>0</v>
      </c>
      <c r="M7677" s="1" t="str">
        <f t="shared" si="13341"/>
        <v>0</v>
      </c>
      <c r="N7677" s="1" t="str">
        <f t="shared" si="13341"/>
        <v>0</v>
      </c>
      <c r="O7677" s="1" t="str">
        <f t="shared" si="13341"/>
        <v>0</v>
      </c>
      <c r="P7677" s="1" t="str">
        <f t="shared" si="13341"/>
        <v>0</v>
      </c>
      <c r="Q7677" s="1" t="str">
        <f t="shared" si="13281"/>
        <v>0.0070</v>
      </c>
      <c r="R7677" s="1" t="s">
        <v>25</v>
      </c>
      <c r="T7677" s="1" t="str">
        <f t="shared" si="13282"/>
        <v>0</v>
      </c>
      <c r="U7677" s="1" t="str">
        <f t="shared" si="13292"/>
        <v>0.0070</v>
      </c>
    </row>
    <row r="7678" s="1" customFormat="1" spans="1:21">
      <c r="A7678" s="1" t="str">
        <f>"4601992352896"</f>
        <v>4601992352896</v>
      </c>
      <c r="B7678" s="1" t="s">
        <v>7701</v>
      </c>
      <c r="C7678" s="1" t="s">
        <v>24</v>
      </c>
      <c r="D7678" s="1" t="str">
        <f t="shared" si="13279"/>
        <v>2021</v>
      </c>
      <c r="E7678" s="1" t="str">
        <f t="shared" ref="E7678:P7678" si="13342">"0"</f>
        <v>0</v>
      </c>
      <c r="F7678" s="1" t="str">
        <f t="shared" si="13342"/>
        <v>0</v>
      </c>
      <c r="G7678" s="1" t="str">
        <f t="shared" si="13342"/>
        <v>0</v>
      </c>
      <c r="H7678" s="1" t="str">
        <f t="shared" si="13342"/>
        <v>0</v>
      </c>
      <c r="I7678" s="1" t="str">
        <f t="shared" si="13342"/>
        <v>0</v>
      </c>
      <c r="J7678" s="1" t="str">
        <f t="shared" si="13342"/>
        <v>0</v>
      </c>
      <c r="K7678" s="1" t="str">
        <f t="shared" si="13342"/>
        <v>0</v>
      </c>
      <c r="L7678" s="1" t="str">
        <f t="shared" si="13342"/>
        <v>0</v>
      </c>
      <c r="M7678" s="1" t="str">
        <f t="shared" si="13342"/>
        <v>0</v>
      </c>
      <c r="N7678" s="1" t="str">
        <f t="shared" si="13342"/>
        <v>0</v>
      </c>
      <c r="O7678" s="1" t="str">
        <f t="shared" si="13342"/>
        <v>0</v>
      </c>
      <c r="P7678" s="1" t="str">
        <f t="shared" si="13342"/>
        <v>0</v>
      </c>
      <c r="Q7678" s="1" t="str">
        <f t="shared" si="13281"/>
        <v>0.0070</v>
      </c>
      <c r="R7678" s="1" t="s">
        <v>25</v>
      </c>
      <c r="T7678" s="1" t="str">
        <f t="shared" si="13282"/>
        <v>0</v>
      </c>
      <c r="U7678" s="1" t="str">
        <f t="shared" si="13292"/>
        <v>0.0070</v>
      </c>
    </row>
    <row r="7679" s="1" customFormat="1" spans="1:21">
      <c r="A7679" s="1" t="str">
        <f>"4601992353067"</f>
        <v>4601992353067</v>
      </c>
      <c r="B7679" s="1" t="s">
        <v>7702</v>
      </c>
      <c r="C7679" s="1" t="s">
        <v>24</v>
      </c>
      <c r="D7679" s="1" t="str">
        <f t="shared" si="13279"/>
        <v>2021</v>
      </c>
      <c r="E7679" s="1" t="str">
        <f t="shared" ref="E7679:P7679" si="13343">"0"</f>
        <v>0</v>
      </c>
      <c r="F7679" s="1" t="str">
        <f t="shared" si="13343"/>
        <v>0</v>
      </c>
      <c r="G7679" s="1" t="str">
        <f t="shared" si="13343"/>
        <v>0</v>
      </c>
      <c r="H7679" s="1" t="str">
        <f t="shared" si="13343"/>
        <v>0</v>
      </c>
      <c r="I7679" s="1" t="str">
        <f t="shared" si="13343"/>
        <v>0</v>
      </c>
      <c r="J7679" s="1" t="str">
        <f t="shared" si="13343"/>
        <v>0</v>
      </c>
      <c r="K7679" s="1" t="str">
        <f t="shared" si="13343"/>
        <v>0</v>
      </c>
      <c r="L7679" s="1" t="str">
        <f t="shared" si="13343"/>
        <v>0</v>
      </c>
      <c r="M7679" s="1" t="str">
        <f t="shared" si="13343"/>
        <v>0</v>
      </c>
      <c r="N7679" s="1" t="str">
        <f t="shared" si="13343"/>
        <v>0</v>
      </c>
      <c r="O7679" s="1" t="str">
        <f t="shared" si="13343"/>
        <v>0</v>
      </c>
      <c r="P7679" s="1" t="str">
        <f t="shared" si="13343"/>
        <v>0</v>
      </c>
      <c r="Q7679" s="1" t="str">
        <f t="shared" si="13281"/>
        <v>0.0070</v>
      </c>
      <c r="R7679" s="1" t="s">
        <v>25</v>
      </c>
      <c r="T7679" s="1" t="str">
        <f t="shared" si="13282"/>
        <v>0</v>
      </c>
      <c r="U7679" s="1" t="str">
        <f t="shared" si="13292"/>
        <v>0.0070</v>
      </c>
    </row>
    <row r="7680" s="1" customFormat="1" spans="1:21">
      <c r="A7680" s="1" t="str">
        <f>"4601992353454"</f>
        <v>4601992353454</v>
      </c>
      <c r="B7680" s="1" t="s">
        <v>7703</v>
      </c>
      <c r="C7680" s="1" t="s">
        <v>24</v>
      </c>
      <c r="D7680" s="1" t="str">
        <f t="shared" si="13279"/>
        <v>2021</v>
      </c>
      <c r="E7680" s="1" t="str">
        <f t="shared" ref="E7680:P7680" si="13344">"0"</f>
        <v>0</v>
      </c>
      <c r="F7680" s="1" t="str">
        <f t="shared" si="13344"/>
        <v>0</v>
      </c>
      <c r="G7680" s="1" t="str">
        <f t="shared" si="13344"/>
        <v>0</v>
      </c>
      <c r="H7680" s="1" t="str">
        <f t="shared" si="13344"/>
        <v>0</v>
      </c>
      <c r="I7680" s="1" t="str">
        <f t="shared" si="13344"/>
        <v>0</v>
      </c>
      <c r="J7680" s="1" t="str">
        <f t="shared" si="13344"/>
        <v>0</v>
      </c>
      <c r="K7680" s="1" t="str">
        <f t="shared" si="13344"/>
        <v>0</v>
      </c>
      <c r="L7680" s="1" t="str">
        <f t="shared" si="13344"/>
        <v>0</v>
      </c>
      <c r="M7680" s="1" t="str">
        <f t="shared" si="13344"/>
        <v>0</v>
      </c>
      <c r="N7680" s="1" t="str">
        <f t="shared" si="13344"/>
        <v>0</v>
      </c>
      <c r="O7680" s="1" t="str">
        <f t="shared" si="13344"/>
        <v>0</v>
      </c>
      <c r="P7680" s="1" t="str">
        <f t="shared" si="13344"/>
        <v>0</v>
      </c>
      <c r="Q7680" s="1" t="str">
        <f t="shared" si="13281"/>
        <v>0.0070</v>
      </c>
      <c r="R7680" s="1" t="s">
        <v>25</v>
      </c>
      <c r="T7680" s="1" t="str">
        <f t="shared" si="13282"/>
        <v>0</v>
      </c>
      <c r="U7680" s="1" t="str">
        <f t="shared" si="13292"/>
        <v>0.0070</v>
      </c>
    </row>
    <row r="7681" s="1" customFormat="1" spans="1:21">
      <c r="A7681" s="1" t="str">
        <f>"4601992353474"</f>
        <v>4601992353474</v>
      </c>
      <c r="B7681" s="1" t="s">
        <v>7704</v>
      </c>
      <c r="C7681" s="1" t="s">
        <v>24</v>
      </c>
      <c r="D7681" s="1" t="str">
        <f t="shared" si="13279"/>
        <v>2021</v>
      </c>
      <c r="E7681" s="1" t="str">
        <f t="shared" ref="E7681:P7681" si="13345">"0"</f>
        <v>0</v>
      </c>
      <c r="F7681" s="1" t="str">
        <f t="shared" si="13345"/>
        <v>0</v>
      </c>
      <c r="G7681" s="1" t="str">
        <f t="shared" si="13345"/>
        <v>0</v>
      </c>
      <c r="H7681" s="1" t="str">
        <f t="shared" si="13345"/>
        <v>0</v>
      </c>
      <c r="I7681" s="1" t="str">
        <f t="shared" si="13345"/>
        <v>0</v>
      </c>
      <c r="J7681" s="1" t="str">
        <f t="shared" si="13345"/>
        <v>0</v>
      </c>
      <c r="K7681" s="1" t="str">
        <f t="shared" si="13345"/>
        <v>0</v>
      </c>
      <c r="L7681" s="1" t="str">
        <f t="shared" si="13345"/>
        <v>0</v>
      </c>
      <c r="M7681" s="1" t="str">
        <f t="shared" si="13345"/>
        <v>0</v>
      </c>
      <c r="N7681" s="1" t="str">
        <f t="shared" si="13345"/>
        <v>0</v>
      </c>
      <c r="O7681" s="1" t="str">
        <f t="shared" si="13345"/>
        <v>0</v>
      </c>
      <c r="P7681" s="1" t="str">
        <f t="shared" si="13345"/>
        <v>0</v>
      </c>
      <c r="Q7681" s="1" t="str">
        <f t="shared" si="13281"/>
        <v>0.0070</v>
      </c>
      <c r="R7681" s="1" t="s">
        <v>25</v>
      </c>
      <c r="T7681" s="1" t="str">
        <f t="shared" si="13282"/>
        <v>0</v>
      </c>
      <c r="U7681" s="1" t="str">
        <f t="shared" si="13292"/>
        <v>0.0070</v>
      </c>
    </row>
    <row r="7682" s="1" customFormat="1" spans="1:21">
      <c r="A7682" s="1" t="str">
        <f>"4601992353720"</f>
        <v>4601992353720</v>
      </c>
      <c r="B7682" s="1" t="s">
        <v>7705</v>
      </c>
      <c r="C7682" s="1" t="s">
        <v>24</v>
      </c>
      <c r="D7682" s="1" t="str">
        <f t="shared" si="13279"/>
        <v>2021</v>
      </c>
      <c r="E7682" s="1" t="str">
        <f t="shared" ref="E7682:P7682" si="13346">"0"</f>
        <v>0</v>
      </c>
      <c r="F7682" s="1" t="str">
        <f t="shared" si="13346"/>
        <v>0</v>
      </c>
      <c r="G7682" s="1" t="str">
        <f t="shared" si="13346"/>
        <v>0</v>
      </c>
      <c r="H7682" s="1" t="str">
        <f t="shared" si="13346"/>
        <v>0</v>
      </c>
      <c r="I7682" s="1" t="str">
        <f t="shared" si="13346"/>
        <v>0</v>
      </c>
      <c r="J7682" s="1" t="str">
        <f t="shared" si="13346"/>
        <v>0</v>
      </c>
      <c r="K7682" s="1" t="str">
        <f t="shared" si="13346"/>
        <v>0</v>
      </c>
      <c r="L7682" s="1" t="str">
        <f t="shared" si="13346"/>
        <v>0</v>
      </c>
      <c r="M7682" s="1" t="str">
        <f t="shared" si="13346"/>
        <v>0</v>
      </c>
      <c r="N7682" s="1" t="str">
        <f t="shared" si="13346"/>
        <v>0</v>
      </c>
      <c r="O7682" s="1" t="str">
        <f t="shared" si="13346"/>
        <v>0</v>
      </c>
      <c r="P7682" s="1" t="str">
        <f t="shared" si="13346"/>
        <v>0</v>
      </c>
      <c r="Q7682" s="1" t="str">
        <f t="shared" si="13281"/>
        <v>0.0070</v>
      </c>
      <c r="R7682" s="1" t="s">
        <v>25</v>
      </c>
      <c r="T7682" s="1" t="str">
        <f t="shared" si="13282"/>
        <v>0</v>
      </c>
      <c r="U7682" s="1" t="str">
        <f t="shared" si="13292"/>
        <v>0.0070</v>
      </c>
    </row>
    <row r="7683" s="1" customFormat="1" spans="1:21">
      <c r="A7683" s="1" t="str">
        <f>"4601992353514"</f>
        <v>4601992353514</v>
      </c>
      <c r="B7683" s="1" t="s">
        <v>7706</v>
      </c>
      <c r="C7683" s="1" t="s">
        <v>24</v>
      </c>
      <c r="D7683" s="1" t="str">
        <f t="shared" ref="D7683:D7746" si="13347">"2021"</f>
        <v>2021</v>
      </c>
      <c r="E7683" s="1" t="str">
        <f t="shared" ref="E7683:P7683" si="13348">"0"</f>
        <v>0</v>
      </c>
      <c r="F7683" s="1" t="str">
        <f t="shared" si="13348"/>
        <v>0</v>
      </c>
      <c r="G7683" s="1" t="str">
        <f t="shared" si="13348"/>
        <v>0</v>
      </c>
      <c r="H7683" s="1" t="str">
        <f t="shared" si="13348"/>
        <v>0</v>
      </c>
      <c r="I7683" s="1" t="str">
        <f t="shared" si="13348"/>
        <v>0</v>
      </c>
      <c r="J7683" s="1" t="str">
        <f t="shared" si="13348"/>
        <v>0</v>
      </c>
      <c r="K7683" s="1" t="str">
        <f t="shared" si="13348"/>
        <v>0</v>
      </c>
      <c r="L7683" s="1" t="str">
        <f t="shared" si="13348"/>
        <v>0</v>
      </c>
      <c r="M7683" s="1" t="str">
        <f t="shared" si="13348"/>
        <v>0</v>
      </c>
      <c r="N7683" s="1" t="str">
        <f t="shared" si="13348"/>
        <v>0</v>
      </c>
      <c r="O7683" s="1" t="str">
        <f t="shared" si="13348"/>
        <v>0</v>
      </c>
      <c r="P7683" s="1" t="str">
        <f t="shared" si="13348"/>
        <v>0</v>
      </c>
      <c r="Q7683" s="1" t="str">
        <f t="shared" ref="Q7683:Q7746" si="13349">"0.0070"</f>
        <v>0.0070</v>
      </c>
      <c r="R7683" s="1" t="s">
        <v>25</v>
      </c>
      <c r="T7683" s="1" t="str">
        <f t="shared" ref="T7683:T7746" si="13350">"0"</f>
        <v>0</v>
      </c>
      <c r="U7683" s="1" t="str">
        <f t="shared" si="13292"/>
        <v>0.0070</v>
      </c>
    </row>
    <row r="7684" s="1" customFormat="1" spans="1:21">
      <c r="A7684" s="1" t="str">
        <f>"4601992353767"</f>
        <v>4601992353767</v>
      </c>
      <c r="B7684" s="1" t="s">
        <v>7707</v>
      </c>
      <c r="C7684" s="1" t="s">
        <v>24</v>
      </c>
      <c r="D7684" s="1" t="str">
        <f t="shared" si="13347"/>
        <v>2021</v>
      </c>
      <c r="E7684" s="1" t="str">
        <f t="shared" ref="E7684:P7684" si="13351">"0"</f>
        <v>0</v>
      </c>
      <c r="F7684" s="1" t="str">
        <f t="shared" si="13351"/>
        <v>0</v>
      </c>
      <c r="G7684" s="1" t="str">
        <f t="shared" si="13351"/>
        <v>0</v>
      </c>
      <c r="H7684" s="1" t="str">
        <f t="shared" si="13351"/>
        <v>0</v>
      </c>
      <c r="I7684" s="1" t="str">
        <f t="shared" si="13351"/>
        <v>0</v>
      </c>
      <c r="J7684" s="1" t="str">
        <f t="shared" si="13351"/>
        <v>0</v>
      </c>
      <c r="K7684" s="1" t="str">
        <f t="shared" si="13351"/>
        <v>0</v>
      </c>
      <c r="L7684" s="1" t="str">
        <f t="shared" si="13351"/>
        <v>0</v>
      </c>
      <c r="M7684" s="1" t="str">
        <f t="shared" si="13351"/>
        <v>0</v>
      </c>
      <c r="N7684" s="1" t="str">
        <f t="shared" si="13351"/>
        <v>0</v>
      </c>
      <c r="O7684" s="1" t="str">
        <f t="shared" si="13351"/>
        <v>0</v>
      </c>
      <c r="P7684" s="1" t="str">
        <f t="shared" si="13351"/>
        <v>0</v>
      </c>
      <c r="Q7684" s="1" t="str">
        <f t="shared" si="13349"/>
        <v>0.0070</v>
      </c>
      <c r="R7684" s="1" t="s">
        <v>25</v>
      </c>
      <c r="T7684" s="1" t="str">
        <f t="shared" si="13350"/>
        <v>0</v>
      </c>
      <c r="U7684" s="1" t="str">
        <f t="shared" si="13292"/>
        <v>0.0070</v>
      </c>
    </row>
    <row r="7685" s="1" customFormat="1" spans="1:21">
      <c r="A7685" s="1" t="str">
        <f>"4601992353819"</f>
        <v>4601992353819</v>
      </c>
      <c r="B7685" s="1" t="s">
        <v>7708</v>
      </c>
      <c r="C7685" s="1" t="s">
        <v>24</v>
      </c>
      <c r="D7685" s="1" t="str">
        <f t="shared" si="13347"/>
        <v>2021</v>
      </c>
      <c r="E7685" s="1" t="str">
        <f t="shared" ref="E7685:P7685" si="13352">"0"</f>
        <v>0</v>
      </c>
      <c r="F7685" s="1" t="str">
        <f t="shared" si="13352"/>
        <v>0</v>
      </c>
      <c r="G7685" s="1" t="str">
        <f t="shared" si="13352"/>
        <v>0</v>
      </c>
      <c r="H7685" s="1" t="str">
        <f t="shared" si="13352"/>
        <v>0</v>
      </c>
      <c r="I7685" s="1" t="str">
        <f t="shared" si="13352"/>
        <v>0</v>
      </c>
      <c r="J7685" s="1" t="str">
        <f t="shared" si="13352"/>
        <v>0</v>
      </c>
      <c r="K7685" s="1" t="str">
        <f t="shared" si="13352"/>
        <v>0</v>
      </c>
      <c r="L7685" s="1" t="str">
        <f t="shared" si="13352"/>
        <v>0</v>
      </c>
      <c r="M7685" s="1" t="str">
        <f t="shared" si="13352"/>
        <v>0</v>
      </c>
      <c r="N7685" s="1" t="str">
        <f t="shared" si="13352"/>
        <v>0</v>
      </c>
      <c r="O7685" s="1" t="str">
        <f t="shared" si="13352"/>
        <v>0</v>
      </c>
      <c r="P7685" s="1" t="str">
        <f t="shared" si="13352"/>
        <v>0</v>
      </c>
      <c r="Q7685" s="1" t="str">
        <f t="shared" si="13349"/>
        <v>0.0070</v>
      </c>
      <c r="R7685" s="1" t="s">
        <v>25</v>
      </c>
      <c r="T7685" s="1" t="str">
        <f t="shared" si="13350"/>
        <v>0</v>
      </c>
      <c r="U7685" s="1" t="str">
        <f t="shared" si="13292"/>
        <v>0.0070</v>
      </c>
    </row>
    <row r="7686" s="1" customFormat="1" spans="1:21">
      <c r="A7686" s="1" t="str">
        <f>"4601992353839"</f>
        <v>4601992353839</v>
      </c>
      <c r="B7686" s="1" t="s">
        <v>7709</v>
      </c>
      <c r="C7686" s="1" t="s">
        <v>24</v>
      </c>
      <c r="D7686" s="1" t="str">
        <f t="shared" si="13347"/>
        <v>2021</v>
      </c>
      <c r="E7686" s="1" t="str">
        <f t="shared" ref="E7686:P7686" si="13353">"0"</f>
        <v>0</v>
      </c>
      <c r="F7686" s="1" t="str">
        <f t="shared" si="13353"/>
        <v>0</v>
      </c>
      <c r="G7686" s="1" t="str">
        <f t="shared" si="13353"/>
        <v>0</v>
      </c>
      <c r="H7686" s="1" t="str">
        <f t="shared" si="13353"/>
        <v>0</v>
      </c>
      <c r="I7686" s="1" t="str">
        <f t="shared" si="13353"/>
        <v>0</v>
      </c>
      <c r="J7686" s="1" t="str">
        <f t="shared" si="13353"/>
        <v>0</v>
      </c>
      <c r="K7686" s="1" t="str">
        <f t="shared" si="13353"/>
        <v>0</v>
      </c>
      <c r="L7686" s="1" t="str">
        <f t="shared" si="13353"/>
        <v>0</v>
      </c>
      <c r="M7686" s="1" t="str">
        <f t="shared" si="13353"/>
        <v>0</v>
      </c>
      <c r="N7686" s="1" t="str">
        <f t="shared" si="13353"/>
        <v>0</v>
      </c>
      <c r="O7686" s="1" t="str">
        <f t="shared" si="13353"/>
        <v>0</v>
      </c>
      <c r="P7686" s="1" t="str">
        <f t="shared" si="13353"/>
        <v>0</v>
      </c>
      <c r="Q7686" s="1" t="str">
        <f t="shared" si="13349"/>
        <v>0.0070</v>
      </c>
      <c r="R7686" s="1" t="s">
        <v>25</v>
      </c>
      <c r="T7686" s="1" t="str">
        <f t="shared" si="13350"/>
        <v>0</v>
      </c>
      <c r="U7686" s="1" t="str">
        <f t="shared" si="13292"/>
        <v>0.0070</v>
      </c>
    </row>
    <row r="7687" s="1" customFormat="1" spans="1:21">
      <c r="A7687" s="1" t="str">
        <f>"4601992353836"</f>
        <v>4601992353836</v>
      </c>
      <c r="B7687" s="1" t="s">
        <v>7710</v>
      </c>
      <c r="C7687" s="1" t="s">
        <v>24</v>
      </c>
      <c r="D7687" s="1" t="str">
        <f t="shared" si="13347"/>
        <v>2021</v>
      </c>
      <c r="E7687" s="1" t="str">
        <f t="shared" ref="E7687:P7687" si="13354">"0"</f>
        <v>0</v>
      </c>
      <c r="F7687" s="1" t="str">
        <f t="shared" si="13354"/>
        <v>0</v>
      </c>
      <c r="G7687" s="1" t="str">
        <f t="shared" si="13354"/>
        <v>0</v>
      </c>
      <c r="H7687" s="1" t="str">
        <f t="shared" si="13354"/>
        <v>0</v>
      </c>
      <c r="I7687" s="1" t="str">
        <f t="shared" si="13354"/>
        <v>0</v>
      </c>
      <c r="J7687" s="1" t="str">
        <f t="shared" si="13354"/>
        <v>0</v>
      </c>
      <c r="K7687" s="1" t="str">
        <f t="shared" si="13354"/>
        <v>0</v>
      </c>
      <c r="L7687" s="1" t="str">
        <f t="shared" si="13354"/>
        <v>0</v>
      </c>
      <c r="M7687" s="1" t="str">
        <f t="shared" si="13354"/>
        <v>0</v>
      </c>
      <c r="N7687" s="1" t="str">
        <f t="shared" si="13354"/>
        <v>0</v>
      </c>
      <c r="O7687" s="1" t="str">
        <f t="shared" si="13354"/>
        <v>0</v>
      </c>
      <c r="P7687" s="1" t="str">
        <f t="shared" si="13354"/>
        <v>0</v>
      </c>
      <c r="Q7687" s="1" t="str">
        <f t="shared" si="13349"/>
        <v>0.0070</v>
      </c>
      <c r="R7687" s="1" t="s">
        <v>25</v>
      </c>
      <c r="T7687" s="1" t="str">
        <f t="shared" si="13350"/>
        <v>0</v>
      </c>
      <c r="U7687" s="1" t="str">
        <f t="shared" si="13292"/>
        <v>0.0070</v>
      </c>
    </row>
    <row r="7688" s="1" customFormat="1" spans="1:21">
      <c r="A7688" s="1" t="str">
        <f>"4601992353845"</f>
        <v>4601992353845</v>
      </c>
      <c r="B7688" s="1" t="s">
        <v>7711</v>
      </c>
      <c r="C7688" s="1" t="s">
        <v>24</v>
      </c>
      <c r="D7688" s="1" t="str">
        <f t="shared" si="13347"/>
        <v>2021</v>
      </c>
      <c r="E7688" s="1" t="str">
        <f t="shared" ref="E7688:P7688" si="13355">"0"</f>
        <v>0</v>
      </c>
      <c r="F7688" s="1" t="str">
        <f t="shared" si="13355"/>
        <v>0</v>
      </c>
      <c r="G7688" s="1" t="str">
        <f t="shared" si="13355"/>
        <v>0</v>
      </c>
      <c r="H7688" s="1" t="str">
        <f t="shared" si="13355"/>
        <v>0</v>
      </c>
      <c r="I7688" s="1" t="str">
        <f t="shared" si="13355"/>
        <v>0</v>
      </c>
      <c r="J7688" s="1" t="str">
        <f t="shared" si="13355"/>
        <v>0</v>
      </c>
      <c r="K7688" s="1" t="str">
        <f t="shared" si="13355"/>
        <v>0</v>
      </c>
      <c r="L7688" s="1" t="str">
        <f t="shared" si="13355"/>
        <v>0</v>
      </c>
      <c r="M7688" s="1" t="str">
        <f t="shared" si="13355"/>
        <v>0</v>
      </c>
      <c r="N7688" s="1" t="str">
        <f t="shared" si="13355"/>
        <v>0</v>
      </c>
      <c r="O7688" s="1" t="str">
        <f t="shared" si="13355"/>
        <v>0</v>
      </c>
      <c r="P7688" s="1" t="str">
        <f t="shared" si="13355"/>
        <v>0</v>
      </c>
      <c r="Q7688" s="1" t="str">
        <f t="shared" si="13349"/>
        <v>0.0070</v>
      </c>
      <c r="R7688" s="1" t="s">
        <v>25</v>
      </c>
      <c r="T7688" s="1" t="str">
        <f t="shared" si="13350"/>
        <v>0</v>
      </c>
      <c r="U7688" s="1" t="str">
        <f t="shared" si="13292"/>
        <v>0.0070</v>
      </c>
    </row>
    <row r="7689" s="1" customFormat="1" spans="1:21">
      <c r="A7689" s="1" t="str">
        <f>"4601992353844"</f>
        <v>4601992353844</v>
      </c>
      <c r="B7689" s="1" t="s">
        <v>7712</v>
      </c>
      <c r="C7689" s="1" t="s">
        <v>24</v>
      </c>
      <c r="D7689" s="1" t="str">
        <f t="shared" si="13347"/>
        <v>2021</v>
      </c>
      <c r="E7689" s="1" t="str">
        <f t="shared" ref="E7689:P7689" si="13356">"0"</f>
        <v>0</v>
      </c>
      <c r="F7689" s="1" t="str">
        <f t="shared" si="13356"/>
        <v>0</v>
      </c>
      <c r="G7689" s="1" t="str">
        <f t="shared" si="13356"/>
        <v>0</v>
      </c>
      <c r="H7689" s="1" t="str">
        <f t="shared" si="13356"/>
        <v>0</v>
      </c>
      <c r="I7689" s="1" t="str">
        <f t="shared" si="13356"/>
        <v>0</v>
      </c>
      <c r="J7689" s="1" t="str">
        <f t="shared" si="13356"/>
        <v>0</v>
      </c>
      <c r="K7689" s="1" t="str">
        <f t="shared" si="13356"/>
        <v>0</v>
      </c>
      <c r="L7689" s="1" t="str">
        <f t="shared" si="13356"/>
        <v>0</v>
      </c>
      <c r="M7689" s="1" t="str">
        <f t="shared" si="13356"/>
        <v>0</v>
      </c>
      <c r="N7689" s="1" t="str">
        <f t="shared" si="13356"/>
        <v>0</v>
      </c>
      <c r="O7689" s="1" t="str">
        <f t="shared" si="13356"/>
        <v>0</v>
      </c>
      <c r="P7689" s="1" t="str">
        <f t="shared" si="13356"/>
        <v>0</v>
      </c>
      <c r="Q7689" s="1" t="str">
        <f t="shared" si="13349"/>
        <v>0.0070</v>
      </c>
      <c r="R7689" s="1" t="s">
        <v>25</v>
      </c>
      <c r="T7689" s="1" t="str">
        <f t="shared" si="13350"/>
        <v>0</v>
      </c>
      <c r="U7689" s="1" t="str">
        <f t="shared" si="13292"/>
        <v>0.0070</v>
      </c>
    </row>
    <row r="7690" s="1" customFormat="1" spans="1:21">
      <c r="A7690" s="1" t="str">
        <f>"4601992353791"</f>
        <v>4601992353791</v>
      </c>
      <c r="B7690" s="1" t="s">
        <v>7713</v>
      </c>
      <c r="C7690" s="1" t="s">
        <v>24</v>
      </c>
      <c r="D7690" s="1" t="str">
        <f t="shared" si="13347"/>
        <v>2021</v>
      </c>
      <c r="E7690" s="1" t="str">
        <f t="shared" ref="E7690:P7690" si="13357">"0"</f>
        <v>0</v>
      </c>
      <c r="F7690" s="1" t="str">
        <f t="shared" si="13357"/>
        <v>0</v>
      </c>
      <c r="G7690" s="1" t="str">
        <f t="shared" si="13357"/>
        <v>0</v>
      </c>
      <c r="H7690" s="1" t="str">
        <f t="shared" si="13357"/>
        <v>0</v>
      </c>
      <c r="I7690" s="1" t="str">
        <f t="shared" si="13357"/>
        <v>0</v>
      </c>
      <c r="J7690" s="1" t="str">
        <f t="shared" si="13357"/>
        <v>0</v>
      </c>
      <c r="K7690" s="1" t="str">
        <f t="shared" si="13357"/>
        <v>0</v>
      </c>
      <c r="L7690" s="1" t="str">
        <f t="shared" si="13357"/>
        <v>0</v>
      </c>
      <c r="M7690" s="1" t="str">
        <f t="shared" si="13357"/>
        <v>0</v>
      </c>
      <c r="N7690" s="1" t="str">
        <f t="shared" si="13357"/>
        <v>0</v>
      </c>
      <c r="O7690" s="1" t="str">
        <f t="shared" si="13357"/>
        <v>0</v>
      </c>
      <c r="P7690" s="1" t="str">
        <f t="shared" si="13357"/>
        <v>0</v>
      </c>
      <c r="Q7690" s="1" t="str">
        <f t="shared" si="13349"/>
        <v>0.0070</v>
      </c>
      <c r="R7690" s="1" t="s">
        <v>25</v>
      </c>
      <c r="T7690" s="1" t="str">
        <f t="shared" si="13350"/>
        <v>0</v>
      </c>
      <c r="U7690" s="1" t="str">
        <f t="shared" si="13292"/>
        <v>0.0070</v>
      </c>
    </row>
    <row r="7691" s="1" customFormat="1" spans="1:21">
      <c r="A7691" s="1" t="str">
        <f>"4601992353862"</f>
        <v>4601992353862</v>
      </c>
      <c r="B7691" s="1" t="s">
        <v>7714</v>
      </c>
      <c r="C7691" s="1" t="s">
        <v>24</v>
      </c>
      <c r="D7691" s="1" t="str">
        <f t="shared" si="13347"/>
        <v>2021</v>
      </c>
      <c r="E7691" s="1" t="str">
        <f t="shared" ref="E7691:P7691" si="13358">"0"</f>
        <v>0</v>
      </c>
      <c r="F7691" s="1" t="str">
        <f t="shared" si="13358"/>
        <v>0</v>
      </c>
      <c r="G7691" s="1" t="str">
        <f t="shared" si="13358"/>
        <v>0</v>
      </c>
      <c r="H7691" s="1" t="str">
        <f t="shared" si="13358"/>
        <v>0</v>
      </c>
      <c r="I7691" s="1" t="str">
        <f t="shared" si="13358"/>
        <v>0</v>
      </c>
      <c r="J7691" s="1" t="str">
        <f t="shared" si="13358"/>
        <v>0</v>
      </c>
      <c r="K7691" s="1" t="str">
        <f t="shared" si="13358"/>
        <v>0</v>
      </c>
      <c r="L7691" s="1" t="str">
        <f t="shared" si="13358"/>
        <v>0</v>
      </c>
      <c r="M7691" s="1" t="str">
        <f t="shared" si="13358"/>
        <v>0</v>
      </c>
      <c r="N7691" s="1" t="str">
        <f t="shared" si="13358"/>
        <v>0</v>
      </c>
      <c r="O7691" s="1" t="str">
        <f t="shared" si="13358"/>
        <v>0</v>
      </c>
      <c r="P7691" s="1" t="str">
        <f t="shared" si="13358"/>
        <v>0</v>
      </c>
      <c r="Q7691" s="1" t="str">
        <f t="shared" si="13349"/>
        <v>0.0070</v>
      </c>
      <c r="R7691" s="1" t="s">
        <v>25</v>
      </c>
      <c r="T7691" s="1" t="str">
        <f t="shared" si="13350"/>
        <v>0</v>
      </c>
      <c r="U7691" s="1" t="str">
        <f t="shared" si="13292"/>
        <v>0.0070</v>
      </c>
    </row>
    <row r="7692" s="1" customFormat="1" spans="1:21">
      <c r="A7692" s="1" t="str">
        <f>"4601992353868"</f>
        <v>4601992353868</v>
      </c>
      <c r="B7692" s="1" t="s">
        <v>7715</v>
      </c>
      <c r="C7692" s="1" t="s">
        <v>24</v>
      </c>
      <c r="D7692" s="1" t="str">
        <f t="shared" si="13347"/>
        <v>2021</v>
      </c>
      <c r="E7692" s="1" t="str">
        <f t="shared" ref="E7692:P7692" si="13359">"0"</f>
        <v>0</v>
      </c>
      <c r="F7692" s="1" t="str">
        <f t="shared" si="13359"/>
        <v>0</v>
      </c>
      <c r="G7692" s="1" t="str">
        <f t="shared" si="13359"/>
        <v>0</v>
      </c>
      <c r="H7692" s="1" t="str">
        <f t="shared" si="13359"/>
        <v>0</v>
      </c>
      <c r="I7692" s="1" t="str">
        <f t="shared" si="13359"/>
        <v>0</v>
      </c>
      <c r="J7692" s="1" t="str">
        <f t="shared" si="13359"/>
        <v>0</v>
      </c>
      <c r="K7692" s="1" t="str">
        <f t="shared" si="13359"/>
        <v>0</v>
      </c>
      <c r="L7692" s="1" t="str">
        <f t="shared" si="13359"/>
        <v>0</v>
      </c>
      <c r="M7692" s="1" t="str">
        <f t="shared" si="13359"/>
        <v>0</v>
      </c>
      <c r="N7692" s="1" t="str">
        <f t="shared" si="13359"/>
        <v>0</v>
      </c>
      <c r="O7692" s="1" t="str">
        <f t="shared" si="13359"/>
        <v>0</v>
      </c>
      <c r="P7692" s="1" t="str">
        <f t="shared" si="13359"/>
        <v>0</v>
      </c>
      <c r="Q7692" s="1" t="str">
        <f t="shared" si="13349"/>
        <v>0.0070</v>
      </c>
      <c r="R7692" s="1" t="s">
        <v>25</v>
      </c>
      <c r="T7692" s="1" t="str">
        <f t="shared" si="13350"/>
        <v>0</v>
      </c>
      <c r="U7692" s="1" t="str">
        <f t="shared" ref="U7692:U7755" si="13360">"0.0070"</f>
        <v>0.0070</v>
      </c>
    </row>
    <row r="7693" s="1" customFormat="1" spans="1:21">
      <c r="A7693" s="1" t="str">
        <f>"4601992353872"</f>
        <v>4601992353872</v>
      </c>
      <c r="B7693" s="1" t="s">
        <v>7716</v>
      </c>
      <c r="C7693" s="1" t="s">
        <v>24</v>
      </c>
      <c r="D7693" s="1" t="str">
        <f t="shared" si="13347"/>
        <v>2021</v>
      </c>
      <c r="E7693" s="1" t="str">
        <f t="shared" ref="E7693:P7693" si="13361">"0"</f>
        <v>0</v>
      </c>
      <c r="F7693" s="1" t="str">
        <f t="shared" si="13361"/>
        <v>0</v>
      </c>
      <c r="G7693" s="1" t="str">
        <f t="shared" si="13361"/>
        <v>0</v>
      </c>
      <c r="H7693" s="1" t="str">
        <f t="shared" si="13361"/>
        <v>0</v>
      </c>
      <c r="I7693" s="1" t="str">
        <f t="shared" si="13361"/>
        <v>0</v>
      </c>
      <c r="J7693" s="1" t="str">
        <f t="shared" si="13361"/>
        <v>0</v>
      </c>
      <c r="K7693" s="1" t="str">
        <f t="shared" si="13361"/>
        <v>0</v>
      </c>
      <c r="L7693" s="1" t="str">
        <f t="shared" si="13361"/>
        <v>0</v>
      </c>
      <c r="M7693" s="1" t="str">
        <f t="shared" si="13361"/>
        <v>0</v>
      </c>
      <c r="N7693" s="1" t="str">
        <f t="shared" si="13361"/>
        <v>0</v>
      </c>
      <c r="O7693" s="1" t="str">
        <f t="shared" si="13361"/>
        <v>0</v>
      </c>
      <c r="P7693" s="1" t="str">
        <f t="shared" si="13361"/>
        <v>0</v>
      </c>
      <c r="Q7693" s="1" t="str">
        <f t="shared" si="13349"/>
        <v>0.0070</v>
      </c>
      <c r="R7693" s="1" t="s">
        <v>25</v>
      </c>
      <c r="T7693" s="1" t="str">
        <f t="shared" si="13350"/>
        <v>0</v>
      </c>
      <c r="U7693" s="1" t="str">
        <f t="shared" si="13360"/>
        <v>0.0070</v>
      </c>
    </row>
    <row r="7694" s="1" customFormat="1" spans="1:21">
      <c r="A7694" s="1" t="str">
        <f>"4601992353820"</f>
        <v>4601992353820</v>
      </c>
      <c r="B7694" s="1" t="s">
        <v>7717</v>
      </c>
      <c r="C7694" s="1" t="s">
        <v>24</v>
      </c>
      <c r="D7694" s="1" t="str">
        <f t="shared" si="13347"/>
        <v>2021</v>
      </c>
      <c r="E7694" s="1" t="str">
        <f t="shared" ref="E7694:P7694" si="13362">"0"</f>
        <v>0</v>
      </c>
      <c r="F7694" s="1" t="str">
        <f t="shared" si="13362"/>
        <v>0</v>
      </c>
      <c r="G7694" s="1" t="str">
        <f t="shared" si="13362"/>
        <v>0</v>
      </c>
      <c r="H7694" s="1" t="str">
        <f t="shared" si="13362"/>
        <v>0</v>
      </c>
      <c r="I7694" s="1" t="str">
        <f t="shared" si="13362"/>
        <v>0</v>
      </c>
      <c r="J7694" s="1" t="str">
        <f t="shared" si="13362"/>
        <v>0</v>
      </c>
      <c r="K7694" s="1" t="str">
        <f t="shared" si="13362"/>
        <v>0</v>
      </c>
      <c r="L7694" s="1" t="str">
        <f t="shared" si="13362"/>
        <v>0</v>
      </c>
      <c r="M7694" s="1" t="str">
        <f t="shared" si="13362"/>
        <v>0</v>
      </c>
      <c r="N7694" s="1" t="str">
        <f t="shared" si="13362"/>
        <v>0</v>
      </c>
      <c r="O7694" s="1" t="str">
        <f t="shared" si="13362"/>
        <v>0</v>
      </c>
      <c r="P7694" s="1" t="str">
        <f t="shared" si="13362"/>
        <v>0</v>
      </c>
      <c r="Q7694" s="1" t="str">
        <f t="shared" si="13349"/>
        <v>0.0070</v>
      </c>
      <c r="R7694" s="1" t="s">
        <v>25</v>
      </c>
      <c r="T7694" s="1" t="str">
        <f t="shared" si="13350"/>
        <v>0</v>
      </c>
      <c r="U7694" s="1" t="str">
        <f t="shared" si="13360"/>
        <v>0.0070</v>
      </c>
    </row>
    <row r="7695" s="1" customFormat="1" spans="1:21">
      <c r="A7695" s="1" t="str">
        <f>"4601992353856"</f>
        <v>4601992353856</v>
      </c>
      <c r="B7695" s="1" t="s">
        <v>7718</v>
      </c>
      <c r="C7695" s="1" t="s">
        <v>24</v>
      </c>
      <c r="D7695" s="1" t="str">
        <f t="shared" si="13347"/>
        <v>2021</v>
      </c>
      <c r="E7695" s="1" t="str">
        <f t="shared" ref="E7695:P7695" si="13363">"0"</f>
        <v>0</v>
      </c>
      <c r="F7695" s="1" t="str">
        <f t="shared" si="13363"/>
        <v>0</v>
      </c>
      <c r="G7695" s="1" t="str">
        <f t="shared" si="13363"/>
        <v>0</v>
      </c>
      <c r="H7695" s="1" t="str">
        <f t="shared" si="13363"/>
        <v>0</v>
      </c>
      <c r="I7695" s="1" t="str">
        <f t="shared" si="13363"/>
        <v>0</v>
      </c>
      <c r="J7695" s="1" t="str">
        <f t="shared" si="13363"/>
        <v>0</v>
      </c>
      <c r="K7695" s="1" t="str">
        <f t="shared" si="13363"/>
        <v>0</v>
      </c>
      <c r="L7695" s="1" t="str">
        <f t="shared" si="13363"/>
        <v>0</v>
      </c>
      <c r="M7695" s="1" t="str">
        <f t="shared" si="13363"/>
        <v>0</v>
      </c>
      <c r="N7695" s="1" t="str">
        <f t="shared" si="13363"/>
        <v>0</v>
      </c>
      <c r="O7695" s="1" t="str">
        <f t="shared" si="13363"/>
        <v>0</v>
      </c>
      <c r="P7695" s="1" t="str">
        <f t="shared" si="13363"/>
        <v>0</v>
      </c>
      <c r="Q7695" s="1" t="str">
        <f t="shared" si="13349"/>
        <v>0.0070</v>
      </c>
      <c r="R7695" s="1" t="s">
        <v>25</v>
      </c>
      <c r="T7695" s="1" t="str">
        <f t="shared" si="13350"/>
        <v>0</v>
      </c>
      <c r="U7695" s="1" t="str">
        <f t="shared" si="13360"/>
        <v>0.0070</v>
      </c>
    </row>
    <row r="7696" s="1" customFormat="1" spans="1:21">
      <c r="A7696" s="1" t="str">
        <f>"4601992353917"</f>
        <v>4601992353917</v>
      </c>
      <c r="B7696" s="1" t="s">
        <v>7719</v>
      </c>
      <c r="C7696" s="1" t="s">
        <v>24</v>
      </c>
      <c r="D7696" s="1" t="str">
        <f t="shared" si="13347"/>
        <v>2021</v>
      </c>
      <c r="E7696" s="1" t="str">
        <f t="shared" ref="E7696:P7696" si="13364">"0"</f>
        <v>0</v>
      </c>
      <c r="F7696" s="1" t="str">
        <f t="shared" si="13364"/>
        <v>0</v>
      </c>
      <c r="G7696" s="1" t="str">
        <f t="shared" si="13364"/>
        <v>0</v>
      </c>
      <c r="H7696" s="1" t="str">
        <f t="shared" si="13364"/>
        <v>0</v>
      </c>
      <c r="I7696" s="1" t="str">
        <f t="shared" si="13364"/>
        <v>0</v>
      </c>
      <c r="J7696" s="1" t="str">
        <f t="shared" si="13364"/>
        <v>0</v>
      </c>
      <c r="K7696" s="1" t="str">
        <f t="shared" si="13364"/>
        <v>0</v>
      </c>
      <c r="L7696" s="1" t="str">
        <f t="shared" si="13364"/>
        <v>0</v>
      </c>
      <c r="M7696" s="1" t="str">
        <f t="shared" si="13364"/>
        <v>0</v>
      </c>
      <c r="N7696" s="1" t="str">
        <f t="shared" si="13364"/>
        <v>0</v>
      </c>
      <c r="O7696" s="1" t="str">
        <f t="shared" si="13364"/>
        <v>0</v>
      </c>
      <c r="P7696" s="1" t="str">
        <f t="shared" si="13364"/>
        <v>0</v>
      </c>
      <c r="Q7696" s="1" t="str">
        <f t="shared" si="13349"/>
        <v>0.0070</v>
      </c>
      <c r="R7696" s="1" t="s">
        <v>25</v>
      </c>
      <c r="T7696" s="1" t="str">
        <f t="shared" si="13350"/>
        <v>0</v>
      </c>
      <c r="U7696" s="1" t="str">
        <f t="shared" si="13360"/>
        <v>0.0070</v>
      </c>
    </row>
    <row r="7697" s="1" customFormat="1" spans="1:21">
      <c r="A7697" s="1" t="str">
        <f>"4601992353941"</f>
        <v>4601992353941</v>
      </c>
      <c r="B7697" s="1" t="s">
        <v>7720</v>
      </c>
      <c r="C7697" s="1" t="s">
        <v>24</v>
      </c>
      <c r="D7697" s="1" t="str">
        <f t="shared" si="13347"/>
        <v>2021</v>
      </c>
      <c r="E7697" s="1" t="str">
        <f t="shared" ref="E7697:P7697" si="13365">"0"</f>
        <v>0</v>
      </c>
      <c r="F7697" s="1" t="str">
        <f t="shared" si="13365"/>
        <v>0</v>
      </c>
      <c r="G7697" s="1" t="str">
        <f t="shared" si="13365"/>
        <v>0</v>
      </c>
      <c r="H7697" s="1" t="str">
        <f t="shared" si="13365"/>
        <v>0</v>
      </c>
      <c r="I7697" s="1" t="str">
        <f t="shared" si="13365"/>
        <v>0</v>
      </c>
      <c r="J7697" s="1" t="str">
        <f t="shared" si="13365"/>
        <v>0</v>
      </c>
      <c r="K7697" s="1" t="str">
        <f t="shared" si="13365"/>
        <v>0</v>
      </c>
      <c r="L7697" s="1" t="str">
        <f t="shared" si="13365"/>
        <v>0</v>
      </c>
      <c r="M7697" s="1" t="str">
        <f t="shared" si="13365"/>
        <v>0</v>
      </c>
      <c r="N7697" s="1" t="str">
        <f t="shared" si="13365"/>
        <v>0</v>
      </c>
      <c r="O7697" s="1" t="str">
        <f t="shared" si="13365"/>
        <v>0</v>
      </c>
      <c r="P7697" s="1" t="str">
        <f t="shared" si="13365"/>
        <v>0</v>
      </c>
      <c r="Q7697" s="1" t="str">
        <f t="shared" si="13349"/>
        <v>0.0070</v>
      </c>
      <c r="R7697" s="1" t="s">
        <v>25</v>
      </c>
      <c r="T7697" s="1" t="str">
        <f t="shared" si="13350"/>
        <v>0</v>
      </c>
      <c r="U7697" s="1" t="str">
        <f t="shared" si="13360"/>
        <v>0.0070</v>
      </c>
    </row>
    <row r="7698" s="1" customFormat="1" spans="1:21">
      <c r="A7698" s="1" t="str">
        <f>"4601992354003"</f>
        <v>4601992354003</v>
      </c>
      <c r="B7698" s="1" t="s">
        <v>7721</v>
      </c>
      <c r="C7698" s="1" t="s">
        <v>24</v>
      </c>
      <c r="D7698" s="1" t="str">
        <f t="shared" si="13347"/>
        <v>2021</v>
      </c>
      <c r="E7698" s="1" t="str">
        <f t="shared" ref="E7698:P7698" si="13366">"0"</f>
        <v>0</v>
      </c>
      <c r="F7698" s="1" t="str">
        <f t="shared" si="13366"/>
        <v>0</v>
      </c>
      <c r="G7698" s="1" t="str">
        <f t="shared" si="13366"/>
        <v>0</v>
      </c>
      <c r="H7698" s="1" t="str">
        <f t="shared" si="13366"/>
        <v>0</v>
      </c>
      <c r="I7698" s="1" t="str">
        <f t="shared" si="13366"/>
        <v>0</v>
      </c>
      <c r="J7698" s="1" t="str">
        <f t="shared" si="13366"/>
        <v>0</v>
      </c>
      <c r="K7698" s="1" t="str">
        <f t="shared" si="13366"/>
        <v>0</v>
      </c>
      <c r="L7698" s="1" t="str">
        <f t="shared" si="13366"/>
        <v>0</v>
      </c>
      <c r="M7698" s="1" t="str">
        <f t="shared" si="13366"/>
        <v>0</v>
      </c>
      <c r="N7698" s="1" t="str">
        <f t="shared" si="13366"/>
        <v>0</v>
      </c>
      <c r="O7698" s="1" t="str">
        <f t="shared" si="13366"/>
        <v>0</v>
      </c>
      <c r="P7698" s="1" t="str">
        <f t="shared" si="13366"/>
        <v>0</v>
      </c>
      <c r="Q7698" s="1" t="str">
        <f t="shared" si="13349"/>
        <v>0.0070</v>
      </c>
      <c r="R7698" s="1" t="s">
        <v>25</v>
      </c>
      <c r="T7698" s="1" t="str">
        <f t="shared" si="13350"/>
        <v>0</v>
      </c>
      <c r="U7698" s="1" t="str">
        <f t="shared" si="13360"/>
        <v>0.0070</v>
      </c>
    </row>
    <row r="7699" s="1" customFormat="1" spans="1:21">
      <c r="A7699" s="1" t="str">
        <f>"4601992353951"</f>
        <v>4601992353951</v>
      </c>
      <c r="B7699" s="1" t="s">
        <v>7722</v>
      </c>
      <c r="C7699" s="1" t="s">
        <v>24</v>
      </c>
      <c r="D7699" s="1" t="str">
        <f t="shared" si="13347"/>
        <v>2021</v>
      </c>
      <c r="E7699" s="1" t="str">
        <f t="shared" ref="E7699:P7699" si="13367">"0"</f>
        <v>0</v>
      </c>
      <c r="F7699" s="1" t="str">
        <f t="shared" si="13367"/>
        <v>0</v>
      </c>
      <c r="G7699" s="1" t="str">
        <f t="shared" si="13367"/>
        <v>0</v>
      </c>
      <c r="H7699" s="1" t="str">
        <f t="shared" si="13367"/>
        <v>0</v>
      </c>
      <c r="I7699" s="1" t="str">
        <f t="shared" si="13367"/>
        <v>0</v>
      </c>
      <c r="J7699" s="1" t="str">
        <f t="shared" si="13367"/>
        <v>0</v>
      </c>
      <c r="K7699" s="1" t="str">
        <f t="shared" si="13367"/>
        <v>0</v>
      </c>
      <c r="L7699" s="1" t="str">
        <f t="shared" si="13367"/>
        <v>0</v>
      </c>
      <c r="M7699" s="1" t="str">
        <f t="shared" si="13367"/>
        <v>0</v>
      </c>
      <c r="N7699" s="1" t="str">
        <f t="shared" si="13367"/>
        <v>0</v>
      </c>
      <c r="O7699" s="1" t="str">
        <f t="shared" si="13367"/>
        <v>0</v>
      </c>
      <c r="P7699" s="1" t="str">
        <f t="shared" si="13367"/>
        <v>0</v>
      </c>
      <c r="Q7699" s="1" t="str">
        <f t="shared" si="13349"/>
        <v>0.0070</v>
      </c>
      <c r="R7699" s="1" t="s">
        <v>25</v>
      </c>
      <c r="T7699" s="1" t="str">
        <f t="shared" si="13350"/>
        <v>0</v>
      </c>
      <c r="U7699" s="1" t="str">
        <f t="shared" si="13360"/>
        <v>0.0070</v>
      </c>
    </row>
    <row r="7700" s="1" customFormat="1" spans="1:21">
      <c r="A7700" s="1" t="str">
        <f>"4601992354030"</f>
        <v>4601992354030</v>
      </c>
      <c r="B7700" s="1" t="s">
        <v>7723</v>
      </c>
      <c r="C7700" s="1" t="s">
        <v>24</v>
      </c>
      <c r="D7700" s="1" t="str">
        <f t="shared" si="13347"/>
        <v>2021</v>
      </c>
      <c r="E7700" s="1" t="str">
        <f t="shared" ref="E7700:P7700" si="13368">"0"</f>
        <v>0</v>
      </c>
      <c r="F7700" s="1" t="str">
        <f t="shared" si="13368"/>
        <v>0</v>
      </c>
      <c r="G7700" s="1" t="str">
        <f t="shared" si="13368"/>
        <v>0</v>
      </c>
      <c r="H7700" s="1" t="str">
        <f t="shared" si="13368"/>
        <v>0</v>
      </c>
      <c r="I7700" s="1" t="str">
        <f t="shared" si="13368"/>
        <v>0</v>
      </c>
      <c r="J7700" s="1" t="str">
        <f t="shared" si="13368"/>
        <v>0</v>
      </c>
      <c r="K7700" s="1" t="str">
        <f t="shared" si="13368"/>
        <v>0</v>
      </c>
      <c r="L7700" s="1" t="str">
        <f t="shared" si="13368"/>
        <v>0</v>
      </c>
      <c r="M7700" s="1" t="str">
        <f t="shared" si="13368"/>
        <v>0</v>
      </c>
      <c r="N7700" s="1" t="str">
        <f t="shared" si="13368"/>
        <v>0</v>
      </c>
      <c r="O7700" s="1" t="str">
        <f t="shared" si="13368"/>
        <v>0</v>
      </c>
      <c r="P7700" s="1" t="str">
        <f t="shared" si="13368"/>
        <v>0</v>
      </c>
      <c r="Q7700" s="1" t="str">
        <f t="shared" si="13349"/>
        <v>0.0070</v>
      </c>
      <c r="R7700" s="1" t="s">
        <v>25</v>
      </c>
      <c r="T7700" s="1" t="str">
        <f t="shared" si="13350"/>
        <v>0</v>
      </c>
      <c r="U7700" s="1" t="str">
        <f t="shared" si="13360"/>
        <v>0.0070</v>
      </c>
    </row>
    <row r="7701" s="1" customFormat="1" spans="1:21">
      <c r="A7701" s="1" t="str">
        <f>"4601992354084"</f>
        <v>4601992354084</v>
      </c>
      <c r="B7701" s="1" t="s">
        <v>7724</v>
      </c>
      <c r="C7701" s="1" t="s">
        <v>24</v>
      </c>
      <c r="D7701" s="1" t="str">
        <f t="shared" si="13347"/>
        <v>2021</v>
      </c>
      <c r="E7701" s="1" t="str">
        <f t="shared" ref="E7701:P7701" si="13369">"0"</f>
        <v>0</v>
      </c>
      <c r="F7701" s="1" t="str">
        <f t="shared" si="13369"/>
        <v>0</v>
      </c>
      <c r="G7701" s="1" t="str">
        <f t="shared" si="13369"/>
        <v>0</v>
      </c>
      <c r="H7701" s="1" t="str">
        <f t="shared" si="13369"/>
        <v>0</v>
      </c>
      <c r="I7701" s="1" t="str">
        <f t="shared" si="13369"/>
        <v>0</v>
      </c>
      <c r="J7701" s="1" t="str">
        <f t="shared" si="13369"/>
        <v>0</v>
      </c>
      <c r="K7701" s="1" t="str">
        <f t="shared" si="13369"/>
        <v>0</v>
      </c>
      <c r="L7701" s="1" t="str">
        <f t="shared" si="13369"/>
        <v>0</v>
      </c>
      <c r="M7701" s="1" t="str">
        <f t="shared" si="13369"/>
        <v>0</v>
      </c>
      <c r="N7701" s="1" t="str">
        <f t="shared" si="13369"/>
        <v>0</v>
      </c>
      <c r="O7701" s="1" t="str">
        <f t="shared" si="13369"/>
        <v>0</v>
      </c>
      <c r="P7701" s="1" t="str">
        <f t="shared" si="13369"/>
        <v>0</v>
      </c>
      <c r="Q7701" s="1" t="str">
        <f t="shared" si="13349"/>
        <v>0.0070</v>
      </c>
      <c r="R7701" s="1" t="s">
        <v>25</v>
      </c>
      <c r="T7701" s="1" t="str">
        <f t="shared" si="13350"/>
        <v>0</v>
      </c>
      <c r="U7701" s="1" t="str">
        <f t="shared" si="13360"/>
        <v>0.0070</v>
      </c>
    </row>
    <row r="7702" s="1" customFormat="1" spans="1:21">
      <c r="A7702" s="1" t="str">
        <f>"4601992354068"</f>
        <v>4601992354068</v>
      </c>
      <c r="B7702" s="1" t="s">
        <v>7725</v>
      </c>
      <c r="C7702" s="1" t="s">
        <v>24</v>
      </c>
      <c r="D7702" s="1" t="str">
        <f t="shared" si="13347"/>
        <v>2021</v>
      </c>
      <c r="E7702" s="1" t="str">
        <f t="shared" ref="E7702:P7702" si="13370">"0"</f>
        <v>0</v>
      </c>
      <c r="F7702" s="1" t="str">
        <f t="shared" si="13370"/>
        <v>0</v>
      </c>
      <c r="G7702" s="1" t="str">
        <f t="shared" si="13370"/>
        <v>0</v>
      </c>
      <c r="H7702" s="1" t="str">
        <f t="shared" si="13370"/>
        <v>0</v>
      </c>
      <c r="I7702" s="1" t="str">
        <f t="shared" si="13370"/>
        <v>0</v>
      </c>
      <c r="J7702" s="1" t="str">
        <f t="shared" si="13370"/>
        <v>0</v>
      </c>
      <c r="K7702" s="1" t="str">
        <f t="shared" si="13370"/>
        <v>0</v>
      </c>
      <c r="L7702" s="1" t="str">
        <f t="shared" si="13370"/>
        <v>0</v>
      </c>
      <c r="M7702" s="1" t="str">
        <f t="shared" si="13370"/>
        <v>0</v>
      </c>
      <c r="N7702" s="1" t="str">
        <f t="shared" si="13370"/>
        <v>0</v>
      </c>
      <c r="O7702" s="1" t="str">
        <f t="shared" si="13370"/>
        <v>0</v>
      </c>
      <c r="P7702" s="1" t="str">
        <f t="shared" si="13370"/>
        <v>0</v>
      </c>
      <c r="Q7702" s="1" t="str">
        <f t="shared" si="13349"/>
        <v>0.0070</v>
      </c>
      <c r="R7702" s="1" t="s">
        <v>25</v>
      </c>
      <c r="T7702" s="1" t="str">
        <f t="shared" si="13350"/>
        <v>0</v>
      </c>
      <c r="U7702" s="1" t="str">
        <f t="shared" si="13360"/>
        <v>0.0070</v>
      </c>
    </row>
    <row r="7703" s="1" customFormat="1" spans="1:21">
      <c r="A7703" s="1" t="str">
        <f>"4601992354126"</f>
        <v>4601992354126</v>
      </c>
      <c r="B7703" s="1" t="s">
        <v>7726</v>
      </c>
      <c r="C7703" s="1" t="s">
        <v>24</v>
      </c>
      <c r="D7703" s="1" t="str">
        <f t="shared" si="13347"/>
        <v>2021</v>
      </c>
      <c r="E7703" s="1" t="str">
        <f t="shared" ref="E7703:P7703" si="13371">"0"</f>
        <v>0</v>
      </c>
      <c r="F7703" s="1" t="str">
        <f t="shared" si="13371"/>
        <v>0</v>
      </c>
      <c r="G7703" s="1" t="str">
        <f t="shared" si="13371"/>
        <v>0</v>
      </c>
      <c r="H7703" s="1" t="str">
        <f t="shared" si="13371"/>
        <v>0</v>
      </c>
      <c r="I7703" s="1" t="str">
        <f t="shared" si="13371"/>
        <v>0</v>
      </c>
      <c r="J7703" s="1" t="str">
        <f t="shared" si="13371"/>
        <v>0</v>
      </c>
      <c r="K7703" s="1" t="str">
        <f t="shared" si="13371"/>
        <v>0</v>
      </c>
      <c r="L7703" s="1" t="str">
        <f t="shared" si="13371"/>
        <v>0</v>
      </c>
      <c r="M7703" s="1" t="str">
        <f t="shared" si="13371"/>
        <v>0</v>
      </c>
      <c r="N7703" s="1" t="str">
        <f t="shared" si="13371"/>
        <v>0</v>
      </c>
      <c r="O7703" s="1" t="str">
        <f t="shared" si="13371"/>
        <v>0</v>
      </c>
      <c r="P7703" s="1" t="str">
        <f t="shared" si="13371"/>
        <v>0</v>
      </c>
      <c r="Q7703" s="1" t="str">
        <f t="shared" si="13349"/>
        <v>0.0070</v>
      </c>
      <c r="R7703" s="1" t="s">
        <v>25</v>
      </c>
      <c r="T7703" s="1" t="str">
        <f t="shared" si="13350"/>
        <v>0</v>
      </c>
      <c r="U7703" s="1" t="str">
        <f t="shared" si="13360"/>
        <v>0.0070</v>
      </c>
    </row>
    <row r="7704" s="1" customFormat="1" spans="1:21">
      <c r="A7704" s="1" t="str">
        <f>"4601992354128"</f>
        <v>4601992354128</v>
      </c>
      <c r="B7704" s="1" t="s">
        <v>7727</v>
      </c>
      <c r="C7704" s="1" t="s">
        <v>24</v>
      </c>
      <c r="D7704" s="1" t="str">
        <f t="shared" si="13347"/>
        <v>2021</v>
      </c>
      <c r="E7704" s="1" t="str">
        <f t="shared" ref="E7704:P7704" si="13372">"0"</f>
        <v>0</v>
      </c>
      <c r="F7704" s="1" t="str">
        <f t="shared" si="13372"/>
        <v>0</v>
      </c>
      <c r="G7704" s="1" t="str">
        <f t="shared" si="13372"/>
        <v>0</v>
      </c>
      <c r="H7704" s="1" t="str">
        <f t="shared" si="13372"/>
        <v>0</v>
      </c>
      <c r="I7704" s="1" t="str">
        <f t="shared" si="13372"/>
        <v>0</v>
      </c>
      <c r="J7704" s="1" t="str">
        <f t="shared" si="13372"/>
        <v>0</v>
      </c>
      <c r="K7704" s="1" t="str">
        <f t="shared" si="13372"/>
        <v>0</v>
      </c>
      <c r="L7704" s="1" t="str">
        <f t="shared" si="13372"/>
        <v>0</v>
      </c>
      <c r="M7704" s="1" t="str">
        <f t="shared" si="13372"/>
        <v>0</v>
      </c>
      <c r="N7704" s="1" t="str">
        <f t="shared" si="13372"/>
        <v>0</v>
      </c>
      <c r="O7704" s="1" t="str">
        <f t="shared" si="13372"/>
        <v>0</v>
      </c>
      <c r="P7704" s="1" t="str">
        <f t="shared" si="13372"/>
        <v>0</v>
      </c>
      <c r="Q7704" s="1" t="str">
        <f t="shared" si="13349"/>
        <v>0.0070</v>
      </c>
      <c r="R7704" s="1" t="s">
        <v>25</v>
      </c>
      <c r="T7704" s="1" t="str">
        <f t="shared" si="13350"/>
        <v>0</v>
      </c>
      <c r="U7704" s="1" t="str">
        <f t="shared" si="13360"/>
        <v>0.0070</v>
      </c>
    </row>
    <row r="7705" s="1" customFormat="1" spans="1:21">
      <c r="A7705" s="1" t="str">
        <f>"4601992354309"</f>
        <v>4601992354309</v>
      </c>
      <c r="B7705" s="1" t="s">
        <v>7728</v>
      </c>
      <c r="C7705" s="1" t="s">
        <v>24</v>
      </c>
      <c r="D7705" s="1" t="str">
        <f t="shared" si="13347"/>
        <v>2021</v>
      </c>
      <c r="E7705" s="1" t="str">
        <f t="shared" ref="E7705:P7705" si="13373">"0"</f>
        <v>0</v>
      </c>
      <c r="F7705" s="1" t="str">
        <f t="shared" si="13373"/>
        <v>0</v>
      </c>
      <c r="G7705" s="1" t="str">
        <f t="shared" si="13373"/>
        <v>0</v>
      </c>
      <c r="H7705" s="1" t="str">
        <f t="shared" si="13373"/>
        <v>0</v>
      </c>
      <c r="I7705" s="1" t="str">
        <f t="shared" si="13373"/>
        <v>0</v>
      </c>
      <c r="J7705" s="1" t="str">
        <f t="shared" si="13373"/>
        <v>0</v>
      </c>
      <c r="K7705" s="1" t="str">
        <f t="shared" si="13373"/>
        <v>0</v>
      </c>
      <c r="L7705" s="1" t="str">
        <f t="shared" si="13373"/>
        <v>0</v>
      </c>
      <c r="M7705" s="1" t="str">
        <f t="shared" si="13373"/>
        <v>0</v>
      </c>
      <c r="N7705" s="1" t="str">
        <f t="shared" si="13373"/>
        <v>0</v>
      </c>
      <c r="O7705" s="1" t="str">
        <f t="shared" si="13373"/>
        <v>0</v>
      </c>
      <c r="P7705" s="1" t="str">
        <f t="shared" si="13373"/>
        <v>0</v>
      </c>
      <c r="Q7705" s="1" t="str">
        <f t="shared" si="13349"/>
        <v>0.0070</v>
      </c>
      <c r="R7705" s="1" t="s">
        <v>25</v>
      </c>
      <c r="T7705" s="1" t="str">
        <f t="shared" si="13350"/>
        <v>0</v>
      </c>
      <c r="U7705" s="1" t="str">
        <f t="shared" si="13360"/>
        <v>0.0070</v>
      </c>
    </row>
    <row r="7706" s="1" customFormat="1" spans="1:21">
      <c r="A7706" s="1" t="str">
        <f>"4601992354151"</f>
        <v>4601992354151</v>
      </c>
      <c r="B7706" s="1" t="s">
        <v>7729</v>
      </c>
      <c r="C7706" s="1" t="s">
        <v>24</v>
      </c>
      <c r="D7706" s="1" t="str">
        <f t="shared" si="13347"/>
        <v>2021</v>
      </c>
      <c r="E7706" s="1" t="str">
        <f t="shared" ref="E7706:P7706" si="13374">"0"</f>
        <v>0</v>
      </c>
      <c r="F7706" s="1" t="str">
        <f t="shared" si="13374"/>
        <v>0</v>
      </c>
      <c r="G7706" s="1" t="str">
        <f t="shared" si="13374"/>
        <v>0</v>
      </c>
      <c r="H7706" s="1" t="str">
        <f t="shared" si="13374"/>
        <v>0</v>
      </c>
      <c r="I7706" s="1" t="str">
        <f t="shared" si="13374"/>
        <v>0</v>
      </c>
      <c r="J7706" s="1" t="str">
        <f t="shared" si="13374"/>
        <v>0</v>
      </c>
      <c r="K7706" s="1" t="str">
        <f t="shared" si="13374"/>
        <v>0</v>
      </c>
      <c r="L7706" s="1" t="str">
        <f t="shared" si="13374"/>
        <v>0</v>
      </c>
      <c r="M7706" s="1" t="str">
        <f t="shared" si="13374"/>
        <v>0</v>
      </c>
      <c r="N7706" s="1" t="str">
        <f t="shared" si="13374"/>
        <v>0</v>
      </c>
      <c r="O7706" s="1" t="str">
        <f t="shared" si="13374"/>
        <v>0</v>
      </c>
      <c r="P7706" s="1" t="str">
        <f t="shared" si="13374"/>
        <v>0</v>
      </c>
      <c r="Q7706" s="1" t="str">
        <f t="shared" si="13349"/>
        <v>0.0070</v>
      </c>
      <c r="R7706" s="1" t="s">
        <v>25</v>
      </c>
      <c r="T7706" s="1" t="str">
        <f t="shared" si="13350"/>
        <v>0</v>
      </c>
      <c r="U7706" s="1" t="str">
        <f t="shared" si="13360"/>
        <v>0.0070</v>
      </c>
    </row>
    <row r="7707" s="1" customFormat="1" spans="1:21">
      <c r="A7707" s="1" t="str">
        <f>"4601992354252"</f>
        <v>4601992354252</v>
      </c>
      <c r="B7707" s="1" t="s">
        <v>7730</v>
      </c>
      <c r="C7707" s="1" t="s">
        <v>24</v>
      </c>
      <c r="D7707" s="1" t="str">
        <f t="shared" si="13347"/>
        <v>2021</v>
      </c>
      <c r="E7707" s="1" t="str">
        <f t="shared" ref="E7707:P7707" si="13375">"0"</f>
        <v>0</v>
      </c>
      <c r="F7707" s="1" t="str">
        <f t="shared" si="13375"/>
        <v>0</v>
      </c>
      <c r="G7707" s="1" t="str">
        <f t="shared" si="13375"/>
        <v>0</v>
      </c>
      <c r="H7707" s="1" t="str">
        <f t="shared" si="13375"/>
        <v>0</v>
      </c>
      <c r="I7707" s="1" t="str">
        <f t="shared" si="13375"/>
        <v>0</v>
      </c>
      <c r="J7707" s="1" t="str">
        <f t="shared" si="13375"/>
        <v>0</v>
      </c>
      <c r="K7707" s="1" t="str">
        <f t="shared" si="13375"/>
        <v>0</v>
      </c>
      <c r="L7707" s="1" t="str">
        <f t="shared" si="13375"/>
        <v>0</v>
      </c>
      <c r="M7707" s="1" t="str">
        <f t="shared" si="13375"/>
        <v>0</v>
      </c>
      <c r="N7707" s="1" t="str">
        <f t="shared" si="13375"/>
        <v>0</v>
      </c>
      <c r="O7707" s="1" t="str">
        <f t="shared" si="13375"/>
        <v>0</v>
      </c>
      <c r="P7707" s="1" t="str">
        <f t="shared" si="13375"/>
        <v>0</v>
      </c>
      <c r="Q7707" s="1" t="str">
        <f t="shared" si="13349"/>
        <v>0.0070</v>
      </c>
      <c r="R7707" s="1" t="s">
        <v>25</v>
      </c>
      <c r="T7707" s="1" t="str">
        <f t="shared" si="13350"/>
        <v>0</v>
      </c>
      <c r="U7707" s="1" t="str">
        <f t="shared" si="13360"/>
        <v>0.0070</v>
      </c>
    </row>
    <row r="7708" s="1" customFormat="1" spans="1:21">
      <c r="A7708" s="1" t="str">
        <f>"4601992354194"</f>
        <v>4601992354194</v>
      </c>
      <c r="B7708" s="1" t="s">
        <v>7731</v>
      </c>
      <c r="C7708" s="1" t="s">
        <v>24</v>
      </c>
      <c r="D7708" s="1" t="str">
        <f t="shared" si="13347"/>
        <v>2021</v>
      </c>
      <c r="E7708" s="1" t="str">
        <f t="shared" ref="E7708:P7708" si="13376">"0"</f>
        <v>0</v>
      </c>
      <c r="F7708" s="1" t="str">
        <f t="shared" si="13376"/>
        <v>0</v>
      </c>
      <c r="G7708" s="1" t="str">
        <f t="shared" si="13376"/>
        <v>0</v>
      </c>
      <c r="H7708" s="1" t="str">
        <f t="shared" si="13376"/>
        <v>0</v>
      </c>
      <c r="I7708" s="1" t="str">
        <f t="shared" si="13376"/>
        <v>0</v>
      </c>
      <c r="J7708" s="1" t="str">
        <f t="shared" si="13376"/>
        <v>0</v>
      </c>
      <c r="K7708" s="1" t="str">
        <f t="shared" si="13376"/>
        <v>0</v>
      </c>
      <c r="L7708" s="1" t="str">
        <f t="shared" si="13376"/>
        <v>0</v>
      </c>
      <c r="M7708" s="1" t="str">
        <f t="shared" si="13376"/>
        <v>0</v>
      </c>
      <c r="N7708" s="1" t="str">
        <f t="shared" si="13376"/>
        <v>0</v>
      </c>
      <c r="O7708" s="1" t="str">
        <f t="shared" si="13376"/>
        <v>0</v>
      </c>
      <c r="P7708" s="1" t="str">
        <f t="shared" si="13376"/>
        <v>0</v>
      </c>
      <c r="Q7708" s="1" t="str">
        <f t="shared" si="13349"/>
        <v>0.0070</v>
      </c>
      <c r="R7708" s="1" t="s">
        <v>25</v>
      </c>
      <c r="T7708" s="1" t="str">
        <f t="shared" si="13350"/>
        <v>0</v>
      </c>
      <c r="U7708" s="1" t="str">
        <f t="shared" si="13360"/>
        <v>0.0070</v>
      </c>
    </row>
    <row r="7709" s="1" customFormat="1" spans="1:21">
      <c r="A7709" s="1" t="str">
        <f>"4601992354247"</f>
        <v>4601992354247</v>
      </c>
      <c r="B7709" s="1" t="s">
        <v>7732</v>
      </c>
      <c r="C7709" s="1" t="s">
        <v>24</v>
      </c>
      <c r="D7709" s="1" t="str">
        <f t="shared" si="13347"/>
        <v>2021</v>
      </c>
      <c r="E7709" s="1" t="str">
        <f t="shared" ref="E7709:P7709" si="13377">"0"</f>
        <v>0</v>
      </c>
      <c r="F7709" s="1" t="str">
        <f t="shared" si="13377"/>
        <v>0</v>
      </c>
      <c r="G7709" s="1" t="str">
        <f t="shared" si="13377"/>
        <v>0</v>
      </c>
      <c r="H7709" s="1" t="str">
        <f t="shared" si="13377"/>
        <v>0</v>
      </c>
      <c r="I7709" s="1" t="str">
        <f t="shared" si="13377"/>
        <v>0</v>
      </c>
      <c r="J7709" s="1" t="str">
        <f t="shared" si="13377"/>
        <v>0</v>
      </c>
      <c r="K7709" s="1" t="str">
        <f t="shared" si="13377"/>
        <v>0</v>
      </c>
      <c r="L7709" s="1" t="str">
        <f t="shared" si="13377"/>
        <v>0</v>
      </c>
      <c r="M7709" s="1" t="str">
        <f t="shared" si="13377"/>
        <v>0</v>
      </c>
      <c r="N7709" s="1" t="str">
        <f t="shared" si="13377"/>
        <v>0</v>
      </c>
      <c r="O7709" s="1" t="str">
        <f t="shared" si="13377"/>
        <v>0</v>
      </c>
      <c r="P7709" s="1" t="str">
        <f t="shared" si="13377"/>
        <v>0</v>
      </c>
      <c r="Q7709" s="1" t="str">
        <f t="shared" si="13349"/>
        <v>0.0070</v>
      </c>
      <c r="R7709" s="1" t="s">
        <v>25</v>
      </c>
      <c r="T7709" s="1" t="str">
        <f t="shared" si="13350"/>
        <v>0</v>
      </c>
      <c r="U7709" s="1" t="str">
        <f t="shared" si="13360"/>
        <v>0.0070</v>
      </c>
    </row>
    <row r="7710" s="1" customFormat="1" spans="1:21">
      <c r="A7710" s="1" t="str">
        <f>"4601992354442"</f>
        <v>4601992354442</v>
      </c>
      <c r="B7710" s="1" t="s">
        <v>7733</v>
      </c>
      <c r="C7710" s="1" t="s">
        <v>24</v>
      </c>
      <c r="D7710" s="1" t="str">
        <f t="shared" si="13347"/>
        <v>2021</v>
      </c>
      <c r="E7710" s="1" t="str">
        <f t="shared" ref="E7710:P7710" si="13378">"0"</f>
        <v>0</v>
      </c>
      <c r="F7710" s="1" t="str">
        <f t="shared" si="13378"/>
        <v>0</v>
      </c>
      <c r="G7710" s="1" t="str">
        <f t="shared" si="13378"/>
        <v>0</v>
      </c>
      <c r="H7710" s="1" t="str">
        <f t="shared" si="13378"/>
        <v>0</v>
      </c>
      <c r="I7710" s="1" t="str">
        <f t="shared" si="13378"/>
        <v>0</v>
      </c>
      <c r="J7710" s="1" t="str">
        <f t="shared" si="13378"/>
        <v>0</v>
      </c>
      <c r="K7710" s="1" t="str">
        <f t="shared" si="13378"/>
        <v>0</v>
      </c>
      <c r="L7710" s="1" t="str">
        <f t="shared" si="13378"/>
        <v>0</v>
      </c>
      <c r="M7710" s="1" t="str">
        <f t="shared" si="13378"/>
        <v>0</v>
      </c>
      <c r="N7710" s="1" t="str">
        <f t="shared" si="13378"/>
        <v>0</v>
      </c>
      <c r="O7710" s="1" t="str">
        <f t="shared" si="13378"/>
        <v>0</v>
      </c>
      <c r="P7710" s="1" t="str">
        <f t="shared" si="13378"/>
        <v>0</v>
      </c>
      <c r="Q7710" s="1" t="str">
        <f t="shared" si="13349"/>
        <v>0.0070</v>
      </c>
      <c r="R7710" s="1" t="s">
        <v>25</v>
      </c>
      <c r="T7710" s="1" t="str">
        <f t="shared" si="13350"/>
        <v>0</v>
      </c>
      <c r="U7710" s="1" t="str">
        <f t="shared" si="13360"/>
        <v>0.0070</v>
      </c>
    </row>
    <row r="7711" s="1" customFormat="1" spans="1:21">
      <c r="A7711" s="1" t="str">
        <f>"4601992354364"</f>
        <v>4601992354364</v>
      </c>
      <c r="B7711" s="1" t="s">
        <v>7734</v>
      </c>
      <c r="C7711" s="1" t="s">
        <v>24</v>
      </c>
      <c r="D7711" s="1" t="str">
        <f t="shared" si="13347"/>
        <v>2021</v>
      </c>
      <c r="E7711" s="1" t="str">
        <f t="shared" ref="E7711:P7711" si="13379">"0"</f>
        <v>0</v>
      </c>
      <c r="F7711" s="1" t="str">
        <f t="shared" si="13379"/>
        <v>0</v>
      </c>
      <c r="G7711" s="1" t="str">
        <f t="shared" si="13379"/>
        <v>0</v>
      </c>
      <c r="H7711" s="1" t="str">
        <f t="shared" si="13379"/>
        <v>0</v>
      </c>
      <c r="I7711" s="1" t="str">
        <f t="shared" si="13379"/>
        <v>0</v>
      </c>
      <c r="J7711" s="1" t="str">
        <f t="shared" si="13379"/>
        <v>0</v>
      </c>
      <c r="K7711" s="1" t="str">
        <f t="shared" si="13379"/>
        <v>0</v>
      </c>
      <c r="L7711" s="1" t="str">
        <f t="shared" si="13379"/>
        <v>0</v>
      </c>
      <c r="M7711" s="1" t="str">
        <f t="shared" si="13379"/>
        <v>0</v>
      </c>
      <c r="N7711" s="1" t="str">
        <f t="shared" si="13379"/>
        <v>0</v>
      </c>
      <c r="O7711" s="1" t="str">
        <f t="shared" si="13379"/>
        <v>0</v>
      </c>
      <c r="P7711" s="1" t="str">
        <f t="shared" si="13379"/>
        <v>0</v>
      </c>
      <c r="Q7711" s="1" t="str">
        <f t="shared" si="13349"/>
        <v>0.0070</v>
      </c>
      <c r="R7711" s="1" t="s">
        <v>25</v>
      </c>
      <c r="T7711" s="1" t="str">
        <f t="shared" si="13350"/>
        <v>0</v>
      </c>
      <c r="U7711" s="1" t="str">
        <f t="shared" si="13360"/>
        <v>0.0070</v>
      </c>
    </row>
    <row r="7712" s="1" customFormat="1" spans="1:21">
      <c r="A7712" s="1" t="str">
        <f>"4601992354485"</f>
        <v>4601992354485</v>
      </c>
      <c r="B7712" s="1" t="s">
        <v>7735</v>
      </c>
      <c r="C7712" s="1" t="s">
        <v>24</v>
      </c>
      <c r="D7712" s="1" t="str">
        <f t="shared" si="13347"/>
        <v>2021</v>
      </c>
      <c r="E7712" s="1" t="str">
        <f t="shared" ref="E7712:P7712" si="13380">"0"</f>
        <v>0</v>
      </c>
      <c r="F7712" s="1" t="str">
        <f t="shared" si="13380"/>
        <v>0</v>
      </c>
      <c r="G7712" s="1" t="str">
        <f t="shared" si="13380"/>
        <v>0</v>
      </c>
      <c r="H7712" s="1" t="str">
        <f t="shared" si="13380"/>
        <v>0</v>
      </c>
      <c r="I7712" s="1" t="str">
        <f t="shared" si="13380"/>
        <v>0</v>
      </c>
      <c r="J7712" s="1" t="str">
        <f t="shared" si="13380"/>
        <v>0</v>
      </c>
      <c r="K7712" s="1" t="str">
        <f t="shared" si="13380"/>
        <v>0</v>
      </c>
      <c r="L7712" s="1" t="str">
        <f t="shared" si="13380"/>
        <v>0</v>
      </c>
      <c r="M7712" s="1" t="str">
        <f t="shared" si="13380"/>
        <v>0</v>
      </c>
      <c r="N7712" s="1" t="str">
        <f t="shared" si="13380"/>
        <v>0</v>
      </c>
      <c r="O7712" s="1" t="str">
        <f t="shared" si="13380"/>
        <v>0</v>
      </c>
      <c r="P7712" s="1" t="str">
        <f t="shared" si="13380"/>
        <v>0</v>
      </c>
      <c r="Q7712" s="1" t="str">
        <f t="shared" si="13349"/>
        <v>0.0070</v>
      </c>
      <c r="R7712" s="1" t="s">
        <v>25</v>
      </c>
      <c r="T7712" s="1" t="str">
        <f t="shared" si="13350"/>
        <v>0</v>
      </c>
      <c r="U7712" s="1" t="str">
        <f t="shared" si="13360"/>
        <v>0.0070</v>
      </c>
    </row>
    <row r="7713" s="1" customFormat="1" spans="1:21">
      <c r="A7713" s="1" t="str">
        <f>"4601992354512"</f>
        <v>4601992354512</v>
      </c>
      <c r="B7713" s="1" t="s">
        <v>7736</v>
      </c>
      <c r="C7713" s="1" t="s">
        <v>24</v>
      </c>
      <c r="D7713" s="1" t="str">
        <f t="shared" si="13347"/>
        <v>2021</v>
      </c>
      <c r="E7713" s="1" t="str">
        <f t="shared" ref="E7713:P7713" si="13381">"0"</f>
        <v>0</v>
      </c>
      <c r="F7713" s="1" t="str">
        <f t="shared" si="13381"/>
        <v>0</v>
      </c>
      <c r="G7713" s="1" t="str">
        <f t="shared" si="13381"/>
        <v>0</v>
      </c>
      <c r="H7713" s="1" t="str">
        <f t="shared" si="13381"/>
        <v>0</v>
      </c>
      <c r="I7713" s="1" t="str">
        <f t="shared" si="13381"/>
        <v>0</v>
      </c>
      <c r="J7713" s="1" t="str">
        <f t="shared" si="13381"/>
        <v>0</v>
      </c>
      <c r="K7713" s="1" t="str">
        <f t="shared" si="13381"/>
        <v>0</v>
      </c>
      <c r="L7713" s="1" t="str">
        <f t="shared" si="13381"/>
        <v>0</v>
      </c>
      <c r="M7713" s="1" t="str">
        <f t="shared" si="13381"/>
        <v>0</v>
      </c>
      <c r="N7713" s="1" t="str">
        <f t="shared" si="13381"/>
        <v>0</v>
      </c>
      <c r="O7713" s="1" t="str">
        <f t="shared" si="13381"/>
        <v>0</v>
      </c>
      <c r="P7713" s="1" t="str">
        <f t="shared" si="13381"/>
        <v>0</v>
      </c>
      <c r="Q7713" s="1" t="str">
        <f t="shared" si="13349"/>
        <v>0.0070</v>
      </c>
      <c r="R7713" s="1" t="s">
        <v>25</v>
      </c>
      <c r="T7713" s="1" t="str">
        <f t="shared" si="13350"/>
        <v>0</v>
      </c>
      <c r="U7713" s="1" t="str">
        <f t="shared" si="13360"/>
        <v>0.0070</v>
      </c>
    </row>
    <row r="7714" s="1" customFormat="1" spans="1:21">
      <c r="A7714" s="1" t="str">
        <f>"4601992354788"</f>
        <v>4601992354788</v>
      </c>
      <c r="B7714" s="1" t="s">
        <v>7737</v>
      </c>
      <c r="C7714" s="1" t="s">
        <v>24</v>
      </c>
      <c r="D7714" s="1" t="str">
        <f t="shared" si="13347"/>
        <v>2021</v>
      </c>
      <c r="E7714" s="1" t="str">
        <f t="shared" ref="E7714:P7714" si="13382">"0"</f>
        <v>0</v>
      </c>
      <c r="F7714" s="1" t="str">
        <f t="shared" si="13382"/>
        <v>0</v>
      </c>
      <c r="G7714" s="1" t="str">
        <f t="shared" si="13382"/>
        <v>0</v>
      </c>
      <c r="H7714" s="1" t="str">
        <f t="shared" si="13382"/>
        <v>0</v>
      </c>
      <c r="I7714" s="1" t="str">
        <f t="shared" si="13382"/>
        <v>0</v>
      </c>
      <c r="J7714" s="1" t="str">
        <f t="shared" si="13382"/>
        <v>0</v>
      </c>
      <c r="K7714" s="1" t="str">
        <f t="shared" si="13382"/>
        <v>0</v>
      </c>
      <c r="L7714" s="1" t="str">
        <f t="shared" si="13382"/>
        <v>0</v>
      </c>
      <c r="M7714" s="1" t="str">
        <f t="shared" si="13382"/>
        <v>0</v>
      </c>
      <c r="N7714" s="1" t="str">
        <f t="shared" si="13382"/>
        <v>0</v>
      </c>
      <c r="O7714" s="1" t="str">
        <f t="shared" si="13382"/>
        <v>0</v>
      </c>
      <c r="P7714" s="1" t="str">
        <f t="shared" si="13382"/>
        <v>0</v>
      </c>
      <c r="Q7714" s="1" t="str">
        <f t="shared" si="13349"/>
        <v>0.0070</v>
      </c>
      <c r="R7714" s="1" t="s">
        <v>25</v>
      </c>
      <c r="T7714" s="1" t="str">
        <f t="shared" si="13350"/>
        <v>0</v>
      </c>
      <c r="U7714" s="1" t="str">
        <f t="shared" si="13360"/>
        <v>0.0070</v>
      </c>
    </row>
    <row r="7715" s="1" customFormat="1" spans="1:21">
      <c r="A7715" s="1" t="str">
        <f>"4601992354692"</f>
        <v>4601992354692</v>
      </c>
      <c r="B7715" s="1" t="s">
        <v>7738</v>
      </c>
      <c r="C7715" s="1" t="s">
        <v>24</v>
      </c>
      <c r="D7715" s="1" t="str">
        <f t="shared" si="13347"/>
        <v>2021</v>
      </c>
      <c r="E7715" s="1" t="str">
        <f t="shared" ref="E7715:P7715" si="13383">"0"</f>
        <v>0</v>
      </c>
      <c r="F7715" s="1" t="str">
        <f t="shared" si="13383"/>
        <v>0</v>
      </c>
      <c r="G7715" s="1" t="str">
        <f t="shared" si="13383"/>
        <v>0</v>
      </c>
      <c r="H7715" s="1" t="str">
        <f t="shared" si="13383"/>
        <v>0</v>
      </c>
      <c r="I7715" s="1" t="str">
        <f t="shared" si="13383"/>
        <v>0</v>
      </c>
      <c r="J7715" s="1" t="str">
        <f t="shared" si="13383"/>
        <v>0</v>
      </c>
      <c r="K7715" s="1" t="str">
        <f t="shared" si="13383"/>
        <v>0</v>
      </c>
      <c r="L7715" s="1" t="str">
        <f t="shared" si="13383"/>
        <v>0</v>
      </c>
      <c r="M7715" s="1" t="str">
        <f t="shared" si="13383"/>
        <v>0</v>
      </c>
      <c r="N7715" s="1" t="str">
        <f t="shared" si="13383"/>
        <v>0</v>
      </c>
      <c r="O7715" s="1" t="str">
        <f t="shared" si="13383"/>
        <v>0</v>
      </c>
      <c r="P7715" s="1" t="str">
        <f t="shared" si="13383"/>
        <v>0</v>
      </c>
      <c r="Q7715" s="1" t="str">
        <f t="shared" si="13349"/>
        <v>0.0070</v>
      </c>
      <c r="R7715" s="1" t="s">
        <v>25</v>
      </c>
      <c r="T7715" s="1" t="str">
        <f t="shared" si="13350"/>
        <v>0</v>
      </c>
      <c r="U7715" s="1" t="str">
        <f t="shared" si="13360"/>
        <v>0.0070</v>
      </c>
    </row>
    <row r="7716" s="1" customFormat="1" spans="1:21">
      <c r="A7716" s="1" t="str">
        <f>"4601992354954"</f>
        <v>4601992354954</v>
      </c>
      <c r="B7716" s="1" t="s">
        <v>7739</v>
      </c>
      <c r="C7716" s="1" t="s">
        <v>24</v>
      </c>
      <c r="D7716" s="1" t="str">
        <f t="shared" si="13347"/>
        <v>2021</v>
      </c>
      <c r="E7716" s="1" t="str">
        <f t="shared" ref="E7716:P7716" si="13384">"0"</f>
        <v>0</v>
      </c>
      <c r="F7716" s="1" t="str">
        <f t="shared" si="13384"/>
        <v>0</v>
      </c>
      <c r="G7716" s="1" t="str">
        <f t="shared" si="13384"/>
        <v>0</v>
      </c>
      <c r="H7716" s="1" t="str">
        <f t="shared" si="13384"/>
        <v>0</v>
      </c>
      <c r="I7716" s="1" t="str">
        <f t="shared" si="13384"/>
        <v>0</v>
      </c>
      <c r="J7716" s="1" t="str">
        <f t="shared" si="13384"/>
        <v>0</v>
      </c>
      <c r="K7716" s="1" t="str">
        <f t="shared" si="13384"/>
        <v>0</v>
      </c>
      <c r="L7716" s="1" t="str">
        <f t="shared" si="13384"/>
        <v>0</v>
      </c>
      <c r="M7716" s="1" t="str">
        <f t="shared" si="13384"/>
        <v>0</v>
      </c>
      <c r="N7716" s="1" t="str">
        <f t="shared" si="13384"/>
        <v>0</v>
      </c>
      <c r="O7716" s="1" t="str">
        <f t="shared" si="13384"/>
        <v>0</v>
      </c>
      <c r="P7716" s="1" t="str">
        <f t="shared" si="13384"/>
        <v>0</v>
      </c>
      <c r="Q7716" s="1" t="str">
        <f t="shared" si="13349"/>
        <v>0.0070</v>
      </c>
      <c r="R7716" s="1" t="s">
        <v>25</v>
      </c>
      <c r="T7716" s="1" t="str">
        <f t="shared" si="13350"/>
        <v>0</v>
      </c>
      <c r="U7716" s="1" t="str">
        <f t="shared" si="13360"/>
        <v>0.0070</v>
      </c>
    </row>
    <row r="7717" s="1" customFormat="1" spans="1:21">
      <c r="A7717" s="1" t="str">
        <f>"4601992355036"</f>
        <v>4601992355036</v>
      </c>
      <c r="B7717" s="1" t="s">
        <v>7740</v>
      </c>
      <c r="C7717" s="1" t="s">
        <v>24</v>
      </c>
      <c r="D7717" s="1" t="str">
        <f t="shared" si="13347"/>
        <v>2021</v>
      </c>
      <c r="E7717" s="1" t="str">
        <f t="shared" ref="E7717:P7717" si="13385">"0"</f>
        <v>0</v>
      </c>
      <c r="F7717" s="1" t="str">
        <f t="shared" si="13385"/>
        <v>0</v>
      </c>
      <c r="G7717" s="1" t="str">
        <f t="shared" si="13385"/>
        <v>0</v>
      </c>
      <c r="H7717" s="1" t="str">
        <f t="shared" si="13385"/>
        <v>0</v>
      </c>
      <c r="I7717" s="1" t="str">
        <f t="shared" si="13385"/>
        <v>0</v>
      </c>
      <c r="J7717" s="1" t="str">
        <f t="shared" si="13385"/>
        <v>0</v>
      </c>
      <c r="K7717" s="1" t="str">
        <f t="shared" si="13385"/>
        <v>0</v>
      </c>
      <c r="L7717" s="1" t="str">
        <f t="shared" si="13385"/>
        <v>0</v>
      </c>
      <c r="M7717" s="1" t="str">
        <f t="shared" si="13385"/>
        <v>0</v>
      </c>
      <c r="N7717" s="1" t="str">
        <f t="shared" si="13385"/>
        <v>0</v>
      </c>
      <c r="O7717" s="1" t="str">
        <f t="shared" si="13385"/>
        <v>0</v>
      </c>
      <c r="P7717" s="1" t="str">
        <f t="shared" si="13385"/>
        <v>0</v>
      </c>
      <c r="Q7717" s="1" t="str">
        <f t="shared" si="13349"/>
        <v>0.0070</v>
      </c>
      <c r="R7717" s="1" t="s">
        <v>25</v>
      </c>
      <c r="T7717" s="1" t="str">
        <f t="shared" si="13350"/>
        <v>0</v>
      </c>
      <c r="U7717" s="1" t="str">
        <f t="shared" si="13360"/>
        <v>0.0070</v>
      </c>
    </row>
    <row r="7718" s="1" customFormat="1" spans="1:21">
      <c r="A7718" s="1" t="str">
        <f>"4601992355046"</f>
        <v>4601992355046</v>
      </c>
      <c r="B7718" s="1" t="s">
        <v>7741</v>
      </c>
      <c r="C7718" s="1" t="s">
        <v>24</v>
      </c>
      <c r="D7718" s="1" t="str">
        <f t="shared" si="13347"/>
        <v>2021</v>
      </c>
      <c r="E7718" s="1" t="str">
        <f t="shared" ref="E7718:P7718" si="13386">"0"</f>
        <v>0</v>
      </c>
      <c r="F7718" s="1" t="str">
        <f t="shared" si="13386"/>
        <v>0</v>
      </c>
      <c r="G7718" s="1" t="str">
        <f t="shared" si="13386"/>
        <v>0</v>
      </c>
      <c r="H7718" s="1" t="str">
        <f t="shared" si="13386"/>
        <v>0</v>
      </c>
      <c r="I7718" s="1" t="str">
        <f t="shared" si="13386"/>
        <v>0</v>
      </c>
      <c r="J7718" s="1" t="str">
        <f t="shared" si="13386"/>
        <v>0</v>
      </c>
      <c r="K7718" s="1" t="str">
        <f t="shared" si="13386"/>
        <v>0</v>
      </c>
      <c r="L7718" s="1" t="str">
        <f t="shared" si="13386"/>
        <v>0</v>
      </c>
      <c r="M7718" s="1" t="str">
        <f t="shared" si="13386"/>
        <v>0</v>
      </c>
      <c r="N7718" s="1" t="str">
        <f t="shared" si="13386"/>
        <v>0</v>
      </c>
      <c r="O7718" s="1" t="str">
        <f t="shared" si="13386"/>
        <v>0</v>
      </c>
      <c r="P7718" s="1" t="str">
        <f t="shared" si="13386"/>
        <v>0</v>
      </c>
      <c r="Q7718" s="1" t="str">
        <f t="shared" si="13349"/>
        <v>0.0070</v>
      </c>
      <c r="R7718" s="1" t="s">
        <v>25</v>
      </c>
      <c r="T7718" s="1" t="str">
        <f t="shared" si="13350"/>
        <v>0</v>
      </c>
      <c r="U7718" s="1" t="str">
        <f t="shared" si="13360"/>
        <v>0.0070</v>
      </c>
    </row>
    <row r="7719" s="1" customFormat="1" spans="1:21">
      <c r="A7719" s="1" t="str">
        <f>"4601992355017"</f>
        <v>4601992355017</v>
      </c>
      <c r="B7719" s="1" t="s">
        <v>7742</v>
      </c>
      <c r="C7719" s="1" t="s">
        <v>24</v>
      </c>
      <c r="D7719" s="1" t="str">
        <f t="shared" si="13347"/>
        <v>2021</v>
      </c>
      <c r="E7719" s="1" t="str">
        <f t="shared" ref="E7719:P7719" si="13387">"0"</f>
        <v>0</v>
      </c>
      <c r="F7719" s="1" t="str">
        <f t="shared" si="13387"/>
        <v>0</v>
      </c>
      <c r="G7719" s="1" t="str">
        <f t="shared" si="13387"/>
        <v>0</v>
      </c>
      <c r="H7719" s="1" t="str">
        <f t="shared" si="13387"/>
        <v>0</v>
      </c>
      <c r="I7719" s="1" t="str">
        <f t="shared" si="13387"/>
        <v>0</v>
      </c>
      <c r="J7719" s="1" t="str">
        <f t="shared" si="13387"/>
        <v>0</v>
      </c>
      <c r="K7719" s="1" t="str">
        <f t="shared" si="13387"/>
        <v>0</v>
      </c>
      <c r="L7719" s="1" t="str">
        <f t="shared" si="13387"/>
        <v>0</v>
      </c>
      <c r="M7719" s="1" t="str">
        <f t="shared" si="13387"/>
        <v>0</v>
      </c>
      <c r="N7719" s="1" t="str">
        <f t="shared" si="13387"/>
        <v>0</v>
      </c>
      <c r="O7719" s="1" t="str">
        <f t="shared" si="13387"/>
        <v>0</v>
      </c>
      <c r="P7719" s="1" t="str">
        <f t="shared" si="13387"/>
        <v>0</v>
      </c>
      <c r="Q7719" s="1" t="str">
        <f t="shared" si="13349"/>
        <v>0.0070</v>
      </c>
      <c r="R7719" s="1" t="s">
        <v>25</v>
      </c>
      <c r="T7719" s="1" t="str">
        <f t="shared" si="13350"/>
        <v>0</v>
      </c>
      <c r="U7719" s="1" t="str">
        <f t="shared" si="13360"/>
        <v>0.0070</v>
      </c>
    </row>
    <row r="7720" s="1" customFormat="1" spans="1:21">
      <c r="A7720" s="1" t="str">
        <f>"4601992355127"</f>
        <v>4601992355127</v>
      </c>
      <c r="B7720" s="1" t="s">
        <v>7743</v>
      </c>
      <c r="C7720" s="1" t="s">
        <v>24</v>
      </c>
      <c r="D7720" s="1" t="str">
        <f t="shared" si="13347"/>
        <v>2021</v>
      </c>
      <c r="E7720" s="1" t="str">
        <f t="shared" ref="E7720:P7720" si="13388">"0"</f>
        <v>0</v>
      </c>
      <c r="F7720" s="1" t="str">
        <f t="shared" si="13388"/>
        <v>0</v>
      </c>
      <c r="G7720" s="1" t="str">
        <f t="shared" si="13388"/>
        <v>0</v>
      </c>
      <c r="H7720" s="1" t="str">
        <f t="shared" si="13388"/>
        <v>0</v>
      </c>
      <c r="I7720" s="1" t="str">
        <f t="shared" si="13388"/>
        <v>0</v>
      </c>
      <c r="J7720" s="1" t="str">
        <f t="shared" si="13388"/>
        <v>0</v>
      </c>
      <c r="K7720" s="1" t="str">
        <f t="shared" si="13388"/>
        <v>0</v>
      </c>
      <c r="L7720" s="1" t="str">
        <f t="shared" si="13388"/>
        <v>0</v>
      </c>
      <c r="M7720" s="1" t="str">
        <f t="shared" si="13388"/>
        <v>0</v>
      </c>
      <c r="N7720" s="1" t="str">
        <f t="shared" si="13388"/>
        <v>0</v>
      </c>
      <c r="O7720" s="1" t="str">
        <f t="shared" si="13388"/>
        <v>0</v>
      </c>
      <c r="P7720" s="1" t="str">
        <f t="shared" si="13388"/>
        <v>0</v>
      </c>
      <c r="Q7720" s="1" t="str">
        <f t="shared" si="13349"/>
        <v>0.0070</v>
      </c>
      <c r="R7720" s="1" t="s">
        <v>25</v>
      </c>
      <c r="T7720" s="1" t="str">
        <f t="shared" si="13350"/>
        <v>0</v>
      </c>
      <c r="U7720" s="1" t="str">
        <f t="shared" si="13360"/>
        <v>0.0070</v>
      </c>
    </row>
    <row r="7721" s="1" customFormat="1" spans="1:21">
      <c r="A7721" s="1" t="str">
        <f>"4601992355130"</f>
        <v>4601992355130</v>
      </c>
      <c r="B7721" s="1" t="s">
        <v>7744</v>
      </c>
      <c r="C7721" s="1" t="s">
        <v>24</v>
      </c>
      <c r="D7721" s="1" t="str">
        <f t="shared" si="13347"/>
        <v>2021</v>
      </c>
      <c r="E7721" s="1" t="str">
        <f t="shared" ref="E7721:P7721" si="13389">"0"</f>
        <v>0</v>
      </c>
      <c r="F7721" s="1" t="str">
        <f t="shared" si="13389"/>
        <v>0</v>
      </c>
      <c r="G7721" s="1" t="str">
        <f t="shared" si="13389"/>
        <v>0</v>
      </c>
      <c r="H7721" s="1" t="str">
        <f t="shared" si="13389"/>
        <v>0</v>
      </c>
      <c r="I7721" s="1" t="str">
        <f t="shared" si="13389"/>
        <v>0</v>
      </c>
      <c r="J7721" s="1" t="str">
        <f t="shared" si="13389"/>
        <v>0</v>
      </c>
      <c r="K7721" s="1" t="str">
        <f t="shared" si="13389"/>
        <v>0</v>
      </c>
      <c r="L7721" s="1" t="str">
        <f t="shared" si="13389"/>
        <v>0</v>
      </c>
      <c r="M7721" s="1" t="str">
        <f t="shared" si="13389"/>
        <v>0</v>
      </c>
      <c r="N7721" s="1" t="str">
        <f t="shared" si="13389"/>
        <v>0</v>
      </c>
      <c r="O7721" s="1" t="str">
        <f t="shared" si="13389"/>
        <v>0</v>
      </c>
      <c r="P7721" s="1" t="str">
        <f t="shared" si="13389"/>
        <v>0</v>
      </c>
      <c r="Q7721" s="1" t="str">
        <f t="shared" si="13349"/>
        <v>0.0070</v>
      </c>
      <c r="R7721" s="1" t="s">
        <v>25</v>
      </c>
      <c r="T7721" s="1" t="str">
        <f t="shared" si="13350"/>
        <v>0</v>
      </c>
      <c r="U7721" s="1" t="str">
        <f t="shared" si="13360"/>
        <v>0.0070</v>
      </c>
    </row>
    <row r="7722" s="1" customFormat="1" spans="1:21">
      <c r="A7722" s="1" t="str">
        <f>"4601992355209"</f>
        <v>4601992355209</v>
      </c>
      <c r="B7722" s="1" t="s">
        <v>7745</v>
      </c>
      <c r="C7722" s="1" t="s">
        <v>24</v>
      </c>
      <c r="D7722" s="1" t="str">
        <f t="shared" si="13347"/>
        <v>2021</v>
      </c>
      <c r="E7722" s="1" t="str">
        <f t="shared" ref="E7722:P7722" si="13390">"0"</f>
        <v>0</v>
      </c>
      <c r="F7722" s="1" t="str">
        <f t="shared" si="13390"/>
        <v>0</v>
      </c>
      <c r="G7722" s="1" t="str">
        <f t="shared" si="13390"/>
        <v>0</v>
      </c>
      <c r="H7722" s="1" t="str">
        <f t="shared" si="13390"/>
        <v>0</v>
      </c>
      <c r="I7722" s="1" t="str">
        <f t="shared" si="13390"/>
        <v>0</v>
      </c>
      <c r="J7722" s="1" t="str">
        <f t="shared" si="13390"/>
        <v>0</v>
      </c>
      <c r="K7722" s="1" t="str">
        <f t="shared" si="13390"/>
        <v>0</v>
      </c>
      <c r="L7722" s="1" t="str">
        <f t="shared" si="13390"/>
        <v>0</v>
      </c>
      <c r="M7722" s="1" t="str">
        <f t="shared" si="13390"/>
        <v>0</v>
      </c>
      <c r="N7722" s="1" t="str">
        <f t="shared" si="13390"/>
        <v>0</v>
      </c>
      <c r="O7722" s="1" t="str">
        <f t="shared" si="13390"/>
        <v>0</v>
      </c>
      <c r="P7722" s="1" t="str">
        <f t="shared" si="13390"/>
        <v>0</v>
      </c>
      <c r="Q7722" s="1" t="str">
        <f t="shared" si="13349"/>
        <v>0.0070</v>
      </c>
      <c r="R7722" s="1" t="s">
        <v>25</v>
      </c>
      <c r="T7722" s="1" t="str">
        <f t="shared" si="13350"/>
        <v>0</v>
      </c>
      <c r="U7722" s="1" t="str">
        <f t="shared" si="13360"/>
        <v>0.0070</v>
      </c>
    </row>
    <row r="7723" s="1" customFormat="1" spans="1:21">
      <c r="A7723" s="1" t="str">
        <f>"4601992355241"</f>
        <v>4601992355241</v>
      </c>
      <c r="B7723" s="1" t="s">
        <v>7746</v>
      </c>
      <c r="C7723" s="1" t="s">
        <v>24</v>
      </c>
      <c r="D7723" s="1" t="str">
        <f t="shared" si="13347"/>
        <v>2021</v>
      </c>
      <c r="E7723" s="1" t="str">
        <f t="shared" ref="E7723:P7723" si="13391">"0"</f>
        <v>0</v>
      </c>
      <c r="F7723" s="1" t="str">
        <f t="shared" si="13391"/>
        <v>0</v>
      </c>
      <c r="G7723" s="1" t="str">
        <f t="shared" si="13391"/>
        <v>0</v>
      </c>
      <c r="H7723" s="1" t="str">
        <f t="shared" si="13391"/>
        <v>0</v>
      </c>
      <c r="I7723" s="1" t="str">
        <f t="shared" si="13391"/>
        <v>0</v>
      </c>
      <c r="J7723" s="1" t="str">
        <f t="shared" si="13391"/>
        <v>0</v>
      </c>
      <c r="K7723" s="1" t="str">
        <f t="shared" si="13391"/>
        <v>0</v>
      </c>
      <c r="L7723" s="1" t="str">
        <f t="shared" si="13391"/>
        <v>0</v>
      </c>
      <c r="M7723" s="1" t="str">
        <f t="shared" si="13391"/>
        <v>0</v>
      </c>
      <c r="N7723" s="1" t="str">
        <f t="shared" si="13391"/>
        <v>0</v>
      </c>
      <c r="O7723" s="1" t="str">
        <f t="shared" si="13391"/>
        <v>0</v>
      </c>
      <c r="P7723" s="1" t="str">
        <f t="shared" si="13391"/>
        <v>0</v>
      </c>
      <c r="Q7723" s="1" t="str">
        <f t="shared" si="13349"/>
        <v>0.0070</v>
      </c>
      <c r="R7723" s="1" t="s">
        <v>25</v>
      </c>
      <c r="T7723" s="1" t="str">
        <f t="shared" si="13350"/>
        <v>0</v>
      </c>
      <c r="U7723" s="1" t="str">
        <f t="shared" si="13360"/>
        <v>0.0070</v>
      </c>
    </row>
    <row r="7724" s="1" customFormat="1" spans="1:21">
      <c r="A7724" s="1" t="str">
        <f>"4601992355287"</f>
        <v>4601992355287</v>
      </c>
      <c r="B7724" s="1" t="s">
        <v>7747</v>
      </c>
      <c r="C7724" s="1" t="s">
        <v>24</v>
      </c>
      <c r="D7724" s="1" t="str">
        <f t="shared" si="13347"/>
        <v>2021</v>
      </c>
      <c r="E7724" s="1" t="str">
        <f t="shared" ref="E7724:P7724" si="13392">"0"</f>
        <v>0</v>
      </c>
      <c r="F7724" s="1" t="str">
        <f t="shared" si="13392"/>
        <v>0</v>
      </c>
      <c r="G7724" s="1" t="str">
        <f t="shared" si="13392"/>
        <v>0</v>
      </c>
      <c r="H7724" s="1" t="str">
        <f t="shared" si="13392"/>
        <v>0</v>
      </c>
      <c r="I7724" s="1" t="str">
        <f t="shared" si="13392"/>
        <v>0</v>
      </c>
      <c r="J7724" s="1" t="str">
        <f t="shared" si="13392"/>
        <v>0</v>
      </c>
      <c r="K7724" s="1" t="str">
        <f t="shared" si="13392"/>
        <v>0</v>
      </c>
      <c r="L7724" s="1" t="str">
        <f t="shared" si="13392"/>
        <v>0</v>
      </c>
      <c r="M7724" s="1" t="str">
        <f t="shared" si="13392"/>
        <v>0</v>
      </c>
      <c r="N7724" s="1" t="str">
        <f t="shared" si="13392"/>
        <v>0</v>
      </c>
      <c r="O7724" s="1" t="str">
        <f t="shared" si="13392"/>
        <v>0</v>
      </c>
      <c r="P7724" s="1" t="str">
        <f t="shared" si="13392"/>
        <v>0</v>
      </c>
      <c r="Q7724" s="1" t="str">
        <f t="shared" si="13349"/>
        <v>0.0070</v>
      </c>
      <c r="R7724" s="1" t="s">
        <v>25</v>
      </c>
      <c r="T7724" s="1" t="str">
        <f t="shared" si="13350"/>
        <v>0</v>
      </c>
      <c r="U7724" s="1" t="str">
        <f t="shared" si="13360"/>
        <v>0.0070</v>
      </c>
    </row>
    <row r="7725" s="1" customFormat="1" spans="1:21">
      <c r="A7725" s="1" t="str">
        <f>"4601992355294"</f>
        <v>4601992355294</v>
      </c>
      <c r="B7725" s="1" t="s">
        <v>7748</v>
      </c>
      <c r="C7725" s="1" t="s">
        <v>24</v>
      </c>
      <c r="D7725" s="1" t="str">
        <f t="shared" si="13347"/>
        <v>2021</v>
      </c>
      <c r="E7725" s="1" t="str">
        <f t="shared" ref="E7725:P7725" si="13393">"0"</f>
        <v>0</v>
      </c>
      <c r="F7725" s="1" t="str">
        <f t="shared" si="13393"/>
        <v>0</v>
      </c>
      <c r="G7725" s="1" t="str">
        <f t="shared" si="13393"/>
        <v>0</v>
      </c>
      <c r="H7725" s="1" t="str">
        <f t="shared" si="13393"/>
        <v>0</v>
      </c>
      <c r="I7725" s="1" t="str">
        <f t="shared" si="13393"/>
        <v>0</v>
      </c>
      <c r="J7725" s="1" t="str">
        <f t="shared" si="13393"/>
        <v>0</v>
      </c>
      <c r="K7725" s="1" t="str">
        <f t="shared" si="13393"/>
        <v>0</v>
      </c>
      <c r="L7725" s="1" t="str">
        <f t="shared" si="13393"/>
        <v>0</v>
      </c>
      <c r="M7725" s="1" t="str">
        <f t="shared" si="13393"/>
        <v>0</v>
      </c>
      <c r="N7725" s="1" t="str">
        <f t="shared" si="13393"/>
        <v>0</v>
      </c>
      <c r="O7725" s="1" t="str">
        <f t="shared" si="13393"/>
        <v>0</v>
      </c>
      <c r="P7725" s="1" t="str">
        <f t="shared" si="13393"/>
        <v>0</v>
      </c>
      <c r="Q7725" s="1" t="str">
        <f t="shared" si="13349"/>
        <v>0.0070</v>
      </c>
      <c r="R7725" s="1" t="s">
        <v>25</v>
      </c>
      <c r="T7725" s="1" t="str">
        <f t="shared" si="13350"/>
        <v>0</v>
      </c>
      <c r="U7725" s="1" t="str">
        <f t="shared" si="13360"/>
        <v>0.0070</v>
      </c>
    </row>
    <row r="7726" s="1" customFormat="1" spans="1:21">
      <c r="A7726" s="1" t="str">
        <f>"4601992355291"</f>
        <v>4601992355291</v>
      </c>
      <c r="B7726" s="1" t="s">
        <v>7749</v>
      </c>
      <c r="C7726" s="1" t="s">
        <v>24</v>
      </c>
      <c r="D7726" s="1" t="str">
        <f t="shared" si="13347"/>
        <v>2021</v>
      </c>
      <c r="E7726" s="1" t="str">
        <f t="shared" ref="E7726:P7726" si="13394">"0"</f>
        <v>0</v>
      </c>
      <c r="F7726" s="1" t="str">
        <f t="shared" si="13394"/>
        <v>0</v>
      </c>
      <c r="G7726" s="1" t="str">
        <f t="shared" si="13394"/>
        <v>0</v>
      </c>
      <c r="H7726" s="1" t="str">
        <f t="shared" si="13394"/>
        <v>0</v>
      </c>
      <c r="I7726" s="1" t="str">
        <f t="shared" si="13394"/>
        <v>0</v>
      </c>
      <c r="J7726" s="1" t="str">
        <f t="shared" si="13394"/>
        <v>0</v>
      </c>
      <c r="K7726" s="1" t="str">
        <f t="shared" si="13394"/>
        <v>0</v>
      </c>
      <c r="L7726" s="1" t="str">
        <f t="shared" si="13394"/>
        <v>0</v>
      </c>
      <c r="M7726" s="1" t="str">
        <f t="shared" si="13394"/>
        <v>0</v>
      </c>
      <c r="N7726" s="1" t="str">
        <f t="shared" si="13394"/>
        <v>0</v>
      </c>
      <c r="O7726" s="1" t="str">
        <f t="shared" si="13394"/>
        <v>0</v>
      </c>
      <c r="P7726" s="1" t="str">
        <f t="shared" si="13394"/>
        <v>0</v>
      </c>
      <c r="Q7726" s="1" t="str">
        <f t="shared" si="13349"/>
        <v>0.0070</v>
      </c>
      <c r="R7726" s="1" t="s">
        <v>25</v>
      </c>
      <c r="T7726" s="1" t="str">
        <f t="shared" si="13350"/>
        <v>0</v>
      </c>
      <c r="U7726" s="1" t="str">
        <f t="shared" si="13360"/>
        <v>0.0070</v>
      </c>
    </row>
    <row r="7727" s="1" customFormat="1" spans="1:21">
      <c r="A7727" s="1" t="str">
        <f>"4601992355308"</f>
        <v>4601992355308</v>
      </c>
      <c r="B7727" s="1" t="s">
        <v>7750</v>
      </c>
      <c r="C7727" s="1" t="s">
        <v>24</v>
      </c>
      <c r="D7727" s="1" t="str">
        <f t="shared" si="13347"/>
        <v>2021</v>
      </c>
      <c r="E7727" s="1" t="str">
        <f t="shared" ref="E7727:P7727" si="13395">"0"</f>
        <v>0</v>
      </c>
      <c r="F7727" s="1" t="str">
        <f t="shared" si="13395"/>
        <v>0</v>
      </c>
      <c r="G7727" s="1" t="str">
        <f t="shared" si="13395"/>
        <v>0</v>
      </c>
      <c r="H7727" s="1" t="str">
        <f t="shared" si="13395"/>
        <v>0</v>
      </c>
      <c r="I7727" s="1" t="str">
        <f t="shared" si="13395"/>
        <v>0</v>
      </c>
      <c r="J7727" s="1" t="str">
        <f t="shared" si="13395"/>
        <v>0</v>
      </c>
      <c r="K7727" s="1" t="str">
        <f t="shared" si="13395"/>
        <v>0</v>
      </c>
      <c r="L7727" s="1" t="str">
        <f t="shared" si="13395"/>
        <v>0</v>
      </c>
      <c r="M7727" s="1" t="str">
        <f t="shared" si="13395"/>
        <v>0</v>
      </c>
      <c r="N7727" s="1" t="str">
        <f t="shared" si="13395"/>
        <v>0</v>
      </c>
      <c r="O7727" s="1" t="str">
        <f t="shared" si="13395"/>
        <v>0</v>
      </c>
      <c r="P7727" s="1" t="str">
        <f t="shared" si="13395"/>
        <v>0</v>
      </c>
      <c r="Q7727" s="1" t="str">
        <f t="shared" si="13349"/>
        <v>0.0070</v>
      </c>
      <c r="R7727" s="1" t="s">
        <v>25</v>
      </c>
      <c r="T7727" s="1" t="str">
        <f t="shared" si="13350"/>
        <v>0</v>
      </c>
      <c r="U7727" s="1" t="str">
        <f t="shared" si="13360"/>
        <v>0.0070</v>
      </c>
    </row>
    <row r="7728" s="1" customFormat="1" spans="1:21">
      <c r="A7728" s="1" t="str">
        <f>"4601992355502"</f>
        <v>4601992355502</v>
      </c>
      <c r="B7728" s="1" t="s">
        <v>7751</v>
      </c>
      <c r="C7728" s="1" t="s">
        <v>24</v>
      </c>
      <c r="D7728" s="1" t="str">
        <f t="shared" si="13347"/>
        <v>2021</v>
      </c>
      <c r="E7728" s="1" t="str">
        <f t="shared" ref="E7728:P7728" si="13396">"0"</f>
        <v>0</v>
      </c>
      <c r="F7728" s="1" t="str">
        <f t="shared" si="13396"/>
        <v>0</v>
      </c>
      <c r="G7728" s="1" t="str">
        <f t="shared" si="13396"/>
        <v>0</v>
      </c>
      <c r="H7728" s="1" t="str">
        <f t="shared" si="13396"/>
        <v>0</v>
      </c>
      <c r="I7728" s="1" t="str">
        <f t="shared" si="13396"/>
        <v>0</v>
      </c>
      <c r="J7728" s="1" t="str">
        <f t="shared" si="13396"/>
        <v>0</v>
      </c>
      <c r="K7728" s="1" t="str">
        <f t="shared" si="13396"/>
        <v>0</v>
      </c>
      <c r="L7728" s="1" t="str">
        <f t="shared" si="13396"/>
        <v>0</v>
      </c>
      <c r="M7728" s="1" t="str">
        <f t="shared" si="13396"/>
        <v>0</v>
      </c>
      <c r="N7728" s="1" t="str">
        <f t="shared" si="13396"/>
        <v>0</v>
      </c>
      <c r="O7728" s="1" t="str">
        <f t="shared" si="13396"/>
        <v>0</v>
      </c>
      <c r="P7728" s="1" t="str">
        <f t="shared" si="13396"/>
        <v>0</v>
      </c>
      <c r="Q7728" s="1" t="str">
        <f t="shared" si="13349"/>
        <v>0.0070</v>
      </c>
      <c r="R7728" s="1" t="s">
        <v>25</v>
      </c>
      <c r="T7728" s="1" t="str">
        <f t="shared" si="13350"/>
        <v>0</v>
      </c>
      <c r="U7728" s="1" t="str">
        <f t="shared" si="13360"/>
        <v>0.0070</v>
      </c>
    </row>
    <row r="7729" s="1" customFormat="1" spans="1:21">
      <c r="A7729" s="1" t="str">
        <f>"4601992355310"</f>
        <v>4601992355310</v>
      </c>
      <c r="B7729" s="1" t="s">
        <v>7752</v>
      </c>
      <c r="C7729" s="1" t="s">
        <v>24</v>
      </c>
      <c r="D7729" s="1" t="str">
        <f t="shared" si="13347"/>
        <v>2021</v>
      </c>
      <c r="E7729" s="1" t="str">
        <f t="shared" ref="E7729:P7729" si="13397">"0"</f>
        <v>0</v>
      </c>
      <c r="F7729" s="1" t="str">
        <f t="shared" si="13397"/>
        <v>0</v>
      </c>
      <c r="G7729" s="1" t="str">
        <f t="shared" si="13397"/>
        <v>0</v>
      </c>
      <c r="H7729" s="1" t="str">
        <f t="shared" si="13397"/>
        <v>0</v>
      </c>
      <c r="I7729" s="1" t="str">
        <f t="shared" si="13397"/>
        <v>0</v>
      </c>
      <c r="J7729" s="1" t="str">
        <f t="shared" si="13397"/>
        <v>0</v>
      </c>
      <c r="K7729" s="1" t="str">
        <f t="shared" si="13397"/>
        <v>0</v>
      </c>
      <c r="L7729" s="1" t="str">
        <f t="shared" si="13397"/>
        <v>0</v>
      </c>
      <c r="M7729" s="1" t="str">
        <f t="shared" si="13397"/>
        <v>0</v>
      </c>
      <c r="N7729" s="1" t="str">
        <f t="shared" si="13397"/>
        <v>0</v>
      </c>
      <c r="O7729" s="1" t="str">
        <f t="shared" si="13397"/>
        <v>0</v>
      </c>
      <c r="P7729" s="1" t="str">
        <f t="shared" si="13397"/>
        <v>0</v>
      </c>
      <c r="Q7729" s="1" t="str">
        <f t="shared" si="13349"/>
        <v>0.0070</v>
      </c>
      <c r="R7729" s="1" t="s">
        <v>25</v>
      </c>
      <c r="T7729" s="1" t="str">
        <f t="shared" si="13350"/>
        <v>0</v>
      </c>
      <c r="U7729" s="1" t="str">
        <f t="shared" si="13360"/>
        <v>0.0070</v>
      </c>
    </row>
    <row r="7730" s="1" customFormat="1" spans="1:21">
      <c r="A7730" s="1" t="str">
        <f>"4601992355564"</f>
        <v>4601992355564</v>
      </c>
      <c r="B7730" s="1" t="s">
        <v>7753</v>
      </c>
      <c r="C7730" s="1" t="s">
        <v>24</v>
      </c>
      <c r="D7730" s="1" t="str">
        <f t="shared" si="13347"/>
        <v>2021</v>
      </c>
      <c r="E7730" s="1" t="str">
        <f t="shared" ref="E7730:P7730" si="13398">"0"</f>
        <v>0</v>
      </c>
      <c r="F7730" s="1" t="str">
        <f t="shared" si="13398"/>
        <v>0</v>
      </c>
      <c r="G7730" s="1" t="str">
        <f t="shared" si="13398"/>
        <v>0</v>
      </c>
      <c r="H7730" s="1" t="str">
        <f t="shared" si="13398"/>
        <v>0</v>
      </c>
      <c r="I7730" s="1" t="str">
        <f t="shared" si="13398"/>
        <v>0</v>
      </c>
      <c r="J7730" s="1" t="str">
        <f t="shared" si="13398"/>
        <v>0</v>
      </c>
      <c r="K7730" s="1" t="str">
        <f t="shared" si="13398"/>
        <v>0</v>
      </c>
      <c r="L7730" s="1" t="str">
        <f t="shared" si="13398"/>
        <v>0</v>
      </c>
      <c r="M7730" s="1" t="str">
        <f t="shared" si="13398"/>
        <v>0</v>
      </c>
      <c r="N7730" s="1" t="str">
        <f t="shared" si="13398"/>
        <v>0</v>
      </c>
      <c r="O7730" s="1" t="str">
        <f t="shared" si="13398"/>
        <v>0</v>
      </c>
      <c r="P7730" s="1" t="str">
        <f t="shared" si="13398"/>
        <v>0</v>
      </c>
      <c r="Q7730" s="1" t="str">
        <f t="shared" si="13349"/>
        <v>0.0070</v>
      </c>
      <c r="R7730" s="1" t="s">
        <v>25</v>
      </c>
      <c r="T7730" s="1" t="str">
        <f t="shared" si="13350"/>
        <v>0</v>
      </c>
      <c r="U7730" s="1" t="str">
        <f t="shared" si="13360"/>
        <v>0.0070</v>
      </c>
    </row>
    <row r="7731" s="1" customFormat="1" spans="1:21">
      <c r="A7731" s="1" t="str">
        <f>"4601992355565"</f>
        <v>4601992355565</v>
      </c>
      <c r="B7731" s="1" t="s">
        <v>7754</v>
      </c>
      <c r="C7731" s="1" t="s">
        <v>24</v>
      </c>
      <c r="D7731" s="1" t="str">
        <f t="shared" si="13347"/>
        <v>2021</v>
      </c>
      <c r="E7731" s="1" t="str">
        <f t="shared" ref="E7731:P7731" si="13399">"0"</f>
        <v>0</v>
      </c>
      <c r="F7731" s="1" t="str">
        <f t="shared" si="13399"/>
        <v>0</v>
      </c>
      <c r="G7731" s="1" t="str">
        <f t="shared" si="13399"/>
        <v>0</v>
      </c>
      <c r="H7731" s="1" t="str">
        <f t="shared" si="13399"/>
        <v>0</v>
      </c>
      <c r="I7731" s="1" t="str">
        <f t="shared" si="13399"/>
        <v>0</v>
      </c>
      <c r="J7731" s="1" t="str">
        <f t="shared" si="13399"/>
        <v>0</v>
      </c>
      <c r="K7731" s="1" t="str">
        <f t="shared" si="13399"/>
        <v>0</v>
      </c>
      <c r="L7731" s="1" t="str">
        <f t="shared" si="13399"/>
        <v>0</v>
      </c>
      <c r="M7731" s="1" t="str">
        <f t="shared" si="13399"/>
        <v>0</v>
      </c>
      <c r="N7731" s="1" t="str">
        <f t="shared" si="13399"/>
        <v>0</v>
      </c>
      <c r="O7731" s="1" t="str">
        <f t="shared" si="13399"/>
        <v>0</v>
      </c>
      <c r="P7731" s="1" t="str">
        <f t="shared" si="13399"/>
        <v>0</v>
      </c>
      <c r="Q7731" s="1" t="str">
        <f t="shared" si="13349"/>
        <v>0.0070</v>
      </c>
      <c r="R7731" s="1" t="s">
        <v>25</v>
      </c>
      <c r="T7731" s="1" t="str">
        <f t="shared" si="13350"/>
        <v>0</v>
      </c>
      <c r="U7731" s="1" t="str">
        <f t="shared" si="13360"/>
        <v>0.0070</v>
      </c>
    </row>
    <row r="7732" s="1" customFormat="1" spans="1:21">
      <c r="A7732" s="1" t="str">
        <f>"4601992355601"</f>
        <v>4601992355601</v>
      </c>
      <c r="B7732" s="1" t="s">
        <v>7755</v>
      </c>
      <c r="C7732" s="1" t="s">
        <v>24</v>
      </c>
      <c r="D7732" s="1" t="str">
        <f t="shared" si="13347"/>
        <v>2021</v>
      </c>
      <c r="E7732" s="1" t="str">
        <f t="shared" ref="E7732:P7732" si="13400">"0"</f>
        <v>0</v>
      </c>
      <c r="F7732" s="1" t="str">
        <f t="shared" si="13400"/>
        <v>0</v>
      </c>
      <c r="G7732" s="1" t="str">
        <f t="shared" si="13400"/>
        <v>0</v>
      </c>
      <c r="H7732" s="1" t="str">
        <f t="shared" si="13400"/>
        <v>0</v>
      </c>
      <c r="I7732" s="1" t="str">
        <f t="shared" si="13400"/>
        <v>0</v>
      </c>
      <c r="J7732" s="1" t="str">
        <f t="shared" si="13400"/>
        <v>0</v>
      </c>
      <c r="K7732" s="1" t="str">
        <f t="shared" si="13400"/>
        <v>0</v>
      </c>
      <c r="L7732" s="1" t="str">
        <f t="shared" si="13400"/>
        <v>0</v>
      </c>
      <c r="M7732" s="1" t="str">
        <f t="shared" si="13400"/>
        <v>0</v>
      </c>
      <c r="N7732" s="1" t="str">
        <f t="shared" si="13400"/>
        <v>0</v>
      </c>
      <c r="O7732" s="1" t="str">
        <f t="shared" si="13400"/>
        <v>0</v>
      </c>
      <c r="P7732" s="1" t="str">
        <f t="shared" si="13400"/>
        <v>0</v>
      </c>
      <c r="Q7732" s="1" t="str">
        <f t="shared" si="13349"/>
        <v>0.0070</v>
      </c>
      <c r="R7732" s="1" t="s">
        <v>25</v>
      </c>
      <c r="T7732" s="1" t="str">
        <f t="shared" si="13350"/>
        <v>0</v>
      </c>
      <c r="U7732" s="1" t="str">
        <f t="shared" si="13360"/>
        <v>0.0070</v>
      </c>
    </row>
    <row r="7733" s="1" customFormat="1" spans="1:21">
      <c r="A7733" s="1" t="str">
        <f>"4601992355691"</f>
        <v>4601992355691</v>
      </c>
      <c r="B7733" s="1" t="s">
        <v>7756</v>
      </c>
      <c r="C7733" s="1" t="s">
        <v>24</v>
      </c>
      <c r="D7733" s="1" t="str">
        <f t="shared" si="13347"/>
        <v>2021</v>
      </c>
      <c r="E7733" s="1" t="str">
        <f t="shared" ref="E7733:P7733" si="13401">"0"</f>
        <v>0</v>
      </c>
      <c r="F7733" s="1" t="str">
        <f t="shared" si="13401"/>
        <v>0</v>
      </c>
      <c r="G7733" s="1" t="str">
        <f t="shared" si="13401"/>
        <v>0</v>
      </c>
      <c r="H7733" s="1" t="str">
        <f t="shared" si="13401"/>
        <v>0</v>
      </c>
      <c r="I7733" s="1" t="str">
        <f t="shared" si="13401"/>
        <v>0</v>
      </c>
      <c r="J7733" s="1" t="str">
        <f t="shared" si="13401"/>
        <v>0</v>
      </c>
      <c r="K7733" s="1" t="str">
        <f t="shared" si="13401"/>
        <v>0</v>
      </c>
      <c r="L7733" s="1" t="str">
        <f t="shared" si="13401"/>
        <v>0</v>
      </c>
      <c r="M7733" s="1" t="str">
        <f t="shared" si="13401"/>
        <v>0</v>
      </c>
      <c r="N7733" s="1" t="str">
        <f t="shared" si="13401"/>
        <v>0</v>
      </c>
      <c r="O7733" s="1" t="str">
        <f t="shared" si="13401"/>
        <v>0</v>
      </c>
      <c r="P7733" s="1" t="str">
        <f t="shared" si="13401"/>
        <v>0</v>
      </c>
      <c r="Q7733" s="1" t="str">
        <f t="shared" si="13349"/>
        <v>0.0070</v>
      </c>
      <c r="R7733" s="1" t="s">
        <v>25</v>
      </c>
      <c r="T7733" s="1" t="str">
        <f t="shared" si="13350"/>
        <v>0</v>
      </c>
      <c r="U7733" s="1" t="str">
        <f t="shared" si="13360"/>
        <v>0.0070</v>
      </c>
    </row>
    <row r="7734" s="1" customFormat="1" spans="1:21">
      <c r="A7734" s="1" t="str">
        <f>"4601992355760"</f>
        <v>4601992355760</v>
      </c>
      <c r="B7734" s="1" t="s">
        <v>7757</v>
      </c>
      <c r="C7734" s="1" t="s">
        <v>24</v>
      </c>
      <c r="D7734" s="1" t="str">
        <f t="shared" si="13347"/>
        <v>2021</v>
      </c>
      <c r="E7734" s="1" t="str">
        <f t="shared" ref="E7734:P7734" si="13402">"0"</f>
        <v>0</v>
      </c>
      <c r="F7734" s="1" t="str">
        <f t="shared" si="13402"/>
        <v>0</v>
      </c>
      <c r="G7734" s="1" t="str">
        <f t="shared" si="13402"/>
        <v>0</v>
      </c>
      <c r="H7734" s="1" t="str">
        <f t="shared" si="13402"/>
        <v>0</v>
      </c>
      <c r="I7734" s="1" t="str">
        <f t="shared" si="13402"/>
        <v>0</v>
      </c>
      <c r="J7734" s="1" t="str">
        <f t="shared" si="13402"/>
        <v>0</v>
      </c>
      <c r="K7734" s="1" t="str">
        <f t="shared" si="13402"/>
        <v>0</v>
      </c>
      <c r="L7734" s="1" t="str">
        <f t="shared" si="13402"/>
        <v>0</v>
      </c>
      <c r="M7734" s="1" t="str">
        <f t="shared" si="13402"/>
        <v>0</v>
      </c>
      <c r="N7734" s="1" t="str">
        <f t="shared" si="13402"/>
        <v>0</v>
      </c>
      <c r="O7734" s="1" t="str">
        <f t="shared" si="13402"/>
        <v>0</v>
      </c>
      <c r="P7734" s="1" t="str">
        <f t="shared" si="13402"/>
        <v>0</v>
      </c>
      <c r="Q7734" s="1" t="str">
        <f t="shared" si="13349"/>
        <v>0.0070</v>
      </c>
      <c r="R7734" s="1" t="s">
        <v>25</v>
      </c>
      <c r="T7734" s="1" t="str">
        <f t="shared" si="13350"/>
        <v>0</v>
      </c>
      <c r="U7734" s="1" t="str">
        <f t="shared" si="13360"/>
        <v>0.0070</v>
      </c>
    </row>
    <row r="7735" s="1" customFormat="1" spans="1:21">
      <c r="A7735" s="1" t="str">
        <f>"4601992355679"</f>
        <v>4601992355679</v>
      </c>
      <c r="B7735" s="1" t="s">
        <v>7758</v>
      </c>
      <c r="C7735" s="1" t="s">
        <v>24</v>
      </c>
      <c r="D7735" s="1" t="str">
        <f t="shared" si="13347"/>
        <v>2021</v>
      </c>
      <c r="E7735" s="1" t="str">
        <f t="shared" ref="E7735:P7735" si="13403">"0"</f>
        <v>0</v>
      </c>
      <c r="F7735" s="1" t="str">
        <f t="shared" si="13403"/>
        <v>0</v>
      </c>
      <c r="G7735" s="1" t="str">
        <f t="shared" si="13403"/>
        <v>0</v>
      </c>
      <c r="H7735" s="1" t="str">
        <f t="shared" si="13403"/>
        <v>0</v>
      </c>
      <c r="I7735" s="1" t="str">
        <f t="shared" si="13403"/>
        <v>0</v>
      </c>
      <c r="J7735" s="1" t="str">
        <f t="shared" si="13403"/>
        <v>0</v>
      </c>
      <c r="K7735" s="1" t="str">
        <f t="shared" si="13403"/>
        <v>0</v>
      </c>
      <c r="L7735" s="1" t="str">
        <f t="shared" si="13403"/>
        <v>0</v>
      </c>
      <c r="M7735" s="1" t="str">
        <f t="shared" si="13403"/>
        <v>0</v>
      </c>
      <c r="N7735" s="1" t="str">
        <f t="shared" si="13403"/>
        <v>0</v>
      </c>
      <c r="O7735" s="1" t="str">
        <f t="shared" si="13403"/>
        <v>0</v>
      </c>
      <c r="P7735" s="1" t="str">
        <f t="shared" si="13403"/>
        <v>0</v>
      </c>
      <c r="Q7735" s="1" t="str">
        <f t="shared" si="13349"/>
        <v>0.0070</v>
      </c>
      <c r="R7735" s="1" t="s">
        <v>25</v>
      </c>
      <c r="T7735" s="1" t="str">
        <f t="shared" si="13350"/>
        <v>0</v>
      </c>
      <c r="U7735" s="1" t="str">
        <f t="shared" si="13360"/>
        <v>0.0070</v>
      </c>
    </row>
    <row r="7736" s="1" customFormat="1" spans="1:21">
      <c r="A7736" s="1" t="str">
        <f>"4601992355786"</f>
        <v>4601992355786</v>
      </c>
      <c r="B7736" s="1" t="s">
        <v>7759</v>
      </c>
      <c r="C7736" s="1" t="s">
        <v>24</v>
      </c>
      <c r="D7736" s="1" t="str">
        <f t="shared" si="13347"/>
        <v>2021</v>
      </c>
      <c r="E7736" s="1" t="str">
        <f t="shared" ref="E7736:P7736" si="13404">"0"</f>
        <v>0</v>
      </c>
      <c r="F7736" s="1" t="str">
        <f t="shared" si="13404"/>
        <v>0</v>
      </c>
      <c r="G7736" s="1" t="str">
        <f t="shared" si="13404"/>
        <v>0</v>
      </c>
      <c r="H7736" s="1" t="str">
        <f t="shared" si="13404"/>
        <v>0</v>
      </c>
      <c r="I7736" s="1" t="str">
        <f t="shared" si="13404"/>
        <v>0</v>
      </c>
      <c r="J7736" s="1" t="str">
        <f t="shared" si="13404"/>
        <v>0</v>
      </c>
      <c r="K7736" s="1" t="str">
        <f t="shared" si="13404"/>
        <v>0</v>
      </c>
      <c r="L7736" s="1" t="str">
        <f t="shared" si="13404"/>
        <v>0</v>
      </c>
      <c r="M7736" s="1" t="str">
        <f t="shared" si="13404"/>
        <v>0</v>
      </c>
      <c r="N7736" s="1" t="str">
        <f t="shared" si="13404"/>
        <v>0</v>
      </c>
      <c r="O7736" s="1" t="str">
        <f t="shared" si="13404"/>
        <v>0</v>
      </c>
      <c r="P7736" s="1" t="str">
        <f t="shared" si="13404"/>
        <v>0</v>
      </c>
      <c r="Q7736" s="1" t="str">
        <f t="shared" si="13349"/>
        <v>0.0070</v>
      </c>
      <c r="R7736" s="1" t="s">
        <v>25</v>
      </c>
      <c r="T7736" s="1" t="str">
        <f t="shared" si="13350"/>
        <v>0</v>
      </c>
      <c r="U7736" s="1" t="str">
        <f t="shared" si="13360"/>
        <v>0.0070</v>
      </c>
    </row>
    <row r="7737" s="1" customFormat="1" spans="1:21">
      <c r="A7737" s="1" t="str">
        <f>"4601992356107"</f>
        <v>4601992356107</v>
      </c>
      <c r="B7737" s="1" t="s">
        <v>7760</v>
      </c>
      <c r="C7737" s="1" t="s">
        <v>24</v>
      </c>
      <c r="D7737" s="1" t="str">
        <f t="shared" si="13347"/>
        <v>2021</v>
      </c>
      <c r="E7737" s="1" t="str">
        <f t="shared" ref="E7737:P7737" si="13405">"0"</f>
        <v>0</v>
      </c>
      <c r="F7737" s="1" t="str">
        <f t="shared" si="13405"/>
        <v>0</v>
      </c>
      <c r="G7737" s="1" t="str">
        <f t="shared" si="13405"/>
        <v>0</v>
      </c>
      <c r="H7737" s="1" t="str">
        <f t="shared" si="13405"/>
        <v>0</v>
      </c>
      <c r="I7737" s="1" t="str">
        <f t="shared" si="13405"/>
        <v>0</v>
      </c>
      <c r="J7737" s="1" t="str">
        <f t="shared" si="13405"/>
        <v>0</v>
      </c>
      <c r="K7737" s="1" t="str">
        <f t="shared" si="13405"/>
        <v>0</v>
      </c>
      <c r="L7737" s="1" t="str">
        <f t="shared" si="13405"/>
        <v>0</v>
      </c>
      <c r="M7737" s="1" t="str">
        <f t="shared" si="13405"/>
        <v>0</v>
      </c>
      <c r="N7737" s="1" t="str">
        <f t="shared" si="13405"/>
        <v>0</v>
      </c>
      <c r="O7737" s="1" t="str">
        <f t="shared" si="13405"/>
        <v>0</v>
      </c>
      <c r="P7737" s="1" t="str">
        <f t="shared" si="13405"/>
        <v>0</v>
      </c>
      <c r="Q7737" s="1" t="str">
        <f t="shared" si="13349"/>
        <v>0.0070</v>
      </c>
      <c r="R7737" s="1" t="s">
        <v>25</v>
      </c>
      <c r="T7737" s="1" t="str">
        <f t="shared" si="13350"/>
        <v>0</v>
      </c>
      <c r="U7737" s="1" t="str">
        <f t="shared" si="13360"/>
        <v>0.0070</v>
      </c>
    </row>
    <row r="7738" s="1" customFormat="1" spans="1:21">
      <c r="A7738" s="1" t="str">
        <f>"4601992356019"</f>
        <v>4601992356019</v>
      </c>
      <c r="B7738" s="1" t="s">
        <v>7761</v>
      </c>
      <c r="C7738" s="1" t="s">
        <v>24</v>
      </c>
      <c r="D7738" s="1" t="str">
        <f t="shared" si="13347"/>
        <v>2021</v>
      </c>
      <c r="E7738" s="1" t="str">
        <f t="shared" ref="E7738:P7738" si="13406">"0"</f>
        <v>0</v>
      </c>
      <c r="F7738" s="1" t="str">
        <f t="shared" si="13406"/>
        <v>0</v>
      </c>
      <c r="G7738" s="1" t="str">
        <f t="shared" si="13406"/>
        <v>0</v>
      </c>
      <c r="H7738" s="1" t="str">
        <f t="shared" si="13406"/>
        <v>0</v>
      </c>
      <c r="I7738" s="1" t="str">
        <f t="shared" si="13406"/>
        <v>0</v>
      </c>
      <c r="J7738" s="1" t="str">
        <f t="shared" si="13406"/>
        <v>0</v>
      </c>
      <c r="K7738" s="1" t="str">
        <f t="shared" si="13406"/>
        <v>0</v>
      </c>
      <c r="L7738" s="1" t="str">
        <f t="shared" si="13406"/>
        <v>0</v>
      </c>
      <c r="M7738" s="1" t="str">
        <f t="shared" si="13406"/>
        <v>0</v>
      </c>
      <c r="N7738" s="1" t="str">
        <f t="shared" si="13406"/>
        <v>0</v>
      </c>
      <c r="O7738" s="1" t="str">
        <f t="shared" si="13406"/>
        <v>0</v>
      </c>
      <c r="P7738" s="1" t="str">
        <f t="shared" si="13406"/>
        <v>0</v>
      </c>
      <c r="Q7738" s="1" t="str">
        <f t="shared" si="13349"/>
        <v>0.0070</v>
      </c>
      <c r="R7738" s="1" t="s">
        <v>25</v>
      </c>
      <c r="T7738" s="1" t="str">
        <f t="shared" si="13350"/>
        <v>0</v>
      </c>
      <c r="U7738" s="1" t="str">
        <f t="shared" si="13360"/>
        <v>0.0070</v>
      </c>
    </row>
    <row r="7739" s="1" customFormat="1" spans="1:21">
      <c r="A7739" s="1" t="str">
        <f>"4601992355956"</f>
        <v>4601992355956</v>
      </c>
      <c r="B7739" s="1" t="s">
        <v>7762</v>
      </c>
      <c r="C7739" s="1" t="s">
        <v>24</v>
      </c>
      <c r="D7739" s="1" t="str">
        <f t="shared" si="13347"/>
        <v>2021</v>
      </c>
      <c r="E7739" s="1" t="str">
        <f t="shared" ref="E7739:P7739" si="13407">"0"</f>
        <v>0</v>
      </c>
      <c r="F7739" s="1" t="str">
        <f t="shared" si="13407"/>
        <v>0</v>
      </c>
      <c r="G7739" s="1" t="str">
        <f t="shared" si="13407"/>
        <v>0</v>
      </c>
      <c r="H7739" s="1" t="str">
        <f t="shared" si="13407"/>
        <v>0</v>
      </c>
      <c r="I7739" s="1" t="str">
        <f t="shared" si="13407"/>
        <v>0</v>
      </c>
      <c r="J7739" s="1" t="str">
        <f t="shared" si="13407"/>
        <v>0</v>
      </c>
      <c r="K7739" s="1" t="str">
        <f t="shared" si="13407"/>
        <v>0</v>
      </c>
      <c r="L7739" s="1" t="str">
        <f t="shared" si="13407"/>
        <v>0</v>
      </c>
      <c r="M7739" s="1" t="str">
        <f t="shared" si="13407"/>
        <v>0</v>
      </c>
      <c r="N7739" s="1" t="str">
        <f t="shared" si="13407"/>
        <v>0</v>
      </c>
      <c r="O7739" s="1" t="str">
        <f t="shared" si="13407"/>
        <v>0</v>
      </c>
      <c r="P7739" s="1" t="str">
        <f t="shared" si="13407"/>
        <v>0</v>
      </c>
      <c r="Q7739" s="1" t="str">
        <f t="shared" si="13349"/>
        <v>0.0070</v>
      </c>
      <c r="R7739" s="1" t="s">
        <v>25</v>
      </c>
      <c r="T7739" s="1" t="str">
        <f t="shared" si="13350"/>
        <v>0</v>
      </c>
      <c r="U7739" s="1" t="str">
        <f t="shared" si="13360"/>
        <v>0.0070</v>
      </c>
    </row>
    <row r="7740" s="1" customFormat="1" spans="1:21">
      <c r="A7740" s="1" t="str">
        <f>"4601992356209"</f>
        <v>4601992356209</v>
      </c>
      <c r="B7740" s="1" t="s">
        <v>7763</v>
      </c>
      <c r="C7740" s="1" t="s">
        <v>24</v>
      </c>
      <c r="D7740" s="1" t="str">
        <f t="shared" si="13347"/>
        <v>2021</v>
      </c>
      <c r="E7740" s="1" t="str">
        <f t="shared" ref="E7740:P7740" si="13408">"0"</f>
        <v>0</v>
      </c>
      <c r="F7740" s="1" t="str">
        <f t="shared" si="13408"/>
        <v>0</v>
      </c>
      <c r="G7740" s="1" t="str">
        <f t="shared" si="13408"/>
        <v>0</v>
      </c>
      <c r="H7740" s="1" t="str">
        <f t="shared" si="13408"/>
        <v>0</v>
      </c>
      <c r="I7740" s="1" t="str">
        <f t="shared" si="13408"/>
        <v>0</v>
      </c>
      <c r="J7740" s="1" t="str">
        <f t="shared" si="13408"/>
        <v>0</v>
      </c>
      <c r="K7740" s="1" t="str">
        <f t="shared" si="13408"/>
        <v>0</v>
      </c>
      <c r="L7740" s="1" t="str">
        <f t="shared" si="13408"/>
        <v>0</v>
      </c>
      <c r="M7740" s="1" t="str">
        <f t="shared" si="13408"/>
        <v>0</v>
      </c>
      <c r="N7740" s="1" t="str">
        <f t="shared" si="13408"/>
        <v>0</v>
      </c>
      <c r="O7740" s="1" t="str">
        <f t="shared" si="13408"/>
        <v>0</v>
      </c>
      <c r="P7740" s="1" t="str">
        <f t="shared" si="13408"/>
        <v>0</v>
      </c>
      <c r="Q7740" s="1" t="str">
        <f t="shared" si="13349"/>
        <v>0.0070</v>
      </c>
      <c r="R7740" s="1" t="s">
        <v>25</v>
      </c>
      <c r="T7740" s="1" t="str">
        <f t="shared" si="13350"/>
        <v>0</v>
      </c>
      <c r="U7740" s="1" t="str">
        <f t="shared" si="13360"/>
        <v>0.0070</v>
      </c>
    </row>
    <row r="7741" s="1" customFormat="1" spans="1:21">
      <c r="A7741" s="1" t="str">
        <f>"4601992356207"</f>
        <v>4601992356207</v>
      </c>
      <c r="B7741" s="1" t="s">
        <v>7764</v>
      </c>
      <c r="C7741" s="1" t="s">
        <v>24</v>
      </c>
      <c r="D7741" s="1" t="str">
        <f t="shared" si="13347"/>
        <v>2021</v>
      </c>
      <c r="E7741" s="1" t="str">
        <f t="shared" ref="E7741:P7741" si="13409">"0"</f>
        <v>0</v>
      </c>
      <c r="F7741" s="1" t="str">
        <f t="shared" si="13409"/>
        <v>0</v>
      </c>
      <c r="G7741" s="1" t="str">
        <f t="shared" si="13409"/>
        <v>0</v>
      </c>
      <c r="H7741" s="1" t="str">
        <f t="shared" si="13409"/>
        <v>0</v>
      </c>
      <c r="I7741" s="1" t="str">
        <f t="shared" si="13409"/>
        <v>0</v>
      </c>
      <c r="J7741" s="1" t="str">
        <f t="shared" si="13409"/>
        <v>0</v>
      </c>
      <c r="K7741" s="1" t="str">
        <f t="shared" si="13409"/>
        <v>0</v>
      </c>
      <c r="L7741" s="1" t="str">
        <f t="shared" si="13409"/>
        <v>0</v>
      </c>
      <c r="M7741" s="1" t="str">
        <f t="shared" si="13409"/>
        <v>0</v>
      </c>
      <c r="N7741" s="1" t="str">
        <f t="shared" si="13409"/>
        <v>0</v>
      </c>
      <c r="O7741" s="1" t="str">
        <f t="shared" si="13409"/>
        <v>0</v>
      </c>
      <c r="P7741" s="1" t="str">
        <f t="shared" si="13409"/>
        <v>0</v>
      </c>
      <c r="Q7741" s="1" t="str">
        <f t="shared" si="13349"/>
        <v>0.0070</v>
      </c>
      <c r="R7741" s="1" t="s">
        <v>25</v>
      </c>
      <c r="T7741" s="1" t="str">
        <f t="shared" si="13350"/>
        <v>0</v>
      </c>
      <c r="U7741" s="1" t="str">
        <f t="shared" si="13360"/>
        <v>0.0070</v>
      </c>
    </row>
    <row r="7742" s="1" customFormat="1" spans="1:21">
      <c r="A7742" s="1" t="str">
        <f>"4601992356237"</f>
        <v>4601992356237</v>
      </c>
      <c r="B7742" s="1" t="s">
        <v>7765</v>
      </c>
      <c r="C7742" s="1" t="s">
        <v>24</v>
      </c>
      <c r="D7742" s="1" t="str">
        <f t="shared" si="13347"/>
        <v>2021</v>
      </c>
      <c r="E7742" s="1" t="str">
        <f t="shared" ref="E7742:P7742" si="13410">"0"</f>
        <v>0</v>
      </c>
      <c r="F7742" s="1" t="str">
        <f t="shared" si="13410"/>
        <v>0</v>
      </c>
      <c r="G7742" s="1" t="str">
        <f t="shared" si="13410"/>
        <v>0</v>
      </c>
      <c r="H7742" s="1" t="str">
        <f t="shared" si="13410"/>
        <v>0</v>
      </c>
      <c r="I7742" s="1" t="str">
        <f t="shared" si="13410"/>
        <v>0</v>
      </c>
      <c r="J7742" s="1" t="str">
        <f t="shared" si="13410"/>
        <v>0</v>
      </c>
      <c r="K7742" s="1" t="str">
        <f t="shared" si="13410"/>
        <v>0</v>
      </c>
      <c r="L7742" s="1" t="str">
        <f t="shared" si="13410"/>
        <v>0</v>
      </c>
      <c r="M7742" s="1" t="str">
        <f t="shared" si="13410"/>
        <v>0</v>
      </c>
      <c r="N7742" s="1" t="str">
        <f t="shared" si="13410"/>
        <v>0</v>
      </c>
      <c r="O7742" s="1" t="str">
        <f t="shared" si="13410"/>
        <v>0</v>
      </c>
      <c r="P7742" s="1" t="str">
        <f t="shared" si="13410"/>
        <v>0</v>
      </c>
      <c r="Q7742" s="1" t="str">
        <f t="shared" si="13349"/>
        <v>0.0070</v>
      </c>
      <c r="R7742" s="1" t="s">
        <v>25</v>
      </c>
      <c r="T7742" s="1" t="str">
        <f t="shared" si="13350"/>
        <v>0</v>
      </c>
      <c r="U7742" s="1" t="str">
        <f t="shared" si="13360"/>
        <v>0.0070</v>
      </c>
    </row>
    <row r="7743" s="1" customFormat="1" spans="1:21">
      <c r="A7743" s="1" t="str">
        <f>"4601992356208"</f>
        <v>4601992356208</v>
      </c>
      <c r="B7743" s="1" t="s">
        <v>7766</v>
      </c>
      <c r="C7743" s="1" t="s">
        <v>24</v>
      </c>
      <c r="D7743" s="1" t="str">
        <f t="shared" si="13347"/>
        <v>2021</v>
      </c>
      <c r="E7743" s="1" t="str">
        <f t="shared" ref="E7743:P7743" si="13411">"0"</f>
        <v>0</v>
      </c>
      <c r="F7743" s="1" t="str">
        <f t="shared" si="13411"/>
        <v>0</v>
      </c>
      <c r="G7743" s="1" t="str">
        <f t="shared" si="13411"/>
        <v>0</v>
      </c>
      <c r="H7743" s="1" t="str">
        <f t="shared" si="13411"/>
        <v>0</v>
      </c>
      <c r="I7743" s="1" t="str">
        <f t="shared" si="13411"/>
        <v>0</v>
      </c>
      <c r="J7743" s="1" t="str">
        <f t="shared" si="13411"/>
        <v>0</v>
      </c>
      <c r="K7743" s="1" t="str">
        <f t="shared" si="13411"/>
        <v>0</v>
      </c>
      <c r="L7743" s="1" t="str">
        <f t="shared" si="13411"/>
        <v>0</v>
      </c>
      <c r="M7743" s="1" t="str">
        <f t="shared" si="13411"/>
        <v>0</v>
      </c>
      <c r="N7743" s="1" t="str">
        <f t="shared" si="13411"/>
        <v>0</v>
      </c>
      <c r="O7743" s="1" t="str">
        <f t="shared" si="13411"/>
        <v>0</v>
      </c>
      <c r="P7743" s="1" t="str">
        <f t="shared" si="13411"/>
        <v>0</v>
      </c>
      <c r="Q7743" s="1" t="str">
        <f t="shared" si="13349"/>
        <v>0.0070</v>
      </c>
      <c r="R7743" s="1" t="s">
        <v>25</v>
      </c>
      <c r="T7743" s="1" t="str">
        <f t="shared" si="13350"/>
        <v>0</v>
      </c>
      <c r="U7743" s="1" t="str">
        <f t="shared" si="13360"/>
        <v>0.0070</v>
      </c>
    </row>
    <row r="7744" s="1" customFormat="1" spans="1:21">
      <c r="A7744" s="1" t="str">
        <f>"4601992356283"</f>
        <v>4601992356283</v>
      </c>
      <c r="B7744" s="1" t="s">
        <v>7767</v>
      </c>
      <c r="C7744" s="1" t="s">
        <v>24</v>
      </c>
      <c r="D7744" s="1" t="str">
        <f t="shared" si="13347"/>
        <v>2021</v>
      </c>
      <c r="E7744" s="1" t="str">
        <f t="shared" ref="E7744:P7744" si="13412">"0"</f>
        <v>0</v>
      </c>
      <c r="F7744" s="1" t="str">
        <f t="shared" si="13412"/>
        <v>0</v>
      </c>
      <c r="G7744" s="1" t="str">
        <f t="shared" si="13412"/>
        <v>0</v>
      </c>
      <c r="H7744" s="1" t="str">
        <f t="shared" si="13412"/>
        <v>0</v>
      </c>
      <c r="I7744" s="1" t="str">
        <f t="shared" si="13412"/>
        <v>0</v>
      </c>
      <c r="J7744" s="1" t="str">
        <f t="shared" si="13412"/>
        <v>0</v>
      </c>
      <c r="K7744" s="1" t="str">
        <f t="shared" si="13412"/>
        <v>0</v>
      </c>
      <c r="L7744" s="1" t="str">
        <f t="shared" si="13412"/>
        <v>0</v>
      </c>
      <c r="M7744" s="1" t="str">
        <f t="shared" si="13412"/>
        <v>0</v>
      </c>
      <c r="N7744" s="1" t="str">
        <f t="shared" si="13412"/>
        <v>0</v>
      </c>
      <c r="O7744" s="1" t="str">
        <f t="shared" si="13412"/>
        <v>0</v>
      </c>
      <c r="P7744" s="1" t="str">
        <f t="shared" si="13412"/>
        <v>0</v>
      </c>
      <c r="Q7744" s="1" t="str">
        <f t="shared" si="13349"/>
        <v>0.0070</v>
      </c>
      <c r="R7744" s="1" t="s">
        <v>25</v>
      </c>
      <c r="T7744" s="1" t="str">
        <f t="shared" si="13350"/>
        <v>0</v>
      </c>
      <c r="U7744" s="1" t="str">
        <f t="shared" si="13360"/>
        <v>0.0070</v>
      </c>
    </row>
    <row r="7745" s="1" customFormat="1" spans="1:21">
      <c r="A7745" s="1" t="str">
        <f>"4601992356512"</f>
        <v>4601992356512</v>
      </c>
      <c r="B7745" s="1" t="s">
        <v>7768</v>
      </c>
      <c r="C7745" s="1" t="s">
        <v>24</v>
      </c>
      <c r="D7745" s="1" t="str">
        <f t="shared" si="13347"/>
        <v>2021</v>
      </c>
      <c r="E7745" s="1" t="str">
        <f t="shared" ref="E7745:P7745" si="13413">"0"</f>
        <v>0</v>
      </c>
      <c r="F7745" s="1" t="str">
        <f t="shared" si="13413"/>
        <v>0</v>
      </c>
      <c r="G7745" s="1" t="str">
        <f t="shared" si="13413"/>
        <v>0</v>
      </c>
      <c r="H7745" s="1" t="str">
        <f t="shared" si="13413"/>
        <v>0</v>
      </c>
      <c r="I7745" s="1" t="str">
        <f t="shared" si="13413"/>
        <v>0</v>
      </c>
      <c r="J7745" s="1" t="str">
        <f t="shared" si="13413"/>
        <v>0</v>
      </c>
      <c r="K7745" s="1" t="str">
        <f t="shared" si="13413"/>
        <v>0</v>
      </c>
      <c r="L7745" s="1" t="str">
        <f t="shared" si="13413"/>
        <v>0</v>
      </c>
      <c r="M7745" s="1" t="str">
        <f t="shared" si="13413"/>
        <v>0</v>
      </c>
      <c r="N7745" s="1" t="str">
        <f t="shared" si="13413"/>
        <v>0</v>
      </c>
      <c r="O7745" s="1" t="str">
        <f t="shared" si="13413"/>
        <v>0</v>
      </c>
      <c r="P7745" s="1" t="str">
        <f t="shared" si="13413"/>
        <v>0</v>
      </c>
      <c r="Q7745" s="1" t="str">
        <f t="shared" si="13349"/>
        <v>0.0070</v>
      </c>
      <c r="R7745" s="1" t="s">
        <v>25</v>
      </c>
      <c r="T7745" s="1" t="str">
        <f t="shared" si="13350"/>
        <v>0</v>
      </c>
      <c r="U7745" s="1" t="str">
        <f t="shared" si="13360"/>
        <v>0.0070</v>
      </c>
    </row>
    <row r="7746" s="1" customFormat="1" spans="1:21">
      <c r="A7746" s="1" t="str">
        <f>"4601992356372"</f>
        <v>4601992356372</v>
      </c>
      <c r="B7746" s="1" t="s">
        <v>7769</v>
      </c>
      <c r="C7746" s="1" t="s">
        <v>24</v>
      </c>
      <c r="D7746" s="1" t="str">
        <f t="shared" si="13347"/>
        <v>2021</v>
      </c>
      <c r="E7746" s="1" t="str">
        <f t="shared" ref="E7746:P7746" si="13414">"0"</f>
        <v>0</v>
      </c>
      <c r="F7746" s="1" t="str">
        <f t="shared" si="13414"/>
        <v>0</v>
      </c>
      <c r="G7746" s="1" t="str">
        <f t="shared" si="13414"/>
        <v>0</v>
      </c>
      <c r="H7746" s="1" t="str">
        <f t="shared" si="13414"/>
        <v>0</v>
      </c>
      <c r="I7746" s="1" t="str">
        <f t="shared" si="13414"/>
        <v>0</v>
      </c>
      <c r="J7746" s="1" t="str">
        <f t="shared" si="13414"/>
        <v>0</v>
      </c>
      <c r="K7746" s="1" t="str">
        <f t="shared" si="13414"/>
        <v>0</v>
      </c>
      <c r="L7746" s="1" t="str">
        <f t="shared" si="13414"/>
        <v>0</v>
      </c>
      <c r="M7746" s="1" t="str">
        <f t="shared" si="13414"/>
        <v>0</v>
      </c>
      <c r="N7746" s="1" t="str">
        <f t="shared" si="13414"/>
        <v>0</v>
      </c>
      <c r="O7746" s="1" t="str">
        <f t="shared" si="13414"/>
        <v>0</v>
      </c>
      <c r="P7746" s="1" t="str">
        <f t="shared" si="13414"/>
        <v>0</v>
      </c>
      <c r="Q7746" s="1" t="str">
        <f t="shared" si="13349"/>
        <v>0.0070</v>
      </c>
      <c r="R7746" s="1" t="s">
        <v>25</v>
      </c>
      <c r="T7746" s="1" t="str">
        <f t="shared" si="13350"/>
        <v>0</v>
      </c>
      <c r="U7746" s="1" t="str">
        <f t="shared" si="13360"/>
        <v>0.0070</v>
      </c>
    </row>
    <row r="7747" s="1" customFormat="1" spans="1:21">
      <c r="A7747" s="1" t="str">
        <f>"4601992356586"</f>
        <v>4601992356586</v>
      </c>
      <c r="B7747" s="1" t="s">
        <v>7770</v>
      </c>
      <c r="C7747" s="1" t="s">
        <v>24</v>
      </c>
      <c r="D7747" s="1" t="str">
        <f t="shared" ref="D7747:D7810" si="13415">"2021"</f>
        <v>2021</v>
      </c>
      <c r="E7747" s="1" t="str">
        <f t="shared" ref="E7747:P7747" si="13416">"0"</f>
        <v>0</v>
      </c>
      <c r="F7747" s="1" t="str">
        <f t="shared" si="13416"/>
        <v>0</v>
      </c>
      <c r="G7747" s="1" t="str">
        <f t="shared" si="13416"/>
        <v>0</v>
      </c>
      <c r="H7747" s="1" t="str">
        <f t="shared" si="13416"/>
        <v>0</v>
      </c>
      <c r="I7747" s="1" t="str">
        <f t="shared" si="13416"/>
        <v>0</v>
      </c>
      <c r="J7747" s="1" t="str">
        <f t="shared" si="13416"/>
        <v>0</v>
      </c>
      <c r="K7747" s="1" t="str">
        <f t="shared" si="13416"/>
        <v>0</v>
      </c>
      <c r="L7747" s="1" t="str">
        <f t="shared" si="13416"/>
        <v>0</v>
      </c>
      <c r="M7747" s="1" t="str">
        <f t="shared" si="13416"/>
        <v>0</v>
      </c>
      <c r="N7747" s="1" t="str">
        <f t="shared" si="13416"/>
        <v>0</v>
      </c>
      <c r="O7747" s="1" t="str">
        <f t="shared" si="13416"/>
        <v>0</v>
      </c>
      <c r="P7747" s="1" t="str">
        <f t="shared" si="13416"/>
        <v>0</v>
      </c>
      <c r="Q7747" s="1" t="str">
        <f t="shared" ref="Q7747:Q7810" si="13417">"0.0070"</f>
        <v>0.0070</v>
      </c>
      <c r="R7747" s="1" t="s">
        <v>25</v>
      </c>
      <c r="T7747" s="1" t="str">
        <f t="shared" ref="T7747:T7810" si="13418">"0"</f>
        <v>0</v>
      </c>
      <c r="U7747" s="1" t="str">
        <f t="shared" si="13360"/>
        <v>0.0070</v>
      </c>
    </row>
    <row r="7748" s="1" customFormat="1" spans="1:21">
      <c r="A7748" s="1" t="str">
        <f>"4601992356619"</f>
        <v>4601992356619</v>
      </c>
      <c r="B7748" s="1" t="s">
        <v>7771</v>
      </c>
      <c r="C7748" s="1" t="s">
        <v>24</v>
      </c>
      <c r="D7748" s="1" t="str">
        <f t="shared" si="13415"/>
        <v>2021</v>
      </c>
      <c r="E7748" s="1" t="str">
        <f t="shared" ref="E7748:P7748" si="13419">"0"</f>
        <v>0</v>
      </c>
      <c r="F7748" s="1" t="str">
        <f t="shared" si="13419"/>
        <v>0</v>
      </c>
      <c r="G7748" s="1" t="str">
        <f t="shared" si="13419"/>
        <v>0</v>
      </c>
      <c r="H7748" s="1" t="str">
        <f t="shared" si="13419"/>
        <v>0</v>
      </c>
      <c r="I7748" s="1" t="str">
        <f t="shared" si="13419"/>
        <v>0</v>
      </c>
      <c r="J7748" s="1" t="str">
        <f t="shared" si="13419"/>
        <v>0</v>
      </c>
      <c r="K7748" s="1" t="str">
        <f t="shared" si="13419"/>
        <v>0</v>
      </c>
      <c r="L7748" s="1" t="str">
        <f t="shared" si="13419"/>
        <v>0</v>
      </c>
      <c r="M7748" s="1" t="str">
        <f t="shared" si="13419"/>
        <v>0</v>
      </c>
      <c r="N7748" s="1" t="str">
        <f t="shared" si="13419"/>
        <v>0</v>
      </c>
      <c r="O7748" s="1" t="str">
        <f t="shared" si="13419"/>
        <v>0</v>
      </c>
      <c r="P7748" s="1" t="str">
        <f t="shared" si="13419"/>
        <v>0</v>
      </c>
      <c r="Q7748" s="1" t="str">
        <f t="shared" si="13417"/>
        <v>0.0070</v>
      </c>
      <c r="R7748" s="1" t="s">
        <v>25</v>
      </c>
      <c r="T7748" s="1" t="str">
        <f t="shared" si="13418"/>
        <v>0</v>
      </c>
      <c r="U7748" s="1" t="str">
        <f t="shared" si="13360"/>
        <v>0.0070</v>
      </c>
    </row>
    <row r="7749" s="1" customFormat="1" spans="1:21">
      <c r="A7749" s="1" t="str">
        <f>"4601992356839"</f>
        <v>4601992356839</v>
      </c>
      <c r="B7749" s="1" t="s">
        <v>7772</v>
      </c>
      <c r="C7749" s="1" t="s">
        <v>24</v>
      </c>
      <c r="D7749" s="1" t="str">
        <f t="shared" si="13415"/>
        <v>2021</v>
      </c>
      <c r="E7749" s="1" t="str">
        <f t="shared" ref="E7749:P7749" si="13420">"0"</f>
        <v>0</v>
      </c>
      <c r="F7749" s="1" t="str">
        <f t="shared" si="13420"/>
        <v>0</v>
      </c>
      <c r="G7749" s="1" t="str">
        <f t="shared" si="13420"/>
        <v>0</v>
      </c>
      <c r="H7749" s="1" t="str">
        <f t="shared" si="13420"/>
        <v>0</v>
      </c>
      <c r="I7749" s="1" t="str">
        <f t="shared" si="13420"/>
        <v>0</v>
      </c>
      <c r="J7749" s="1" t="str">
        <f t="shared" si="13420"/>
        <v>0</v>
      </c>
      <c r="K7749" s="1" t="str">
        <f t="shared" si="13420"/>
        <v>0</v>
      </c>
      <c r="L7749" s="1" t="str">
        <f t="shared" si="13420"/>
        <v>0</v>
      </c>
      <c r="M7749" s="1" t="str">
        <f t="shared" si="13420"/>
        <v>0</v>
      </c>
      <c r="N7749" s="1" t="str">
        <f t="shared" si="13420"/>
        <v>0</v>
      </c>
      <c r="O7749" s="1" t="str">
        <f t="shared" si="13420"/>
        <v>0</v>
      </c>
      <c r="P7749" s="1" t="str">
        <f t="shared" si="13420"/>
        <v>0</v>
      </c>
      <c r="Q7749" s="1" t="str">
        <f t="shared" si="13417"/>
        <v>0.0070</v>
      </c>
      <c r="R7749" s="1" t="s">
        <v>25</v>
      </c>
      <c r="T7749" s="1" t="str">
        <f t="shared" si="13418"/>
        <v>0</v>
      </c>
      <c r="U7749" s="1" t="str">
        <f t="shared" si="13360"/>
        <v>0.0070</v>
      </c>
    </row>
    <row r="7750" s="1" customFormat="1" spans="1:21">
      <c r="A7750" s="1" t="str">
        <f>"4601992356762"</f>
        <v>4601992356762</v>
      </c>
      <c r="B7750" s="1" t="s">
        <v>7773</v>
      </c>
      <c r="C7750" s="1" t="s">
        <v>24</v>
      </c>
      <c r="D7750" s="1" t="str">
        <f t="shared" si="13415"/>
        <v>2021</v>
      </c>
      <c r="E7750" s="1" t="str">
        <f t="shared" ref="E7750:P7750" si="13421">"0"</f>
        <v>0</v>
      </c>
      <c r="F7750" s="1" t="str">
        <f t="shared" si="13421"/>
        <v>0</v>
      </c>
      <c r="G7750" s="1" t="str">
        <f t="shared" si="13421"/>
        <v>0</v>
      </c>
      <c r="H7750" s="1" t="str">
        <f t="shared" si="13421"/>
        <v>0</v>
      </c>
      <c r="I7750" s="1" t="str">
        <f t="shared" si="13421"/>
        <v>0</v>
      </c>
      <c r="J7750" s="1" t="str">
        <f t="shared" si="13421"/>
        <v>0</v>
      </c>
      <c r="K7750" s="1" t="str">
        <f t="shared" si="13421"/>
        <v>0</v>
      </c>
      <c r="L7750" s="1" t="str">
        <f t="shared" si="13421"/>
        <v>0</v>
      </c>
      <c r="M7750" s="1" t="str">
        <f t="shared" si="13421"/>
        <v>0</v>
      </c>
      <c r="N7750" s="1" t="str">
        <f t="shared" si="13421"/>
        <v>0</v>
      </c>
      <c r="O7750" s="1" t="str">
        <f t="shared" si="13421"/>
        <v>0</v>
      </c>
      <c r="P7750" s="1" t="str">
        <f t="shared" si="13421"/>
        <v>0</v>
      </c>
      <c r="Q7750" s="1" t="str">
        <f t="shared" si="13417"/>
        <v>0.0070</v>
      </c>
      <c r="R7750" s="1" t="s">
        <v>25</v>
      </c>
      <c r="T7750" s="1" t="str">
        <f t="shared" si="13418"/>
        <v>0</v>
      </c>
      <c r="U7750" s="1" t="str">
        <f t="shared" si="13360"/>
        <v>0.0070</v>
      </c>
    </row>
    <row r="7751" s="1" customFormat="1" spans="1:21">
      <c r="A7751" s="1" t="str">
        <f>"4601992356832"</f>
        <v>4601992356832</v>
      </c>
      <c r="B7751" s="1" t="s">
        <v>7774</v>
      </c>
      <c r="C7751" s="1" t="s">
        <v>24</v>
      </c>
      <c r="D7751" s="1" t="str">
        <f t="shared" si="13415"/>
        <v>2021</v>
      </c>
      <c r="E7751" s="1" t="str">
        <f t="shared" ref="E7751:P7751" si="13422">"0"</f>
        <v>0</v>
      </c>
      <c r="F7751" s="1" t="str">
        <f t="shared" si="13422"/>
        <v>0</v>
      </c>
      <c r="G7751" s="1" t="str">
        <f t="shared" si="13422"/>
        <v>0</v>
      </c>
      <c r="H7751" s="1" t="str">
        <f t="shared" si="13422"/>
        <v>0</v>
      </c>
      <c r="I7751" s="1" t="str">
        <f t="shared" si="13422"/>
        <v>0</v>
      </c>
      <c r="J7751" s="1" t="str">
        <f t="shared" si="13422"/>
        <v>0</v>
      </c>
      <c r="K7751" s="1" t="str">
        <f t="shared" si="13422"/>
        <v>0</v>
      </c>
      <c r="L7751" s="1" t="str">
        <f t="shared" si="13422"/>
        <v>0</v>
      </c>
      <c r="M7751" s="1" t="str">
        <f t="shared" si="13422"/>
        <v>0</v>
      </c>
      <c r="N7751" s="1" t="str">
        <f t="shared" si="13422"/>
        <v>0</v>
      </c>
      <c r="O7751" s="1" t="str">
        <f t="shared" si="13422"/>
        <v>0</v>
      </c>
      <c r="P7751" s="1" t="str">
        <f t="shared" si="13422"/>
        <v>0</v>
      </c>
      <c r="Q7751" s="1" t="str">
        <f t="shared" si="13417"/>
        <v>0.0070</v>
      </c>
      <c r="R7751" s="1" t="s">
        <v>25</v>
      </c>
      <c r="T7751" s="1" t="str">
        <f t="shared" si="13418"/>
        <v>0</v>
      </c>
      <c r="U7751" s="1" t="str">
        <f t="shared" si="13360"/>
        <v>0.0070</v>
      </c>
    </row>
    <row r="7752" s="1" customFormat="1" spans="1:21">
      <c r="A7752" s="1" t="str">
        <f>"4601992356871"</f>
        <v>4601992356871</v>
      </c>
      <c r="B7752" s="1" t="s">
        <v>7775</v>
      </c>
      <c r="C7752" s="1" t="s">
        <v>24</v>
      </c>
      <c r="D7752" s="1" t="str">
        <f t="shared" si="13415"/>
        <v>2021</v>
      </c>
      <c r="E7752" s="1" t="str">
        <f t="shared" ref="E7752:P7752" si="13423">"0"</f>
        <v>0</v>
      </c>
      <c r="F7752" s="1" t="str">
        <f t="shared" si="13423"/>
        <v>0</v>
      </c>
      <c r="G7752" s="1" t="str">
        <f t="shared" si="13423"/>
        <v>0</v>
      </c>
      <c r="H7752" s="1" t="str">
        <f t="shared" si="13423"/>
        <v>0</v>
      </c>
      <c r="I7752" s="1" t="str">
        <f t="shared" si="13423"/>
        <v>0</v>
      </c>
      <c r="J7752" s="1" t="str">
        <f t="shared" si="13423"/>
        <v>0</v>
      </c>
      <c r="K7752" s="1" t="str">
        <f t="shared" si="13423"/>
        <v>0</v>
      </c>
      <c r="L7752" s="1" t="str">
        <f t="shared" si="13423"/>
        <v>0</v>
      </c>
      <c r="M7752" s="1" t="str">
        <f t="shared" si="13423"/>
        <v>0</v>
      </c>
      <c r="N7752" s="1" t="str">
        <f t="shared" si="13423"/>
        <v>0</v>
      </c>
      <c r="O7752" s="1" t="str">
        <f t="shared" si="13423"/>
        <v>0</v>
      </c>
      <c r="P7752" s="1" t="str">
        <f t="shared" si="13423"/>
        <v>0</v>
      </c>
      <c r="Q7752" s="1" t="str">
        <f t="shared" si="13417"/>
        <v>0.0070</v>
      </c>
      <c r="R7752" s="1" t="s">
        <v>25</v>
      </c>
      <c r="T7752" s="1" t="str">
        <f t="shared" si="13418"/>
        <v>0</v>
      </c>
      <c r="U7752" s="1" t="str">
        <f t="shared" si="13360"/>
        <v>0.0070</v>
      </c>
    </row>
    <row r="7753" s="1" customFormat="1" spans="1:21">
      <c r="A7753" s="1" t="str">
        <f>"4601992356842"</f>
        <v>4601992356842</v>
      </c>
      <c r="B7753" s="1" t="s">
        <v>7776</v>
      </c>
      <c r="C7753" s="1" t="s">
        <v>24</v>
      </c>
      <c r="D7753" s="1" t="str">
        <f t="shared" si="13415"/>
        <v>2021</v>
      </c>
      <c r="E7753" s="1" t="str">
        <f t="shared" ref="E7753:P7753" si="13424">"0"</f>
        <v>0</v>
      </c>
      <c r="F7753" s="1" t="str">
        <f t="shared" si="13424"/>
        <v>0</v>
      </c>
      <c r="G7753" s="1" t="str">
        <f t="shared" si="13424"/>
        <v>0</v>
      </c>
      <c r="H7753" s="1" t="str">
        <f t="shared" si="13424"/>
        <v>0</v>
      </c>
      <c r="I7753" s="1" t="str">
        <f t="shared" si="13424"/>
        <v>0</v>
      </c>
      <c r="J7753" s="1" t="str">
        <f t="shared" si="13424"/>
        <v>0</v>
      </c>
      <c r="K7753" s="1" t="str">
        <f t="shared" si="13424"/>
        <v>0</v>
      </c>
      <c r="L7753" s="1" t="str">
        <f t="shared" si="13424"/>
        <v>0</v>
      </c>
      <c r="M7753" s="1" t="str">
        <f t="shared" si="13424"/>
        <v>0</v>
      </c>
      <c r="N7753" s="1" t="str">
        <f t="shared" si="13424"/>
        <v>0</v>
      </c>
      <c r="O7753" s="1" t="str">
        <f t="shared" si="13424"/>
        <v>0</v>
      </c>
      <c r="P7753" s="1" t="str">
        <f t="shared" si="13424"/>
        <v>0</v>
      </c>
      <c r="Q7753" s="1" t="str">
        <f t="shared" si="13417"/>
        <v>0.0070</v>
      </c>
      <c r="R7753" s="1" t="s">
        <v>25</v>
      </c>
      <c r="T7753" s="1" t="str">
        <f t="shared" si="13418"/>
        <v>0</v>
      </c>
      <c r="U7753" s="1" t="str">
        <f t="shared" si="13360"/>
        <v>0.0070</v>
      </c>
    </row>
    <row r="7754" s="1" customFormat="1" spans="1:21">
      <c r="A7754" s="1" t="str">
        <f>"4601992356864"</f>
        <v>4601992356864</v>
      </c>
      <c r="B7754" s="1" t="s">
        <v>7777</v>
      </c>
      <c r="C7754" s="1" t="s">
        <v>24</v>
      </c>
      <c r="D7754" s="1" t="str">
        <f t="shared" si="13415"/>
        <v>2021</v>
      </c>
      <c r="E7754" s="1" t="str">
        <f t="shared" ref="E7754:P7754" si="13425">"0"</f>
        <v>0</v>
      </c>
      <c r="F7754" s="1" t="str">
        <f t="shared" si="13425"/>
        <v>0</v>
      </c>
      <c r="G7754" s="1" t="str">
        <f t="shared" si="13425"/>
        <v>0</v>
      </c>
      <c r="H7754" s="1" t="str">
        <f t="shared" si="13425"/>
        <v>0</v>
      </c>
      <c r="I7754" s="1" t="str">
        <f t="shared" si="13425"/>
        <v>0</v>
      </c>
      <c r="J7754" s="1" t="str">
        <f t="shared" si="13425"/>
        <v>0</v>
      </c>
      <c r="K7754" s="1" t="str">
        <f t="shared" si="13425"/>
        <v>0</v>
      </c>
      <c r="L7754" s="1" t="str">
        <f t="shared" si="13425"/>
        <v>0</v>
      </c>
      <c r="M7754" s="1" t="str">
        <f t="shared" si="13425"/>
        <v>0</v>
      </c>
      <c r="N7754" s="1" t="str">
        <f t="shared" si="13425"/>
        <v>0</v>
      </c>
      <c r="O7754" s="1" t="str">
        <f t="shared" si="13425"/>
        <v>0</v>
      </c>
      <c r="P7754" s="1" t="str">
        <f t="shared" si="13425"/>
        <v>0</v>
      </c>
      <c r="Q7754" s="1" t="str">
        <f t="shared" si="13417"/>
        <v>0.0070</v>
      </c>
      <c r="R7754" s="1" t="s">
        <v>25</v>
      </c>
      <c r="T7754" s="1" t="str">
        <f t="shared" si="13418"/>
        <v>0</v>
      </c>
      <c r="U7754" s="1" t="str">
        <f t="shared" si="13360"/>
        <v>0.0070</v>
      </c>
    </row>
    <row r="7755" s="1" customFormat="1" spans="1:21">
      <c r="A7755" s="1" t="str">
        <f>"4601992356889"</f>
        <v>4601992356889</v>
      </c>
      <c r="B7755" s="1" t="s">
        <v>7778</v>
      </c>
      <c r="C7755" s="1" t="s">
        <v>24</v>
      </c>
      <c r="D7755" s="1" t="str">
        <f t="shared" si="13415"/>
        <v>2021</v>
      </c>
      <c r="E7755" s="1" t="str">
        <f t="shared" ref="E7755:P7755" si="13426">"0"</f>
        <v>0</v>
      </c>
      <c r="F7755" s="1" t="str">
        <f t="shared" si="13426"/>
        <v>0</v>
      </c>
      <c r="G7755" s="1" t="str">
        <f t="shared" si="13426"/>
        <v>0</v>
      </c>
      <c r="H7755" s="1" t="str">
        <f t="shared" si="13426"/>
        <v>0</v>
      </c>
      <c r="I7755" s="1" t="str">
        <f t="shared" si="13426"/>
        <v>0</v>
      </c>
      <c r="J7755" s="1" t="str">
        <f t="shared" si="13426"/>
        <v>0</v>
      </c>
      <c r="K7755" s="1" t="str">
        <f t="shared" si="13426"/>
        <v>0</v>
      </c>
      <c r="L7755" s="1" t="str">
        <f t="shared" si="13426"/>
        <v>0</v>
      </c>
      <c r="M7755" s="1" t="str">
        <f t="shared" si="13426"/>
        <v>0</v>
      </c>
      <c r="N7755" s="1" t="str">
        <f t="shared" si="13426"/>
        <v>0</v>
      </c>
      <c r="O7755" s="1" t="str">
        <f t="shared" si="13426"/>
        <v>0</v>
      </c>
      <c r="P7755" s="1" t="str">
        <f t="shared" si="13426"/>
        <v>0</v>
      </c>
      <c r="Q7755" s="1" t="str">
        <f t="shared" si="13417"/>
        <v>0.0070</v>
      </c>
      <c r="R7755" s="1" t="s">
        <v>25</v>
      </c>
      <c r="T7755" s="1" t="str">
        <f t="shared" si="13418"/>
        <v>0</v>
      </c>
      <c r="U7755" s="1" t="str">
        <f t="shared" si="13360"/>
        <v>0.0070</v>
      </c>
    </row>
    <row r="7756" s="1" customFormat="1" spans="1:21">
      <c r="A7756" s="1" t="str">
        <f>"4601992356899"</f>
        <v>4601992356899</v>
      </c>
      <c r="B7756" s="1" t="s">
        <v>7779</v>
      </c>
      <c r="C7756" s="1" t="s">
        <v>24</v>
      </c>
      <c r="D7756" s="1" t="str">
        <f t="shared" si="13415"/>
        <v>2021</v>
      </c>
      <c r="E7756" s="1" t="str">
        <f t="shared" ref="E7756:P7756" si="13427">"0"</f>
        <v>0</v>
      </c>
      <c r="F7756" s="1" t="str">
        <f t="shared" si="13427"/>
        <v>0</v>
      </c>
      <c r="G7756" s="1" t="str">
        <f t="shared" si="13427"/>
        <v>0</v>
      </c>
      <c r="H7756" s="1" t="str">
        <f t="shared" si="13427"/>
        <v>0</v>
      </c>
      <c r="I7756" s="1" t="str">
        <f t="shared" si="13427"/>
        <v>0</v>
      </c>
      <c r="J7756" s="1" t="str">
        <f t="shared" si="13427"/>
        <v>0</v>
      </c>
      <c r="K7756" s="1" t="str">
        <f t="shared" si="13427"/>
        <v>0</v>
      </c>
      <c r="L7756" s="1" t="str">
        <f t="shared" si="13427"/>
        <v>0</v>
      </c>
      <c r="M7756" s="1" t="str">
        <f t="shared" si="13427"/>
        <v>0</v>
      </c>
      <c r="N7756" s="1" t="str">
        <f t="shared" si="13427"/>
        <v>0</v>
      </c>
      <c r="O7756" s="1" t="str">
        <f t="shared" si="13427"/>
        <v>0</v>
      </c>
      <c r="P7756" s="1" t="str">
        <f t="shared" si="13427"/>
        <v>0</v>
      </c>
      <c r="Q7756" s="1" t="str">
        <f t="shared" si="13417"/>
        <v>0.0070</v>
      </c>
      <c r="R7756" s="1" t="s">
        <v>25</v>
      </c>
      <c r="T7756" s="1" t="str">
        <f t="shared" si="13418"/>
        <v>0</v>
      </c>
      <c r="U7756" s="1" t="str">
        <f t="shared" ref="U7756:U7778" si="13428">"0.0070"</f>
        <v>0.0070</v>
      </c>
    </row>
    <row r="7757" s="1" customFormat="1" spans="1:21">
      <c r="A7757" s="1" t="str">
        <f>"4601992356913"</f>
        <v>4601992356913</v>
      </c>
      <c r="B7757" s="1" t="s">
        <v>7780</v>
      </c>
      <c r="C7757" s="1" t="s">
        <v>24</v>
      </c>
      <c r="D7757" s="1" t="str">
        <f t="shared" si="13415"/>
        <v>2021</v>
      </c>
      <c r="E7757" s="1" t="str">
        <f t="shared" ref="E7757:P7757" si="13429">"0"</f>
        <v>0</v>
      </c>
      <c r="F7757" s="1" t="str">
        <f t="shared" si="13429"/>
        <v>0</v>
      </c>
      <c r="G7757" s="1" t="str">
        <f t="shared" si="13429"/>
        <v>0</v>
      </c>
      <c r="H7757" s="1" t="str">
        <f t="shared" si="13429"/>
        <v>0</v>
      </c>
      <c r="I7757" s="1" t="str">
        <f t="shared" si="13429"/>
        <v>0</v>
      </c>
      <c r="J7757" s="1" t="str">
        <f t="shared" si="13429"/>
        <v>0</v>
      </c>
      <c r="K7757" s="1" t="str">
        <f t="shared" si="13429"/>
        <v>0</v>
      </c>
      <c r="L7757" s="1" t="str">
        <f t="shared" si="13429"/>
        <v>0</v>
      </c>
      <c r="M7757" s="1" t="str">
        <f t="shared" si="13429"/>
        <v>0</v>
      </c>
      <c r="N7757" s="1" t="str">
        <f t="shared" si="13429"/>
        <v>0</v>
      </c>
      <c r="O7757" s="1" t="str">
        <f t="shared" si="13429"/>
        <v>0</v>
      </c>
      <c r="P7757" s="1" t="str">
        <f t="shared" si="13429"/>
        <v>0</v>
      </c>
      <c r="Q7757" s="1" t="str">
        <f t="shared" si="13417"/>
        <v>0.0070</v>
      </c>
      <c r="R7757" s="1" t="s">
        <v>25</v>
      </c>
      <c r="T7757" s="1" t="str">
        <f t="shared" si="13418"/>
        <v>0</v>
      </c>
      <c r="U7757" s="1" t="str">
        <f t="shared" si="13428"/>
        <v>0.0070</v>
      </c>
    </row>
    <row r="7758" s="1" customFormat="1" spans="1:21">
      <c r="A7758" s="1" t="str">
        <f>"4601992356897"</f>
        <v>4601992356897</v>
      </c>
      <c r="B7758" s="1" t="s">
        <v>7781</v>
      </c>
      <c r="C7758" s="1" t="s">
        <v>24</v>
      </c>
      <c r="D7758" s="1" t="str">
        <f t="shared" si="13415"/>
        <v>2021</v>
      </c>
      <c r="E7758" s="1" t="str">
        <f t="shared" ref="E7758:P7758" si="13430">"0"</f>
        <v>0</v>
      </c>
      <c r="F7758" s="1" t="str">
        <f t="shared" si="13430"/>
        <v>0</v>
      </c>
      <c r="G7758" s="1" t="str">
        <f t="shared" si="13430"/>
        <v>0</v>
      </c>
      <c r="H7758" s="1" t="str">
        <f t="shared" si="13430"/>
        <v>0</v>
      </c>
      <c r="I7758" s="1" t="str">
        <f t="shared" si="13430"/>
        <v>0</v>
      </c>
      <c r="J7758" s="1" t="str">
        <f t="shared" si="13430"/>
        <v>0</v>
      </c>
      <c r="K7758" s="1" t="str">
        <f t="shared" si="13430"/>
        <v>0</v>
      </c>
      <c r="L7758" s="1" t="str">
        <f t="shared" si="13430"/>
        <v>0</v>
      </c>
      <c r="M7758" s="1" t="str">
        <f t="shared" si="13430"/>
        <v>0</v>
      </c>
      <c r="N7758" s="1" t="str">
        <f t="shared" si="13430"/>
        <v>0</v>
      </c>
      <c r="O7758" s="1" t="str">
        <f t="shared" si="13430"/>
        <v>0</v>
      </c>
      <c r="P7758" s="1" t="str">
        <f t="shared" si="13430"/>
        <v>0</v>
      </c>
      <c r="Q7758" s="1" t="str">
        <f t="shared" si="13417"/>
        <v>0.0070</v>
      </c>
      <c r="R7758" s="1" t="s">
        <v>25</v>
      </c>
      <c r="T7758" s="1" t="str">
        <f t="shared" si="13418"/>
        <v>0</v>
      </c>
      <c r="U7758" s="1" t="str">
        <f t="shared" si="13428"/>
        <v>0.0070</v>
      </c>
    </row>
    <row r="7759" s="1" customFormat="1" spans="1:21">
      <c r="A7759" s="1" t="str">
        <f>"4601992356902"</f>
        <v>4601992356902</v>
      </c>
      <c r="B7759" s="1" t="s">
        <v>7782</v>
      </c>
      <c r="C7759" s="1" t="s">
        <v>24</v>
      </c>
      <c r="D7759" s="1" t="str">
        <f t="shared" si="13415"/>
        <v>2021</v>
      </c>
      <c r="E7759" s="1" t="str">
        <f t="shared" ref="E7759:P7759" si="13431">"0"</f>
        <v>0</v>
      </c>
      <c r="F7759" s="1" t="str">
        <f t="shared" si="13431"/>
        <v>0</v>
      </c>
      <c r="G7759" s="1" t="str">
        <f t="shared" si="13431"/>
        <v>0</v>
      </c>
      <c r="H7759" s="1" t="str">
        <f t="shared" si="13431"/>
        <v>0</v>
      </c>
      <c r="I7759" s="1" t="str">
        <f t="shared" si="13431"/>
        <v>0</v>
      </c>
      <c r="J7759" s="1" t="str">
        <f t="shared" si="13431"/>
        <v>0</v>
      </c>
      <c r="K7759" s="1" t="str">
        <f t="shared" si="13431"/>
        <v>0</v>
      </c>
      <c r="L7759" s="1" t="str">
        <f t="shared" si="13431"/>
        <v>0</v>
      </c>
      <c r="M7759" s="1" t="str">
        <f t="shared" si="13431"/>
        <v>0</v>
      </c>
      <c r="N7759" s="1" t="str">
        <f t="shared" si="13431"/>
        <v>0</v>
      </c>
      <c r="O7759" s="1" t="str">
        <f t="shared" si="13431"/>
        <v>0</v>
      </c>
      <c r="P7759" s="1" t="str">
        <f t="shared" si="13431"/>
        <v>0</v>
      </c>
      <c r="Q7759" s="1" t="str">
        <f t="shared" si="13417"/>
        <v>0.0070</v>
      </c>
      <c r="R7759" s="1" t="s">
        <v>25</v>
      </c>
      <c r="T7759" s="1" t="str">
        <f t="shared" si="13418"/>
        <v>0</v>
      </c>
      <c r="U7759" s="1" t="str">
        <f t="shared" si="13428"/>
        <v>0.0070</v>
      </c>
    </row>
    <row r="7760" s="1" customFormat="1" spans="1:21">
      <c r="A7760" s="1" t="str">
        <f>"4601992357079"</f>
        <v>4601992357079</v>
      </c>
      <c r="B7760" s="1" t="s">
        <v>7783</v>
      </c>
      <c r="C7760" s="1" t="s">
        <v>24</v>
      </c>
      <c r="D7760" s="1" t="str">
        <f t="shared" si="13415"/>
        <v>2021</v>
      </c>
      <c r="E7760" s="1" t="str">
        <f t="shared" ref="E7760:P7760" si="13432">"0"</f>
        <v>0</v>
      </c>
      <c r="F7760" s="1" t="str">
        <f t="shared" si="13432"/>
        <v>0</v>
      </c>
      <c r="G7760" s="1" t="str">
        <f t="shared" si="13432"/>
        <v>0</v>
      </c>
      <c r="H7760" s="1" t="str">
        <f t="shared" si="13432"/>
        <v>0</v>
      </c>
      <c r="I7760" s="1" t="str">
        <f t="shared" si="13432"/>
        <v>0</v>
      </c>
      <c r="J7760" s="1" t="str">
        <f t="shared" si="13432"/>
        <v>0</v>
      </c>
      <c r="K7760" s="1" t="str">
        <f t="shared" si="13432"/>
        <v>0</v>
      </c>
      <c r="L7760" s="1" t="str">
        <f t="shared" si="13432"/>
        <v>0</v>
      </c>
      <c r="M7760" s="1" t="str">
        <f t="shared" si="13432"/>
        <v>0</v>
      </c>
      <c r="N7760" s="1" t="str">
        <f t="shared" si="13432"/>
        <v>0</v>
      </c>
      <c r="O7760" s="1" t="str">
        <f t="shared" si="13432"/>
        <v>0</v>
      </c>
      <c r="P7760" s="1" t="str">
        <f t="shared" si="13432"/>
        <v>0</v>
      </c>
      <c r="Q7760" s="1" t="str">
        <f t="shared" si="13417"/>
        <v>0.0070</v>
      </c>
      <c r="R7760" s="1" t="s">
        <v>25</v>
      </c>
      <c r="T7760" s="1" t="str">
        <f t="shared" si="13418"/>
        <v>0</v>
      </c>
      <c r="U7760" s="1" t="str">
        <f t="shared" si="13428"/>
        <v>0.0070</v>
      </c>
    </row>
    <row r="7761" s="1" customFormat="1" spans="1:21">
      <c r="A7761" s="1" t="str">
        <f>"4601992356843"</f>
        <v>4601992356843</v>
      </c>
      <c r="B7761" s="1" t="s">
        <v>7784</v>
      </c>
      <c r="C7761" s="1" t="s">
        <v>24</v>
      </c>
      <c r="D7761" s="1" t="str">
        <f t="shared" si="13415"/>
        <v>2021</v>
      </c>
      <c r="E7761" s="1" t="str">
        <f t="shared" ref="E7761:P7761" si="13433">"0"</f>
        <v>0</v>
      </c>
      <c r="F7761" s="1" t="str">
        <f t="shared" si="13433"/>
        <v>0</v>
      </c>
      <c r="G7761" s="1" t="str">
        <f t="shared" si="13433"/>
        <v>0</v>
      </c>
      <c r="H7761" s="1" t="str">
        <f t="shared" si="13433"/>
        <v>0</v>
      </c>
      <c r="I7761" s="1" t="str">
        <f t="shared" si="13433"/>
        <v>0</v>
      </c>
      <c r="J7761" s="1" t="str">
        <f t="shared" si="13433"/>
        <v>0</v>
      </c>
      <c r="K7761" s="1" t="str">
        <f t="shared" si="13433"/>
        <v>0</v>
      </c>
      <c r="L7761" s="1" t="str">
        <f t="shared" si="13433"/>
        <v>0</v>
      </c>
      <c r="M7761" s="1" t="str">
        <f t="shared" si="13433"/>
        <v>0</v>
      </c>
      <c r="N7761" s="1" t="str">
        <f t="shared" si="13433"/>
        <v>0</v>
      </c>
      <c r="O7761" s="1" t="str">
        <f t="shared" si="13433"/>
        <v>0</v>
      </c>
      <c r="P7761" s="1" t="str">
        <f t="shared" si="13433"/>
        <v>0</v>
      </c>
      <c r="Q7761" s="1" t="str">
        <f t="shared" si="13417"/>
        <v>0.0070</v>
      </c>
      <c r="R7761" s="1" t="s">
        <v>25</v>
      </c>
      <c r="T7761" s="1" t="str">
        <f t="shared" si="13418"/>
        <v>0</v>
      </c>
      <c r="U7761" s="1" t="str">
        <f t="shared" si="13428"/>
        <v>0.0070</v>
      </c>
    </row>
    <row r="7762" s="1" customFormat="1" spans="1:21">
      <c r="A7762" s="1" t="str">
        <f>"4601992357177"</f>
        <v>4601992357177</v>
      </c>
      <c r="B7762" s="1" t="s">
        <v>7785</v>
      </c>
      <c r="C7762" s="1" t="s">
        <v>24</v>
      </c>
      <c r="D7762" s="1" t="str">
        <f t="shared" si="13415"/>
        <v>2021</v>
      </c>
      <c r="E7762" s="1" t="str">
        <f t="shared" ref="E7762:P7762" si="13434">"0"</f>
        <v>0</v>
      </c>
      <c r="F7762" s="1" t="str">
        <f t="shared" si="13434"/>
        <v>0</v>
      </c>
      <c r="G7762" s="1" t="str">
        <f t="shared" si="13434"/>
        <v>0</v>
      </c>
      <c r="H7762" s="1" t="str">
        <f t="shared" si="13434"/>
        <v>0</v>
      </c>
      <c r="I7762" s="1" t="str">
        <f t="shared" si="13434"/>
        <v>0</v>
      </c>
      <c r="J7762" s="1" t="str">
        <f t="shared" si="13434"/>
        <v>0</v>
      </c>
      <c r="K7762" s="1" t="str">
        <f t="shared" si="13434"/>
        <v>0</v>
      </c>
      <c r="L7762" s="1" t="str">
        <f t="shared" si="13434"/>
        <v>0</v>
      </c>
      <c r="M7762" s="1" t="str">
        <f t="shared" si="13434"/>
        <v>0</v>
      </c>
      <c r="N7762" s="1" t="str">
        <f t="shared" si="13434"/>
        <v>0</v>
      </c>
      <c r="O7762" s="1" t="str">
        <f t="shared" si="13434"/>
        <v>0</v>
      </c>
      <c r="P7762" s="1" t="str">
        <f t="shared" si="13434"/>
        <v>0</v>
      </c>
      <c r="Q7762" s="1" t="str">
        <f t="shared" si="13417"/>
        <v>0.0070</v>
      </c>
      <c r="R7762" s="1" t="s">
        <v>25</v>
      </c>
      <c r="T7762" s="1" t="str">
        <f t="shared" si="13418"/>
        <v>0</v>
      </c>
      <c r="U7762" s="1" t="str">
        <f t="shared" si="13428"/>
        <v>0.0070</v>
      </c>
    </row>
    <row r="7763" s="1" customFormat="1" spans="1:21">
      <c r="A7763" s="1" t="str">
        <f>"4601992357248"</f>
        <v>4601992357248</v>
      </c>
      <c r="B7763" s="1" t="s">
        <v>7786</v>
      </c>
      <c r="C7763" s="1" t="s">
        <v>24</v>
      </c>
      <c r="D7763" s="1" t="str">
        <f t="shared" si="13415"/>
        <v>2021</v>
      </c>
      <c r="E7763" s="1" t="str">
        <f t="shared" ref="E7763:P7763" si="13435">"0"</f>
        <v>0</v>
      </c>
      <c r="F7763" s="1" t="str">
        <f t="shared" si="13435"/>
        <v>0</v>
      </c>
      <c r="G7763" s="1" t="str">
        <f t="shared" si="13435"/>
        <v>0</v>
      </c>
      <c r="H7763" s="1" t="str">
        <f t="shared" si="13435"/>
        <v>0</v>
      </c>
      <c r="I7763" s="1" t="str">
        <f t="shared" si="13435"/>
        <v>0</v>
      </c>
      <c r="J7763" s="1" t="str">
        <f t="shared" si="13435"/>
        <v>0</v>
      </c>
      <c r="K7763" s="1" t="str">
        <f t="shared" si="13435"/>
        <v>0</v>
      </c>
      <c r="L7763" s="1" t="str">
        <f t="shared" si="13435"/>
        <v>0</v>
      </c>
      <c r="M7763" s="1" t="str">
        <f t="shared" si="13435"/>
        <v>0</v>
      </c>
      <c r="N7763" s="1" t="str">
        <f t="shared" si="13435"/>
        <v>0</v>
      </c>
      <c r="O7763" s="1" t="str">
        <f t="shared" si="13435"/>
        <v>0</v>
      </c>
      <c r="P7763" s="1" t="str">
        <f t="shared" si="13435"/>
        <v>0</v>
      </c>
      <c r="Q7763" s="1" t="str">
        <f t="shared" si="13417"/>
        <v>0.0070</v>
      </c>
      <c r="R7763" s="1" t="s">
        <v>25</v>
      </c>
      <c r="T7763" s="1" t="str">
        <f t="shared" si="13418"/>
        <v>0</v>
      </c>
      <c r="U7763" s="1" t="str">
        <f t="shared" si="13428"/>
        <v>0.0070</v>
      </c>
    </row>
    <row r="7764" s="1" customFormat="1" spans="1:21">
      <c r="A7764" s="1" t="str">
        <f>"4601992357414"</f>
        <v>4601992357414</v>
      </c>
      <c r="B7764" s="1" t="s">
        <v>7787</v>
      </c>
      <c r="C7764" s="1" t="s">
        <v>24</v>
      </c>
      <c r="D7764" s="1" t="str">
        <f t="shared" si="13415"/>
        <v>2021</v>
      </c>
      <c r="E7764" s="1" t="str">
        <f t="shared" ref="E7764:P7764" si="13436">"0"</f>
        <v>0</v>
      </c>
      <c r="F7764" s="1" t="str">
        <f t="shared" si="13436"/>
        <v>0</v>
      </c>
      <c r="G7764" s="1" t="str">
        <f t="shared" si="13436"/>
        <v>0</v>
      </c>
      <c r="H7764" s="1" t="str">
        <f t="shared" si="13436"/>
        <v>0</v>
      </c>
      <c r="I7764" s="1" t="str">
        <f t="shared" si="13436"/>
        <v>0</v>
      </c>
      <c r="J7764" s="1" t="str">
        <f t="shared" si="13436"/>
        <v>0</v>
      </c>
      <c r="K7764" s="1" t="str">
        <f t="shared" si="13436"/>
        <v>0</v>
      </c>
      <c r="L7764" s="1" t="str">
        <f t="shared" si="13436"/>
        <v>0</v>
      </c>
      <c r="M7764" s="1" t="str">
        <f t="shared" si="13436"/>
        <v>0</v>
      </c>
      <c r="N7764" s="1" t="str">
        <f t="shared" si="13436"/>
        <v>0</v>
      </c>
      <c r="O7764" s="1" t="str">
        <f t="shared" si="13436"/>
        <v>0</v>
      </c>
      <c r="P7764" s="1" t="str">
        <f t="shared" si="13436"/>
        <v>0</v>
      </c>
      <c r="Q7764" s="1" t="str">
        <f t="shared" si="13417"/>
        <v>0.0070</v>
      </c>
      <c r="R7764" s="1" t="s">
        <v>25</v>
      </c>
      <c r="T7764" s="1" t="str">
        <f t="shared" si="13418"/>
        <v>0</v>
      </c>
      <c r="U7764" s="1" t="str">
        <f t="shared" si="13428"/>
        <v>0.0070</v>
      </c>
    </row>
    <row r="7765" s="1" customFormat="1" spans="1:21">
      <c r="A7765" s="1" t="str">
        <f>"4601992357426"</f>
        <v>4601992357426</v>
      </c>
      <c r="B7765" s="1" t="s">
        <v>7788</v>
      </c>
      <c r="C7765" s="1" t="s">
        <v>24</v>
      </c>
      <c r="D7765" s="1" t="str">
        <f t="shared" si="13415"/>
        <v>2021</v>
      </c>
      <c r="E7765" s="1" t="str">
        <f t="shared" ref="E7765:P7765" si="13437">"0"</f>
        <v>0</v>
      </c>
      <c r="F7765" s="1" t="str">
        <f t="shared" si="13437"/>
        <v>0</v>
      </c>
      <c r="G7765" s="1" t="str">
        <f t="shared" si="13437"/>
        <v>0</v>
      </c>
      <c r="H7765" s="1" t="str">
        <f t="shared" si="13437"/>
        <v>0</v>
      </c>
      <c r="I7765" s="1" t="str">
        <f t="shared" si="13437"/>
        <v>0</v>
      </c>
      <c r="J7765" s="1" t="str">
        <f t="shared" si="13437"/>
        <v>0</v>
      </c>
      <c r="K7765" s="1" t="str">
        <f t="shared" si="13437"/>
        <v>0</v>
      </c>
      <c r="L7765" s="1" t="str">
        <f t="shared" si="13437"/>
        <v>0</v>
      </c>
      <c r="M7765" s="1" t="str">
        <f t="shared" si="13437"/>
        <v>0</v>
      </c>
      <c r="N7765" s="1" t="str">
        <f t="shared" si="13437"/>
        <v>0</v>
      </c>
      <c r="O7765" s="1" t="str">
        <f t="shared" si="13437"/>
        <v>0</v>
      </c>
      <c r="P7765" s="1" t="str">
        <f t="shared" si="13437"/>
        <v>0</v>
      </c>
      <c r="Q7765" s="1" t="str">
        <f t="shared" si="13417"/>
        <v>0.0070</v>
      </c>
      <c r="R7765" s="1" t="s">
        <v>25</v>
      </c>
      <c r="T7765" s="1" t="str">
        <f t="shared" si="13418"/>
        <v>0</v>
      </c>
      <c r="U7765" s="1" t="str">
        <f t="shared" si="13428"/>
        <v>0.0070</v>
      </c>
    </row>
    <row r="7766" s="1" customFormat="1" spans="1:21">
      <c r="A7766" s="1" t="str">
        <f>"4601992357458"</f>
        <v>4601992357458</v>
      </c>
      <c r="B7766" s="1" t="s">
        <v>7789</v>
      </c>
      <c r="C7766" s="1" t="s">
        <v>24</v>
      </c>
      <c r="D7766" s="1" t="str">
        <f t="shared" si="13415"/>
        <v>2021</v>
      </c>
      <c r="E7766" s="1" t="str">
        <f t="shared" ref="E7766:P7766" si="13438">"0"</f>
        <v>0</v>
      </c>
      <c r="F7766" s="1" t="str">
        <f t="shared" si="13438"/>
        <v>0</v>
      </c>
      <c r="G7766" s="1" t="str">
        <f t="shared" si="13438"/>
        <v>0</v>
      </c>
      <c r="H7766" s="1" t="str">
        <f t="shared" si="13438"/>
        <v>0</v>
      </c>
      <c r="I7766" s="1" t="str">
        <f t="shared" si="13438"/>
        <v>0</v>
      </c>
      <c r="J7766" s="1" t="str">
        <f t="shared" si="13438"/>
        <v>0</v>
      </c>
      <c r="K7766" s="1" t="str">
        <f t="shared" si="13438"/>
        <v>0</v>
      </c>
      <c r="L7766" s="1" t="str">
        <f t="shared" si="13438"/>
        <v>0</v>
      </c>
      <c r="M7766" s="1" t="str">
        <f t="shared" si="13438"/>
        <v>0</v>
      </c>
      <c r="N7766" s="1" t="str">
        <f t="shared" si="13438"/>
        <v>0</v>
      </c>
      <c r="O7766" s="1" t="str">
        <f t="shared" si="13438"/>
        <v>0</v>
      </c>
      <c r="P7766" s="1" t="str">
        <f t="shared" si="13438"/>
        <v>0</v>
      </c>
      <c r="Q7766" s="1" t="str">
        <f t="shared" si="13417"/>
        <v>0.0070</v>
      </c>
      <c r="R7766" s="1" t="s">
        <v>25</v>
      </c>
      <c r="T7766" s="1" t="str">
        <f t="shared" si="13418"/>
        <v>0</v>
      </c>
      <c r="U7766" s="1" t="str">
        <f t="shared" si="13428"/>
        <v>0.0070</v>
      </c>
    </row>
    <row r="7767" s="1" customFormat="1" spans="1:21">
      <c r="A7767" s="1" t="str">
        <f>"4601992357500"</f>
        <v>4601992357500</v>
      </c>
      <c r="B7767" s="1" t="s">
        <v>7790</v>
      </c>
      <c r="C7767" s="1" t="s">
        <v>24</v>
      </c>
      <c r="D7767" s="1" t="str">
        <f t="shared" si="13415"/>
        <v>2021</v>
      </c>
      <c r="E7767" s="1" t="str">
        <f t="shared" ref="E7767:P7767" si="13439">"0"</f>
        <v>0</v>
      </c>
      <c r="F7767" s="1" t="str">
        <f t="shared" si="13439"/>
        <v>0</v>
      </c>
      <c r="G7767" s="1" t="str">
        <f t="shared" si="13439"/>
        <v>0</v>
      </c>
      <c r="H7767" s="1" t="str">
        <f t="shared" si="13439"/>
        <v>0</v>
      </c>
      <c r="I7767" s="1" t="str">
        <f t="shared" si="13439"/>
        <v>0</v>
      </c>
      <c r="J7767" s="1" t="str">
        <f t="shared" si="13439"/>
        <v>0</v>
      </c>
      <c r="K7767" s="1" t="str">
        <f t="shared" si="13439"/>
        <v>0</v>
      </c>
      <c r="L7767" s="1" t="str">
        <f t="shared" si="13439"/>
        <v>0</v>
      </c>
      <c r="M7767" s="1" t="str">
        <f t="shared" si="13439"/>
        <v>0</v>
      </c>
      <c r="N7767" s="1" t="str">
        <f t="shared" si="13439"/>
        <v>0</v>
      </c>
      <c r="O7767" s="1" t="str">
        <f t="shared" si="13439"/>
        <v>0</v>
      </c>
      <c r="P7767" s="1" t="str">
        <f t="shared" si="13439"/>
        <v>0</v>
      </c>
      <c r="Q7767" s="1" t="str">
        <f t="shared" si="13417"/>
        <v>0.0070</v>
      </c>
      <c r="R7767" s="1" t="s">
        <v>25</v>
      </c>
      <c r="T7767" s="1" t="str">
        <f t="shared" si="13418"/>
        <v>0</v>
      </c>
      <c r="U7767" s="1" t="str">
        <f t="shared" si="13428"/>
        <v>0.0070</v>
      </c>
    </row>
    <row r="7768" s="1" customFormat="1" spans="1:21">
      <c r="A7768" s="1" t="str">
        <f>"4601992357608"</f>
        <v>4601992357608</v>
      </c>
      <c r="B7768" s="1" t="s">
        <v>7791</v>
      </c>
      <c r="C7768" s="1" t="s">
        <v>24</v>
      </c>
      <c r="D7768" s="1" t="str">
        <f t="shared" si="13415"/>
        <v>2021</v>
      </c>
      <c r="E7768" s="1" t="str">
        <f t="shared" ref="E7768:P7768" si="13440">"0"</f>
        <v>0</v>
      </c>
      <c r="F7768" s="1" t="str">
        <f t="shared" si="13440"/>
        <v>0</v>
      </c>
      <c r="G7768" s="1" t="str">
        <f t="shared" si="13440"/>
        <v>0</v>
      </c>
      <c r="H7768" s="1" t="str">
        <f t="shared" si="13440"/>
        <v>0</v>
      </c>
      <c r="I7768" s="1" t="str">
        <f t="shared" si="13440"/>
        <v>0</v>
      </c>
      <c r="J7768" s="1" t="str">
        <f t="shared" si="13440"/>
        <v>0</v>
      </c>
      <c r="K7768" s="1" t="str">
        <f t="shared" si="13440"/>
        <v>0</v>
      </c>
      <c r="L7768" s="1" t="str">
        <f t="shared" si="13440"/>
        <v>0</v>
      </c>
      <c r="M7768" s="1" t="str">
        <f t="shared" si="13440"/>
        <v>0</v>
      </c>
      <c r="N7768" s="1" t="str">
        <f t="shared" si="13440"/>
        <v>0</v>
      </c>
      <c r="O7768" s="1" t="str">
        <f t="shared" si="13440"/>
        <v>0</v>
      </c>
      <c r="P7768" s="1" t="str">
        <f t="shared" si="13440"/>
        <v>0</v>
      </c>
      <c r="Q7768" s="1" t="str">
        <f t="shared" si="13417"/>
        <v>0.0070</v>
      </c>
      <c r="R7768" s="1" t="s">
        <v>25</v>
      </c>
      <c r="T7768" s="1" t="str">
        <f t="shared" si="13418"/>
        <v>0</v>
      </c>
      <c r="U7768" s="1" t="str">
        <f t="shared" si="13428"/>
        <v>0.0070</v>
      </c>
    </row>
    <row r="7769" s="1" customFormat="1" spans="1:21">
      <c r="A7769" s="1" t="str">
        <f>"4601992357675"</f>
        <v>4601992357675</v>
      </c>
      <c r="B7769" s="1" t="s">
        <v>7792</v>
      </c>
      <c r="C7769" s="1" t="s">
        <v>24</v>
      </c>
      <c r="D7769" s="1" t="str">
        <f t="shared" si="13415"/>
        <v>2021</v>
      </c>
      <c r="E7769" s="1" t="str">
        <f t="shared" ref="E7769:P7769" si="13441">"0"</f>
        <v>0</v>
      </c>
      <c r="F7769" s="1" t="str">
        <f t="shared" si="13441"/>
        <v>0</v>
      </c>
      <c r="G7769" s="1" t="str">
        <f t="shared" si="13441"/>
        <v>0</v>
      </c>
      <c r="H7769" s="1" t="str">
        <f t="shared" si="13441"/>
        <v>0</v>
      </c>
      <c r="I7769" s="1" t="str">
        <f t="shared" si="13441"/>
        <v>0</v>
      </c>
      <c r="J7769" s="1" t="str">
        <f t="shared" si="13441"/>
        <v>0</v>
      </c>
      <c r="K7769" s="1" t="str">
        <f t="shared" si="13441"/>
        <v>0</v>
      </c>
      <c r="L7769" s="1" t="str">
        <f t="shared" si="13441"/>
        <v>0</v>
      </c>
      <c r="M7769" s="1" t="str">
        <f t="shared" si="13441"/>
        <v>0</v>
      </c>
      <c r="N7769" s="1" t="str">
        <f t="shared" si="13441"/>
        <v>0</v>
      </c>
      <c r="O7769" s="1" t="str">
        <f t="shared" si="13441"/>
        <v>0</v>
      </c>
      <c r="P7769" s="1" t="str">
        <f t="shared" si="13441"/>
        <v>0</v>
      </c>
      <c r="Q7769" s="1" t="str">
        <f t="shared" si="13417"/>
        <v>0.0070</v>
      </c>
      <c r="R7769" s="1" t="s">
        <v>25</v>
      </c>
      <c r="T7769" s="1" t="str">
        <f t="shared" si="13418"/>
        <v>0</v>
      </c>
      <c r="U7769" s="1" t="str">
        <f t="shared" si="13428"/>
        <v>0.0070</v>
      </c>
    </row>
    <row r="7770" s="1" customFormat="1" spans="1:21">
      <c r="A7770" s="1" t="str">
        <f>"4601992357706"</f>
        <v>4601992357706</v>
      </c>
      <c r="B7770" s="1" t="s">
        <v>7793</v>
      </c>
      <c r="C7770" s="1" t="s">
        <v>24</v>
      </c>
      <c r="D7770" s="1" t="str">
        <f t="shared" si="13415"/>
        <v>2021</v>
      </c>
      <c r="E7770" s="1" t="str">
        <f t="shared" ref="E7770:P7770" si="13442">"0"</f>
        <v>0</v>
      </c>
      <c r="F7770" s="1" t="str">
        <f t="shared" si="13442"/>
        <v>0</v>
      </c>
      <c r="G7770" s="1" t="str">
        <f t="shared" si="13442"/>
        <v>0</v>
      </c>
      <c r="H7770" s="1" t="str">
        <f t="shared" si="13442"/>
        <v>0</v>
      </c>
      <c r="I7770" s="1" t="str">
        <f t="shared" si="13442"/>
        <v>0</v>
      </c>
      <c r="J7770" s="1" t="str">
        <f t="shared" si="13442"/>
        <v>0</v>
      </c>
      <c r="K7770" s="1" t="str">
        <f t="shared" si="13442"/>
        <v>0</v>
      </c>
      <c r="L7770" s="1" t="str">
        <f t="shared" si="13442"/>
        <v>0</v>
      </c>
      <c r="M7770" s="1" t="str">
        <f t="shared" si="13442"/>
        <v>0</v>
      </c>
      <c r="N7770" s="1" t="str">
        <f t="shared" si="13442"/>
        <v>0</v>
      </c>
      <c r="O7770" s="1" t="str">
        <f t="shared" si="13442"/>
        <v>0</v>
      </c>
      <c r="P7770" s="1" t="str">
        <f t="shared" si="13442"/>
        <v>0</v>
      </c>
      <c r="Q7770" s="1" t="str">
        <f t="shared" si="13417"/>
        <v>0.0070</v>
      </c>
      <c r="R7770" s="1" t="s">
        <v>25</v>
      </c>
      <c r="T7770" s="1" t="str">
        <f t="shared" si="13418"/>
        <v>0</v>
      </c>
      <c r="U7770" s="1" t="str">
        <f t="shared" si="13428"/>
        <v>0.0070</v>
      </c>
    </row>
    <row r="7771" s="1" customFormat="1" spans="1:21">
      <c r="A7771" s="1" t="str">
        <f>"4601992357851"</f>
        <v>4601992357851</v>
      </c>
      <c r="B7771" s="1" t="s">
        <v>7794</v>
      </c>
      <c r="C7771" s="1" t="s">
        <v>24</v>
      </c>
      <c r="D7771" s="1" t="str">
        <f t="shared" si="13415"/>
        <v>2021</v>
      </c>
      <c r="E7771" s="1" t="str">
        <f t="shared" ref="E7771:P7771" si="13443">"0"</f>
        <v>0</v>
      </c>
      <c r="F7771" s="1" t="str">
        <f t="shared" si="13443"/>
        <v>0</v>
      </c>
      <c r="G7771" s="1" t="str">
        <f t="shared" si="13443"/>
        <v>0</v>
      </c>
      <c r="H7771" s="1" t="str">
        <f t="shared" si="13443"/>
        <v>0</v>
      </c>
      <c r="I7771" s="1" t="str">
        <f t="shared" si="13443"/>
        <v>0</v>
      </c>
      <c r="J7771" s="1" t="str">
        <f t="shared" si="13443"/>
        <v>0</v>
      </c>
      <c r="K7771" s="1" t="str">
        <f t="shared" si="13443"/>
        <v>0</v>
      </c>
      <c r="L7771" s="1" t="str">
        <f t="shared" si="13443"/>
        <v>0</v>
      </c>
      <c r="M7771" s="1" t="str">
        <f t="shared" si="13443"/>
        <v>0</v>
      </c>
      <c r="N7771" s="1" t="str">
        <f t="shared" si="13443"/>
        <v>0</v>
      </c>
      <c r="O7771" s="1" t="str">
        <f t="shared" si="13443"/>
        <v>0</v>
      </c>
      <c r="P7771" s="1" t="str">
        <f t="shared" si="13443"/>
        <v>0</v>
      </c>
      <c r="Q7771" s="1" t="str">
        <f t="shared" si="13417"/>
        <v>0.0070</v>
      </c>
      <c r="R7771" s="1" t="s">
        <v>25</v>
      </c>
      <c r="T7771" s="1" t="str">
        <f t="shared" si="13418"/>
        <v>0</v>
      </c>
      <c r="U7771" s="1" t="str">
        <f t="shared" si="13428"/>
        <v>0.0070</v>
      </c>
    </row>
    <row r="7772" s="1" customFormat="1" spans="1:21">
      <c r="A7772" s="1" t="str">
        <f>"4601992357930"</f>
        <v>4601992357930</v>
      </c>
      <c r="B7772" s="1" t="s">
        <v>7795</v>
      </c>
      <c r="C7772" s="1" t="s">
        <v>24</v>
      </c>
      <c r="D7772" s="1" t="str">
        <f t="shared" si="13415"/>
        <v>2021</v>
      </c>
      <c r="E7772" s="1" t="str">
        <f t="shared" ref="E7772:P7772" si="13444">"0"</f>
        <v>0</v>
      </c>
      <c r="F7772" s="1" t="str">
        <f t="shared" si="13444"/>
        <v>0</v>
      </c>
      <c r="G7772" s="1" t="str">
        <f t="shared" si="13444"/>
        <v>0</v>
      </c>
      <c r="H7772" s="1" t="str">
        <f t="shared" si="13444"/>
        <v>0</v>
      </c>
      <c r="I7772" s="1" t="str">
        <f t="shared" si="13444"/>
        <v>0</v>
      </c>
      <c r="J7772" s="1" t="str">
        <f t="shared" si="13444"/>
        <v>0</v>
      </c>
      <c r="K7772" s="1" t="str">
        <f t="shared" si="13444"/>
        <v>0</v>
      </c>
      <c r="L7772" s="1" t="str">
        <f t="shared" si="13444"/>
        <v>0</v>
      </c>
      <c r="M7772" s="1" t="str">
        <f t="shared" si="13444"/>
        <v>0</v>
      </c>
      <c r="N7772" s="1" t="str">
        <f t="shared" si="13444"/>
        <v>0</v>
      </c>
      <c r="O7772" s="1" t="str">
        <f t="shared" si="13444"/>
        <v>0</v>
      </c>
      <c r="P7772" s="1" t="str">
        <f t="shared" si="13444"/>
        <v>0</v>
      </c>
      <c r="Q7772" s="1" t="str">
        <f t="shared" si="13417"/>
        <v>0.0070</v>
      </c>
      <c r="R7772" s="1" t="s">
        <v>25</v>
      </c>
      <c r="T7772" s="1" t="str">
        <f t="shared" si="13418"/>
        <v>0</v>
      </c>
      <c r="U7772" s="1" t="str">
        <f t="shared" si="13428"/>
        <v>0.0070</v>
      </c>
    </row>
    <row r="7773" s="1" customFormat="1" spans="1:21">
      <c r="A7773" s="1" t="str">
        <f>"4601992358020"</f>
        <v>4601992358020</v>
      </c>
      <c r="B7773" s="1" t="s">
        <v>7796</v>
      </c>
      <c r="C7773" s="1" t="s">
        <v>24</v>
      </c>
      <c r="D7773" s="1" t="str">
        <f t="shared" si="13415"/>
        <v>2021</v>
      </c>
      <c r="E7773" s="1" t="str">
        <f t="shared" ref="E7773:P7773" si="13445">"0"</f>
        <v>0</v>
      </c>
      <c r="F7773" s="1" t="str">
        <f t="shared" si="13445"/>
        <v>0</v>
      </c>
      <c r="G7773" s="1" t="str">
        <f t="shared" si="13445"/>
        <v>0</v>
      </c>
      <c r="H7773" s="1" t="str">
        <f t="shared" si="13445"/>
        <v>0</v>
      </c>
      <c r="I7773" s="1" t="str">
        <f t="shared" si="13445"/>
        <v>0</v>
      </c>
      <c r="J7773" s="1" t="str">
        <f t="shared" si="13445"/>
        <v>0</v>
      </c>
      <c r="K7773" s="1" t="str">
        <f t="shared" si="13445"/>
        <v>0</v>
      </c>
      <c r="L7773" s="1" t="str">
        <f t="shared" si="13445"/>
        <v>0</v>
      </c>
      <c r="M7773" s="1" t="str">
        <f t="shared" si="13445"/>
        <v>0</v>
      </c>
      <c r="N7773" s="1" t="str">
        <f t="shared" si="13445"/>
        <v>0</v>
      </c>
      <c r="O7773" s="1" t="str">
        <f t="shared" si="13445"/>
        <v>0</v>
      </c>
      <c r="P7773" s="1" t="str">
        <f t="shared" si="13445"/>
        <v>0</v>
      </c>
      <c r="Q7773" s="1" t="str">
        <f t="shared" si="13417"/>
        <v>0.0070</v>
      </c>
      <c r="R7773" s="1" t="s">
        <v>25</v>
      </c>
      <c r="T7773" s="1" t="str">
        <f t="shared" si="13418"/>
        <v>0</v>
      </c>
      <c r="U7773" s="1" t="str">
        <f t="shared" si="13428"/>
        <v>0.0070</v>
      </c>
    </row>
    <row r="7774" s="1" customFormat="1" spans="1:21">
      <c r="A7774" s="1" t="str">
        <f>"4601992358035"</f>
        <v>4601992358035</v>
      </c>
      <c r="B7774" s="1" t="s">
        <v>7797</v>
      </c>
      <c r="C7774" s="1" t="s">
        <v>24</v>
      </c>
      <c r="D7774" s="1" t="str">
        <f t="shared" si="13415"/>
        <v>2021</v>
      </c>
      <c r="E7774" s="1" t="str">
        <f t="shared" ref="E7774:P7774" si="13446">"0"</f>
        <v>0</v>
      </c>
      <c r="F7774" s="1" t="str">
        <f t="shared" si="13446"/>
        <v>0</v>
      </c>
      <c r="G7774" s="1" t="str">
        <f t="shared" si="13446"/>
        <v>0</v>
      </c>
      <c r="H7774" s="1" t="str">
        <f t="shared" si="13446"/>
        <v>0</v>
      </c>
      <c r="I7774" s="1" t="str">
        <f t="shared" si="13446"/>
        <v>0</v>
      </c>
      <c r="J7774" s="1" t="str">
        <f t="shared" si="13446"/>
        <v>0</v>
      </c>
      <c r="K7774" s="1" t="str">
        <f t="shared" si="13446"/>
        <v>0</v>
      </c>
      <c r="L7774" s="1" t="str">
        <f t="shared" si="13446"/>
        <v>0</v>
      </c>
      <c r="M7774" s="1" t="str">
        <f t="shared" si="13446"/>
        <v>0</v>
      </c>
      <c r="N7774" s="1" t="str">
        <f t="shared" si="13446"/>
        <v>0</v>
      </c>
      <c r="O7774" s="1" t="str">
        <f t="shared" si="13446"/>
        <v>0</v>
      </c>
      <c r="P7774" s="1" t="str">
        <f t="shared" si="13446"/>
        <v>0</v>
      </c>
      <c r="Q7774" s="1" t="str">
        <f t="shared" si="13417"/>
        <v>0.0070</v>
      </c>
      <c r="R7774" s="1" t="s">
        <v>25</v>
      </c>
      <c r="T7774" s="1" t="str">
        <f t="shared" si="13418"/>
        <v>0</v>
      </c>
      <c r="U7774" s="1" t="str">
        <f t="shared" si="13428"/>
        <v>0.0070</v>
      </c>
    </row>
    <row r="7775" s="1" customFormat="1" spans="1:21">
      <c r="A7775" s="1" t="str">
        <f>"4601992358060"</f>
        <v>4601992358060</v>
      </c>
      <c r="B7775" s="1" t="s">
        <v>7798</v>
      </c>
      <c r="C7775" s="1" t="s">
        <v>24</v>
      </c>
      <c r="D7775" s="1" t="str">
        <f t="shared" si="13415"/>
        <v>2021</v>
      </c>
      <c r="E7775" s="1" t="str">
        <f t="shared" ref="E7775:P7775" si="13447">"0"</f>
        <v>0</v>
      </c>
      <c r="F7775" s="1" t="str">
        <f t="shared" si="13447"/>
        <v>0</v>
      </c>
      <c r="G7775" s="1" t="str">
        <f t="shared" si="13447"/>
        <v>0</v>
      </c>
      <c r="H7775" s="1" t="str">
        <f t="shared" si="13447"/>
        <v>0</v>
      </c>
      <c r="I7775" s="1" t="str">
        <f t="shared" si="13447"/>
        <v>0</v>
      </c>
      <c r="J7775" s="1" t="str">
        <f t="shared" si="13447"/>
        <v>0</v>
      </c>
      <c r="K7775" s="1" t="str">
        <f t="shared" si="13447"/>
        <v>0</v>
      </c>
      <c r="L7775" s="1" t="str">
        <f t="shared" si="13447"/>
        <v>0</v>
      </c>
      <c r="M7775" s="1" t="str">
        <f t="shared" si="13447"/>
        <v>0</v>
      </c>
      <c r="N7775" s="1" t="str">
        <f t="shared" si="13447"/>
        <v>0</v>
      </c>
      <c r="O7775" s="1" t="str">
        <f t="shared" si="13447"/>
        <v>0</v>
      </c>
      <c r="P7775" s="1" t="str">
        <f t="shared" si="13447"/>
        <v>0</v>
      </c>
      <c r="Q7775" s="1" t="str">
        <f t="shared" si="13417"/>
        <v>0.0070</v>
      </c>
      <c r="R7775" s="1" t="s">
        <v>25</v>
      </c>
      <c r="T7775" s="1" t="str">
        <f t="shared" si="13418"/>
        <v>0</v>
      </c>
      <c r="U7775" s="1" t="str">
        <f t="shared" si="13428"/>
        <v>0.0070</v>
      </c>
    </row>
    <row r="7776" s="1" customFormat="1" spans="1:21">
      <c r="A7776" s="1" t="str">
        <f>"4601992358146"</f>
        <v>4601992358146</v>
      </c>
      <c r="B7776" s="1" t="s">
        <v>7799</v>
      </c>
      <c r="C7776" s="1" t="s">
        <v>24</v>
      </c>
      <c r="D7776" s="1" t="str">
        <f t="shared" si="13415"/>
        <v>2021</v>
      </c>
      <c r="E7776" s="1" t="str">
        <f t="shared" ref="E7776:P7776" si="13448">"0"</f>
        <v>0</v>
      </c>
      <c r="F7776" s="1" t="str">
        <f t="shared" si="13448"/>
        <v>0</v>
      </c>
      <c r="G7776" s="1" t="str">
        <f t="shared" si="13448"/>
        <v>0</v>
      </c>
      <c r="H7776" s="1" t="str">
        <f t="shared" si="13448"/>
        <v>0</v>
      </c>
      <c r="I7776" s="1" t="str">
        <f t="shared" si="13448"/>
        <v>0</v>
      </c>
      <c r="J7776" s="1" t="str">
        <f t="shared" si="13448"/>
        <v>0</v>
      </c>
      <c r="K7776" s="1" t="str">
        <f t="shared" si="13448"/>
        <v>0</v>
      </c>
      <c r="L7776" s="1" t="str">
        <f t="shared" si="13448"/>
        <v>0</v>
      </c>
      <c r="M7776" s="1" t="str">
        <f t="shared" si="13448"/>
        <v>0</v>
      </c>
      <c r="N7776" s="1" t="str">
        <f t="shared" si="13448"/>
        <v>0</v>
      </c>
      <c r="O7776" s="1" t="str">
        <f t="shared" si="13448"/>
        <v>0</v>
      </c>
      <c r="P7776" s="1" t="str">
        <f t="shared" si="13448"/>
        <v>0</v>
      </c>
      <c r="Q7776" s="1" t="str">
        <f t="shared" si="13417"/>
        <v>0.0070</v>
      </c>
      <c r="R7776" s="1" t="s">
        <v>25</v>
      </c>
      <c r="T7776" s="1" t="str">
        <f t="shared" si="13418"/>
        <v>0</v>
      </c>
      <c r="U7776" s="1" t="str">
        <f t="shared" si="13428"/>
        <v>0.0070</v>
      </c>
    </row>
    <row r="7777" s="1" customFormat="1" spans="1:21">
      <c r="A7777" s="1" t="str">
        <f>"4601992358346"</f>
        <v>4601992358346</v>
      </c>
      <c r="B7777" s="1" t="s">
        <v>7800</v>
      </c>
      <c r="C7777" s="1" t="s">
        <v>24</v>
      </c>
      <c r="D7777" s="1" t="str">
        <f t="shared" si="13415"/>
        <v>2021</v>
      </c>
      <c r="E7777" s="1" t="str">
        <f t="shared" ref="E7777:P7777" si="13449">"0"</f>
        <v>0</v>
      </c>
      <c r="F7777" s="1" t="str">
        <f t="shared" si="13449"/>
        <v>0</v>
      </c>
      <c r="G7777" s="1" t="str">
        <f t="shared" si="13449"/>
        <v>0</v>
      </c>
      <c r="H7777" s="1" t="str">
        <f t="shared" si="13449"/>
        <v>0</v>
      </c>
      <c r="I7777" s="1" t="str">
        <f t="shared" si="13449"/>
        <v>0</v>
      </c>
      <c r="J7777" s="1" t="str">
        <f t="shared" si="13449"/>
        <v>0</v>
      </c>
      <c r="K7777" s="1" t="str">
        <f t="shared" si="13449"/>
        <v>0</v>
      </c>
      <c r="L7777" s="1" t="str">
        <f t="shared" si="13449"/>
        <v>0</v>
      </c>
      <c r="M7777" s="1" t="str">
        <f t="shared" si="13449"/>
        <v>0</v>
      </c>
      <c r="N7777" s="1" t="str">
        <f t="shared" si="13449"/>
        <v>0</v>
      </c>
      <c r="O7777" s="1" t="str">
        <f t="shared" si="13449"/>
        <v>0</v>
      </c>
      <c r="P7777" s="1" t="str">
        <f t="shared" si="13449"/>
        <v>0</v>
      </c>
      <c r="Q7777" s="1" t="str">
        <f t="shared" si="13417"/>
        <v>0.0070</v>
      </c>
      <c r="R7777" s="1" t="s">
        <v>25</v>
      </c>
      <c r="T7777" s="1" t="str">
        <f t="shared" si="13418"/>
        <v>0</v>
      </c>
      <c r="U7777" s="1" t="str">
        <f t="shared" si="13428"/>
        <v>0.0070</v>
      </c>
    </row>
    <row r="7778" s="1" customFormat="1" spans="1:21">
      <c r="A7778" s="1" t="str">
        <f>"4601992358512"</f>
        <v>4601992358512</v>
      </c>
      <c r="B7778" s="1" t="s">
        <v>7801</v>
      </c>
      <c r="C7778" s="1" t="s">
        <v>24</v>
      </c>
      <c r="D7778" s="1" t="str">
        <f t="shared" si="13415"/>
        <v>2021</v>
      </c>
      <c r="E7778" s="1" t="str">
        <f t="shared" ref="E7778:P7778" si="13450">"0"</f>
        <v>0</v>
      </c>
      <c r="F7778" s="1" t="str">
        <f t="shared" si="13450"/>
        <v>0</v>
      </c>
      <c r="G7778" s="1" t="str">
        <f t="shared" si="13450"/>
        <v>0</v>
      </c>
      <c r="H7778" s="1" t="str">
        <f t="shared" si="13450"/>
        <v>0</v>
      </c>
      <c r="I7778" s="1" t="str">
        <f t="shared" si="13450"/>
        <v>0</v>
      </c>
      <c r="J7778" s="1" t="str">
        <f t="shared" si="13450"/>
        <v>0</v>
      </c>
      <c r="K7778" s="1" t="str">
        <f t="shared" si="13450"/>
        <v>0</v>
      </c>
      <c r="L7778" s="1" t="str">
        <f t="shared" si="13450"/>
        <v>0</v>
      </c>
      <c r="M7778" s="1" t="str">
        <f t="shared" si="13450"/>
        <v>0</v>
      </c>
      <c r="N7778" s="1" t="str">
        <f t="shared" si="13450"/>
        <v>0</v>
      </c>
      <c r="O7778" s="1" t="str">
        <f t="shared" si="13450"/>
        <v>0</v>
      </c>
      <c r="P7778" s="1" t="str">
        <f t="shared" si="13450"/>
        <v>0</v>
      </c>
      <c r="Q7778" s="1" t="str">
        <f t="shared" si="13417"/>
        <v>0.0070</v>
      </c>
      <c r="R7778" s="1" t="s">
        <v>25</v>
      </c>
      <c r="T7778" s="1" t="str">
        <f t="shared" si="13418"/>
        <v>0</v>
      </c>
      <c r="U7778" s="1" t="str">
        <f t="shared" si="13428"/>
        <v>0.0070</v>
      </c>
    </row>
    <row r="7779" s="1" customFormat="1" spans="1:21">
      <c r="A7779" s="1" t="str">
        <f>"4601991402243"</f>
        <v>4601991402243</v>
      </c>
      <c r="B7779" s="1" t="s">
        <v>7802</v>
      </c>
      <c r="C7779" s="1" t="s">
        <v>24</v>
      </c>
      <c r="D7779" s="1" t="str">
        <f t="shared" si="13415"/>
        <v>2021</v>
      </c>
      <c r="E7779" s="1" t="str">
        <f>"26847.41"</f>
        <v>26847.41</v>
      </c>
      <c r="F7779" s="1" t="str">
        <f t="shared" ref="F7779:I7779" si="13451">"0"</f>
        <v>0</v>
      </c>
      <c r="G7779" s="1" t="str">
        <f t="shared" si="13451"/>
        <v>0</v>
      </c>
      <c r="H7779" s="1" t="str">
        <f t="shared" si="13451"/>
        <v>0</v>
      </c>
      <c r="I7779" s="1" t="str">
        <f t="shared" si="13451"/>
        <v>0</v>
      </c>
      <c r="J7779" s="1" t="str">
        <f>"195"</f>
        <v>195</v>
      </c>
      <c r="K7779" s="1" t="str">
        <f t="shared" ref="K7779:P7779" si="13452">"0"</f>
        <v>0</v>
      </c>
      <c r="L7779" s="1" t="str">
        <f t="shared" si="13452"/>
        <v>0</v>
      </c>
      <c r="M7779" s="1" t="str">
        <f t="shared" si="13452"/>
        <v>0</v>
      </c>
      <c r="N7779" s="1" t="str">
        <f t="shared" si="13452"/>
        <v>0</v>
      </c>
      <c r="O7779" s="1" t="str">
        <f t="shared" si="13452"/>
        <v>0</v>
      </c>
      <c r="P7779" s="1" t="str">
        <f t="shared" si="13452"/>
        <v>0</v>
      </c>
      <c r="Q7779" s="1" t="str">
        <f t="shared" si="13417"/>
        <v>0.0070</v>
      </c>
      <c r="R7779" s="1" t="s">
        <v>29</v>
      </c>
      <c r="S7779" s="1">
        <v>-0.0014</v>
      </c>
      <c r="T7779" s="1" t="str">
        <f t="shared" si="13418"/>
        <v>0</v>
      </c>
      <c r="U7779" s="1" t="str">
        <f>"0.0056"</f>
        <v>0.0056</v>
      </c>
    </row>
    <row r="7780" s="1" customFormat="1" spans="1:21">
      <c r="A7780" s="1" t="str">
        <f>"4601992358659"</f>
        <v>4601992358659</v>
      </c>
      <c r="B7780" s="1" t="s">
        <v>7803</v>
      </c>
      <c r="C7780" s="1" t="s">
        <v>24</v>
      </c>
      <c r="D7780" s="1" t="str">
        <f t="shared" si="13415"/>
        <v>2021</v>
      </c>
      <c r="E7780" s="1" t="str">
        <f t="shared" ref="E7780:P7780" si="13453">"0"</f>
        <v>0</v>
      </c>
      <c r="F7780" s="1" t="str">
        <f t="shared" si="13453"/>
        <v>0</v>
      </c>
      <c r="G7780" s="1" t="str">
        <f t="shared" si="13453"/>
        <v>0</v>
      </c>
      <c r="H7780" s="1" t="str">
        <f t="shared" si="13453"/>
        <v>0</v>
      </c>
      <c r="I7780" s="1" t="str">
        <f t="shared" si="13453"/>
        <v>0</v>
      </c>
      <c r="J7780" s="1" t="str">
        <f t="shared" si="13453"/>
        <v>0</v>
      </c>
      <c r="K7780" s="1" t="str">
        <f t="shared" si="13453"/>
        <v>0</v>
      </c>
      <c r="L7780" s="1" t="str">
        <f t="shared" si="13453"/>
        <v>0</v>
      </c>
      <c r="M7780" s="1" t="str">
        <f t="shared" si="13453"/>
        <v>0</v>
      </c>
      <c r="N7780" s="1" t="str">
        <f t="shared" si="13453"/>
        <v>0</v>
      </c>
      <c r="O7780" s="1" t="str">
        <f t="shared" si="13453"/>
        <v>0</v>
      </c>
      <c r="P7780" s="1" t="str">
        <f t="shared" si="13453"/>
        <v>0</v>
      </c>
      <c r="Q7780" s="1" t="str">
        <f t="shared" si="13417"/>
        <v>0.0070</v>
      </c>
      <c r="R7780" s="1" t="s">
        <v>25</v>
      </c>
      <c r="T7780" s="1" t="str">
        <f t="shared" si="13418"/>
        <v>0</v>
      </c>
      <c r="U7780" s="1" t="str">
        <f t="shared" ref="U7780:U7785" si="13454">"0.0070"</f>
        <v>0.0070</v>
      </c>
    </row>
    <row r="7781" s="1" customFormat="1" spans="1:21">
      <c r="A7781" s="1" t="str">
        <f>"4601992358693"</f>
        <v>4601992358693</v>
      </c>
      <c r="B7781" s="1" t="s">
        <v>7804</v>
      </c>
      <c r="C7781" s="1" t="s">
        <v>24</v>
      </c>
      <c r="D7781" s="1" t="str">
        <f t="shared" si="13415"/>
        <v>2021</v>
      </c>
      <c r="E7781" s="1" t="str">
        <f t="shared" ref="E7781:P7781" si="13455">"0"</f>
        <v>0</v>
      </c>
      <c r="F7781" s="1" t="str">
        <f t="shared" si="13455"/>
        <v>0</v>
      </c>
      <c r="G7781" s="1" t="str">
        <f t="shared" si="13455"/>
        <v>0</v>
      </c>
      <c r="H7781" s="1" t="str">
        <f t="shared" si="13455"/>
        <v>0</v>
      </c>
      <c r="I7781" s="1" t="str">
        <f t="shared" si="13455"/>
        <v>0</v>
      </c>
      <c r="J7781" s="1" t="str">
        <f t="shared" si="13455"/>
        <v>0</v>
      </c>
      <c r="K7781" s="1" t="str">
        <f t="shared" si="13455"/>
        <v>0</v>
      </c>
      <c r="L7781" s="1" t="str">
        <f t="shared" si="13455"/>
        <v>0</v>
      </c>
      <c r="M7781" s="1" t="str">
        <f t="shared" si="13455"/>
        <v>0</v>
      </c>
      <c r="N7781" s="1" t="str">
        <f t="shared" si="13455"/>
        <v>0</v>
      </c>
      <c r="O7781" s="1" t="str">
        <f t="shared" si="13455"/>
        <v>0</v>
      </c>
      <c r="P7781" s="1" t="str">
        <f t="shared" si="13455"/>
        <v>0</v>
      </c>
      <c r="Q7781" s="1" t="str">
        <f t="shared" si="13417"/>
        <v>0.0070</v>
      </c>
      <c r="R7781" s="1" t="s">
        <v>25</v>
      </c>
      <c r="T7781" s="1" t="str">
        <f t="shared" si="13418"/>
        <v>0</v>
      </c>
      <c r="U7781" s="1" t="str">
        <f t="shared" si="13454"/>
        <v>0.0070</v>
      </c>
    </row>
    <row r="7782" s="1" customFormat="1" spans="1:21">
      <c r="A7782" s="1" t="str">
        <f>"4601992359043"</f>
        <v>4601992359043</v>
      </c>
      <c r="B7782" s="1" t="s">
        <v>7805</v>
      </c>
      <c r="C7782" s="1" t="s">
        <v>24</v>
      </c>
      <c r="D7782" s="1" t="str">
        <f t="shared" si="13415"/>
        <v>2021</v>
      </c>
      <c r="E7782" s="1" t="str">
        <f t="shared" ref="E7782:P7782" si="13456">"0"</f>
        <v>0</v>
      </c>
      <c r="F7782" s="1" t="str">
        <f t="shared" si="13456"/>
        <v>0</v>
      </c>
      <c r="G7782" s="1" t="str">
        <f t="shared" si="13456"/>
        <v>0</v>
      </c>
      <c r="H7782" s="1" t="str">
        <f t="shared" si="13456"/>
        <v>0</v>
      </c>
      <c r="I7782" s="1" t="str">
        <f t="shared" si="13456"/>
        <v>0</v>
      </c>
      <c r="J7782" s="1" t="str">
        <f t="shared" si="13456"/>
        <v>0</v>
      </c>
      <c r="K7782" s="1" t="str">
        <f t="shared" si="13456"/>
        <v>0</v>
      </c>
      <c r="L7782" s="1" t="str">
        <f t="shared" si="13456"/>
        <v>0</v>
      </c>
      <c r="M7782" s="1" t="str">
        <f t="shared" si="13456"/>
        <v>0</v>
      </c>
      <c r="N7782" s="1" t="str">
        <f t="shared" si="13456"/>
        <v>0</v>
      </c>
      <c r="O7782" s="1" t="str">
        <f t="shared" si="13456"/>
        <v>0</v>
      </c>
      <c r="P7782" s="1" t="str">
        <f t="shared" si="13456"/>
        <v>0</v>
      </c>
      <c r="Q7782" s="1" t="str">
        <f t="shared" si="13417"/>
        <v>0.0070</v>
      </c>
      <c r="R7782" s="1" t="s">
        <v>25</v>
      </c>
      <c r="T7782" s="1" t="str">
        <f t="shared" si="13418"/>
        <v>0</v>
      </c>
      <c r="U7782" s="1" t="str">
        <f t="shared" si="13454"/>
        <v>0.0070</v>
      </c>
    </row>
    <row r="7783" s="1" customFormat="1" spans="1:21">
      <c r="A7783" s="1" t="str">
        <f>"4601992359094"</f>
        <v>4601992359094</v>
      </c>
      <c r="B7783" s="1" t="s">
        <v>7806</v>
      </c>
      <c r="C7783" s="1" t="s">
        <v>24</v>
      </c>
      <c r="D7783" s="1" t="str">
        <f t="shared" si="13415"/>
        <v>2021</v>
      </c>
      <c r="E7783" s="1" t="str">
        <f t="shared" ref="E7783:P7783" si="13457">"0"</f>
        <v>0</v>
      </c>
      <c r="F7783" s="1" t="str">
        <f t="shared" si="13457"/>
        <v>0</v>
      </c>
      <c r="G7783" s="1" t="str">
        <f t="shared" si="13457"/>
        <v>0</v>
      </c>
      <c r="H7783" s="1" t="str">
        <f t="shared" si="13457"/>
        <v>0</v>
      </c>
      <c r="I7783" s="1" t="str">
        <f t="shared" si="13457"/>
        <v>0</v>
      </c>
      <c r="J7783" s="1" t="str">
        <f t="shared" si="13457"/>
        <v>0</v>
      </c>
      <c r="K7783" s="1" t="str">
        <f t="shared" si="13457"/>
        <v>0</v>
      </c>
      <c r="L7783" s="1" t="str">
        <f t="shared" si="13457"/>
        <v>0</v>
      </c>
      <c r="M7783" s="1" t="str">
        <f t="shared" si="13457"/>
        <v>0</v>
      </c>
      <c r="N7783" s="1" t="str">
        <f t="shared" si="13457"/>
        <v>0</v>
      </c>
      <c r="O7783" s="1" t="str">
        <f t="shared" si="13457"/>
        <v>0</v>
      </c>
      <c r="P7783" s="1" t="str">
        <f t="shared" si="13457"/>
        <v>0</v>
      </c>
      <c r="Q7783" s="1" t="str">
        <f t="shared" si="13417"/>
        <v>0.0070</v>
      </c>
      <c r="R7783" s="1" t="s">
        <v>25</v>
      </c>
      <c r="T7783" s="1" t="str">
        <f t="shared" si="13418"/>
        <v>0</v>
      </c>
      <c r="U7783" s="1" t="str">
        <f t="shared" si="13454"/>
        <v>0.0070</v>
      </c>
    </row>
    <row r="7784" s="1" customFormat="1" spans="1:21">
      <c r="A7784" s="1" t="str">
        <f>"4601992359118"</f>
        <v>4601992359118</v>
      </c>
      <c r="B7784" s="1" t="s">
        <v>7807</v>
      </c>
      <c r="C7784" s="1" t="s">
        <v>24</v>
      </c>
      <c r="D7784" s="1" t="str">
        <f t="shared" si="13415"/>
        <v>2021</v>
      </c>
      <c r="E7784" s="1" t="str">
        <f t="shared" ref="E7784:P7784" si="13458">"0"</f>
        <v>0</v>
      </c>
      <c r="F7784" s="1" t="str">
        <f t="shared" si="13458"/>
        <v>0</v>
      </c>
      <c r="G7784" s="1" t="str">
        <f t="shared" si="13458"/>
        <v>0</v>
      </c>
      <c r="H7784" s="1" t="str">
        <f t="shared" si="13458"/>
        <v>0</v>
      </c>
      <c r="I7784" s="1" t="str">
        <f t="shared" si="13458"/>
        <v>0</v>
      </c>
      <c r="J7784" s="1" t="str">
        <f t="shared" si="13458"/>
        <v>0</v>
      </c>
      <c r="K7784" s="1" t="str">
        <f t="shared" si="13458"/>
        <v>0</v>
      </c>
      <c r="L7784" s="1" t="str">
        <f t="shared" si="13458"/>
        <v>0</v>
      </c>
      <c r="M7784" s="1" t="str">
        <f t="shared" si="13458"/>
        <v>0</v>
      </c>
      <c r="N7784" s="1" t="str">
        <f t="shared" si="13458"/>
        <v>0</v>
      </c>
      <c r="O7784" s="1" t="str">
        <f t="shared" si="13458"/>
        <v>0</v>
      </c>
      <c r="P7784" s="1" t="str">
        <f t="shared" si="13458"/>
        <v>0</v>
      </c>
      <c r="Q7784" s="1" t="str">
        <f t="shared" si="13417"/>
        <v>0.0070</v>
      </c>
      <c r="R7784" s="1" t="s">
        <v>25</v>
      </c>
      <c r="T7784" s="1" t="str">
        <f t="shared" si="13418"/>
        <v>0</v>
      </c>
      <c r="U7784" s="1" t="str">
        <f t="shared" si="13454"/>
        <v>0.0070</v>
      </c>
    </row>
    <row r="7785" s="1" customFormat="1" spans="1:21">
      <c r="A7785" s="1" t="str">
        <f>"4601992359136"</f>
        <v>4601992359136</v>
      </c>
      <c r="B7785" s="1" t="s">
        <v>7808</v>
      </c>
      <c r="C7785" s="1" t="s">
        <v>24</v>
      </c>
      <c r="D7785" s="1" t="str">
        <f t="shared" si="13415"/>
        <v>2021</v>
      </c>
      <c r="E7785" s="1" t="str">
        <f t="shared" ref="E7785:P7785" si="13459">"0"</f>
        <v>0</v>
      </c>
      <c r="F7785" s="1" t="str">
        <f t="shared" si="13459"/>
        <v>0</v>
      </c>
      <c r="G7785" s="1" t="str">
        <f t="shared" si="13459"/>
        <v>0</v>
      </c>
      <c r="H7785" s="1" t="str">
        <f t="shared" si="13459"/>
        <v>0</v>
      </c>
      <c r="I7785" s="1" t="str">
        <f t="shared" si="13459"/>
        <v>0</v>
      </c>
      <c r="J7785" s="1" t="str">
        <f t="shared" si="13459"/>
        <v>0</v>
      </c>
      <c r="K7785" s="1" t="str">
        <f t="shared" si="13459"/>
        <v>0</v>
      </c>
      <c r="L7785" s="1" t="str">
        <f t="shared" si="13459"/>
        <v>0</v>
      </c>
      <c r="M7785" s="1" t="str">
        <f t="shared" si="13459"/>
        <v>0</v>
      </c>
      <c r="N7785" s="1" t="str">
        <f t="shared" si="13459"/>
        <v>0</v>
      </c>
      <c r="O7785" s="1" t="str">
        <f t="shared" si="13459"/>
        <v>0</v>
      </c>
      <c r="P7785" s="1" t="str">
        <f t="shared" si="13459"/>
        <v>0</v>
      </c>
      <c r="Q7785" s="1" t="str">
        <f t="shared" si="13417"/>
        <v>0.0070</v>
      </c>
      <c r="R7785" s="1" t="s">
        <v>25</v>
      </c>
      <c r="T7785" s="1" t="str">
        <f t="shared" si="13418"/>
        <v>0</v>
      </c>
      <c r="U7785" s="1" t="str">
        <f t="shared" si="13454"/>
        <v>0.0070</v>
      </c>
    </row>
    <row r="7786" s="1" customFormat="1" spans="1:21">
      <c r="A7786" s="1" t="str">
        <f>"4601992063973"</f>
        <v>4601992063973</v>
      </c>
      <c r="B7786" s="1" t="s">
        <v>7809</v>
      </c>
      <c r="C7786" s="1" t="s">
        <v>24</v>
      </c>
      <c r="D7786" s="1" t="str">
        <f t="shared" si="13415"/>
        <v>2021</v>
      </c>
      <c r="E7786" s="1" t="str">
        <f>"71.88"</f>
        <v>71.88</v>
      </c>
      <c r="F7786" s="1" t="str">
        <f t="shared" ref="F7786:I7786" si="13460">"0"</f>
        <v>0</v>
      </c>
      <c r="G7786" s="1" t="str">
        <f t="shared" si="13460"/>
        <v>0</v>
      </c>
      <c r="H7786" s="1" t="str">
        <f t="shared" si="13460"/>
        <v>0</v>
      </c>
      <c r="I7786" s="1" t="str">
        <f t="shared" si="13460"/>
        <v>0</v>
      </c>
      <c r="J7786" s="1" t="str">
        <f>"9"</f>
        <v>9</v>
      </c>
      <c r="K7786" s="1" t="str">
        <f t="shared" ref="K7786:P7786" si="13461">"0"</f>
        <v>0</v>
      </c>
      <c r="L7786" s="1" t="str">
        <f t="shared" si="13461"/>
        <v>0</v>
      </c>
      <c r="M7786" s="1" t="str">
        <f t="shared" si="13461"/>
        <v>0</v>
      </c>
      <c r="N7786" s="1" t="str">
        <f t="shared" si="13461"/>
        <v>0</v>
      </c>
      <c r="O7786" s="1" t="str">
        <f t="shared" si="13461"/>
        <v>0</v>
      </c>
      <c r="P7786" s="1" t="str">
        <f t="shared" si="13461"/>
        <v>0</v>
      </c>
      <c r="Q7786" s="1" t="str">
        <f t="shared" si="13417"/>
        <v>0.0070</v>
      </c>
      <c r="R7786" s="1" t="s">
        <v>29</v>
      </c>
      <c r="S7786" s="1">
        <v>-0.0014</v>
      </c>
      <c r="T7786" s="1" t="str">
        <f t="shared" si="13418"/>
        <v>0</v>
      </c>
      <c r="U7786" s="1" t="str">
        <f>"0.0056"</f>
        <v>0.0056</v>
      </c>
    </row>
    <row r="7787" s="1" customFormat="1" spans="1:21">
      <c r="A7787" s="1" t="str">
        <f>"4601992359180"</f>
        <v>4601992359180</v>
      </c>
      <c r="B7787" s="1" t="s">
        <v>7810</v>
      </c>
      <c r="C7787" s="1" t="s">
        <v>24</v>
      </c>
      <c r="D7787" s="1" t="str">
        <f t="shared" si="13415"/>
        <v>2021</v>
      </c>
      <c r="E7787" s="1" t="str">
        <f t="shared" ref="E7787:P7787" si="13462">"0"</f>
        <v>0</v>
      </c>
      <c r="F7787" s="1" t="str">
        <f t="shared" si="13462"/>
        <v>0</v>
      </c>
      <c r="G7787" s="1" t="str">
        <f t="shared" si="13462"/>
        <v>0</v>
      </c>
      <c r="H7787" s="1" t="str">
        <f t="shared" si="13462"/>
        <v>0</v>
      </c>
      <c r="I7787" s="1" t="str">
        <f t="shared" si="13462"/>
        <v>0</v>
      </c>
      <c r="J7787" s="1" t="str">
        <f t="shared" si="13462"/>
        <v>0</v>
      </c>
      <c r="K7787" s="1" t="str">
        <f t="shared" si="13462"/>
        <v>0</v>
      </c>
      <c r="L7787" s="1" t="str">
        <f t="shared" si="13462"/>
        <v>0</v>
      </c>
      <c r="M7787" s="1" t="str">
        <f t="shared" si="13462"/>
        <v>0</v>
      </c>
      <c r="N7787" s="1" t="str">
        <f t="shared" si="13462"/>
        <v>0</v>
      </c>
      <c r="O7787" s="1" t="str">
        <f t="shared" si="13462"/>
        <v>0</v>
      </c>
      <c r="P7787" s="1" t="str">
        <f t="shared" si="13462"/>
        <v>0</v>
      </c>
      <c r="Q7787" s="1" t="str">
        <f t="shared" si="13417"/>
        <v>0.0070</v>
      </c>
      <c r="R7787" s="1" t="s">
        <v>25</v>
      </c>
      <c r="T7787" s="1" t="str">
        <f t="shared" si="13418"/>
        <v>0</v>
      </c>
      <c r="U7787" s="1" t="str">
        <f t="shared" ref="U7787:U7850" si="13463">"0.0070"</f>
        <v>0.0070</v>
      </c>
    </row>
    <row r="7788" s="1" customFormat="1" spans="1:21">
      <c r="A7788" s="1" t="str">
        <f>"4601992359174"</f>
        <v>4601992359174</v>
      </c>
      <c r="B7788" s="1" t="s">
        <v>7811</v>
      </c>
      <c r="C7788" s="1" t="s">
        <v>24</v>
      </c>
      <c r="D7788" s="1" t="str">
        <f t="shared" si="13415"/>
        <v>2021</v>
      </c>
      <c r="E7788" s="1" t="str">
        <f t="shared" ref="E7788:P7788" si="13464">"0"</f>
        <v>0</v>
      </c>
      <c r="F7788" s="1" t="str">
        <f t="shared" si="13464"/>
        <v>0</v>
      </c>
      <c r="G7788" s="1" t="str">
        <f t="shared" si="13464"/>
        <v>0</v>
      </c>
      <c r="H7788" s="1" t="str">
        <f t="shared" si="13464"/>
        <v>0</v>
      </c>
      <c r="I7788" s="1" t="str">
        <f t="shared" si="13464"/>
        <v>0</v>
      </c>
      <c r="J7788" s="1" t="str">
        <f t="shared" si="13464"/>
        <v>0</v>
      </c>
      <c r="K7788" s="1" t="str">
        <f t="shared" si="13464"/>
        <v>0</v>
      </c>
      <c r="L7788" s="1" t="str">
        <f t="shared" si="13464"/>
        <v>0</v>
      </c>
      <c r="M7788" s="1" t="str">
        <f t="shared" si="13464"/>
        <v>0</v>
      </c>
      <c r="N7788" s="1" t="str">
        <f t="shared" si="13464"/>
        <v>0</v>
      </c>
      <c r="O7788" s="1" t="str">
        <f t="shared" si="13464"/>
        <v>0</v>
      </c>
      <c r="P7788" s="1" t="str">
        <f t="shared" si="13464"/>
        <v>0</v>
      </c>
      <c r="Q7788" s="1" t="str">
        <f t="shared" si="13417"/>
        <v>0.0070</v>
      </c>
      <c r="R7788" s="1" t="s">
        <v>25</v>
      </c>
      <c r="T7788" s="1" t="str">
        <f t="shared" si="13418"/>
        <v>0</v>
      </c>
      <c r="U7788" s="1" t="str">
        <f t="shared" si="13463"/>
        <v>0.0070</v>
      </c>
    </row>
    <row r="7789" s="1" customFormat="1" spans="1:21">
      <c r="A7789" s="1" t="str">
        <f>"4601992359189"</f>
        <v>4601992359189</v>
      </c>
      <c r="B7789" s="1" t="s">
        <v>7812</v>
      </c>
      <c r="C7789" s="1" t="s">
        <v>24</v>
      </c>
      <c r="D7789" s="1" t="str">
        <f t="shared" si="13415"/>
        <v>2021</v>
      </c>
      <c r="E7789" s="1" t="str">
        <f t="shared" ref="E7789:P7789" si="13465">"0"</f>
        <v>0</v>
      </c>
      <c r="F7789" s="1" t="str">
        <f t="shared" si="13465"/>
        <v>0</v>
      </c>
      <c r="G7789" s="1" t="str">
        <f t="shared" si="13465"/>
        <v>0</v>
      </c>
      <c r="H7789" s="1" t="str">
        <f t="shared" si="13465"/>
        <v>0</v>
      </c>
      <c r="I7789" s="1" t="str">
        <f t="shared" si="13465"/>
        <v>0</v>
      </c>
      <c r="J7789" s="1" t="str">
        <f t="shared" si="13465"/>
        <v>0</v>
      </c>
      <c r="K7789" s="1" t="str">
        <f t="shared" si="13465"/>
        <v>0</v>
      </c>
      <c r="L7789" s="1" t="str">
        <f t="shared" si="13465"/>
        <v>0</v>
      </c>
      <c r="M7789" s="1" t="str">
        <f t="shared" si="13465"/>
        <v>0</v>
      </c>
      <c r="N7789" s="1" t="str">
        <f t="shared" si="13465"/>
        <v>0</v>
      </c>
      <c r="O7789" s="1" t="str">
        <f t="shared" si="13465"/>
        <v>0</v>
      </c>
      <c r="P7789" s="1" t="str">
        <f t="shared" si="13465"/>
        <v>0</v>
      </c>
      <c r="Q7789" s="1" t="str">
        <f t="shared" si="13417"/>
        <v>0.0070</v>
      </c>
      <c r="R7789" s="1" t="s">
        <v>25</v>
      </c>
      <c r="T7789" s="1" t="str">
        <f t="shared" si="13418"/>
        <v>0</v>
      </c>
      <c r="U7789" s="1" t="str">
        <f t="shared" si="13463"/>
        <v>0.0070</v>
      </c>
    </row>
    <row r="7790" s="1" customFormat="1" spans="1:21">
      <c r="A7790" s="1" t="str">
        <f>"4601992359204"</f>
        <v>4601992359204</v>
      </c>
      <c r="B7790" s="1" t="s">
        <v>7813</v>
      </c>
      <c r="C7790" s="1" t="s">
        <v>24</v>
      </c>
      <c r="D7790" s="1" t="str">
        <f t="shared" si="13415"/>
        <v>2021</v>
      </c>
      <c r="E7790" s="1" t="str">
        <f t="shared" ref="E7790:P7790" si="13466">"0"</f>
        <v>0</v>
      </c>
      <c r="F7790" s="1" t="str">
        <f t="shared" si="13466"/>
        <v>0</v>
      </c>
      <c r="G7790" s="1" t="str">
        <f t="shared" si="13466"/>
        <v>0</v>
      </c>
      <c r="H7790" s="1" t="str">
        <f t="shared" si="13466"/>
        <v>0</v>
      </c>
      <c r="I7790" s="1" t="str">
        <f t="shared" si="13466"/>
        <v>0</v>
      </c>
      <c r="J7790" s="1" t="str">
        <f t="shared" si="13466"/>
        <v>0</v>
      </c>
      <c r="K7790" s="1" t="str">
        <f t="shared" si="13466"/>
        <v>0</v>
      </c>
      <c r="L7790" s="1" t="str">
        <f t="shared" si="13466"/>
        <v>0</v>
      </c>
      <c r="M7790" s="1" t="str">
        <f t="shared" si="13466"/>
        <v>0</v>
      </c>
      <c r="N7790" s="1" t="str">
        <f t="shared" si="13466"/>
        <v>0</v>
      </c>
      <c r="O7790" s="1" t="str">
        <f t="shared" si="13466"/>
        <v>0</v>
      </c>
      <c r="P7790" s="1" t="str">
        <f t="shared" si="13466"/>
        <v>0</v>
      </c>
      <c r="Q7790" s="1" t="str">
        <f t="shared" si="13417"/>
        <v>0.0070</v>
      </c>
      <c r="R7790" s="1" t="s">
        <v>25</v>
      </c>
      <c r="T7790" s="1" t="str">
        <f t="shared" si="13418"/>
        <v>0</v>
      </c>
      <c r="U7790" s="1" t="str">
        <f t="shared" si="13463"/>
        <v>0.0070</v>
      </c>
    </row>
    <row r="7791" s="1" customFormat="1" spans="1:21">
      <c r="A7791" s="1" t="str">
        <f>"4601992359195"</f>
        <v>4601992359195</v>
      </c>
      <c r="B7791" s="1" t="s">
        <v>7814</v>
      </c>
      <c r="C7791" s="1" t="s">
        <v>24</v>
      </c>
      <c r="D7791" s="1" t="str">
        <f t="shared" si="13415"/>
        <v>2021</v>
      </c>
      <c r="E7791" s="1" t="str">
        <f t="shared" ref="E7791:P7791" si="13467">"0"</f>
        <v>0</v>
      </c>
      <c r="F7791" s="1" t="str">
        <f t="shared" si="13467"/>
        <v>0</v>
      </c>
      <c r="G7791" s="1" t="str">
        <f t="shared" si="13467"/>
        <v>0</v>
      </c>
      <c r="H7791" s="1" t="str">
        <f t="shared" si="13467"/>
        <v>0</v>
      </c>
      <c r="I7791" s="1" t="str">
        <f t="shared" si="13467"/>
        <v>0</v>
      </c>
      <c r="J7791" s="1" t="str">
        <f t="shared" si="13467"/>
        <v>0</v>
      </c>
      <c r="K7791" s="1" t="str">
        <f t="shared" si="13467"/>
        <v>0</v>
      </c>
      <c r="L7791" s="1" t="str">
        <f t="shared" si="13467"/>
        <v>0</v>
      </c>
      <c r="M7791" s="1" t="str">
        <f t="shared" si="13467"/>
        <v>0</v>
      </c>
      <c r="N7791" s="1" t="str">
        <f t="shared" si="13467"/>
        <v>0</v>
      </c>
      <c r="O7791" s="1" t="str">
        <f t="shared" si="13467"/>
        <v>0</v>
      </c>
      <c r="P7791" s="1" t="str">
        <f t="shared" si="13467"/>
        <v>0</v>
      </c>
      <c r="Q7791" s="1" t="str">
        <f t="shared" si="13417"/>
        <v>0.0070</v>
      </c>
      <c r="R7791" s="1" t="s">
        <v>25</v>
      </c>
      <c r="T7791" s="1" t="str">
        <f t="shared" si="13418"/>
        <v>0</v>
      </c>
      <c r="U7791" s="1" t="str">
        <f t="shared" si="13463"/>
        <v>0.0070</v>
      </c>
    </row>
    <row r="7792" s="1" customFormat="1" spans="1:21">
      <c r="A7792" s="1" t="str">
        <f>"4601992359202"</f>
        <v>4601992359202</v>
      </c>
      <c r="B7792" s="1" t="s">
        <v>7815</v>
      </c>
      <c r="C7792" s="1" t="s">
        <v>24</v>
      </c>
      <c r="D7792" s="1" t="str">
        <f t="shared" si="13415"/>
        <v>2021</v>
      </c>
      <c r="E7792" s="1" t="str">
        <f t="shared" ref="E7792:P7792" si="13468">"0"</f>
        <v>0</v>
      </c>
      <c r="F7792" s="1" t="str">
        <f t="shared" si="13468"/>
        <v>0</v>
      </c>
      <c r="G7792" s="1" t="str">
        <f t="shared" si="13468"/>
        <v>0</v>
      </c>
      <c r="H7792" s="1" t="str">
        <f t="shared" si="13468"/>
        <v>0</v>
      </c>
      <c r="I7792" s="1" t="str">
        <f t="shared" si="13468"/>
        <v>0</v>
      </c>
      <c r="J7792" s="1" t="str">
        <f t="shared" si="13468"/>
        <v>0</v>
      </c>
      <c r="K7792" s="1" t="str">
        <f t="shared" si="13468"/>
        <v>0</v>
      </c>
      <c r="L7792" s="1" t="str">
        <f t="shared" si="13468"/>
        <v>0</v>
      </c>
      <c r="M7792" s="1" t="str">
        <f t="shared" si="13468"/>
        <v>0</v>
      </c>
      <c r="N7792" s="1" t="str">
        <f t="shared" si="13468"/>
        <v>0</v>
      </c>
      <c r="O7792" s="1" t="str">
        <f t="shared" si="13468"/>
        <v>0</v>
      </c>
      <c r="P7792" s="1" t="str">
        <f t="shared" si="13468"/>
        <v>0</v>
      </c>
      <c r="Q7792" s="1" t="str">
        <f t="shared" si="13417"/>
        <v>0.0070</v>
      </c>
      <c r="R7792" s="1" t="s">
        <v>25</v>
      </c>
      <c r="T7792" s="1" t="str">
        <f t="shared" si="13418"/>
        <v>0</v>
      </c>
      <c r="U7792" s="1" t="str">
        <f t="shared" si="13463"/>
        <v>0.0070</v>
      </c>
    </row>
    <row r="7793" s="1" customFormat="1" spans="1:21">
      <c r="A7793" s="1" t="str">
        <f>"4601992359205"</f>
        <v>4601992359205</v>
      </c>
      <c r="B7793" s="1" t="s">
        <v>7816</v>
      </c>
      <c r="C7793" s="1" t="s">
        <v>24</v>
      </c>
      <c r="D7793" s="1" t="str">
        <f t="shared" si="13415"/>
        <v>2021</v>
      </c>
      <c r="E7793" s="1" t="str">
        <f t="shared" ref="E7793:P7793" si="13469">"0"</f>
        <v>0</v>
      </c>
      <c r="F7793" s="1" t="str">
        <f t="shared" si="13469"/>
        <v>0</v>
      </c>
      <c r="G7793" s="1" t="str">
        <f t="shared" si="13469"/>
        <v>0</v>
      </c>
      <c r="H7793" s="1" t="str">
        <f t="shared" si="13469"/>
        <v>0</v>
      </c>
      <c r="I7793" s="1" t="str">
        <f t="shared" si="13469"/>
        <v>0</v>
      </c>
      <c r="J7793" s="1" t="str">
        <f t="shared" si="13469"/>
        <v>0</v>
      </c>
      <c r="K7793" s="1" t="str">
        <f t="shared" si="13469"/>
        <v>0</v>
      </c>
      <c r="L7793" s="1" t="str">
        <f t="shared" si="13469"/>
        <v>0</v>
      </c>
      <c r="M7793" s="1" t="str">
        <f t="shared" si="13469"/>
        <v>0</v>
      </c>
      <c r="N7793" s="1" t="str">
        <f t="shared" si="13469"/>
        <v>0</v>
      </c>
      <c r="O7793" s="1" t="str">
        <f t="shared" si="13469"/>
        <v>0</v>
      </c>
      <c r="P7793" s="1" t="str">
        <f t="shared" si="13469"/>
        <v>0</v>
      </c>
      <c r="Q7793" s="1" t="str">
        <f t="shared" si="13417"/>
        <v>0.0070</v>
      </c>
      <c r="R7793" s="1" t="s">
        <v>25</v>
      </c>
      <c r="T7793" s="1" t="str">
        <f t="shared" si="13418"/>
        <v>0</v>
      </c>
      <c r="U7793" s="1" t="str">
        <f t="shared" si="13463"/>
        <v>0.0070</v>
      </c>
    </row>
    <row r="7794" s="1" customFormat="1" spans="1:21">
      <c r="A7794" s="1" t="str">
        <f>"4601992359209"</f>
        <v>4601992359209</v>
      </c>
      <c r="B7794" s="1" t="s">
        <v>7817</v>
      </c>
      <c r="C7794" s="1" t="s">
        <v>24</v>
      </c>
      <c r="D7794" s="1" t="str">
        <f t="shared" si="13415"/>
        <v>2021</v>
      </c>
      <c r="E7794" s="1" t="str">
        <f t="shared" ref="E7794:P7794" si="13470">"0"</f>
        <v>0</v>
      </c>
      <c r="F7794" s="1" t="str">
        <f t="shared" si="13470"/>
        <v>0</v>
      </c>
      <c r="G7794" s="1" t="str">
        <f t="shared" si="13470"/>
        <v>0</v>
      </c>
      <c r="H7794" s="1" t="str">
        <f t="shared" si="13470"/>
        <v>0</v>
      </c>
      <c r="I7794" s="1" t="str">
        <f t="shared" si="13470"/>
        <v>0</v>
      </c>
      <c r="J7794" s="1" t="str">
        <f t="shared" si="13470"/>
        <v>0</v>
      </c>
      <c r="K7794" s="1" t="str">
        <f t="shared" si="13470"/>
        <v>0</v>
      </c>
      <c r="L7794" s="1" t="str">
        <f t="shared" si="13470"/>
        <v>0</v>
      </c>
      <c r="M7794" s="1" t="str">
        <f t="shared" si="13470"/>
        <v>0</v>
      </c>
      <c r="N7794" s="1" t="str">
        <f t="shared" si="13470"/>
        <v>0</v>
      </c>
      <c r="O7794" s="1" t="str">
        <f t="shared" si="13470"/>
        <v>0</v>
      </c>
      <c r="P7794" s="1" t="str">
        <f t="shared" si="13470"/>
        <v>0</v>
      </c>
      <c r="Q7794" s="1" t="str">
        <f t="shared" si="13417"/>
        <v>0.0070</v>
      </c>
      <c r="R7794" s="1" t="s">
        <v>25</v>
      </c>
      <c r="T7794" s="1" t="str">
        <f t="shared" si="13418"/>
        <v>0</v>
      </c>
      <c r="U7794" s="1" t="str">
        <f t="shared" si="13463"/>
        <v>0.0070</v>
      </c>
    </row>
    <row r="7795" s="1" customFormat="1" spans="1:21">
      <c r="A7795" s="1" t="str">
        <f>"4601992359218"</f>
        <v>4601992359218</v>
      </c>
      <c r="B7795" s="1" t="s">
        <v>7818</v>
      </c>
      <c r="C7795" s="1" t="s">
        <v>24</v>
      </c>
      <c r="D7795" s="1" t="str">
        <f t="shared" si="13415"/>
        <v>2021</v>
      </c>
      <c r="E7795" s="1" t="str">
        <f t="shared" ref="E7795:P7795" si="13471">"0"</f>
        <v>0</v>
      </c>
      <c r="F7795" s="1" t="str">
        <f t="shared" si="13471"/>
        <v>0</v>
      </c>
      <c r="G7795" s="1" t="str">
        <f t="shared" si="13471"/>
        <v>0</v>
      </c>
      <c r="H7795" s="1" t="str">
        <f t="shared" si="13471"/>
        <v>0</v>
      </c>
      <c r="I7795" s="1" t="str">
        <f t="shared" si="13471"/>
        <v>0</v>
      </c>
      <c r="J7795" s="1" t="str">
        <f t="shared" si="13471"/>
        <v>0</v>
      </c>
      <c r="K7795" s="1" t="str">
        <f t="shared" si="13471"/>
        <v>0</v>
      </c>
      <c r="L7795" s="1" t="str">
        <f t="shared" si="13471"/>
        <v>0</v>
      </c>
      <c r="M7795" s="1" t="str">
        <f t="shared" si="13471"/>
        <v>0</v>
      </c>
      <c r="N7795" s="1" t="str">
        <f t="shared" si="13471"/>
        <v>0</v>
      </c>
      <c r="O7795" s="1" t="str">
        <f t="shared" si="13471"/>
        <v>0</v>
      </c>
      <c r="P7795" s="1" t="str">
        <f t="shared" si="13471"/>
        <v>0</v>
      </c>
      <c r="Q7795" s="1" t="str">
        <f t="shared" si="13417"/>
        <v>0.0070</v>
      </c>
      <c r="R7795" s="1" t="s">
        <v>25</v>
      </c>
      <c r="T7795" s="1" t="str">
        <f t="shared" si="13418"/>
        <v>0</v>
      </c>
      <c r="U7795" s="1" t="str">
        <f t="shared" si="13463"/>
        <v>0.0070</v>
      </c>
    </row>
    <row r="7796" s="1" customFormat="1" spans="1:21">
      <c r="A7796" s="1" t="str">
        <f>"4601992359217"</f>
        <v>4601992359217</v>
      </c>
      <c r="B7796" s="1" t="s">
        <v>7819</v>
      </c>
      <c r="C7796" s="1" t="s">
        <v>24</v>
      </c>
      <c r="D7796" s="1" t="str">
        <f t="shared" si="13415"/>
        <v>2021</v>
      </c>
      <c r="E7796" s="1" t="str">
        <f t="shared" ref="E7796:P7796" si="13472">"0"</f>
        <v>0</v>
      </c>
      <c r="F7796" s="1" t="str">
        <f t="shared" si="13472"/>
        <v>0</v>
      </c>
      <c r="G7796" s="1" t="str">
        <f t="shared" si="13472"/>
        <v>0</v>
      </c>
      <c r="H7796" s="1" t="str">
        <f t="shared" si="13472"/>
        <v>0</v>
      </c>
      <c r="I7796" s="1" t="str">
        <f t="shared" si="13472"/>
        <v>0</v>
      </c>
      <c r="J7796" s="1" t="str">
        <f t="shared" si="13472"/>
        <v>0</v>
      </c>
      <c r="K7796" s="1" t="str">
        <f t="shared" si="13472"/>
        <v>0</v>
      </c>
      <c r="L7796" s="1" t="str">
        <f t="shared" si="13472"/>
        <v>0</v>
      </c>
      <c r="M7796" s="1" t="str">
        <f t="shared" si="13472"/>
        <v>0</v>
      </c>
      <c r="N7796" s="1" t="str">
        <f t="shared" si="13472"/>
        <v>0</v>
      </c>
      <c r="O7796" s="1" t="str">
        <f t="shared" si="13472"/>
        <v>0</v>
      </c>
      <c r="P7796" s="1" t="str">
        <f t="shared" si="13472"/>
        <v>0</v>
      </c>
      <c r="Q7796" s="1" t="str">
        <f t="shared" si="13417"/>
        <v>0.0070</v>
      </c>
      <c r="R7796" s="1" t="s">
        <v>25</v>
      </c>
      <c r="T7796" s="1" t="str">
        <f t="shared" si="13418"/>
        <v>0</v>
      </c>
      <c r="U7796" s="1" t="str">
        <f t="shared" si="13463"/>
        <v>0.0070</v>
      </c>
    </row>
    <row r="7797" s="1" customFormat="1" spans="1:21">
      <c r="A7797" s="1" t="str">
        <f>"4601992359305"</f>
        <v>4601992359305</v>
      </c>
      <c r="B7797" s="1" t="s">
        <v>7820</v>
      </c>
      <c r="C7797" s="1" t="s">
        <v>24</v>
      </c>
      <c r="D7797" s="1" t="str">
        <f t="shared" si="13415"/>
        <v>2021</v>
      </c>
      <c r="E7797" s="1" t="str">
        <f t="shared" ref="E7797:P7797" si="13473">"0"</f>
        <v>0</v>
      </c>
      <c r="F7797" s="1" t="str">
        <f t="shared" si="13473"/>
        <v>0</v>
      </c>
      <c r="G7797" s="1" t="str">
        <f t="shared" si="13473"/>
        <v>0</v>
      </c>
      <c r="H7797" s="1" t="str">
        <f t="shared" si="13473"/>
        <v>0</v>
      </c>
      <c r="I7797" s="1" t="str">
        <f t="shared" si="13473"/>
        <v>0</v>
      </c>
      <c r="J7797" s="1" t="str">
        <f t="shared" si="13473"/>
        <v>0</v>
      </c>
      <c r="K7797" s="1" t="str">
        <f t="shared" si="13473"/>
        <v>0</v>
      </c>
      <c r="L7797" s="1" t="str">
        <f t="shared" si="13473"/>
        <v>0</v>
      </c>
      <c r="M7797" s="1" t="str">
        <f t="shared" si="13473"/>
        <v>0</v>
      </c>
      <c r="N7797" s="1" t="str">
        <f t="shared" si="13473"/>
        <v>0</v>
      </c>
      <c r="O7797" s="1" t="str">
        <f t="shared" si="13473"/>
        <v>0</v>
      </c>
      <c r="P7797" s="1" t="str">
        <f t="shared" si="13473"/>
        <v>0</v>
      </c>
      <c r="Q7797" s="1" t="str">
        <f t="shared" si="13417"/>
        <v>0.0070</v>
      </c>
      <c r="R7797" s="1" t="s">
        <v>25</v>
      </c>
      <c r="T7797" s="1" t="str">
        <f t="shared" si="13418"/>
        <v>0</v>
      </c>
      <c r="U7797" s="1" t="str">
        <f t="shared" si="13463"/>
        <v>0.0070</v>
      </c>
    </row>
    <row r="7798" s="1" customFormat="1" spans="1:21">
      <c r="A7798" s="1" t="str">
        <f>"4601992359664"</f>
        <v>4601992359664</v>
      </c>
      <c r="B7798" s="1" t="s">
        <v>7821</v>
      </c>
      <c r="C7798" s="1" t="s">
        <v>24</v>
      </c>
      <c r="D7798" s="1" t="str">
        <f t="shared" si="13415"/>
        <v>2021</v>
      </c>
      <c r="E7798" s="1" t="str">
        <f t="shared" ref="E7798:P7798" si="13474">"0"</f>
        <v>0</v>
      </c>
      <c r="F7798" s="1" t="str">
        <f t="shared" si="13474"/>
        <v>0</v>
      </c>
      <c r="G7798" s="1" t="str">
        <f t="shared" si="13474"/>
        <v>0</v>
      </c>
      <c r="H7798" s="1" t="str">
        <f t="shared" si="13474"/>
        <v>0</v>
      </c>
      <c r="I7798" s="1" t="str">
        <f t="shared" si="13474"/>
        <v>0</v>
      </c>
      <c r="J7798" s="1" t="str">
        <f t="shared" si="13474"/>
        <v>0</v>
      </c>
      <c r="K7798" s="1" t="str">
        <f t="shared" si="13474"/>
        <v>0</v>
      </c>
      <c r="L7798" s="1" t="str">
        <f t="shared" si="13474"/>
        <v>0</v>
      </c>
      <c r="M7798" s="1" t="str">
        <f t="shared" si="13474"/>
        <v>0</v>
      </c>
      <c r="N7798" s="1" t="str">
        <f t="shared" si="13474"/>
        <v>0</v>
      </c>
      <c r="O7798" s="1" t="str">
        <f t="shared" si="13474"/>
        <v>0</v>
      </c>
      <c r="P7798" s="1" t="str">
        <f t="shared" si="13474"/>
        <v>0</v>
      </c>
      <c r="Q7798" s="1" t="str">
        <f t="shared" si="13417"/>
        <v>0.0070</v>
      </c>
      <c r="R7798" s="1" t="s">
        <v>25</v>
      </c>
      <c r="T7798" s="1" t="str">
        <f t="shared" si="13418"/>
        <v>0</v>
      </c>
      <c r="U7798" s="1" t="str">
        <f t="shared" si="13463"/>
        <v>0.0070</v>
      </c>
    </row>
    <row r="7799" s="1" customFormat="1" spans="1:21">
      <c r="A7799" s="1" t="str">
        <f>"4601992359312"</f>
        <v>4601992359312</v>
      </c>
      <c r="B7799" s="1" t="s">
        <v>7822</v>
      </c>
      <c r="C7799" s="1" t="s">
        <v>24</v>
      </c>
      <c r="D7799" s="1" t="str">
        <f t="shared" si="13415"/>
        <v>2021</v>
      </c>
      <c r="E7799" s="1" t="str">
        <f t="shared" ref="E7799:P7799" si="13475">"0"</f>
        <v>0</v>
      </c>
      <c r="F7799" s="1" t="str">
        <f t="shared" si="13475"/>
        <v>0</v>
      </c>
      <c r="G7799" s="1" t="str">
        <f t="shared" si="13475"/>
        <v>0</v>
      </c>
      <c r="H7799" s="1" t="str">
        <f t="shared" si="13475"/>
        <v>0</v>
      </c>
      <c r="I7799" s="1" t="str">
        <f t="shared" si="13475"/>
        <v>0</v>
      </c>
      <c r="J7799" s="1" t="str">
        <f t="shared" si="13475"/>
        <v>0</v>
      </c>
      <c r="K7799" s="1" t="str">
        <f t="shared" si="13475"/>
        <v>0</v>
      </c>
      <c r="L7799" s="1" t="str">
        <f t="shared" si="13475"/>
        <v>0</v>
      </c>
      <c r="M7799" s="1" t="str">
        <f t="shared" si="13475"/>
        <v>0</v>
      </c>
      <c r="N7799" s="1" t="str">
        <f t="shared" si="13475"/>
        <v>0</v>
      </c>
      <c r="O7799" s="1" t="str">
        <f t="shared" si="13475"/>
        <v>0</v>
      </c>
      <c r="P7799" s="1" t="str">
        <f t="shared" si="13475"/>
        <v>0</v>
      </c>
      <c r="Q7799" s="1" t="str">
        <f t="shared" si="13417"/>
        <v>0.0070</v>
      </c>
      <c r="R7799" s="1" t="s">
        <v>25</v>
      </c>
      <c r="T7799" s="1" t="str">
        <f t="shared" si="13418"/>
        <v>0</v>
      </c>
      <c r="U7799" s="1" t="str">
        <f t="shared" si="13463"/>
        <v>0.0070</v>
      </c>
    </row>
    <row r="7800" s="1" customFormat="1" spans="1:21">
      <c r="A7800" s="1" t="str">
        <f>"4601992359636"</f>
        <v>4601992359636</v>
      </c>
      <c r="B7800" s="1" t="s">
        <v>7823</v>
      </c>
      <c r="C7800" s="1" t="s">
        <v>24</v>
      </c>
      <c r="D7800" s="1" t="str">
        <f t="shared" si="13415"/>
        <v>2021</v>
      </c>
      <c r="E7800" s="1" t="str">
        <f t="shared" ref="E7800:P7800" si="13476">"0"</f>
        <v>0</v>
      </c>
      <c r="F7800" s="1" t="str">
        <f t="shared" si="13476"/>
        <v>0</v>
      </c>
      <c r="G7800" s="1" t="str">
        <f t="shared" si="13476"/>
        <v>0</v>
      </c>
      <c r="H7800" s="1" t="str">
        <f t="shared" si="13476"/>
        <v>0</v>
      </c>
      <c r="I7800" s="1" t="str">
        <f t="shared" si="13476"/>
        <v>0</v>
      </c>
      <c r="J7800" s="1" t="str">
        <f t="shared" si="13476"/>
        <v>0</v>
      </c>
      <c r="K7800" s="1" t="str">
        <f t="shared" si="13476"/>
        <v>0</v>
      </c>
      <c r="L7800" s="1" t="str">
        <f t="shared" si="13476"/>
        <v>0</v>
      </c>
      <c r="M7800" s="1" t="str">
        <f t="shared" si="13476"/>
        <v>0</v>
      </c>
      <c r="N7800" s="1" t="str">
        <f t="shared" si="13476"/>
        <v>0</v>
      </c>
      <c r="O7800" s="1" t="str">
        <f t="shared" si="13476"/>
        <v>0</v>
      </c>
      <c r="P7800" s="1" t="str">
        <f t="shared" si="13476"/>
        <v>0</v>
      </c>
      <c r="Q7800" s="1" t="str">
        <f t="shared" si="13417"/>
        <v>0.0070</v>
      </c>
      <c r="R7800" s="1" t="s">
        <v>25</v>
      </c>
      <c r="T7800" s="1" t="str">
        <f t="shared" si="13418"/>
        <v>0</v>
      </c>
      <c r="U7800" s="1" t="str">
        <f t="shared" si="13463"/>
        <v>0.0070</v>
      </c>
    </row>
    <row r="7801" s="1" customFormat="1" spans="1:21">
      <c r="A7801" s="1" t="str">
        <f>"4601992359726"</f>
        <v>4601992359726</v>
      </c>
      <c r="B7801" s="1" t="s">
        <v>7824</v>
      </c>
      <c r="C7801" s="1" t="s">
        <v>24</v>
      </c>
      <c r="D7801" s="1" t="str">
        <f t="shared" si="13415"/>
        <v>2021</v>
      </c>
      <c r="E7801" s="1" t="str">
        <f t="shared" ref="E7801:P7801" si="13477">"0"</f>
        <v>0</v>
      </c>
      <c r="F7801" s="1" t="str">
        <f t="shared" si="13477"/>
        <v>0</v>
      </c>
      <c r="G7801" s="1" t="str">
        <f t="shared" si="13477"/>
        <v>0</v>
      </c>
      <c r="H7801" s="1" t="str">
        <f t="shared" si="13477"/>
        <v>0</v>
      </c>
      <c r="I7801" s="1" t="str">
        <f t="shared" si="13477"/>
        <v>0</v>
      </c>
      <c r="J7801" s="1" t="str">
        <f t="shared" si="13477"/>
        <v>0</v>
      </c>
      <c r="K7801" s="1" t="str">
        <f t="shared" si="13477"/>
        <v>0</v>
      </c>
      <c r="L7801" s="1" t="str">
        <f t="shared" si="13477"/>
        <v>0</v>
      </c>
      <c r="M7801" s="1" t="str">
        <f t="shared" si="13477"/>
        <v>0</v>
      </c>
      <c r="N7801" s="1" t="str">
        <f t="shared" si="13477"/>
        <v>0</v>
      </c>
      <c r="O7801" s="1" t="str">
        <f t="shared" si="13477"/>
        <v>0</v>
      </c>
      <c r="P7801" s="1" t="str">
        <f t="shared" si="13477"/>
        <v>0</v>
      </c>
      <c r="Q7801" s="1" t="str">
        <f t="shared" si="13417"/>
        <v>0.0070</v>
      </c>
      <c r="R7801" s="1" t="s">
        <v>25</v>
      </c>
      <c r="T7801" s="1" t="str">
        <f t="shared" si="13418"/>
        <v>0</v>
      </c>
      <c r="U7801" s="1" t="str">
        <f t="shared" si="13463"/>
        <v>0.0070</v>
      </c>
    </row>
    <row r="7802" s="1" customFormat="1" spans="1:21">
      <c r="A7802" s="1" t="str">
        <f>"4601992359988"</f>
        <v>4601992359988</v>
      </c>
      <c r="B7802" s="1" t="s">
        <v>7825</v>
      </c>
      <c r="C7802" s="1" t="s">
        <v>24</v>
      </c>
      <c r="D7802" s="1" t="str">
        <f t="shared" si="13415"/>
        <v>2021</v>
      </c>
      <c r="E7802" s="1" t="str">
        <f t="shared" ref="E7802:P7802" si="13478">"0"</f>
        <v>0</v>
      </c>
      <c r="F7802" s="1" t="str">
        <f t="shared" si="13478"/>
        <v>0</v>
      </c>
      <c r="G7802" s="1" t="str">
        <f t="shared" si="13478"/>
        <v>0</v>
      </c>
      <c r="H7802" s="1" t="str">
        <f t="shared" si="13478"/>
        <v>0</v>
      </c>
      <c r="I7802" s="1" t="str">
        <f t="shared" si="13478"/>
        <v>0</v>
      </c>
      <c r="J7802" s="1" t="str">
        <f t="shared" si="13478"/>
        <v>0</v>
      </c>
      <c r="K7802" s="1" t="str">
        <f t="shared" si="13478"/>
        <v>0</v>
      </c>
      <c r="L7802" s="1" t="str">
        <f t="shared" si="13478"/>
        <v>0</v>
      </c>
      <c r="M7802" s="1" t="str">
        <f t="shared" si="13478"/>
        <v>0</v>
      </c>
      <c r="N7802" s="1" t="str">
        <f t="shared" si="13478"/>
        <v>0</v>
      </c>
      <c r="O7802" s="1" t="str">
        <f t="shared" si="13478"/>
        <v>0</v>
      </c>
      <c r="P7802" s="1" t="str">
        <f t="shared" si="13478"/>
        <v>0</v>
      </c>
      <c r="Q7802" s="1" t="str">
        <f t="shared" si="13417"/>
        <v>0.0070</v>
      </c>
      <c r="R7802" s="1" t="s">
        <v>25</v>
      </c>
      <c r="T7802" s="1" t="str">
        <f t="shared" si="13418"/>
        <v>0</v>
      </c>
      <c r="U7802" s="1" t="str">
        <f t="shared" si="13463"/>
        <v>0.0070</v>
      </c>
    </row>
    <row r="7803" s="1" customFormat="1" spans="1:21">
      <c r="A7803" s="1" t="str">
        <f>"4601992359998"</f>
        <v>4601992359998</v>
      </c>
      <c r="B7803" s="1" t="s">
        <v>7826</v>
      </c>
      <c r="C7803" s="1" t="s">
        <v>24</v>
      </c>
      <c r="D7803" s="1" t="str">
        <f t="shared" si="13415"/>
        <v>2021</v>
      </c>
      <c r="E7803" s="1" t="str">
        <f t="shared" ref="E7803:P7803" si="13479">"0"</f>
        <v>0</v>
      </c>
      <c r="F7803" s="1" t="str">
        <f t="shared" si="13479"/>
        <v>0</v>
      </c>
      <c r="G7803" s="1" t="str">
        <f t="shared" si="13479"/>
        <v>0</v>
      </c>
      <c r="H7803" s="1" t="str">
        <f t="shared" si="13479"/>
        <v>0</v>
      </c>
      <c r="I7803" s="1" t="str">
        <f t="shared" si="13479"/>
        <v>0</v>
      </c>
      <c r="J7803" s="1" t="str">
        <f t="shared" si="13479"/>
        <v>0</v>
      </c>
      <c r="K7803" s="1" t="str">
        <f t="shared" si="13479"/>
        <v>0</v>
      </c>
      <c r="L7803" s="1" t="str">
        <f t="shared" si="13479"/>
        <v>0</v>
      </c>
      <c r="M7803" s="1" t="str">
        <f t="shared" si="13479"/>
        <v>0</v>
      </c>
      <c r="N7803" s="1" t="str">
        <f t="shared" si="13479"/>
        <v>0</v>
      </c>
      <c r="O7803" s="1" t="str">
        <f t="shared" si="13479"/>
        <v>0</v>
      </c>
      <c r="P7803" s="1" t="str">
        <f t="shared" si="13479"/>
        <v>0</v>
      </c>
      <c r="Q7803" s="1" t="str">
        <f t="shared" si="13417"/>
        <v>0.0070</v>
      </c>
      <c r="R7803" s="1" t="s">
        <v>25</v>
      </c>
      <c r="T7803" s="1" t="str">
        <f t="shared" si="13418"/>
        <v>0</v>
      </c>
      <c r="U7803" s="1" t="str">
        <f t="shared" si="13463"/>
        <v>0.0070</v>
      </c>
    </row>
    <row r="7804" s="1" customFormat="1" spans="1:21">
      <c r="A7804" s="1" t="str">
        <f>"4601992360058"</f>
        <v>4601992360058</v>
      </c>
      <c r="B7804" s="1" t="s">
        <v>7827</v>
      </c>
      <c r="C7804" s="1" t="s">
        <v>24</v>
      </c>
      <c r="D7804" s="1" t="str">
        <f t="shared" si="13415"/>
        <v>2021</v>
      </c>
      <c r="E7804" s="1" t="str">
        <f t="shared" ref="E7804:P7804" si="13480">"0"</f>
        <v>0</v>
      </c>
      <c r="F7804" s="1" t="str">
        <f t="shared" si="13480"/>
        <v>0</v>
      </c>
      <c r="G7804" s="1" t="str">
        <f t="shared" si="13480"/>
        <v>0</v>
      </c>
      <c r="H7804" s="1" t="str">
        <f t="shared" si="13480"/>
        <v>0</v>
      </c>
      <c r="I7804" s="1" t="str">
        <f t="shared" si="13480"/>
        <v>0</v>
      </c>
      <c r="J7804" s="1" t="str">
        <f t="shared" si="13480"/>
        <v>0</v>
      </c>
      <c r="K7804" s="1" t="str">
        <f t="shared" si="13480"/>
        <v>0</v>
      </c>
      <c r="L7804" s="1" t="str">
        <f t="shared" si="13480"/>
        <v>0</v>
      </c>
      <c r="M7804" s="1" t="str">
        <f t="shared" si="13480"/>
        <v>0</v>
      </c>
      <c r="N7804" s="1" t="str">
        <f t="shared" si="13480"/>
        <v>0</v>
      </c>
      <c r="O7804" s="1" t="str">
        <f t="shared" si="13480"/>
        <v>0</v>
      </c>
      <c r="P7804" s="1" t="str">
        <f t="shared" si="13480"/>
        <v>0</v>
      </c>
      <c r="Q7804" s="1" t="str">
        <f t="shared" si="13417"/>
        <v>0.0070</v>
      </c>
      <c r="R7804" s="1" t="s">
        <v>25</v>
      </c>
      <c r="T7804" s="1" t="str">
        <f t="shared" si="13418"/>
        <v>0</v>
      </c>
      <c r="U7804" s="1" t="str">
        <f t="shared" si="13463"/>
        <v>0.0070</v>
      </c>
    </row>
    <row r="7805" s="1" customFormat="1" spans="1:21">
      <c r="A7805" s="1" t="str">
        <f>"4601992360189"</f>
        <v>4601992360189</v>
      </c>
      <c r="B7805" s="1" t="s">
        <v>7828</v>
      </c>
      <c r="C7805" s="1" t="s">
        <v>24</v>
      </c>
      <c r="D7805" s="1" t="str">
        <f t="shared" si="13415"/>
        <v>2021</v>
      </c>
      <c r="E7805" s="1" t="str">
        <f t="shared" ref="E7805:P7805" si="13481">"0"</f>
        <v>0</v>
      </c>
      <c r="F7805" s="1" t="str">
        <f t="shared" si="13481"/>
        <v>0</v>
      </c>
      <c r="G7805" s="1" t="str">
        <f t="shared" si="13481"/>
        <v>0</v>
      </c>
      <c r="H7805" s="1" t="str">
        <f t="shared" si="13481"/>
        <v>0</v>
      </c>
      <c r="I7805" s="1" t="str">
        <f t="shared" si="13481"/>
        <v>0</v>
      </c>
      <c r="J7805" s="1" t="str">
        <f t="shared" si="13481"/>
        <v>0</v>
      </c>
      <c r="K7805" s="1" t="str">
        <f t="shared" si="13481"/>
        <v>0</v>
      </c>
      <c r="L7805" s="1" t="str">
        <f t="shared" si="13481"/>
        <v>0</v>
      </c>
      <c r="M7805" s="1" t="str">
        <f t="shared" si="13481"/>
        <v>0</v>
      </c>
      <c r="N7805" s="1" t="str">
        <f t="shared" si="13481"/>
        <v>0</v>
      </c>
      <c r="O7805" s="1" t="str">
        <f t="shared" si="13481"/>
        <v>0</v>
      </c>
      <c r="P7805" s="1" t="str">
        <f t="shared" si="13481"/>
        <v>0</v>
      </c>
      <c r="Q7805" s="1" t="str">
        <f t="shared" si="13417"/>
        <v>0.0070</v>
      </c>
      <c r="R7805" s="1" t="s">
        <v>25</v>
      </c>
      <c r="T7805" s="1" t="str">
        <f t="shared" si="13418"/>
        <v>0</v>
      </c>
      <c r="U7805" s="1" t="str">
        <f t="shared" si="13463"/>
        <v>0.0070</v>
      </c>
    </row>
    <row r="7806" s="1" customFormat="1" spans="1:21">
      <c r="A7806" s="1" t="str">
        <f>"4601992360218"</f>
        <v>4601992360218</v>
      </c>
      <c r="B7806" s="1" t="s">
        <v>7829</v>
      </c>
      <c r="C7806" s="1" t="s">
        <v>24</v>
      </c>
      <c r="D7806" s="1" t="str">
        <f t="shared" si="13415"/>
        <v>2021</v>
      </c>
      <c r="E7806" s="1" t="str">
        <f t="shared" ref="E7806:P7806" si="13482">"0"</f>
        <v>0</v>
      </c>
      <c r="F7806" s="1" t="str">
        <f t="shared" si="13482"/>
        <v>0</v>
      </c>
      <c r="G7806" s="1" t="str">
        <f t="shared" si="13482"/>
        <v>0</v>
      </c>
      <c r="H7806" s="1" t="str">
        <f t="shared" si="13482"/>
        <v>0</v>
      </c>
      <c r="I7806" s="1" t="str">
        <f t="shared" si="13482"/>
        <v>0</v>
      </c>
      <c r="J7806" s="1" t="str">
        <f t="shared" si="13482"/>
        <v>0</v>
      </c>
      <c r="K7806" s="1" t="str">
        <f t="shared" si="13482"/>
        <v>0</v>
      </c>
      <c r="L7806" s="1" t="str">
        <f t="shared" si="13482"/>
        <v>0</v>
      </c>
      <c r="M7806" s="1" t="str">
        <f t="shared" si="13482"/>
        <v>0</v>
      </c>
      <c r="N7806" s="1" t="str">
        <f t="shared" si="13482"/>
        <v>0</v>
      </c>
      <c r="O7806" s="1" t="str">
        <f t="shared" si="13482"/>
        <v>0</v>
      </c>
      <c r="P7806" s="1" t="str">
        <f t="shared" si="13482"/>
        <v>0</v>
      </c>
      <c r="Q7806" s="1" t="str">
        <f t="shared" si="13417"/>
        <v>0.0070</v>
      </c>
      <c r="R7806" s="1" t="s">
        <v>25</v>
      </c>
      <c r="T7806" s="1" t="str">
        <f t="shared" si="13418"/>
        <v>0</v>
      </c>
      <c r="U7806" s="1" t="str">
        <f t="shared" si="13463"/>
        <v>0.0070</v>
      </c>
    </row>
    <row r="7807" s="1" customFormat="1" spans="1:21">
      <c r="A7807" s="1" t="str">
        <f>"4601992360193"</f>
        <v>4601992360193</v>
      </c>
      <c r="B7807" s="1" t="s">
        <v>7830</v>
      </c>
      <c r="C7807" s="1" t="s">
        <v>24</v>
      </c>
      <c r="D7807" s="1" t="str">
        <f t="shared" si="13415"/>
        <v>2021</v>
      </c>
      <c r="E7807" s="1" t="str">
        <f t="shared" ref="E7807:P7807" si="13483">"0"</f>
        <v>0</v>
      </c>
      <c r="F7807" s="1" t="str">
        <f t="shared" si="13483"/>
        <v>0</v>
      </c>
      <c r="G7807" s="1" t="str">
        <f t="shared" si="13483"/>
        <v>0</v>
      </c>
      <c r="H7807" s="1" t="str">
        <f t="shared" si="13483"/>
        <v>0</v>
      </c>
      <c r="I7807" s="1" t="str">
        <f t="shared" si="13483"/>
        <v>0</v>
      </c>
      <c r="J7807" s="1" t="str">
        <f t="shared" si="13483"/>
        <v>0</v>
      </c>
      <c r="K7807" s="1" t="str">
        <f t="shared" si="13483"/>
        <v>0</v>
      </c>
      <c r="L7807" s="1" t="str">
        <f t="shared" si="13483"/>
        <v>0</v>
      </c>
      <c r="M7807" s="1" t="str">
        <f t="shared" si="13483"/>
        <v>0</v>
      </c>
      <c r="N7807" s="1" t="str">
        <f t="shared" si="13483"/>
        <v>0</v>
      </c>
      <c r="O7807" s="1" t="str">
        <f t="shared" si="13483"/>
        <v>0</v>
      </c>
      <c r="P7807" s="1" t="str">
        <f t="shared" si="13483"/>
        <v>0</v>
      </c>
      <c r="Q7807" s="1" t="str">
        <f t="shared" si="13417"/>
        <v>0.0070</v>
      </c>
      <c r="R7807" s="1" t="s">
        <v>25</v>
      </c>
      <c r="T7807" s="1" t="str">
        <f t="shared" si="13418"/>
        <v>0</v>
      </c>
      <c r="U7807" s="1" t="str">
        <f t="shared" si="13463"/>
        <v>0.0070</v>
      </c>
    </row>
    <row r="7808" s="1" customFormat="1" spans="1:21">
      <c r="A7808" s="1" t="str">
        <f>"4601992360244"</f>
        <v>4601992360244</v>
      </c>
      <c r="B7808" s="1" t="s">
        <v>7831</v>
      </c>
      <c r="C7808" s="1" t="s">
        <v>24</v>
      </c>
      <c r="D7808" s="1" t="str">
        <f t="shared" si="13415"/>
        <v>2021</v>
      </c>
      <c r="E7808" s="1" t="str">
        <f t="shared" ref="E7808:P7808" si="13484">"0"</f>
        <v>0</v>
      </c>
      <c r="F7808" s="1" t="str">
        <f t="shared" si="13484"/>
        <v>0</v>
      </c>
      <c r="G7808" s="1" t="str">
        <f t="shared" si="13484"/>
        <v>0</v>
      </c>
      <c r="H7808" s="1" t="str">
        <f t="shared" si="13484"/>
        <v>0</v>
      </c>
      <c r="I7808" s="1" t="str">
        <f t="shared" si="13484"/>
        <v>0</v>
      </c>
      <c r="J7808" s="1" t="str">
        <f t="shared" si="13484"/>
        <v>0</v>
      </c>
      <c r="K7808" s="1" t="str">
        <f t="shared" si="13484"/>
        <v>0</v>
      </c>
      <c r="L7808" s="1" t="str">
        <f t="shared" si="13484"/>
        <v>0</v>
      </c>
      <c r="M7808" s="1" t="str">
        <f t="shared" si="13484"/>
        <v>0</v>
      </c>
      <c r="N7808" s="1" t="str">
        <f t="shared" si="13484"/>
        <v>0</v>
      </c>
      <c r="O7808" s="1" t="str">
        <f t="shared" si="13484"/>
        <v>0</v>
      </c>
      <c r="P7808" s="1" t="str">
        <f t="shared" si="13484"/>
        <v>0</v>
      </c>
      <c r="Q7808" s="1" t="str">
        <f t="shared" si="13417"/>
        <v>0.0070</v>
      </c>
      <c r="R7808" s="1" t="s">
        <v>25</v>
      </c>
      <c r="T7808" s="1" t="str">
        <f t="shared" si="13418"/>
        <v>0</v>
      </c>
      <c r="U7808" s="1" t="str">
        <f t="shared" si="13463"/>
        <v>0.0070</v>
      </c>
    </row>
    <row r="7809" s="1" customFormat="1" spans="1:21">
      <c r="A7809" s="1" t="str">
        <f>"4601992360445"</f>
        <v>4601992360445</v>
      </c>
      <c r="B7809" s="1" t="s">
        <v>7832</v>
      </c>
      <c r="C7809" s="1" t="s">
        <v>24</v>
      </c>
      <c r="D7809" s="1" t="str">
        <f t="shared" si="13415"/>
        <v>2021</v>
      </c>
      <c r="E7809" s="1" t="str">
        <f t="shared" ref="E7809:P7809" si="13485">"0"</f>
        <v>0</v>
      </c>
      <c r="F7809" s="1" t="str">
        <f t="shared" si="13485"/>
        <v>0</v>
      </c>
      <c r="G7809" s="1" t="str">
        <f t="shared" si="13485"/>
        <v>0</v>
      </c>
      <c r="H7809" s="1" t="str">
        <f t="shared" si="13485"/>
        <v>0</v>
      </c>
      <c r="I7809" s="1" t="str">
        <f t="shared" si="13485"/>
        <v>0</v>
      </c>
      <c r="J7809" s="1" t="str">
        <f t="shared" si="13485"/>
        <v>0</v>
      </c>
      <c r="K7809" s="1" t="str">
        <f t="shared" si="13485"/>
        <v>0</v>
      </c>
      <c r="L7809" s="1" t="str">
        <f t="shared" si="13485"/>
        <v>0</v>
      </c>
      <c r="M7809" s="1" t="str">
        <f t="shared" si="13485"/>
        <v>0</v>
      </c>
      <c r="N7809" s="1" t="str">
        <f t="shared" si="13485"/>
        <v>0</v>
      </c>
      <c r="O7809" s="1" t="str">
        <f t="shared" si="13485"/>
        <v>0</v>
      </c>
      <c r="P7809" s="1" t="str">
        <f t="shared" si="13485"/>
        <v>0</v>
      </c>
      <c r="Q7809" s="1" t="str">
        <f t="shared" si="13417"/>
        <v>0.0070</v>
      </c>
      <c r="R7809" s="1" t="s">
        <v>25</v>
      </c>
      <c r="T7809" s="1" t="str">
        <f t="shared" si="13418"/>
        <v>0</v>
      </c>
      <c r="U7809" s="1" t="str">
        <f t="shared" si="13463"/>
        <v>0.0070</v>
      </c>
    </row>
    <row r="7810" s="1" customFormat="1" spans="1:21">
      <c r="A7810" s="1" t="str">
        <f>"4601992360648"</f>
        <v>4601992360648</v>
      </c>
      <c r="B7810" s="1" t="s">
        <v>7833</v>
      </c>
      <c r="C7810" s="1" t="s">
        <v>24</v>
      </c>
      <c r="D7810" s="1" t="str">
        <f t="shared" si="13415"/>
        <v>2021</v>
      </c>
      <c r="E7810" s="1" t="str">
        <f t="shared" ref="E7810:P7810" si="13486">"0"</f>
        <v>0</v>
      </c>
      <c r="F7810" s="1" t="str">
        <f t="shared" si="13486"/>
        <v>0</v>
      </c>
      <c r="G7810" s="1" t="str">
        <f t="shared" si="13486"/>
        <v>0</v>
      </c>
      <c r="H7810" s="1" t="str">
        <f t="shared" si="13486"/>
        <v>0</v>
      </c>
      <c r="I7810" s="1" t="str">
        <f t="shared" si="13486"/>
        <v>0</v>
      </c>
      <c r="J7810" s="1" t="str">
        <f t="shared" si="13486"/>
        <v>0</v>
      </c>
      <c r="K7810" s="1" t="str">
        <f t="shared" si="13486"/>
        <v>0</v>
      </c>
      <c r="L7810" s="1" t="str">
        <f t="shared" si="13486"/>
        <v>0</v>
      </c>
      <c r="M7810" s="1" t="str">
        <f t="shared" si="13486"/>
        <v>0</v>
      </c>
      <c r="N7810" s="1" t="str">
        <f t="shared" si="13486"/>
        <v>0</v>
      </c>
      <c r="O7810" s="1" t="str">
        <f t="shared" si="13486"/>
        <v>0</v>
      </c>
      <c r="P7810" s="1" t="str">
        <f t="shared" si="13486"/>
        <v>0</v>
      </c>
      <c r="Q7810" s="1" t="str">
        <f t="shared" si="13417"/>
        <v>0.0070</v>
      </c>
      <c r="R7810" s="1" t="s">
        <v>25</v>
      </c>
      <c r="T7810" s="1" t="str">
        <f t="shared" si="13418"/>
        <v>0</v>
      </c>
      <c r="U7810" s="1" t="str">
        <f t="shared" si="13463"/>
        <v>0.0070</v>
      </c>
    </row>
    <row r="7811" s="1" customFormat="1" spans="1:21">
      <c r="A7811" s="1" t="str">
        <f>"4601992360731"</f>
        <v>4601992360731</v>
      </c>
      <c r="B7811" s="1" t="s">
        <v>7834</v>
      </c>
      <c r="C7811" s="1" t="s">
        <v>24</v>
      </c>
      <c r="D7811" s="1" t="str">
        <f t="shared" ref="D7811:D7874" si="13487">"2021"</f>
        <v>2021</v>
      </c>
      <c r="E7811" s="1" t="str">
        <f t="shared" ref="E7811:P7811" si="13488">"0"</f>
        <v>0</v>
      </c>
      <c r="F7811" s="1" t="str">
        <f t="shared" si="13488"/>
        <v>0</v>
      </c>
      <c r="G7811" s="1" t="str">
        <f t="shared" si="13488"/>
        <v>0</v>
      </c>
      <c r="H7811" s="1" t="str">
        <f t="shared" si="13488"/>
        <v>0</v>
      </c>
      <c r="I7811" s="1" t="str">
        <f t="shared" si="13488"/>
        <v>0</v>
      </c>
      <c r="J7811" s="1" t="str">
        <f t="shared" si="13488"/>
        <v>0</v>
      </c>
      <c r="K7811" s="1" t="str">
        <f t="shared" si="13488"/>
        <v>0</v>
      </c>
      <c r="L7811" s="1" t="str">
        <f t="shared" si="13488"/>
        <v>0</v>
      </c>
      <c r="M7811" s="1" t="str">
        <f t="shared" si="13488"/>
        <v>0</v>
      </c>
      <c r="N7811" s="1" t="str">
        <f t="shared" si="13488"/>
        <v>0</v>
      </c>
      <c r="O7811" s="1" t="str">
        <f t="shared" si="13488"/>
        <v>0</v>
      </c>
      <c r="P7811" s="1" t="str">
        <f t="shared" si="13488"/>
        <v>0</v>
      </c>
      <c r="Q7811" s="1" t="str">
        <f t="shared" ref="Q7811:Q7874" si="13489">"0.0070"</f>
        <v>0.0070</v>
      </c>
      <c r="R7811" s="1" t="s">
        <v>25</v>
      </c>
      <c r="T7811" s="1" t="str">
        <f t="shared" ref="T7811:T7874" si="13490">"0"</f>
        <v>0</v>
      </c>
      <c r="U7811" s="1" t="str">
        <f t="shared" si="13463"/>
        <v>0.0070</v>
      </c>
    </row>
    <row r="7812" s="1" customFormat="1" spans="1:21">
      <c r="A7812" s="1" t="str">
        <f>"4601992360647"</f>
        <v>4601992360647</v>
      </c>
      <c r="B7812" s="1" t="s">
        <v>7835</v>
      </c>
      <c r="C7812" s="1" t="s">
        <v>24</v>
      </c>
      <c r="D7812" s="1" t="str">
        <f t="shared" si="13487"/>
        <v>2021</v>
      </c>
      <c r="E7812" s="1" t="str">
        <f t="shared" ref="E7812:P7812" si="13491">"0"</f>
        <v>0</v>
      </c>
      <c r="F7812" s="1" t="str">
        <f t="shared" si="13491"/>
        <v>0</v>
      </c>
      <c r="G7812" s="1" t="str">
        <f t="shared" si="13491"/>
        <v>0</v>
      </c>
      <c r="H7812" s="1" t="str">
        <f t="shared" si="13491"/>
        <v>0</v>
      </c>
      <c r="I7812" s="1" t="str">
        <f t="shared" si="13491"/>
        <v>0</v>
      </c>
      <c r="J7812" s="1" t="str">
        <f t="shared" si="13491"/>
        <v>0</v>
      </c>
      <c r="K7812" s="1" t="str">
        <f t="shared" si="13491"/>
        <v>0</v>
      </c>
      <c r="L7812" s="1" t="str">
        <f t="shared" si="13491"/>
        <v>0</v>
      </c>
      <c r="M7812" s="1" t="str">
        <f t="shared" si="13491"/>
        <v>0</v>
      </c>
      <c r="N7812" s="1" t="str">
        <f t="shared" si="13491"/>
        <v>0</v>
      </c>
      <c r="O7812" s="1" t="str">
        <f t="shared" si="13491"/>
        <v>0</v>
      </c>
      <c r="P7812" s="1" t="str">
        <f t="shared" si="13491"/>
        <v>0</v>
      </c>
      <c r="Q7812" s="1" t="str">
        <f t="shared" si="13489"/>
        <v>0.0070</v>
      </c>
      <c r="R7812" s="1" t="s">
        <v>25</v>
      </c>
      <c r="T7812" s="1" t="str">
        <f t="shared" si="13490"/>
        <v>0</v>
      </c>
      <c r="U7812" s="1" t="str">
        <f t="shared" si="13463"/>
        <v>0.0070</v>
      </c>
    </row>
    <row r="7813" s="1" customFormat="1" spans="1:21">
      <c r="A7813" s="1" t="str">
        <f>"4601992360747"</f>
        <v>4601992360747</v>
      </c>
      <c r="B7813" s="1" t="s">
        <v>7836</v>
      </c>
      <c r="C7813" s="1" t="s">
        <v>24</v>
      </c>
      <c r="D7813" s="1" t="str">
        <f t="shared" si="13487"/>
        <v>2021</v>
      </c>
      <c r="E7813" s="1" t="str">
        <f t="shared" ref="E7813:P7813" si="13492">"0"</f>
        <v>0</v>
      </c>
      <c r="F7813" s="1" t="str">
        <f t="shared" si="13492"/>
        <v>0</v>
      </c>
      <c r="G7813" s="1" t="str">
        <f t="shared" si="13492"/>
        <v>0</v>
      </c>
      <c r="H7813" s="1" t="str">
        <f t="shared" si="13492"/>
        <v>0</v>
      </c>
      <c r="I7813" s="1" t="str">
        <f t="shared" si="13492"/>
        <v>0</v>
      </c>
      <c r="J7813" s="1" t="str">
        <f t="shared" si="13492"/>
        <v>0</v>
      </c>
      <c r="K7813" s="1" t="str">
        <f t="shared" si="13492"/>
        <v>0</v>
      </c>
      <c r="L7813" s="1" t="str">
        <f t="shared" si="13492"/>
        <v>0</v>
      </c>
      <c r="M7813" s="1" t="str">
        <f t="shared" si="13492"/>
        <v>0</v>
      </c>
      <c r="N7813" s="1" t="str">
        <f t="shared" si="13492"/>
        <v>0</v>
      </c>
      <c r="O7813" s="1" t="str">
        <f t="shared" si="13492"/>
        <v>0</v>
      </c>
      <c r="P7813" s="1" t="str">
        <f t="shared" si="13492"/>
        <v>0</v>
      </c>
      <c r="Q7813" s="1" t="str">
        <f t="shared" si="13489"/>
        <v>0.0070</v>
      </c>
      <c r="R7813" s="1" t="s">
        <v>25</v>
      </c>
      <c r="T7813" s="1" t="str">
        <f t="shared" si="13490"/>
        <v>0</v>
      </c>
      <c r="U7813" s="1" t="str">
        <f t="shared" si="13463"/>
        <v>0.0070</v>
      </c>
    </row>
    <row r="7814" s="1" customFormat="1" spans="1:21">
      <c r="A7814" s="1" t="str">
        <f>"4601992361036"</f>
        <v>4601992361036</v>
      </c>
      <c r="B7814" s="1" t="s">
        <v>7837</v>
      </c>
      <c r="C7814" s="1" t="s">
        <v>24</v>
      </c>
      <c r="D7814" s="1" t="str">
        <f t="shared" si="13487"/>
        <v>2021</v>
      </c>
      <c r="E7814" s="1" t="str">
        <f t="shared" ref="E7814:P7814" si="13493">"0"</f>
        <v>0</v>
      </c>
      <c r="F7814" s="1" t="str">
        <f t="shared" si="13493"/>
        <v>0</v>
      </c>
      <c r="G7814" s="1" t="str">
        <f t="shared" si="13493"/>
        <v>0</v>
      </c>
      <c r="H7814" s="1" t="str">
        <f t="shared" si="13493"/>
        <v>0</v>
      </c>
      <c r="I7814" s="1" t="str">
        <f t="shared" si="13493"/>
        <v>0</v>
      </c>
      <c r="J7814" s="1" t="str">
        <f t="shared" si="13493"/>
        <v>0</v>
      </c>
      <c r="K7814" s="1" t="str">
        <f t="shared" si="13493"/>
        <v>0</v>
      </c>
      <c r="L7814" s="1" t="str">
        <f t="shared" si="13493"/>
        <v>0</v>
      </c>
      <c r="M7814" s="1" t="str">
        <f t="shared" si="13493"/>
        <v>0</v>
      </c>
      <c r="N7814" s="1" t="str">
        <f t="shared" si="13493"/>
        <v>0</v>
      </c>
      <c r="O7814" s="1" t="str">
        <f t="shared" si="13493"/>
        <v>0</v>
      </c>
      <c r="P7814" s="1" t="str">
        <f t="shared" si="13493"/>
        <v>0</v>
      </c>
      <c r="Q7814" s="1" t="str">
        <f t="shared" si="13489"/>
        <v>0.0070</v>
      </c>
      <c r="R7814" s="1" t="s">
        <v>25</v>
      </c>
      <c r="T7814" s="1" t="str">
        <f t="shared" si="13490"/>
        <v>0</v>
      </c>
      <c r="U7814" s="1" t="str">
        <f t="shared" si="13463"/>
        <v>0.0070</v>
      </c>
    </row>
    <row r="7815" s="1" customFormat="1" spans="1:21">
      <c r="A7815" s="1" t="str">
        <f>"4601992361024"</f>
        <v>4601992361024</v>
      </c>
      <c r="B7815" s="1" t="s">
        <v>7838</v>
      </c>
      <c r="C7815" s="1" t="s">
        <v>24</v>
      </c>
      <c r="D7815" s="1" t="str">
        <f t="shared" si="13487"/>
        <v>2021</v>
      </c>
      <c r="E7815" s="1" t="str">
        <f t="shared" ref="E7815:P7815" si="13494">"0"</f>
        <v>0</v>
      </c>
      <c r="F7815" s="1" t="str">
        <f t="shared" si="13494"/>
        <v>0</v>
      </c>
      <c r="G7815" s="1" t="str">
        <f t="shared" si="13494"/>
        <v>0</v>
      </c>
      <c r="H7815" s="1" t="str">
        <f t="shared" si="13494"/>
        <v>0</v>
      </c>
      <c r="I7815" s="1" t="str">
        <f t="shared" si="13494"/>
        <v>0</v>
      </c>
      <c r="J7815" s="1" t="str">
        <f t="shared" si="13494"/>
        <v>0</v>
      </c>
      <c r="K7815" s="1" t="str">
        <f t="shared" si="13494"/>
        <v>0</v>
      </c>
      <c r="L7815" s="1" t="str">
        <f t="shared" si="13494"/>
        <v>0</v>
      </c>
      <c r="M7815" s="1" t="str">
        <f t="shared" si="13494"/>
        <v>0</v>
      </c>
      <c r="N7815" s="1" t="str">
        <f t="shared" si="13494"/>
        <v>0</v>
      </c>
      <c r="O7815" s="1" t="str">
        <f t="shared" si="13494"/>
        <v>0</v>
      </c>
      <c r="P7815" s="1" t="str">
        <f t="shared" si="13494"/>
        <v>0</v>
      </c>
      <c r="Q7815" s="1" t="str">
        <f t="shared" si="13489"/>
        <v>0.0070</v>
      </c>
      <c r="R7815" s="1" t="s">
        <v>25</v>
      </c>
      <c r="T7815" s="1" t="str">
        <f t="shared" si="13490"/>
        <v>0</v>
      </c>
      <c r="U7815" s="1" t="str">
        <f t="shared" si="13463"/>
        <v>0.0070</v>
      </c>
    </row>
    <row r="7816" s="1" customFormat="1" spans="1:21">
      <c r="A7816" s="1" t="str">
        <f>"4601992360832"</f>
        <v>4601992360832</v>
      </c>
      <c r="B7816" s="1" t="s">
        <v>7839</v>
      </c>
      <c r="C7816" s="1" t="s">
        <v>24</v>
      </c>
      <c r="D7816" s="1" t="str">
        <f t="shared" si="13487"/>
        <v>2021</v>
      </c>
      <c r="E7816" s="1" t="str">
        <f t="shared" ref="E7816:P7816" si="13495">"0"</f>
        <v>0</v>
      </c>
      <c r="F7816" s="1" t="str">
        <f t="shared" si="13495"/>
        <v>0</v>
      </c>
      <c r="G7816" s="1" t="str">
        <f t="shared" si="13495"/>
        <v>0</v>
      </c>
      <c r="H7816" s="1" t="str">
        <f t="shared" si="13495"/>
        <v>0</v>
      </c>
      <c r="I7816" s="1" t="str">
        <f t="shared" si="13495"/>
        <v>0</v>
      </c>
      <c r="J7816" s="1" t="str">
        <f t="shared" si="13495"/>
        <v>0</v>
      </c>
      <c r="K7816" s="1" t="str">
        <f t="shared" si="13495"/>
        <v>0</v>
      </c>
      <c r="L7816" s="1" t="str">
        <f t="shared" si="13495"/>
        <v>0</v>
      </c>
      <c r="M7816" s="1" t="str">
        <f t="shared" si="13495"/>
        <v>0</v>
      </c>
      <c r="N7816" s="1" t="str">
        <f t="shared" si="13495"/>
        <v>0</v>
      </c>
      <c r="O7816" s="1" t="str">
        <f t="shared" si="13495"/>
        <v>0</v>
      </c>
      <c r="P7816" s="1" t="str">
        <f t="shared" si="13495"/>
        <v>0</v>
      </c>
      <c r="Q7816" s="1" t="str">
        <f t="shared" si="13489"/>
        <v>0.0070</v>
      </c>
      <c r="R7816" s="1" t="s">
        <v>25</v>
      </c>
      <c r="T7816" s="1" t="str">
        <f t="shared" si="13490"/>
        <v>0</v>
      </c>
      <c r="U7816" s="1" t="str">
        <f t="shared" si="13463"/>
        <v>0.0070</v>
      </c>
    </row>
    <row r="7817" s="1" customFormat="1" spans="1:21">
      <c r="A7817" s="1" t="str">
        <f>"4601992361046"</f>
        <v>4601992361046</v>
      </c>
      <c r="B7817" s="1" t="s">
        <v>7840</v>
      </c>
      <c r="C7817" s="1" t="s">
        <v>24</v>
      </c>
      <c r="D7817" s="1" t="str">
        <f t="shared" si="13487"/>
        <v>2021</v>
      </c>
      <c r="E7817" s="1" t="str">
        <f t="shared" ref="E7817:P7817" si="13496">"0"</f>
        <v>0</v>
      </c>
      <c r="F7817" s="1" t="str">
        <f t="shared" si="13496"/>
        <v>0</v>
      </c>
      <c r="G7817" s="1" t="str">
        <f t="shared" si="13496"/>
        <v>0</v>
      </c>
      <c r="H7817" s="1" t="str">
        <f t="shared" si="13496"/>
        <v>0</v>
      </c>
      <c r="I7817" s="1" t="str">
        <f t="shared" si="13496"/>
        <v>0</v>
      </c>
      <c r="J7817" s="1" t="str">
        <f t="shared" si="13496"/>
        <v>0</v>
      </c>
      <c r="K7817" s="1" t="str">
        <f t="shared" si="13496"/>
        <v>0</v>
      </c>
      <c r="L7817" s="1" t="str">
        <f t="shared" si="13496"/>
        <v>0</v>
      </c>
      <c r="M7817" s="1" t="str">
        <f t="shared" si="13496"/>
        <v>0</v>
      </c>
      <c r="N7817" s="1" t="str">
        <f t="shared" si="13496"/>
        <v>0</v>
      </c>
      <c r="O7817" s="1" t="str">
        <f t="shared" si="13496"/>
        <v>0</v>
      </c>
      <c r="P7817" s="1" t="str">
        <f t="shared" si="13496"/>
        <v>0</v>
      </c>
      <c r="Q7817" s="1" t="str">
        <f t="shared" si="13489"/>
        <v>0.0070</v>
      </c>
      <c r="R7817" s="1" t="s">
        <v>25</v>
      </c>
      <c r="T7817" s="1" t="str">
        <f t="shared" si="13490"/>
        <v>0</v>
      </c>
      <c r="U7817" s="1" t="str">
        <f t="shared" si="13463"/>
        <v>0.0070</v>
      </c>
    </row>
    <row r="7818" s="1" customFormat="1" spans="1:21">
      <c r="A7818" s="1" t="str">
        <f>"4601992361492"</f>
        <v>4601992361492</v>
      </c>
      <c r="B7818" s="1" t="s">
        <v>7841</v>
      </c>
      <c r="C7818" s="1" t="s">
        <v>24</v>
      </c>
      <c r="D7818" s="1" t="str">
        <f t="shared" si="13487"/>
        <v>2021</v>
      </c>
      <c r="E7818" s="1" t="str">
        <f t="shared" ref="E7818:P7818" si="13497">"0"</f>
        <v>0</v>
      </c>
      <c r="F7818" s="1" t="str">
        <f t="shared" si="13497"/>
        <v>0</v>
      </c>
      <c r="G7818" s="1" t="str">
        <f t="shared" si="13497"/>
        <v>0</v>
      </c>
      <c r="H7818" s="1" t="str">
        <f t="shared" si="13497"/>
        <v>0</v>
      </c>
      <c r="I7818" s="1" t="str">
        <f t="shared" si="13497"/>
        <v>0</v>
      </c>
      <c r="J7818" s="1" t="str">
        <f t="shared" si="13497"/>
        <v>0</v>
      </c>
      <c r="K7818" s="1" t="str">
        <f t="shared" si="13497"/>
        <v>0</v>
      </c>
      <c r="L7818" s="1" t="str">
        <f t="shared" si="13497"/>
        <v>0</v>
      </c>
      <c r="M7818" s="1" t="str">
        <f t="shared" si="13497"/>
        <v>0</v>
      </c>
      <c r="N7818" s="1" t="str">
        <f t="shared" si="13497"/>
        <v>0</v>
      </c>
      <c r="O7818" s="1" t="str">
        <f t="shared" si="13497"/>
        <v>0</v>
      </c>
      <c r="P7818" s="1" t="str">
        <f t="shared" si="13497"/>
        <v>0</v>
      </c>
      <c r="Q7818" s="1" t="str">
        <f t="shared" si="13489"/>
        <v>0.0070</v>
      </c>
      <c r="R7818" s="1" t="s">
        <v>25</v>
      </c>
      <c r="T7818" s="1" t="str">
        <f t="shared" si="13490"/>
        <v>0</v>
      </c>
      <c r="U7818" s="1" t="str">
        <f t="shared" si="13463"/>
        <v>0.0070</v>
      </c>
    </row>
    <row r="7819" s="1" customFormat="1" spans="1:21">
      <c r="A7819" s="1" t="str">
        <f>"4601992361488"</f>
        <v>4601992361488</v>
      </c>
      <c r="B7819" s="1" t="s">
        <v>7842</v>
      </c>
      <c r="C7819" s="1" t="s">
        <v>24</v>
      </c>
      <c r="D7819" s="1" t="str">
        <f t="shared" si="13487"/>
        <v>2021</v>
      </c>
      <c r="E7819" s="1" t="str">
        <f t="shared" ref="E7819:P7819" si="13498">"0"</f>
        <v>0</v>
      </c>
      <c r="F7819" s="1" t="str">
        <f t="shared" si="13498"/>
        <v>0</v>
      </c>
      <c r="G7819" s="1" t="str">
        <f t="shared" si="13498"/>
        <v>0</v>
      </c>
      <c r="H7819" s="1" t="str">
        <f t="shared" si="13498"/>
        <v>0</v>
      </c>
      <c r="I7819" s="1" t="str">
        <f t="shared" si="13498"/>
        <v>0</v>
      </c>
      <c r="J7819" s="1" t="str">
        <f t="shared" si="13498"/>
        <v>0</v>
      </c>
      <c r="K7819" s="1" t="str">
        <f t="shared" si="13498"/>
        <v>0</v>
      </c>
      <c r="L7819" s="1" t="str">
        <f t="shared" si="13498"/>
        <v>0</v>
      </c>
      <c r="M7819" s="1" t="str">
        <f t="shared" si="13498"/>
        <v>0</v>
      </c>
      <c r="N7819" s="1" t="str">
        <f t="shared" si="13498"/>
        <v>0</v>
      </c>
      <c r="O7819" s="1" t="str">
        <f t="shared" si="13498"/>
        <v>0</v>
      </c>
      <c r="P7819" s="1" t="str">
        <f t="shared" si="13498"/>
        <v>0</v>
      </c>
      <c r="Q7819" s="1" t="str">
        <f t="shared" si="13489"/>
        <v>0.0070</v>
      </c>
      <c r="R7819" s="1" t="s">
        <v>25</v>
      </c>
      <c r="T7819" s="1" t="str">
        <f t="shared" si="13490"/>
        <v>0</v>
      </c>
      <c r="U7819" s="1" t="str">
        <f t="shared" si="13463"/>
        <v>0.0070</v>
      </c>
    </row>
    <row r="7820" s="1" customFormat="1" spans="1:21">
      <c r="A7820" s="1" t="str">
        <f>"4601992361422"</f>
        <v>4601992361422</v>
      </c>
      <c r="B7820" s="1" t="s">
        <v>7843</v>
      </c>
      <c r="C7820" s="1" t="s">
        <v>24</v>
      </c>
      <c r="D7820" s="1" t="str">
        <f t="shared" si="13487"/>
        <v>2021</v>
      </c>
      <c r="E7820" s="1" t="str">
        <f t="shared" ref="E7820:P7820" si="13499">"0"</f>
        <v>0</v>
      </c>
      <c r="F7820" s="1" t="str">
        <f t="shared" si="13499"/>
        <v>0</v>
      </c>
      <c r="G7820" s="1" t="str">
        <f t="shared" si="13499"/>
        <v>0</v>
      </c>
      <c r="H7820" s="1" t="str">
        <f t="shared" si="13499"/>
        <v>0</v>
      </c>
      <c r="I7820" s="1" t="str">
        <f t="shared" si="13499"/>
        <v>0</v>
      </c>
      <c r="J7820" s="1" t="str">
        <f t="shared" si="13499"/>
        <v>0</v>
      </c>
      <c r="K7820" s="1" t="str">
        <f t="shared" si="13499"/>
        <v>0</v>
      </c>
      <c r="L7820" s="1" t="str">
        <f t="shared" si="13499"/>
        <v>0</v>
      </c>
      <c r="M7820" s="1" t="str">
        <f t="shared" si="13499"/>
        <v>0</v>
      </c>
      <c r="N7820" s="1" t="str">
        <f t="shared" si="13499"/>
        <v>0</v>
      </c>
      <c r="O7820" s="1" t="str">
        <f t="shared" si="13499"/>
        <v>0</v>
      </c>
      <c r="P7820" s="1" t="str">
        <f t="shared" si="13499"/>
        <v>0</v>
      </c>
      <c r="Q7820" s="1" t="str">
        <f t="shared" si="13489"/>
        <v>0.0070</v>
      </c>
      <c r="R7820" s="1" t="s">
        <v>25</v>
      </c>
      <c r="T7820" s="1" t="str">
        <f t="shared" si="13490"/>
        <v>0</v>
      </c>
      <c r="U7820" s="1" t="str">
        <f t="shared" si="13463"/>
        <v>0.0070</v>
      </c>
    </row>
    <row r="7821" s="1" customFormat="1" spans="1:21">
      <c r="A7821" s="1" t="str">
        <f>"4601992361503"</f>
        <v>4601992361503</v>
      </c>
      <c r="B7821" s="1" t="s">
        <v>7844</v>
      </c>
      <c r="C7821" s="1" t="s">
        <v>24</v>
      </c>
      <c r="D7821" s="1" t="str">
        <f t="shared" si="13487"/>
        <v>2021</v>
      </c>
      <c r="E7821" s="1" t="str">
        <f t="shared" ref="E7821:P7821" si="13500">"0"</f>
        <v>0</v>
      </c>
      <c r="F7821" s="1" t="str">
        <f t="shared" si="13500"/>
        <v>0</v>
      </c>
      <c r="G7821" s="1" t="str">
        <f t="shared" si="13500"/>
        <v>0</v>
      </c>
      <c r="H7821" s="1" t="str">
        <f t="shared" si="13500"/>
        <v>0</v>
      </c>
      <c r="I7821" s="1" t="str">
        <f t="shared" si="13500"/>
        <v>0</v>
      </c>
      <c r="J7821" s="1" t="str">
        <f t="shared" si="13500"/>
        <v>0</v>
      </c>
      <c r="K7821" s="1" t="str">
        <f t="shared" si="13500"/>
        <v>0</v>
      </c>
      <c r="L7821" s="1" t="str">
        <f t="shared" si="13500"/>
        <v>0</v>
      </c>
      <c r="M7821" s="1" t="str">
        <f t="shared" si="13500"/>
        <v>0</v>
      </c>
      <c r="N7821" s="1" t="str">
        <f t="shared" si="13500"/>
        <v>0</v>
      </c>
      <c r="O7821" s="1" t="str">
        <f t="shared" si="13500"/>
        <v>0</v>
      </c>
      <c r="P7821" s="1" t="str">
        <f t="shared" si="13500"/>
        <v>0</v>
      </c>
      <c r="Q7821" s="1" t="str">
        <f t="shared" si="13489"/>
        <v>0.0070</v>
      </c>
      <c r="R7821" s="1" t="s">
        <v>25</v>
      </c>
      <c r="T7821" s="1" t="str">
        <f t="shared" si="13490"/>
        <v>0</v>
      </c>
      <c r="U7821" s="1" t="str">
        <f t="shared" si="13463"/>
        <v>0.0070</v>
      </c>
    </row>
    <row r="7822" s="1" customFormat="1" spans="1:21">
      <c r="A7822" s="1" t="str">
        <f>"4601992361764"</f>
        <v>4601992361764</v>
      </c>
      <c r="B7822" s="1" t="s">
        <v>7845</v>
      </c>
      <c r="C7822" s="1" t="s">
        <v>24</v>
      </c>
      <c r="D7822" s="1" t="str">
        <f t="shared" si="13487"/>
        <v>2021</v>
      </c>
      <c r="E7822" s="1" t="str">
        <f t="shared" ref="E7822:P7822" si="13501">"0"</f>
        <v>0</v>
      </c>
      <c r="F7822" s="1" t="str">
        <f t="shared" si="13501"/>
        <v>0</v>
      </c>
      <c r="G7822" s="1" t="str">
        <f t="shared" si="13501"/>
        <v>0</v>
      </c>
      <c r="H7822" s="1" t="str">
        <f t="shared" si="13501"/>
        <v>0</v>
      </c>
      <c r="I7822" s="1" t="str">
        <f t="shared" si="13501"/>
        <v>0</v>
      </c>
      <c r="J7822" s="1" t="str">
        <f t="shared" si="13501"/>
        <v>0</v>
      </c>
      <c r="K7822" s="1" t="str">
        <f t="shared" si="13501"/>
        <v>0</v>
      </c>
      <c r="L7822" s="1" t="str">
        <f t="shared" si="13501"/>
        <v>0</v>
      </c>
      <c r="M7822" s="1" t="str">
        <f t="shared" si="13501"/>
        <v>0</v>
      </c>
      <c r="N7822" s="1" t="str">
        <f t="shared" si="13501"/>
        <v>0</v>
      </c>
      <c r="O7822" s="1" t="str">
        <f t="shared" si="13501"/>
        <v>0</v>
      </c>
      <c r="P7822" s="1" t="str">
        <f t="shared" si="13501"/>
        <v>0</v>
      </c>
      <c r="Q7822" s="1" t="str">
        <f t="shared" si="13489"/>
        <v>0.0070</v>
      </c>
      <c r="R7822" s="1" t="s">
        <v>25</v>
      </c>
      <c r="T7822" s="1" t="str">
        <f t="shared" si="13490"/>
        <v>0</v>
      </c>
      <c r="U7822" s="1" t="str">
        <f t="shared" si="13463"/>
        <v>0.0070</v>
      </c>
    </row>
    <row r="7823" s="1" customFormat="1" spans="1:21">
      <c r="A7823" s="1" t="str">
        <f>"4601992361903"</f>
        <v>4601992361903</v>
      </c>
      <c r="B7823" s="1" t="s">
        <v>7846</v>
      </c>
      <c r="C7823" s="1" t="s">
        <v>24</v>
      </c>
      <c r="D7823" s="1" t="str">
        <f t="shared" si="13487"/>
        <v>2021</v>
      </c>
      <c r="E7823" s="1" t="str">
        <f t="shared" ref="E7823:P7823" si="13502">"0"</f>
        <v>0</v>
      </c>
      <c r="F7823" s="1" t="str">
        <f t="shared" si="13502"/>
        <v>0</v>
      </c>
      <c r="G7823" s="1" t="str">
        <f t="shared" si="13502"/>
        <v>0</v>
      </c>
      <c r="H7823" s="1" t="str">
        <f t="shared" si="13502"/>
        <v>0</v>
      </c>
      <c r="I7823" s="1" t="str">
        <f t="shared" si="13502"/>
        <v>0</v>
      </c>
      <c r="J7823" s="1" t="str">
        <f t="shared" si="13502"/>
        <v>0</v>
      </c>
      <c r="K7823" s="1" t="str">
        <f t="shared" si="13502"/>
        <v>0</v>
      </c>
      <c r="L7823" s="1" t="str">
        <f t="shared" si="13502"/>
        <v>0</v>
      </c>
      <c r="M7823" s="1" t="str">
        <f t="shared" si="13502"/>
        <v>0</v>
      </c>
      <c r="N7823" s="1" t="str">
        <f t="shared" si="13502"/>
        <v>0</v>
      </c>
      <c r="O7823" s="1" t="str">
        <f t="shared" si="13502"/>
        <v>0</v>
      </c>
      <c r="P7823" s="1" t="str">
        <f t="shared" si="13502"/>
        <v>0</v>
      </c>
      <c r="Q7823" s="1" t="str">
        <f t="shared" si="13489"/>
        <v>0.0070</v>
      </c>
      <c r="R7823" s="1" t="s">
        <v>25</v>
      </c>
      <c r="T7823" s="1" t="str">
        <f t="shared" si="13490"/>
        <v>0</v>
      </c>
      <c r="U7823" s="1" t="str">
        <f t="shared" si="13463"/>
        <v>0.0070</v>
      </c>
    </row>
    <row r="7824" s="1" customFormat="1" spans="1:21">
      <c r="A7824" s="1" t="str">
        <f>"4601992361996"</f>
        <v>4601992361996</v>
      </c>
      <c r="B7824" s="1" t="s">
        <v>7847</v>
      </c>
      <c r="C7824" s="1" t="s">
        <v>24</v>
      </c>
      <c r="D7824" s="1" t="str">
        <f t="shared" si="13487"/>
        <v>2021</v>
      </c>
      <c r="E7824" s="1" t="str">
        <f t="shared" ref="E7824:P7824" si="13503">"0"</f>
        <v>0</v>
      </c>
      <c r="F7824" s="1" t="str">
        <f t="shared" si="13503"/>
        <v>0</v>
      </c>
      <c r="G7824" s="1" t="str">
        <f t="shared" si="13503"/>
        <v>0</v>
      </c>
      <c r="H7824" s="1" t="str">
        <f t="shared" si="13503"/>
        <v>0</v>
      </c>
      <c r="I7824" s="1" t="str">
        <f t="shared" si="13503"/>
        <v>0</v>
      </c>
      <c r="J7824" s="1" t="str">
        <f t="shared" si="13503"/>
        <v>0</v>
      </c>
      <c r="K7824" s="1" t="str">
        <f t="shared" si="13503"/>
        <v>0</v>
      </c>
      <c r="L7824" s="1" t="str">
        <f t="shared" si="13503"/>
        <v>0</v>
      </c>
      <c r="M7824" s="1" t="str">
        <f t="shared" si="13503"/>
        <v>0</v>
      </c>
      <c r="N7824" s="1" t="str">
        <f t="shared" si="13503"/>
        <v>0</v>
      </c>
      <c r="O7824" s="1" t="str">
        <f t="shared" si="13503"/>
        <v>0</v>
      </c>
      <c r="P7824" s="1" t="str">
        <f t="shared" si="13503"/>
        <v>0</v>
      </c>
      <c r="Q7824" s="1" t="str">
        <f t="shared" si="13489"/>
        <v>0.0070</v>
      </c>
      <c r="R7824" s="1" t="s">
        <v>25</v>
      </c>
      <c r="T7824" s="1" t="str">
        <f t="shared" si="13490"/>
        <v>0</v>
      </c>
      <c r="U7824" s="1" t="str">
        <f t="shared" si="13463"/>
        <v>0.0070</v>
      </c>
    </row>
    <row r="7825" s="1" customFormat="1" spans="1:21">
      <c r="A7825" s="1" t="str">
        <f>"4601992362044"</f>
        <v>4601992362044</v>
      </c>
      <c r="B7825" s="1" t="s">
        <v>7848</v>
      </c>
      <c r="C7825" s="1" t="s">
        <v>24</v>
      </c>
      <c r="D7825" s="1" t="str">
        <f t="shared" si="13487"/>
        <v>2021</v>
      </c>
      <c r="E7825" s="1" t="str">
        <f t="shared" ref="E7825:P7825" si="13504">"0"</f>
        <v>0</v>
      </c>
      <c r="F7825" s="1" t="str">
        <f t="shared" si="13504"/>
        <v>0</v>
      </c>
      <c r="G7825" s="1" t="str">
        <f t="shared" si="13504"/>
        <v>0</v>
      </c>
      <c r="H7825" s="1" t="str">
        <f t="shared" si="13504"/>
        <v>0</v>
      </c>
      <c r="I7825" s="1" t="str">
        <f t="shared" si="13504"/>
        <v>0</v>
      </c>
      <c r="J7825" s="1" t="str">
        <f t="shared" si="13504"/>
        <v>0</v>
      </c>
      <c r="K7825" s="1" t="str">
        <f t="shared" si="13504"/>
        <v>0</v>
      </c>
      <c r="L7825" s="1" t="str">
        <f t="shared" si="13504"/>
        <v>0</v>
      </c>
      <c r="M7825" s="1" t="str">
        <f t="shared" si="13504"/>
        <v>0</v>
      </c>
      <c r="N7825" s="1" t="str">
        <f t="shared" si="13504"/>
        <v>0</v>
      </c>
      <c r="O7825" s="1" t="str">
        <f t="shared" si="13504"/>
        <v>0</v>
      </c>
      <c r="P7825" s="1" t="str">
        <f t="shared" si="13504"/>
        <v>0</v>
      </c>
      <c r="Q7825" s="1" t="str">
        <f t="shared" si="13489"/>
        <v>0.0070</v>
      </c>
      <c r="R7825" s="1" t="s">
        <v>25</v>
      </c>
      <c r="T7825" s="1" t="str">
        <f t="shared" si="13490"/>
        <v>0</v>
      </c>
      <c r="U7825" s="1" t="str">
        <f t="shared" si="13463"/>
        <v>0.0070</v>
      </c>
    </row>
    <row r="7826" s="1" customFormat="1" spans="1:21">
      <c r="A7826" s="1" t="str">
        <f>"4601992362116"</f>
        <v>4601992362116</v>
      </c>
      <c r="B7826" s="1" t="s">
        <v>7849</v>
      </c>
      <c r="C7826" s="1" t="s">
        <v>24</v>
      </c>
      <c r="D7826" s="1" t="str">
        <f t="shared" si="13487"/>
        <v>2021</v>
      </c>
      <c r="E7826" s="1" t="str">
        <f t="shared" ref="E7826:P7826" si="13505">"0"</f>
        <v>0</v>
      </c>
      <c r="F7826" s="1" t="str">
        <f t="shared" si="13505"/>
        <v>0</v>
      </c>
      <c r="G7826" s="1" t="str">
        <f t="shared" si="13505"/>
        <v>0</v>
      </c>
      <c r="H7826" s="1" t="str">
        <f t="shared" si="13505"/>
        <v>0</v>
      </c>
      <c r="I7826" s="1" t="str">
        <f t="shared" si="13505"/>
        <v>0</v>
      </c>
      <c r="J7826" s="1" t="str">
        <f t="shared" si="13505"/>
        <v>0</v>
      </c>
      <c r="K7826" s="1" t="str">
        <f t="shared" si="13505"/>
        <v>0</v>
      </c>
      <c r="L7826" s="1" t="str">
        <f t="shared" si="13505"/>
        <v>0</v>
      </c>
      <c r="M7826" s="1" t="str">
        <f t="shared" si="13505"/>
        <v>0</v>
      </c>
      <c r="N7826" s="1" t="str">
        <f t="shared" si="13505"/>
        <v>0</v>
      </c>
      <c r="O7826" s="1" t="str">
        <f t="shared" si="13505"/>
        <v>0</v>
      </c>
      <c r="P7826" s="1" t="str">
        <f t="shared" si="13505"/>
        <v>0</v>
      </c>
      <c r="Q7826" s="1" t="str">
        <f t="shared" si="13489"/>
        <v>0.0070</v>
      </c>
      <c r="R7826" s="1" t="s">
        <v>25</v>
      </c>
      <c r="T7826" s="1" t="str">
        <f t="shared" si="13490"/>
        <v>0</v>
      </c>
      <c r="U7826" s="1" t="str">
        <f t="shared" si="13463"/>
        <v>0.0070</v>
      </c>
    </row>
    <row r="7827" s="1" customFormat="1" spans="1:21">
      <c r="A7827" s="1" t="str">
        <f>"4601992362210"</f>
        <v>4601992362210</v>
      </c>
      <c r="B7827" s="1" t="s">
        <v>7850</v>
      </c>
      <c r="C7827" s="1" t="s">
        <v>24</v>
      </c>
      <c r="D7827" s="1" t="str">
        <f t="shared" si="13487"/>
        <v>2021</v>
      </c>
      <c r="E7827" s="1" t="str">
        <f t="shared" ref="E7827:P7827" si="13506">"0"</f>
        <v>0</v>
      </c>
      <c r="F7827" s="1" t="str">
        <f t="shared" si="13506"/>
        <v>0</v>
      </c>
      <c r="G7827" s="1" t="str">
        <f t="shared" si="13506"/>
        <v>0</v>
      </c>
      <c r="H7827" s="1" t="str">
        <f t="shared" si="13506"/>
        <v>0</v>
      </c>
      <c r="I7827" s="1" t="str">
        <f t="shared" si="13506"/>
        <v>0</v>
      </c>
      <c r="J7827" s="1" t="str">
        <f t="shared" si="13506"/>
        <v>0</v>
      </c>
      <c r="K7827" s="1" t="str">
        <f t="shared" si="13506"/>
        <v>0</v>
      </c>
      <c r="L7827" s="1" t="str">
        <f t="shared" si="13506"/>
        <v>0</v>
      </c>
      <c r="M7827" s="1" t="str">
        <f t="shared" si="13506"/>
        <v>0</v>
      </c>
      <c r="N7827" s="1" t="str">
        <f t="shared" si="13506"/>
        <v>0</v>
      </c>
      <c r="O7827" s="1" t="str">
        <f t="shared" si="13506"/>
        <v>0</v>
      </c>
      <c r="P7827" s="1" t="str">
        <f t="shared" si="13506"/>
        <v>0</v>
      </c>
      <c r="Q7827" s="1" t="str">
        <f t="shared" si="13489"/>
        <v>0.0070</v>
      </c>
      <c r="R7827" s="1" t="s">
        <v>25</v>
      </c>
      <c r="T7827" s="1" t="str">
        <f t="shared" si="13490"/>
        <v>0</v>
      </c>
      <c r="U7827" s="1" t="str">
        <f t="shared" si="13463"/>
        <v>0.0070</v>
      </c>
    </row>
    <row r="7828" s="1" customFormat="1" spans="1:21">
      <c r="A7828" s="1" t="str">
        <f>"4601992362182"</f>
        <v>4601992362182</v>
      </c>
      <c r="B7828" s="1" t="s">
        <v>7851</v>
      </c>
      <c r="C7828" s="1" t="s">
        <v>24</v>
      </c>
      <c r="D7828" s="1" t="str">
        <f t="shared" si="13487"/>
        <v>2021</v>
      </c>
      <c r="E7828" s="1" t="str">
        <f t="shared" ref="E7828:P7828" si="13507">"0"</f>
        <v>0</v>
      </c>
      <c r="F7828" s="1" t="str">
        <f t="shared" si="13507"/>
        <v>0</v>
      </c>
      <c r="G7828" s="1" t="str">
        <f t="shared" si="13507"/>
        <v>0</v>
      </c>
      <c r="H7828" s="1" t="str">
        <f t="shared" si="13507"/>
        <v>0</v>
      </c>
      <c r="I7828" s="1" t="str">
        <f t="shared" si="13507"/>
        <v>0</v>
      </c>
      <c r="J7828" s="1" t="str">
        <f t="shared" si="13507"/>
        <v>0</v>
      </c>
      <c r="K7828" s="1" t="str">
        <f t="shared" si="13507"/>
        <v>0</v>
      </c>
      <c r="L7828" s="1" t="str">
        <f t="shared" si="13507"/>
        <v>0</v>
      </c>
      <c r="M7828" s="1" t="str">
        <f t="shared" si="13507"/>
        <v>0</v>
      </c>
      <c r="N7828" s="1" t="str">
        <f t="shared" si="13507"/>
        <v>0</v>
      </c>
      <c r="O7828" s="1" t="str">
        <f t="shared" si="13507"/>
        <v>0</v>
      </c>
      <c r="P7828" s="1" t="str">
        <f t="shared" si="13507"/>
        <v>0</v>
      </c>
      <c r="Q7828" s="1" t="str">
        <f t="shared" si="13489"/>
        <v>0.0070</v>
      </c>
      <c r="R7828" s="1" t="s">
        <v>25</v>
      </c>
      <c r="T7828" s="1" t="str">
        <f t="shared" si="13490"/>
        <v>0</v>
      </c>
      <c r="U7828" s="1" t="str">
        <f t="shared" si="13463"/>
        <v>0.0070</v>
      </c>
    </row>
    <row r="7829" s="1" customFormat="1" spans="1:21">
      <c r="A7829" s="1" t="str">
        <f>"4601992362233"</f>
        <v>4601992362233</v>
      </c>
      <c r="B7829" s="1" t="s">
        <v>7852</v>
      </c>
      <c r="C7829" s="1" t="s">
        <v>24</v>
      </c>
      <c r="D7829" s="1" t="str">
        <f t="shared" si="13487"/>
        <v>2021</v>
      </c>
      <c r="E7829" s="1" t="str">
        <f t="shared" ref="E7829:P7829" si="13508">"0"</f>
        <v>0</v>
      </c>
      <c r="F7829" s="1" t="str">
        <f t="shared" si="13508"/>
        <v>0</v>
      </c>
      <c r="G7829" s="1" t="str">
        <f t="shared" si="13508"/>
        <v>0</v>
      </c>
      <c r="H7829" s="1" t="str">
        <f t="shared" si="13508"/>
        <v>0</v>
      </c>
      <c r="I7829" s="1" t="str">
        <f t="shared" si="13508"/>
        <v>0</v>
      </c>
      <c r="J7829" s="1" t="str">
        <f t="shared" si="13508"/>
        <v>0</v>
      </c>
      <c r="K7829" s="1" t="str">
        <f t="shared" si="13508"/>
        <v>0</v>
      </c>
      <c r="L7829" s="1" t="str">
        <f t="shared" si="13508"/>
        <v>0</v>
      </c>
      <c r="M7829" s="1" t="str">
        <f t="shared" si="13508"/>
        <v>0</v>
      </c>
      <c r="N7829" s="1" t="str">
        <f t="shared" si="13508"/>
        <v>0</v>
      </c>
      <c r="O7829" s="1" t="str">
        <f t="shared" si="13508"/>
        <v>0</v>
      </c>
      <c r="P7829" s="1" t="str">
        <f t="shared" si="13508"/>
        <v>0</v>
      </c>
      <c r="Q7829" s="1" t="str">
        <f t="shared" si="13489"/>
        <v>0.0070</v>
      </c>
      <c r="R7829" s="1" t="s">
        <v>25</v>
      </c>
      <c r="T7829" s="1" t="str">
        <f t="shared" si="13490"/>
        <v>0</v>
      </c>
      <c r="U7829" s="1" t="str">
        <f t="shared" si="13463"/>
        <v>0.0070</v>
      </c>
    </row>
    <row r="7830" s="1" customFormat="1" spans="1:21">
      <c r="A7830" s="1" t="str">
        <f>"4601992362246"</f>
        <v>4601992362246</v>
      </c>
      <c r="B7830" s="1" t="s">
        <v>7853</v>
      </c>
      <c r="C7830" s="1" t="s">
        <v>24</v>
      </c>
      <c r="D7830" s="1" t="str">
        <f t="shared" si="13487"/>
        <v>2021</v>
      </c>
      <c r="E7830" s="1" t="str">
        <f t="shared" ref="E7830:P7830" si="13509">"0"</f>
        <v>0</v>
      </c>
      <c r="F7830" s="1" t="str">
        <f t="shared" si="13509"/>
        <v>0</v>
      </c>
      <c r="G7830" s="1" t="str">
        <f t="shared" si="13509"/>
        <v>0</v>
      </c>
      <c r="H7830" s="1" t="str">
        <f t="shared" si="13509"/>
        <v>0</v>
      </c>
      <c r="I7830" s="1" t="str">
        <f t="shared" si="13509"/>
        <v>0</v>
      </c>
      <c r="J7830" s="1" t="str">
        <f t="shared" si="13509"/>
        <v>0</v>
      </c>
      <c r="K7830" s="1" t="str">
        <f t="shared" si="13509"/>
        <v>0</v>
      </c>
      <c r="L7830" s="1" t="str">
        <f t="shared" si="13509"/>
        <v>0</v>
      </c>
      <c r="M7830" s="1" t="str">
        <f t="shared" si="13509"/>
        <v>0</v>
      </c>
      <c r="N7830" s="1" t="str">
        <f t="shared" si="13509"/>
        <v>0</v>
      </c>
      <c r="O7830" s="1" t="str">
        <f t="shared" si="13509"/>
        <v>0</v>
      </c>
      <c r="P7830" s="1" t="str">
        <f t="shared" si="13509"/>
        <v>0</v>
      </c>
      <c r="Q7830" s="1" t="str">
        <f t="shared" si="13489"/>
        <v>0.0070</v>
      </c>
      <c r="R7830" s="1" t="s">
        <v>25</v>
      </c>
      <c r="T7830" s="1" t="str">
        <f t="shared" si="13490"/>
        <v>0</v>
      </c>
      <c r="U7830" s="1" t="str">
        <f t="shared" si="13463"/>
        <v>0.0070</v>
      </c>
    </row>
    <row r="7831" s="1" customFormat="1" spans="1:21">
      <c r="A7831" s="1" t="str">
        <f>"4601992362268"</f>
        <v>4601992362268</v>
      </c>
      <c r="B7831" s="1" t="s">
        <v>7854</v>
      </c>
      <c r="C7831" s="1" t="s">
        <v>24</v>
      </c>
      <c r="D7831" s="1" t="str">
        <f t="shared" si="13487"/>
        <v>2021</v>
      </c>
      <c r="E7831" s="1" t="str">
        <f t="shared" ref="E7831:P7831" si="13510">"0"</f>
        <v>0</v>
      </c>
      <c r="F7831" s="1" t="str">
        <f t="shared" si="13510"/>
        <v>0</v>
      </c>
      <c r="G7831" s="1" t="str">
        <f t="shared" si="13510"/>
        <v>0</v>
      </c>
      <c r="H7831" s="1" t="str">
        <f t="shared" si="13510"/>
        <v>0</v>
      </c>
      <c r="I7831" s="1" t="str">
        <f t="shared" si="13510"/>
        <v>0</v>
      </c>
      <c r="J7831" s="1" t="str">
        <f t="shared" si="13510"/>
        <v>0</v>
      </c>
      <c r="K7831" s="1" t="str">
        <f t="shared" si="13510"/>
        <v>0</v>
      </c>
      <c r="L7831" s="1" t="str">
        <f t="shared" si="13510"/>
        <v>0</v>
      </c>
      <c r="M7831" s="1" t="str">
        <f t="shared" si="13510"/>
        <v>0</v>
      </c>
      <c r="N7831" s="1" t="str">
        <f t="shared" si="13510"/>
        <v>0</v>
      </c>
      <c r="O7831" s="1" t="str">
        <f t="shared" si="13510"/>
        <v>0</v>
      </c>
      <c r="P7831" s="1" t="str">
        <f t="shared" si="13510"/>
        <v>0</v>
      </c>
      <c r="Q7831" s="1" t="str">
        <f t="shared" si="13489"/>
        <v>0.0070</v>
      </c>
      <c r="R7831" s="1" t="s">
        <v>25</v>
      </c>
      <c r="T7831" s="1" t="str">
        <f t="shared" si="13490"/>
        <v>0</v>
      </c>
      <c r="U7831" s="1" t="str">
        <f t="shared" si="13463"/>
        <v>0.0070</v>
      </c>
    </row>
    <row r="7832" s="1" customFormat="1" spans="1:21">
      <c r="A7832" s="1" t="str">
        <f>"4601992362269"</f>
        <v>4601992362269</v>
      </c>
      <c r="B7832" s="1" t="s">
        <v>7855</v>
      </c>
      <c r="C7832" s="1" t="s">
        <v>24</v>
      </c>
      <c r="D7832" s="1" t="str">
        <f t="shared" si="13487"/>
        <v>2021</v>
      </c>
      <c r="E7832" s="1" t="str">
        <f t="shared" ref="E7832:P7832" si="13511">"0"</f>
        <v>0</v>
      </c>
      <c r="F7832" s="1" t="str">
        <f t="shared" si="13511"/>
        <v>0</v>
      </c>
      <c r="G7832" s="1" t="str">
        <f t="shared" si="13511"/>
        <v>0</v>
      </c>
      <c r="H7832" s="1" t="str">
        <f t="shared" si="13511"/>
        <v>0</v>
      </c>
      <c r="I7832" s="1" t="str">
        <f t="shared" si="13511"/>
        <v>0</v>
      </c>
      <c r="J7832" s="1" t="str">
        <f t="shared" si="13511"/>
        <v>0</v>
      </c>
      <c r="K7832" s="1" t="str">
        <f t="shared" si="13511"/>
        <v>0</v>
      </c>
      <c r="L7832" s="1" t="str">
        <f t="shared" si="13511"/>
        <v>0</v>
      </c>
      <c r="M7832" s="1" t="str">
        <f t="shared" si="13511"/>
        <v>0</v>
      </c>
      <c r="N7832" s="1" t="str">
        <f t="shared" si="13511"/>
        <v>0</v>
      </c>
      <c r="O7832" s="1" t="str">
        <f t="shared" si="13511"/>
        <v>0</v>
      </c>
      <c r="P7832" s="1" t="str">
        <f t="shared" si="13511"/>
        <v>0</v>
      </c>
      <c r="Q7832" s="1" t="str">
        <f t="shared" si="13489"/>
        <v>0.0070</v>
      </c>
      <c r="R7832" s="1" t="s">
        <v>25</v>
      </c>
      <c r="T7832" s="1" t="str">
        <f t="shared" si="13490"/>
        <v>0</v>
      </c>
      <c r="U7832" s="1" t="str">
        <f t="shared" si="13463"/>
        <v>0.0070</v>
      </c>
    </row>
    <row r="7833" s="1" customFormat="1" spans="1:21">
      <c r="A7833" s="1" t="str">
        <f>"4601992362364"</f>
        <v>4601992362364</v>
      </c>
      <c r="B7833" s="1" t="s">
        <v>7856</v>
      </c>
      <c r="C7833" s="1" t="s">
        <v>24</v>
      </c>
      <c r="D7833" s="1" t="str">
        <f t="shared" si="13487"/>
        <v>2021</v>
      </c>
      <c r="E7833" s="1" t="str">
        <f t="shared" ref="E7833:P7833" si="13512">"0"</f>
        <v>0</v>
      </c>
      <c r="F7833" s="1" t="str">
        <f t="shared" si="13512"/>
        <v>0</v>
      </c>
      <c r="G7833" s="1" t="str">
        <f t="shared" si="13512"/>
        <v>0</v>
      </c>
      <c r="H7833" s="1" t="str">
        <f t="shared" si="13512"/>
        <v>0</v>
      </c>
      <c r="I7833" s="1" t="str">
        <f t="shared" si="13512"/>
        <v>0</v>
      </c>
      <c r="J7833" s="1" t="str">
        <f t="shared" si="13512"/>
        <v>0</v>
      </c>
      <c r="K7833" s="1" t="str">
        <f t="shared" si="13512"/>
        <v>0</v>
      </c>
      <c r="L7833" s="1" t="str">
        <f t="shared" si="13512"/>
        <v>0</v>
      </c>
      <c r="M7833" s="1" t="str">
        <f t="shared" si="13512"/>
        <v>0</v>
      </c>
      <c r="N7833" s="1" t="str">
        <f t="shared" si="13512"/>
        <v>0</v>
      </c>
      <c r="O7833" s="1" t="str">
        <f t="shared" si="13512"/>
        <v>0</v>
      </c>
      <c r="P7833" s="1" t="str">
        <f t="shared" si="13512"/>
        <v>0</v>
      </c>
      <c r="Q7833" s="1" t="str">
        <f t="shared" si="13489"/>
        <v>0.0070</v>
      </c>
      <c r="R7833" s="1" t="s">
        <v>25</v>
      </c>
      <c r="T7833" s="1" t="str">
        <f t="shared" si="13490"/>
        <v>0</v>
      </c>
      <c r="U7833" s="1" t="str">
        <f t="shared" si="13463"/>
        <v>0.0070</v>
      </c>
    </row>
    <row r="7834" s="1" customFormat="1" spans="1:21">
      <c r="A7834" s="1" t="str">
        <f>"4601992362400"</f>
        <v>4601992362400</v>
      </c>
      <c r="B7834" s="1" t="s">
        <v>7857</v>
      </c>
      <c r="C7834" s="1" t="s">
        <v>24</v>
      </c>
      <c r="D7834" s="1" t="str">
        <f t="shared" si="13487"/>
        <v>2021</v>
      </c>
      <c r="E7834" s="1" t="str">
        <f t="shared" ref="E7834:P7834" si="13513">"0"</f>
        <v>0</v>
      </c>
      <c r="F7834" s="1" t="str">
        <f t="shared" si="13513"/>
        <v>0</v>
      </c>
      <c r="G7834" s="1" t="str">
        <f t="shared" si="13513"/>
        <v>0</v>
      </c>
      <c r="H7834" s="1" t="str">
        <f t="shared" si="13513"/>
        <v>0</v>
      </c>
      <c r="I7834" s="1" t="str">
        <f t="shared" si="13513"/>
        <v>0</v>
      </c>
      <c r="J7834" s="1" t="str">
        <f t="shared" si="13513"/>
        <v>0</v>
      </c>
      <c r="K7834" s="1" t="str">
        <f t="shared" si="13513"/>
        <v>0</v>
      </c>
      <c r="L7834" s="1" t="str">
        <f t="shared" si="13513"/>
        <v>0</v>
      </c>
      <c r="M7834" s="1" t="str">
        <f t="shared" si="13513"/>
        <v>0</v>
      </c>
      <c r="N7834" s="1" t="str">
        <f t="shared" si="13513"/>
        <v>0</v>
      </c>
      <c r="O7834" s="1" t="str">
        <f t="shared" si="13513"/>
        <v>0</v>
      </c>
      <c r="P7834" s="1" t="str">
        <f t="shared" si="13513"/>
        <v>0</v>
      </c>
      <c r="Q7834" s="1" t="str">
        <f t="shared" si="13489"/>
        <v>0.0070</v>
      </c>
      <c r="R7834" s="1" t="s">
        <v>25</v>
      </c>
      <c r="T7834" s="1" t="str">
        <f t="shared" si="13490"/>
        <v>0</v>
      </c>
      <c r="U7834" s="1" t="str">
        <f t="shared" si="13463"/>
        <v>0.0070</v>
      </c>
    </row>
    <row r="7835" s="1" customFormat="1" spans="1:21">
      <c r="A7835" s="1" t="str">
        <f>"4601992362381"</f>
        <v>4601992362381</v>
      </c>
      <c r="B7835" s="1" t="s">
        <v>7858</v>
      </c>
      <c r="C7835" s="1" t="s">
        <v>24</v>
      </c>
      <c r="D7835" s="1" t="str">
        <f t="shared" si="13487"/>
        <v>2021</v>
      </c>
      <c r="E7835" s="1" t="str">
        <f t="shared" ref="E7835:P7835" si="13514">"0"</f>
        <v>0</v>
      </c>
      <c r="F7835" s="1" t="str">
        <f t="shared" si="13514"/>
        <v>0</v>
      </c>
      <c r="G7835" s="1" t="str">
        <f t="shared" si="13514"/>
        <v>0</v>
      </c>
      <c r="H7835" s="1" t="str">
        <f t="shared" si="13514"/>
        <v>0</v>
      </c>
      <c r="I7835" s="1" t="str">
        <f t="shared" si="13514"/>
        <v>0</v>
      </c>
      <c r="J7835" s="1" t="str">
        <f t="shared" si="13514"/>
        <v>0</v>
      </c>
      <c r="K7835" s="1" t="str">
        <f t="shared" si="13514"/>
        <v>0</v>
      </c>
      <c r="L7835" s="1" t="str">
        <f t="shared" si="13514"/>
        <v>0</v>
      </c>
      <c r="M7835" s="1" t="str">
        <f t="shared" si="13514"/>
        <v>0</v>
      </c>
      <c r="N7835" s="1" t="str">
        <f t="shared" si="13514"/>
        <v>0</v>
      </c>
      <c r="O7835" s="1" t="str">
        <f t="shared" si="13514"/>
        <v>0</v>
      </c>
      <c r="P7835" s="1" t="str">
        <f t="shared" si="13514"/>
        <v>0</v>
      </c>
      <c r="Q7835" s="1" t="str">
        <f t="shared" si="13489"/>
        <v>0.0070</v>
      </c>
      <c r="R7835" s="1" t="s">
        <v>25</v>
      </c>
      <c r="T7835" s="1" t="str">
        <f t="shared" si="13490"/>
        <v>0</v>
      </c>
      <c r="U7835" s="1" t="str">
        <f t="shared" si="13463"/>
        <v>0.0070</v>
      </c>
    </row>
    <row r="7836" s="1" customFormat="1" spans="1:21">
      <c r="A7836" s="1" t="str">
        <f>"4601992362432"</f>
        <v>4601992362432</v>
      </c>
      <c r="B7836" s="1" t="s">
        <v>7859</v>
      </c>
      <c r="C7836" s="1" t="s">
        <v>24</v>
      </c>
      <c r="D7836" s="1" t="str">
        <f t="shared" si="13487"/>
        <v>2021</v>
      </c>
      <c r="E7836" s="1" t="str">
        <f t="shared" ref="E7836:P7836" si="13515">"0"</f>
        <v>0</v>
      </c>
      <c r="F7836" s="1" t="str">
        <f t="shared" si="13515"/>
        <v>0</v>
      </c>
      <c r="G7836" s="1" t="str">
        <f t="shared" si="13515"/>
        <v>0</v>
      </c>
      <c r="H7836" s="1" t="str">
        <f t="shared" si="13515"/>
        <v>0</v>
      </c>
      <c r="I7836" s="1" t="str">
        <f t="shared" si="13515"/>
        <v>0</v>
      </c>
      <c r="J7836" s="1" t="str">
        <f t="shared" si="13515"/>
        <v>0</v>
      </c>
      <c r="K7836" s="1" t="str">
        <f t="shared" si="13515"/>
        <v>0</v>
      </c>
      <c r="L7836" s="1" t="str">
        <f t="shared" si="13515"/>
        <v>0</v>
      </c>
      <c r="M7836" s="1" t="str">
        <f t="shared" si="13515"/>
        <v>0</v>
      </c>
      <c r="N7836" s="1" t="str">
        <f t="shared" si="13515"/>
        <v>0</v>
      </c>
      <c r="O7836" s="1" t="str">
        <f t="shared" si="13515"/>
        <v>0</v>
      </c>
      <c r="P7836" s="1" t="str">
        <f t="shared" si="13515"/>
        <v>0</v>
      </c>
      <c r="Q7836" s="1" t="str">
        <f t="shared" si="13489"/>
        <v>0.0070</v>
      </c>
      <c r="R7836" s="1" t="s">
        <v>25</v>
      </c>
      <c r="T7836" s="1" t="str">
        <f t="shared" si="13490"/>
        <v>0</v>
      </c>
      <c r="U7836" s="1" t="str">
        <f t="shared" si="13463"/>
        <v>0.0070</v>
      </c>
    </row>
    <row r="7837" s="1" customFormat="1" spans="1:21">
      <c r="A7837" s="1" t="str">
        <f>"4601992362510"</f>
        <v>4601992362510</v>
      </c>
      <c r="B7837" s="1" t="s">
        <v>7860</v>
      </c>
      <c r="C7837" s="1" t="s">
        <v>24</v>
      </c>
      <c r="D7837" s="1" t="str">
        <f t="shared" si="13487"/>
        <v>2021</v>
      </c>
      <c r="E7837" s="1" t="str">
        <f t="shared" ref="E7837:P7837" si="13516">"0"</f>
        <v>0</v>
      </c>
      <c r="F7837" s="1" t="str">
        <f t="shared" si="13516"/>
        <v>0</v>
      </c>
      <c r="G7837" s="1" t="str">
        <f t="shared" si="13516"/>
        <v>0</v>
      </c>
      <c r="H7837" s="1" t="str">
        <f t="shared" si="13516"/>
        <v>0</v>
      </c>
      <c r="I7837" s="1" t="str">
        <f t="shared" si="13516"/>
        <v>0</v>
      </c>
      <c r="J7837" s="1" t="str">
        <f t="shared" si="13516"/>
        <v>0</v>
      </c>
      <c r="K7837" s="1" t="str">
        <f t="shared" si="13516"/>
        <v>0</v>
      </c>
      <c r="L7837" s="1" t="str">
        <f t="shared" si="13516"/>
        <v>0</v>
      </c>
      <c r="M7837" s="1" t="str">
        <f t="shared" si="13516"/>
        <v>0</v>
      </c>
      <c r="N7837" s="1" t="str">
        <f t="shared" si="13516"/>
        <v>0</v>
      </c>
      <c r="O7837" s="1" t="str">
        <f t="shared" si="13516"/>
        <v>0</v>
      </c>
      <c r="P7837" s="1" t="str">
        <f t="shared" si="13516"/>
        <v>0</v>
      </c>
      <c r="Q7837" s="1" t="str">
        <f t="shared" si="13489"/>
        <v>0.0070</v>
      </c>
      <c r="R7837" s="1" t="s">
        <v>25</v>
      </c>
      <c r="T7837" s="1" t="str">
        <f t="shared" si="13490"/>
        <v>0</v>
      </c>
      <c r="U7837" s="1" t="str">
        <f t="shared" si="13463"/>
        <v>0.0070</v>
      </c>
    </row>
    <row r="7838" s="1" customFormat="1" spans="1:21">
      <c r="A7838" s="1" t="str">
        <f>"4601992362568"</f>
        <v>4601992362568</v>
      </c>
      <c r="B7838" s="1" t="s">
        <v>7861</v>
      </c>
      <c r="C7838" s="1" t="s">
        <v>24</v>
      </c>
      <c r="D7838" s="1" t="str">
        <f t="shared" si="13487"/>
        <v>2021</v>
      </c>
      <c r="E7838" s="1" t="str">
        <f t="shared" ref="E7838:P7838" si="13517">"0"</f>
        <v>0</v>
      </c>
      <c r="F7838" s="1" t="str">
        <f t="shared" si="13517"/>
        <v>0</v>
      </c>
      <c r="G7838" s="1" t="str">
        <f t="shared" si="13517"/>
        <v>0</v>
      </c>
      <c r="H7838" s="1" t="str">
        <f t="shared" si="13517"/>
        <v>0</v>
      </c>
      <c r="I7838" s="1" t="str">
        <f t="shared" si="13517"/>
        <v>0</v>
      </c>
      <c r="J7838" s="1" t="str">
        <f t="shared" si="13517"/>
        <v>0</v>
      </c>
      <c r="K7838" s="1" t="str">
        <f t="shared" si="13517"/>
        <v>0</v>
      </c>
      <c r="L7838" s="1" t="str">
        <f t="shared" si="13517"/>
        <v>0</v>
      </c>
      <c r="M7838" s="1" t="str">
        <f t="shared" si="13517"/>
        <v>0</v>
      </c>
      <c r="N7838" s="1" t="str">
        <f t="shared" si="13517"/>
        <v>0</v>
      </c>
      <c r="O7838" s="1" t="str">
        <f t="shared" si="13517"/>
        <v>0</v>
      </c>
      <c r="P7838" s="1" t="str">
        <f t="shared" si="13517"/>
        <v>0</v>
      </c>
      <c r="Q7838" s="1" t="str">
        <f t="shared" si="13489"/>
        <v>0.0070</v>
      </c>
      <c r="R7838" s="1" t="s">
        <v>25</v>
      </c>
      <c r="T7838" s="1" t="str">
        <f t="shared" si="13490"/>
        <v>0</v>
      </c>
      <c r="U7838" s="1" t="str">
        <f t="shared" si="13463"/>
        <v>0.0070</v>
      </c>
    </row>
    <row r="7839" s="1" customFormat="1" spans="1:21">
      <c r="A7839" s="1" t="str">
        <f>"4601992362622"</f>
        <v>4601992362622</v>
      </c>
      <c r="B7839" s="1" t="s">
        <v>7862</v>
      </c>
      <c r="C7839" s="1" t="s">
        <v>24</v>
      </c>
      <c r="D7839" s="1" t="str">
        <f t="shared" si="13487"/>
        <v>2021</v>
      </c>
      <c r="E7839" s="1" t="str">
        <f t="shared" ref="E7839:P7839" si="13518">"0"</f>
        <v>0</v>
      </c>
      <c r="F7839" s="1" t="str">
        <f t="shared" si="13518"/>
        <v>0</v>
      </c>
      <c r="G7839" s="1" t="str">
        <f t="shared" si="13518"/>
        <v>0</v>
      </c>
      <c r="H7839" s="1" t="str">
        <f t="shared" si="13518"/>
        <v>0</v>
      </c>
      <c r="I7839" s="1" t="str">
        <f t="shared" si="13518"/>
        <v>0</v>
      </c>
      <c r="J7839" s="1" t="str">
        <f t="shared" si="13518"/>
        <v>0</v>
      </c>
      <c r="K7839" s="1" t="str">
        <f t="shared" si="13518"/>
        <v>0</v>
      </c>
      <c r="L7839" s="1" t="str">
        <f t="shared" si="13518"/>
        <v>0</v>
      </c>
      <c r="M7839" s="1" t="str">
        <f t="shared" si="13518"/>
        <v>0</v>
      </c>
      <c r="N7839" s="1" t="str">
        <f t="shared" si="13518"/>
        <v>0</v>
      </c>
      <c r="O7839" s="1" t="str">
        <f t="shared" si="13518"/>
        <v>0</v>
      </c>
      <c r="P7839" s="1" t="str">
        <f t="shared" si="13518"/>
        <v>0</v>
      </c>
      <c r="Q7839" s="1" t="str">
        <f t="shared" si="13489"/>
        <v>0.0070</v>
      </c>
      <c r="R7839" s="1" t="s">
        <v>25</v>
      </c>
      <c r="T7839" s="1" t="str">
        <f t="shared" si="13490"/>
        <v>0</v>
      </c>
      <c r="U7839" s="1" t="str">
        <f t="shared" si="13463"/>
        <v>0.0070</v>
      </c>
    </row>
    <row r="7840" s="1" customFormat="1" spans="1:21">
      <c r="A7840" s="1" t="str">
        <f>"4601992362682"</f>
        <v>4601992362682</v>
      </c>
      <c r="B7840" s="1" t="s">
        <v>7863</v>
      </c>
      <c r="C7840" s="1" t="s">
        <v>24</v>
      </c>
      <c r="D7840" s="1" t="str">
        <f t="shared" si="13487"/>
        <v>2021</v>
      </c>
      <c r="E7840" s="1" t="str">
        <f t="shared" ref="E7840:P7840" si="13519">"0"</f>
        <v>0</v>
      </c>
      <c r="F7840" s="1" t="str">
        <f t="shared" si="13519"/>
        <v>0</v>
      </c>
      <c r="G7840" s="1" t="str">
        <f t="shared" si="13519"/>
        <v>0</v>
      </c>
      <c r="H7840" s="1" t="str">
        <f t="shared" si="13519"/>
        <v>0</v>
      </c>
      <c r="I7840" s="1" t="str">
        <f t="shared" si="13519"/>
        <v>0</v>
      </c>
      <c r="J7840" s="1" t="str">
        <f t="shared" si="13519"/>
        <v>0</v>
      </c>
      <c r="K7840" s="1" t="str">
        <f t="shared" si="13519"/>
        <v>0</v>
      </c>
      <c r="L7840" s="1" t="str">
        <f t="shared" si="13519"/>
        <v>0</v>
      </c>
      <c r="M7840" s="1" t="str">
        <f t="shared" si="13519"/>
        <v>0</v>
      </c>
      <c r="N7840" s="1" t="str">
        <f t="shared" si="13519"/>
        <v>0</v>
      </c>
      <c r="O7840" s="1" t="str">
        <f t="shared" si="13519"/>
        <v>0</v>
      </c>
      <c r="P7840" s="1" t="str">
        <f t="shared" si="13519"/>
        <v>0</v>
      </c>
      <c r="Q7840" s="1" t="str">
        <f t="shared" si="13489"/>
        <v>0.0070</v>
      </c>
      <c r="R7840" s="1" t="s">
        <v>25</v>
      </c>
      <c r="T7840" s="1" t="str">
        <f t="shared" si="13490"/>
        <v>0</v>
      </c>
      <c r="U7840" s="1" t="str">
        <f t="shared" si="13463"/>
        <v>0.0070</v>
      </c>
    </row>
    <row r="7841" s="1" customFormat="1" spans="1:21">
      <c r="A7841" s="1" t="str">
        <f>"4601992362716"</f>
        <v>4601992362716</v>
      </c>
      <c r="B7841" s="1" t="s">
        <v>7864</v>
      </c>
      <c r="C7841" s="1" t="s">
        <v>24</v>
      </c>
      <c r="D7841" s="1" t="str">
        <f t="shared" si="13487"/>
        <v>2021</v>
      </c>
      <c r="E7841" s="1" t="str">
        <f t="shared" ref="E7841:P7841" si="13520">"0"</f>
        <v>0</v>
      </c>
      <c r="F7841" s="1" t="str">
        <f t="shared" si="13520"/>
        <v>0</v>
      </c>
      <c r="G7841" s="1" t="str">
        <f t="shared" si="13520"/>
        <v>0</v>
      </c>
      <c r="H7841" s="1" t="str">
        <f t="shared" si="13520"/>
        <v>0</v>
      </c>
      <c r="I7841" s="1" t="str">
        <f t="shared" si="13520"/>
        <v>0</v>
      </c>
      <c r="J7841" s="1" t="str">
        <f t="shared" si="13520"/>
        <v>0</v>
      </c>
      <c r="K7841" s="1" t="str">
        <f t="shared" si="13520"/>
        <v>0</v>
      </c>
      <c r="L7841" s="1" t="str">
        <f t="shared" si="13520"/>
        <v>0</v>
      </c>
      <c r="M7841" s="1" t="str">
        <f t="shared" si="13520"/>
        <v>0</v>
      </c>
      <c r="N7841" s="1" t="str">
        <f t="shared" si="13520"/>
        <v>0</v>
      </c>
      <c r="O7841" s="1" t="str">
        <f t="shared" si="13520"/>
        <v>0</v>
      </c>
      <c r="P7841" s="1" t="str">
        <f t="shared" si="13520"/>
        <v>0</v>
      </c>
      <c r="Q7841" s="1" t="str">
        <f t="shared" si="13489"/>
        <v>0.0070</v>
      </c>
      <c r="R7841" s="1" t="s">
        <v>25</v>
      </c>
      <c r="T7841" s="1" t="str">
        <f t="shared" si="13490"/>
        <v>0</v>
      </c>
      <c r="U7841" s="1" t="str">
        <f t="shared" si="13463"/>
        <v>0.0070</v>
      </c>
    </row>
    <row r="7842" s="1" customFormat="1" spans="1:21">
      <c r="A7842" s="1" t="str">
        <f>"4601992362795"</f>
        <v>4601992362795</v>
      </c>
      <c r="B7842" s="1" t="s">
        <v>7865</v>
      </c>
      <c r="C7842" s="1" t="s">
        <v>24</v>
      </c>
      <c r="D7842" s="1" t="str">
        <f t="shared" si="13487"/>
        <v>2021</v>
      </c>
      <c r="E7842" s="1" t="str">
        <f t="shared" ref="E7842:P7842" si="13521">"0"</f>
        <v>0</v>
      </c>
      <c r="F7842" s="1" t="str">
        <f t="shared" si="13521"/>
        <v>0</v>
      </c>
      <c r="G7842" s="1" t="str">
        <f t="shared" si="13521"/>
        <v>0</v>
      </c>
      <c r="H7842" s="1" t="str">
        <f t="shared" si="13521"/>
        <v>0</v>
      </c>
      <c r="I7842" s="1" t="str">
        <f t="shared" si="13521"/>
        <v>0</v>
      </c>
      <c r="J7842" s="1" t="str">
        <f t="shared" si="13521"/>
        <v>0</v>
      </c>
      <c r="K7842" s="1" t="str">
        <f t="shared" si="13521"/>
        <v>0</v>
      </c>
      <c r="L7842" s="1" t="str">
        <f t="shared" si="13521"/>
        <v>0</v>
      </c>
      <c r="M7842" s="1" t="str">
        <f t="shared" si="13521"/>
        <v>0</v>
      </c>
      <c r="N7842" s="1" t="str">
        <f t="shared" si="13521"/>
        <v>0</v>
      </c>
      <c r="O7842" s="1" t="str">
        <f t="shared" si="13521"/>
        <v>0</v>
      </c>
      <c r="P7842" s="1" t="str">
        <f t="shared" si="13521"/>
        <v>0</v>
      </c>
      <c r="Q7842" s="1" t="str">
        <f t="shared" si="13489"/>
        <v>0.0070</v>
      </c>
      <c r="R7842" s="1" t="s">
        <v>25</v>
      </c>
      <c r="T7842" s="1" t="str">
        <f t="shared" si="13490"/>
        <v>0</v>
      </c>
      <c r="U7842" s="1" t="str">
        <f t="shared" si="13463"/>
        <v>0.0070</v>
      </c>
    </row>
    <row r="7843" s="1" customFormat="1" spans="1:21">
      <c r="A7843" s="1" t="str">
        <f>"4601992362807"</f>
        <v>4601992362807</v>
      </c>
      <c r="B7843" s="1" t="s">
        <v>7866</v>
      </c>
      <c r="C7843" s="1" t="s">
        <v>24</v>
      </c>
      <c r="D7843" s="1" t="str">
        <f t="shared" si="13487"/>
        <v>2021</v>
      </c>
      <c r="E7843" s="1" t="str">
        <f t="shared" ref="E7843:P7843" si="13522">"0"</f>
        <v>0</v>
      </c>
      <c r="F7843" s="1" t="str">
        <f t="shared" si="13522"/>
        <v>0</v>
      </c>
      <c r="G7843" s="1" t="str">
        <f t="shared" si="13522"/>
        <v>0</v>
      </c>
      <c r="H7843" s="1" t="str">
        <f t="shared" si="13522"/>
        <v>0</v>
      </c>
      <c r="I7843" s="1" t="str">
        <f t="shared" si="13522"/>
        <v>0</v>
      </c>
      <c r="J7843" s="1" t="str">
        <f t="shared" si="13522"/>
        <v>0</v>
      </c>
      <c r="K7843" s="1" t="str">
        <f t="shared" si="13522"/>
        <v>0</v>
      </c>
      <c r="L7843" s="1" t="str">
        <f t="shared" si="13522"/>
        <v>0</v>
      </c>
      <c r="M7843" s="1" t="str">
        <f t="shared" si="13522"/>
        <v>0</v>
      </c>
      <c r="N7843" s="1" t="str">
        <f t="shared" si="13522"/>
        <v>0</v>
      </c>
      <c r="O7843" s="1" t="str">
        <f t="shared" si="13522"/>
        <v>0</v>
      </c>
      <c r="P7843" s="1" t="str">
        <f t="shared" si="13522"/>
        <v>0</v>
      </c>
      <c r="Q7843" s="1" t="str">
        <f t="shared" si="13489"/>
        <v>0.0070</v>
      </c>
      <c r="R7843" s="1" t="s">
        <v>25</v>
      </c>
      <c r="T7843" s="1" t="str">
        <f t="shared" si="13490"/>
        <v>0</v>
      </c>
      <c r="U7843" s="1" t="str">
        <f t="shared" si="13463"/>
        <v>0.0070</v>
      </c>
    </row>
    <row r="7844" s="1" customFormat="1" spans="1:21">
      <c r="A7844" s="1" t="str">
        <f>"4601992363018"</f>
        <v>4601992363018</v>
      </c>
      <c r="B7844" s="1" t="s">
        <v>7867</v>
      </c>
      <c r="C7844" s="1" t="s">
        <v>24</v>
      </c>
      <c r="D7844" s="1" t="str">
        <f t="shared" si="13487"/>
        <v>2021</v>
      </c>
      <c r="E7844" s="1" t="str">
        <f t="shared" ref="E7844:P7844" si="13523">"0"</f>
        <v>0</v>
      </c>
      <c r="F7844" s="1" t="str">
        <f t="shared" si="13523"/>
        <v>0</v>
      </c>
      <c r="G7844" s="1" t="str">
        <f t="shared" si="13523"/>
        <v>0</v>
      </c>
      <c r="H7844" s="1" t="str">
        <f t="shared" si="13523"/>
        <v>0</v>
      </c>
      <c r="I7844" s="1" t="str">
        <f t="shared" si="13523"/>
        <v>0</v>
      </c>
      <c r="J7844" s="1" t="str">
        <f t="shared" si="13523"/>
        <v>0</v>
      </c>
      <c r="K7844" s="1" t="str">
        <f t="shared" si="13523"/>
        <v>0</v>
      </c>
      <c r="L7844" s="1" t="str">
        <f t="shared" si="13523"/>
        <v>0</v>
      </c>
      <c r="M7844" s="1" t="str">
        <f t="shared" si="13523"/>
        <v>0</v>
      </c>
      <c r="N7844" s="1" t="str">
        <f t="shared" si="13523"/>
        <v>0</v>
      </c>
      <c r="O7844" s="1" t="str">
        <f t="shared" si="13523"/>
        <v>0</v>
      </c>
      <c r="P7844" s="1" t="str">
        <f t="shared" si="13523"/>
        <v>0</v>
      </c>
      <c r="Q7844" s="1" t="str">
        <f t="shared" si="13489"/>
        <v>0.0070</v>
      </c>
      <c r="R7844" s="1" t="s">
        <v>25</v>
      </c>
      <c r="T7844" s="1" t="str">
        <f t="shared" si="13490"/>
        <v>0</v>
      </c>
      <c r="U7844" s="1" t="str">
        <f t="shared" si="13463"/>
        <v>0.0070</v>
      </c>
    </row>
    <row r="7845" s="1" customFormat="1" spans="1:21">
      <c r="A7845" s="1" t="str">
        <f>"4601992363047"</f>
        <v>4601992363047</v>
      </c>
      <c r="B7845" s="1" t="s">
        <v>7868</v>
      </c>
      <c r="C7845" s="1" t="s">
        <v>24</v>
      </c>
      <c r="D7845" s="1" t="str">
        <f t="shared" si="13487"/>
        <v>2021</v>
      </c>
      <c r="E7845" s="1" t="str">
        <f t="shared" ref="E7845:P7845" si="13524">"0"</f>
        <v>0</v>
      </c>
      <c r="F7845" s="1" t="str">
        <f t="shared" si="13524"/>
        <v>0</v>
      </c>
      <c r="G7845" s="1" t="str">
        <f t="shared" si="13524"/>
        <v>0</v>
      </c>
      <c r="H7845" s="1" t="str">
        <f t="shared" si="13524"/>
        <v>0</v>
      </c>
      <c r="I7845" s="1" t="str">
        <f t="shared" si="13524"/>
        <v>0</v>
      </c>
      <c r="J7845" s="1" t="str">
        <f t="shared" si="13524"/>
        <v>0</v>
      </c>
      <c r="K7845" s="1" t="str">
        <f t="shared" si="13524"/>
        <v>0</v>
      </c>
      <c r="L7845" s="1" t="str">
        <f t="shared" si="13524"/>
        <v>0</v>
      </c>
      <c r="M7845" s="1" t="str">
        <f t="shared" si="13524"/>
        <v>0</v>
      </c>
      <c r="N7845" s="1" t="str">
        <f t="shared" si="13524"/>
        <v>0</v>
      </c>
      <c r="O7845" s="1" t="str">
        <f t="shared" si="13524"/>
        <v>0</v>
      </c>
      <c r="P7845" s="1" t="str">
        <f t="shared" si="13524"/>
        <v>0</v>
      </c>
      <c r="Q7845" s="1" t="str">
        <f t="shared" si="13489"/>
        <v>0.0070</v>
      </c>
      <c r="R7845" s="1" t="s">
        <v>25</v>
      </c>
      <c r="T7845" s="1" t="str">
        <f t="shared" si="13490"/>
        <v>0</v>
      </c>
      <c r="U7845" s="1" t="str">
        <f t="shared" si="13463"/>
        <v>0.0070</v>
      </c>
    </row>
    <row r="7846" s="1" customFormat="1" spans="1:21">
      <c r="A7846" s="1" t="str">
        <f>"4601992363077"</f>
        <v>4601992363077</v>
      </c>
      <c r="B7846" s="1" t="s">
        <v>7869</v>
      </c>
      <c r="C7846" s="1" t="s">
        <v>24</v>
      </c>
      <c r="D7846" s="1" t="str">
        <f t="shared" si="13487"/>
        <v>2021</v>
      </c>
      <c r="E7846" s="1" t="str">
        <f t="shared" ref="E7846:P7846" si="13525">"0"</f>
        <v>0</v>
      </c>
      <c r="F7846" s="1" t="str">
        <f t="shared" si="13525"/>
        <v>0</v>
      </c>
      <c r="G7846" s="1" t="str">
        <f t="shared" si="13525"/>
        <v>0</v>
      </c>
      <c r="H7846" s="1" t="str">
        <f t="shared" si="13525"/>
        <v>0</v>
      </c>
      <c r="I7846" s="1" t="str">
        <f t="shared" si="13525"/>
        <v>0</v>
      </c>
      <c r="J7846" s="1" t="str">
        <f t="shared" si="13525"/>
        <v>0</v>
      </c>
      <c r="K7846" s="1" t="str">
        <f t="shared" si="13525"/>
        <v>0</v>
      </c>
      <c r="L7846" s="1" t="str">
        <f t="shared" si="13525"/>
        <v>0</v>
      </c>
      <c r="M7846" s="1" t="str">
        <f t="shared" si="13525"/>
        <v>0</v>
      </c>
      <c r="N7846" s="1" t="str">
        <f t="shared" si="13525"/>
        <v>0</v>
      </c>
      <c r="O7846" s="1" t="str">
        <f t="shared" si="13525"/>
        <v>0</v>
      </c>
      <c r="P7846" s="1" t="str">
        <f t="shared" si="13525"/>
        <v>0</v>
      </c>
      <c r="Q7846" s="1" t="str">
        <f t="shared" si="13489"/>
        <v>0.0070</v>
      </c>
      <c r="R7846" s="1" t="s">
        <v>25</v>
      </c>
      <c r="T7846" s="1" t="str">
        <f t="shared" si="13490"/>
        <v>0</v>
      </c>
      <c r="U7846" s="1" t="str">
        <f t="shared" si="13463"/>
        <v>0.0070</v>
      </c>
    </row>
    <row r="7847" s="1" customFormat="1" spans="1:21">
      <c r="A7847" s="1" t="str">
        <f>"4601992363057"</f>
        <v>4601992363057</v>
      </c>
      <c r="B7847" s="1" t="s">
        <v>7870</v>
      </c>
      <c r="C7847" s="1" t="s">
        <v>24</v>
      </c>
      <c r="D7847" s="1" t="str">
        <f t="shared" si="13487"/>
        <v>2021</v>
      </c>
      <c r="E7847" s="1" t="str">
        <f t="shared" ref="E7847:P7847" si="13526">"0"</f>
        <v>0</v>
      </c>
      <c r="F7847" s="1" t="str">
        <f t="shared" si="13526"/>
        <v>0</v>
      </c>
      <c r="G7847" s="1" t="str">
        <f t="shared" si="13526"/>
        <v>0</v>
      </c>
      <c r="H7847" s="1" t="str">
        <f t="shared" si="13526"/>
        <v>0</v>
      </c>
      <c r="I7847" s="1" t="str">
        <f t="shared" si="13526"/>
        <v>0</v>
      </c>
      <c r="J7847" s="1" t="str">
        <f t="shared" si="13526"/>
        <v>0</v>
      </c>
      <c r="K7847" s="1" t="str">
        <f t="shared" si="13526"/>
        <v>0</v>
      </c>
      <c r="L7847" s="1" t="str">
        <f t="shared" si="13526"/>
        <v>0</v>
      </c>
      <c r="M7847" s="1" t="str">
        <f t="shared" si="13526"/>
        <v>0</v>
      </c>
      <c r="N7847" s="1" t="str">
        <f t="shared" si="13526"/>
        <v>0</v>
      </c>
      <c r="O7847" s="1" t="str">
        <f t="shared" si="13526"/>
        <v>0</v>
      </c>
      <c r="P7847" s="1" t="str">
        <f t="shared" si="13526"/>
        <v>0</v>
      </c>
      <c r="Q7847" s="1" t="str">
        <f t="shared" si="13489"/>
        <v>0.0070</v>
      </c>
      <c r="R7847" s="1" t="s">
        <v>25</v>
      </c>
      <c r="T7847" s="1" t="str">
        <f t="shared" si="13490"/>
        <v>0</v>
      </c>
      <c r="U7847" s="1" t="str">
        <f t="shared" si="13463"/>
        <v>0.0070</v>
      </c>
    </row>
    <row r="7848" s="1" customFormat="1" spans="1:21">
      <c r="A7848" s="1" t="str">
        <f>"4601992363080"</f>
        <v>4601992363080</v>
      </c>
      <c r="B7848" s="1" t="s">
        <v>7871</v>
      </c>
      <c r="C7848" s="1" t="s">
        <v>24</v>
      </c>
      <c r="D7848" s="1" t="str">
        <f t="shared" si="13487"/>
        <v>2021</v>
      </c>
      <c r="E7848" s="1" t="str">
        <f t="shared" ref="E7848:P7848" si="13527">"0"</f>
        <v>0</v>
      </c>
      <c r="F7848" s="1" t="str">
        <f t="shared" si="13527"/>
        <v>0</v>
      </c>
      <c r="G7848" s="1" t="str">
        <f t="shared" si="13527"/>
        <v>0</v>
      </c>
      <c r="H7848" s="1" t="str">
        <f t="shared" si="13527"/>
        <v>0</v>
      </c>
      <c r="I7848" s="1" t="str">
        <f t="shared" si="13527"/>
        <v>0</v>
      </c>
      <c r="J7848" s="1" t="str">
        <f t="shared" si="13527"/>
        <v>0</v>
      </c>
      <c r="K7848" s="1" t="str">
        <f t="shared" si="13527"/>
        <v>0</v>
      </c>
      <c r="L7848" s="1" t="str">
        <f t="shared" si="13527"/>
        <v>0</v>
      </c>
      <c r="M7848" s="1" t="str">
        <f t="shared" si="13527"/>
        <v>0</v>
      </c>
      <c r="N7848" s="1" t="str">
        <f t="shared" si="13527"/>
        <v>0</v>
      </c>
      <c r="O7848" s="1" t="str">
        <f t="shared" si="13527"/>
        <v>0</v>
      </c>
      <c r="P7848" s="1" t="str">
        <f t="shared" si="13527"/>
        <v>0</v>
      </c>
      <c r="Q7848" s="1" t="str">
        <f t="shared" si="13489"/>
        <v>0.0070</v>
      </c>
      <c r="R7848" s="1" t="s">
        <v>25</v>
      </c>
      <c r="T7848" s="1" t="str">
        <f t="shared" si="13490"/>
        <v>0</v>
      </c>
      <c r="U7848" s="1" t="str">
        <f t="shared" si="13463"/>
        <v>0.0070</v>
      </c>
    </row>
    <row r="7849" s="1" customFormat="1" spans="1:21">
      <c r="A7849" s="1" t="str">
        <f>"4601992363143"</f>
        <v>4601992363143</v>
      </c>
      <c r="B7849" s="1" t="s">
        <v>7872</v>
      </c>
      <c r="C7849" s="1" t="s">
        <v>24</v>
      </c>
      <c r="D7849" s="1" t="str">
        <f t="shared" si="13487"/>
        <v>2021</v>
      </c>
      <c r="E7849" s="1" t="str">
        <f t="shared" ref="E7849:P7849" si="13528">"0"</f>
        <v>0</v>
      </c>
      <c r="F7849" s="1" t="str">
        <f t="shared" si="13528"/>
        <v>0</v>
      </c>
      <c r="G7849" s="1" t="str">
        <f t="shared" si="13528"/>
        <v>0</v>
      </c>
      <c r="H7849" s="1" t="str">
        <f t="shared" si="13528"/>
        <v>0</v>
      </c>
      <c r="I7849" s="1" t="str">
        <f t="shared" si="13528"/>
        <v>0</v>
      </c>
      <c r="J7849" s="1" t="str">
        <f t="shared" si="13528"/>
        <v>0</v>
      </c>
      <c r="K7849" s="1" t="str">
        <f t="shared" si="13528"/>
        <v>0</v>
      </c>
      <c r="L7849" s="1" t="str">
        <f t="shared" si="13528"/>
        <v>0</v>
      </c>
      <c r="M7849" s="1" t="str">
        <f t="shared" si="13528"/>
        <v>0</v>
      </c>
      <c r="N7849" s="1" t="str">
        <f t="shared" si="13528"/>
        <v>0</v>
      </c>
      <c r="O7849" s="1" t="str">
        <f t="shared" si="13528"/>
        <v>0</v>
      </c>
      <c r="P7849" s="1" t="str">
        <f t="shared" si="13528"/>
        <v>0</v>
      </c>
      <c r="Q7849" s="1" t="str">
        <f t="shared" si="13489"/>
        <v>0.0070</v>
      </c>
      <c r="R7849" s="1" t="s">
        <v>25</v>
      </c>
      <c r="T7849" s="1" t="str">
        <f t="shared" si="13490"/>
        <v>0</v>
      </c>
      <c r="U7849" s="1" t="str">
        <f t="shared" si="13463"/>
        <v>0.0070</v>
      </c>
    </row>
    <row r="7850" s="1" customFormat="1" spans="1:21">
      <c r="A7850" s="1" t="str">
        <f>"4601992363352"</f>
        <v>4601992363352</v>
      </c>
      <c r="B7850" s="1" t="s">
        <v>7873</v>
      </c>
      <c r="C7850" s="1" t="s">
        <v>24</v>
      </c>
      <c r="D7850" s="1" t="str">
        <f t="shared" si="13487"/>
        <v>2021</v>
      </c>
      <c r="E7850" s="1" t="str">
        <f t="shared" ref="E7850:P7850" si="13529">"0"</f>
        <v>0</v>
      </c>
      <c r="F7850" s="1" t="str">
        <f t="shared" si="13529"/>
        <v>0</v>
      </c>
      <c r="G7850" s="1" t="str">
        <f t="shared" si="13529"/>
        <v>0</v>
      </c>
      <c r="H7850" s="1" t="str">
        <f t="shared" si="13529"/>
        <v>0</v>
      </c>
      <c r="I7850" s="1" t="str">
        <f t="shared" si="13529"/>
        <v>0</v>
      </c>
      <c r="J7850" s="1" t="str">
        <f t="shared" si="13529"/>
        <v>0</v>
      </c>
      <c r="K7850" s="1" t="str">
        <f t="shared" si="13529"/>
        <v>0</v>
      </c>
      <c r="L7850" s="1" t="str">
        <f t="shared" si="13529"/>
        <v>0</v>
      </c>
      <c r="M7850" s="1" t="str">
        <f t="shared" si="13529"/>
        <v>0</v>
      </c>
      <c r="N7850" s="1" t="str">
        <f t="shared" si="13529"/>
        <v>0</v>
      </c>
      <c r="O7850" s="1" t="str">
        <f t="shared" si="13529"/>
        <v>0</v>
      </c>
      <c r="P7850" s="1" t="str">
        <f t="shared" si="13529"/>
        <v>0</v>
      </c>
      <c r="Q7850" s="1" t="str">
        <f t="shared" si="13489"/>
        <v>0.0070</v>
      </c>
      <c r="R7850" s="1" t="s">
        <v>25</v>
      </c>
      <c r="T7850" s="1" t="str">
        <f t="shared" si="13490"/>
        <v>0</v>
      </c>
      <c r="U7850" s="1" t="str">
        <f t="shared" si="13463"/>
        <v>0.0070</v>
      </c>
    </row>
    <row r="7851" s="1" customFormat="1" spans="1:21">
      <c r="A7851" s="1" t="str">
        <f>"4601992363484"</f>
        <v>4601992363484</v>
      </c>
      <c r="B7851" s="1" t="s">
        <v>7874</v>
      </c>
      <c r="C7851" s="1" t="s">
        <v>24</v>
      </c>
      <c r="D7851" s="1" t="str">
        <f t="shared" si="13487"/>
        <v>2021</v>
      </c>
      <c r="E7851" s="1" t="str">
        <f t="shared" ref="E7851:P7851" si="13530">"0"</f>
        <v>0</v>
      </c>
      <c r="F7851" s="1" t="str">
        <f t="shared" si="13530"/>
        <v>0</v>
      </c>
      <c r="G7851" s="1" t="str">
        <f t="shared" si="13530"/>
        <v>0</v>
      </c>
      <c r="H7851" s="1" t="str">
        <f t="shared" si="13530"/>
        <v>0</v>
      </c>
      <c r="I7851" s="1" t="str">
        <f t="shared" si="13530"/>
        <v>0</v>
      </c>
      <c r="J7851" s="1" t="str">
        <f t="shared" si="13530"/>
        <v>0</v>
      </c>
      <c r="K7851" s="1" t="str">
        <f t="shared" si="13530"/>
        <v>0</v>
      </c>
      <c r="L7851" s="1" t="str">
        <f t="shared" si="13530"/>
        <v>0</v>
      </c>
      <c r="M7851" s="1" t="str">
        <f t="shared" si="13530"/>
        <v>0</v>
      </c>
      <c r="N7851" s="1" t="str">
        <f t="shared" si="13530"/>
        <v>0</v>
      </c>
      <c r="O7851" s="1" t="str">
        <f t="shared" si="13530"/>
        <v>0</v>
      </c>
      <c r="P7851" s="1" t="str">
        <f t="shared" si="13530"/>
        <v>0</v>
      </c>
      <c r="Q7851" s="1" t="str">
        <f t="shared" si="13489"/>
        <v>0.0070</v>
      </c>
      <c r="R7851" s="1" t="s">
        <v>25</v>
      </c>
      <c r="T7851" s="1" t="str">
        <f t="shared" si="13490"/>
        <v>0</v>
      </c>
      <c r="U7851" s="1" t="str">
        <f t="shared" ref="U7851:U7898" si="13531">"0.0070"</f>
        <v>0.0070</v>
      </c>
    </row>
    <row r="7852" s="1" customFormat="1" spans="1:21">
      <c r="A7852" s="1" t="str">
        <f>"4601992363542"</f>
        <v>4601992363542</v>
      </c>
      <c r="B7852" s="1" t="s">
        <v>7875</v>
      </c>
      <c r="C7852" s="1" t="s">
        <v>24</v>
      </c>
      <c r="D7852" s="1" t="str">
        <f t="shared" si="13487"/>
        <v>2021</v>
      </c>
      <c r="E7852" s="1" t="str">
        <f t="shared" ref="E7852:P7852" si="13532">"0"</f>
        <v>0</v>
      </c>
      <c r="F7852" s="1" t="str">
        <f t="shared" si="13532"/>
        <v>0</v>
      </c>
      <c r="G7852" s="1" t="str">
        <f t="shared" si="13532"/>
        <v>0</v>
      </c>
      <c r="H7852" s="1" t="str">
        <f t="shared" si="13532"/>
        <v>0</v>
      </c>
      <c r="I7852" s="1" t="str">
        <f t="shared" si="13532"/>
        <v>0</v>
      </c>
      <c r="J7852" s="1" t="str">
        <f t="shared" si="13532"/>
        <v>0</v>
      </c>
      <c r="K7852" s="1" t="str">
        <f t="shared" si="13532"/>
        <v>0</v>
      </c>
      <c r="L7852" s="1" t="str">
        <f t="shared" si="13532"/>
        <v>0</v>
      </c>
      <c r="M7852" s="1" t="str">
        <f t="shared" si="13532"/>
        <v>0</v>
      </c>
      <c r="N7852" s="1" t="str">
        <f t="shared" si="13532"/>
        <v>0</v>
      </c>
      <c r="O7852" s="1" t="str">
        <f t="shared" si="13532"/>
        <v>0</v>
      </c>
      <c r="P7852" s="1" t="str">
        <f t="shared" si="13532"/>
        <v>0</v>
      </c>
      <c r="Q7852" s="1" t="str">
        <f t="shared" si="13489"/>
        <v>0.0070</v>
      </c>
      <c r="R7852" s="1" t="s">
        <v>25</v>
      </c>
      <c r="T7852" s="1" t="str">
        <f t="shared" si="13490"/>
        <v>0</v>
      </c>
      <c r="U7852" s="1" t="str">
        <f t="shared" si="13531"/>
        <v>0.0070</v>
      </c>
    </row>
    <row r="7853" s="1" customFormat="1" spans="1:21">
      <c r="A7853" s="1" t="str">
        <f>"4601992363588"</f>
        <v>4601992363588</v>
      </c>
      <c r="B7853" s="1" t="s">
        <v>7876</v>
      </c>
      <c r="C7853" s="1" t="s">
        <v>24</v>
      </c>
      <c r="D7853" s="1" t="str">
        <f t="shared" si="13487"/>
        <v>2021</v>
      </c>
      <c r="E7853" s="1" t="str">
        <f t="shared" ref="E7853:P7853" si="13533">"0"</f>
        <v>0</v>
      </c>
      <c r="F7853" s="1" t="str">
        <f t="shared" si="13533"/>
        <v>0</v>
      </c>
      <c r="G7853" s="1" t="str">
        <f t="shared" si="13533"/>
        <v>0</v>
      </c>
      <c r="H7853" s="1" t="str">
        <f t="shared" si="13533"/>
        <v>0</v>
      </c>
      <c r="I7853" s="1" t="str">
        <f t="shared" si="13533"/>
        <v>0</v>
      </c>
      <c r="J7853" s="1" t="str">
        <f t="shared" si="13533"/>
        <v>0</v>
      </c>
      <c r="K7853" s="1" t="str">
        <f t="shared" si="13533"/>
        <v>0</v>
      </c>
      <c r="L7853" s="1" t="str">
        <f t="shared" si="13533"/>
        <v>0</v>
      </c>
      <c r="M7853" s="1" t="str">
        <f t="shared" si="13533"/>
        <v>0</v>
      </c>
      <c r="N7853" s="1" t="str">
        <f t="shared" si="13533"/>
        <v>0</v>
      </c>
      <c r="O7853" s="1" t="str">
        <f t="shared" si="13533"/>
        <v>0</v>
      </c>
      <c r="P7853" s="1" t="str">
        <f t="shared" si="13533"/>
        <v>0</v>
      </c>
      <c r="Q7853" s="1" t="str">
        <f t="shared" si="13489"/>
        <v>0.0070</v>
      </c>
      <c r="R7853" s="1" t="s">
        <v>25</v>
      </c>
      <c r="T7853" s="1" t="str">
        <f t="shared" si="13490"/>
        <v>0</v>
      </c>
      <c r="U7853" s="1" t="str">
        <f t="shared" si="13531"/>
        <v>0.0070</v>
      </c>
    </row>
    <row r="7854" s="1" customFormat="1" spans="1:21">
      <c r="A7854" s="1" t="str">
        <f>"4601992363658"</f>
        <v>4601992363658</v>
      </c>
      <c r="B7854" s="1" t="s">
        <v>7877</v>
      </c>
      <c r="C7854" s="1" t="s">
        <v>24</v>
      </c>
      <c r="D7854" s="1" t="str">
        <f t="shared" si="13487"/>
        <v>2021</v>
      </c>
      <c r="E7854" s="1" t="str">
        <f t="shared" ref="E7854:P7854" si="13534">"0"</f>
        <v>0</v>
      </c>
      <c r="F7854" s="1" t="str">
        <f t="shared" si="13534"/>
        <v>0</v>
      </c>
      <c r="G7854" s="1" t="str">
        <f t="shared" si="13534"/>
        <v>0</v>
      </c>
      <c r="H7854" s="1" t="str">
        <f t="shared" si="13534"/>
        <v>0</v>
      </c>
      <c r="I7854" s="1" t="str">
        <f t="shared" si="13534"/>
        <v>0</v>
      </c>
      <c r="J7854" s="1" t="str">
        <f t="shared" si="13534"/>
        <v>0</v>
      </c>
      <c r="K7854" s="1" t="str">
        <f t="shared" si="13534"/>
        <v>0</v>
      </c>
      <c r="L7854" s="1" t="str">
        <f t="shared" si="13534"/>
        <v>0</v>
      </c>
      <c r="M7854" s="1" t="str">
        <f t="shared" si="13534"/>
        <v>0</v>
      </c>
      <c r="N7854" s="1" t="str">
        <f t="shared" si="13534"/>
        <v>0</v>
      </c>
      <c r="O7854" s="1" t="str">
        <f t="shared" si="13534"/>
        <v>0</v>
      </c>
      <c r="P7854" s="1" t="str">
        <f t="shared" si="13534"/>
        <v>0</v>
      </c>
      <c r="Q7854" s="1" t="str">
        <f t="shared" si="13489"/>
        <v>0.0070</v>
      </c>
      <c r="R7854" s="1" t="s">
        <v>25</v>
      </c>
      <c r="T7854" s="1" t="str">
        <f t="shared" si="13490"/>
        <v>0</v>
      </c>
      <c r="U7854" s="1" t="str">
        <f t="shared" si="13531"/>
        <v>0.0070</v>
      </c>
    </row>
    <row r="7855" s="1" customFormat="1" spans="1:21">
      <c r="A7855" s="1" t="str">
        <f>"4601992363599"</f>
        <v>4601992363599</v>
      </c>
      <c r="B7855" s="1" t="s">
        <v>7878</v>
      </c>
      <c r="C7855" s="1" t="s">
        <v>24</v>
      </c>
      <c r="D7855" s="1" t="str">
        <f t="shared" si="13487"/>
        <v>2021</v>
      </c>
      <c r="E7855" s="1" t="str">
        <f t="shared" ref="E7855:P7855" si="13535">"0"</f>
        <v>0</v>
      </c>
      <c r="F7855" s="1" t="str">
        <f t="shared" si="13535"/>
        <v>0</v>
      </c>
      <c r="G7855" s="1" t="str">
        <f t="shared" si="13535"/>
        <v>0</v>
      </c>
      <c r="H7855" s="1" t="str">
        <f t="shared" si="13535"/>
        <v>0</v>
      </c>
      <c r="I7855" s="1" t="str">
        <f t="shared" si="13535"/>
        <v>0</v>
      </c>
      <c r="J7855" s="1" t="str">
        <f t="shared" si="13535"/>
        <v>0</v>
      </c>
      <c r="K7855" s="1" t="str">
        <f t="shared" si="13535"/>
        <v>0</v>
      </c>
      <c r="L7855" s="1" t="str">
        <f t="shared" si="13535"/>
        <v>0</v>
      </c>
      <c r="M7855" s="1" t="str">
        <f t="shared" si="13535"/>
        <v>0</v>
      </c>
      <c r="N7855" s="1" t="str">
        <f t="shared" si="13535"/>
        <v>0</v>
      </c>
      <c r="O7855" s="1" t="str">
        <f t="shared" si="13535"/>
        <v>0</v>
      </c>
      <c r="P7855" s="1" t="str">
        <f t="shared" si="13535"/>
        <v>0</v>
      </c>
      <c r="Q7855" s="1" t="str">
        <f t="shared" si="13489"/>
        <v>0.0070</v>
      </c>
      <c r="R7855" s="1" t="s">
        <v>25</v>
      </c>
      <c r="T7855" s="1" t="str">
        <f t="shared" si="13490"/>
        <v>0</v>
      </c>
      <c r="U7855" s="1" t="str">
        <f t="shared" si="13531"/>
        <v>0.0070</v>
      </c>
    </row>
    <row r="7856" s="1" customFormat="1" spans="1:21">
      <c r="A7856" s="1" t="str">
        <f>"4601992363659"</f>
        <v>4601992363659</v>
      </c>
      <c r="B7856" s="1" t="s">
        <v>7879</v>
      </c>
      <c r="C7856" s="1" t="s">
        <v>24</v>
      </c>
      <c r="D7856" s="1" t="str">
        <f t="shared" si="13487"/>
        <v>2021</v>
      </c>
      <c r="E7856" s="1" t="str">
        <f t="shared" ref="E7856:P7856" si="13536">"0"</f>
        <v>0</v>
      </c>
      <c r="F7856" s="1" t="str">
        <f t="shared" si="13536"/>
        <v>0</v>
      </c>
      <c r="G7856" s="1" t="str">
        <f t="shared" si="13536"/>
        <v>0</v>
      </c>
      <c r="H7856" s="1" t="str">
        <f t="shared" si="13536"/>
        <v>0</v>
      </c>
      <c r="I7856" s="1" t="str">
        <f t="shared" si="13536"/>
        <v>0</v>
      </c>
      <c r="J7856" s="1" t="str">
        <f t="shared" si="13536"/>
        <v>0</v>
      </c>
      <c r="K7856" s="1" t="str">
        <f t="shared" si="13536"/>
        <v>0</v>
      </c>
      <c r="L7856" s="1" t="str">
        <f t="shared" si="13536"/>
        <v>0</v>
      </c>
      <c r="M7856" s="1" t="str">
        <f t="shared" si="13536"/>
        <v>0</v>
      </c>
      <c r="N7856" s="1" t="str">
        <f t="shared" si="13536"/>
        <v>0</v>
      </c>
      <c r="O7856" s="1" t="str">
        <f t="shared" si="13536"/>
        <v>0</v>
      </c>
      <c r="P7856" s="1" t="str">
        <f t="shared" si="13536"/>
        <v>0</v>
      </c>
      <c r="Q7856" s="1" t="str">
        <f t="shared" si="13489"/>
        <v>0.0070</v>
      </c>
      <c r="R7856" s="1" t="s">
        <v>25</v>
      </c>
      <c r="T7856" s="1" t="str">
        <f t="shared" si="13490"/>
        <v>0</v>
      </c>
      <c r="U7856" s="1" t="str">
        <f t="shared" si="13531"/>
        <v>0.0070</v>
      </c>
    </row>
    <row r="7857" s="1" customFormat="1" spans="1:21">
      <c r="A7857" s="1" t="str">
        <f>"4601992363751"</f>
        <v>4601992363751</v>
      </c>
      <c r="B7857" s="1" t="s">
        <v>7880</v>
      </c>
      <c r="C7857" s="1" t="s">
        <v>24</v>
      </c>
      <c r="D7857" s="1" t="str">
        <f t="shared" si="13487"/>
        <v>2021</v>
      </c>
      <c r="E7857" s="1" t="str">
        <f t="shared" ref="E7857:P7857" si="13537">"0"</f>
        <v>0</v>
      </c>
      <c r="F7857" s="1" t="str">
        <f t="shared" si="13537"/>
        <v>0</v>
      </c>
      <c r="G7857" s="1" t="str">
        <f t="shared" si="13537"/>
        <v>0</v>
      </c>
      <c r="H7857" s="1" t="str">
        <f t="shared" si="13537"/>
        <v>0</v>
      </c>
      <c r="I7857" s="1" t="str">
        <f t="shared" si="13537"/>
        <v>0</v>
      </c>
      <c r="J7857" s="1" t="str">
        <f t="shared" si="13537"/>
        <v>0</v>
      </c>
      <c r="K7857" s="1" t="str">
        <f t="shared" si="13537"/>
        <v>0</v>
      </c>
      <c r="L7857" s="1" t="str">
        <f t="shared" si="13537"/>
        <v>0</v>
      </c>
      <c r="M7857" s="1" t="str">
        <f t="shared" si="13537"/>
        <v>0</v>
      </c>
      <c r="N7857" s="1" t="str">
        <f t="shared" si="13537"/>
        <v>0</v>
      </c>
      <c r="O7857" s="1" t="str">
        <f t="shared" si="13537"/>
        <v>0</v>
      </c>
      <c r="P7857" s="1" t="str">
        <f t="shared" si="13537"/>
        <v>0</v>
      </c>
      <c r="Q7857" s="1" t="str">
        <f t="shared" si="13489"/>
        <v>0.0070</v>
      </c>
      <c r="R7857" s="1" t="s">
        <v>25</v>
      </c>
      <c r="T7857" s="1" t="str">
        <f t="shared" si="13490"/>
        <v>0</v>
      </c>
      <c r="U7857" s="1" t="str">
        <f t="shared" si="13531"/>
        <v>0.0070</v>
      </c>
    </row>
    <row r="7858" s="1" customFormat="1" spans="1:21">
      <c r="A7858" s="1" t="str">
        <f>"4601992363752"</f>
        <v>4601992363752</v>
      </c>
      <c r="B7858" s="1" t="s">
        <v>7881</v>
      </c>
      <c r="C7858" s="1" t="s">
        <v>24</v>
      </c>
      <c r="D7858" s="1" t="str">
        <f t="shared" si="13487"/>
        <v>2021</v>
      </c>
      <c r="E7858" s="1" t="str">
        <f t="shared" ref="E7858:P7858" si="13538">"0"</f>
        <v>0</v>
      </c>
      <c r="F7858" s="1" t="str">
        <f t="shared" si="13538"/>
        <v>0</v>
      </c>
      <c r="G7858" s="1" t="str">
        <f t="shared" si="13538"/>
        <v>0</v>
      </c>
      <c r="H7858" s="1" t="str">
        <f t="shared" si="13538"/>
        <v>0</v>
      </c>
      <c r="I7858" s="1" t="str">
        <f t="shared" si="13538"/>
        <v>0</v>
      </c>
      <c r="J7858" s="1" t="str">
        <f t="shared" si="13538"/>
        <v>0</v>
      </c>
      <c r="K7858" s="1" t="str">
        <f t="shared" si="13538"/>
        <v>0</v>
      </c>
      <c r="L7858" s="1" t="str">
        <f t="shared" si="13538"/>
        <v>0</v>
      </c>
      <c r="M7858" s="1" t="str">
        <f t="shared" si="13538"/>
        <v>0</v>
      </c>
      <c r="N7858" s="1" t="str">
        <f t="shared" si="13538"/>
        <v>0</v>
      </c>
      <c r="O7858" s="1" t="str">
        <f t="shared" si="13538"/>
        <v>0</v>
      </c>
      <c r="P7858" s="1" t="str">
        <f t="shared" si="13538"/>
        <v>0</v>
      </c>
      <c r="Q7858" s="1" t="str">
        <f t="shared" si="13489"/>
        <v>0.0070</v>
      </c>
      <c r="R7858" s="1" t="s">
        <v>25</v>
      </c>
      <c r="T7858" s="1" t="str">
        <f t="shared" si="13490"/>
        <v>0</v>
      </c>
      <c r="U7858" s="1" t="str">
        <f t="shared" si="13531"/>
        <v>0.0070</v>
      </c>
    </row>
    <row r="7859" s="1" customFormat="1" spans="1:21">
      <c r="A7859" s="1" t="str">
        <f>"4601992363775"</f>
        <v>4601992363775</v>
      </c>
      <c r="B7859" s="1" t="s">
        <v>7882</v>
      </c>
      <c r="C7859" s="1" t="s">
        <v>24</v>
      </c>
      <c r="D7859" s="1" t="str">
        <f t="shared" si="13487"/>
        <v>2021</v>
      </c>
      <c r="E7859" s="1" t="str">
        <f t="shared" ref="E7859:P7859" si="13539">"0"</f>
        <v>0</v>
      </c>
      <c r="F7859" s="1" t="str">
        <f t="shared" si="13539"/>
        <v>0</v>
      </c>
      <c r="G7859" s="1" t="str">
        <f t="shared" si="13539"/>
        <v>0</v>
      </c>
      <c r="H7859" s="1" t="str">
        <f t="shared" si="13539"/>
        <v>0</v>
      </c>
      <c r="I7859" s="1" t="str">
        <f t="shared" si="13539"/>
        <v>0</v>
      </c>
      <c r="J7859" s="1" t="str">
        <f t="shared" si="13539"/>
        <v>0</v>
      </c>
      <c r="K7859" s="1" t="str">
        <f t="shared" si="13539"/>
        <v>0</v>
      </c>
      <c r="L7859" s="1" t="str">
        <f t="shared" si="13539"/>
        <v>0</v>
      </c>
      <c r="M7859" s="1" t="str">
        <f t="shared" si="13539"/>
        <v>0</v>
      </c>
      <c r="N7859" s="1" t="str">
        <f t="shared" si="13539"/>
        <v>0</v>
      </c>
      <c r="O7859" s="1" t="str">
        <f t="shared" si="13539"/>
        <v>0</v>
      </c>
      <c r="P7859" s="1" t="str">
        <f t="shared" si="13539"/>
        <v>0</v>
      </c>
      <c r="Q7859" s="1" t="str">
        <f t="shared" si="13489"/>
        <v>0.0070</v>
      </c>
      <c r="R7859" s="1" t="s">
        <v>25</v>
      </c>
      <c r="T7859" s="1" t="str">
        <f t="shared" si="13490"/>
        <v>0</v>
      </c>
      <c r="U7859" s="1" t="str">
        <f t="shared" si="13531"/>
        <v>0.0070</v>
      </c>
    </row>
    <row r="7860" s="1" customFormat="1" spans="1:21">
      <c r="A7860" s="1" t="str">
        <f>"4601992054889"</f>
        <v>4601992054889</v>
      </c>
      <c r="B7860" s="1" t="s">
        <v>7883</v>
      </c>
      <c r="C7860" s="1" t="s">
        <v>24</v>
      </c>
      <c r="D7860" s="1" t="str">
        <f t="shared" si="13487"/>
        <v>2021</v>
      </c>
      <c r="E7860" s="1" t="str">
        <f t="shared" ref="E7860:G7860" si="13540">"0"</f>
        <v>0</v>
      </c>
      <c r="F7860" s="1" t="str">
        <f t="shared" si="13540"/>
        <v>0</v>
      </c>
      <c r="G7860" s="1" t="str">
        <f t="shared" si="13540"/>
        <v>0</v>
      </c>
      <c r="H7860" s="1" t="str">
        <f>"6.91"</f>
        <v>6.91</v>
      </c>
      <c r="I7860" s="1" t="str">
        <f t="shared" ref="I7860:P7860" si="13541">"0"</f>
        <v>0</v>
      </c>
      <c r="J7860" s="1" t="str">
        <f t="shared" si="13541"/>
        <v>0</v>
      </c>
      <c r="K7860" s="1" t="str">
        <f t="shared" si="13541"/>
        <v>0</v>
      </c>
      <c r="L7860" s="1" t="str">
        <f t="shared" si="13541"/>
        <v>0</v>
      </c>
      <c r="M7860" s="1" t="str">
        <f t="shared" si="13541"/>
        <v>0</v>
      </c>
      <c r="N7860" s="1" t="str">
        <f t="shared" si="13541"/>
        <v>0</v>
      </c>
      <c r="O7860" s="1" t="str">
        <f t="shared" si="13541"/>
        <v>0</v>
      </c>
      <c r="P7860" s="1" t="str">
        <f t="shared" si="13541"/>
        <v>0</v>
      </c>
      <c r="Q7860" s="1" t="str">
        <f t="shared" si="13489"/>
        <v>0.0070</v>
      </c>
      <c r="R7860" s="1" t="s">
        <v>25</v>
      </c>
      <c r="T7860" s="1" t="str">
        <f t="shared" si="13490"/>
        <v>0</v>
      </c>
      <c r="U7860" s="1" t="str">
        <f t="shared" si="13531"/>
        <v>0.0070</v>
      </c>
    </row>
    <row r="7861" s="1" customFormat="1" spans="1:21">
      <c r="A7861" s="1" t="str">
        <f>"4601992363816"</f>
        <v>4601992363816</v>
      </c>
      <c r="B7861" s="1" t="s">
        <v>7884</v>
      </c>
      <c r="C7861" s="1" t="s">
        <v>24</v>
      </c>
      <c r="D7861" s="1" t="str">
        <f t="shared" si="13487"/>
        <v>2021</v>
      </c>
      <c r="E7861" s="1" t="str">
        <f t="shared" ref="E7861:P7861" si="13542">"0"</f>
        <v>0</v>
      </c>
      <c r="F7861" s="1" t="str">
        <f t="shared" si="13542"/>
        <v>0</v>
      </c>
      <c r="G7861" s="1" t="str">
        <f t="shared" si="13542"/>
        <v>0</v>
      </c>
      <c r="H7861" s="1" t="str">
        <f t="shared" si="13542"/>
        <v>0</v>
      </c>
      <c r="I7861" s="1" t="str">
        <f t="shared" si="13542"/>
        <v>0</v>
      </c>
      <c r="J7861" s="1" t="str">
        <f t="shared" si="13542"/>
        <v>0</v>
      </c>
      <c r="K7861" s="1" t="str">
        <f t="shared" si="13542"/>
        <v>0</v>
      </c>
      <c r="L7861" s="1" t="str">
        <f t="shared" si="13542"/>
        <v>0</v>
      </c>
      <c r="M7861" s="1" t="str">
        <f t="shared" si="13542"/>
        <v>0</v>
      </c>
      <c r="N7861" s="1" t="str">
        <f t="shared" si="13542"/>
        <v>0</v>
      </c>
      <c r="O7861" s="1" t="str">
        <f t="shared" si="13542"/>
        <v>0</v>
      </c>
      <c r="P7861" s="1" t="str">
        <f t="shared" si="13542"/>
        <v>0</v>
      </c>
      <c r="Q7861" s="1" t="str">
        <f t="shared" si="13489"/>
        <v>0.0070</v>
      </c>
      <c r="R7861" s="1" t="s">
        <v>25</v>
      </c>
      <c r="T7861" s="1" t="str">
        <f t="shared" si="13490"/>
        <v>0</v>
      </c>
      <c r="U7861" s="1" t="str">
        <f t="shared" si="13531"/>
        <v>0.0070</v>
      </c>
    </row>
    <row r="7862" s="1" customFormat="1" spans="1:21">
      <c r="A7862" s="1" t="str">
        <f>"4601992363817"</f>
        <v>4601992363817</v>
      </c>
      <c r="B7862" s="1" t="s">
        <v>7885</v>
      </c>
      <c r="C7862" s="1" t="s">
        <v>24</v>
      </c>
      <c r="D7862" s="1" t="str">
        <f t="shared" si="13487"/>
        <v>2021</v>
      </c>
      <c r="E7862" s="1" t="str">
        <f t="shared" ref="E7862:P7862" si="13543">"0"</f>
        <v>0</v>
      </c>
      <c r="F7862" s="1" t="str">
        <f t="shared" si="13543"/>
        <v>0</v>
      </c>
      <c r="G7862" s="1" t="str">
        <f t="shared" si="13543"/>
        <v>0</v>
      </c>
      <c r="H7862" s="1" t="str">
        <f t="shared" si="13543"/>
        <v>0</v>
      </c>
      <c r="I7862" s="1" t="str">
        <f t="shared" si="13543"/>
        <v>0</v>
      </c>
      <c r="J7862" s="1" t="str">
        <f t="shared" si="13543"/>
        <v>0</v>
      </c>
      <c r="K7862" s="1" t="str">
        <f t="shared" si="13543"/>
        <v>0</v>
      </c>
      <c r="L7862" s="1" t="str">
        <f t="shared" si="13543"/>
        <v>0</v>
      </c>
      <c r="M7862" s="1" t="str">
        <f t="shared" si="13543"/>
        <v>0</v>
      </c>
      <c r="N7862" s="1" t="str">
        <f t="shared" si="13543"/>
        <v>0</v>
      </c>
      <c r="O7862" s="1" t="str">
        <f t="shared" si="13543"/>
        <v>0</v>
      </c>
      <c r="P7862" s="1" t="str">
        <f t="shared" si="13543"/>
        <v>0</v>
      </c>
      <c r="Q7862" s="1" t="str">
        <f t="shared" si="13489"/>
        <v>0.0070</v>
      </c>
      <c r="R7862" s="1" t="s">
        <v>25</v>
      </c>
      <c r="T7862" s="1" t="str">
        <f t="shared" si="13490"/>
        <v>0</v>
      </c>
      <c r="U7862" s="1" t="str">
        <f t="shared" si="13531"/>
        <v>0.0070</v>
      </c>
    </row>
    <row r="7863" s="1" customFormat="1" spans="1:21">
      <c r="A7863" s="1" t="str">
        <f>"4601992363826"</f>
        <v>4601992363826</v>
      </c>
      <c r="B7863" s="1" t="s">
        <v>7886</v>
      </c>
      <c r="C7863" s="1" t="s">
        <v>24</v>
      </c>
      <c r="D7863" s="1" t="str">
        <f t="shared" si="13487"/>
        <v>2021</v>
      </c>
      <c r="E7863" s="1" t="str">
        <f t="shared" ref="E7863:P7863" si="13544">"0"</f>
        <v>0</v>
      </c>
      <c r="F7863" s="1" t="str">
        <f t="shared" si="13544"/>
        <v>0</v>
      </c>
      <c r="G7863" s="1" t="str">
        <f t="shared" si="13544"/>
        <v>0</v>
      </c>
      <c r="H7863" s="1" t="str">
        <f t="shared" si="13544"/>
        <v>0</v>
      </c>
      <c r="I7863" s="1" t="str">
        <f t="shared" si="13544"/>
        <v>0</v>
      </c>
      <c r="J7863" s="1" t="str">
        <f t="shared" si="13544"/>
        <v>0</v>
      </c>
      <c r="K7863" s="1" t="str">
        <f t="shared" si="13544"/>
        <v>0</v>
      </c>
      <c r="L7863" s="1" t="str">
        <f t="shared" si="13544"/>
        <v>0</v>
      </c>
      <c r="M7863" s="1" t="str">
        <f t="shared" si="13544"/>
        <v>0</v>
      </c>
      <c r="N7863" s="1" t="str">
        <f t="shared" si="13544"/>
        <v>0</v>
      </c>
      <c r="O7863" s="1" t="str">
        <f t="shared" si="13544"/>
        <v>0</v>
      </c>
      <c r="P7863" s="1" t="str">
        <f t="shared" si="13544"/>
        <v>0</v>
      </c>
      <c r="Q7863" s="1" t="str">
        <f t="shared" si="13489"/>
        <v>0.0070</v>
      </c>
      <c r="R7863" s="1" t="s">
        <v>25</v>
      </c>
      <c r="T7863" s="1" t="str">
        <f t="shared" si="13490"/>
        <v>0</v>
      </c>
      <c r="U7863" s="1" t="str">
        <f t="shared" si="13531"/>
        <v>0.0070</v>
      </c>
    </row>
    <row r="7864" s="1" customFormat="1" spans="1:21">
      <c r="A7864" s="1" t="str">
        <f>"4601992363831"</f>
        <v>4601992363831</v>
      </c>
      <c r="B7864" s="1" t="s">
        <v>7887</v>
      </c>
      <c r="C7864" s="1" t="s">
        <v>24</v>
      </c>
      <c r="D7864" s="1" t="str">
        <f t="shared" si="13487"/>
        <v>2021</v>
      </c>
      <c r="E7864" s="1" t="str">
        <f t="shared" ref="E7864:P7864" si="13545">"0"</f>
        <v>0</v>
      </c>
      <c r="F7864" s="1" t="str">
        <f t="shared" si="13545"/>
        <v>0</v>
      </c>
      <c r="G7864" s="1" t="str">
        <f t="shared" si="13545"/>
        <v>0</v>
      </c>
      <c r="H7864" s="1" t="str">
        <f t="shared" si="13545"/>
        <v>0</v>
      </c>
      <c r="I7864" s="1" t="str">
        <f t="shared" si="13545"/>
        <v>0</v>
      </c>
      <c r="J7864" s="1" t="str">
        <f t="shared" si="13545"/>
        <v>0</v>
      </c>
      <c r="K7864" s="1" t="str">
        <f t="shared" si="13545"/>
        <v>0</v>
      </c>
      <c r="L7864" s="1" t="str">
        <f t="shared" si="13545"/>
        <v>0</v>
      </c>
      <c r="M7864" s="1" t="str">
        <f t="shared" si="13545"/>
        <v>0</v>
      </c>
      <c r="N7864" s="1" t="str">
        <f t="shared" si="13545"/>
        <v>0</v>
      </c>
      <c r="O7864" s="1" t="str">
        <f t="shared" si="13545"/>
        <v>0</v>
      </c>
      <c r="P7864" s="1" t="str">
        <f t="shared" si="13545"/>
        <v>0</v>
      </c>
      <c r="Q7864" s="1" t="str">
        <f t="shared" si="13489"/>
        <v>0.0070</v>
      </c>
      <c r="R7864" s="1" t="s">
        <v>25</v>
      </c>
      <c r="T7864" s="1" t="str">
        <f t="shared" si="13490"/>
        <v>0</v>
      </c>
      <c r="U7864" s="1" t="str">
        <f t="shared" si="13531"/>
        <v>0.0070</v>
      </c>
    </row>
    <row r="7865" s="1" customFormat="1" spans="1:21">
      <c r="A7865" s="1" t="str">
        <f>"4601992363839"</f>
        <v>4601992363839</v>
      </c>
      <c r="B7865" s="1" t="s">
        <v>7888</v>
      </c>
      <c r="C7865" s="1" t="s">
        <v>24</v>
      </c>
      <c r="D7865" s="1" t="str">
        <f t="shared" si="13487"/>
        <v>2021</v>
      </c>
      <c r="E7865" s="1" t="str">
        <f t="shared" ref="E7865:P7865" si="13546">"0"</f>
        <v>0</v>
      </c>
      <c r="F7865" s="1" t="str">
        <f t="shared" si="13546"/>
        <v>0</v>
      </c>
      <c r="G7865" s="1" t="str">
        <f t="shared" si="13546"/>
        <v>0</v>
      </c>
      <c r="H7865" s="1" t="str">
        <f t="shared" si="13546"/>
        <v>0</v>
      </c>
      <c r="I7865" s="1" t="str">
        <f t="shared" si="13546"/>
        <v>0</v>
      </c>
      <c r="J7865" s="1" t="str">
        <f t="shared" si="13546"/>
        <v>0</v>
      </c>
      <c r="K7865" s="1" t="str">
        <f t="shared" si="13546"/>
        <v>0</v>
      </c>
      <c r="L7865" s="1" t="str">
        <f t="shared" si="13546"/>
        <v>0</v>
      </c>
      <c r="M7865" s="1" t="str">
        <f t="shared" si="13546"/>
        <v>0</v>
      </c>
      <c r="N7865" s="1" t="str">
        <f t="shared" si="13546"/>
        <v>0</v>
      </c>
      <c r="O7865" s="1" t="str">
        <f t="shared" si="13546"/>
        <v>0</v>
      </c>
      <c r="P7865" s="1" t="str">
        <f t="shared" si="13546"/>
        <v>0</v>
      </c>
      <c r="Q7865" s="1" t="str">
        <f t="shared" si="13489"/>
        <v>0.0070</v>
      </c>
      <c r="R7865" s="1" t="s">
        <v>25</v>
      </c>
      <c r="T7865" s="1" t="str">
        <f t="shared" si="13490"/>
        <v>0</v>
      </c>
      <c r="U7865" s="1" t="str">
        <f t="shared" si="13531"/>
        <v>0.0070</v>
      </c>
    </row>
    <row r="7866" s="1" customFormat="1" spans="1:21">
      <c r="A7866" s="1" t="str">
        <f>"4601992363849"</f>
        <v>4601992363849</v>
      </c>
      <c r="B7866" s="1" t="s">
        <v>7889</v>
      </c>
      <c r="C7866" s="1" t="s">
        <v>24</v>
      </c>
      <c r="D7866" s="1" t="str">
        <f t="shared" si="13487"/>
        <v>2021</v>
      </c>
      <c r="E7866" s="1" t="str">
        <f t="shared" ref="E7866:P7866" si="13547">"0"</f>
        <v>0</v>
      </c>
      <c r="F7866" s="1" t="str">
        <f t="shared" si="13547"/>
        <v>0</v>
      </c>
      <c r="G7866" s="1" t="str">
        <f t="shared" si="13547"/>
        <v>0</v>
      </c>
      <c r="H7866" s="1" t="str">
        <f t="shared" si="13547"/>
        <v>0</v>
      </c>
      <c r="I7866" s="1" t="str">
        <f t="shared" si="13547"/>
        <v>0</v>
      </c>
      <c r="J7866" s="1" t="str">
        <f t="shared" si="13547"/>
        <v>0</v>
      </c>
      <c r="K7866" s="1" t="str">
        <f t="shared" si="13547"/>
        <v>0</v>
      </c>
      <c r="L7866" s="1" t="str">
        <f t="shared" si="13547"/>
        <v>0</v>
      </c>
      <c r="M7866" s="1" t="str">
        <f t="shared" si="13547"/>
        <v>0</v>
      </c>
      <c r="N7866" s="1" t="str">
        <f t="shared" si="13547"/>
        <v>0</v>
      </c>
      <c r="O7866" s="1" t="str">
        <f t="shared" si="13547"/>
        <v>0</v>
      </c>
      <c r="P7866" s="1" t="str">
        <f t="shared" si="13547"/>
        <v>0</v>
      </c>
      <c r="Q7866" s="1" t="str">
        <f t="shared" si="13489"/>
        <v>0.0070</v>
      </c>
      <c r="R7866" s="1" t="s">
        <v>25</v>
      </c>
      <c r="T7866" s="1" t="str">
        <f t="shared" si="13490"/>
        <v>0</v>
      </c>
      <c r="U7866" s="1" t="str">
        <f t="shared" si="13531"/>
        <v>0.0070</v>
      </c>
    </row>
    <row r="7867" s="1" customFormat="1" spans="1:21">
      <c r="A7867" s="1" t="str">
        <f>"4601992363883"</f>
        <v>4601992363883</v>
      </c>
      <c r="B7867" s="1" t="s">
        <v>7890</v>
      </c>
      <c r="C7867" s="1" t="s">
        <v>24</v>
      </c>
      <c r="D7867" s="1" t="str">
        <f t="shared" si="13487"/>
        <v>2021</v>
      </c>
      <c r="E7867" s="1" t="str">
        <f t="shared" ref="E7867:P7867" si="13548">"0"</f>
        <v>0</v>
      </c>
      <c r="F7867" s="1" t="str">
        <f t="shared" si="13548"/>
        <v>0</v>
      </c>
      <c r="G7867" s="1" t="str">
        <f t="shared" si="13548"/>
        <v>0</v>
      </c>
      <c r="H7867" s="1" t="str">
        <f t="shared" si="13548"/>
        <v>0</v>
      </c>
      <c r="I7867" s="1" t="str">
        <f t="shared" si="13548"/>
        <v>0</v>
      </c>
      <c r="J7867" s="1" t="str">
        <f t="shared" si="13548"/>
        <v>0</v>
      </c>
      <c r="K7867" s="1" t="str">
        <f t="shared" si="13548"/>
        <v>0</v>
      </c>
      <c r="L7867" s="1" t="str">
        <f t="shared" si="13548"/>
        <v>0</v>
      </c>
      <c r="M7867" s="1" t="str">
        <f t="shared" si="13548"/>
        <v>0</v>
      </c>
      <c r="N7867" s="1" t="str">
        <f t="shared" si="13548"/>
        <v>0</v>
      </c>
      <c r="O7867" s="1" t="str">
        <f t="shared" si="13548"/>
        <v>0</v>
      </c>
      <c r="P7867" s="1" t="str">
        <f t="shared" si="13548"/>
        <v>0</v>
      </c>
      <c r="Q7867" s="1" t="str">
        <f t="shared" si="13489"/>
        <v>0.0070</v>
      </c>
      <c r="R7867" s="1" t="s">
        <v>25</v>
      </c>
      <c r="T7867" s="1" t="str">
        <f t="shared" si="13490"/>
        <v>0</v>
      </c>
      <c r="U7867" s="1" t="str">
        <f t="shared" si="13531"/>
        <v>0.0070</v>
      </c>
    </row>
    <row r="7868" s="1" customFormat="1" spans="1:21">
      <c r="A7868" s="1" t="str">
        <f>"4601992363922"</f>
        <v>4601992363922</v>
      </c>
      <c r="B7868" s="1" t="s">
        <v>7891</v>
      </c>
      <c r="C7868" s="1" t="s">
        <v>24</v>
      </c>
      <c r="D7868" s="1" t="str">
        <f t="shared" si="13487"/>
        <v>2021</v>
      </c>
      <c r="E7868" s="1" t="str">
        <f t="shared" ref="E7868:P7868" si="13549">"0"</f>
        <v>0</v>
      </c>
      <c r="F7868" s="1" t="str">
        <f t="shared" si="13549"/>
        <v>0</v>
      </c>
      <c r="G7868" s="1" t="str">
        <f t="shared" si="13549"/>
        <v>0</v>
      </c>
      <c r="H7868" s="1" t="str">
        <f t="shared" si="13549"/>
        <v>0</v>
      </c>
      <c r="I7868" s="1" t="str">
        <f t="shared" si="13549"/>
        <v>0</v>
      </c>
      <c r="J7868" s="1" t="str">
        <f t="shared" si="13549"/>
        <v>0</v>
      </c>
      <c r="K7868" s="1" t="str">
        <f t="shared" si="13549"/>
        <v>0</v>
      </c>
      <c r="L7868" s="1" t="str">
        <f t="shared" si="13549"/>
        <v>0</v>
      </c>
      <c r="M7868" s="1" t="str">
        <f t="shared" si="13549"/>
        <v>0</v>
      </c>
      <c r="N7868" s="1" t="str">
        <f t="shared" si="13549"/>
        <v>0</v>
      </c>
      <c r="O7868" s="1" t="str">
        <f t="shared" si="13549"/>
        <v>0</v>
      </c>
      <c r="P7868" s="1" t="str">
        <f t="shared" si="13549"/>
        <v>0</v>
      </c>
      <c r="Q7868" s="1" t="str">
        <f t="shared" si="13489"/>
        <v>0.0070</v>
      </c>
      <c r="R7868" s="1" t="s">
        <v>25</v>
      </c>
      <c r="T7868" s="1" t="str">
        <f t="shared" si="13490"/>
        <v>0</v>
      </c>
      <c r="U7868" s="1" t="str">
        <f t="shared" si="13531"/>
        <v>0.0070</v>
      </c>
    </row>
    <row r="7869" s="1" customFormat="1" spans="1:21">
      <c r="A7869" s="1" t="str">
        <f>"4601992363945"</f>
        <v>4601992363945</v>
      </c>
      <c r="B7869" s="1" t="s">
        <v>7892</v>
      </c>
      <c r="C7869" s="1" t="s">
        <v>24</v>
      </c>
      <c r="D7869" s="1" t="str">
        <f t="shared" si="13487"/>
        <v>2021</v>
      </c>
      <c r="E7869" s="1" t="str">
        <f t="shared" ref="E7869:P7869" si="13550">"0"</f>
        <v>0</v>
      </c>
      <c r="F7869" s="1" t="str">
        <f t="shared" si="13550"/>
        <v>0</v>
      </c>
      <c r="G7869" s="1" t="str">
        <f t="shared" si="13550"/>
        <v>0</v>
      </c>
      <c r="H7869" s="1" t="str">
        <f t="shared" si="13550"/>
        <v>0</v>
      </c>
      <c r="I7869" s="1" t="str">
        <f t="shared" si="13550"/>
        <v>0</v>
      </c>
      <c r="J7869" s="1" t="str">
        <f t="shared" si="13550"/>
        <v>0</v>
      </c>
      <c r="K7869" s="1" t="str">
        <f t="shared" si="13550"/>
        <v>0</v>
      </c>
      <c r="L7869" s="1" t="str">
        <f t="shared" si="13550"/>
        <v>0</v>
      </c>
      <c r="M7869" s="1" t="str">
        <f t="shared" si="13550"/>
        <v>0</v>
      </c>
      <c r="N7869" s="1" t="str">
        <f t="shared" si="13550"/>
        <v>0</v>
      </c>
      <c r="O7869" s="1" t="str">
        <f t="shared" si="13550"/>
        <v>0</v>
      </c>
      <c r="P7869" s="1" t="str">
        <f t="shared" si="13550"/>
        <v>0</v>
      </c>
      <c r="Q7869" s="1" t="str">
        <f t="shared" si="13489"/>
        <v>0.0070</v>
      </c>
      <c r="R7869" s="1" t="s">
        <v>25</v>
      </c>
      <c r="T7869" s="1" t="str">
        <f t="shared" si="13490"/>
        <v>0</v>
      </c>
      <c r="U7869" s="1" t="str">
        <f t="shared" si="13531"/>
        <v>0.0070</v>
      </c>
    </row>
    <row r="7870" s="1" customFormat="1" spans="1:21">
      <c r="A7870" s="1" t="str">
        <f>"4601992364013"</f>
        <v>4601992364013</v>
      </c>
      <c r="B7870" s="1" t="s">
        <v>7893</v>
      </c>
      <c r="C7870" s="1" t="s">
        <v>24</v>
      </c>
      <c r="D7870" s="1" t="str">
        <f t="shared" si="13487"/>
        <v>2021</v>
      </c>
      <c r="E7870" s="1" t="str">
        <f t="shared" ref="E7870:P7870" si="13551">"0"</f>
        <v>0</v>
      </c>
      <c r="F7870" s="1" t="str">
        <f t="shared" si="13551"/>
        <v>0</v>
      </c>
      <c r="G7870" s="1" t="str">
        <f t="shared" si="13551"/>
        <v>0</v>
      </c>
      <c r="H7870" s="1" t="str">
        <f t="shared" si="13551"/>
        <v>0</v>
      </c>
      <c r="I7870" s="1" t="str">
        <f t="shared" si="13551"/>
        <v>0</v>
      </c>
      <c r="J7870" s="1" t="str">
        <f t="shared" si="13551"/>
        <v>0</v>
      </c>
      <c r="K7870" s="1" t="str">
        <f t="shared" si="13551"/>
        <v>0</v>
      </c>
      <c r="L7870" s="1" t="str">
        <f t="shared" si="13551"/>
        <v>0</v>
      </c>
      <c r="M7870" s="1" t="str">
        <f t="shared" si="13551"/>
        <v>0</v>
      </c>
      <c r="N7870" s="1" t="str">
        <f t="shared" si="13551"/>
        <v>0</v>
      </c>
      <c r="O7870" s="1" t="str">
        <f t="shared" si="13551"/>
        <v>0</v>
      </c>
      <c r="P7870" s="1" t="str">
        <f t="shared" si="13551"/>
        <v>0</v>
      </c>
      <c r="Q7870" s="1" t="str">
        <f t="shared" si="13489"/>
        <v>0.0070</v>
      </c>
      <c r="R7870" s="1" t="s">
        <v>25</v>
      </c>
      <c r="T7870" s="1" t="str">
        <f t="shared" si="13490"/>
        <v>0</v>
      </c>
      <c r="U7870" s="1" t="str">
        <f t="shared" si="13531"/>
        <v>0.0070</v>
      </c>
    </row>
    <row r="7871" s="1" customFormat="1" spans="1:21">
      <c r="A7871" s="1" t="str">
        <f>"4601992364147"</f>
        <v>4601992364147</v>
      </c>
      <c r="B7871" s="1" t="s">
        <v>7894</v>
      </c>
      <c r="C7871" s="1" t="s">
        <v>24</v>
      </c>
      <c r="D7871" s="1" t="str">
        <f t="shared" si="13487"/>
        <v>2021</v>
      </c>
      <c r="E7871" s="1" t="str">
        <f t="shared" ref="E7871:P7871" si="13552">"0"</f>
        <v>0</v>
      </c>
      <c r="F7871" s="1" t="str">
        <f t="shared" si="13552"/>
        <v>0</v>
      </c>
      <c r="G7871" s="1" t="str">
        <f t="shared" si="13552"/>
        <v>0</v>
      </c>
      <c r="H7871" s="1" t="str">
        <f t="shared" si="13552"/>
        <v>0</v>
      </c>
      <c r="I7871" s="1" t="str">
        <f t="shared" si="13552"/>
        <v>0</v>
      </c>
      <c r="J7871" s="1" t="str">
        <f t="shared" si="13552"/>
        <v>0</v>
      </c>
      <c r="K7871" s="1" t="str">
        <f t="shared" si="13552"/>
        <v>0</v>
      </c>
      <c r="L7871" s="1" t="str">
        <f t="shared" si="13552"/>
        <v>0</v>
      </c>
      <c r="M7871" s="1" t="str">
        <f t="shared" si="13552"/>
        <v>0</v>
      </c>
      <c r="N7871" s="1" t="str">
        <f t="shared" si="13552"/>
        <v>0</v>
      </c>
      <c r="O7871" s="1" t="str">
        <f t="shared" si="13552"/>
        <v>0</v>
      </c>
      <c r="P7871" s="1" t="str">
        <f t="shared" si="13552"/>
        <v>0</v>
      </c>
      <c r="Q7871" s="1" t="str">
        <f t="shared" si="13489"/>
        <v>0.0070</v>
      </c>
      <c r="R7871" s="1" t="s">
        <v>25</v>
      </c>
      <c r="T7871" s="1" t="str">
        <f t="shared" si="13490"/>
        <v>0</v>
      </c>
      <c r="U7871" s="1" t="str">
        <f t="shared" si="13531"/>
        <v>0.0070</v>
      </c>
    </row>
    <row r="7872" s="1" customFormat="1" spans="1:21">
      <c r="A7872" s="1" t="str">
        <f>"4601992364060"</f>
        <v>4601992364060</v>
      </c>
      <c r="B7872" s="1" t="s">
        <v>7895</v>
      </c>
      <c r="C7872" s="1" t="s">
        <v>24</v>
      </c>
      <c r="D7872" s="1" t="str">
        <f t="shared" si="13487"/>
        <v>2021</v>
      </c>
      <c r="E7872" s="1" t="str">
        <f t="shared" ref="E7872:P7872" si="13553">"0"</f>
        <v>0</v>
      </c>
      <c r="F7872" s="1" t="str">
        <f t="shared" si="13553"/>
        <v>0</v>
      </c>
      <c r="G7872" s="1" t="str">
        <f t="shared" si="13553"/>
        <v>0</v>
      </c>
      <c r="H7872" s="1" t="str">
        <f t="shared" si="13553"/>
        <v>0</v>
      </c>
      <c r="I7872" s="1" t="str">
        <f t="shared" si="13553"/>
        <v>0</v>
      </c>
      <c r="J7872" s="1" t="str">
        <f t="shared" si="13553"/>
        <v>0</v>
      </c>
      <c r="K7872" s="1" t="str">
        <f t="shared" si="13553"/>
        <v>0</v>
      </c>
      <c r="L7872" s="1" t="str">
        <f t="shared" si="13553"/>
        <v>0</v>
      </c>
      <c r="M7872" s="1" t="str">
        <f t="shared" si="13553"/>
        <v>0</v>
      </c>
      <c r="N7872" s="1" t="str">
        <f t="shared" si="13553"/>
        <v>0</v>
      </c>
      <c r="O7872" s="1" t="str">
        <f t="shared" si="13553"/>
        <v>0</v>
      </c>
      <c r="P7872" s="1" t="str">
        <f t="shared" si="13553"/>
        <v>0</v>
      </c>
      <c r="Q7872" s="1" t="str">
        <f t="shared" si="13489"/>
        <v>0.0070</v>
      </c>
      <c r="R7872" s="1" t="s">
        <v>25</v>
      </c>
      <c r="T7872" s="1" t="str">
        <f t="shared" si="13490"/>
        <v>0</v>
      </c>
      <c r="U7872" s="1" t="str">
        <f t="shared" si="13531"/>
        <v>0.0070</v>
      </c>
    </row>
    <row r="7873" s="1" customFormat="1" spans="1:21">
      <c r="A7873" s="1" t="str">
        <f>"4601992364330"</f>
        <v>4601992364330</v>
      </c>
      <c r="B7873" s="1" t="s">
        <v>7896</v>
      </c>
      <c r="C7873" s="1" t="s">
        <v>24</v>
      </c>
      <c r="D7873" s="1" t="str">
        <f t="shared" si="13487"/>
        <v>2021</v>
      </c>
      <c r="E7873" s="1" t="str">
        <f t="shared" ref="E7873:P7873" si="13554">"0"</f>
        <v>0</v>
      </c>
      <c r="F7873" s="1" t="str">
        <f t="shared" si="13554"/>
        <v>0</v>
      </c>
      <c r="G7873" s="1" t="str">
        <f t="shared" si="13554"/>
        <v>0</v>
      </c>
      <c r="H7873" s="1" t="str">
        <f t="shared" si="13554"/>
        <v>0</v>
      </c>
      <c r="I7873" s="1" t="str">
        <f t="shared" si="13554"/>
        <v>0</v>
      </c>
      <c r="J7873" s="1" t="str">
        <f t="shared" si="13554"/>
        <v>0</v>
      </c>
      <c r="K7873" s="1" t="str">
        <f t="shared" si="13554"/>
        <v>0</v>
      </c>
      <c r="L7873" s="1" t="str">
        <f t="shared" si="13554"/>
        <v>0</v>
      </c>
      <c r="M7873" s="1" t="str">
        <f t="shared" si="13554"/>
        <v>0</v>
      </c>
      <c r="N7873" s="1" t="str">
        <f t="shared" si="13554"/>
        <v>0</v>
      </c>
      <c r="O7873" s="1" t="str">
        <f t="shared" si="13554"/>
        <v>0</v>
      </c>
      <c r="P7873" s="1" t="str">
        <f t="shared" si="13554"/>
        <v>0</v>
      </c>
      <c r="Q7873" s="1" t="str">
        <f t="shared" si="13489"/>
        <v>0.0070</v>
      </c>
      <c r="R7873" s="1" t="s">
        <v>25</v>
      </c>
      <c r="T7873" s="1" t="str">
        <f t="shared" si="13490"/>
        <v>0</v>
      </c>
      <c r="U7873" s="1" t="str">
        <f t="shared" si="13531"/>
        <v>0.0070</v>
      </c>
    </row>
    <row r="7874" s="1" customFormat="1" spans="1:21">
      <c r="A7874" s="1" t="str">
        <f>"4601992364351"</f>
        <v>4601992364351</v>
      </c>
      <c r="B7874" s="1" t="s">
        <v>7897</v>
      </c>
      <c r="C7874" s="1" t="s">
        <v>24</v>
      </c>
      <c r="D7874" s="1" t="str">
        <f t="shared" si="13487"/>
        <v>2021</v>
      </c>
      <c r="E7874" s="1" t="str">
        <f t="shared" ref="E7874:P7874" si="13555">"0"</f>
        <v>0</v>
      </c>
      <c r="F7874" s="1" t="str">
        <f t="shared" si="13555"/>
        <v>0</v>
      </c>
      <c r="G7874" s="1" t="str">
        <f t="shared" si="13555"/>
        <v>0</v>
      </c>
      <c r="H7874" s="1" t="str">
        <f t="shared" si="13555"/>
        <v>0</v>
      </c>
      <c r="I7874" s="1" t="str">
        <f t="shared" si="13555"/>
        <v>0</v>
      </c>
      <c r="J7874" s="1" t="str">
        <f t="shared" si="13555"/>
        <v>0</v>
      </c>
      <c r="K7874" s="1" t="str">
        <f t="shared" si="13555"/>
        <v>0</v>
      </c>
      <c r="L7874" s="1" t="str">
        <f t="shared" si="13555"/>
        <v>0</v>
      </c>
      <c r="M7874" s="1" t="str">
        <f t="shared" si="13555"/>
        <v>0</v>
      </c>
      <c r="N7874" s="1" t="str">
        <f t="shared" si="13555"/>
        <v>0</v>
      </c>
      <c r="O7874" s="1" t="str">
        <f t="shared" si="13555"/>
        <v>0</v>
      </c>
      <c r="P7874" s="1" t="str">
        <f t="shared" si="13555"/>
        <v>0</v>
      </c>
      <c r="Q7874" s="1" t="str">
        <f t="shared" si="13489"/>
        <v>0.0070</v>
      </c>
      <c r="R7874" s="1" t="s">
        <v>25</v>
      </c>
      <c r="T7874" s="1" t="str">
        <f t="shared" si="13490"/>
        <v>0</v>
      </c>
      <c r="U7874" s="1" t="str">
        <f t="shared" si="13531"/>
        <v>0.0070</v>
      </c>
    </row>
    <row r="7875" s="1" customFormat="1" spans="1:21">
      <c r="A7875" s="1" t="str">
        <f>"4601992364379"</f>
        <v>4601992364379</v>
      </c>
      <c r="B7875" s="1" t="s">
        <v>7898</v>
      </c>
      <c r="C7875" s="1" t="s">
        <v>24</v>
      </c>
      <c r="D7875" s="1" t="str">
        <f t="shared" ref="D7875:D7938" si="13556">"2021"</f>
        <v>2021</v>
      </c>
      <c r="E7875" s="1" t="str">
        <f t="shared" ref="E7875:P7875" si="13557">"0"</f>
        <v>0</v>
      </c>
      <c r="F7875" s="1" t="str">
        <f t="shared" si="13557"/>
        <v>0</v>
      </c>
      <c r="G7875" s="1" t="str">
        <f t="shared" si="13557"/>
        <v>0</v>
      </c>
      <c r="H7875" s="1" t="str">
        <f t="shared" si="13557"/>
        <v>0</v>
      </c>
      <c r="I7875" s="1" t="str">
        <f t="shared" si="13557"/>
        <v>0</v>
      </c>
      <c r="J7875" s="1" t="str">
        <f t="shared" si="13557"/>
        <v>0</v>
      </c>
      <c r="K7875" s="1" t="str">
        <f t="shared" si="13557"/>
        <v>0</v>
      </c>
      <c r="L7875" s="1" t="str">
        <f t="shared" si="13557"/>
        <v>0</v>
      </c>
      <c r="M7875" s="1" t="str">
        <f t="shared" si="13557"/>
        <v>0</v>
      </c>
      <c r="N7875" s="1" t="str">
        <f t="shared" si="13557"/>
        <v>0</v>
      </c>
      <c r="O7875" s="1" t="str">
        <f t="shared" si="13557"/>
        <v>0</v>
      </c>
      <c r="P7875" s="1" t="str">
        <f t="shared" si="13557"/>
        <v>0</v>
      </c>
      <c r="Q7875" s="1" t="str">
        <f t="shared" ref="Q7875:Q7938" si="13558">"0.0070"</f>
        <v>0.0070</v>
      </c>
      <c r="R7875" s="1" t="s">
        <v>25</v>
      </c>
      <c r="T7875" s="1" t="str">
        <f t="shared" ref="T7875:T7938" si="13559">"0"</f>
        <v>0</v>
      </c>
      <c r="U7875" s="1" t="str">
        <f t="shared" si="13531"/>
        <v>0.0070</v>
      </c>
    </row>
    <row r="7876" s="1" customFormat="1" spans="1:21">
      <c r="A7876" s="1" t="str">
        <f>"4601992364396"</f>
        <v>4601992364396</v>
      </c>
      <c r="B7876" s="1" t="s">
        <v>7899</v>
      </c>
      <c r="C7876" s="1" t="s">
        <v>24</v>
      </c>
      <c r="D7876" s="1" t="str">
        <f t="shared" si="13556"/>
        <v>2021</v>
      </c>
      <c r="E7876" s="1" t="str">
        <f t="shared" ref="E7876:P7876" si="13560">"0"</f>
        <v>0</v>
      </c>
      <c r="F7876" s="1" t="str">
        <f t="shared" si="13560"/>
        <v>0</v>
      </c>
      <c r="G7876" s="1" t="str">
        <f t="shared" si="13560"/>
        <v>0</v>
      </c>
      <c r="H7876" s="1" t="str">
        <f t="shared" si="13560"/>
        <v>0</v>
      </c>
      <c r="I7876" s="1" t="str">
        <f t="shared" si="13560"/>
        <v>0</v>
      </c>
      <c r="J7876" s="1" t="str">
        <f t="shared" si="13560"/>
        <v>0</v>
      </c>
      <c r="K7876" s="1" t="str">
        <f t="shared" si="13560"/>
        <v>0</v>
      </c>
      <c r="L7876" s="1" t="str">
        <f t="shared" si="13560"/>
        <v>0</v>
      </c>
      <c r="M7876" s="1" t="str">
        <f t="shared" si="13560"/>
        <v>0</v>
      </c>
      <c r="N7876" s="1" t="str">
        <f t="shared" si="13560"/>
        <v>0</v>
      </c>
      <c r="O7876" s="1" t="str">
        <f t="shared" si="13560"/>
        <v>0</v>
      </c>
      <c r="P7876" s="1" t="str">
        <f t="shared" si="13560"/>
        <v>0</v>
      </c>
      <c r="Q7876" s="1" t="str">
        <f t="shared" si="13558"/>
        <v>0.0070</v>
      </c>
      <c r="R7876" s="1" t="s">
        <v>25</v>
      </c>
      <c r="T7876" s="1" t="str">
        <f t="shared" si="13559"/>
        <v>0</v>
      </c>
      <c r="U7876" s="1" t="str">
        <f t="shared" si="13531"/>
        <v>0.0070</v>
      </c>
    </row>
    <row r="7877" s="1" customFormat="1" spans="1:21">
      <c r="A7877" s="1" t="str">
        <f>"4601992364574"</f>
        <v>4601992364574</v>
      </c>
      <c r="B7877" s="1" t="s">
        <v>7900</v>
      </c>
      <c r="C7877" s="1" t="s">
        <v>24</v>
      </c>
      <c r="D7877" s="1" t="str">
        <f t="shared" si="13556"/>
        <v>2021</v>
      </c>
      <c r="E7877" s="1" t="str">
        <f t="shared" ref="E7877:P7877" si="13561">"0"</f>
        <v>0</v>
      </c>
      <c r="F7877" s="1" t="str">
        <f t="shared" si="13561"/>
        <v>0</v>
      </c>
      <c r="G7877" s="1" t="str">
        <f t="shared" si="13561"/>
        <v>0</v>
      </c>
      <c r="H7877" s="1" t="str">
        <f t="shared" si="13561"/>
        <v>0</v>
      </c>
      <c r="I7877" s="1" t="str">
        <f t="shared" si="13561"/>
        <v>0</v>
      </c>
      <c r="J7877" s="1" t="str">
        <f t="shared" si="13561"/>
        <v>0</v>
      </c>
      <c r="K7877" s="1" t="str">
        <f t="shared" si="13561"/>
        <v>0</v>
      </c>
      <c r="L7877" s="1" t="str">
        <f t="shared" si="13561"/>
        <v>0</v>
      </c>
      <c r="M7877" s="1" t="str">
        <f t="shared" si="13561"/>
        <v>0</v>
      </c>
      <c r="N7877" s="1" t="str">
        <f t="shared" si="13561"/>
        <v>0</v>
      </c>
      <c r="O7877" s="1" t="str">
        <f t="shared" si="13561"/>
        <v>0</v>
      </c>
      <c r="P7877" s="1" t="str">
        <f t="shared" si="13561"/>
        <v>0</v>
      </c>
      <c r="Q7877" s="1" t="str">
        <f t="shared" si="13558"/>
        <v>0.0070</v>
      </c>
      <c r="R7877" s="1" t="s">
        <v>25</v>
      </c>
      <c r="T7877" s="1" t="str">
        <f t="shared" si="13559"/>
        <v>0</v>
      </c>
      <c r="U7877" s="1" t="str">
        <f t="shared" si="13531"/>
        <v>0.0070</v>
      </c>
    </row>
    <row r="7878" s="1" customFormat="1" spans="1:21">
      <c r="A7878" s="1" t="str">
        <f>"4601992364580"</f>
        <v>4601992364580</v>
      </c>
      <c r="B7878" s="1" t="s">
        <v>7901</v>
      </c>
      <c r="C7878" s="1" t="s">
        <v>24</v>
      </c>
      <c r="D7878" s="1" t="str">
        <f t="shared" si="13556"/>
        <v>2021</v>
      </c>
      <c r="E7878" s="1" t="str">
        <f t="shared" ref="E7878:P7878" si="13562">"0"</f>
        <v>0</v>
      </c>
      <c r="F7878" s="1" t="str">
        <f t="shared" si="13562"/>
        <v>0</v>
      </c>
      <c r="G7878" s="1" t="str">
        <f t="shared" si="13562"/>
        <v>0</v>
      </c>
      <c r="H7878" s="1" t="str">
        <f t="shared" si="13562"/>
        <v>0</v>
      </c>
      <c r="I7878" s="1" t="str">
        <f t="shared" si="13562"/>
        <v>0</v>
      </c>
      <c r="J7878" s="1" t="str">
        <f t="shared" si="13562"/>
        <v>0</v>
      </c>
      <c r="K7878" s="1" t="str">
        <f t="shared" si="13562"/>
        <v>0</v>
      </c>
      <c r="L7878" s="1" t="str">
        <f t="shared" si="13562"/>
        <v>0</v>
      </c>
      <c r="M7878" s="1" t="str">
        <f t="shared" si="13562"/>
        <v>0</v>
      </c>
      <c r="N7878" s="1" t="str">
        <f t="shared" si="13562"/>
        <v>0</v>
      </c>
      <c r="O7878" s="1" t="str">
        <f t="shared" si="13562"/>
        <v>0</v>
      </c>
      <c r="P7878" s="1" t="str">
        <f t="shared" si="13562"/>
        <v>0</v>
      </c>
      <c r="Q7878" s="1" t="str">
        <f t="shared" si="13558"/>
        <v>0.0070</v>
      </c>
      <c r="R7878" s="1" t="s">
        <v>25</v>
      </c>
      <c r="T7878" s="1" t="str">
        <f t="shared" si="13559"/>
        <v>0</v>
      </c>
      <c r="U7878" s="1" t="str">
        <f t="shared" si="13531"/>
        <v>0.0070</v>
      </c>
    </row>
    <row r="7879" s="1" customFormat="1" spans="1:21">
      <c r="A7879" s="1" t="str">
        <f>"4601992364681"</f>
        <v>4601992364681</v>
      </c>
      <c r="B7879" s="1" t="s">
        <v>7902</v>
      </c>
      <c r="C7879" s="1" t="s">
        <v>24</v>
      </c>
      <c r="D7879" s="1" t="str">
        <f t="shared" si="13556"/>
        <v>2021</v>
      </c>
      <c r="E7879" s="1" t="str">
        <f t="shared" ref="E7879:P7879" si="13563">"0"</f>
        <v>0</v>
      </c>
      <c r="F7879" s="1" t="str">
        <f t="shared" si="13563"/>
        <v>0</v>
      </c>
      <c r="G7879" s="1" t="str">
        <f t="shared" si="13563"/>
        <v>0</v>
      </c>
      <c r="H7879" s="1" t="str">
        <f t="shared" si="13563"/>
        <v>0</v>
      </c>
      <c r="I7879" s="1" t="str">
        <f t="shared" si="13563"/>
        <v>0</v>
      </c>
      <c r="J7879" s="1" t="str">
        <f t="shared" si="13563"/>
        <v>0</v>
      </c>
      <c r="K7879" s="1" t="str">
        <f t="shared" si="13563"/>
        <v>0</v>
      </c>
      <c r="L7879" s="1" t="str">
        <f t="shared" si="13563"/>
        <v>0</v>
      </c>
      <c r="M7879" s="1" t="str">
        <f t="shared" si="13563"/>
        <v>0</v>
      </c>
      <c r="N7879" s="1" t="str">
        <f t="shared" si="13563"/>
        <v>0</v>
      </c>
      <c r="O7879" s="1" t="str">
        <f t="shared" si="13563"/>
        <v>0</v>
      </c>
      <c r="P7879" s="1" t="str">
        <f t="shared" si="13563"/>
        <v>0</v>
      </c>
      <c r="Q7879" s="1" t="str">
        <f t="shared" si="13558"/>
        <v>0.0070</v>
      </c>
      <c r="R7879" s="1" t="s">
        <v>25</v>
      </c>
      <c r="T7879" s="1" t="str">
        <f t="shared" si="13559"/>
        <v>0</v>
      </c>
      <c r="U7879" s="1" t="str">
        <f t="shared" si="13531"/>
        <v>0.0070</v>
      </c>
    </row>
    <row r="7880" s="1" customFormat="1" spans="1:21">
      <c r="A7880" s="1" t="str">
        <f>"4601992364692"</f>
        <v>4601992364692</v>
      </c>
      <c r="B7880" s="1" t="s">
        <v>7903</v>
      </c>
      <c r="C7880" s="1" t="s">
        <v>24</v>
      </c>
      <c r="D7880" s="1" t="str">
        <f t="shared" si="13556"/>
        <v>2021</v>
      </c>
      <c r="E7880" s="1" t="str">
        <f t="shared" ref="E7880:P7880" si="13564">"0"</f>
        <v>0</v>
      </c>
      <c r="F7880" s="1" t="str">
        <f t="shared" si="13564"/>
        <v>0</v>
      </c>
      <c r="G7880" s="1" t="str">
        <f t="shared" si="13564"/>
        <v>0</v>
      </c>
      <c r="H7880" s="1" t="str">
        <f t="shared" si="13564"/>
        <v>0</v>
      </c>
      <c r="I7880" s="1" t="str">
        <f t="shared" si="13564"/>
        <v>0</v>
      </c>
      <c r="J7880" s="1" t="str">
        <f t="shared" si="13564"/>
        <v>0</v>
      </c>
      <c r="K7880" s="1" t="str">
        <f t="shared" si="13564"/>
        <v>0</v>
      </c>
      <c r="L7880" s="1" t="str">
        <f t="shared" si="13564"/>
        <v>0</v>
      </c>
      <c r="M7880" s="1" t="str">
        <f t="shared" si="13564"/>
        <v>0</v>
      </c>
      <c r="N7880" s="1" t="str">
        <f t="shared" si="13564"/>
        <v>0</v>
      </c>
      <c r="O7880" s="1" t="str">
        <f t="shared" si="13564"/>
        <v>0</v>
      </c>
      <c r="P7880" s="1" t="str">
        <f t="shared" si="13564"/>
        <v>0</v>
      </c>
      <c r="Q7880" s="1" t="str">
        <f t="shared" si="13558"/>
        <v>0.0070</v>
      </c>
      <c r="R7880" s="1" t="s">
        <v>25</v>
      </c>
      <c r="T7880" s="1" t="str">
        <f t="shared" si="13559"/>
        <v>0</v>
      </c>
      <c r="U7880" s="1" t="str">
        <f t="shared" si="13531"/>
        <v>0.0070</v>
      </c>
    </row>
    <row r="7881" s="1" customFormat="1" spans="1:21">
      <c r="A7881" s="1" t="str">
        <f>"4601992364749"</f>
        <v>4601992364749</v>
      </c>
      <c r="B7881" s="1" t="s">
        <v>7904</v>
      </c>
      <c r="C7881" s="1" t="s">
        <v>24</v>
      </c>
      <c r="D7881" s="1" t="str">
        <f t="shared" si="13556"/>
        <v>2021</v>
      </c>
      <c r="E7881" s="1" t="str">
        <f t="shared" ref="E7881:P7881" si="13565">"0"</f>
        <v>0</v>
      </c>
      <c r="F7881" s="1" t="str">
        <f t="shared" si="13565"/>
        <v>0</v>
      </c>
      <c r="G7881" s="1" t="str">
        <f t="shared" si="13565"/>
        <v>0</v>
      </c>
      <c r="H7881" s="1" t="str">
        <f t="shared" si="13565"/>
        <v>0</v>
      </c>
      <c r="I7881" s="1" t="str">
        <f t="shared" si="13565"/>
        <v>0</v>
      </c>
      <c r="J7881" s="1" t="str">
        <f t="shared" si="13565"/>
        <v>0</v>
      </c>
      <c r="K7881" s="1" t="str">
        <f t="shared" si="13565"/>
        <v>0</v>
      </c>
      <c r="L7881" s="1" t="str">
        <f t="shared" si="13565"/>
        <v>0</v>
      </c>
      <c r="M7881" s="1" t="str">
        <f t="shared" si="13565"/>
        <v>0</v>
      </c>
      <c r="N7881" s="1" t="str">
        <f t="shared" si="13565"/>
        <v>0</v>
      </c>
      <c r="O7881" s="1" t="str">
        <f t="shared" si="13565"/>
        <v>0</v>
      </c>
      <c r="P7881" s="1" t="str">
        <f t="shared" si="13565"/>
        <v>0</v>
      </c>
      <c r="Q7881" s="1" t="str">
        <f t="shared" si="13558"/>
        <v>0.0070</v>
      </c>
      <c r="R7881" s="1" t="s">
        <v>25</v>
      </c>
      <c r="T7881" s="1" t="str">
        <f t="shared" si="13559"/>
        <v>0</v>
      </c>
      <c r="U7881" s="1" t="str">
        <f t="shared" si="13531"/>
        <v>0.0070</v>
      </c>
    </row>
    <row r="7882" s="1" customFormat="1" spans="1:21">
      <c r="A7882" s="1" t="str">
        <f>"4601992364858"</f>
        <v>4601992364858</v>
      </c>
      <c r="B7882" s="1" t="s">
        <v>7905</v>
      </c>
      <c r="C7882" s="1" t="s">
        <v>24</v>
      </c>
      <c r="D7882" s="1" t="str">
        <f t="shared" si="13556"/>
        <v>2021</v>
      </c>
      <c r="E7882" s="1" t="str">
        <f t="shared" ref="E7882:P7882" si="13566">"0"</f>
        <v>0</v>
      </c>
      <c r="F7882" s="1" t="str">
        <f t="shared" si="13566"/>
        <v>0</v>
      </c>
      <c r="G7882" s="1" t="str">
        <f t="shared" si="13566"/>
        <v>0</v>
      </c>
      <c r="H7882" s="1" t="str">
        <f t="shared" si="13566"/>
        <v>0</v>
      </c>
      <c r="I7882" s="1" t="str">
        <f t="shared" si="13566"/>
        <v>0</v>
      </c>
      <c r="J7882" s="1" t="str">
        <f t="shared" si="13566"/>
        <v>0</v>
      </c>
      <c r="K7882" s="1" t="str">
        <f t="shared" si="13566"/>
        <v>0</v>
      </c>
      <c r="L7882" s="1" t="str">
        <f t="shared" si="13566"/>
        <v>0</v>
      </c>
      <c r="M7882" s="1" t="str">
        <f t="shared" si="13566"/>
        <v>0</v>
      </c>
      <c r="N7882" s="1" t="str">
        <f t="shared" si="13566"/>
        <v>0</v>
      </c>
      <c r="O7882" s="1" t="str">
        <f t="shared" si="13566"/>
        <v>0</v>
      </c>
      <c r="P7882" s="1" t="str">
        <f t="shared" si="13566"/>
        <v>0</v>
      </c>
      <c r="Q7882" s="1" t="str">
        <f t="shared" si="13558"/>
        <v>0.0070</v>
      </c>
      <c r="R7882" s="1" t="s">
        <v>25</v>
      </c>
      <c r="T7882" s="1" t="str">
        <f t="shared" si="13559"/>
        <v>0</v>
      </c>
      <c r="U7882" s="1" t="str">
        <f t="shared" si="13531"/>
        <v>0.0070</v>
      </c>
    </row>
    <row r="7883" s="1" customFormat="1" spans="1:21">
      <c r="A7883" s="1" t="str">
        <f>"4601992364958"</f>
        <v>4601992364958</v>
      </c>
      <c r="B7883" s="1" t="s">
        <v>7906</v>
      </c>
      <c r="C7883" s="1" t="s">
        <v>24</v>
      </c>
      <c r="D7883" s="1" t="str">
        <f t="shared" si="13556"/>
        <v>2021</v>
      </c>
      <c r="E7883" s="1" t="str">
        <f t="shared" ref="E7883:P7883" si="13567">"0"</f>
        <v>0</v>
      </c>
      <c r="F7883" s="1" t="str">
        <f t="shared" si="13567"/>
        <v>0</v>
      </c>
      <c r="G7883" s="1" t="str">
        <f t="shared" si="13567"/>
        <v>0</v>
      </c>
      <c r="H7883" s="1" t="str">
        <f t="shared" si="13567"/>
        <v>0</v>
      </c>
      <c r="I7883" s="1" t="str">
        <f t="shared" si="13567"/>
        <v>0</v>
      </c>
      <c r="J7883" s="1" t="str">
        <f t="shared" si="13567"/>
        <v>0</v>
      </c>
      <c r="K7883" s="1" t="str">
        <f t="shared" si="13567"/>
        <v>0</v>
      </c>
      <c r="L7883" s="1" t="str">
        <f t="shared" si="13567"/>
        <v>0</v>
      </c>
      <c r="M7883" s="1" t="str">
        <f t="shared" si="13567"/>
        <v>0</v>
      </c>
      <c r="N7883" s="1" t="str">
        <f t="shared" si="13567"/>
        <v>0</v>
      </c>
      <c r="O7883" s="1" t="str">
        <f t="shared" si="13567"/>
        <v>0</v>
      </c>
      <c r="P7883" s="1" t="str">
        <f t="shared" si="13567"/>
        <v>0</v>
      </c>
      <c r="Q7883" s="1" t="str">
        <f t="shared" si="13558"/>
        <v>0.0070</v>
      </c>
      <c r="R7883" s="1" t="s">
        <v>25</v>
      </c>
      <c r="T7883" s="1" t="str">
        <f t="shared" si="13559"/>
        <v>0</v>
      </c>
      <c r="U7883" s="1" t="str">
        <f t="shared" si="13531"/>
        <v>0.0070</v>
      </c>
    </row>
    <row r="7884" s="1" customFormat="1" spans="1:21">
      <c r="A7884" s="1" t="str">
        <f>"4601992365069"</f>
        <v>4601992365069</v>
      </c>
      <c r="B7884" s="1" t="s">
        <v>7907</v>
      </c>
      <c r="C7884" s="1" t="s">
        <v>24</v>
      </c>
      <c r="D7884" s="1" t="str">
        <f t="shared" si="13556"/>
        <v>2021</v>
      </c>
      <c r="E7884" s="1" t="str">
        <f t="shared" ref="E7884:P7884" si="13568">"0"</f>
        <v>0</v>
      </c>
      <c r="F7884" s="1" t="str">
        <f t="shared" si="13568"/>
        <v>0</v>
      </c>
      <c r="G7884" s="1" t="str">
        <f t="shared" si="13568"/>
        <v>0</v>
      </c>
      <c r="H7884" s="1" t="str">
        <f t="shared" si="13568"/>
        <v>0</v>
      </c>
      <c r="I7884" s="1" t="str">
        <f t="shared" si="13568"/>
        <v>0</v>
      </c>
      <c r="J7884" s="1" t="str">
        <f t="shared" si="13568"/>
        <v>0</v>
      </c>
      <c r="K7884" s="1" t="str">
        <f t="shared" si="13568"/>
        <v>0</v>
      </c>
      <c r="L7884" s="1" t="str">
        <f t="shared" si="13568"/>
        <v>0</v>
      </c>
      <c r="M7884" s="1" t="str">
        <f t="shared" si="13568"/>
        <v>0</v>
      </c>
      <c r="N7884" s="1" t="str">
        <f t="shared" si="13568"/>
        <v>0</v>
      </c>
      <c r="O7884" s="1" t="str">
        <f t="shared" si="13568"/>
        <v>0</v>
      </c>
      <c r="P7884" s="1" t="str">
        <f t="shared" si="13568"/>
        <v>0</v>
      </c>
      <c r="Q7884" s="1" t="str">
        <f t="shared" si="13558"/>
        <v>0.0070</v>
      </c>
      <c r="R7884" s="1" t="s">
        <v>25</v>
      </c>
      <c r="T7884" s="1" t="str">
        <f t="shared" si="13559"/>
        <v>0</v>
      </c>
      <c r="U7884" s="1" t="str">
        <f t="shared" si="13531"/>
        <v>0.0070</v>
      </c>
    </row>
    <row r="7885" s="1" customFormat="1" spans="1:21">
      <c r="A7885" s="1" t="str">
        <f>"4601992365103"</f>
        <v>4601992365103</v>
      </c>
      <c r="B7885" s="1" t="s">
        <v>7908</v>
      </c>
      <c r="C7885" s="1" t="s">
        <v>24</v>
      </c>
      <c r="D7885" s="1" t="str">
        <f t="shared" si="13556"/>
        <v>2021</v>
      </c>
      <c r="E7885" s="1" t="str">
        <f t="shared" ref="E7885:P7885" si="13569">"0"</f>
        <v>0</v>
      </c>
      <c r="F7885" s="1" t="str">
        <f t="shared" si="13569"/>
        <v>0</v>
      </c>
      <c r="G7885" s="1" t="str">
        <f t="shared" si="13569"/>
        <v>0</v>
      </c>
      <c r="H7885" s="1" t="str">
        <f t="shared" si="13569"/>
        <v>0</v>
      </c>
      <c r="I7885" s="1" t="str">
        <f t="shared" si="13569"/>
        <v>0</v>
      </c>
      <c r="J7885" s="1" t="str">
        <f t="shared" si="13569"/>
        <v>0</v>
      </c>
      <c r="K7885" s="1" t="str">
        <f t="shared" si="13569"/>
        <v>0</v>
      </c>
      <c r="L7885" s="1" t="str">
        <f t="shared" si="13569"/>
        <v>0</v>
      </c>
      <c r="M7885" s="1" t="str">
        <f t="shared" si="13569"/>
        <v>0</v>
      </c>
      <c r="N7885" s="1" t="str">
        <f t="shared" si="13569"/>
        <v>0</v>
      </c>
      <c r="O7885" s="1" t="str">
        <f t="shared" si="13569"/>
        <v>0</v>
      </c>
      <c r="P7885" s="1" t="str">
        <f t="shared" si="13569"/>
        <v>0</v>
      </c>
      <c r="Q7885" s="1" t="str">
        <f t="shared" si="13558"/>
        <v>0.0070</v>
      </c>
      <c r="R7885" s="1" t="s">
        <v>25</v>
      </c>
      <c r="T7885" s="1" t="str">
        <f t="shared" si="13559"/>
        <v>0</v>
      </c>
      <c r="U7885" s="1" t="str">
        <f t="shared" si="13531"/>
        <v>0.0070</v>
      </c>
    </row>
    <row r="7886" s="1" customFormat="1" spans="1:21">
      <c r="A7886" s="1" t="str">
        <f>"4601992365308"</f>
        <v>4601992365308</v>
      </c>
      <c r="B7886" s="1" t="s">
        <v>7909</v>
      </c>
      <c r="C7886" s="1" t="s">
        <v>24</v>
      </c>
      <c r="D7886" s="1" t="str">
        <f t="shared" si="13556"/>
        <v>2021</v>
      </c>
      <c r="E7886" s="1" t="str">
        <f t="shared" ref="E7886:P7886" si="13570">"0"</f>
        <v>0</v>
      </c>
      <c r="F7886" s="1" t="str">
        <f t="shared" si="13570"/>
        <v>0</v>
      </c>
      <c r="G7886" s="1" t="str">
        <f t="shared" si="13570"/>
        <v>0</v>
      </c>
      <c r="H7886" s="1" t="str">
        <f t="shared" si="13570"/>
        <v>0</v>
      </c>
      <c r="I7886" s="1" t="str">
        <f t="shared" si="13570"/>
        <v>0</v>
      </c>
      <c r="J7886" s="1" t="str">
        <f t="shared" si="13570"/>
        <v>0</v>
      </c>
      <c r="K7886" s="1" t="str">
        <f t="shared" si="13570"/>
        <v>0</v>
      </c>
      <c r="L7886" s="1" t="str">
        <f t="shared" si="13570"/>
        <v>0</v>
      </c>
      <c r="M7886" s="1" t="str">
        <f t="shared" si="13570"/>
        <v>0</v>
      </c>
      <c r="N7886" s="1" t="str">
        <f t="shared" si="13570"/>
        <v>0</v>
      </c>
      <c r="O7886" s="1" t="str">
        <f t="shared" si="13570"/>
        <v>0</v>
      </c>
      <c r="P7886" s="1" t="str">
        <f t="shared" si="13570"/>
        <v>0</v>
      </c>
      <c r="Q7886" s="1" t="str">
        <f t="shared" si="13558"/>
        <v>0.0070</v>
      </c>
      <c r="R7886" s="1" t="s">
        <v>25</v>
      </c>
      <c r="T7886" s="1" t="str">
        <f t="shared" si="13559"/>
        <v>0</v>
      </c>
      <c r="U7886" s="1" t="str">
        <f t="shared" si="13531"/>
        <v>0.0070</v>
      </c>
    </row>
    <row r="7887" s="1" customFormat="1" spans="1:21">
      <c r="A7887" s="1" t="str">
        <f>"4601992365311"</f>
        <v>4601992365311</v>
      </c>
      <c r="B7887" s="1" t="s">
        <v>7910</v>
      </c>
      <c r="C7887" s="1" t="s">
        <v>24</v>
      </c>
      <c r="D7887" s="1" t="str">
        <f t="shared" si="13556"/>
        <v>2021</v>
      </c>
      <c r="E7887" s="1" t="str">
        <f t="shared" ref="E7887:P7887" si="13571">"0"</f>
        <v>0</v>
      </c>
      <c r="F7887" s="1" t="str">
        <f t="shared" si="13571"/>
        <v>0</v>
      </c>
      <c r="G7887" s="1" t="str">
        <f t="shared" si="13571"/>
        <v>0</v>
      </c>
      <c r="H7887" s="1" t="str">
        <f t="shared" si="13571"/>
        <v>0</v>
      </c>
      <c r="I7887" s="1" t="str">
        <f t="shared" si="13571"/>
        <v>0</v>
      </c>
      <c r="J7887" s="1" t="str">
        <f t="shared" si="13571"/>
        <v>0</v>
      </c>
      <c r="K7887" s="1" t="str">
        <f t="shared" si="13571"/>
        <v>0</v>
      </c>
      <c r="L7887" s="1" t="str">
        <f t="shared" si="13571"/>
        <v>0</v>
      </c>
      <c r="M7887" s="1" t="str">
        <f t="shared" si="13571"/>
        <v>0</v>
      </c>
      <c r="N7887" s="1" t="str">
        <f t="shared" si="13571"/>
        <v>0</v>
      </c>
      <c r="O7887" s="1" t="str">
        <f t="shared" si="13571"/>
        <v>0</v>
      </c>
      <c r="P7887" s="1" t="str">
        <f t="shared" si="13571"/>
        <v>0</v>
      </c>
      <c r="Q7887" s="1" t="str">
        <f t="shared" si="13558"/>
        <v>0.0070</v>
      </c>
      <c r="R7887" s="1" t="s">
        <v>25</v>
      </c>
      <c r="T7887" s="1" t="str">
        <f t="shared" si="13559"/>
        <v>0</v>
      </c>
      <c r="U7887" s="1" t="str">
        <f t="shared" si="13531"/>
        <v>0.0070</v>
      </c>
    </row>
    <row r="7888" s="1" customFormat="1" spans="1:21">
      <c r="A7888" s="1" t="str">
        <f>"4601992365321"</f>
        <v>4601992365321</v>
      </c>
      <c r="B7888" s="1" t="s">
        <v>7911</v>
      </c>
      <c r="C7888" s="1" t="s">
        <v>24</v>
      </c>
      <c r="D7888" s="1" t="str">
        <f t="shared" si="13556"/>
        <v>2021</v>
      </c>
      <c r="E7888" s="1" t="str">
        <f t="shared" ref="E7888:P7888" si="13572">"0"</f>
        <v>0</v>
      </c>
      <c r="F7888" s="1" t="str">
        <f t="shared" si="13572"/>
        <v>0</v>
      </c>
      <c r="G7888" s="1" t="str">
        <f t="shared" si="13572"/>
        <v>0</v>
      </c>
      <c r="H7888" s="1" t="str">
        <f t="shared" si="13572"/>
        <v>0</v>
      </c>
      <c r="I7888" s="1" t="str">
        <f t="shared" si="13572"/>
        <v>0</v>
      </c>
      <c r="J7888" s="1" t="str">
        <f t="shared" si="13572"/>
        <v>0</v>
      </c>
      <c r="K7888" s="1" t="str">
        <f t="shared" si="13572"/>
        <v>0</v>
      </c>
      <c r="L7888" s="1" t="str">
        <f t="shared" si="13572"/>
        <v>0</v>
      </c>
      <c r="M7888" s="1" t="str">
        <f t="shared" si="13572"/>
        <v>0</v>
      </c>
      <c r="N7888" s="1" t="str">
        <f t="shared" si="13572"/>
        <v>0</v>
      </c>
      <c r="O7888" s="1" t="str">
        <f t="shared" si="13572"/>
        <v>0</v>
      </c>
      <c r="P7888" s="1" t="str">
        <f t="shared" si="13572"/>
        <v>0</v>
      </c>
      <c r="Q7888" s="1" t="str">
        <f t="shared" si="13558"/>
        <v>0.0070</v>
      </c>
      <c r="R7888" s="1" t="s">
        <v>25</v>
      </c>
      <c r="T7888" s="1" t="str">
        <f t="shared" si="13559"/>
        <v>0</v>
      </c>
      <c r="U7888" s="1" t="str">
        <f t="shared" si="13531"/>
        <v>0.0070</v>
      </c>
    </row>
    <row r="7889" s="1" customFormat="1" spans="1:21">
      <c r="A7889" s="1" t="str">
        <f>"4601992365362"</f>
        <v>4601992365362</v>
      </c>
      <c r="B7889" s="1" t="s">
        <v>7912</v>
      </c>
      <c r="C7889" s="1" t="s">
        <v>24</v>
      </c>
      <c r="D7889" s="1" t="str">
        <f t="shared" si="13556"/>
        <v>2021</v>
      </c>
      <c r="E7889" s="1" t="str">
        <f t="shared" ref="E7889:P7889" si="13573">"0"</f>
        <v>0</v>
      </c>
      <c r="F7889" s="1" t="str">
        <f t="shared" si="13573"/>
        <v>0</v>
      </c>
      <c r="G7889" s="1" t="str">
        <f t="shared" si="13573"/>
        <v>0</v>
      </c>
      <c r="H7889" s="1" t="str">
        <f t="shared" si="13573"/>
        <v>0</v>
      </c>
      <c r="I7889" s="1" t="str">
        <f t="shared" si="13573"/>
        <v>0</v>
      </c>
      <c r="J7889" s="1" t="str">
        <f t="shared" si="13573"/>
        <v>0</v>
      </c>
      <c r="K7889" s="1" t="str">
        <f t="shared" si="13573"/>
        <v>0</v>
      </c>
      <c r="L7889" s="1" t="str">
        <f t="shared" si="13573"/>
        <v>0</v>
      </c>
      <c r="M7889" s="1" t="str">
        <f t="shared" si="13573"/>
        <v>0</v>
      </c>
      <c r="N7889" s="1" t="str">
        <f t="shared" si="13573"/>
        <v>0</v>
      </c>
      <c r="O7889" s="1" t="str">
        <f t="shared" si="13573"/>
        <v>0</v>
      </c>
      <c r="P7889" s="1" t="str">
        <f t="shared" si="13573"/>
        <v>0</v>
      </c>
      <c r="Q7889" s="1" t="str">
        <f t="shared" si="13558"/>
        <v>0.0070</v>
      </c>
      <c r="R7889" s="1" t="s">
        <v>25</v>
      </c>
      <c r="T7889" s="1" t="str">
        <f t="shared" si="13559"/>
        <v>0</v>
      </c>
      <c r="U7889" s="1" t="str">
        <f t="shared" si="13531"/>
        <v>0.0070</v>
      </c>
    </row>
    <row r="7890" s="1" customFormat="1" spans="1:21">
      <c r="A7890" s="1" t="str">
        <f>"4601992365365"</f>
        <v>4601992365365</v>
      </c>
      <c r="B7890" s="1" t="s">
        <v>7913</v>
      </c>
      <c r="C7890" s="1" t="s">
        <v>24</v>
      </c>
      <c r="D7890" s="1" t="str">
        <f t="shared" si="13556"/>
        <v>2021</v>
      </c>
      <c r="E7890" s="1" t="str">
        <f t="shared" ref="E7890:P7890" si="13574">"0"</f>
        <v>0</v>
      </c>
      <c r="F7890" s="1" t="str">
        <f t="shared" si="13574"/>
        <v>0</v>
      </c>
      <c r="G7890" s="1" t="str">
        <f t="shared" si="13574"/>
        <v>0</v>
      </c>
      <c r="H7890" s="1" t="str">
        <f t="shared" si="13574"/>
        <v>0</v>
      </c>
      <c r="I7890" s="1" t="str">
        <f t="shared" si="13574"/>
        <v>0</v>
      </c>
      <c r="J7890" s="1" t="str">
        <f t="shared" si="13574"/>
        <v>0</v>
      </c>
      <c r="K7890" s="1" t="str">
        <f t="shared" si="13574"/>
        <v>0</v>
      </c>
      <c r="L7890" s="1" t="str">
        <f t="shared" si="13574"/>
        <v>0</v>
      </c>
      <c r="M7890" s="1" t="str">
        <f t="shared" si="13574"/>
        <v>0</v>
      </c>
      <c r="N7890" s="1" t="str">
        <f t="shared" si="13574"/>
        <v>0</v>
      </c>
      <c r="O7890" s="1" t="str">
        <f t="shared" si="13574"/>
        <v>0</v>
      </c>
      <c r="P7890" s="1" t="str">
        <f t="shared" si="13574"/>
        <v>0</v>
      </c>
      <c r="Q7890" s="1" t="str">
        <f t="shared" si="13558"/>
        <v>0.0070</v>
      </c>
      <c r="R7890" s="1" t="s">
        <v>25</v>
      </c>
      <c r="T7890" s="1" t="str">
        <f t="shared" si="13559"/>
        <v>0</v>
      </c>
      <c r="U7890" s="1" t="str">
        <f t="shared" si="13531"/>
        <v>0.0070</v>
      </c>
    </row>
    <row r="7891" s="1" customFormat="1" spans="1:21">
      <c r="A7891" s="1" t="str">
        <f>"4601992365384"</f>
        <v>4601992365384</v>
      </c>
      <c r="B7891" s="1" t="s">
        <v>7914</v>
      </c>
      <c r="C7891" s="1" t="s">
        <v>24</v>
      </c>
      <c r="D7891" s="1" t="str">
        <f t="shared" si="13556"/>
        <v>2021</v>
      </c>
      <c r="E7891" s="1" t="str">
        <f t="shared" ref="E7891:P7891" si="13575">"0"</f>
        <v>0</v>
      </c>
      <c r="F7891" s="1" t="str">
        <f t="shared" si="13575"/>
        <v>0</v>
      </c>
      <c r="G7891" s="1" t="str">
        <f t="shared" si="13575"/>
        <v>0</v>
      </c>
      <c r="H7891" s="1" t="str">
        <f t="shared" si="13575"/>
        <v>0</v>
      </c>
      <c r="I7891" s="1" t="str">
        <f t="shared" si="13575"/>
        <v>0</v>
      </c>
      <c r="J7891" s="1" t="str">
        <f t="shared" si="13575"/>
        <v>0</v>
      </c>
      <c r="K7891" s="1" t="str">
        <f t="shared" si="13575"/>
        <v>0</v>
      </c>
      <c r="L7891" s="1" t="str">
        <f t="shared" si="13575"/>
        <v>0</v>
      </c>
      <c r="M7891" s="1" t="str">
        <f t="shared" si="13575"/>
        <v>0</v>
      </c>
      <c r="N7891" s="1" t="str">
        <f t="shared" si="13575"/>
        <v>0</v>
      </c>
      <c r="O7891" s="1" t="str">
        <f t="shared" si="13575"/>
        <v>0</v>
      </c>
      <c r="P7891" s="1" t="str">
        <f t="shared" si="13575"/>
        <v>0</v>
      </c>
      <c r="Q7891" s="1" t="str">
        <f t="shared" si="13558"/>
        <v>0.0070</v>
      </c>
      <c r="R7891" s="1" t="s">
        <v>25</v>
      </c>
      <c r="T7891" s="1" t="str">
        <f t="shared" si="13559"/>
        <v>0</v>
      </c>
      <c r="U7891" s="1" t="str">
        <f t="shared" si="13531"/>
        <v>0.0070</v>
      </c>
    </row>
    <row r="7892" s="1" customFormat="1" spans="1:21">
      <c r="A7892" s="1" t="str">
        <f>"4601992365374"</f>
        <v>4601992365374</v>
      </c>
      <c r="B7892" s="1" t="s">
        <v>7915</v>
      </c>
      <c r="C7892" s="1" t="s">
        <v>24</v>
      </c>
      <c r="D7892" s="1" t="str">
        <f t="shared" si="13556"/>
        <v>2021</v>
      </c>
      <c r="E7892" s="1" t="str">
        <f t="shared" ref="E7892:P7892" si="13576">"0"</f>
        <v>0</v>
      </c>
      <c r="F7892" s="1" t="str">
        <f t="shared" si="13576"/>
        <v>0</v>
      </c>
      <c r="G7892" s="1" t="str">
        <f t="shared" si="13576"/>
        <v>0</v>
      </c>
      <c r="H7892" s="1" t="str">
        <f t="shared" si="13576"/>
        <v>0</v>
      </c>
      <c r="I7892" s="1" t="str">
        <f t="shared" si="13576"/>
        <v>0</v>
      </c>
      <c r="J7892" s="1" t="str">
        <f t="shared" si="13576"/>
        <v>0</v>
      </c>
      <c r="K7892" s="1" t="str">
        <f t="shared" si="13576"/>
        <v>0</v>
      </c>
      <c r="L7892" s="1" t="str">
        <f t="shared" si="13576"/>
        <v>0</v>
      </c>
      <c r="M7892" s="1" t="str">
        <f t="shared" si="13576"/>
        <v>0</v>
      </c>
      <c r="N7892" s="1" t="str">
        <f t="shared" si="13576"/>
        <v>0</v>
      </c>
      <c r="O7892" s="1" t="str">
        <f t="shared" si="13576"/>
        <v>0</v>
      </c>
      <c r="P7892" s="1" t="str">
        <f t="shared" si="13576"/>
        <v>0</v>
      </c>
      <c r="Q7892" s="1" t="str">
        <f t="shared" si="13558"/>
        <v>0.0070</v>
      </c>
      <c r="R7892" s="1" t="s">
        <v>25</v>
      </c>
      <c r="T7892" s="1" t="str">
        <f t="shared" si="13559"/>
        <v>0</v>
      </c>
      <c r="U7892" s="1" t="str">
        <f t="shared" si="13531"/>
        <v>0.0070</v>
      </c>
    </row>
    <row r="7893" s="1" customFormat="1" spans="1:21">
      <c r="A7893" s="1" t="str">
        <f>"4601992365403"</f>
        <v>4601992365403</v>
      </c>
      <c r="B7893" s="1" t="s">
        <v>7916</v>
      </c>
      <c r="C7893" s="1" t="s">
        <v>24</v>
      </c>
      <c r="D7893" s="1" t="str">
        <f t="shared" si="13556"/>
        <v>2021</v>
      </c>
      <c r="E7893" s="1" t="str">
        <f t="shared" ref="E7893:P7893" si="13577">"0"</f>
        <v>0</v>
      </c>
      <c r="F7893" s="1" t="str">
        <f t="shared" si="13577"/>
        <v>0</v>
      </c>
      <c r="G7893" s="1" t="str">
        <f t="shared" si="13577"/>
        <v>0</v>
      </c>
      <c r="H7893" s="1" t="str">
        <f t="shared" si="13577"/>
        <v>0</v>
      </c>
      <c r="I7893" s="1" t="str">
        <f t="shared" si="13577"/>
        <v>0</v>
      </c>
      <c r="J7893" s="1" t="str">
        <f t="shared" si="13577"/>
        <v>0</v>
      </c>
      <c r="K7893" s="1" t="str">
        <f t="shared" si="13577"/>
        <v>0</v>
      </c>
      <c r="L7893" s="1" t="str">
        <f t="shared" si="13577"/>
        <v>0</v>
      </c>
      <c r="M7893" s="1" t="str">
        <f t="shared" si="13577"/>
        <v>0</v>
      </c>
      <c r="N7893" s="1" t="str">
        <f t="shared" si="13577"/>
        <v>0</v>
      </c>
      <c r="O7893" s="1" t="str">
        <f t="shared" si="13577"/>
        <v>0</v>
      </c>
      <c r="P7893" s="1" t="str">
        <f t="shared" si="13577"/>
        <v>0</v>
      </c>
      <c r="Q7893" s="1" t="str">
        <f t="shared" si="13558"/>
        <v>0.0070</v>
      </c>
      <c r="R7893" s="1" t="s">
        <v>25</v>
      </c>
      <c r="T7893" s="1" t="str">
        <f t="shared" si="13559"/>
        <v>0</v>
      </c>
      <c r="U7893" s="1" t="str">
        <f t="shared" si="13531"/>
        <v>0.0070</v>
      </c>
    </row>
    <row r="7894" s="1" customFormat="1" spans="1:21">
      <c r="A7894" s="1" t="str">
        <f>"4601992365479"</f>
        <v>4601992365479</v>
      </c>
      <c r="B7894" s="1" t="s">
        <v>7917</v>
      </c>
      <c r="C7894" s="1" t="s">
        <v>24</v>
      </c>
      <c r="D7894" s="1" t="str">
        <f t="shared" si="13556"/>
        <v>2021</v>
      </c>
      <c r="E7894" s="1" t="str">
        <f t="shared" ref="E7894:P7894" si="13578">"0"</f>
        <v>0</v>
      </c>
      <c r="F7894" s="1" t="str">
        <f t="shared" si="13578"/>
        <v>0</v>
      </c>
      <c r="G7894" s="1" t="str">
        <f t="shared" si="13578"/>
        <v>0</v>
      </c>
      <c r="H7894" s="1" t="str">
        <f t="shared" si="13578"/>
        <v>0</v>
      </c>
      <c r="I7894" s="1" t="str">
        <f t="shared" si="13578"/>
        <v>0</v>
      </c>
      <c r="J7894" s="1" t="str">
        <f t="shared" si="13578"/>
        <v>0</v>
      </c>
      <c r="K7894" s="1" t="str">
        <f t="shared" si="13578"/>
        <v>0</v>
      </c>
      <c r="L7894" s="1" t="str">
        <f t="shared" si="13578"/>
        <v>0</v>
      </c>
      <c r="M7894" s="1" t="str">
        <f t="shared" si="13578"/>
        <v>0</v>
      </c>
      <c r="N7894" s="1" t="str">
        <f t="shared" si="13578"/>
        <v>0</v>
      </c>
      <c r="O7894" s="1" t="str">
        <f t="shared" si="13578"/>
        <v>0</v>
      </c>
      <c r="P7894" s="1" t="str">
        <f t="shared" si="13578"/>
        <v>0</v>
      </c>
      <c r="Q7894" s="1" t="str">
        <f t="shared" si="13558"/>
        <v>0.0070</v>
      </c>
      <c r="R7894" s="1" t="s">
        <v>25</v>
      </c>
      <c r="T7894" s="1" t="str">
        <f t="shared" si="13559"/>
        <v>0</v>
      </c>
      <c r="U7894" s="1" t="str">
        <f t="shared" si="13531"/>
        <v>0.0070</v>
      </c>
    </row>
    <row r="7895" s="1" customFormat="1" spans="1:21">
      <c r="A7895" s="1" t="str">
        <f>"4601992365466"</f>
        <v>4601992365466</v>
      </c>
      <c r="B7895" s="1" t="s">
        <v>7918</v>
      </c>
      <c r="C7895" s="1" t="s">
        <v>24</v>
      </c>
      <c r="D7895" s="1" t="str">
        <f t="shared" si="13556"/>
        <v>2021</v>
      </c>
      <c r="E7895" s="1" t="str">
        <f t="shared" ref="E7895:P7895" si="13579">"0"</f>
        <v>0</v>
      </c>
      <c r="F7895" s="1" t="str">
        <f t="shared" si="13579"/>
        <v>0</v>
      </c>
      <c r="G7895" s="1" t="str">
        <f t="shared" si="13579"/>
        <v>0</v>
      </c>
      <c r="H7895" s="1" t="str">
        <f t="shared" si="13579"/>
        <v>0</v>
      </c>
      <c r="I7895" s="1" t="str">
        <f t="shared" si="13579"/>
        <v>0</v>
      </c>
      <c r="J7895" s="1" t="str">
        <f t="shared" si="13579"/>
        <v>0</v>
      </c>
      <c r="K7895" s="1" t="str">
        <f t="shared" si="13579"/>
        <v>0</v>
      </c>
      <c r="L7895" s="1" t="str">
        <f t="shared" si="13579"/>
        <v>0</v>
      </c>
      <c r="M7895" s="1" t="str">
        <f t="shared" si="13579"/>
        <v>0</v>
      </c>
      <c r="N7895" s="1" t="str">
        <f t="shared" si="13579"/>
        <v>0</v>
      </c>
      <c r="O7895" s="1" t="str">
        <f t="shared" si="13579"/>
        <v>0</v>
      </c>
      <c r="P7895" s="1" t="str">
        <f t="shared" si="13579"/>
        <v>0</v>
      </c>
      <c r="Q7895" s="1" t="str">
        <f t="shared" si="13558"/>
        <v>0.0070</v>
      </c>
      <c r="R7895" s="1" t="s">
        <v>25</v>
      </c>
      <c r="T7895" s="1" t="str">
        <f t="shared" si="13559"/>
        <v>0</v>
      </c>
      <c r="U7895" s="1" t="str">
        <f t="shared" si="13531"/>
        <v>0.0070</v>
      </c>
    </row>
    <row r="7896" s="1" customFormat="1" spans="1:21">
      <c r="A7896" s="1" t="str">
        <f>"4601992365485"</f>
        <v>4601992365485</v>
      </c>
      <c r="B7896" s="1" t="s">
        <v>7919</v>
      </c>
      <c r="C7896" s="1" t="s">
        <v>24</v>
      </c>
      <c r="D7896" s="1" t="str">
        <f t="shared" si="13556"/>
        <v>2021</v>
      </c>
      <c r="E7896" s="1" t="str">
        <f t="shared" ref="E7896:P7896" si="13580">"0"</f>
        <v>0</v>
      </c>
      <c r="F7896" s="1" t="str">
        <f t="shared" si="13580"/>
        <v>0</v>
      </c>
      <c r="G7896" s="1" t="str">
        <f t="shared" si="13580"/>
        <v>0</v>
      </c>
      <c r="H7896" s="1" t="str">
        <f t="shared" si="13580"/>
        <v>0</v>
      </c>
      <c r="I7896" s="1" t="str">
        <f t="shared" si="13580"/>
        <v>0</v>
      </c>
      <c r="J7896" s="1" t="str">
        <f t="shared" si="13580"/>
        <v>0</v>
      </c>
      <c r="K7896" s="1" t="str">
        <f t="shared" si="13580"/>
        <v>0</v>
      </c>
      <c r="L7896" s="1" t="str">
        <f t="shared" si="13580"/>
        <v>0</v>
      </c>
      <c r="M7896" s="1" t="str">
        <f t="shared" si="13580"/>
        <v>0</v>
      </c>
      <c r="N7896" s="1" t="str">
        <f t="shared" si="13580"/>
        <v>0</v>
      </c>
      <c r="O7896" s="1" t="str">
        <f t="shared" si="13580"/>
        <v>0</v>
      </c>
      <c r="P7896" s="1" t="str">
        <f t="shared" si="13580"/>
        <v>0</v>
      </c>
      <c r="Q7896" s="1" t="str">
        <f t="shared" si="13558"/>
        <v>0.0070</v>
      </c>
      <c r="R7896" s="1" t="s">
        <v>25</v>
      </c>
      <c r="T7896" s="1" t="str">
        <f t="shared" si="13559"/>
        <v>0</v>
      </c>
      <c r="U7896" s="1" t="str">
        <f t="shared" si="13531"/>
        <v>0.0070</v>
      </c>
    </row>
    <row r="7897" s="1" customFormat="1" spans="1:21">
      <c r="A7897" s="1" t="str">
        <f>"4601992365489"</f>
        <v>4601992365489</v>
      </c>
      <c r="B7897" s="1" t="s">
        <v>7920</v>
      </c>
      <c r="C7897" s="1" t="s">
        <v>24</v>
      </c>
      <c r="D7897" s="1" t="str">
        <f t="shared" si="13556"/>
        <v>2021</v>
      </c>
      <c r="E7897" s="1" t="str">
        <f t="shared" ref="E7897:P7897" si="13581">"0"</f>
        <v>0</v>
      </c>
      <c r="F7897" s="1" t="str">
        <f t="shared" si="13581"/>
        <v>0</v>
      </c>
      <c r="G7897" s="1" t="str">
        <f t="shared" si="13581"/>
        <v>0</v>
      </c>
      <c r="H7897" s="1" t="str">
        <f t="shared" si="13581"/>
        <v>0</v>
      </c>
      <c r="I7897" s="1" t="str">
        <f t="shared" si="13581"/>
        <v>0</v>
      </c>
      <c r="J7897" s="1" t="str">
        <f t="shared" si="13581"/>
        <v>0</v>
      </c>
      <c r="K7897" s="1" t="str">
        <f t="shared" si="13581"/>
        <v>0</v>
      </c>
      <c r="L7897" s="1" t="str">
        <f t="shared" si="13581"/>
        <v>0</v>
      </c>
      <c r="M7897" s="1" t="str">
        <f t="shared" si="13581"/>
        <v>0</v>
      </c>
      <c r="N7897" s="1" t="str">
        <f t="shared" si="13581"/>
        <v>0</v>
      </c>
      <c r="O7897" s="1" t="str">
        <f t="shared" si="13581"/>
        <v>0</v>
      </c>
      <c r="P7897" s="1" t="str">
        <f t="shared" si="13581"/>
        <v>0</v>
      </c>
      <c r="Q7897" s="1" t="str">
        <f t="shared" si="13558"/>
        <v>0.0070</v>
      </c>
      <c r="R7897" s="1" t="s">
        <v>25</v>
      </c>
      <c r="T7897" s="1" t="str">
        <f t="shared" si="13559"/>
        <v>0</v>
      </c>
      <c r="U7897" s="1" t="str">
        <f t="shared" si="13531"/>
        <v>0.0070</v>
      </c>
    </row>
    <row r="7898" s="1" customFormat="1" spans="1:21">
      <c r="A7898" s="1" t="str">
        <f>"4601992365496"</f>
        <v>4601992365496</v>
      </c>
      <c r="B7898" s="1" t="s">
        <v>7921</v>
      </c>
      <c r="C7898" s="1" t="s">
        <v>24</v>
      </c>
      <c r="D7898" s="1" t="str">
        <f t="shared" si="13556"/>
        <v>2021</v>
      </c>
      <c r="E7898" s="1" t="str">
        <f t="shared" ref="E7898:P7898" si="13582">"0"</f>
        <v>0</v>
      </c>
      <c r="F7898" s="1" t="str">
        <f t="shared" si="13582"/>
        <v>0</v>
      </c>
      <c r="G7898" s="1" t="str">
        <f t="shared" si="13582"/>
        <v>0</v>
      </c>
      <c r="H7898" s="1" t="str">
        <f t="shared" si="13582"/>
        <v>0</v>
      </c>
      <c r="I7898" s="1" t="str">
        <f t="shared" si="13582"/>
        <v>0</v>
      </c>
      <c r="J7898" s="1" t="str">
        <f t="shared" si="13582"/>
        <v>0</v>
      </c>
      <c r="K7898" s="1" t="str">
        <f t="shared" si="13582"/>
        <v>0</v>
      </c>
      <c r="L7898" s="1" t="str">
        <f t="shared" si="13582"/>
        <v>0</v>
      </c>
      <c r="M7898" s="1" t="str">
        <f t="shared" si="13582"/>
        <v>0</v>
      </c>
      <c r="N7898" s="1" t="str">
        <f t="shared" si="13582"/>
        <v>0</v>
      </c>
      <c r="O7898" s="1" t="str">
        <f t="shared" si="13582"/>
        <v>0</v>
      </c>
      <c r="P7898" s="1" t="str">
        <f t="shared" si="13582"/>
        <v>0</v>
      </c>
      <c r="Q7898" s="1" t="str">
        <f t="shared" si="13558"/>
        <v>0.0070</v>
      </c>
      <c r="R7898" s="1" t="s">
        <v>25</v>
      </c>
      <c r="T7898" s="1" t="str">
        <f t="shared" si="13559"/>
        <v>0</v>
      </c>
      <c r="U7898" s="1" t="str">
        <f t="shared" si="13531"/>
        <v>0.0070</v>
      </c>
    </row>
    <row r="7899" s="1" customFormat="1" spans="1:21">
      <c r="A7899" s="1" t="str">
        <f>"4601992065579"</f>
        <v>4601992065579</v>
      </c>
      <c r="B7899" s="1" t="s">
        <v>7922</v>
      </c>
      <c r="C7899" s="1" t="s">
        <v>24</v>
      </c>
      <c r="D7899" s="1" t="str">
        <f t="shared" si="13556"/>
        <v>2021</v>
      </c>
      <c r="E7899" s="1" t="str">
        <f>"148.17"</f>
        <v>148.17</v>
      </c>
      <c r="F7899" s="1" t="str">
        <f t="shared" ref="F7899:I7899" si="13583">"0"</f>
        <v>0</v>
      </c>
      <c r="G7899" s="1" t="str">
        <f t="shared" si="13583"/>
        <v>0</v>
      </c>
      <c r="H7899" s="1" t="str">
        <f t="shared" si="13583"/>
        <v>0</v>
      </c>
      <c r="I7899" s="1" t="str">
        <f t="shared" si="13583"/>
        <v>0</v>
      </c>
      <c r="J7899" s="1" t="str">
        <f>"12"</f>
        <v>12</v>
      </c>
      <c r="K7899" s="1" t="str">
        <f t="shared" ref="K7899:P7899" si="13584">"0"</f>
        <v>0</v>
      </c>
      <c r="L7899" s="1" t="str">
        <f t="shared" si="13584"/>
        <v>0</v>
      </c>
      <c r="M7899" s="1" t="str">
        <f t="shared" si="13584"/>
        <v>0</v>
      </c>
      <c r="N7899" s="1" t="str">
        <f t="shared" si="13584"/>
        <v>0</v>
      </c>
      <c r="O7899" s="1" t="str">
        <f t="shared" si="13584"/>
        <v>0</v>
      </c>
      <c r="P7899" s="1" t="str">
        <f t="shared" si="13584"/>
        <v>0</v>
      </c>
      <c r="Q7899" s="1" t="str">
        <f t="shared" si="13558"/>
        <v>0.0070</v>
      </c>
      <c r="R7899" s="1" t="s">
        <v>29</v>
      </c>
      <c r="S7899" s="1">
        <v>-0.0014</v>
      </c>
      <c r="T7899" s="1" t="str">
        <f t="shared" si="13559"/>
        <v>0</v>
      </c>
      <c r="U7899" s="1" t="str">
        <f>"0.0056"</f>
        <v>0.0056</v>
      </c>
    </row>
    <row r="7900" s="1" customFormat="1" spans="1:21">
      <c r="A7900" s="1" t="str">
        <f>"4601992365644"</f>
        <v>4601992365644</v>
      </c>
      <c r="B7900" s="1" t="s">
        <v>7923</v>
      </c>
      <c r="C7900" s="1" t="s">
        <v>24</v>
      </c>
      <c r="D7900" s="1" t="str">
        <f t="shared" si="13556"/>
        <v>2021</v>
      </c>
      <c r="E7900" s="1" t="str">
        <f t="shared" ref="E7900:P7900" si="13585">"0"</f>
        <v>0</v>
      </c>
      <c r="F7900" s="1" t="str">
        <f t="shared" si="13585"/>
        <v>0</v>
      </c>
      <c r="G7900" s="1" t="str">
        <f t="shared" si="13585"/>
        <v>0</v>
      </c>
      <c r="H7900" s="1" t="str">
        <f t="shared" si="13585"/>
        <v>0</v>
      </c>
      <c r="I7900" s="1" t="str">
        <f t="shared" si="13585"/>
        <v>0</v>
      </c>
      <c r="J7900" s="1" t="str">
        <f t="shared" si="13585"/>
        <v>0</v>
      </c>
      <c r="K7900" s="1" t="str">
        <f t="shared" si="13585"/>
        <v>0</v>
      </c>
      <c r="L7900" s="1" t="str">
        <f t="shared" si="13585"/>
        <v>0</v>
      </c>
      <c r="M7900" s="1" t="str">
        <f t="shared" si="13585"/>
        <v>0</v>
      </c>
      <c r="N7900" s="1" t="str">
        <f t="shared" si="13585"/>
        <v>0</v>
      </c>
      <c r="O7900" s="1" t="str">
        <f t="shared" si="13585"/>
        <v>0</v>
      </c>
      <c r="P7900" s="1" t="str">
        <f t="shared" si="13585"/>
        <v>0</v>
      </c>
      <c r="Q7900" s="1" t="str">
        <f t="shared" si="13558"/>
        <v>0.0070</v>
      </c>
      <c r="R7900" s="1" t="s">
        <v>25</v>
      </c>
      <c r="T7900" s="1" t="str">
        <f t="shared" si="13559"/>
        <v>0</v>
      </c>
      <c r="U7900" s="1" t="str">
        <f t="shared" ref="U7900:U7963" si="13586">"0.0070"</f>
        <v>0.0070</v>
      </c>
    </row>
    <row r="7901" s="1" customFormat="1" spans="1:21">
      <c r="A7901" s="1" t="str">
        <f>"4601992365669"</f>
        <v>4601992365669</v>
      </c>
      <c r="B7901" s="1" t="s">
        <v>7924</v>
      </c>
      <c r="C7901" s="1" t="s">
        <v>24</v>
      </c>
      <c r="D7901" s="1" t="str">
        <f t="shared" si="13556"/>
        <v>2021</v>
      </c>
      <c r="E7901" s="1" t="str">
        <f t="shared" ref="E7901:P7901" si="13587">"0"</f>
        <v>0</v>
      </c>
      <c r="F7901" s="1" t="str">
        <f t="shared" si="13587"/>
        <v>0</v>
      </c>
      <c r="G7901" s="1" t="str">
        <f t="shared" si="13587"/>
        <v>0</v>
      </c>
      <c r="H7901" s="1" t="str">
        <f t="shared" si="13587"/>
        <v>0</v>
      </c>
      <c r="I7901" s="1" t="str">
        <f t="shared" si="13587"/>
        <v>0</v>
      </c>
      <c r="J7901" s="1" t="str">
        <f t="shared" si="13587"/>
        <v>0</v>
      </c>
      <c r="K7901" s="1" t="str">
        <f t="shared" si="13587"/>
        <v>0</v>
      </c>
      <c r="L7901" s="1" t="str">
        <f t="shared" si="13587"/>
        <v>0</v>
      </c>
      <c r="M7901" s="1" t="str">
        <f t="shared" si="13587"/>
        <v>0</v>
      </c>
      <c r="N7901" s="1" t="str">
        <f t="shared" si="13587"/>
        <v>0</v>
      </c>
      <c r="O7901" s="1" t="str">
        <f t="shared" si="13587"/>
        <v>0</v>
      </c>
      <c r="P7901" s="1" t="str">
        <f t="shared" si="13587"/>
        <v>0</v>
      </c>
      <c r="Q7901" s="1" t="str">
        <f t="shared" si="13558"/>
        <v>0.0070</v>
      </c>
      <c r="R7901" s="1" t="s">
        <v>25</v>
      </c>
      <c r="T7901" s="1" t="str">
        <f t="shared" si="13559"/>
        <v>0</v>
      </c>
      <c r="U7901" s="1" t="str">
        <f t="shared" si="13586"/>
        <v>0.0070</v>
      </c>
    </row>
    <row r="7902" s="1" customFormat="1" spans="1:21">
      <c r="A7902" s="1" t="str">
        <f>"4601992365654"</f>
        <v>4601992365654</v>
      </c>
      <c r="B7902" s="1" t="s">
        <v>7925</v>
      </c>
      <c r="C7902" s="1" t="s">
        <v>24</v>
      </c>
      <c r="D7902" s="1" t="str">
        <f t="shared" si="13556"/>
        <v>2021</v>
      </c>
      <c r="E7902" s="1" t="str">
        <f t="shared" ref="E7902:P7902" si="13588">"0"</f>
        <v>0</v>
      </c>
      <c r="F7902" s="1" t="str">
        <f t="shared" si="13588"/>
        <v>0</v>
      </c>
      <c r="G7902" s="1" t="str">
        <f t="shared" si="13588"/>
        <v>0</v>
      </c>
      <c r="H7902" s="1" t="str">
        <f t="shared" si="13588"/>
        <v>0</v>
      </c>
      <c r="I7902" s="1" t="str">
        <f t="shared" si="13588"/>
        <v>0</v>
      </c>
      <c r="J7902" s="1" t="str">
        <f t="shared" si="13588"/>
        <v>0</v>
      </c>
      <c r="K7902" s="1" t="str">
        <f t="shared" si="13588"/>
        <v>0</v>
      </c>
      <c r="L7902" s="1" t="str">
        <f t="shared" si="13588"/>
        <v>0</v>
      </c>
      <c r="M7902" s="1" t="str">
        <f t="shared" si="13588"/>
        <v>0</v>
      </c>
      <c r="N7902" s="1" t="str">
        <f t="shared" si="13588"/>
        <v>0</v>
      </c>
      <c r="O7902" s="1" t="str">
        <f t="shared" si="13588"/>
        <v>0</v>
      </c>
      <c r="P7902" s="1" t="str">
        <f t="shared" si="13588"/>
        <v>0</v>
      </c>
      <c r="Q7902" s="1" t="str">
        <f t="shared" si="13558"/>
        <v>0.0070</v>
      </c>
      <c r="R7902" s="1" t="s">
        <v>25</v>
      </c>
      <c r="T7902" s="1" t="str">
        <f t="shared" si="13559"/>
        <v>0</v>
      </c>
      <c r="U7902" s="1" t="str">
        <f t="shared" si="13586"/>
        <v>0.0070</v>
      </c>
    </row>
    <row r="7903" s="1" customFormat="1" spans="1:21">
      <c r="A7903" s="1" t="str">
        <f>"4601992365673"</f>
        <v>4601992365673</v>
      </c>
      <c r="B7903" s="1" t="s">
        <v>7926</v>
      </c>
      <c r="C7903" s="1" t="s">
        <v>24</v>
      </c>
      <c r="D7903" s="1" t="str">
        <f t="shared" si="13556"/>
        <v>2021</v>
      </c>
      <c r="E7903" s="1" t="str">
        <f t="shared" ref="E7903:P7903" si="13589">"0"</f>
        <v>0</v>
      </c>
      <c r="F7903" s="1" t="str">
        <f t="shared" si="13589"/>
        <v>0</v>
      </c>
      <c r="G7903" s="1" t="str">
        <f t="shared" si="13589"/>
        <v>0</v>
      </c>
      <c r="H7903" s="1" t="str">
        <f t="shared" si="13589"/>
        <v>0</v>
      </c>
      <c r="I7903" s="1" t="str">
        <f t="shared" si="13589"/>
        <v>0</v>
      </c>
      <c r="J7903" s="1" t="str">
        <f t="shared" si="13589"/>
        <v>0</v>
      </c>
      <c r="K7903" s="1" t="str">
        <f t="shared" si="13589"/>
        <v>0</v>
      </c>
      <c r="L7903" s="1" t="str">
        <f t="shared" si="13589"/>
        <v>0</v>
      </c>
      <c r="M7903" s="1" t="str">
        <f t="shared" si="13589"/>
        <v>0</v>
      </c>
      <c r="N7903" s="1" t="str">
        <f t="shared" si="13589"/>
        <v>0</v>
      </c>
      <c r="O7903" s="1" t="str">
        <f t="shared" si="13589"/>
        <v>0</v>
      </c>
      <c r="P7903" s="1" t="str">
        <f t="shared" si="13589"/>
        <v>0</v>
      </c>
      <c r="Q7903" s="1" t="str">
        <f t="shared" si="13558"/>
        <v>0.0070</v>
      </c>
      <c r="R7903" s="1" t="s">
        <v>25</v>
      </c>
      <c r="T7903" s="1" t="str">
        <f t="shared" si="13559"/>
        <v>0</v>
      </c>
      <c r="U7903" s="1" t="str">
        <f t="shared" si="13586"/>
        <v>0.0070</v>
      </c>
    </row>
    <row r="7904" s="1" customFormat="1" spans="1:21">
      <c r="A7904" s="1" t="str">
        <f>"4601992365741"</f>
        <v>4601992365741</v>
      </c>
      <c r="B7904" s="1" t="s">
        <v>7927</v>
      </c>
      <c r="C7904" s="1" t="s">
        <v>24</v>
      </c>
      <c r="D7904" s="1" t="str">
        <f t="shared" si="13556"/>
        <v>2021</v>
      </c>
      <c r="E7904" s="1" t="str">
        <f t="shared" ref="E7904:P7904" si="13590">"0"</f>
        <v>0</v>
      </c>
      <c r="F7904" s="1" t="str">
        <f t="shared" si="13590"/>
        <v>0</v>
      </c>
      <c r="G7904" s="1" t="str">
        <f t="shared" si="13590"/>
        <v>0</v>
      </c>
      <c r="H7904" s="1" t="str">
        <f t="shared" si="13590"/>
        <v>0</v>
      </c>
      <c r="I7904" s="1" t="str">
        <f t="shared" si="13590"/>
        <v>0</v>
      </c>
      <c r="J7904" s="1" t="str">
        <f t="shared" si="13590"/>
        <v>0</v>
      </c>
      <c r="K7904" s="1" t="str">
        <f t="shared" si="13590"/>
        <v>0</v>
      </c>
      <c r="L7904" s="1" t="str">
        <f t="shared" si="13590"/>
        <v>0</v>
      </c>
      <c r="M7904" s="1" t="str">
        <f t="shared" si="13590"/>
        <v>0</v>
      </c>
      <c r="N7904" s="1" t="str">
        <f t="shared" si="13590"/>
        <v>0</v>
      </c>
      <c r="O7904" s="1" t="str">
        <f t="shared" si="13590"/>
        <v>0</v>
      </c>
      <c r="P7904" s="1" t="str">
        <f t="shared" si="13590"/>
        <v>0</v>
      </c>
      <c r="Q7904" s="1" t="str">
        <f t="shared" si="13558"/>
        <v>0.0070</v>
      </c>
      <c r="R7904" s="1" t="s">
        <v>25</v>
      </c>
      <c r="T7904" s="1" t="str">
        <f t="shared" si="13559"/>
        <v>0</v>
      </c>
      <c r="U7904" s="1" t="str">
        <f t="shared" si="13586"/>
        <v>0.0070</v>
      </c>
    </row>
    <row r="7905" s="1" customFormat="1" spans="1:21">
      <c r="A7905" s="1" t="str">
        <f>"4601992365744"</f>
        <v>4601992365744</v>
      </c>
      <c r="B7905" s="1" t="s">
        <v>7928</v>
      </c>
      <c r="C7905" s="1" t="s">
        <v>24</v>
      </c>
      <c r="D7905" s="1" t="str">
        <f t="shared" si="13556"/>
        <v>2021</v>
      </c>
      <c r="E7905" s="1" t="str">
        <f t="shared" ref="E7905:P7905" si="13591">"0"</f>
        <v>0</v>
      </c>
      <c r="F7905" s="1" t="str">
        <f t="shared" si="13591"/>
        <v>0</v>
      </c>
      <c r="G7905" s="1" t="str">
        <f t="shared" si="13591"/>
        <v>0</v>
      </c>
      <c r="H7905" s="1" t="str">
        <f t="shared" si="13591"/>
        <v>0</v>
      </c>
      <c r="I7905" s="1" t="str">
        <f t="shared" si="13591"/>
        <v>0</v>
      </c>
      <c r="J7905" s="1" t="str">
        <f t="shared" si="13591"/>
        <v>0</v>
      </c>
      <c r="K7905" s="1" t="str">
        <f t="shared" si="13591"/>
        <v>0</v>
      </c>
      <c r="L7905" s="1" t="str">
        <f t="shared" si="13591"/>
        <v>0</v>
      </c>
      <c r="M7905" s="1" t="str">
        <f t="shared" si="13591"/>
        <v>0</v>
      </c>
      <c r="N7905" s="1" t="str">
        <f t="shared" si="13591"/>
        <v>0</v>
      </c>
      <c r="O7905" s="1" t="str">
        <f t="shared" si="13591"/>
        <v>0</v>
      </c>
      <c r="P7905" s="1" t="str">
        <f t="shared" si="13591"/>
        <v>0</v>
      </c>
      <c r="Q7905" s="1" t="str">
        <f t="shared" si="13558"/>
        <v>0.0070</v>
      </c>
      <c r="R7905" s="1" t="s">
        <v>25</v>
      </c>
      <c r="T7905" s="1" t="str">
        <f t="shared" si="13559"/>
        <v>0</v>
      </c>
      <c r="U7905" s="1" t="str">
        <f t="shared" si="13586"/>
        <v>0.0070</v>
      </c>
    </row>
    <row r="7906" s="1" customFormat="1" spans="1:21">
      <c r="A7906" s="1" t="str">
        <f>"4601992365812"</f>
        <v>4601992365812</v>
      </c>
      <c r="B7906" s="1" t="s">
        <v>7929</v>
      </c>
      <c r="C7906" s="1" t="s">
        <v>24</v>
      </c>
      <c r="D7906" s="1" t="str">
        <f t="shared" si="13556"/>
        <v>2021</v>
      </c>
      <c r="E7906" s="1" t="str">
        <f t="shared" ref="E7906:P7906" si="13592">"0"</f>
        <v>0</v>
      </c>
      <c r="F7906" s="1" t="str">
        <f t="shared" si="13592"/>
        <v>0</v>
      </c>
      <c r="G7906" s="1" t="str">
        <f t="shared" si="13592"/>
        <v>0</v>
      </c>
      <c r="H7906" s="1" t="str">
        <f t="shared" si="13592"/>
        <v>0</v>
      </c>
      <c r="I7906" s="1" t="str">
        <f t="shared" si="13592"/>
        <v>0</v>
      </c>
      <c r="J7906" s="1" t="str">
        <f t="shared" si="13592"/>
        <v>0</v>
      </c>
      <c r="K7906" s="1" t="str">
        <f t="shared" si="13592"/>
        <v>0</v>
      </c>
      <c r="L7906" s="1" t="str">
        <f t="shared" si="13592"/>
        <v>0</v>
      </c>
      <c r="M7906" s="1" t="str">
        <f t="shared" si="13592"/>
        <v>0</v>
      </c>
      <c r="N7906" s="1" t="str">
        <f t="shared" si="13592"/>
        <v>0</v>
      </c>
      <c r="O7906" s="1" t="str">
        <f t="shared" si="13592"/>
        <v>0</v>
      </c>
      <c r="P7906" s="1" t="str">
        <f t="shared" si="13592"/>
        <v>0</v>
      </c>
      <c r="Q7906" s="1" t="str">
        <f t="shared" si="13558"/>
        <v>0.0070</v>
      </c>
      <c r="R7906" s="1" t="s">
        <v>25</v>
      </c>
      <c r="T7906" s="1" t="str">
        <f t="shared" si="13559"/>
        <v>0</v>
      </c>
      <c r="U7906" s="1" t="str">
        <f t="shared" si="13586"/>
        <v>0.0070</v>
      </c>
    </row>
    <row r="7907" s="1" customFormat="1" spans="1:21">
      <c r="A7907" s="1" t="str">
        <f>"4601992365860"</f>
        <v>4601992365860</v>
      </c>
      <c r="B7907" s="1" t="s">
        <v>7930</v>
      </c>
      <c r="C7907" s="1" t="s">
        <v>24</v>
      </c>
      <c r="D7907" s="1" t="str">
        <f t="shared" si="13556"/>
        <v>2021</v>
      </c>
      <c r="E7907" s="1" t="str">
        <f t="shared" ref="E7907:P7907" si="13593">"0"</f>
        <v>0</v>
      </c>
      <c r="F7907" s="1" t="str">
        <f t="shared" si="13593"/>
        <v>0</v>
      </c>
      <c r="G7907" s="1" t="str">
        <f t="shared" si="13593"/>
        <v>0</v>
      </c>
      <c r="H7907" s="1" t="str">
        <f t="shared" si="13593"/>
        <v>0</v>
      </c>
      <c r="I7907" s="1" t="str">
        <f t="shared" si="13593"/>
        <v>0</v>
      </c>
      <c r="J7907" s="1" t="str">
        <f t="shared" si="13593"/>
        <v>0</v>
      </c>
      <c r="K7907" s="1" t="str">
        <f t="shared" si="13593"/>
        <v>0</v>
      </c>
      <c r="L7907" s="1" t="str">
        <f t="shared" si="13593"/>
        <v>0</v>
      </c>
      <c r="M7907" s="1" t="str">
        <f t="shared" si="13593"/>
        <v>0</v>
      </c>
      <c r="N7907" s="1" t="str">
        <f t="shared" si="13593"/>
        <v>0</v>
      </c>
      <c r="O7907" s="1" t="str">
        <f t="shared" si="13593"/>
        <v>0</v>
      </c>
      <c r="P7907" s="1" t="str">
        <f t="shared" si="13593"/>
        <v>0</v>
      </c>
      <c r="Q7907" s="1" t="str">
        <f t="shared" si="13558"/>
        <v>0.0070</v>
      </c>
      <c r="R7907" s="1" t="s">
        <v>25</v>
      </c>
      <c r="T7907" s="1" t="str">
        <f t="shared" si="13559"/>
        <v>0</v>
      </c>
      <c r="U7907" s="1" t="str">
        <f t="shared" si="13586"/>
        <v>0.0070</v>
      </c>
    </row>
    <row r="7908" s="1" customFormat="1" spans="1:21">
      <c r="A7908" s="1" t="str">
        <f>"4601992365864"</f>
        <v>4601992365864</v>
      </c>
      <c r="B7908" s="1" t="s">
        <v>7931</v>
      </c>
      <c r="C7908" s="1" t="s">
        <v>24</v>
      </c>
      <c r="D7908" s="1" t="str">
        <f t="shared" si="13556"/>
        <v>2021</v>
      </c>
      <c r="E7908" s="1" t="str">
        <f t="shared" ref="E7908:P7908" si="13594">"0"</f>
        <v>0</v>
      </c>
      <c r="F7908" s="1" t="str">
        <f t="shared" si="13594"/>
        <v>0</v>
      </c>
      <c r="G7908" s="1" t="str">
        <f t="shared" si="13594"/>
        <v>0</v>
      </c>
      <c r="H7908" s="1" t="str">
        <f t="shared" si="13594"/>
        <v>0</v>
      </c>
      <c r="I7908" s="1" t="str">
        <f t="shared" si="13594"/>
        <v>0</v>
      </c>
      <c r="J7908" s="1" t="str">
        <f t="shared" si="13594"/>
        <v>0</v>
      </c>
      <c r="K7908" s="1" t="str">
        <f t="shared" si="13594"/>
        <v>0</v>
      </c>
      <c r="L7908" s="1" t="str">
        <f t="shared" si="13594"/>
        <v>0</v>
      </c>
      <c r="M7908" s="1" t="str">
        <f t="shared" si="13594"/>
        <v>0</v>
      </c>
      <c r="N7908" s="1" t="str">
        <f t="shared" si="13594"/>
        <v>0</v>
      </c>
      <c r="O7908" s="1" t="str">
        <f t="shared" si="13594"/>
        <v>0</v>
      </c>
      <c r="P7908" s="1" t="str">
        <f t="shared" si="13594"/>
        <v>0</v>
      </c>
      <c r="Q7908" s="1" t="str">
        <f t="shared" si="13558"/>
        <v>0.0070</v>
      </c>
      <c r="R7908" s="1" t="s">
        <v>25</v>
      </c>
      <c r="T7908" s="1" t="str">
        <f t="shared" si="13559"/>
        <v>0</v>
      </c>
      <c r="U7908" s="1" t="str">
        <f t="shared" si="13586"/>
        <v>0.0070</v>
      </c>
    </row>
    <row r="7909" s="1" customFormat="1" spans="1:21">
      <c r="A7909" s="1" t="str">
        <f>"4601992366151"</f>
        <v>4601992366151</v>
      </c>
      <c r="B7909" s="1" t="s">
        <v>7932</v>
      </c>
      <c r="C7909" s="1" t="s">
        <v>24</v>
      </c>
      <c r="D7909" s="1" t="str">
        <f t="shared" si="13556"/>
        <v>2021</v>
      </c>
      <c r="E7909" s="1" t="str">
        <f t="shared" ref="E7909:P7909" si="13595">"0"</f>
        <v>0</v>
      </c>
      <c r="F7909" s="1" t="str">
        <f t="shared" si="13595"/>
        <v>0</v>
      </c>
      <c r="G7909" s="1" t="str">
        <f t="shared" si="13595"/>
        <v>0</v>
      </c>
      <c r="H7909" s="1" t="str">
        <f t="shared" si="13595"/>
        <v>0</v>
      </c>
      <c r="I7909" s="1" t="str">
        <f t="shared" si="13595"/>
        <v>0</v>
      </c>
      <c r="J7909" s="1" t="str">
        <f t="shared" si="13595"/>
        <v>0</v>
      </c>
      <c r="K7909" s="1" t="str">
        <f t="shared" si="13595"/>
        <v>0</v>
      </c>
      <c r="L7909" s="1" t="str">
        <f t="shared" si="13595"/>
        <v>0</v>
      </c>
      <c r="M7909" s="1" t="str">
        <f t="shared" si="13595"/>
        <v>0</v>
      </c>
      <c r="N7909" s="1" t="str">
        <f t="shared" si="13595"/>
        <v>0</v>
      </c>
      <c r="O7909" s="1" t="str">
        <f t="shared" si="13595"/>
        <v>0</v>
      </c>
      <c r="P7909" s="1" t="str">
        <f t="shared" si="13595"/>
        <v>0</v>
      </c>
      <c r="Q7909" s="1" t="str">
        <f t="shared" si="13558"/>
        <v>0.0070</v>
      </c>
      <c r="R7909" s="1" t="s">
        <v>25</v>
      </c>
      <c r="T7909" s="1" t="str">
        <f t="shared" si="13559"/>
        <v>0</v>
      </c>
      <c r="U7909" s="1" t="str">
        <f t="shared" si="13586"/>
        <v>0.0070</v>
      </c>
    </row>
    <row r="7910" s="1" customFormat="1" spans="1:21">
      <c r="A7910" s="1" t="str">
        <f>"4601992365960"</f>
        <v>4601992365960</v>
      </c>
      <c r="B7910" s="1" t="s">
        <v>7933</v>
      </c>
      <c r="C7910" s="1" t="s">
        <v>24</v>
      </c>
      <c r="D7910" s="1" t="str">
        <f t="shared" si="13556"/>
        <v>2021</v>
      </c>
      <c r="E7910" s="1" t="str">
        <f t="shared" ref="E7910:P7910" si="13596">"0"</f>
        <v>0</v>
      </c>
      <c r="F7910" s="1" t="str">
        <f t="shared" si="13596"/>
        <v>0</v>
      </c>
      <c r="G7910" s="1" t="str">
        <f t="shared" si="13596"/>
        <v>0</v>
      </c>
      <c r="H7910" s="1" t="str">
        <f t="shared" si="13596"/>
        <v>0</v>
      </c>
      <c r="I7910" s="1" t="str">
        <f t="shared" si="13596"/>
        <v>0</v>
      </c>
      <c r="J7910" s="1" t="str">
        <f t="shared" si="13596"/>
        <v>0</v>
      </c>
      <c r="K7910" s="1" t="str">
        <f t="shared" si="13596"/>
        <v>0</v>
      </c>
      <c r="L7910" s="1" t="str">
        <f t="shared" si="13596"/>
        <v>0</v>
      </c>
      <c r="M7910" s="1" t="str">
        <f t="shared" si="13596"/>
        <v>0</v>
      </c>
      <c r="N7910" s="1" t="str">
        <f t="shared" si="13596"/>
        <v>0</v>
      </c>
      <c r="O7910" s="1" t="str">
        <f t="shared" si="13596"/>
        <v>0</v>
      </c>
      <c r="P7910" s="1" t="str">
        <f t="shared" si="13596"/>
        <v>0</v>
      </c>
      <c r="Q7910" s="1" t="str">
        <f t="shared" si="13558"/>
        <v>0.0070</v>
      </c>
      <c r="R7910" s="1" t="s">
        <v>25</v>
      </c>
      <c r="T7910" s="1" t="str">
        <f t="shared" si="13559"/>
        <v>0</v>
      </c>
      <c r="U7910" s="1" t="str">
        <f t="shared" si="13586"/>
        <v>0.0070</v>
      </c>
    </row>
    <row r="7911" s="1" customFormat="1" spans="1:21">
      <c r="A7911" s="1" t="str">
        <f>"4601992366174"</f>
        <v>4601992366174</v>
      </c>
      <c r="B7911" s="1" t="s">
        <v>7934</v>
      </c>
      <c r="C7911" s="1" t="s">
        <v>24</v>
      </c>
      <c r="D7911" s="1" t="str">
        <f t="shared" si="13556"/>
        <v>2021</v>
      </c>
      <c r="E7911" s="1" t="str">
        <f t="shared" ref="E7911:P7911" si="13597">"0"</f>
        <v>0</v>
      </c>
      <c r="F7911" s="1" t="str">
        <f t="shared" si="13597"/>
        <v>0</v>
      </c>
      <c r="G7911" s="1" t="str">
        <f t="shared" si="13597"/>
        <v>0</v>
      </c>
      <c r="H7911" s="1" t="str">
        <f t="shared" si="13597"/>
        <v>0</v>
      </c>
      <c r="I7911" s="1" t="str">
        <f t="shared" si="13597"/>
        <v>0</v>
      </c>
      <c r="J7911" s="1" t="str">
        <f t="shared" si="13597"/>
        <v>0</v>
      </c>
      <c r="K7911" s="1" t="str">
        <f t="shared" si="13597"/>
        <v>0</v>
      </c>
      <c r="L7911" s="1" t="str">
        <f t="shared" si="13597"/>
        <v>0</v>
      </c>
      <c r="M7911" s="1" t="str">
        <f t="shared" si="13597"/>
        <v>0</v>
      </c>
      <c r="N7911" s="1" t="str">
        <f t="shared" si="13597"/>
        <v>0</v>
      </c>
      <c r="O7911" s="1" t="str">
        <f t="shared" si="13597"/>
        <v>0</v>
      </c>
      <c r="P7911" s="1" t="str">
        <f t="shared" si="13597"/>
        <v>0</v>
      </c>
      <c r="Q7911" s="1" t="str">
        <f t="shared" si="13558"/>
        <v>0.0070</v>
      </c>
      <c r="R7911" s="1" t="s">
        <v>25</v>
      </c>
      <c r="T7911" s="1" t="str">
        <f t="shared" si="13559"/>
        <v>0</v>
      </c>
      <c r="U7911" s="1" t="str">
        <f t="shared" si="13586"/>
        <v>0.0070</v>
      </c>
    </row>
    <row r="7912" s="1" customFormat="1" spans="1:21">
      <c r="A7912" s="1" t="str">
        <f>"4601992366201"</f>
        <v>4601992366201</v>
      </c>
      <c r="B7912" s="1" t="s">
        <v>7935</v>
      </c>
      <c r="C7912" s="1" t="s">
        <v>24</v>
      </c>
      <c r="D7912" s="1" t="str">
        <f t="shared" si="13556"/>
        <v>2021</v>
      </c>
      <c r="E7912" s="1" t="str">
        <f t="shared" ref="E7912:P7912" si="13598">"0"</f>
        <v>0</v>
      </c>
      <c r="F7912" s="1" t="str">
        <f t="shared" si="13598"/>
        <v>0</v>
      </c>
      <c r="G7912" s="1" t="str">
        <f t="shared" si="13598"/>
        <v>0</v>
      </c>
      <c r="H7912" s="1" t="str">
        <f t="shared" si="13598"/>
        <v>0</v>
      </c>
      <c r="I7912" s="1" t="str">
        <f t="shared" si="13598"/>
        <v>0</v>
      </c>
      <c r="J7912" s="1" t="str">
        <f t="shared" si="13598"/>
        <v>0</v>
      </c>
      <c r="K7912" s="1" t="str">
        <f t="shared" si="13598"/>
        <v>0</v>
      </c>
      <c r="L7912" s="1" t="str">
        <f t="shared" si="13598"/>
        <v>0</v>
      </c>
      <c r="M7912" s="1" t="str">
        <f t="shared" si="13598"/>
        <v>0</v>
      </c>
      <c r="N7912" s="1" t="str">
        <f t="shared" si="13598"/>
        <v>0</v>
      </c>
      <c r="O7912" s="1" t="str">
        <f t="shared" si="13598"/>
        <v>0</v>
      </c>
      <c r="P7912" s="1" t="str">
        <f t="shared" si="13598"/>
        <v>0</v>
      </c>
      <c r="Q7912" s="1" t="str">
        <f t="shared" si="13558"/>
        <v>0.0070</v>
      </c>
      <c r="R7912" s="1" t="s">
        <v>25</v>
      </c>
      <c r="T7912" s="1" t="str">
        <f t="shared" si="13559"/>
        <v>0</v>
      </c>
      <c r="U7912" s="1" t="str">
        <f t="shared" si="13586"/>
        <v>0.0070</v>
      </c>
    </row>
    <row r="7913" s="1" customFormat="1" spans="1:21">
      <c r="A7913" s="1" t="str">
        <f>"4601992366220"</f>
        <v>4601992366220</v>
      </c>
      <c r="B7913" s="1" t="s">
        <v>7936</v>
      </c>
      <c r="C7913" s="1" t="s">
        <v>24</v>
      </c>
      <c r="D7913" s="1" t="str">
        <f t="shared" si="13556"/>
        <v>2021</v>
      </c>
      <c r="E7913" s="1" t="str">
        <f t="shared" ref="E7913:P7913" si="13599">"0"</f>
        <v>0</v>
      </c>
      <c r="F7913" s="1" t="str">
        <f t="shared" si="13599"/>
        <v>0</v>
      </c>
      <c r="G7913" s="1" t="str">
        <f t="shared" si="13599"/>
        <v>0</v>
      </c>
      <c r="H7913" s="1" t="str">
        <f t="shared" si="13599"/>
        <v>0</v>
      </c>
      <c r="I7913" s="1" t="str">
        <f t="shared" si="13599"/>
        <v>0</v>
      </c>
      <c r="J7913" s="1" t="str">
        <f t="shared" si="13599"/>
        <v>0</v>
      </c>
      <c r="K7913" s="1" t="str">
        <f t="shared" si="13599"/>
        <v>0</v>
      </c>
      <c r="L7913" s="1" t="str">
        <f t="shared" si="13599"/>
        <v>0</v>
      </c>
      <c r="M7913" s="1" t="str">
        <f t="shared" si="13599"/>
        <v>0</v>
      </c>
      <c r="N7913" s="1" t="str">
        <f t="shared" si="13599"/>
        <v>0</v>
      </c>
      <c r="O7913" s="1" t="str">
        <f t="shared" si="13599"/>
        <v>0</v>
      </c>
      <c r="P7913" s="1" t="str">
        <f t="shared" si="13599"/>
        <v>0</v>
      </c>
      <c r="Q7913" s="1" t="str">
        <f t="shared" si="13558"/>
        <v>0.0070</v>
      </c>
      <c r="R7913" s="1" t="s">
        <v>25</v>
      </c>
      <c r="T7913" s="1" t="str">
        <f t="shared" si="13559"/>
        <v>0</v>
      </c>
      <c r="U7913" s="1" t="str">
        <f t="shared" si="13586"/>
        <v>0.0070</v>
      </c>
    </row>
    <row r="7914" s="1" customFormat="1" spans="1:21">
      <c r="A7914" s="1" t="str">
        <f>"4601992366256"</f>
        <v>4601992366256</v>
      </c>
      <c r="B7914" s="1" t="s">
        <v>7937</v>
      </c>
      <c r="C7914" s="1" t="s">
        <v>24</v>
      </c>
      <c r="D7914" s="1" t="str">
        <f t="shared" si="13556"/>
        <v>2021</v>
      </c>
      <c r="E7914" s="1" t="str">
        <f t="shared" ref="E7914:P7914" si="13600">"0"</f>
        <v>0</v>
      </c>
      <c r="F7914" s="1" t="str">
        <f t="shared" si="13600"/>
        <v>0</v>
      </c>
      <c r="G7914" s="1" t="str">
        <f t="shared" si="13600"/>
        <v>0</v>
      </c>
      <c r="H7914" s="1" t="str">
        <f t="shared" si="13600"/>
        <v>0</v>
      </c>
      <c r="I7914" s="1" t="str">
        <f t="shared" si="13600"/>
        <v>0</v>
      </c>
      <c r="J7914" s="1" t="str">
        <f t="shared" si="13600"/>
        <v>0</v>
      </c>
      <c r="K7914" s="1" t="str">
        <f t="shared" si="13600"/>
        <v>0</v>
      </c>
      <c r="L7914" s="1" t="str">
        <f t="shared" si="13600"/>
        <v>0</v>
      </c>
      <c r="M7914" s="1" t="str">
        <f t="shared" si="13600"/>
        <v>0</v>
      </c>
      <c r="N7914" s="1" t="str">
        <f t="shared" si="13600"/>
        <v>0</v>
      </c>
      <c r="O7914" s="1" t="str">
        <f t="shared" si="13600"/>
        <v>0</v>
      </c>
      <c r="P7914" s="1" t="str">
        <f t="shared" si="13600"/>
        <v>0</v>
      </c>
      <c r="Q7914" s="1" t="str">
        <f t="shared" si="13558"/>
        <v>0.0070</v>
      </c>
      <c r="R7914" s="1" t="s">
        <v>25</v>
      </c>
      <c r="T7914" s="1" t="str">
        <f t="shared" si="13559"/>
        <v>0</v>
      </c>
      <c r="U7914" s="1" t="str">
        <f t="shared" si="13586"/>
        <v>0.0070</v>
      </c>
    </row>
    <row r="7915" s="1" customFormat="1" spans="1:21">
      <c r="A7915" s="1" t="str">
        <f>"4601992366305"</f>
        <v>4601992366305</v>
      </c>
      <c r="B7915" s="1" t="s">
        <v>7938</v>
      </c>
      <c r="C7915" s="1" t="s">
        <v>24</v>
      </c>
      <c r="D7915" s="1" t="str">
        <f t="shared" si="13556"/>
        <v>2021</v>
      </c>
      <c r="E7915" s="1" t="str">
        <f t="shared" ref="E7915:P7915" si="13601">"0"</f>
        <v>0</v>
      </c>
      <c r="F7915" s="1" t="str">
        <f t="shared" si="13601"/>
        <v>0</v>
      </c>
      <c r="G7915" s="1" t="str">
        <f t="shared" si="13601"/>
        <v>0</v>
      </c>
      <c r="H7915" s="1" t="str">
        <f t="shared" si="13601"/>
        <v>0</v>
      </c>
      <c r="I7915" s="1" t="str">
        <f t="shared" si="13601"/>
        <v>0</v>
      </c>
      <c r="J7915" s="1" t="str">
        <f t="shared" si="13601"/>
        <v>0</v>
      </c>
      <c r="K7915" s="1" t="str">
        <f t="shared" si="13601"/>
        <v>0</v>
      </c>
      <c r="L7915" s="1" t="str">
        <f t="shared" si="13601"/>
        <v>0</v>
      </c>
      <c r="M7915" s="1" t="str">
        <f t="shared" si="13601"/>
        <v>0</v>
      </c>
      <c r="N7915" s="1" t="str">
        <f t="shared" si="13601"/>
        <v>0</v>
      </c>
      <c r="O7915" s="1" t="str">
        <f t="shared" si="13601"/>
        <v>0</v>
      </c>
      <c r="P7915" s="1" t="str">
        <f t="shared" si="13601"/>
        <v>0</v>
      </c>
      <c r="Q7915" s="1" t="str">
        <f t="shared" si="13558"/>
        <v>0.0070</v>
      </c>
      <c r="R7915" s="1" t="s">
        <v>25</v>
      </c>
      <c r="T7915" s="1" t="str">
        <f t="shared" si="13559"/>
        <v>0</v>
      </c>
      <c r="U7915" s="1" t="str">
        <f t="shared" si="13586"/>
        <v>0.0070</v>
      </c>
    </row>
    <row r="7916" s="1" customFormat="1" spans="1:21">
      <c r="A7916" s="1" t="str">
        <f>"4601992366405"</f>
        <v>4601992366405</v>
      </c>
      <c r="B7916" s="1" t="s">
        <v>7939</v>
      </c>
      <c r="C7916" s="1" t="s">
        <v>24</v>
      </c>
      <c r="D7916" s="1" t="str">
        <f t="shared" si="13556"/>
        <v>2021</v>
      </c>
      <c r="E7916" s="1" t="str">
        <f t="shared" ref="E7916:P7916" si="13602">"0"</f>
        <v>0</v>
      </c>
      <c r="F7916" s="1" t="str">
        <f t="shared" si="13602"/>
        <v>0</v>
      </c>
      <c r="G7916" s="1" t="str">
        <f t="shared" si="13602"/>
        <v>0</v>
      </c>
      <c r="H7916" s="1" t="str">
        <f t="shared" si="13602"/>
        <v>0</v>
      </c>
      <c r="I7916" s="1" t="str">
        <f t="shared" si="13602"/>
        <v>0</v>
      </c>
      <c r="J7916" s="1" t="str">
        <f t="shared" si="13602"/>
        <v>0</v>
      </c>
      <c r="K7916" s="1" t="str">
        <f t="shared" si="13602"/>
        <v>0</v>
      </c>
      <c r="L7916" s="1" t="str">
        <f t="shared" si="13602"/>
        <v>0</v>
      </c>
      <c r="M7916" s="1" t="str">
        <f t="shared" si="13602"/>
        <v>0</v>
      </c>
      <c r="N7916" s="1" t="str">
        <f t="shared" si="13602"/>
        <v>0</v>
      </c>
      <c r="O7916" s="1" t="str">
        <f t="shared" si="13602"/>
        <v>0</v>
      </c>
      <c r="P7916" s="1" t="str">
        <f t="shared" si="13602"/>
        <v>0</v>
      </c>
      <c r="Q7916" s="1" t="str">
        <f t="shared" si="13558"/>
        <v>0.0070</v>
      </c>
      <c r="R7916" s="1" t="s">
        <v>25</v>
      </c>
      <c r="T7916" s="1" t="str">
        <f t="shared" si="13559"/>
        <v>0</v>
      </c>
      <c r="U7916" s="1" t="str">
        <f t="shared" si="13586"/>
        <v>0.0070</v>
      </c>
    </row>
    <row r="7917" s="1" customFormat="1" spans="1:21">
      <c r="A7917" s="1" t="str">
        <f>"4601992366503"</f>
        <v>4601992366503</v>
      </c>
      <c r="B7917" s="1" t="s">
        <v>7940</v>
      </c>
      <c r="C7917" s="1" t="s">
        <v>24</v>
      </c>
      <c r="D7917" s="1" t="str">
        <f t="shared" si="13556"/>
        <v>2021</v>
      </c>
      <c r="E7917" s="1" t="str">
        <f t="shared" ref="E7917:P7917" si="13603">"0"</f>
        <v>0</v>
      </c>
      <c r="F7917" s="1" t="str">
        <f t="shared" si="13603"/>
        <v>0</v>
      </c>
      <c r="G7917" s="1" t="str">
        <f t="shared" si="13603"/>
        <v>0</v>
      </c>
      <c r="H7917" s="1" t="str">
        <f t="shared" si="13603"/>
        <v>0</v>
      </c>
      <c r="I7917" s="1" t="str">
        <f t="shared" si="13603"/>
        <v>0</v>
      </c>
      <c r="J7917" s="1" t="str">
        <f t="shared" si="13603"/>
        <v>0</v>
      </c>
      <c r="K7917" s="1" t="str">
        <f t="shared" si="13603"/>
        <v>0</v>
      </c>
      <c r="L7917" s="1" t="str">
        <f t="shared" si="13603"/>
        <v>0</v>
      </c>
      <c r="M7917" s="1" t="str">
        <f t="shared" si="13603"/>
        <v>0</v>
      </c>
      <c r="N7917" s="1" t="str">
        <f t="shared" si="13603"/>
        <v>0</v>
      </c>
      <c r="O7917" s="1" t="str">
        <f t="shared" si="13603"/>
        <v>0</v>
      </c>
      <c r="P7917" s="1" t="str">
        <f t="shared" si="13603"/>
        <v>0</v>
      </c>
      <c r="Q7917" s="1" t="str">
        <f t="shared" si="13558"/>
        <v>0.0070</v>
      </c>
      <c r="R7917" s="1" t="s">
        <v>25</v>
      </c>
      <c r="T7917" s="1" t="str">
        <f t="shared" si="13559"/>
        <v>0</v>
      </c>
      <c r="U7917" s="1" t="str">
        <f t="shared" si="13586"/>
        <v>0.0070</v>
      </c>
    </row>
    <row r="7918" s="1" customFormat="1" spans="1:21">
      <c r="A7918" s="1" t="str">
        <f>"4601992366460"</f>
        <v>4601992366460</v>
      </c>
      <c r="B7918" s="1" t="s">
        <v>7941</v>
      </c>
      <c r="C7918" s="1" t="s">
        <v>24</v>
      </c>
      <c r="D7918" s="1" t="str">
        <f t="shared" si="13556"/>
        <v>2021</v>
      </c>
      <c r="E7918" s="1" t="str">
        <f t="shared" ref="E7918:P7918" si="13604">"0"</f>
        <v>0</v>
      </c>
      <c r="F7918" s="1" t="str">
        <f t="shared" si="13604"/>
        <v>0</v>
      </c>
      <c r="G7918" s="1" t="str">
        <f t="shared" si="13604"/>
        <v>0</v>
      </c>
      <c r="H7918" s="1" t="str">
        <f t="shared" si="13604"/>
        <v>0</v>
      </c>
      <c r="I7918" s="1" t="str">
        <f t="shared" si="13604"/>
        <v>0</v>
      </c>
      <c r="J7918" s="1" t="str">
        <f t="shared" si="13604"/>
        <v>0</v>
      </c>
      <c r="K7918" s="1" t="str">
        <f t="shared" si="13604"/>
        <v>0</v>
      </c>
      <c r="L7918" s="1" t="str">
        <f t="shared" si="13604"/>
        <v>0</v>
      </c>
      <c r="M7918" s="1" t="str">
        <f t="shared" si="13604"/>
        <v>0</v>
      </c>
      <c r="N7918" s="1" t="str">
        <f t="shared" si="13604"/>
        <v>0</v>
      </c>
      <c r="O7918" s="1" t="str">
        <f t="shared" si="13604"/>
        <v>0</v>
      </c>
      <c r="P7918" s="1" t="str">
        <f t="shared" si="13604"/>
        <v>0</v>
      </c>
      <c r="Q7918" s="1" t="str">
        <f t="shared" si="13558"/>
        <v>0.0070</v>
      </c>
      <c r="R7918" s="1" t="s">
        <v>25</v>
      </c>
      <c r="T7918" s="1" t="str">
        <f t="shared" si="13559"/>
        <v>0</v>
      </c>
      <c r="U7918" s="1" t="str">
        <f t="shared" si="13586"/>
        <v>0.0070</v>
      </c>
    </row>
    <row r="7919" s="1" customFormat="1" spans="1:21">
      <c r="A7919" s="1" t="str">
        <f>"4601992366509"</f>
        <v>4601992366509</v>
      </c>
      <c r="B7919" s="1" t="s">
        <v>7942</v>
      </c>
      <c r="C7919" s="1" t="s">
        <v>24</v>
      </c>
      <c r="D7919" s="1" t="str">
        <f t="shared" si="13556"/>
        <v>2021</v>
      </c>
      <c r="E7919" s="1" t="str">
        <f t="shared" ref="E7919:P7919" si="13605">"0"</f>
        <v>0</v>
      </c>
      <c r="F7919" s="1" t="str">
        <f t="shared" si="13605"/>
        <v>0</v>
      </c>
      <c r="G7919" s="1" t="str">
        <f t="shared" si="13605"/>
        <v>0</v>
      </c>
      <c r="H7919" s="1" t="str">
        <f t="shared" si="13605"/>
        <v>0</v>
      </c>
      <c r="I7919" s="1" t="str">
        <f t="shared" si="13605"/>
        <v>0</v>
      </c>
      <c r="J7919" s="1" t="str">
        <f t="shared" si="13605"/>
        <v>0</v>
      </c>
      <c r="K7919" s="1" t="str">
        <f t="shared" si="13605"/>
        <v>0</v>
      </c>
      <c r="L7919" s="1" t="str">
        <f t="shared" si="13605"/>
        <v>0</v>
      </c>
      <c r="M7919" s="1" t="str">
        <f t="shared" si="13605"/>
        <v>0</v>
      </c>
      <c r="N7919" s="1" t="str">
        <f t="shared" si="13605"/>
        <v>0</v>
      </c>
      <c r="O7919" s="1" t="str">
        <f t="shared" si="13605"/>
        <v>0</v>
      </c>
      <c r="P7919" s="1" t="str">
        <f t="shared" si="13605"/>
        <v>0</v>
      </c>
      <c r="Q7919" s="1" t="str">
        <f t="shared" si="13558"/>
        <v>0.0070</v>
      </c>
      <c r="R7919" s="1" t="s">
        <v>25</v>
      </c>
      <c r="T7919" s="1" t="str">
        <f t="shared" si="13559"/>
        <v>0</v>
      </c>
      <c r="U7919" s="1" t="str">
        <f t="shared" si="13586"/>
        <v>0.0070</v>
      </c>
    </row>
    <row r="7920" s="1" customFormat="1" spans="1:21">
      <c r="A7920" s="1" t="str">
        <f>"4601992366542"</f>
        <v>4601992366542</v>
      </c>
      <c r="B7920" s="1" t="s">
        <v>7943</v>
      </c>
      <c r="C7920" s="1" t="s">
        <v>24</v>
      </c>
      <c r="D7920" s="1" t="str">
        <f t="shared" si="13556"/>
        <v>2021</v>
      </c>
      <c r="E7920" s="1" t="str">
        <f t="shared" ref="E7920:P7920" si="13606">"0"</f>
        <v>0</v>
      </c>
      <c r="F7920" s="1" t="str">
        <f t="shared" si="13606"/>
        <v>0</v>
      </c>
      <c r="G7920" s="1" t="str">
        <f t="shared" si="13606"/>
        <v>0</v>
      </c>
      <c r="H7920" s="1" t="str">
        <f t="shared" si="13606"/>
        <v>0</v>
      </c>
      <c r="I7920" s="1" t="str">
        <f t="shared" si="13606"/>
        <v>0</v>
      </c>
      <c r="J7920" s="1" t="str">
        <f t="shared" si="13606"/>
        <v>0</v>
      </c>
      <c r="K7920" s="1" t="str">
        <f t="shared" si="13606"/>
        <v>0</v>
      </c>
      <c r="L7920" s="1" t="str">
        <f t="shared" si="13606"/>
        <v>0</v>
      </c>
      <c r="M7920" s="1" t="str">
        <f t="shared" si="13606"/>
        <v>0</v>
      </c>
      <c r="N7920" s="1" t="str">
        <f t="shared" si="13606"/>
        <v>0</v>
      </c>
      <c r="O7920" s="1" t="str">
        <f t="shared" si="13606"/>
        <v>0</v>
      </c>
      <c r="P7920" s="1" t="str">
        <f t="shared" si="13606"/>
        <v>0</v>
      </c>
      <c r="Q7920" s="1" t="str">
        <f t="shared" si="13558"/>
        <v>0.0070</v>
      </c>
      <c r="R7920" s="1" t="s">
        <v>25</v>
      </c>
      <c r="T7920" s="1" t="str">
        <f t="shared" si="13559"/>
        <v>0</v>
      </c>
      <c r="U7920" s="1" t="str">
        <f t="shared" si="13586"/>
        <v>0.0070</v>
      </c>
    </row>
    <row r="7921" s="1" customFormat="1" spans="1:21">
      <c r="A7921" s="1" t="str">
        <f>"4601992366566"</f>
        <v>4601992366566</v>
      </c>
      <c r="B7921" s="1" t="s">
        <v>7944</v>
      </c>
      <c r="C7921" s="1" t="s">
        <v>24</v>
      </c>
      <c r="D7921" s="1" t="str">
        <f t="shared" si="13556"/>
        <v>2021</v>
      </c>
      <c r="E7921" s="1" t="str">
        <f t="shared" ref="E7921:P7921" si="13607">"0"</f>
        <v>0</v>
      </c>
      <c r="F7921" s="1" t="str">
        <f t="shared" si="13607"/>
        <v>0</v>
      </c>
      <c r="G7921" s="1" t="str">
        <f t="shared" si="13607"/>
        <v>0</v>
      </c>
      <c r="H7921" s="1" t="str">
        <f t="shared" si="13607"/>
        <v>0</v>
      </c>
      <c r="I7921" s="1" t="str">
        <f t="shared" si="13607"/>
        <v>0</v>
      </c>
      <c r="J7921" s="1" t="str">
        <f t="shared" si="13607"/>
        <v>0</v>
      </c>
      <c r="K7921" s="1" t="str">
        <f t="shared" si="13607"/>
        <v>0</v>
      </c>
      <c r="L7921" s="1" t="str">
        <f t="shared" si="13607"/>
        <v>0</v>
      </c>
      <c r="M7921" s="1" t="str">
        <f t="shared" si="13607"/>
        <v>0</v>
      </c>
      <c r="N7921" s="1" t="str">
        <f t="shared" si="13607"/>
        <v>0</v>
      </c>
      <c r="O7921" s="1" t="str">
        <f t="shared" si="13607"/>
        <v>0</v>
      </c>
      <c r="P7921" s="1" t="str">
        <f t="shared" si="13607"/>
        <v>0</v>
      </c>
      <c r="Q7921" s="1" t="str">
        <f t="shared" si="13558"/>
        <v>0.0070</v>
      </c>
      <c r="R7921" s="1" t="s">
        <v>25</v>
      </c>
      <c r="T7921" s="1" t="str">
        <f t="shared" si="13559"/>
        <v>0</v>
      </c>
      <c r="U7921" s="1" t="str">
        <f t="shared" si="13586"/>
        <v>0.0070</v>
      </c>
    </row>
    <row r="7922" s="1" customFormat="1" spans="1:21">
      <c r="A7922" s="1" t="str">
        <f>"4601992366692"</f>
        <v>4601992366692</v>
      </c>
      <c r="B7922" s="1" t="s">
        <v>7945</v>
      </c>
      <c r="C7922" s="1" t="s">
        <v>24</v>
      </c>
      <c r="D7922" s="1" t="str">
        <f t="shared" si="13556"/>
        <v>2021</v>
      </c>
      <c r="E7922" s="1" t="str">
        <f t="shared" ref="E7922:P7922" si="13608">"0"</f>
        <v>0</v>
      </c>
      <c r="F7922" s="1" t="str">
        <f t="shared" si="13608"/>
        <v>0</v>
      </c>
      <c r="G7922" s="1" t="str">
        <f t="shared" si="13608"/>
        <v>0</v>
      </c>
      <c r="H7922" s="1" t="str">
        <f t="shared" si="13608"/>
        <v>0</v>
      </c>
      <c r="I7922" s="1" t="str">
        <f t="shared" si="13608"/>
        <v>0</v>
      </c>
      <c r="J7922" s="1" t="str">
        <f t="shared" si="13608"/>
        <v>0</v>
      </c>
      <c r="K7922" s="1" t="str">
        <f t="shared" si="13608"/>
        <v>0</v>
      </c>
      <c r="L7922" s="1" t="str">
        <f t="shared" si="13608"/>
        <v>0</v>
      </c>
      <c r="M7922" s="1" t="str">
        <f t="shared" si="13608"/>
        <v>0</v>
      </c>
      <c r="N7922" s="1" t="str">
        <f t="shared" si="13608"/>
        <v>0</v>
      </c>
      <c r="O7922" s="1" t="str">
        <f t="shared" si="13608"/>
        <v>0</v>
      </c>
      <c r="P7922" s="1" t="str">
        <f t="shared" si="13608"/>
        <v>0</v>
      </c>
      <c r="Q7922" s="1" t="str">
        <f t="shared" si="13558"/>
        <v>0.0070</v>
      </c>
      <c r="R7922" s="1" t="s">
        <v>25</v>
      </c>
      <c r="T7922" s="1" t="str">
        <f t="shared" si="13559"/>
        <v>0</v>
      </c>
      <c r="U7922" s="1" t="str">
        <f t="shared" si="13586"/>
        <v>0.0070</v>
      </c>
    </row>
    <row r="7923" s="1" customFormat="1" spans="1:21">
      <c r="A7923" s="1" t="str">
        <f>"4601992366589"</f>
        <v>4601992366589</v>
      </c>
      <c r="B7923" s="1" t="s">
        <v>7946</v>
      </c>
      <c r="C7923" s="1" t="s">
        <v>24</v>
      </c>
      <c r="D7923" s="1" t="str">
        <f t="shared" si="13556"/>
        <v>2021</v>
      </c>
      <c r="E7923" s="1" t="str">
        <f t="shared" ref="E7923:P7923" si="13609">"0"</f>
        <v>0</v>
      </c>
      <c r="F7923" s="1" t="str">
        <f t="shared" si="13609"/>
        <v>0</v>
      </c>
      <c r="G7923" s="1" t="str">
        <f t="shared" si="13609"/>
        <v>0</v>
      </c>
      <c r="H7923" s="1" t="str">
        <f t="shared" si="13609"/>
        <v>0</v>
      </c>
      <c r="I7923" s="1" t="str">
        <f t="shared" si="13609"/>
        <v>0</v>
      </c>
      <c r="J7923" s="1" t="str">
        <f t="shared" si="13609"/>
        <v>0</v>
      </c>
      <c r="K7923" s="1" t="str">
        <f t="shared" si="13609"/>
        <v>0</v>
      </c>
      <c r="L7923" s="1" t="str">
        <f t="shared" si="13609"/>
        <v>0</v>
      </c>
      <c r="M7923" s="1" t="str">
        <f t="shared" si="13609"/>
        <v>0</v>
      </c>
      <c r="N7923" s="1" t="str">
        <f t="shared" si="13609"/>
        <v>0</v>
      </c>
      <c r="O7923" s="1" t="str">
        <f t="shared" si="13609"/>
        <v>0</v>
      </c>
      <c r="P7923" s="1" t="str">
        <f t="shared" si="13609"/>
        <v>0</v>
      </c>
      <c r="Q7923" s="1" t="str">
        <f t="shared" si="13558"/>
        <v>0.0070</v>
      </c>
      <c r="R7923" s="1" t="s">
        <v>25</v>
      </c>
      <c r="T7923" s="1" t="str">
        <f t="shared" si="13559"/>
        <v>0</v>
      </c>
      <c r="U7923" s="1" t="str">
        <f t="shared" si="13586"/>
        <v>0.0070</v>
      </c>
    </row>
    <row r="7924" s="1" customFormat="1" spans="1:21">
      <c r="A7924" s="1" t="str">
        <f>"4601992366765"</f>
        <v>4601992366765</v>
      </c>
      <c r="B7924" s="1" t="s">
        <v>7947</v>
      </c>
      <c r="C7924" s="1" t="s">
        <v>24</v>
      </c>
      <c r="D7924" s="1" t="str">
        <f t="shared" si="13556"/>
        <v>2021</v>
      </c>
      <c r="E7924" s="1" t="str">
        <f t="shared" ref="E7924:P7924" si="13610">"0"</f>
        <v>0</v>
      </c>
      <c r="F7924" s="1" t="str">
        <f t="shared" si="13610"/>
        <v>0</v>
      </c>
      <c r="G7924" s="1" t="str">
        <f t="shared" si="13610"/>
        <v>0</v>
      </c>
      <c r="H7924" s="1" t="str">
        <f t="shared" si="13610"/>
        <v>0</v>
      </c>
      <c r="I7924" s="1" t="str">
        <f t="shared" si="13610"/>
        <v>0</v>
      </c>
      <c r="J7924" s="1" t="str">
        <f t="shared" si="13610"/>
        <v>0</v>
      </c>
      <c r="K7924" s="1" t="str">
        <f t="shared" si="13610"/>
        <v>0</v>
      </c>
      <c r="L7924" s="1" t="str">
        <f t="shared" si="13610"/>
        <v>0</v>
      </c>
      <c r="M7924" s="1" t="str">
        <f t="shared" si="13610"/>
        <v>0</v>
      </c>
      <c r="N7924" s="1" t="str">
        <f t="shared" si="13610"/>
        <v>0</v>
      </c>
      <c r="O7924" s="1" t="str">
        <f t="shared" si="13610"/>
        <v>0</v>
      </c>
      <c r="P7924" s="1" t="str">
        <f t="shared" si="13610"/>
        <v>0</v>
      </c>
      <c r="Q7924" s="1" t="str">
        <f t="shared" si="13558"/>
        <v>0.0070</v>
      </c>
      <c r="R7924" s="1" t="s">
        <v>25</v>
      </c>
      <c r="T7924" s="1" t="str">
        <f t="shared" si="13559"/>
        <v>0</v>
      </c>
      <c r="U7924" s="1" t="str">
        <f t="shared" si="13586"/>
        <v>0.0070</v>
      </c>
    </row>
    <row r="7925" s="1" customFormat="1" spans="1:21">
      <c r="A7925" s="1" t="str">
        <f>"4601992366778"</f>
        <v>4601992366778</v>
      </c>
      <c r="B7925" s="1" t="s">
        <v>7948</v>
      </c>
      <c r="C7925" s="1" t="s">
        <v>24</v>
      </c>
      <c r="D7925" s="1" t="str">
        <f t="shared" si="13556"/>
        <v>2021</v>
      </c>
      <c r="E7925" s="1" t="str">
        <f t="shared" ref="E7925:P7925" si="13611">"0"</f>
        <v>0</v>
      </c>
      <c r="F7925" s="1" t="str">
        <f t="shared" si="13611"/>
        <v>0</v>
      </c>
      <c r="G7925" s="1" t="str">
        <f t="shared" si="13611"/>
        <v>0</v>
      </c>
      <c r="H7925" s="1" t="str">
        <f t="shared" si="13611"/>
        <v>0</v>
      </c>
      <c r="I7925" s="1" t="str">
        <f t="shared" si="13611"/>
        <v>0</v>
      </c>
      <c r="J7925" s="1" t="str">
        <f t="shared" si="13611"/>
        <v>0</v>
      </c>
      <c r="K7925" s="1" t="str">
        <f t="shared" si="13611"/>
        <v>0</v>
      </c>
      <c r="L7925" s="1" t="str">
        <f t="shared" si="13611"/>
        <v>0</v>
      </c>
      <c r="M7925" s="1" t="str">
        <f t="shared" si="13611"/>
        <v>0</v>
      </c>
      <c r="N7925" s="1" t="str">
        <f t="shared" si="13611"/>
        <v>0</v>
      </c>
      <c r="O7925" s="1" t="str">
        <f t="shared" si="13611"/>
        <v>0</v>
      </c>
      <c r="P7925" s="1" t="str">
        <f t="shared" si="13611"/>
        <v>0</v>
      </c>
      <c r="Q7925" s="1" t="str">
        <f t="shared" si="13558"/>
        <v>0.0070</v>
      </c>
      <c r="R7925" s="1" t="s">
        <v>25</v>
      </c>
      <c r="T7925" s="1" t="str">
        <f t="shared" si="13559"/>
        <v>0</v>
      </c>
      <c r="U7925" s="1" t="str">
        <f t="shared" si="13586"/>
        <v>0.0070</v>
      </c>
    </row>
    <row r="7926" s="1" customFormat="1" spans="1:21">
      <c r="A7926" s="1" t="str">
        <f>"4601992366856"</f>
        <v>4601992366856</v>
      </c>
      <c r="B7926" s="1" t="s">
        <v>7949</v>
      </c>
      <c r="C7926" s="1" t="s">
        <v>24</v>
      </c>
      <c r="D7926" s="1" t="str">
        <f t="shared" si="13556"/>
        <v>2021</v>
      </c>
      <c r="E7926" s="1" t="str">
        <f t="shared" ref="E7926:P7926" si="13612">"0"</f>
        <v>0</v>
      </c>
      <c r="F7926" s="1" t="str">
        <f t="shared" si="13612"/>
        <v>0</v>
      </c>
      <c r="G7926" s="1" t="str">
        <f t="shared" si="13612"/>
        <v>0</v>
      </c>
      <c r="H7926" s="1" t="str">
        <f t="shared" si="13612"/>
        <v>0</v>
      </c>
      <c r="I7926" s="1" t="str">
        <f t="shared" si="13612"/>
        <v>0</v>
      </c>
      <c r="J7926" s="1" t="str">
        <f t="shared" si="13612"/>
        <v>0</v>
      </c>
      <c r="K7926" s="1" t="str">
        <f t="shared" si="13612"/>
        <v>0</v>
      </c>
      <c r="L7926" s="1" t="str">
        <f t="shared" si="13612"/>
        <v>0</v>
      </c>
      <c r="M7926" s="1" t="str">
        <f t="shared" si="13612"/>
        <v>0</v>
      </c>
      <c r="N7926" s="1" t="str">
        <f t="shared" si="13612"/>
        <v>0</v>
      </c>
      <c r="O7926" s="1" t="str">
        <f t="shared" si="13612"/>
        <v>0</v>
      </c>
      <c r="P7926" s="1" t="str">
        <f t="shared" si="13612"/>
        <v>0</v>
      </c>
      <c r="Q7926" s="1" t="str">
        <f t="shared" si="13558"/>
        <v>0.0070</v>
      </c>
      <c r="R7926" s="1" t="s">
        <v>25</v>
      </c>
      <c r="T7926" s="1" t="str">
        <f t="shared" si="13559"/>
        <v>0</v>
      </c>
      <c r="U7926" s="1" t="str">
        <f t="shared" si="13586"/>
        <v>0.0070</v>
      </c>
    </row>
    <row r="7927" s="1" customFormat="1" spans="1:21">
      <c r="A7927" s="1" t="str">
        <f>"4601992366951"</f>
        <v>4601992366951</v>
      </c>
      <c r="B7927" s="1" t="s">
        <v>7950</v>
      </c>
      <c r="C7927" s="1" t="s">
        <v>24</v>
      </c>
      <c r="D7927" s="1" t="str">
        <f t="shared" si="13556"/>
        <v>2021</v>
      </c>
      <c r="E7927" s="1" t="str">
        <f t="shared" ref="E7927:P7927" si="13613">"0"</f>
        <v>0</v>
      </c>
      <c r="F7927" s="1" t="str">
        <f t="shared" si="13613"/>
        <v>0</v>
      </c>
      <c r="G7927" s="1" t="str">
        <f t="shared" si="13613"/>
        <v>0</v>
      </c>
      <c r="H7927" s="1" t="str">
        <f t="shared" si="13613"/>
        <v>0</v>
      </c>
      <c r="I7927" s="1" t="str">
        <f t="shared" si="13613"/>
        <v>0</v>
      </c>
      <c r="J7927" s="1" t="str">
        <f t="shared" si="13613"/>
        <v>0</v>
      </c>
      <c r="K7927" s="1" t="str">
        <f t="shared" si="13613"/>
        <v>0</v>
      </c>
      <c r="L7927" s="1" t="str">
        <f t="shared" si="13613"/>
        <v>0</v>
      </c>
      <c r="M7927" s="1" t="str">
        <f t="shared" si="13613"/>
        <v>0</v>
      </c>
      <c r="N7927" s="1" t="str">
        <f t="shared" si="13613"/>
        <v>0</v>
      </c>
      <c r="O7927" s="1" t="str">
        <f t="shared" si="13613"/>
        <v>0</v>
      </c>
      <c r="P7927" s="1" t="str">
        <f t="shared" si="13613"/>
        <v>0</v>
      </c>
      <c r="Q7927" s="1" t="str">
        <f t="shared" si="13558"/>
        <v>0.0070</v>
      </c>
      <c r="R7927" s="1" t="s">
        <v>25</v>
      </c>
      <c r="T7927" s="1" t="str">
        <f t="shared" si="13559"/>
        <v>0</v>
      </c>
      <c r="U7927" s="1" t="str">
        <f t="shared" si="13586"/>
        <v>0.0070</v>
      </c>
    </row>
    <row r="7928" s="1" customFormat="1" spans="1:21">
      <c r="A7928" s="1" t="str">
        <f>"4601992366980"</f>
        <v>4601992366980</v>
      </c>
      <c r="B7928" s="1" t="s">
        <v>7951</v>
      </c>
      <c r="C7928" s="1" t="s">
        <v>24</v>
      </c>
      <c r="D7928" s="1" t="str">
        <f t="shared" si="13556"/>
        <v>2021</v>
      </c>
      <c r="E7928" s="1" t="str">
        <f t="shared" ref="E7928:P7928" si="13614">"0"</f>
        <v>0</v>
      </c>
      <c r="F7928" s="1" t="str">
        <f t="shared" si="13614"/>
        <v>0</v>
      </c>
      <c r="G7928" s="1" t="str">
        <f t="shared" si="13614"/>
        <v>0</v>
      </c>
      <c r="H7928" s="1" t="str">
        <f t="shared" si="13614"/>
        <v>0</v>
      </c>
      <c r="I7928" s="1" t="str">
        <f t="shared" si="13614"/>
        <v>0</v>
      </c>
      <c r="J7928" s="1" t="str">
        <f t="shared" si="13614"/>
        <v>0</v>
      </c>
      <c r="K7928" s="1" t="str">
        <f t="shared" si="13614"/>
        <v>0</v>
      </c>
      <c r="L7928" s="1" t="str">
        <f t="shared" si="13614"/>
        <v>0</v>
      </c>
      <c r="M7928" s="1" t="str">
        <f t="shared" si="13614"/>
        <v>0</v>
      </c>
      <c r="N7928" s="1" t="str">
        <f t="shared" si="13614"/>
        <v>0</v>
      </c>
      <c r="O7928" s="1" t="str">
        <f t="shared" si="13614"/>
        <v>0</v>
      </c>
      <c r="P7928" s="1" t="str">
        <f t="shared" si="13614"/>
        <v>0</v>
      </c>
      <c r="Q7928" s="1" t="str">
        <f t="shared" si="13558"/>
        <v>0.0070</v>
      </c>
      <c r="R7928" s="1" t="s">
        <v>25</v>
      </c>
      <c r="T7928" s="1" t="str">
        <f t="shared" si="13559"/>
        <v>0</v>
      </c>
      <c r="U7928" s="1" t="str">
        <f t="shared" si="13586"/>
        <v>0.0070</v>
      </c>
    </row>
    <row r="7929" s="1" customFormat="1" spans="1:21">
      <c r="A7929" s="1" t="str">
        <f>"4601992366987"</f>
        <v>4601992366987</v>
      </c>
      <c r="B7929" s="1" t="s">
        <v>7952</v>
      </c>
      <c r="C7929" s="1" t="s">
        <v>24</v>
      </c>
      <c r="D7929" s="1" t="str">
        <f t="shared" si="13556"/>
        <v>2021</v>
      </c>
      <c r="E7929" s="1" t="str">
        <f t="shared" ref="E7929:P7929" si="13615">"0"</f>
        <v>0</v>
      </c>
      <c r="F7929" s="1" t="str">
        <f t="shared" si="13615"/>
        <v>0</v>
      </c>
      <c r="G7929" s="1" t="str">
        <f t="shared" si="13615"/>
        <v>0</v>
      </c>
      <c r="H7929" s="1" t="str">
        <f t="shared" si="13615"/>
        <v>0</v>
      </c>
      <c r="I7929" s="1" t="str">
        <f t="shared" si="13615"/>
        <v>0</v>
      </c>
      <c r="J7929" s="1" t="str">
        <f t="shared" si="13615"/>
        <v>0</v>
      </c>
      <c r="K7929" s="1" t="str">
        <f t="shared" si="13615"/>
        <v>0</v>
      </c>
      <c r="L7929" s="1" t="str">
        <f t="shared" si="13615"/>
        <v>0</v>
      </c>
      <c r="M7929" s="1" t="str">
        <f t="shared" si="13615"/>
        <v>0</v>
      </c>
      <c r="N7929" s="1" t="str">
        <f t="shared" si="13615"/>
        <v>0</v>
      </c>
      <c r="O7929" s="1" t="str">
        <f t="shared" si="13615"/>
        <v>0</v>
      </c>
      <c r="P7929" s="1" t="str">
        <f t="shared" si="13615"/>
        <v>0</v>
      </c>
      <c r="Q7929" s="1" t="str">
        <f t="shared" si="13558"/>
        <v>0.0070</v>
      </c>
      <c r="R7929" s="1" t="s">
        <v>25</v>
      </c>
      <c r="T7929" s="1" t="str">
        <f t="shared" si="13559"/>
        <v>0</v>
      </c>
      <c r="U7929" s="1" t="str">
        <f t="shared" si="13586"/>
        <v>0.0070</v>
      </c>
    </row>
    <row r="7930" s="1" customFormat="1" spans="1:21">
      <c r="A7930" s="1" t="str">
        <f>"4601992367084"</f>
        <v>4601992367084</v>
      </c>
      <c r="B7930" s="1" t="s">
        <v>7953</v>
      </c>
      <c r="C7930" s="1" t="s">
        <v>24</v>
      </c>
      <c r="D7930" s="1" t="str">
        <f t="shared" si="13556"/>
        <v>2021</v>
      </c>
      <c r="E7930" s="1" t="str">
        <f t="shared" ref="E7930:P7930" si="13616">"0"</f>
        <v>0</v>
      </c>
      <c r="F7930" s="1" t="str">
        <f t="shared" si="13616"/>
        <v>0</v>
      </c>
      <c r="G7930" s="1" t="str">
        <f t="shared" si="13616"/>
        <v>0</v>
      </c>
      <c r="H7930" s="1" t="str">
        <f t="shared" si="13616"/>
        <v>0</v>
      </c>
      <c r="I7930" s="1" t="str">
        <f t="shared" si="13616"/>
        <v>0</v>
      </c>
      <c r="J7930" s="1" t="str">
        <f t="shared" si="13616"/>
        <v>0</v>
      </c>
      <c r="K7930" s="1" t="str">
        <f t="shared" si="13616"/>
        <v>0</v>
      </c>
      <c r="L7930" s="1" t="str">
        <f t="shared" si="13616"/>
        <v>0</v>
      </c>
      <c r="M7930" s="1" t="str">
        <f t="shared" si="13616"/>
        <v>0</v>
      </c>
      <c r="N7930" s="1" t="str">
        <f t="shared" si="13616"/>
        <v>0</v>
      </c>
      <c r="O7930" s="1" t="str">
        <f t="shared" si="13616"/>
        <v>0</v>
      </c>
      <c r="P7930" s="1" t="str">
        <f t="shared" si="13616"/>
        <v>0</v>
      </c>
      <c r="Q7930" s="1" t="str">
        <f t="shared" si="13558"/>
        <v>0.0070</v>
      </c>
      <c r="R7930" s="1" t="s">
        <v>25</v>
      </c>
      <c r="T7930" s="1" t="str">
        <f t="shared" si="13559"/>
        <v>0</v>
      </c>
      <c r="U7930" s="1" t="str">
        <f t="shared" si="13586"/>
        <v>0.0070</v>
      </c>
    </row>
    <row r="7931" s="1" customFormat="1" spans="1:21">
      <c r="A7931" s="1" t="str">
        <f>"4601992367267"</f>
        <v>4601992367267</v>
      </c>
      <c r="B7931" s="1" t="s">
        <v>7954</v>
      </c>
      <c r="C7931" s="1" t="s">
        <v>24</v>
      </c>
      <c r="D7931" s="1" t="str">
        <f t="shared" si="13556"/>
        <v>2021</v>
      </c>
      <c r="E7931" s="1" t="str">
        <f t="shared" ref="E7931:P7931" si="13617">"0"</f>
        <v>0</v>
      </c>
      <c r="F7931" s="1" t="str">
        <f t="shared" si="13617"/>
        <v>0</v>
      </c>
      <c r="G7931" s="1" t="str">
        <f t="shared" si="13617"/>
        <v>0</v>
      </c>
      <c r="H7931" s="1" t="str">
        <f t="shared" si="13617"/>
        <v>0</v>
      </c>
      <c r="I7931" s="1" t="str">
        <f t="shared" si="13617"/>
        <v>0</v>
      </c>
      <c r="J7931" s="1" t="str">
        <f t="shared" si="13617"/>
        <v>0</v>
      </c>
      <c r="K7931" s="1" t="str">
        <f t="shared" si="13617"/>
        <v>0</v>
      </c>
      <c r="L7931" s="1" t="str">
        <f t="shared" si="13617"/>
        <v>0</v>
      </c>
      <c r="M7931" s="1" t="str">
        <f t="shared" si="13617"/>
        <v>0</v>
      </c>
      <c r="N7931" s="1" t="str">
        <f t="shared" si="13617"/>
        <v>0</v>
      </c>
      <c r="O7931" s="1" t="str">
        <f t="shared" si="13617"/>
        <v>0</v>
      </c>
      <c r="P7931" s="1" t="str">
        <f t="shared" si="13617"/>
        <v>0</v>
      </c>
      <c r="Q7931" s="1" t="str">
        <f t="shared" si="13558"/>
        <v>0.0070</v>
      </c>
      <c r="R7931" s="1" t="s">
        <v>25</v>
      </c>
      <c r="T7931" s="1" t="str">
        <f t="shared" si="13559"/>
        <v>0</v>
      </c>
      <c r="U7931" s="1" t="str">
        <f t="shared" si="13586"/>
        <v>0.0070</v>
      </c>
    </row>
    <row r="7932" s="1" customFormat="1" spans="1:21">
      <c r="A7932" s="1" t="str">
        <f>"4601992367269"</f>
        <v>4601992367269</v>
      </c>
      <c r="B7932" s="1" t="s">
        <v>7955</v>
      </c>
      <c r="C7932" s="1" t="s">
        <v>24</v>
      </c>
      <c r="D7932" s="1" t="str">
        <f t="shared" si="13556"/>
        <v>2021</v>
      </c>
      <c r="E7932" s="1" t="str">
        <f t="shared" ref="E7932:P7932" si="13618">"0"</f>
        <v>0</v>
      </c>
      <c r="F7932" s="1" t="str">
        <f t="shared" si="13618"/>
        <v>0</v>
      </c>
      <c r="G7932" s="1" t="str">
        <f t="shared" si="13618"/>
        <v>0</v>
      </c>
      <c r="H7932" s="1" t="str">
        <f t="shared" si="13618"/>
        <v>0</v>
      </c>
      <c r="I7932" s="1" t="str">
        <f t="shared" si="13618"/>
        <v>0</v>
      </c>
      <c r="J7932" s="1" t="str">
        <f t="shared" si="13618"/>
        <v>0</v>
      </c>
      <c r="K7932" s="1" t="str">
        <f t="shared" si="13618"/>
        <v>0</v>
      </c>
      <c r="L7932" s="1" t="str">
        <f t="shared" si="13618"/>
        <v>0</v>
      </c>
      <c r="M7932" s="1" t="str">
        <f t="shared" si="13618"/>
        <v>0</v>
      </c>
      <c r="N7932" s="1" t="str">
        <f t="shared" si="13618"/>
        <v>0</v>
      </c>
      <c r="O7932" s="1" t="str">
        <f t="shared" si="13618"/>
        <v>0</v>
      </c>
      <c r="P7932" s="1" t="str">
        <f t="shared" si="13618"/>
        <v>0</v>
      </c>
      <c r="Q7932" s="1" t="str">
        <f t="shared" si="13558"/>
        <v>0.0070</v>
      </c>
      <c r="R7932" s="1" t="s">
        <v>25</v>
      </c>
      <c r="T7932" s="1" t="str">
        <f t="shared" si="13559"/>
        <v>0</v>
      </c>
      <c r="U7932" s="1" t="str">
        <f t="shared" si="13586"/>
        <v>0.0070</v>
      </c>
    </row>
    <row r="7933" s="1" customFormat="1" spans="1:21">
      <c r="A7933" s="1" t="str">
        <f>"4601992367305"</f>
        <v>4601992367305</v>
      </c>
      <c r="B7933" s="1" t="s">
        <v>7956</v>
      </c>
      <c r="C7933" s="1" t="s">
        <v>24</v>
      </c>
      <c r="D7933" s="1" t="str">
        <f t="shared" si="13556"/>
        <v>2021</v>
      </c>
      <c r="E7933" s="1" t="str">
        <f t="shared" ref="E7933:P7933" si="13619">"0"</f>
        <v>0</v>
      </c>
      <c r="F7933" s="1" t="str">
        <f t="shared" si="13619"/>
        <v>0</v>
      </c>
      <c r="G7933" s="1" t="str">
        <f t="shared" si="13619"/>
        <v>0</v>
      </c>
      <c r="H7933" s="1" t="str">
        <f t="shared" si="13619"/>
        <v>0</v>
      </c>
      <c r="I7933" s="1" t="str">
        <f t="shared" si="13619"/>
        <v>0</v>
      </c>
      <c r="J7933" s="1" t="str">
        <f t="shared" si="13619"/>
        <v>0</v>
      </c>
      <c r="K7933" s="1" t="str">
        <f t="shared" si="13619"/>
        <v>0</v>
      </c>
      <c r="L7933" s="1" t="str">
        <f t="shared" si="13619"/>
        <v>0</v>
      </c>
      <c r="M7933" s="1" t="str">
        <f t="shared" si="13619"/>
        <v>0</v>
      </c>
      <c r="N7933" s="1" t="str">
        <f t="shared" si="13619"/>
        <v>0</v>
      </c>
      <c r="O7933" s="1" t="str">
        <f t="shared" si="13619"/>
        <v>0</v>
      </c>
      <c r="P7933" s="1" t="str">
        <f t="shared" si="13619"/>
        <v>0</v>
      </c>
      <c r="Q7933" s="1" t="str">
        <f t="shared" si="13558"/>
        <v>0.0070</v>
      </c>
      <c r="R7933" s="1" t="s">
        <v>25</v>
      </c>
      <c r="T7933" s="1" t="str">
        <f t="shared" si="13559"/>
        <v>0</v>
      </c>
      <c r="U7933" s="1" t="str">
        <f t="shared" si="13586"/>
        <v>0.0070</v>
      </c>
    </row>
    <row r="7934" s="1" customFormat="1" spans="1:21">
      <c r="A7934" s="1" t="str">
        <f>"4601992367366"</f>
        <v>4601992367366</v>
      </c>
      <c r="B7934" s="1" t="s">
        <v>7957</v>
      </c>
      <c r="C7934" s="1" t="s">
        <v>24</v>
      </c>
      <c r="D7934" s="1" t="str">
        <f t="shared" si="13556"/>
        <v>2021</v>
      </c>
      <c r="E7934" s="1" t="str">
        <f t="shared" ref="E7934:P7934" si="13620">"0"</f>
        <v>0</v>
      </c>
      <c r="F7934" s="1" t="str">
        <f t="shared" si="13620"/>
        <v>0</v>
      </c>
      <c r="G7934" s="1" t="str">
        <f t="shared" si="13620"/>
        <v>0</v>
      </c>
      <c r="H7934" s="1" t="str">
        <f t="shared" si="13620"/>
        <v>0</v>
      </c>
      <c r="I7934" s="1" t="str">
        <f t="shared" si="13620"/>
        <v>0</v>
      </c>
      <c r="J7934" s="1" t="str">
        <f t="shared" si="13620"/>
        <v>0</v>
      </c>
      <c r="K7934" s="1" t="str">
        <f t="shared" si="13620"/>
        <v>0</v>
      </c>
      <c r="L7934" s="1" t="str">
        <f t="shared" si="13620"/>
        <v>0</v>
      </c>
      <c r="M7934" s="1" t="str">
        <f t="shared" si="13620"/>
        <v>0</v>
      </c>
      <c r="N7934" s="1" t="str">
        <f t="shared" si="13620"/>
        <v>0</v>
      </c>
      <c r="O7934" s="1" t="str">
        <f t="shared" si="13620"/>
        <v>0</v>
      </c>
      <c r="P7934" s="1" t="str">
        <f t="shared" si="13620"/>
        <v>0</v>
      </c>
      <c r="Q7934" s="1" t="str">
        <f t="shared" si="13558"/>
        <v>0.0070</v>
      </c>
      <c r="R7934" s="1" t="s">
        <v>25</v>
      </c>
      <c r="T7934" s="1" t="str">
        <f t="shared" si="13559"/>
        <v>0</v>
      </c>
      <c r="U7934" s="1" t="str">
        <f t="shared" si="13586"/>
        <v>0.0070</v>
      </c>
    </row>
    <row r="7935" s="1" customFormat="1" spans="1:21">
      <c r="A7935" s="1" t="str">
        <f>"4601992367428"</f>
        <v>4601992367428</v>
      </c>
      <c r="B7935" s="1" t="s">
        <v>7958</v>
      </c>
      <c r="C7935" s="1" t="s">
        <v>24</v>
      </c>
      <c r="D7935" s="1" t="str">
        <f t="shared" si="13556"/>
        <v>2021</v>
      </c>
      <c r="E7935" s="1" t="str">
        <f t="shared" ref="E7935:P7935" si="13621">"0"</f>
        <v>0</v>
      </c>
      <c r="F7935" s="1" t="str">
        <f t="shared" si="13621"/>
        <v>0</v>
      </c>
      <c r="G7935" s="1" t="str">
        <f t="shared" si="13621"/>
        <v>0</v>
      </c>
      <c r="H7935" s="1" t="str">
        <f t="shared" si="13621"/>
        <v>0</v>
      </c>
      <c r="I7935" s="1" t="str">
        <f t="shared" si="13621"/>
        <v>0</v>
      </c>
      <c r="J7935" s="1" t="str">
        <f t="shared" si="13621"/>
        <v>0</v>
      </c>
      <c r="K7935" s="1" t="str">
        <f t="shared" si="13621"/>
        <v>0</v>
      </c>
      <c r="L7935" s="1" t="str">
        <f t="shared" si="13621"/>
        <v>0</v>
      </c>
      <c r="M7935" s="1" t="str">
        <f t="shared" si="13621"/>
        <v>0</v>
      </c>
      <c r="N7935" s="1" t="str">
        <f t="shared" si="13621"/>
        <v>0</v>
      </c>
      <c r="O7935" s="1" t="str">
        <f t="shared" si="13621"/>
        <v>0</v>
      </c>
      <c r="P7935" s="1" t="str">
        <f t="shared" si="13621"/>
        <v>0</v>
      </c>
      <c r="Q7935" s="1" t="str">
        <f t="shared" si="13558"/>
        <v>0.0070</v>
      </c>
      <c r="R7935" s="1" t="s">
        <v>25</v>
      </c>
      <c r="T7935" s="1" t="str">
        <f t="shared" si="13559"/>
        <v>0</v>
      </c>
      <c r="U7935" s="1" t="str">
        <f t="shared" si="13586"/>
        <v>0.0070</v>
      </c>
    </row>
    <row r="7936" s="1" customFormat="1" spans="1:21">
      <c r="A7936" s="1" t="str">
        <f>"4601992367681"</f>
        <v>4601992367681</v>
      </c>
      <c r="B7936" s="1" t="s">
        <v>7959</v>
      </c>
      <c r="C7936" s="1" t="s">
        <v>24</v>
      </c>
      <c r="D7936" s="1" t="str">
        <f t="shared" si="13556"/>
        <v>2021</v>
      </c>
      <c r="E7936" s="1" t="str">
        <f t="shared" ref="E7936:P7936" si="13622">"0"</f>
        <v>0</v>
      </c>
      <c r="F7936" s="1" t="str">
        <f t="shared" si="13622"/>
        <v>0</v>
      </c>
      <c r="G7936" s="1" t="str">
        <f t="shared" si="13622"/>
        <v>0</v>
      </c>
      <c r="H7936" s="1" t="str">
        <f t="shared" si="13622"/>
        <v>0</v>
      </c>
      <c r="I7936" s="1" t="str">
        <f t="shared" si="13622"/>
        <v>0</v>
      </c>
      <c r="J7936" s="1" t="str">
        <f t="shared" si="13622"/>
        <v>0</v>
      </c>
      <c r="K7936" s="1" t="str">
        <f t="shared" si="13622"/>
        <v>0</v>
      </c>
      <c r="L7936" s="1" t="str">
        <f t="shared" si="13622"/>
        <v>0</v>
      </c>
      <c r="M7936" s="1" t="str">
        <f t="shared" si="13622"/>
        <v>0</v>
      </c>
      <c r="N7936" s="1" t="str">
        <f t="shared" si="13622"/>
        <v>0</v>
      </c>
      <c r="O7936" s="1" t="str">
        <f t="shared" si="13622"/>
        <v>0</v>
      </c>
      <c r="P7936" s="1" t="str">
        <f t="shared" si="13622"/>
        <v>0</v>
      </c>
      <c r="Q7936" s="1" t="str">
        <f t="shared" si="13558"/>
        <v>0.0070</v>
      </c>
      <c r="R7936" s="1" t="s">
        <v>25</v>
      </c>
      <c r="T7936" s="1" t="str">
        <f t="shared" si="13559"/>
        <v>0</v>
      </c>
      <c r="U7936" s="1" t="str">
        <f t="shared" si="13586"/>
        <v>0.0070</v>
      </c>
    </row>
    <row r="7937" s="1" customFormat="1" spans="1:21">
      <c r="A7937" s="1" t="str">
        <f>"4601992367895"</f>
        <v>4601992367895</v>
      </c>
      <c r="B7937" s="1" t="s">
        <v>7960</v>
      </c>
      <c r="C7937" s="1" t="s">
        <v>24</v>
      </c>
      <c r="D7937" s="1" t="str">
        <f t="shared" si="13556"/>
        <v>2021</v>
      </c>
      <c r="E7937" s="1" t="str">
        <f t="shared" ref="E7937:P7937" si="13623">"0"</f>
        <v>0</v>
      </c>
      <c r="F7937" s="1" t="str">
        <f t="shared" si="13623"/>
        <v>0</v>
      </c>
      <c r="G7937" s="1" t="str">
        <f t="shared" si="13623"/>
        <v>0</v>
      </c>
      <c r="H7937" s="1" t="str">
        <f t="shared" si="13623"/>
        <v>0</v>
      </c>
      <c r="I7937" s="1" t="str">
        <f t="shared" si="13623"/>
        <v>0</v>
      </c>
      <c r="J7937" s="1" t="str">
        <f t="shared" si="13623"/>
        <v>0</v>
      </c>
      <c r="K7937" s="1" t="str">
        <f t="shared" si="13623"/>
        <v>0</v>
      </c>
      <c r="L7937" s="1" t="str">
        <f t="shared" si="13623"/>
        <v>0</v>
      </c>
      <c r="M7937" s="1" t="str">
        <f t="shared" si="13623"/>
        <v>0</v>
      </c>
      <c r="N7937" s="1" t="str">
        <f t="shared" si="13623"/>
        <v>0</v>
      </c>
      <c r="O7937" s="1" t="str">
        <f t="shared" si="13623"/>
        <v>0</v>
      </c>
      <c r="P7937" s="1" t="str">
        <f t="shared" si="13623"/>
        <v>0</v>
      </c>
      <c r="Q7937" s="1" t="str">
        <f t="shared" si="13558"/>
        <v>0.0070</v>
      </c>
      <c r="R7937" s="1" t="s">
        <v>25</v>
      </c>
      <c r="T7937" s="1" t="str">
        <f t="shared" si="13559"/>
        <v>0</v>
      </c>
      <c r="U7937" s="1" t="str">
        <f t="shared" si="13586"/>
        <v>0.0070</v>
      </c>
    </row>
    <row r="7938" s="1" customFormat="1" spans="1:21">
      <c r="A7938" s="1" t="str">
        <f>"4601992367899"</f>
        <v>4601992367899</v>
      </c>
      <c r="B7938" s="1" t="s">
        <v>7961</v>
      </c>
      <c r="C7938" s="1" t="s">
        <v>24</v>
      </c>
      <c r="D7938" s="1" t="str">
        <f t="shared" si="13556"/>
        <v>2021</v>
      </c>
      <c r="E7938" s="1" t="str">
        <f t="shared" ref="E7938:P7938" si="13624">"0"</f>
        <v>0</v>
      </c>
      <c r="F7938" s="1" t="str">
        <f t="shared" si="13624"/>
        <v>0</v>
      </c>
      <c r="G7938" s="1" t="str">
        <f t="shared" si="13624"/>
        <v>0</v>
      </c>
      <c r="H7938" s="1" t="str">
        <f t="shared" si="13624"/>
        <v>0</v>
      </c>
      <c r="I7938" s="1" t="str">
        <f t="shared" si="13624"/>
        <v>0</v>
      </c>
      <c r="J7938" s="1" t="str">
        <f t="shared" si="13624"/>
        <v>0</v>
      </c>
      <c r="K7938" s="1" t="str">
        <f t="shared" si="13624"/>
        <v>0</v>
      </c>
      <c r="L7938" s="1" t="str">
        <f t="shared" si="13624"/>
        <v>0</v>
      </c>
      <c r="M7938" s="1" t="str">
        <f t="shared" si="13624"/>
        <v>0</v>
      </c>
      <c r="N7938" s="1" t="str">
        <f t="shared" si="13624"/>
        <v>0</v>
      </c>
      <c r="O7938" s="1" t="str">
        <f t="shared" si="13624"/>
        <v>0</v>
      </c>
      <c r="P7938" s="1" t="str">
        <f t="shared" si="13624"/>
        <v>0</v>
      </c>
      <c r="Q7938" s="1" t="str">
        <f t="shared" si="13558"/>
        <v>0.0070</v>
      </c>
      <c r="R7938" s="1" t="s">
        <v>25</v>
      </c>
      <c r="T7938" s="1" t="str">
        <f t="shared" si="13559"/>
        <v>0</v>
      </c>
      <c r="U7938" s="1" t="str">
        <f t="shared" si="13586"/>
        <v>0.0070</v>
      </c>
    </row>
    <row r="7939" s="1" customFormat="1" spans="1:21">
      <c r="A7939" s="1" t="str">
        <f>"4601992367920"</f>
        <v>4601992367920</v>
      </c>
      <c r="B7939" s="1" t="s">
        <v>7962</v>
      </c>
      <c r="C7939" s="1" t="s">
        <v>24</v>
      </c>
      <c r="D7939" s="1" t="str">
        <f t="shared" ref="D7939:D8002" si="13625">"2021"</f>
        <v>2021</v>
      </c>
      <c r="E7939" s="1" t="str">
        <f t="shared" ref="E7939:P7939" si="13626">"0"</f>
        <v>0</v>
      </c>
      <c r="F7939" s="1" t="str">
        <f t="shared" si="13626"/>
        <v>0</v>
      </c>
      <c r="G7939" s="1" t="str">
        <f t="shared" si="13626"/>
        <v>0</v>
      </c>
      <c r="H7939" s="1" t="str">
        <f t="shared" si="13626"/>
        <v>0</v>
      </c>
      <c r="I7939" s="1" t="str">
        <f t="shared" si="13626"/>
        <v>0</v>
      </c>
      <c r="J7939" s="1" t="str">
        <f t="shared" si="13626"/>
        <v>0</v>
      </c>
      <c r="K7939" s="1" t="str">
        <f t="shared" si="13626"/>
        <v>0</v>
      </c>
      <c r="L7939" s="1" t="str">
        <f t="shared" si="13626"/>
        <v>0</v>
      </c>
      <c r="M7939" s="1" t="str">
        <f t="shared" si="13626"/>
        <v>0</v>
      </c>
      <c r="N7939" s="1" t="str">
        <f t="shared" si="13626"/>
        <v>0</v>
      </c>
      <c r="O7939" s="1" t="str">
        <f t="shared" si="13626"/>
        <v>0</v>
      </c>
      <c r="P7939" s="1" t="str">
        <f t="shared" si="13626"/>
        <v>0</v>
      </c>
      <c r="Q7939" s="1" t="str">
        <f t="shared" ref="Q7939:Q8002" si="13627">"0.0070"</f>
        <v>0.0070</v>
      </c>
      <c r="R7939" s="1" t="s">
        <v>25</v>
      </c>
      <c r="T7939" s="1" t="str">
        <f t="shared" ref="T7939:T8002" si="13628">"0"</f>
        <v>0</v>
      </c>
      <c r="U7939" s="1" t="str">
        <f t="shared" si="13586"/>
        <v>0.0070</v>
      </c>
    </row>
    <row r="7940" s="1" customFormat="1" spans="1:21">
      <c r="A7940" s="1" t="str">
        <f>"4601992368137"</f>
        <v>4601992368137</v>
      </c>
      <c r="B7940" s="1" t="s">
        <v>7963</v>
      </c>
      <c r="C7940" s="1" t="s">
        <v>24</v>
      </c>
      <c r="D7940" s="1" t="str">
        <f t="shared" si="13625"/>
        <v>2021</v>
      </c>
      <c r="E7940" s="1" t="str">
        <f t="shared" ref="E7940:P7940" si="13629">"0"</f>
        <v>0</v>
      </c>
      <c r="F7940" s="1" t="str">
        <f t="shared" si="13629"/>
        <v>0</v>
      </c>
      <c r="G7940" s="1" t="str">
        <f t="shared" si="13629"/>
        <v>0</v>
      </c>
      <c r="H7940" s="1" t="str">
        <f t="shared" si="13629"/>
        <v>0</v>
      </c>
      <c r="I7940" s="1" t="str">
        <f t="shared" si="13629"/>
        <v>0</v>
      </c>
      <c r="J7940" s="1" t="str">
        <f t="shared" si="13629"/>
        <v>0</v>
      </c>
      <c r="K7940" s="1" t="str">
        <f t="shared" si="13629"/>
        <v>0</v>
      </c>
      <c r="L7940" s="1" t="str">
        <f t="shared" si="13629"/>
        <v>0</v>
      </c>
      <c r="M7940" s="1" t="str">
        <f t="shared" si="13629"/>
        <v>0</v>
      </c>
      <c r="N7940" s="1" t="str">
        <f t="shared" si="13629"/>
        <v>0</v>
      </c>
      <c r="O7940" s="1" t="str">
        <f t="shared" si="13629"/>
        <v>0</v>
      </c>
      <c r="P7940" s="1" t="str">
        <f t="shared" si="13629"/>
        <v>0</v>
      </c>
      <c r="Q7940" s="1" t="str">
        <f t="shared" si="13627"/>
        <v>0.0070</v>
      </c>
      <c r="R7940" s="1" t="s">
        <v>25</v>
      </c>
      <c r="T7940" s="1" t="str">
        <f t="shared" si="13628"/>
        <v>0</v>
      </c>
      <c r="U7940" s="1" t="str">
        <f t="shared" si="13586"/>
        <v>0.0070</v>
      </c>
    </row>
    <row r="7941" s="1" customFormat="1" spans="1:21">
      <c r="A7941" s="1" t="str">
        <f>"4601992368140"</f>
        <v>4601992368140</v>
      </c>
      <c r="B7941" s="1" t="s">
        <v>7964</v>
      </c>
      <c r="C7941" s="1" t="s">
        <v>24</v>
      </c>
      <c r="D7941" s="1" t="str">
        <f t="shared" si="13625"/>
        <v>2021</v>
      </c>
      <c r="E7941" s="1" t="str">
        <f t="shared" ref="E7941:P7941" si="13630">"0"</f>
        <v>0</v>
      </c>
      <c r="F7941" s="1" t="str">
        <f t="shared" si="13630"/>
        <v>0</v>
      </c>
      <c r="G7941" s="1" t="str">
        <f t="shared" si="13630"/>
        <v>0</v>
      </c>
      <c r="H7941" s="1" t="str">
        <f t="shared" si="13630"/>
        <v>0</v>
      </c>
      <c r="I7941" s="1" t="str">
        <f t="shared" si="13630"/>
        <v>0</v>
      </c>
      <c r="J7941" s="1" t="str">
        <f t="shared" si="13630"/>
        <v>0</v>
      </c>
      <c r="K7941" s="1" t="str">
        <f t="shared" si="13630"/>
        <v>0</v>
      </c>
      <c r="L7941" s="1" t="str">
        <f t="shared" si="13630"/>
        <v>0</v>
      </c>
      <c r="M7941" s="1" t="str">
        <f t="shared" si="13630"/>
        <v>0</v>
      </c>
      <c r="N7941" s="1" t="str">
        <f t="shared" si="13630"/>
        <v>0</v>
      </c>
      <c r="O7941" s="1" t="str">
        <f t="shared" si="13630"/>
        <v>0</v>
      </c>
      <c r="P7941" s="1" t="str">
        <f t="shared" si="13630"/>
        <v>0</v>
      </c>
      <c r="Q7941" s="1" t="str">
        <f t="shared" si="13627"/>
        <v>0.0070</v>
      </c>
      <c r="R7941" s="1" t="s">
        <v>25</v>
      </c>
      <c r="T7941" s="1" t="str">
        <f t="shared" si="13628"/>
        <v>0</v>
      </c>
      <c r="U7941" s="1" t="str">
        <f t="shared" si="13586"/>
        <v>0.0070</v>
      </c>
    </row>
    <row r="7942" s="1" customFormat="1" spans="1:21">
      <c r="A7942" s="1" t="str">
        <f>"4601992368209"</f>
        <v>4601992368209</v>
      </c>
      <c r="B7942" s="1" t="s">
        <v>7965</v>
      </c>
      <c r="C7942" s="1" t="s">
        <v>24</v>
      </c>
      <c r="D7942" s="1" t="str">
        <f t="shared" si="13625"/>
        <v>2021</v>
      </c>
      <c r="E7942" s="1" t="str">
        <f t="shared" ref="E7942:P7942" si="13631">"0"</f>
        <v>0</v>
      </c>
      <c r="F7942" s="1" t="str">
        <f t="shared" si="13631"/>
        <v>0</v>
      </c>
      <c r="G7942" s="1" t="str">
        <f t="shared" si="13631"/>
        <v>0</v>
      </c>
      <c r="H7942" s="1" t="str">
        <f t="shared" si="13631"/>
        <v>0</v>
      </c>
      <c r="I7942" s="1" t="str">
        <f t="shared" si="13631"/>
        <v>0</v>
      </c>
      <c r="J7942" s="1" t="str">
        <f t="shared" si="13631"/>
        <v>0</v>
      </c>
      <c r="K7942" s="1" t="str">
        <f t="shared" si="13631"/>
        <v>0</v>
      </c>
      <c r="L7942" s="1" t="str">
        <f t="shared" si="13631"/>
        <v>0</v>
      </c>
      <c r="M7942" s="1" t="str">
        <f t="shared" si="13631"/>
        <v>0</v>
      </c>
      <c r="N7942" s="1" t="str">
        <f t="shared" si="13631"/>
        <v>0</v>
      </c>
      <c r="O7942" s="1" t="str">
        <f t="shared" si="13631"/>
        <v>0</v>
      </c>
      <c r="P7942" s="1" t="str">
        <f t="shared" si="13631"/>
        <v>0</v>
      </c>
      <c r="Q7942" s="1" t="str">
        <f t="shared" si="13627"/>
        <v>0.0070</v>
      </c>
      <c r="R7942" s="1" t="s">
        <v>25</v>
      </c>
      <c r="T7942" s="1" t="str">
        <f t="shared" si="13628"/>
        <v>0</v>
      </c>
      <c r="U7942" s="1" t="str">
        <f t="shared" si="13586"/>
        <v>0.0070</v>
      </c>
    </row>
    <row r="7943" s="1" customFormat="1" spans="1:21">
      <c r="A7943" s="1" t="str">
        <f>"4601992368425"</f>
        <v>4601992368425</v>
      </c>
      <c r="B7943" s="1" t="s">
        <v>7966</v>
      </c>
      <c r="C7943" s="1" t="s">
        <v>24</v>
      </c>
      <c r="D7943" s="1" t="str">
        <f t="shared" si="13625"/>
        <v>2021</v>
      </c>
      <c r="E7943" s="1" t="str">
        <f t="shared" ref="E7943:P7943" si="13632">"0"</f>
        <v>0</v>
      </c>
      <c r="F7943" s="1" t="str">
        <f t="shared" si="13632"/>
        <v>0</v>
      </c>
      <c r="G7943" s="1" t="str">
        <f t="shared" si="13632"/>
        <v>0</v>
      </c>
      <c r="H7943" s="1" t="str">
        <f t="shared" si="13632"/>
        <v>0</v>
      </c>
      <c r="I7943" s="1" t="str">
        <f t="shared" si="13632"/>
        <v>0</v>
      </c>
      <c r="J7943" s="1" t="str">
        <f t="shared" si="13632"/>
        <v>0</v>
      </c>
      <c r="K7943" s="1" t="str">
        <f t="shared" si="13632"/>
        <v>0</v>
      </c>
      <c r="L7943" s="1" t="str">
        <f t="shared" si="13632"/>
        <v>0</v>
      </c>
      <c r="M7943" s="1" t="str">
        <f t="shared" si="13632"/>
        <v>0</v>
      </c>
      <c r="N7943" s="1" t="str">
        <f t="shared" si="13632"/>
        <v>0</v>
      </c>
      <c r="O7943" s="1" t="str">
        <f t="shared" si="13632"/>
        <v>0</v>
      </c>
      <c r="P7943" s="1" t="str">
        <f t="shared" si="13632"/>
        <v>0</v>
      </c>
      <c r="Q7943" s="1" t="str">
        <f t="shared" si="13627"/>
        <v>0.0070</v>
      </c>
      <c r="R7943" s="1" t="s">
        <v>25</v>
      </c>
      <c r="T7943" s="1" t="str">
        <f t="shared" si="13628"/>
        <v>0</v>
      </c>
      <c r="U7943" s="1" t="str">
        <f t="shared" si="13586"/>
        <v>0.0070</v>
      </c>
    </row>
    <row r="7944" s="1" customFormat="1" spans="1:21">
      <c r="A7944" s="1" t="str">
        <f>"4601992368281"</f>
        <v>4601992368281</v>
      </c>
      <c r="B7944" s="1" t="s">
        <v>7967</v>
      </c>
      <c r="C7944" s="1" t="s">
        <v>24</v>
      </c>
      <c r="D7944" s="1" t="str">
        <f t="shared" si="13625"/>
        <v>2021</v>
      </c>
      <c r="E7944" s="1" t="str">
        <f t="shared" ref="E7944:P7944" si="13633">"0"</f>
        <v>0</v>
      </c>
      <c r="F7944" s="1" t="str">
        <f t="shared" si="13633"/>
        <v>0</v>
      </c>
      <c r="G7944" s="1" t="str">
        <f t="shared" si="13633"/>
        <v>0</v>
      </c>
      <c r="H7944" s="1" t="str">
        <f t="shared" si="13633"/>
        <v>0</v>
      </c>
      <c r="I7944" s="1" t="str">
        <f t="shared" si="13633"/>
        <v>0</v>
      </c>
      <c r="J7944" s="1" t="str">
        <f t="shared" si="13633"/>
        <v>0</v>
      </c>
      <c r="K7944" s="1" t="str">
        <f t="shared" si="13633"/>
        <v>0</v>
      </c>
      <c r="L7944" s="1" t="str">
        <f t="shared" si="13633"/>
        <v>0</v>
      </c>
      <c r="M7944" s="1" t="str">
        <f t="shared" si="13633"/>
        <v>0</v>
      </c>
      <c r="N7944" s="1" t="str">
        <f t="shared" si="13633"/>
        <v>0</v>
      </c>
      <c r="O7944" s="1" t="str">
        <f t="shared" si="13633"/>
        <v>0</v>
      </c>
      <c r="P7944" s="1" t="str">
        <f t="shared" si="13633"/>
        <v>0</v>
      </c>
      <c r="Q7944" s="1" t="str">
        <f t="shared" si="13627"/>
        <v>0.0070</v>
      </c>
      <c r="R7944" s="1" t="s">
        <v>25</v>
      </c>
      <c r="T7944" s="1" t="str">
        <f t="shared" si="13628"/>
        <v>0</v>
      </c>
      <c r="U7944" s="1" t="str">
        <f t="shared" si="13586"/>
        <v>0.0070</v>
      </c>
    </row>
    <row r="7945" s="1" customFormat="1" spans="1:21">
      <c r="A7945" s="1" t="str">
        <f>"4601992368539"</f>
        <v>4601992368539</v>
      </c>
      <c r="B7945" s="1" t="s">
        <v>7968</v>
      </c>
      <c r="C7945" s="1" t="s">
        <v>24</v>
      </c>
      <c r="D7945" s="1" t="str">
        <f t="shared" si="13625"/>
        <v>2021</v>
      </c>
      <c r="E7945" s="1" t="str">
        <f t="shared" ref="E7945:P7945" si="13634">"0"</f>
        <v>0</v>
      </c>
      <c r="F7945" s="1" t="str">
        <f t="shared" si="13634"/>
        <v>0</v>
      </c>
      <c r="G7945" s="1" t="str">
        <f t="shared" si="13634"/>
        <v>0</v>
      </c>
      <c r="H7945" s="1" t="str">
        <f t="shared" si="13634"/>
        <v>0</v>
      </c>
      <c r="I7945" s="1" t="str">
        <f t="shared" si="13634"/>
        <v>0</v>
      </c>
      <c r="J7945" s="1" t="str">
        <f t="shared" si="13634"/>
        <v>0</v>
      </c>
      <c r="K7945" s="1" t="str">
        <f t="shared" si="13634"/>
        <v>0</v>
      </c>
      <c r="L7945" s="1" t="str">
        <f t="shared" si="13634"/>
        <v>0</v>
      </c>
      <c r="M7945" s="1" t="str">
        <f t="shared" si="13634"/>
        <v>0</v>
      </c>
      <c r="N7945" s="1" t="str">
        <f t="shared" si="13634"/>
        <v>0</v>
      </c>
      <c r="O7945" s="1" t="str">
        <f t="shared" si="13634"/>
        <v>0</v>
      </c>
      <c r="P7945" s="1" t="str">
        <f t="shared" si="13634"/>
        <v>0</v>
      </c>
      <c r="Q7945" s="1" t="str">
        <f t="shared" si="13627"/>
        <v>0.0070</v>
      </c>
      <c r="R7945" s="1" t="s">
        <v>25</v>
      </c>
      <c r="T7945" s="1" t="str">
        <f t="shared" si="13628"/>
        <v>0</v>
      </c>
      <c r="U7945" s="1" t="str">
        <f t="shared" si="13586"/>
        <v>0.0070</v>
      </c>
    </row>
    <row r="7946" s="1" customFormat="1" spans="1:21">
      <c r="A7946" s="1" t="str">
        <f>"4601992368816"</f>
        <v>4601992368816</v>
      </c>
      <c r="B7946" s="1" t="s">
        <v>7969</v>
      </c>
      <c r="C7946" s="1" t="s">
        <v>24</v>
      </c>
      <c r="D7946" s="1" t="str">
        <f t="shared" si="13625"/>
        <v>2021</v>
      </c>
      <c r="E7946" s="1" t="str">
        <f t="shared" ref="E7946:P7946" si="13635">"0"</f>
        <v>0</v>
      </c>
      <c r="F7946" s="1" t="str">
        <f t="shared" si="13635"/>
        <v>0</v>
      </c>
      <c r="G7946" s="1" t="str">
        <f t="shared" si="13635"/>
        <v>0</v>
      </c>
      <c r="H7946" s="1" t="str">
        <f t="shared" si="13635"/>
        <v>0</v>
      </c>
      <c r="I7946" s="1" t="str">
        <f t="shared" si="13635"/>
        <v>0</v>
      </c>
      <c r="J7946" s="1" t="str">
        <f t="shared" si="13635"/>
        <v>0</v>
      </c>
      <c r="K7946" s="1" t="str">
        <f t="shared" si="13635"/>
        <v>0</v>
      </c>
      <c r="L7946" s="1" t="str">
        <f t="shared" si="13635"/>
        <v>0</v>
      </c>
      <c r="M7946" s="1" t="str">
        <f t="shared" si="13635"/>
        <v>0</v>
      </c>
      <c r="N7946" s="1" t="str">
        <f t="shared" si="13635"/>
        <v>0</v>
      </c>
      <c r="O7946" s="1" t="str">
        <f t="shared" si="13635"/>
        <v>0</v>
      </c>
      <c r="P7946" s="1" t="str">
        <f t="shared" si="13635"/>
        <v>0</v>
      </c>
      <c r="Q7946" s="1" t="str">
        <f t="shared" si="13627"/>
        <v>0.0070</v>
      </c>
      <c r="R7946" s="1" t="s">
        <v>25</v>
      </c>
      <c r="T7946" s="1" t="str">
        <f t="shared" si="13628"/>
        <v>0</v>
      </c>
      <c r="U7946" s="1" t="str">
        <f t="shared" si="13586"/>
        <v>0.0070</v>
      </c>
    </row>
    <row r="7947" s="1" customFormat="1" spans="1:21">
      <c r="A7947" s="1" t="str">
        <f>"4601992368952"</f>
        <v>4601992368952</v>
      </c>
      <c r="B7947" s="1" t="s">
        <v>7970</v>
      </c>
      <c r="C7947" s="1" t="s">
        <v>24</v>
      </c>
      <c r="D7947" s="1" t="str">
        <f t="shared" si="13625"/>
        <v>2021</v>
      </c>
      <c r="E7947" s="1" t="str">
        <f t="shared" ref="E7947:P7947" si="13636">"0"</f>
        <v>0</v>
      </c>
      <c r="F7947" s="1" t="str">
        <f t="shared" si="13636"/>
        <v>0</v>
      </c>
      <c r="G7947" s="1" t="str">
        <f t="shared" si="13636"/>
        <v>0</v>
      </c>
      <c r="H7947" s="1" t="str">
        <f t="shared" si="13636"/>
        <v>0</v>
      </c>
      <c r="I7947" s="1" t="str">
        <f t="shared" si="13636"/>
        <v>0</v>
      </c>
      <c r="J7947" s="1" t="str">
        <f t="shared" si="13636"/>
        <v>0</v>
      </c>
      <c r="K7947" s="1" t="str">
        <f t="shared" si="13636"/>
        <v>0</v>
      </c>
      <c r="L7947" s="1" t="str">
        <f t="shared" si="13636"/>
        <v>0</v>
      </c>
      <c r="M7947" s="1" t="str">
        <f t="shared" si="13636"/>
        <v>0</v>
      </c>
      <c r="N7947" s="1" t="str">
        <f t="shared" si="13636"/>
        <v>0</v>
      </c>
      <c r="O7947" s="1" t="str">
        <f t="shared" si="13636"/>
        <v>0</v>
      </c>
      <c r="P7947" s="1" t="str">
        <f t="shared" si="13636"/>
        <v>0</v>
      </c>
      <c r="Q7947" s="1" t="str">
        <f t="shared" si="13627"/>
        <v>0.0070</v>
      </c>
      <c r="R7947" s="1" t="s">
        <v>25</v>
      </c>
      <c r="T7947" s="1" t="str">
        <f t="shared" si="13628"/>
        <v>0</v>
      </c>
      <c r="U7947" s="1" t="str">
        <f t="shared" si="13586"/>
        <v>0.0070</v>
      </c>
    </row>
    <row r="7948" s="1" customFormat="1" spans="1:21">
      <c r="A7948" s="1" t="str">
        <f>"4601992369139"</f>
        <v>4601992369139</v>
      </c>
      <c r="B7948" s="1" t="s">
        <v>7971</v>
      </c>
      <c r="C7948" s="1" t="s">
        <v>24</v>
      </c>
      <c r="D7948" s="1" t="str">
        <f t="shared" si="13625"/>
        <v>2021</v>
      </c>
      <c r="E7948" s="1" t="str">
        <f t="shared" ref="E7948:P7948" si="13637">"0"</f>
        <v>0</v>
      </c>
      <c r="F7948" s="1" t="str">
        <f t="shared" si="13637"/>
        <v>0</v>
      </c>
      <c r="G7948" s="1" t="str">
        <f t="shared" si="13637"/>
        <v>0</v>
      </c>
      <c r="H7948" s="1" t="str">
        <f t="shared" si="13637"/>
        <v>0</v>
      </c>
      <c r="I7948" s="1" t="str">
        <f t="shared" si="13637"/>
        <v>0</v>
      </c>
      <c r="J7948" s="1" t="str">
        <f t="shared" si="13637"/>
        <v>0</v>
      </c>
      <c r="K7948" s="1" t="str">
        <f t="shared" si="13637"/>
        <v>0</v>
      </c>
      <c r="L7948" s="1" t="str">
        <f t="shared" si="13637"/>
        <v>0</v>
      </c>
      <c r="M7948" s="1" t="str">
        <f t="shared" si="13637"/>
        <v>0</v>
      </c>
      <c r="N7948" s="1" t="str">
        <f t="shared" si="13637"/>
        <v>0</v>
      </c>
      <c r="O7948" s="1" t="str">
        <f t="shared" si="13637"/>
        <v>0</v>
      </c>
      <c r="P7948" s="1" t="str">
        <f t="shared" si="13637"/>
        <v>0</v>
      </c>
      <c r="Q7948" s="1" t="str">
        <f t="shared" si="13627"/>
        <v>0.0070</v>
      </c>
      <c r="R7948" s="1" t="s">
        <v>25</v>
      </c>
      <c r="T7948" s="1" t="str">
        <f t="shared" si="13628"/>
        <v>0</v>
      </c>
      <c r="U7948" s="1" t="str">
        <f t="shared" si="13586"/>
        <v>0.0070</v>
      </c>
    </row>
    <row r="7949" s="1" customFormat="1" spans="1:21">
      <c r="A7949" s="1" t="str">
        <f>"4601992369180"</f>
        <v>4601992369180</v>
      </c>
      <c r="B7949" s="1" t="s">
        <v>7972</v>
      </c>
      <c r="C7949" s="1" t="s">
        <v>24</v>
      </c>
      <c r="D7949" s="1" t="str">
        <f t="shared" si="13625"/>
        <v>2021</v>
      </c>
      <c r="E7949" s="1" t="str">
        <f t="shared" ref="E7949:P7949" si="13638">"0"</f>
        <v>0</v>
      </c>
      <c r="F7949" s="1" t="str">
        <f t="shared" si="13638"/>
        <v>0</v>
      </c>
      <c r="G7949" s="1" t="str">
        <f t="shared" si="13638"/>
        <v>0</v>
      </c>
      <c r="H7949" s="1" t="str">
        <f t="shared" si="13638"/>
        <v>0</v>
      </c>
      <c r="I7949" s="1" t="str">
        <f t="shared" si="13638"/>
        <v>0</v>
      </c>
      <c r="J7949" s="1" t="str">
        <f t="shared" si="13638"/>
        <v>0</v>
      </c>
      <c r="K7949" s="1" t="str">
        <f t="shared" si="13638"/>
        <v>0</v>
      </c>
      <c r="L7949" s="1" t="str">
        <f t="shared" si="13638"/>
        <v>0</v>
      </c>
      <c r="M7949" s="1" t="str">
        <f t="shared" si="13638"/>
        <v>0</v>
      </c>
      <c r="N7949" s="1" t="str">
        <f t="shared" si="13638"/>
        <v>0</v>
      </c>
      <c r="O7949" s="1" t="str">
        <f t="shared" si="13638"/>
        <v>0</v>
      </c>
      <c r="P7949" s="1" t="str">
        <f t="shared" si="13638"/>
        <v>0</v>
      </c>
      <c r="Q7949" s="1" t="str">
        <f t="shared" si="13627"/>
        <v>0.0070</v>
      </c>
      <c r="R7949" s="1" t="s">
        <v>25</v>
      </c>
      <c r="T7949" s="1" t="str">
        <f t="shared" si="13628"/>
        <v>0</v>
      </c>
      <c r="U7949" s="1" t="str">
        <f t="shared" si="13586"/>
        <v>0.0070</v>
      </c>
    </row>
    <row r="7950" s="1" customFormat="1" spans="1:21">
      <c r="A7950" s="1" t="str">
        <f>"4601992369263"</f>
        <v>4601992369263</v>
      </c>
      <c r="B7950" s="1" t="s">
        <v>7973</v>
      </c>
      <c r="C7950" s="1" t="s">
        <v>24</v>
      </c>
      <c r="D7950" s="1" t="str">
        <f t="shared" si="13625"/>
        <v>2021</v>
      </c>
      <c r="E7950" s="1" t="str">
        <f t="shared" ref="E7950:P7950" si="13639">"0"</f>
        <v>0</v>
      </c>
      <c r="F7950" s="1" t="str">
        <f t="shared" si="13639"/>
        <v>0</v>
      </c>
      <c r="G7950" s="1" t="str">
        <f t="shared" si="13639"/>
        <v>0</v>
      </c>
      <c r="H7950" s="1" t="str">
        <f t="shared" si="13639"/>
        <v>0</v>
      </c>
      <c r="I7950" s="1" t="str">
        <f t="shared" si="13639"/>
        <v>0</v>
      </c>
      <c r="J7950" s="1" t="str">
        <f t="shared" si="13639"/>
        <v>0</v>
      </c>
      <c r="K7950" s="1" t="str">
        <f t="shared" si="13639"/>
        <v>0</v>
      </c>
      <c r="L7950" s="1" t="str">
        <f t="shared" si="13639"/>
        <v>0</v>
      </c>
      <c r="M7950" s="1" t="str">
        <f t="shared" si="13639"/>
        <v>0</v>
      </c>
      <c r="N7950" s="1" t="str">
        <f t="shared" si="13639"/>
        <v>0</v>
      </c>
      <c r="O7950" s="1" t="str">
        <f t="shared" si="13639"/>
        <v>0</v>
      </c>
      <c r="P7950" s="1" t="str">
        <f t="shared" si="13639"/>
        <v>0</v>
      </c>
      <c r="Q7950" s="1" t="str">
        <f t="shared" si="13627"/>
        <v>0.0070</v>
      </c>
      <c r="R7950" s="1" t="s">
        <v>25</v>
      </c>
      <c r="T7950" s="1" t="str">
        <f t="shared" si="13628"/>
        <v>0</v>
      </c>
      <c r="U7950" s="1" t="str">
        <f t="shared" si="13586"/>
        <v>0.0070</v>
      </c>
    </row>
    <row r="7951" s="1" customFormat="1" spans="1:21">
      <c r="A7951" s="1" t="str">
        <f>"4601992369267"</f>
        <v>4601992369267</v>
      </c>
      <c r="B7951" s="1" t="s">
        <v>7974</v>
      </c>
      <c r="C7951" s="1" t="s">
        <v>24</v>
      </c>
      <c r="D7951" s="1" t="str">
        <f t="shared" si="13625"/>
        <v>2021</v>
      </c>
      <c r="E7951" s="1" t="str">
        <f t="shared" ref="E7951:P7951" si="13640">"0"</f>
        <v>0</v>
      </c>
      <c r="F7951" s="1" t="str">
        <f t="shared" si="13640"/>
        <v>0</v>
      </c>
      <c r="G7951" s="1" t="str">
        <f t="shared" si="13640"/>
        <v>0</v>
      </c>
      <c r="H7951" s="1" t="str">
        <f t="shared" si="13640"/>
        <v>0</v>
      </c>
      <c r="I7951" s="1" t="str">
        <f t="shared" si="13640"/>
        <v>0</v>
      </c>
      <c r="J7951" s="1" t="str">
        <f t="shared" si="13640"/>
        <v>0</v>
      </c>
      <c r="K7951" s="1" t="str">
        <f t="shared" si="13640"/>
        <v>0</v>
      </c>
      <c r="L7951" s="1" t="str">
        <f t="shared" si="13640"/>
        <v>0</v>
      </c>
      <c r="M7951" s="1" t="str">
        <f t="shared" si="13640"/>
        <v>0</v>
      </c>
      <c r="N7951" s="1" t="str">
        <f t="shared" si="13640"/>
        <v>0</v>
      </c>
      <c r="O7951" s="1" t="str">
        <f t="shared" si="13640"/>
        <v>0</v>
      </c>
      <c r="P7951" s="1" t="str">
        <f t="shared" si="13640"/>
        <v>0</v>
      </c>
      <c r="Q7951" s="1" t="str">
        <f t="shared" si="13627"/>
        <v>0.0070</v>
      </c>
      <c r="R7951" s="1" t="s">
        <v>25</v>
      </c>
      <c r="T7951" s="1" t="str">
        <f t="shared" si="13628"/>
        <v>0</v>
      </c>
      <c r="U7951" s="1" t="str">
        <f t="shared" si="13586"/>
        <v>0.0070</v>
      </c>
    </row>
    <row r="7952" s="1" customFormat="1" spans="1:21">
      <c r="A7952" s="1" t="str">
        <f>"4601992369337"</f>
        <v>4601992369337</v>
      </c>
      <c r="B7952" s="1" t="s">
        <v>7975</v>
      </c>
      <c r="C7952" s="1" t="s">
        <v>24</v>
      </c>
      <c r="D7952" s="1" t="str">
        <f t="shared" si="13625"/>
        <v>2021</v>
      </c>
      <c r="E7952" s="1" t="str">
        <f t="shared" ref="E7952:P7952" si="13641">"0"</f>
        <v>0</v>
      </c>
      <c r="F7952" s="1" t="str">
        <f t="shared" si="13641"/>
        <v>0</v>
      </c>
      <c r="G7952" s="1" t="str">
        <f t="shared" si="13641"/>
        <v>0</v>
      </c>
      <c r="H7952" s="1" t="str">
        <f t="shared" si="13641"/>
        <v>0</v>
      </c>
      <c r="I7952" s="1" t="str">
        <f t="shared" si="13641"/>
        <v>0</v>
      </c>
      <c r="J7952" s="1" t="str">
        <f t="shared" si="13641"/>
        <v>0</v>
      </c>
      <c r="K7952" s="1" t="str">
        <f t="shared" si="13641"/>
        <v>0</v>
      </c>
      <c r="L7952" s="1" t="str">
        <f t="shared" si="13641"/>
        <v>0</v>
      </c>
      <c r="M7952" s="1" t="str">
        <f t="shared" si="13641"/>
        <v>0</v>
      </c>
      <c r="N7952" s="1" t="str">
        <f t="shared" si="13641"/>
        <v>0</v>
      </c>
      <c r="O7952" s="1" t="str">
        <f t="shared" si="13641"/>
        <v>0</v>
      </c>
      <c r="P7952" s="1" t="str">
        <f t="shared" si="13641"/>
        <v>0</v>
      </c>
      <c r="Q7952" s="1" t="str">
        <f t="shared" si="13627"/>
        <v>0.0070</v>
      </c>
      <c r="R7952" s="1" t="s">
        <v>25</v>
      </c>
      <c r="T7952" s="1" t="str">
        <f t="shared" si="13628"/>
        <v>0</v>
      </c>
      <c r="U7952" s="1" t="str">
        <f t="shared" si="13586"/>
        <v>0.0070</v>
      </c>
    </row>
    <row r="7953" s="1" customFormat="1" spans="1:21">
      <c r="A7953" s="1" t="str">
        <f>"4601992369442"</f>
        <v>4601992369442</v>
      </c>
      <c r="B7953" s="1" t="s">
        <v>7976</v>
      </c>
      <c r="C7953" s="1" t="s">
        <v>24</v>
      </c>
      <c r="D7953" s="1" t="str">
        <f t="shared" si="13625"/>
        <v>2021</v>
      </c>
      <c r="E7953" s="1" t="str">
        <f t="shared" ref="E7953:P7953" si="13642">"0"</f>
        <v>0</v>
      </c>
      <c r="F7953" s="1" t="str">
        <f t="shared" si="13642"/>
        <v>0</v>
      </c>
      <c r="G7953" s="1" t="str">
        <f t="shared" si="13642"/>
        <v>0</v>
      </c>
      <c r="H7953" s="1" t="str">
        <f t="shared" si="13642"/>
        <v>0</v>
      </c>
      <c r="I7953" s="1" t="str">
        <f t="shared" si="13642"/>
        <v>0</v>
      </c>
      <c r="J7953" s="1" t="str">
        <f t="shared" si="13642"/>
        <v>0</v>
      </c>
      <c r="K7953" s="1" t="str">
        <f t="shared" si="13642"/>
        <v>0</v>
      </c>
      <c r="L7953" s="1" t="str">
        <f t="shared" si="13642"/>
        <v>0</v>
      </c>
      <c r="M7953" s="1" t="str">
        <f t="shared" si="13642"/>
        <v>0</v>
      </c>
      <c r="N7953" s="1" t="str">
        <f t="shared" si="13642"/>
        <v>0</v>
      </c>
      <c r="O7953" s="1" t="str">
        <f t="shared" si="13642"/>
        <v>0</v>
      </c>
      <c r="P7953" s="1" t="str">
        <f t="shared" si="13642"/>
        <v>0</v>
      </c>
      <c r="Q7953" s="1" t="str">
        <f t="shared" si="13627"/>
        <v>0.0070</v>
      </c>
      <c r="R7953" s="1" t="s">
        <v>25</v>
      </c>
      <c r="T7953" s="1" t="str">
        <f t="shared" si="13628"/>
        <v>0</v>
      </c>
      <c r="U7953" s="1" t="str">
        <f t="shared" si="13586"/>
        <v>0.0070</v>
      </c>
    </row>
    <row r="7954" s="1" customFormat="1" spans="1:21">
      <c r="A7954" s="1" t="str">
        <f>"4601992369447"</f>
        <v>4601992369447</v>
      </c>
      <c r="B7954" s="1" t="s">
        <v>7977</v>
      </c>
      <c r="C7954" s="1" t="s">
        <v>24</v>
      </c>
      <c r="D7954" s="1" t="str">
        <f t="shared" si="13625"/>
        <v>2021</v>
      </c>
      <c r="E7954" s="1" t="str">
        <f t="shared" ref="E7954:P7954" si="13643">"0"</f>
        <v>0</v>
      </c>
      <c r="F7954" s="1" t="str">
        <f t="shared" si="13643"/>
        <v>0</v>
      </c>
      <c r="G7954" s="1" t="str">
        <f t="shared" si="13643"/>
        <v>0</v>
      </c>
      <c r="H7954" s="1" t="str">
        <f t="shared" si="13643"/>
        <v>0</v>
      </c>
      <c r="I7954" s="1" t="str">
        <f t="shared" si="13643"/>
        <v>0</v>
      </c>
      <c r="J7954" s="1" t="str">
        <f t="shared" si="13643"/>
        <v>0</v>
      </c>
      <c r="K7954" s="1" t="str">
        <f t="shared" si="13643"/>
        <v>0</v>
      </c>
      <c r="L7954" s="1" t="str">
        <f t="shared" si="13643"/>
        <v>0</v>
      </c>
      <c r="M7954" s="1" t="str">
        <f t="shared" si="13643"/>
        <v>0</v>
      </c>
      <c r="N7954" s="1" t="str">
        <f t="shared" si="13643"/>
        <v>0</v>
      </c>
      <c r="O7954" s="1" t="str">
        <f t="shared" si="13643"/>
        <v>0</v>
      </c>
      <c r="P7954" s="1" t="str">
        <f t="shared" si="13643"/>
        <v>0</v>
      </c>
      <c r="Q7954" s="1" t="str">
        <f t="shared" si="13627"/>
        <v>0.0070</v>
      </c>
      <c r="R7954" s="1" t="s">
        <v>25</v>
      </c>
      <c r="T7954" s="1" t="str">
        <f t="shared" si="13628"/>
        <v>0</v>
      </c>
      <c r="U7954" s="1" t="str">
        <f t="shared" si="13586"/>
        <v>0.0070</v>
      </c>
    </row>
    <row r="7955" s="1" customFormat="1" spans="1:21">
      <c r="A7955" s="1" t="str">
        <f>"4601992369456"</f>
        <v>4601992369456</v>
      </c>
      <c r="B7955" s="1" t="s">
        <v>7978</v>
      </c>
      <c r="C7955" s="1" t="s">
        <v>24</v>
      </c>
      <c r="D7955" s="1" t="str">
        <f t="shared" si="13625"/>
        <v>2021</v>
      </c>
      <c r="E7955" s="1" t="str">
        <f t="shared" ref="E7955:P7955" si="13644">"0"</f>
        <v>0</v>
      </c>
      <c r="F7955" s="1" t="str">
        <f t="shared" si="13644"/>
        <v>0</v>
      </c>
      <c r="G7955" s="1" t="str">
        <f t="shared" si="13644"/>
        <v>0</v>
      </c>
      <c r="H7955" s="1" t="str">
        <f t="shared" si="13644"/>
        <v>0</v>
      </c>
      <c r="I7955" s="1" t="str">
        <f t="shared" si="13644"/>
        <v>0</v>
      </c>
      <c r="J7955" s="1" t="str">
        <f t="shared" si="13644"/>
        <v>0</v>
      </c>
      <c r="K7955" s="1" t="str">
        <f t="shared" si="13644"/>
        <v>0</v>
      </c>
      <c r="L7955" s="1" t="str">
        <f t="shared" si="13644"/>
        <v>0</v>
      </c>
      <c r="M7955" s="1" t="str">
        <f t="shared" si="13644"/>
        <v>0</v>
      </c>
      <c r="N7955" s="1" t="str">
        <f t="shared" si="13644"/>
        <v>0</v>
      </c>
      <c r="O7955" s="1" t="str">
        <f t="shared" si="13644"/>
        <v>0</v>
      </c>
      <c r="P7955" s="1" t="str">
        <f t="shared" si="13644"/>
        <v>0</v>
      </c>
      <c r="Q7955" s="1" t="str">
        <f t="shared" si="13627"/>
        <v>0.0070</v>
      </c>
      <c r="R7955" s="1" t="s">
        <v>25</v>
      </c>
      <c r="T7955" s="1" t="str">
        <f t="shared" si="13628"/>
        <v>0</v>
      </c>
      <c r="U7955" s="1" t="str">
        <f t="shared" si="13586"/>
        <v>0.0070</v>
      </c>
    </row>
    <row r="7956" s="1" customFormat="1" spans="1:21">
      <c r="A7956" s="1" t="str">
        <f>"4601992369459"</f>
        <v>4601992369459</v>
      </c>
      <c r="B7956" s="1" t="s">
        <v>7979</v>
      </c>
      <c r="C7956" s="1" t="s">
        <v>24</v>
      </c>
      <c r="D7956" s="1" t="str">
        <f t="shared" si="13625"/>
        <v>2021</v>
      </c>
      <c r="E7956" s="1" t="str">
        <f t="shared" ref="E7956:P7956" si="13645">"0"</f>
        <v>0</v>
      </c>
      <c r="F7956" s="1" t="str">
        <f t="shared" si="13645"/>
        <v>0</v>
      </c>
      <c r="G7956" s="1" t="str">
        <f t="shared" si="13645"/>
        <v>0</v>
      </c>
      <c r="H7956" s="1" t="str">
        <f t="shared" si="13645"/>
        <v>0</v>
      </c>
      <c r="I7956" s="1" t="str">
        <f t="shared" si="13645"/>
        <v>0</v>
      </c>
      <c r="J7956" s="1" t="str">
        <f t="shared" si="13645"/>
        <v>0</v>
      </c>
      <c r="K7956" s="1" t="str">
        <f t="shared" si="13645"/>
        <v>0</v>
      </c>
      <c r="L7956" s="1" t="str">
        <f t="shared" si="13645"/>
        <v>0</v>
      </c>
      <c r="M7956" s="1" t="str">
        <f t="shared" si="13645"/>
        <v>0</v>
      </c>
      <c r="N7956" s="1" t="str">
        <f t="shared" si="13645"/>
        <v>0</v>
      </c>
      <c r="O7956" s="1" t="str">
        <f t="shared" si="13645"/>
        <v>0</v>
      </c>
      <c r="P7956" s="1" t="str">
        <f t="shared" si="13645"/>
        <v>0</v>
      </c>
      <c r="Q7956" s="1" t="str">
        <f t="shared" si="13627"/>
        <v>0.0070</v>
      </c>
      <c r="R7956" s="1" t="s">
        <v>25</v>
      </c>
      <c r="T7956" s="1" t="str">
        <f t="shared" si="13628"/>
        <v>0</v>
      </c>
      <c r="U7956" s="1" t="str">
        <f t="shared" si="13586"/>
        <v>0.0070</v>
      </c>
    </row>
    <row r="7957" s="1" customFormat="1" spans="1:21">
      <c r="A7957" s="1" t="str">
        <f>"4601992369460"</f>
        <v>4601992369460</v>
      </c>
      <c r="B7957" s="1" t="s">
        <v>7980</v>
      </c>
      <c r="C7957" s="1" t="s">
        <v>24</v>
      </c>
      <c r="D7957" s="1" t="str">
        <f t="shared" si="13625"/>
        <v>2021</v>
      </c>
      <c r="E7957" s="1" t="str">
        <f t="shared" ref="E7957:P7957" si="13646">"0"</f>
        <v>0</v>
      </c>
      <c r="F7957" s="1" t="str">
        <f t="shared" si="13646"/>
        <v>0</v>
      </c>
      <c r="G7957" s="1" t="str">
        <f t="shared" si="13646"/>
        <v>0</v>
      </c>
      <c r="H7957" s="1" t="str">
        <f t="shared" si="13646"/>
        <v>0</v>
      </c>
      <c r="I7957" s="1" t="str">
        <f t="shared" si="13646"/>
        <v>0</v>
      </c>
      <c r="J7957" s="1" t="str">
        <f t="shared" si="13646"/>
        <v>0</v>
      </c>
      <c r="K7957" s="1" t="str">
        <f t="shared" si="13646"/>
        <v>0</v>
      </c>
      <c r="L7957" s="1" t="str">
        <f t="shared" si="13646"/>
        <v>0</v>
      </c>
      <c r="M7957" s="1" t="str">
        <f t="shared" si="13646"/>
        <v>0</v>
      </c>
      <c r="N7957" s="1" t="str">
        <f t="shared" si="13646"/>
        <v>0</v>
      </c>
      <c r="O7957" s="1" t="str">
        <f t="shared" si="13646"/>
        <v>0</v>
      </c>
      <c r="P7957" s="1" t="str">
        <f t="shared" si="13646"/>
        <v>0</v>
      </c>
      <c r="Q7957" s="1" t="str">
        <f t="shared" si="13627"/>
        <v>0.0070</v>
      </c>
      <c r="R7957" s="1" t="s">
        <v>25</v>
      </c>
      <c r="T7957" s="1" t="str">
        <f t="shared" si="13628"/>
        <v>0</v>
      </c>
      <c r="U7957" s="1" t="str">
        <f t="shared" si="13586"/>
        <v>0.0070</v>
      </c>
    </row>
    <row r="7958" s="1" customFormat="1" spans="1:21">
      <c r="A7958" s="1" t="str">
        <f>"4601992369467"</f>
        <v>4601992369467</v>
      </c>
      <c r="B7958" s="1" t="s">
        <v>7981</v>
      </c>
      <c r="C7958" s="1" t="s">
        <v>24</v>
      </c>
      <c r="D7958" s="1" t="str">
        <f t="shared" si="13625"/>
        <v>2021</v>
      </c>
      <c r="E7958" s="1" t="str">
        <f t="shared" ref="E7958:P7958" si="13647">"0"</f>
        <v>0</v>
      </c>
      <c r="F7958" s="1" t="str">
        <f t="shared" si="13647"/>
        <v>0</v>
      </c>
      <c r="G7958" s="1" t="str">
        <f t="shared" si="13647"/>
        <v>0</v>
      </c>
      <c r="H7958" s="1" t="str">
        <f t="shared" si="13647"/>
        <v>0</v>
      </c>
      <c r="I7958" s="1" t="str">
        <f t="shared" si="13647"/>
        <v>0</v>
      </c>
      <c r="J7958" s="1" t="str">
        <f t="shared" si="13647"/>
        <v>0</v>
      </c>
      <c r="K7958" s="1" t="str">
        <f t="shared" si="13647"/>
        <v>0</v>
      </c>
      <c r="L7958" s="1" t="str">
        <f t="shared" si="13647"/>
        <v>0</v>
      </c>
      <c r="M7958" s="1" t="str">
        <f t="shared" si="13647"/>
        <v>0</v>
      </c>
      <c r="N7958" s="1" t="str">
        <f t="shared" si="13647"/>
        <v>0</v>
      </c>
      <c r="O7958" s="1" t="str">
        <f t="shared" si="13647"/>
        <v>0</v>
      </c>
      <c r="P7958" s="1" t="str">
        <f t="shared" si="13647"/>
        <v>0</v>
      </c>
      <c r="Q7958" s="1" t="str">
        <f t="shared" si="13627"/>
        <v>0.0070</v>
      </c>
      <c r="R7958" s="1" t="s">
        <v>25</v>
      </c>
      <c r="T7958" s="1" t="str">
        <f t="shared" si="13628"/>
        <v>0</v>
      </c>
      <c r="U7958" s="1" t="str">
        <f t="shared" si="13586"/>
        <v>0.0070</v>
      </c>
    </row>
    <row r="7959" s="1" customFormat="1" spans="1:21">
      <c r="A7959" s="1" t="str">
        <f>"4601992369475"</f>
        <v>4601992369475</v>
      </c>
      <c r="B7959" s="1" t="s">
        <v>7982</v>
      </c>
      <c r="C7959" s="1" t="s">
        <v>24</v>
      </c>
      <c r="D7959" s="1" t="str">
        <f t="shared" si="13625"/>
        <v>2021</v>
      </c>
      <c r="E7959" s="1" t="str">
        <f t="shared" ref="E7959:P7959" si="13648">"0"</f>
        <v>0</v>
      </c>
      <c r="F7959" s="1" t="str">
        <f t="shared" si="13648"/>
        <v>0</v>
      </c>
      <c r="G7959" s="1" t="str">
        <f t="shared" si="13648"/>
        <v>0</v>
      </c>
      <c r="H7959" s="1" t="str">
        <f t="shared" si="13648"/>
        <v>0</v>
      </c>
      <c r="I7959" s="1" t="str">
        <f t="shared" si="13648"/>
        <v>0</v>
      </c>
      <c r="J7959" s="1" t="str">
        <f t="shared" si="13648"/>
        <v>0</v>
      </c>
      <c r="K7959" s="1" t="str">
        <f t="shared" si="13648"/>
        <v>0</v>
      </c>
      <c r="L7959" s="1" t="str">
        <f t="shared" si="13648"/>
        <v>0</v>
      </c>
      <c r="M7959" s="1" t="str">
        <f t="shared" si="13648"/>
        <v>0</v>
      </c>
      <c r="N7959" s="1" t="str">
        <f t="shared" si="13648"/>
        <v>0</v>
      </c>
      <c r="O7959" s="1" t="str">
        <f t="shared" si="13648"/>
        <v>0</v>
      </c>
      <c r="P7959" s="1" t="str">
        <f t="shared" si="13648"/>
        <v>0</v>
      </c>
      <c r="Q7959" s="1" t="str">
        <f t="shared" si="13627"/>
        <v>0.0070</v>
      </c>
      <c r="R7959" s="1" t="s">
        <v>25</v>
      </c>
      <c r="T7959" s="1" t="str">
        <f t="shared" si="13628"/>
        <v>0</v>
      </c>
      <c r="U7959" s="1" t="str">
        <f t="shared" si="13586"/>
        <v>0.0070</v>
      </c>
    </row>
    <row r="7960" s="1" customFormat="1" spans="1:21">
      <c r="A7960" s="1" t="str">
        <f>"4601992369477"</f>
        <v>4601992369477</v>
      </c>
      <c r="B7960" s="1" t="s">
        <v>7983</v>
      </c>
      <c r="C7960" s="1" t="s">
        <v>24</v>
      </c>
      <c r="D7960" s="1" t="str">
        <f t="shared" si="13625"/>
        <v>2021</v>
      </c>
      <c r="E7960" s="1" t="str">
        <f t="shared" ref="E7960:P7960" si="13649">"0"</f>
        <v>0</v>
      </c>
      <c r="F7960" s="1" t="str">
        <f t="shared" si="13649"/>
        <v>0</v>
      </c>
      <c r="G7960" s="1" t="str">
        <f t="shared" si="13649"/>
        <v>0</v>
      </c>
      <c r="H7960" s="1" t="str">
        <f t="shared" si="13649"/>
        <v>0</v>
      </c>
      <c r="I7960" s="1" t="str">
        <f t="shared" si="13649"/>
        <v>0</v>
      </c>
      <c r="J7960" s="1" t="str">
        <f t="shared" si="13649"/>
        <v>0</v>
      </c>
      <c r="K7960" s="1" t="str">
        <f t="shared" si="13649"/>
        <v>0</v>
      </c>
      <c r="L7960" s="1" t="str">
        <f t="shared" si="13649"/>
        <v>0</v>
      </c>
      <c r="M7960" s="1" t="str">
        <f t="shared" si="13649"/>
        <v>0</v>
      </c>
      <c r="N7960" s="1" t="str">
        <f t="shared" si="13649"/>
        <v>0</v>
      </c>
      <c r="O7960" s="1" t="str">
        <f t="shared" si="13649"/>
        <v>0</v>
      </c>
      <c r="P7960" s="1" t="str">
        <f t="shared" si="13649"/>
        <v>0</v>
      </c>
      <c r="Q7960" s="1" t="str">
        <f t="shared" si="13627"/>
        <v>0.0070</v>
      </c>
      <c r="R7960" s="1" t="s">
        <v>25</v>
      </c>
      <c r="T7960" s="1" t="str">
        <f t="shared" si="13628"/>
        <v>0</v>
      </c>
      <c r="U7960" s="1" t="str">
        <f t="shared" si="13586"/>
        <v>0.0070</v>
      </c>
    </row>
    <row r="7961" s="1" customFormat="1" spans="1:21">
      <c r="A7961" s="1" t="str">
        <f>"4601992369528"</f>
        <v>4601992369528</v>
      </c>
      <c r="B7961" s="1" t="s">
        <v>7984</v>
      </c>
      <c r="C7961" s="1" t="s">
        <v>24</v>
      </c>
      <c r="D7961" s="1" t="str">
        <f t="shared" si="13625"/>
        <v>2021</v>
      </c>
      <c r="E7961" s="1" t="str">
        <f t="shared" ref="E7961:P7961" si="13650">"0"</f>
        <v>0</v>
      </c>
      <c r="F7961" s="1" t="str">
        <f t="shared" si="13650"/>
        <v>0</v>
      </c>
      <c r="G7961" s="1" t="str">
        <f t="shared" si="13650"/>
        <v>0</v>
      </c>
      <c r="H7961" s="1" t="str">
        <f t="shared" si="13650"/>
        <v>0</v>
      </c>
      <c r="I7961" s="1" t="str">
        <f t="shared" si="13650"/>
        <v>0</v>
      </c>
      <c r="J7961" s="1" t="str">
        <f t="shared" si="13650"/>
        <v>0</v>
      </c>
      <c r="K7961" s="1" t="str">
        <f t="shared" si="13650"/>
        <v>0</v>
      </c>
      <c r="L7961" s="1" t="str">
        <f t="shared" si="13650"/>
        <v>0</v>
      </c>
      <c r="M7961" s="1" t="str">
        <f t="shared" si="13650"/>
        <v>0</v>
      </c>
      <c r="N7961" s="1" t="str">
        <f t="shared" si="13650"/>
        <v>0</v>
      </c>
      <c r="O7961" s="1" t="str">
        <f t="shared" si="13650"/>
        <v>0</v>
      </c>
      <c r="P7961" s="1" t="str">
        <f t="shared" si="13650"/>
        <v>0</v>
      </c>
      <c r="Q7961" s="1" t="str">
        <f t="shared" si="13627"/>
        <v>0.0070</v>
      </c>
      <c r="R7961" s="1" t="s">
        <v>25</v>
      </c>
      <c r="T7961" s="1" t="str">
        <f t="shared" si="13628"/>
        <v>0</v>
      </c>
      <c r="U7961" s="1" t="str">
        <f t="shared" si="13586"/>
        <v>0.0070</v>
      </c>
    </row>
    <row r="7962" s="1" customFormat="1" spans="1:21">
      <c r="A7962" s="1" t="str">
        <f>"4601992369535"</f>
        <v>4601992369535</v>
      </c>
      <c r="B7962" s="1" t="s">
        <v>7985</v>
      </c>
      <c r="C7962" s="1" t="s">
        <v>24</v>
      </c>
      <c r="D7962" s="1" t="str">
        <f t="shared" si="13625"/>
        <v>2021</v>
      </c>
      <c r="E7962" s="1" t="str">
        <f t="shared" ref="E7962:P7962" si="13651">"0"</f>
        <v>0</v>
      </c>
      <c r="F7962" s="1" t="str">
        <f t="shared" si="13651"/>
        <v>0</v>
      </c>
      <c r="G7962" s="1" t="str">
        <f t="shared" si="13651"/>
        <v>0</v>
      </c>
      <c r="H7962" s="1" t="str">
        <f t="shared" si="13651"/>
        <v>0</v>
      </c>
      <c r="I7962" s="1" t="str">
        <f t="shared" si="13651"/>
        <v>0</v>
      </c>
      <c r="J7962" s="1" t="str">
        <f t="shared" si="13651"/>
        <v>0</v>
      </c>
      <c r="K7962" s="1" t="str">
        <f t="shared" si="13651"/>
        <v>0</v>
      </c>
      <c r="L7962" s="1" t="str">
        <f t="shared" si="13651"/>
        <v>0</v>
      </c>
      <c r="M7962" s="1" t="str">
        <f t="shared" si="13651"/>
        <v>0</v>
      </c>
      <c r="N7962" s="1" t="str">
        <f t="shared" si="13651"/>
        <v>0</v>
      </c>
      <c r="O7962" s="1" t="str">
        <f t="shared" si="13651"/>
        <v>0</v>
      </c>
      <c r="P7962" s="1" t="str">
        <f t="shared" si="13651"/>
        <v>0</v>
      </c>
      <c r="Q7962" s="1" t="str">
        <f t="shared" si="13627"/>
        <v>0.0070</v>
      </c>
      <c r="R7962" s="1" t="s">
        <v>25</v>
      </c>
      <c r="T7962" s="1" t="str">
        <f t="shared" si="13628"/>
        <v>0</v>
      </c>
      <c r="U7962" s="1" t="str">
        <f t="shared" si="13586"/>
        <v>0.0070</v>
      </c>
    </row>
    <row r="7963" s="1" customFormat="1" spans="1:21">
      <c r="A7963" s="1" t="str">
        <f>"4601992369550"</f>
        <v>4601992369550</v>
      </c>
      <c r="B7963" s="1" t="s">
        <v>7986</v>
      </c>
      <c r="C7963" s="1" t="s">
        <v>24</v>
      </c>
      <c r="D7963" s="1" t="str">
        <f t="shared" si="13625"/>
        <v>2021</v>
      </c>
      <c r="E7963" s="1" t="str">
        <f t="shared" ref="E7963:P7963" si="13652">"0"</f>
        <v>0</v>
      </c>
      <c r="F7963" s="1" t="str">
        <f t="shared" si="13652"/>
        <v>0</v>
      </c>
      <c r="G7963" s="1" t="str">
        <f t="shared" si="13652"/>
        <v>0</v>
      </c>
      <c r="H7963" s="1" t="str">
        <f t="shared" si="13652"/>
        <v>0</v>
      </c>
      <c r="I7963" s="1" t="str">
        <f t="shared" si="13652"/>
        <v>0</v>
      </c>
      <c r="J7963" s="1" t="str">
        <f t="shared" si="13652"/>
        <v>0</v>
      </c>
      <c r="K7963" s="1" t="str">
        <f t="shared" si="13652"/>
        <v>0</v>
      </c>
      <c r="L7963" s="1" t="str">
        <f t="shared" si="13652"/>
        <v>0</v>
      </c>
      <c r="M7963" s="1" t="str">
        <f t="shared" si="13652"/>
        <v>0</v>
      </c>
      <c r="N7963" s="1" t="str">
        <f t="shared" si="13652"/>
        <v>0</v>
      </c>
      <c r="O7963" s="1" t="str">
        <f t="shared" si="13652"/>
        <v>0</v>
      </c>
      <c r="P7963" s="1" t="str">
        <f t="shared" si="13652"/>
        <v>0</v>
      </c>
      <c r="Q7963" s="1" t="str">
        <f t="shared" si="13627"/>
        <v>0.0070</v>
      </c>
      <c r="R7963" s="1" t="s">
        <v>25</v>
      </c>
      <c r="T7963" s="1" t="str">
        <f t="shared" si="13628"/>
        <v>0</v>
      </c>
      <c r="U7963" s="1" t="str">
        <f t="shared" si="13586"/>
        <v>0.0070</v>
      </c>
    </row>
    <row r="7964" s="1" customFormat="1" spans="1:21">
      <c r="A7964" s="1" t="str">
        <f>"4601992369609"</f>
        <v>4601992369609</v>
      </c>
      <c r="B7964" s="1" t="s">
        <v>7987</v>
      </c>
      <c r="C7964" s="1" t="s">
        <v>24</v>
      </c>
      <c r="D7964" s="1" t="str">
        <f t="shared" si="13625"/>
        <v>2021</v>
      </c>
      <c r="E7964" s="1" t="str">
        <f t="shared" ref="E7964:P7964" si="13653">"0"</f>
        <v>0</v>
      </c>
      <c r="F7964" s="1" t="str">
        <f t="shared" si="13653"/>
        <v>0</v>
      </c>
      <c r="G7964" s="1" t="str">
        <f t="shared" si="13653"/>
        <v>0</v>
      </c>
      <c r="H7964" s="1" t="str">
        <f t="shared" si="13653"/>
        <v>0</v>
      </c>
      <c r="I7964" s="1" t="str">
        <f t="shared" si="13653"/>
        <v>0</v>
      </c>
      <c r="J7964" s="1" t="str">
        <f t="shared" si="13653"/>
        <v>0</v>
      </c>
      <c r="K7964" s="1" t="str">
        <f t="shared" si="13653"/>
        <v>0</v>
      </c>
      <c r="L7964" s="1" t="str">
        <f t="shared" si="13653"/>
        <v>0</v>
      </c>
      <c r="M7964" s="1" t="str">
        <f t="shared" si="13653"/>
        <v>0</v>
      </c>
      <c r="N7964" s="1" t="str">
        <f t="shared" si="13653"/>
        <v>0</v>
      </c>
      <c r="O7964" s="1" t="str">
        <f t="shared" si="13653"/>
        <v>0</v>
      </c>
      <c r="P7964" s="1" t="str">
        <f t="shared" si="13653"/>
        <v>0</v>
      </c>
      <c r="Q7964" s="1" t="str">
        <f t="shared" si="13627"/>
        <v>0.0070</v>
      </c>
      <c r="R7964" s="1" t="s">
        <v>25</v>
      </c>
      <c r="T7964" s="1" t="str">
        <f t="shared" si="13628"/>
        <v>0</v>
      </c>
      <c r="U7964" s="1" t="str">
        <f t="shared" ref="U7964:U8027" si="13654">"0.0070"</f>
        <v>0.0070</v>
      </c>
    </row>
    <row r="7965" s="1" customFormat="1" spans="1:21">
      <c r="A7965" s="1" t="str">
        <f>"4601992369662"</f>
        <v>4601992369662</v>
      </c>
      <c r="B7965" s="1" t="s">
        <v>7988</v>
      </c>
      <c r="C7965" s="1" t="s">
        <v>24</v>
      </c>
      <c r="D7965" s="1" t="str">
        <f t="shared" si="13625"/>
        <v>2021</v>
      </c>
      <c r="E7965" s="1" t="str">
        <f t="shared" ref="E7965:P7965" si="13655">"0"</f>
        <v>0</v>
      </c>
      <c r="F7965" s="1" t="str">
        <f t="shared" si="13655"/>
        <v>0</v>
      </c>
      <c r="G7965" s="1" t="str">
        <f t="shared" si="13655"/>
        <v>0</v>
      </c>
      <c r="H7965" s="1" t="str">
        <f t="shared" si="13655"/>
        <v>0</v>
      </c>
      <c r="I7965" s="1" t="str">
        <f t="shared" si="13655"/>
        <v>0</v>
      </c>
      <c r="J7965" s="1" t="str">
        <f t="shared" si="13655"/>
        <v>0</v>
      </c>
      <c r="K7965" s="1" t="str">
        <f t="shared" si="13655"/>
        <v>0</v>
      </c>
      <c r="L7965" s="1" t="str">
        <f t="shared" si="13655"/>
        <v>0</v>
      </c>
      <c r="M7965" s="1" t="str">
        <f t="shared" si="13655"/>
        <v>0</v>
      </c>
      <c r="N7965" s="1" t="str">
        <f t="shared" si="13655"/>
        <v>0</v>
      </c>
      <c r="O7965" s="1" t="str">
        <f t="shared" si="13655"/>
        <v>0</v>
      </c>
      <c r="P7965" s="1" t="str">
        <f t="shared" si="13655"/>
        <v>0</v>
      </c>
      <c r="Q7965" s="1" t="str">
        <f t="shared" si="13627"/>
        <v>0.0070</v>
      </c>
      <c r="R7965" s="1" t="s">
        <v>25</v>
      </c>
      <c r="T7965" s="1" t="str">
        <f t="shared" si="13628"/>
        <v>0</v>
      </c>
      <c r="U7965" s="1" t="str">
        <f t="shared" si="13654"/>
        <v>0.0070</v>
      </c>
    </row>
    <row r="7966" s="1" customFormat="1" spans="1:21">
      <c r="A7966" s="1" t="str">
        <f>"4601992369659"</f>
        <v>4601992369659</v>
      </c>
      <c r="B7966" s="1" t="s">
        <v>7989</v>
      </c>
      <c r="C7966" s="1" t="s">
        <v>24</v>
      </c>
      <c r="D7966" s="1" t="str">
        <f t="shared" si="13625"/>
        <v>2021</v>
      </c>
      <c r="E7966" s="1" t="str">
        <f t="shared" ref="E7966:P7966" si="13656">"0"</f>
        <v>0</v>
      </c>
      <c r="F7966" s="1" t="str">
        <f t="shared" si="13656"/>
        <v>0</v>
      </c>
      <c r="G7966" s="1" t="str">
        <f t="shared" si="13656"/>
        <v>0</v>
      </c>
      <c r="H7966" s="1" t="str">
        <f t="shared" si="13656"/>
        <v>0</v>
      </c>
      <c r="I7966" s="1" t="str">
        <f t="shared" si="13656"/>
        <v>0</v>
      </c>
      <c r="J7966" s="1" t="str">
        <f t="shared" si="13656"/>
        <v>0</v>
      </c>
      <c r="K7966" s="1" t="str">
        <f t="shared" si="13656"/>
        <v>0</v>
      </c>
      <c r="L7966" s="1" t="str">
        <f t="shared" si="13656"/>
        <v>0</v>
      </c>
      <c r="M7966" s="1" t="str">
        <f t="shared" si="13656"/>
        <v>0</v>
      </c>
      <c r="N7966" s="1" t="str">
        <f t="shared" si="13656"/>
        <v>0</v>
      </c>
      <c r="O7966" s="1" t="str">
        <f t="shared" si="13656"/>
        <v>0</v>
      </c>
      <c r="P7966" s="1" t="str">
        <f t="shared" si="13656"/>
        <v>0</v>
      </c>
      <c r="Q7966" s="1" t="str">
        <f t="shared" si="13627"/>
        <v>0.0070</v>
      </c>
      <c r="R7966" s="1" t="s">
        <v>25</v>
      </c>
      <c r="T7966" s="1" t="str">
        <f t="shared" si="13628"/>
        <v>0</v>
      </c>
      <c r="U7966" s="1" t="str">
        <f t="shared" si="13654"/>
        <v>0.0070</v>
      </c>
    </row>
    <row r="7967" s="1" customFormat="1" spans="1:21">
      <c r="A7967" s="1" t="str">
        <f>"4601992369733"</f>
        <v>4601992369733</v>
      </c>
      <c r="B7967" s="1" t="s">
        <v>7990</v>
      </c>
      <c r="C7967" s="1" t="s">
        <v>24</v>
      </c>
      <c r="D7967" s="1" t="str">
        <f t="shared" si="13625"/>
        <v>2021</v>
      </c>
      <c r="E7967" s="1" t="str">
        <f t="shared" ref="E7967:P7967" si="13657">"0"</f>
        <v>0</v>
      </c>
      <c r="F7967" s="1" t="str">
        <f t="shared" si="13657"/>
        <v>0</v>
      </c>
      <c r="G7967" s="1" t="str">
        <f t="shared" si="13657"/>
        <v>0</v>
      </c>
      <c r="H7967" s="1" t="str">
        <f t="shared" si="13657"/>
        <v>0</v>
      </c>
      <c r="I7967" s="1" t="str">
        <f t="shared" si="13657"/>
        <v>0</v>
      </c>
      <c r="J7967" s="1" t="str">
        <f t="shared" si="13657"/>
        <v>0</v>
      </c>
      <c r="K7967" s="1" t="str">
        <f t="shared" si="13657"/>
        <v>0</v>
      </c>
      <c r="L7967" s="1" t="str">
        <f t="shared" si="13657"/>
        <v>0</v>
      </c>
      <c r="M7967" s="1" t="str">
        <f t="shared" si="13657"/>
        <v>0</v>
      </c>
      <c r="N7967" s="1" t="str">
        <f t="shared" si="13657"/>
        <v>0</v>
      </c>
      <c r="O7967" s="1" t="str">
        <f t="shared" si="13657"/>
        <v>0</v>
      </c>
      <c r="P7967" s="1" t="str">
        <f t="shared" si="13657"/>
        <v>0</v>
      </c>
      <c r="Q7967" s="1" t="str">
        <f t="shared" si="13627"/>
        <v>0.0070</v>
      </c>
      <c r="R7967" s="1" t="s">
        <v>25</v>
      </c>
      <c r="T7967" s="1" t="str">
        <f t="shared" si="13628"/>
        <v>0</v>
      </c>
      <c r="U7967" s="1" t="str">
        <f t="shared" si="13654"/>
        <v>0.0070</v>
      </c>
    </row>
    <row r="7968" s="1" customFormat="1" spans="1:21">
      <c r="A7968" s="1" t="str">
        <f>"4601992369771"</f>
        <v>4601992369771</v>
      </c>
      <c r="B7968" s="1" t="s">
        <v>7991</v>
      </c>
      <c r="C7968" s="1" t="s">
        <v>24</v>
      </c>
      <c r="D7968" s="1" t="str">
        <f t="shared" si="13625"/>
        <v>2021</v>
      </c>
      <c r="E7968" s="1" t="str">
        <f t="shared" ref="E7968:P7968" si="13658">"0"</f>
        <v>0</v>
      </c>
      <c r="F7968" s="1" t="str">
        <f t="shared" si="13658"/>
        <v>0</v>
      </c>
      <c r="G7968" s="1" t="str">
        <f t="shared" si="13658"/>
        <v>0</v>
      </c>
      <c r="H7968" s="1" t="str">
        <f t="shared" si="13658"/>
        <v>0</v>
      </c>
      <c r="I7968" s="1" t="str">
        <f t="shared" si="13658"/>
        <v>0</v>
      </c>
      <c r="J7968" s="1" t="str">
        <f t="shared" si="13658"/>
        <v>0</v>
      </c>
      <c r="K7968" s="1" t="str">
        <f t="shared" si="13658"/>
        <v>0</v>
      </c>
      <c r="L7968" s="1" t="str">
        <f t="shared" si="13658"/>
        <v>0</v>
      </c>
      <c r="M7968" s="1" t="str">
        <f t="shared" si="13658"/>
        <v>0</v>
      </c>
      <c r="N7968" s="1" t="str">
        <f t="shared" si="13658"/>
        <v>0</v>
      </c>
      <c r="O7968" s="1" t="str">
        <f t="shared" si="13658"/>
        <v>0</v>
      </c>
      <c r="P7968" s="1" t="str">
        <f t="shared" si="13658"/>
        <v>0</v>
      </c>
      <c r="Q7968" s="1" t="str">
        <f t="shared" si="13627"/>
        <v>0.0070</v>
      </c>
      <c r="R7968" s="1" t="s">
        <v>25</v>
      </c>
      <c r="T7968" s="1" t="str">
        <f t="shared" si="13628"/>
        <v>0</v>
      </c>
      <c r="U7968" s="1" t="str">
        <f t="shared" si="13654"/>
        <v>0.0070</v>
      </c>
    </row>
    <row r="7969" s="1" customFormat="1" spans="1:21">
      <c r="A7969" s="1" t="str">
        <f>"4601992369834"</f>
        <v>4601992369834</v>
      </c>
      <c r="B7969" s="1" t="s">
        <v>7992</v>
      </c>
      <c r="C7969" s="1" t="s">
        <v>24</v>
      </c>
      <c r="D7969" s="1" t="str">
        <f t="shared" si="13625"/>
        <v>2021</v>
      </c>
      <c r="E7969" s="1" t="str">
        <f t="shared" ref="E7969:P7969" si="13659">"0"</f>
        <v>0</v>
      </c>
      <c r="F7969" s="1" t="str">
        <f t="shared" si="13659"/>
        <v>0</v>
      </c>
      <c r="G7969" s="1" t="str">
        <f t="shared" si="13659"/>
        <v>0</v>
      </c>
      <c r="H7969" s="1" t="str">
        <f t="shared" si="13659"/>
        <v>0</v>
      </c>
      <c r="I7969" s="1" t="str">
        <f t="shared" si="13659"/>
        <v>0</v>
      </c>
      <c r="J7969" s="1" t="str">
        <f t="shared" si="13659"/>
        <v>0</v>
      </c>
      <c r="K7969" s="1" t="str">
        <f t="shared" si="13659"/>
        <v>0</v>
      </c>
      <c r="L7969" s="1" t="str">
        <f t="shared" si="13659"/>
        <v>0</v>
      </c>
      <c r="M7969" s="1" t="str">
        <f t="shared" si="13659"/>
        <v>0</v>
      </c>
      <c r="N7969" s="1" t="str">
        <f t="shared" si="13659"/>
        <v>0</v>
      </c>
      <c r="O7969" s="1" t="str">
        <f t="shared" si="13659"/>
        <v>0</v>
      </c>
      <c r="P7969" s="1" t="str">
        <f t="shared" si="13659"/>
        <v>0</v>
      </c>
      <c r="Q7969" s="1" t="str">
        <f t="shared" si="13627"/>
        <v>0.0070</v>
      </c>
      <c r="R7969" s="1" t="s">
        <v>25</v>
      </c>
      <c r="T7969" s="1" t="str">
        <f t="shared" si="13628"/>
        <v>0</v>
      </c>
      <c r="U7969" s="1" t="str">
        <f t="shared" si="13654"/>
        <v>0.0070</v>
      </c>
    </row>
    <row r="7970" s="1" customFormat="1" spans="1:21">
      <c r="A7970" s="1" t="str">
        <f>"4601992369775"</f>
        <v>4601992369775</v>
      </c>
      <c r="B7970" s="1" t="s">
        <v>7993</v>
      </c>
      <c r="C7970" s="1" t="s">
        <v>24</v>
      </c>
      <c r="D7970" s="1" t="str">
        <f t="shared" si="13625"/>
        <v>2021</v>
      </c>
      <c r="E7970" s="1" t="str">
        <f t="shared" ref="E7970:P7970" si="13660">"0"</f>
        <v>0</v>
      </c>
      <c r="F7970" s="1" t="str">
        <f t="shared" si="13660"/>
        <v>0</v>
      </c>
      <c r="G7970" s="1" t="str">
        <f t="shared" si="13660"/>
        <v>0</v>
      </c>
      <c r="H7970" s="1" t="str">
        <f t="shared" si="13660"/>
        <v>0</v>
      </c>
      <c r="I7970" s="1" t="str">
        <f t="shared" si="13660"/>
        <v>0</v>
      </c>
      <c r="J7970" s="1" t="str">
        <f t="shared" si="13660"/>
        <v>0</v>
      </c>
      <c r="K7970" s="1" t="str">
        <f t="shared" si="13660"/>
        <v>0</v>
      </c>
      <c r="L7970" s="1" t="str">
        <f t="shared" si="13660"/>
        <v>0</v>
      </c>
      <c r="M7970" s="1" t="str">
        <f t="shared" si="13660"/>
        <v>0</v>
      </c>
      <c r="N7970" s="1" t="str">
        <f t="shared" si="13660"/>
        <v>0</v>
      </c>
      <c r="O7970" s="1" t="str">
        <f t="shared" si="13660"/>
        <v>0</v>
      </c>
      <c r="P7970" s="1" t="str">
        <f t="shared" si="13660"/>
        <v>0</v>
      </c>
      <c r="Q7970" s="1" t="str">
        <f t="shared" si="13627"/>
        <v>0.0070</v>
      </c>
      <c r="R7970" s="1" t="s">
        <v>25</v>
      </c>
      <c r="T7970" s="1" t="str">
        <f t="shared" si="13628"/>
        <v>0</v>
      </c>
      <c r="U7970" s="1" t="str">
        <f t="shared" si="13654"/>
        <v>0.0070</v>
      </c>
    </row>
    <row r="7971" s="1" customFormat="1" spans="1:21">
      <c r="A7971" s="1" t="str">
        <f>"4601992369863"</f>
        <v>4601992369863</v>
      </c>
      <c r="B7971" s="1" t="s">
        <v>7994</v>
      </c>
      <c r="C7971" s="1" t="s">
        <v>24</v>
      </c>
      <c r="D7971" s="1" t="str">
        <f t="shared" si="13625"/>
        <v>2021</v>
      </c>
      <c r="E7971" s="1" t="str">
        <f t="shared" ref="E7971:P7971" si="13661">"0"</f>
        <v>0</v>
      </c>
      <c r="F7971" s="1" t="str">
        <f t="shared" si="13661"/>
        <v>0</v>
      </c>
      <c r="G7971" s="1" t="str">
        <f t="shared" si="13661"/>
        <v>0</v>
      </c>
      <c r="H7971" s="1" t="str">
        <f t="shared" si="13661"/>
        <v>0</v>
      </c>
      <c r="I7971" s="1" t="str">
        <f t="shared" si="13661"/>
        <v>0</v>
      </c>
      <c r="J7971" s="1" t="str">
        <f t="shared" si="13661"/>
        <v>0</v>
      </c>
      <c r="K7971" s="1" t="str">
        <f t="shared" si="13661"/>
        <v>0</v>
      </c>
      <c r="L7971" s="1" t="str">
        <f t="shared" si="13661"/>
        <v>0</v>
      </c>
      <c r="M7971" s="1" t="str">
        <f t="shared" si="13661"/>
        <v>0</v>
      </c>
      <c r="N7971" s="1" t="str">
        <f t="shared" si="13661"/>
        <v>0</v>
      </c>
      <c r="O7971" s="1" t="str">
        <f t="shared" si="13661"/>
        <v>0</v>
      </c>
      <c r="P7971" s="1" t="str">
        <f t="shared" si="13661"/>
        <v>0</v>
      </c>
      <c r="Q7971" s="1" t="str">
        <f t="shared" si="13627"/>
        <v>0.0070</v>
      </c>
      <c r="R7971" s="1" t="s">
        <v>25</v>
      </c>
      <c r="T7971" s="1" t="str">
        <f t="shared" si="13628"/>
        <v>0</v>
      </c>
      <c r="U7971" s="1" t="str">
        <f t="shared" si="13654"/>
        <v>0.0070</v>
      </c>
    </row>
    <row r="7972" s="1" customFormat="1" spans="1:21">
      <c r="A7972" s="1" t="str">
        <f>"4601992369905"</f>
        <v>4601992369905</v>
      </c>
      <c r="B7972" s="1" t="s">
        <v>7995</v>
      </c>
      <c r="C7972" s="1" t="s">
        <v>24</v>
      </c>
      <c r="D7972" s="1" t="str">
        <f t="shared" si="13625"/>
        <v>2021</v>
      </c>
      <c r="E7972" s="1" t="str">
        <f t="shared" ref="E7972:P7972" si="13662">"0"</f>
        <v>0</v>
      </c>
      <c r="F7972" s="1" t="str">
        <f t="shared" si="13662"/>
        <v>0</v>
      </c>
      <c r="G7972" s="1" t="str">
        <f t="shared" si="13662"/>
        <v>0</v>
      </c>
      <c r="H7972" s="1" t="str">
        <f t="shared" si="13662"/>
        <v>0</v>
      </c>
      <c r="I7972" s="1" t="str">
        <f t="shared" si="13662"/>
        <v>0</v>
      </c>
      <c r="J7972" s="1" t="str">
        <f t="shared" si="13662"/>
        <v>0</v>
      </c>
      <c r="K7972" s="1" t="str">
        <f t="shared" si="13662"/>
        <v>0</v>
      </c>
      <c r="L7972" s="1" t="str">
        <f t="shared" si="13662"/>
        <v>0</v>
      </c>
      <c r="M7972" s="1" t="str">
        <f t="shared" si="13662"/>
        <v>0</v>
      </c>
      <c r="N7972" s="1" t="str">
        <f t="shared" si="13662"/>
        <v>0</v>
      </c>
      <c r="O7972" s="1" t="str">
        <f t="shared" si="13662"/>
        <v>0</v>
      </c>
      <c r="P7972" s="1" t="str">
        <f t="shared" si="13662"/>
        <v>0</v>
      </c>
      <c r="Q7972" s="1" t="str">
        <f t="shared" si="13627"/>
        <v>0.0070</v>
      </c>
      <c r="R7972" s="1" t="s">
        <v>25</v>
      </c>
      <c r="T7972" s="1" t="str">
        <f t="shared" si="13628"/>
        <v>0</v>
      </c>
      <c r="U7972" s="1" t="str">
        <f t="shared" si="13654"/>
        <v>0.0070</v>
      </c>
    </row>
    <row r="7973" s="1" customFormat="1" spans="1:21">
      <c r="A7973" s="1" t="str">
        <f>"4601992370073"</f>
        <v>4601992370073</v>
      </c>
      <c r="B7973" s="1" t="s">
        <v>7996</v>
      </c>
      <c r="C7973" s="1" t="s">
        <v>24</v>
      </c>
      <c r="D7973" s="1" t="str">
        <f t="shared" si="13625"/>
        <v>2021</v>
      </c>
      <c r="E7973" s="1" t="str">
        <f t="shared" ref="E7973:P7973" si="13663">"0"</f>
        <v>0</v>
      </c>
      <c r="F7973" s="1" t="str">
        <f t="shared" si="13663"/>
        <v>0</v>
      </c>
      <c r="G7973" s="1" t="str">
        <f t="shared" si="13663"/>
        <v>0</v>
      </c>
      <c r="H7973" s="1" t="str">
        <f t="shared" si="13663"/>
        <v>0</v>
      </c>
      <c r="I7973" s="1" t="str">
        <f t="shared" si="13663"/>
        <v>0</v>
      </c>
      <c r="J7973" s="1" t="str">
        <f t="shared" si="13663"/>
        <v>0</v>
      </c>
      <c r="K7973" s="1" t="str">
        <f t="shared" si="13663"/>
        <v>0</v>
      </c>
      <c r="L7973" s="1" t="str">
        <f t="shared" si="13663"/>
        <v>0</v>
      </c>
      <c r="M7973" s="1" t="str">
        <f t="shared" si="13663"/>
        <v>0</v>
      </c>
      <c r="N7973" s="1" t="str">
        <f t="shared" si="13663"/>
        <v>0</v>
      </c>
      <c r="O7973" s="1" t="str">
        <f t="shared" si="13663"/>
        <v>0</v>
      </c>
      <c r="P7973" s="1" t="str">
        <f t="shared" si="13663"/>
        <v>0</v>
      </c>
      <c r="Q7973" s="1" t="str">
        <f t="shared" si="13627"/>
        <v>0.0070</v>
      </c>
      <c r="R7973" s="1" t="s">
        <v>25</v>
      </c>
      <c r="T7973" s="1" t="str">
        <f t="shared" si="13628"/>
        <v>0</v>
      </c>
      <c r="U7973" s="1" t="str">
        <f t="shared" si="13654"/>
        <v>0.0070</v>
      </c>
    </row>
    <row r="7974" s="1" customFormat="1" spans="1:21">
      <c r="A7974" s="1" t="str">
        <f>"4601992370215"</f>
        <v>4601992370215</v>
      </c>
      <c r="B7974" s="1" t="s">
        <v>7997</v>
      </c>
      <c r="C7974" s="1" t="s">
        <v>24</v>
      </c>
      <c r="D7974" s="1" t="str">
        <f t="shared" si="13625"/>
        <v>2021</v>
      </c>
      <c r="E7974" s="1" t="str">
        <f t="shared" ref="E7974:P7974" si="13664">"0"</f>
        <v>0</v>
      </c>
      <c r="F7974" s="1" t="str">
        <f t="shared" si="13664"/>
        <v>0</v>
      </c>
      <c r="G7974" s="1" t="str">
        <f t="shared" si="13664"/>
        <v>0</v>
      </c>
      <c r="H7974" s="1" t="str">
        <f t="shared" si="13664"/>
        <v>0</v>
      </c>
      <c r="I7974" s="1" t="str">
        <f t="shared" si="13664"/>
        <v>0</v>
      </c>
      <c r="J7974" s="1" t="str">
        <f t="shared" si="13664"/>
        <v>0</v>
      </c>
      <c r="K7974" s="1" t="str">
        <f t="shared" si="13664"/>
        <v>0</v>
      </c>
      <c r="L7974" s="1" t="str">
        <f t="shared" si="13664"/>
        <v>0</v>
      </c>
      <c r="M7974" s="1" t="str">
        <f t="shared" si="13664"/>
        <v>0</v>
      </c>
      <c r="N7974" s="1" t="str">
        <f t="shared" si="13664"/>
        <v>0</v>
      </c>
      <c r="O7974" s="1" t="str">
        <f t="shared" si="13664"/>
        <v>0</v>
      </c>
      <c r="P7974" s="1" t="str">
        <f t="shared" si="13664"/>
        <v>0</v>
      </c>
      <c r="Q7974" s="1" t="str">
        <f t="shared" si="13627"/>
        <v>0.0070</v>
      </c>
      <c r="R7974" s="1" t="s">
        <v>25</v>
      </c>
      <c r="T7974" s="1" t="str">
        <f t="shared" si="13628"/>
        <v>0</v>
      </c>
      <c r="U7974" s="1" t="str">
        <f t="shared" si="13654"/>
        <v>0.0070</v>
      </c>
    </row>
    <row r="7975" s="1" customFormat="1" spans="1:21">
      <c r="A7975" s="1" t="str">
        <f>"4601992370401"</f>
        <v>4601992370401</v>
      </c>
      <c r="B7975" s="1" t="s">
        <v>7998</v>
      </c>
      <c r="C7975" s="1" t="s">
        <v>24</v>
      </c>
      <c r="D7975" s="1" t="str">
        <f t="shared" si="13625"/>
        <v>2021</v>
      </c>
      <c r="E7975" s="1" t="str">
        <f t="shared" ref="E7975:P7975" si="13665">"0"</f>
        <v>0</v>
      </c>
      <c r="F7975" s="1" t="str">
        <f t="shared" si="13665"/>
        <v>0</v>
      </c>
      <c r="G7975" s="1" t="str">
        <f t="shared" si="13665"/>
        <v>0</v>
      </c>
      <c r="H7975" s="1" t="str">
        <f t="shared" si="13665"/>
        <v>0</v>
      </c>
      <c r="I7975" s="1" t="str">
        <f t="shared" si="13665"/>
        <v>0</v>
      </c>
      <c r="J7975" s="1" t="str">
        <f t="shared" si="13665"/>
        <v>0</v>
      </c>
      <c r="K7975" s="1" t="str">
        <f t="shared" si="13665"/>
        <v>0</v>
      </c>
      <c r="L7975" s="1" t="str">
        <f t="shared" si="13665"/>
        <v>0</v>
      </c>
      <c r="M7975" s="1" t="str">
        <f t="shared" si="13665"/>
        <v>0</v>
      </c>
      <c r="N7975" s="1" t="str">
        <f t="shared" si="13665"/>
        <v>0</v>
      </c>
      <c r="O7975" s="1" t="str">
        <f t="shared" si="13665"/>
        <v>0</v>
      </c>
      <c r="P7975" s="1" t="str">
        <f t="shared" si="13665"/>
        <v>0</v>
      </c>
      <c r="Q7975" s="1" t="str">
        <f t="shared" si="13627"/>
        <v>0.0070</v>
      </c>
      <c r="R7975" s="1" t="s">
        <v>25</v>
      </c>
      <c r="T7975" s="1" t="str">
        <f t="shared" si="13628"/>
        <v>0</v>
      </c>
      <c r="U7975" s="1" t="str">
        <f t="shared" si="13654"/>
        <v>0.0070</v>
      </c>
    </row>
    <row r="7976" s="1" customFormat="1" spans="1:21">
      <c r="A7976" s="1" t="str">
        <f>"4601992370446"</f>
        <v>4601992370446</v>
      </c>
      <c r="B7976" s="1" t="s">
        <v>7999</v>
      </c>
      <c r="C7976" s="1" t="s">
        <v>24</v>
      </c>
      <c r="D7976" s="1" t="str">
        <f t="shared" si="13625"/>
        <v>2021</v>
      </c>
      <c r="E7976" s="1" t="str">
        <f t="shared" ref="E7976:P7976" si="13666">"0"</f>
        <v>0</v>
      </c>
      <c r="F7976" s="1" t="str">
        <f t="shared" si="13666"/>
        <v>0</v>
      </c>
      <c r="G7976" s="1" t="str">
        <f t="shared" si="13666"/>
        <v>0</v>
      </c>
      <c r="H7976" s="1" t="str">
        <f t="shared" si="13666"/>
        <v>0</v>
      </c>
      <c r="I7976" s="1" t="str">
        <f t="shared" si="13666"/>
        <v>0</v>
      </c>
      <c r="J7976" s="1" t="str">
        <f t="shared" si="13666"/>
        <v>0</v>
      </c>
      <c r="K7976" s="1" t="str">
        <f t="shared" si="13666"/>
        <v>0</v>
      </c>
      <c r="L7976" s="1" t="str">
        <f t="shared" si="13666"/>
        <v>0</v>
      </c>
      <c r="M7976" s="1" t="str">
        <f t="shared" si="13666"/>
        <v>0</v>
      </c>
      <c r="N7976" s="1" t="str">
        <f t="shared" si="13666"/>
        <v>0</v>
      </c>
      <c r="O7976" s="1" t="str">
        <f t="shared" si="13666"/>
        <v>0</v>
      </c>
      <c r="P7976" s="1" t="str">
        <f t="shared" si="13666"/>
        <v>0</v>
      </c>
      <c r="Q7976" s="1" t="str">
        <f t="shared" si="13627"/>
        <v>0.0070</v>
      </c>
      <c r="R7976" s="1" t="s">
        <v>25</v>
      </c>
      <c r="T7976" s="1" t="str">
        <f t="shared" si="13628"/>
        <v>0</v>
      </c>
      <c r="U7976" s="1" t="str">
        <f t="shared" si="13654"/>
        <v>0.0070</v>
      </c>
    </row>
    <row r="7977" s="1" customFormat="1" spans="1:21">
      <c r="A7977" s="1" t="str">
        <f>"4601992370464"</f>
        <v>4601992370464</v>
      </c>
      <c r="B7977" s="1" t="s">
        <v>8000</v>
      </c>
      <c r="C7977" s="1" t="s">
        <v>24</v>
      </c>
      <c r="D7977" s="1" t="str">
        <f t="shared" si="13625"/>
        <v>2021</v>
      </c>
      <c r="E7977" s="1" t="str">
        <f t="shared" ref="E7977:P7977" si="13667">"0"</f>
        <v>0</v>
      </c>
      <c r="F7977" s="1" t="str">
        <f t="shared" si="13667"/>
        <v>0</v>
      </c>
      <c r="G7977" s="1" t="str">
        <f t="shared" si="13667"/>
        <v>0</v>
      </c>
      <c r="H7977" s="1" t="str">
        <f t="shared" si="13667"/>
        <v>0</v>
      </c>
      <c r="I7977" s="1" t="str">
        <f t="shared" si="13667"/>
        <v>0</v>
      </c>
      <c r="J7977" s="1" t="str">
        <f t="shared" si="13667"/>
        <v>0</v>
      </c>
      <c r="K7977" s="1" t="str">
        <f t="shared" si="13667"/>
        <v>0</v>
      </c>
      <c r="L7977" s="1" t="str">
        <f t="shared" si="13667"/>
        <v>0</v>
      </c>
      <c r="M7977" s="1" t="str">
        <f t="shared" si="13667"/>
        <v>0</v>
      </c>
      <c r="N7977" s="1" t="str">
        <f t="shared" si="13667"/>
        <v>0</v>
      </c>
      <c r="O7977" s="1" t="str">
        <f t="shared" si="13667"/>
        <v>0</v>
      </c>
      <c r="P7977" s="1" t="str">
        <f t="shared" si="13667"/>
        <v>0</v>
      </c>
      <c r="Q7977" s="1" t="str">
        <f t="shared" si="13627"/>
        <v>0.0070</v>
      </c>
      <c r="R7977" s="1" t="s">
        <v>25</v>
      </c>
      <c r="T7977" s="1" t="str">
        <f t="shared" si="13628"/>
        <v>0</v>
      </c>
      <c r="U7977" s="1" t="str">
        <f t="shared" si="13654"/>
        <v>0.0070</v>
      </c>
    </row>
    <row r="7978" s="1" customFormat="1" spans="1:21">
      <c r="A7978" s="1" t="str">
        <f>"4601992370659"</f>
        <v>4601992370659</v>
      </c>
      <c r="B7978" s="1" t="s">
        <v>8001</v>
      </c>
      <c r="C7978" s="1" t="s">
        <v>24</v>
      </c>
      <c r="D7978" s="1" t="str">
        <f t="shared" si="13625"/>
        <v>2021</v>
      </c>
      <c r="E7978" s="1" t="str">
        <f t="shared" ref="E7978:P7978" si="13668">"0"</f>
        <v>0</v>
      </c>
      <c r="F7978" s="1" t="str">
        <f t="shared" si="13668"/>
        <v>0</v>
      </c>
      <c r="G7978" s="1" t="str">
        <f t="shared" si="13668"/>
        <v>0</v>
      </c>
      <c r="H7978" s="1" t="str">
        <f t="shared" si="13668"/>
        <v>0</v>
      </c>
      <c r="I7978" s="1" t="str">
        <f t="shared" si="13668"/>
        <v>0</v>
      </c>
      <c r="J7978" s="1" t="str">
        <f t="shared" si="13668"/>
        <v>0</v>
      </c>
      <c r="K7978" s="1" t="str">
        <f t="shared" si="13668"/>
        <v>0</v>
      </c>
      <c r="L7978" s="1" t="str">
        <f t="shared" si="13668"/>
        <v>0</v>
      </c>
      <c r="M7978" s="1" t="str">
        <f t="shared" si="13668"/>
        <v>0</v>
      </c>
      <c r="N7978" s="1" t="str">
        <f t="shared" si="13668"/>
        <v>0</v>
      </c>
      <c r="O7978" s="1" t="str">
        <f t="shared" si="13668"/>
        <v>0</v>
      </c>
      <c r="P7978" s="1" t="str">
        <f t="shared" si="13668"/>
        <v>0</v>
      </c>
      <c r="Q7978" s="1" t="str">
        <f t="shared" si="13627"/>
        <v>0.0070</v>
      </c>
      <c r="R7978" s="1" t="s">
        <v>25</v>
      </c>
      <c r="T7978" s="1" t="str">
        <f t="shared" si="13628"/>
        <v>0</v>
      </c>
      <c r="U7978" s="1" t="str">
        <f t="shared" si="13654"/>
        <v>0.0070</v>
      </c>
    </row>
    <row r="7979" s="1" customFormat="1" spans="1:21">
      <c r="A7979" s="1" t="str">
        <f>"4601992370691"</f>
        <v>4601992370691</v>
      </c>
      <c r="B7979" s="1" t="s">
        <v>8002</v>
      </c>
      <c r="C7979" s="1" t="s">
        <v>24</v>
      </c>
      <c r="D7979" s="1" t="str">
        <f t="shared" si="13625"/>
        <v>2021</v>
      </c>
      <c r="E7979" s="1" t="str">
        <f t="shared" ref="E7979:P7979" si="13669">"0"</f>
        <v>0</v>
      </c>
      <c r="F7979" s="1" t="str">
        <f t="shared" si="13669"/>
        <v>0</v>
      </c>
      <c r="G7979" s="1" t="str">
        <f t="shared" si="13669"/>
        <v>0</v>
      </c>
      <c r="H7979" s="1" t="str">
        <f t="shared" si="13669"/>
        <v>0</v>
      </c>
      <c r="I7979" s="1" t="str">
        <f t="shared" si="13669"/>
        <v>0</v>
      </c>
      <c r="J7979" s="1" t="str">
        <f t="shared" si="13669"/>
        <v>0</v>
      </c>
      <c r="K7979" s="1" t="str">
        <f t="shared" si="13669"/>
        <v>0</v>
      </c>
      <c r="L7979" s="1" t="str">
        <f t="shared" si="13669"/>
        <v>0</v>
      </c>
      <c r="M7979" s="1" t="str">
        <f t="shared" si="13669"/>
        <v>0</v>
      </c>
      <c r="N7979" s="1" t="str">
        <f t="shared" si="13669"/>
        <v>0</v>
      </c>
      <c r="O7979" s="1" t="str">
        <f t="shared" si="13669"/>
        <v>0</v>
      </c>
      <c r="P7979" s="1" t="str">
        <f t="shared" si="13669"/>
        <v>0</v>
      </c>
      <c r="Q7979" s="1" t="str">
        <f t="shared" si="13627"/>
        <v>0.0070</v>
      </c>
      <c r="R7979" s="1" t="s">
        <v>25</v>
      </c>
      <c r="T7979" s="1" t="str">
        <f t="shared" si="13628"/>
        <v>0</v>
      </c>
      <c r="U7979" s="1" t="str">
        <f t="shared" si="13654"/>
        <v>0.0070</v>
      </c>
    </row>
    <row r="7980" s="1" customFormat="1" spans="1:21">
      <c r="A7980" s="1" t="str">
        <f>"4601992370577"</f>
        <v>4601992370577</v>
      </c>
      <c r="B7980" s="1" t="s">
        <v>8003</v>
      </c>
      <c r="C7980" s="1" t="s">
        <v>24</v>
      </c>
      <c r="D7980" s="1" t="str">
        <f t="shared" si="13625"/>
        <v>2021</v>
      </c>
      <c r="E7980" s="1" t="str">
        <f t="shared" ref="E7980:P7980" si="13670">"0"</f>
        <v>0</v>
      </c>
      <c r="F7980" s="1" t="str">
        <f t="shared" si="13670"/>
        <v>0</v>
      </c>
      <c r="G7980" s="1" t="str">
        <f t="shared" si="13670"/>
        <v>0</v>
      </c>
      <c r="H7980" s="1" t="str">
        <f t="shared" si="13670"/>
        <v>0</v>
      </c>
      <c r="I7980" s="1" t="str">
        <f t="shared" si="13670"/>
        <v>0</v>
      </c>
      <c r="J7980" s="1" t="str">
        <f t="shared" si="13670"/>
        <v>0</v>
      </c>
      <c r="K7980" s="1" t="str">
        <f t="shared" si="13670"/>
        <v>0</v>
      </c>
      <c r="L7980" s="1" t="str">
        <f t="shared" si="13670"/>
        <v>0</v>
      </c>
      <c r="M7980" s="1" t="str">
        <f t="shared" si="13670"/>
        <v>0</v>
      </c>
      <c r="N7980" s="1" t="str">
        <f t="shared" si="13670"/>
        <v>0</v>
      </c>
      <c r="O7980" s="1" t="str">
        <f t="shared" si="13670"/>
        <v>0</v>
      </c>
      <c r="P7980" s="1" t="str">
        <f t="shared" si="13670"/>
        <v>0</v>
      </c>
      <c r="Q7980" s="1" t="str">
        <f t="shared" si="13627"/>
        <v>0.0070</v>
      </c>
      <c r="R7980" s="1" t="s">
        <v>25</v>
      </c>
      <c r="T7980" s="1" t="str">
        <f t="shared" si="13628"/>
        <v>0</v>
      </c>
      <c r="U7980" s="1" t="str">
        <f t="shared" si="13654"/>
        <v>0.0070</v>
      </c>
    </row>
    <row r="7981" s="1" customFormat="1" spans="1:21">
      <c r="A7981" s="1" t="str">
        <f>"4601992370711"</f>
        <v>4601992370711</v>
      </c>
      <c r="B7981" s="1" t="s">
        <v>8004</v>
      </c>
      <c r="C7981" s="1" t="s">
        <v>24</v>
      </c>
      <c r="D7981" s="1" t="str">
        <f t="shared" si="13625"/>
        <v>2021</v>
      </c>
      <c r="E7981" s="1" t="str">
        <f t="shared" ref="E7981:P7981" si="13671">"0"</f>
        <v>0</v>
      </c>
      <c r="F7981" s="1" t="str">
        <f t="shared" si="13671"/>
        <v>0</v>
      </c>
      <c r="G7981" s="1" t="str">
        <f t="shared" si="13671"/>
        <v>0</v>
      </c>
      <c r="H7981" s="1" t="str">
        <f t="shared" si="13671"/>
        <v>0</v>
      </c>
      <c r="I7981" s="1" t="str">
        <f t="shared" si="13671"/>
        <v>0</v>
      </c>
      <c r="J7981" s="1" t="str">
        <f t="shared" si="13671"/>
        <v>0</v>
      </c>
      <c r="K7981" s="1" t="str">
        <f t="shared" si="13671"/>
        <v>0</v>
      </c>
      <c r="L7981" s="1" t="str">
        <f t="shared" si="13671"/>
        <v>0</v>
      </c>
      <c r="M7981" s="1" t="str">
        <f t="shared" si="13671"/>
        <v>0</v>
      </c>
      <c r="N7981" s="1" t="str">
        <f t="shared" si="13671"/>
        <v>0</v>
      </c>
      <c r="O7981" s="1" t="str">
        <f t="shared" si="13671"/>
        <v>0</v>
      </c>
      <c r="P7981" s="1" t="str">
        <f t="shared" si="13671"/>
        <v>0</v>
      </c>
      <c r="Q7981" s="1" t="str">
        <f t="shared" si="13627"/>
        <v>0.0070</v>
      </c>
      <c r="R7981" s="1" t="s">
        <v>25</v>
      </c>
      <c r="T7981" s="1" t="str">
        <f t="shared" si="13628"/>
        <v>0</v>
      </c>
      <c r="U7981" s="1" t="str">
        <f t="shared" si="13654"/>
        <v>0.0070</v>
      </c>
    </row>
    <row r="7982" s="1" customFormat="1" spans="1:21">
      <c r="A7982" s="1" t="str">
        <f>"4601992370707"</f>
        <v>4601992370707</v>
      </c>
      <c r="B7982" s="1" t="s">
        <v>8005</v>
      </c>
      <c r="C7982" s="1" t="s">
        <v>24</v>
      </c>
      <c r="D7982" s="1" t="str">
        <f t="shared" si="13625"/>
        <v>2021</v>
      </c>
      <c r="E7982" s="1" t="str">
        <f t="shared" ref="E7982:P7982" si="13672">"0"</f>
        <v>0</v>
      </c>
      <c r="F7982" s="1" t="str">
        <f t="shared" si="13672"/>
        <v>0</v>
      </c>
      <c r="G7982" s="1" t="str">
        <f t="shared" si="13672"/>
        <v>0</v>
      </c>
      <c r="H7982" s="1" t="str">
        <f t="shared" si="13672"/>
        <v>0</v>
      </c>
      <c r="I7982" s="1" t="str">
        <f t="shared" si="13672"/>
        <v>0</v>
      </c>
      <c r="J7982" s="1" t="str">
        <f t="shared" si="13672"/>
        <v>0</v>
      </c>
      <c r="K7982" s="1" t="str">
        <f t="shared" si="13672"/>
        <v>0</v>
      </c>
      <c r="L7982" s="1" t="str">
        <f t="shared" si="13672"/>
        <v>0</v>
      </c>
      <c r="M7982" s="1" t="str">
        <f t="shared" si="13672"/>
        <v>0</v>
      </c>
      <c r="N7982" s="1" t="str">
        <f t="shared" si="13672"/>
        <v>0</v>
      </c>
      <c r="O7982" s="1" t="str">
        <f t="shared" si="13672"/>
        <v>0</v>
      </c>
      <c r="P7982" s="1" t="str">
        <f t="shared" si="13672"/>
        <v>0</v>
      </c>
      <c r="Q7982" s="1" t="str">
        <f t="shared" si="13627"/>
        <v>0.0070</v>
      </c>
      <c r="R7982" s="1" t="s">
        <v>25</v>
      </c>
      <c r="T7982" s="1" t="str">
        <f t="shared" si="13628"/>
        <v>0</v>
      </c>
      <c r="U7982" s="1" t="str">
        <f t="shared" si="13654"/>
        <v>0.0070</v>
      </c>
    </row>
    <row r="7983" s="1" customFormat="1" spans="1:21">
      <c r="A7983" s="1" t="str">
        <f>"4601992370718"</f>
        <v>4601992370718</v>
      </c>
      <c r="B7983" s="1" t="s">
        <v>8006</v>
      </c>
      <c r="C7983" s="1" t="s">
        <v>24</v>
      </c>
      <c r="D7983" s="1" t="str">
        <f t="shared" si="13625"/>
        <v>2021</v>
      </c>
      <c r="E7983" s="1" t="str">
        <f t="shared" ref="E7983:P7983" si="13673">"0"</f>
        <v>0</v>
      </c>
      <c r="F7983" s="1" t="str">
        <f t="shared" si="13673"/>
        <v>0</v>
      </c>
      <c r="G7983" s="1" t="str">
        <f t="shared" si="13673"/>
        <v>0</v>
      </c>
      <c r="H7983" s="1" t="str">
        <f t="shared" si="13673"/>
        <v>0</v>
      </c>
      <c r="I7983" s="1" t="str">
        <f t="shared" si="13673"/>
        <v>0</v>
      </c>
      <c r="J7983" s="1" t="str">
        <f t="shared" si="13673"/>
        <v>0</v>
      </c>
      <c r="K7983" s="1" t="str">
        <f t="shared" si="13673"/>
        <v>0</v>
      </c>
      <c r="L7983" s="1" t="str">
        <f t="shared" si="13673"/>
        <v>0</v>
      </c>
      <c r="M7983" s="1" t="str">
        <f t="shared" si="13673"/>
        <v>0</v>
      </c>
      <c r="N7983" s="1" t="str">
        <f t="shared" si="13673"/>
        <v>0</v>
      </c>
      <c r="O7983" s="1" t="str">
        <f t="shared" si="13673"/>
        <v>0</v>
      </c>
      <c r="P7983" s="1" t="str">
        <f t="shared" si="13673"/>
        <v>0</v>
      </c>
      <c r="Q7983" s="1" t="str">
        <f t="shared" si="13627"/>
        <v>0.0070</v>
      </c>
      <c r="R7983" s="1" t="s">
        <v>25</v>
      </c>
      <c r="T7983" s="1" t="str">
        <f t="shared" si="13628"/>
        <v>0</v>
      </c>
      <c r="U7983" s="1" t="str">
        <f t="shared" si="13654"/>
        <v>0.0070</v>
      </c>
    </row>
    <row r="7984" s="1" customFormat="1" spans="1:21">
      <c r="A7984" s="1" t="str">
        <f>"4601992370708"</f>
        <v>4601992370708</v>
      </c>
      <c r="B7984" s="1" t="s">
        <v>8007</v>
      </c>
      <c r="C7984" s="1" t="s">
        <v>24</v>
      </c>
      <c r="D7984" s="1" t="str">
        <f t="shared" si="13625"/>
        <v>2021</v>
      </c>
      <c r="E7984" s="1" t="str">
        <f t="shared" ref="E7984:P7984" si="13674">"0"</f>
        <v>0</v>
      </c>
      <c r="F7984" s="1" t="str">
        <f t="shared" si="13674"/>
        <v>0</v>
      </c>
      <c r="G7984" s="1" t="str">
        <f t="shared" si="13674"/>
        <v>0</v>
      </c>
      <c r="H7984" s="1" t="str">
        <f t="shared" si="13674"/>
        <v>0</v>
      </c>
      <c r="I7984" s="1" t="str">
        <f t="shared" si="13674"/>
        <v>0</v>
      </c>
      <c r="J7984" s="1" t="str">
        <f t="shared" si="13674"/>
        <v>0</v>
      </c>
      <c r="K7984" s="1" t="str">
        <f t="shared" si="13674"/>
        <v>0</v>
      </c>
      <c r="L7984" s="1" t="str">
        <f t="shared" si="13674"/>
        <v>0</v>
      </c>
      <c r="M7984" s="1" t="str">
        <f t="shared" si="13674"/>
        <v>0</v>
      </c>
      <c r="N7984" s="1" t="str">
        <f t="shared" si="13674"/>
        <v>0</v>
      </c>
      <c r="O7984" s="1" t="str">
        <f t="shared" si="13674"/>
        <v>0</v>
      </c>
      <c r="P7984" s="1" t="str">
        <f t="shared" si="13674"/>
        <v>0</v>
      </c>
      <c r="Q7984" s="1" t="str">
        <f t="shared" si="13627"/>
        <v>0.0070</v>
      </c>
      <c r="R7984" s="1" t="s">
        <v>25</v>
      </c>
      <c r="T7984" s="1" t="str">
        <f t="shared" si="13628"/>
        <v>0</v>
      </c>
      <c r="U7984" s="1" t="str">
        <f t="shared" si="13654"/>
        <v>0.0070</v>
      </c>
    </row>
    <row r="7985" s="1" customFormat="1" spans="1:21">
      <c r="A7985" s="1" t="str">
        <f>"4601992370987"</f>
        <v>4601992370987</v>
      </c>
      <c r="B7985" s="1" t="s">
        <v>8008</v>
      </c>
      <c r="C7985" s="1" t="s">
        <v>24</v>
      </c>
      <c r="D7985" s="1" t="str">
        <f t="shared" si="13625"/>
        <v>2021</v>
      </c>
      <c r="E7985" s="1" t="str">
        <f t="shared" ref="E7985:P7985" si="13675">"0"</f>
        <v>0</v>
      </c>
      <c r="F7985" s="1" t="str">
        <f t="shared" si="13675"/>
        <v>0</v>
      </c>
      <c r="G7985" s="1" t="str">
        <f t="shared" si="13675"/>
        <v>0</v>
      </c>
      <c r="H7985" s="1" t="str">
        <f t="shared" si="13675"/>
        <v>0</v>
      </c>
      <c r="I7985" s="1" t="str">
        <f t="shared" si="13675"/>
        <v>0</v>
      </c>
      <c r="J7985" s="1" t="str">
        <f t="shared" si="13675"/>
        <v>0</v>
      </c>
      <c r="K7985" s="1" t="str">
        <f t="shared" si="13675"/>
        <v>0</v>
      </c>
      <c r="L7985" s="1" t="str">
        <f t="shared" si="13675"/>
        <v>0</v>
      </c>
      <c r="M7985" s="1" t="str">
        <f t="shared" si="13675"/>
        <v>0</v>
      </c>
      <c r="N7985" s="1" t="str">
        <f t="shared" si="13675"/>
        <v>0</v>
      </c>
      <c r="O7985" s="1" t="str">
        <f t="shared" si="13675"/>
        <v>0</v>
      </c>
      <c r="P7985" s="1" t="str">
        <f t="shared" si="13675"/>
        <v>0</v>
      </c>
      <c r="Q7985" s="1" t="str">
        <f t="shared" si="13627"/>
        <v>0.0070</v>
      </c>
      <c r="R7985" s="1" t="s">
        <v>25</v>
      </c>
      <c r="T7985" s="1" t="str">
        <f t="shared" si="13628"/>
        <v>0</v>
      </c>
      <c r="U7985" s="1" t="str">
        <f t="shared" si="13654"/>
        <v>0.0070</v>
      </c>
    </row>
    <row r="7986" s="1" customFormat="1" spans="1:21">
      <c r="A7986" s="1" t="str">
        <f>"4601992371030"</f>
        <v>4601992371030</v>
      </c>
      <c r="B7986" s="1" t="s">
        <v>8009</v>
      </c>
      <c r="C7986" s="1" t="s">
        <v>24</v>
      </c>
      <c r="D7986" s="1" t="str">
        <f t="shared" si="13625"/>
        <v>2021</v>
      </c>
      <c r="E7986" s="1" t="str">
        <f t="shared" ref="E7986:P7986" si="13676">"0"</f>
        <v>0</v>
      </c>
      <c r="F7986" s="1" t="str">
        <f t="shared" si="13676"/>
        <v>0</v>
      </c>
      <c r="G7986" s="1" t="str">
        <f t="shared" si="13676"/>
        <v>0</v>
      </c>
      <c r="H7986" s="1" t="str">
        <f t="shared" si="13676"/>
        <v>0</v>
      </c>
      <c r="I7986" s="1" t="str">
        <f t="shared" si="13676"/>
        <v>0</v>
      </c>
      <c r="J7986" s="1" t="str">
        <f t="shared" si="13676"/>
        <v>0</v>
      </c>
      <c r="K7986" s="1" t="str">
        <f t="shared" si="13676"/>
        <v>0</v>
      </c>
      <c r="L7986" s="1" t="str">
        <f t="shared" si="13676"/>
        <v>0</v>
      </c>
      <c r="M7986" s="1" t="str">
        <f t="shared" si="13676"/>
        <v>0</v>
      </c>
      <c r="N7986" s="1" t="str">
        <f t="shared" si="13676"/>
        <v>0</v>
      </c>
      <c r="O7986" s="1" t="str">
        <f t="shared" si="13676"/>
        <v>0</v>
      </c>
      <c r="P7986" s="1" t="str">
        <f t="shared" si="13676"/>
        <v>0</v>
      </c>
      <c r="Q7986" s="1" t="str">
        <f t="shared" si="13627"/>
        <v>0.0070</v>
      </c>
      <c r="R7986" s="1" t="s">
        <v>25</v>
      </c>
      <c r="T7986" s="1" t="str">
        <f t="shared" si="13628"/>
        <v>0</v>
      </c>
      <c r="U7986" s="1" t="str">
        <f t="shared" si="13654"/>
        <v>0.0070</v>
      </c>
    </row>
    <row r="7987" s="1" customFormat="1" spans="1:21">
      <c r="A7987" s="1" t="str">
        <f>"4601992371043"</f>
        <v>4601992371043</v>
      </c>
      <c r="B7987" s="1" t="s">
        <v>8010</v>
      </c>
      <c r="C7987" s="1" t="s">
        <v>24</v>
      </c>
      <c r="D7987" s="1" t="str">
        <f t="shared" si="13625"/>
        <v>2021</v>
      </c>
      <c r="E7987" s="1" t="str">
        <f t="shared" ref="E7987:P7987" si="13677">"0"</f>
        <v>0</v>
      </c>
      <c r="F7987" s="1" t="str">
        <f t="shared" si="13677"/>
        <v>0</v>
      </c>
      <c r="G7987" s="1" t="str">
        <f t="shared" si="13677"/>
        <v>0</v>
      </c>
      <c r="H7987" s="1" t="str">
        <f t="shared" si="13677"/>
        <v>0</v>
      </c>
      <c r="I7987" s="1" t="str">
        <f t="shared" si="13677"/>
        <v>0</v>
      </c>
      <c r="J7987" s="1" t="str">
        <f t="shared" si="13677"/>
        <v>0</v>
      </c>
      <c r="K7987" s="1" t="str">
        <f t="shared" si="13677"/>
        <v>0</v>
      </c>
      <c r="L7987" s="1" t="str">
        <f t="shared" si="13677"/>
        <v>0</v>
      </c>
      <c r="M7987" s="1" t="str">
        <f t="shared" si="13677"/>
        <v>0</v>
      </c>
      <c r="N7987" s="1" t="str">
        <f t="shared" si="13677"/>
        <v>0</v>
      </c>
      <c r="O7987" s="1" t="str">
        <f t="shared" si="13677"/>
        <v>0</v>
      </c>
      <c r="P7987" s="1" t="str">
        <f t="shared" si="13677"/>
        <v>0</v>
      </c>
      <c r="Q7987" s="1" t="str">
        <f t="shared" si="13627"/>
        <v>0.0070</v>
      </c>
      <c r="R7987" s="1" t="s">
        <v>25</v>
      </c>
      <c r="T7987" s="1" t="str">
        <f t="shared" si="13628"/>
        <v>0</v>
      </c>
      <c r="U7987" s="1" t="str">
        <f t="shared" si="13654"/>
        <v>0.0070</v>
      </c>
    </row>
    <row r="7988" s="1" customFormat="1" spans="1:21">
      <c r="A7988" s="1" t="str">
        <f>"4601992371071"</f>
        <v>4601992371071</v>
      </c>
      <c r="B7988" s="1" t="s">
        <v>8011</v>
      </c>
      <c r="C7988" s="1" t="s">
        <v>24</v>
      </c>
      <c r="D7988" s="1" t="str">
        <f t="shared" si="13625"/>
        <v>2021</v>
      </c>
      <c r="E7988" s="1" t="str">
        <f t="shared" ref="E7988:P7988" si="13678">"0"</f>
        <v>0</v>
      </c>
      <c r="F7988" s="1" t="str">
        <f t="shared" si="13678"/>
        <v>0</v>
      </c>
      <c r="G7988" s="1" t="str">
        <f t="shared" si="13678"/>
        <v>0</v>
      </c>
      <c r="H7988" s="1" t="str">
        <f t="shared" si="13678"/>
        <v>0</v>
      </c>
      <c r="I7988" s="1" t="str">
        <f t="shared" si="13678"/>
        <v>0</v>
      </c>
      <c r="J7988" s="1" t="str">
        <f t="shared" si="13678"/>
        <v>0</v>
      </c>
      <c r="K7988" s="1" t="str">
        <f t="shared" si="13678"/>
        <v>0</v>
      </c>
      <c r="L7988" s="1" t="str">
        <f t="shared" si="13678"/>
        <v>0</v>
      </c>
      <c r="M7988" s="1" t="str">
        <f t="shared" si="13678"/>
        <v>0</v>
      </c>
      <c r="N7988" s="1" t="str">
        <f t="shared" si="13678"/>
        <v>0</v>
      </c>
      <c r="O7988" s="1" t="str">
        <f t="shared" si="13678"/>
        <v>0</v>
      </c>
      <c r="P7988" s="1" t="str">
        <f t="shared" si="13678"/>
        <v>0</v>
      </c>
      <c r="Q7988" s="1" t="str">
        <f t="shared" si="13627"/>
        <v>0.0070</v>
      </c>
      <c r="R7988" s="1" t="s">
        <v>25</v>
      </c>
      <c r="T7988" s="1" t="str">
        <f t="shared" si="13628"/>
        <v>0</v>
      </c>
      <c r="U7988" s="1" t="str">
        <f t="shared" si="13654"/>
        <v>0.0070</v>
      </c>
    </row>
    <row r="7989" s="1" customFormat="1" spans="1:21">
      <c r="A7989" s="1" t="str">
        <f>"4601992371155"</f>
        <v>4601992371155</v>
      </c>
      <c r="B7989" s="1" t="s">
        <v>8012</v>
      </c>
      <c r="C7989" s="1" t="s">
        <v>24</v>
      </c>
      <c r="D7989" s="1" t="str">
        <f t="shared" si="13625"/>
        <v>2021</v>
      </c>
      <c r="E7989" s="1" t="str">
        <f t="shared" ref="E7989:P7989" si="13679">"0"</f>
        <v>0</v>
      </c>
      <c r="F7989" s="1" t="str">
        <f t="shared" si="13679"/>
        <v>0</v>
      </c>
      <c r="G7989" s="1" t="str">
        <f t="shared" si="13679"/>
        <v>0</v>
      </c>
      <c r="H7989" s="1" t="str">
        <f t="shared" si="13679"/>
        <v>0</v>
      </c>
      <c r="I7989" s="1" t="str">
        <f t="shared" si="13679"/>
        <v>0</v>
      </c>
      <c r="J7989" s="1" t="str">
        <f t="shared" si="13679"/>
        <v>0</v>
      </c>
      <c r="K7989" s="1" t="str">
        <f t="shared" si="13679"/>
        <v>0</v>
      </c>
      <c r="L7989" s="1" t="str">
        <f t="shared" si="13679"/>
        <v>0</v>
      </c>
      <c r="M7989" s="1" t="str">
        <f t="shared" si="13679"/>
        <v>0</v>
      </c>
      <c r="N7989" s="1" t="str">
        <f t="shared" si="13679"/>
        <v>0</v>
      </c>
      <c r="O7989" s="1" t="str">
        <f t="shared" si="13679"/>
        <v>0</v>
      </c>
      <c r="P7989" s="1" t="str">
        <f t="shared" si="13679"/>
        <v>0</v>
      </c>
      <c r="Q7989" s="1" t="str">
        <f t="shared" si="13627"/>
        <v>0.0070</v>
      </c>
      <c r="R7989" s="1" t="s">
        <v>25</v>
      </c>
      <c r="T7989" s="1" t="str">
        <f t="shared" si="13628"/>
        <v>0</v>
      </c>
      <c r="U7989" s="1" t="str">
        <f t="shared" si="13654"/>
        <v>0.0070</v>
      </c>
    </row>
    <row r="7990" s="1" customFormat="1" spans="1:21">
      <c r="A7990" s="1" t="str">
        <f>"4601992371337"</f>
        <v>4601992371337</v>
      </c>
      <c r="B7990" s="1" t="s">
        <v>8013</v>
      </c>
      <c r="C7990" s="1" t="s">
        <v>24</v>
      </c>
      <c r="D7990" s="1" t="str">
        <f t="shared" si="13625"/>
        <v>2021</v>
      </c>
      <c r="E7990" s="1" t="str">
        <f t="shared" ref="E7990:P7990" si="13680">"0"</f>
        <v>0</v>
      </c>
      <c r="F7990" s="1" t="str">
        <f t="shared" si="13680"/>
        <v>0</v>
      </c>
      <c r="G7990" s="1" t="str">
        <f t="shared" si="13680"/>
        <v>0</v>
      </c>
      <c r="H7990" s="1" t="str">
        <f t="shared" si="13680"/>
        <v>0</v>
      </c>
      <c r="I7990" s="1" t="str">
        <f t="shared" si="13680"/>
        <v>0</v>
      </c>
      <c r="J7990" s="1" t="str">
        <f t="shared" si="13680"/>
        <v>0</v>
      </c>
      <c r="K7990" s="1" t="str">
        <f t="shared" si="13680"/>
        <v>0</v>
      </c>
      <c r="L7990" s="1" t="str">
        <f t="shared" si="13680"/>
        <v>0</v>
      </c>
      <c r="M7990" s="1" t="str">
        <f t="shared" si="13680"/>
        <v>0</v>
      </c>
      <c r="N7990" s="1" t="str">
        <f t="shared" si="13680"/>
        <v>0</v>
      </c>
      <c r="O7990" s="1" t="str">
        <f t="shared" si="13680"/>
        <v>0</v>
      </c>
      <c r="P7990" s="1" t="str">
        <f t="shared" si="13680"/>
        <v>0</v>
      </c>
      <c r="Q7990" s="1" t="str">
        <f t="shared" si="13627"/>
        <v>0.0070</v>
      </c>
      <c r="R7990" s="1" t="s">
        <v>25</v>
      </c>
      <c r="T7990" s="1" t="str">
        <f t="shared" si="13628"/>
        <v>0</v>
      </c>
      <c r="U7990" s="1" t="str">
        <f t="shared" si="13654"/>
        <v>0.0070</v>
      </c>
    </row>
    <row r="7991" s="1" customFormat="1" spans="1:21">
      <c r="A7991" s="1" t="str">
        <f>"4601992371348"</f>
        <v>4601992371348</v>
      </c>
      <c r="B7991" s="1" t="s">
        <v>8014</v>
      </c>
      <c r="C7991" s="1" t="s">
        <v>24</v>
      </c>
      <c r="D7991" s="1" t="str">
        <f t="shared" si="13625"/>
        <v>2021</v>
      </c>
      <c r="E7991" s="1" t="str">
        <f t="shared" ref="E7991:P7991" si="13681">"0"</f>
        <v>0</v>
      </c>
      <c r="F7991" s="1" t="str">
        <f t="shared" si="13681"/>
        <v>0</v>
      </c>
      <c r="G7991" s="1" t="str">
        <f t="shared" si="13681"/>
        <v>0</v>
      </c>
      <c r="H7991" s="1" t="str">
        <f t="shared" si="13681"/>
        <v>0</v>
      </c>
      <c r="I7991" s="1" t="str">
        <f t="shared" si="13681"/>
        <v>0</v>
      </c>
      <c r="J7991" s="1" t="str">
        <f t="shared" si="13681"/>
        <v>0</v>
      </c>
      <c r="K7991" s="1" t="str">
        <f t="shared" si="13681"/>
        <v>0</v>
      </c>
      <c r="L7991" s="1" t="str">
        <f t="shared" si="13681"/>
        <v>0</v>
      </c>
      <c r="M7991" s="1" t="str">
        <f t="shared" si="13681"/>
        <v>0</v>
      </c>
      <c r="N7991" s="1" t="str">
        <f t="shared" si="13681"/>
        <v>0</v>
      </c>
      <c r="O7991" s="1" t="str">
        <f t="shared" si="13681"/>
        <v>0</v>
      </c>
      <c r="P7991" s="1" t="str">
        <f t="shared" si="13681"/>
        <v>0</v>
      </c>
      <c r="Q7991" s="1" t="str">
        <f t="shared" si="13627"/>
        <v>0.0070</v>
      </c>
      <c r="R7991" s="1" t="s">
        <v>25</v>
      </c>
      <c r="T7991" s="1" t="str">
        <f t="shared" si="13628"/>
        <v>0</v>
      </c>
      <c r="U7991" s="1" t="str">
        <f t="shared" si="13654"/>
        <v>0.0070</v>
      </c>
    </row>
    <row r="7992" s="1" customFormat="1" spans="1:21">
      <c r="A7992" s="1" t="str">
        <f>"4601992371380"</f>
        <v>4601992371380</v>
      </c>
      <c r="B7992" s="1" t="s">
        <v>8015</v>
      </c>
      <c r="C7992" s="1" t="s">
        <v>24</v>
      </c>
      <c r="D7992" s="1" t="str">
        <f t="shared" si="13625"/>
        <v>2021</v>
      </c>
      <c r="E7992" s="1" t="str">
        <f t="shared" ref="E7992:P7992" si="13682">"0"</f>
        <v>0</v>
      </c>
      <c r="F7992" s="1" t="str">
        <f t="shared" si="13682"/>
        <v>0</v>
      </c>
      <c r="G7992" s="1" t="str">
        <f t="shared" si="13682"/>
        <v>0</v>
      </c>
      <c r="H7992" s="1" t="str">
        <f t="shared" si="13682"/>
        <v>0</v>
      </c>
      <c r="I7992" s="1" t="str">
        <f t="shared" si="13682"/>
        <v>0</v>
      </c>
      <c r="J7992" s="1" t="str">
        <f t="shared" si="13682"/>
        <v>0</v>
      </c>
      <c r="K7992" s="1" t="str">
        <f t="shared" si="13682"/>
        <v>0</v>
      </c>
      <c r="L7992" s="1" t="str">
        <f t="shared" si="13682"/>
        <v>0</v>
      </c>
      <c r="M7992" s="1" t="str">
        <f t="shared" si="13682"/>
        <v>0</v>
      </c>
      <c r="N7992" s="1" t="str">
        <f t="shared" si="13682"/>
        <v>0</v>
      </c>
      <c r="O7992" s="1" t="str">
        <f t="shared" si="13682"/>
        <v>0</v>
      </c>
      <c r="P7992" s="1" t="str">
        <f t="shared" si="13682"/>
        <v>0</v>
      </c>
      <c r="Q7992" s="1" t="str">
        <f t="shared" si="13627"/>
        <v>0.0070</v>
      </c>
      <c r="R7992" s="1" t="s">
        <v>25</v>
      </c>
      <c r="T7992" s="1" t="str">
        <f t="shared" si="13628"/>
        <v>0</v>
      </c>
      <c r="U7992" s="1" t="str">
        <f t="shared" si="13654"/>
        <v>0.0070</v>
      </c>
    </row>
    <row r="7993" s="1" customFormat="1" spans="1:21">
      <c r="A7993" s="1" t="str">
        <f>"4601992371450"</f>
        <v>4601992371450</v>
      </c>
      <c r="B7993" s="1" t="s">
        <v>8016</v>
      </c>
      <c r="C7993" s="1" t="s">
        <v>24</v>
      </c>
      <c r="D7993" s="1" t="str">
        <f t="shared" si="13625"/>
        <v>2021</v>
      </c>
      <c r="E7993" s="1" t="str">
        <f t="shared" ref="E7993:P7993" si="13683">"0"</f>
        <v>0</v>
      </c>
      <c r="F7993" s="1" t="str">
        <f t="shared" si="13683"/>
        <v>0</v>
      </c>
      <c r="G7993" s="1" t="str">
        <f t="shared" si="13683"/>
        <v>0</v>
      </c>
      <c r="H7993" s="1" t="str">
        <f t="shared" si="13683"/>
        <v>0</v>
      </c>
      <c r="I7993" s="1" t="str">
        <f t="shared" si="13683"/>
        <v>0</v>
      </c>
      <c r="J7993" s="1" t="str">
        <f t="shared" si="13683"/>
        <v>0</v>
      </c>
      <c r="K7993" s="1" t="str">
        <f t="shared" si="13683"/>
        <v>0</v>
      </c>
      <c r="L7993" s="1" t="str">
        <f t="shared" si="13683"/>
        <v>0</v>
      </c>
      <c r="M7993" s="1" t="str">
        <f t="shared" si="13683"/>
        <v>0</v>
      </c>
      <c r="N7993" s="1" t="str">
        <f t="shared" si="13683"/>
        <v>0</v>
      </c>
      <c r="O7993" s="1" t="str">
        <f t="shared" si="13683"/>
        <v>0</v>
      </c>
      <c r="P7993" s="1" t="str">
        <f t="shared" si="13683"/>
        <v>0</v>
      </c>
      <c r="Q7993" s="1" t="str">
        <f t="shared" si="13627"/>
        <v>0.0070</v>
      </c>
      <c r="R7993" s="1" t="s">
        <v>25</v>
      </c>
      <c r="T7993" s="1" t="str">
        <f t="shared" si="13628"/>
        <v>0</v>
      </c>
      <c r="U7993" s="1" t="str">
        <f t="shared" si="13654"/>
        <v>0.0070</v>
      </c>
    </row>
    <row r="7994" s="1" customFormat="1" spans="1:21">
      <c r="A7994" s="1" t="str">
        <f>"4601992371566"</f>
        <v>4601992371566</v>
      </c>
      <c r="B7994" s="1" t="s">
        <v>8017</v>
      </c>
      <c r="C7994" s="1" t="s">
        <v>24</v>
      </c>
      <c r="D7994" s="1" t="str">
        <f t="shared" si="13625"/>
        <v>2021</v>
      </c>
      <c r="E7994" s="1" t="str">
        <f t="shared" ref="E7994:P7994" si="13684">"0"</f>
        <v>0</v>
      </c>
      <c r="F7994" s="1" t="str">
        <f t="shared" si="13684"/>
        <v>0</v>
      </c>
      <c r="G7994" s="1" t="str">
        <f t="shared" si="13684"/>
        <v>0</v>
      </c>
      <c r="H7994" s="1" t="str">
        <f t="shared" si="13684"/>
        <v>0</v>
      </c>
      <c r="I7994" s="1" t="str">
        <f t="shared" si="13684"/>
        <v>0</v>
      </c>
      <c r="J7994" s="1" t="str">
        <f t="shared" si="13684"/>
        <v>0</v>
      </c>
      <c r="K7994" s="1" t="str">
        <f t="shared" si="13684"/>
        <v>0</v>
      </c>
      <c r="L7994" s="1" t="str">
        <f t="shared" si="13684"/>
        <v>0</v>
      </c>
      <c r="M7994" s="1" t="str">
        <f t="shared" si="13684"/>
        <v>0</v>
      </c>
      <c r="N7994" s="1" t="str">
        <f t="shared" si="13684"/>
        <v>0</v>
      </c>
      <c r="O7994" s="1" t="str">
        <f t="shared" si="13684"/>
        <v>0</v>
      </c>
      <c r="P7994" s="1" t="str">
        <f t="shared" si="13684"/>
        <v>0</v>
      </c>
      <c r="Q7994" s="1" t="str">
        <f t="shared" si="13627"/>
        <v>0.0070</v>
      </c>
      <c r="R7994" s="1" t="s">
        <v>25</v>
      </c>
      <c r="T7994" s="1" t="str">
        <f t="shared" si="13628"/>
        <v>0</v>
      </c>
      <c r="U7994" s="1" t="str">
        <f t="shared" si="13654"/>
        <v>0.0070</v>
      </c>
    </row>
    <row r="7995" s="1" customFormat="1" spans="1:21">
      <c r="A7995" s="1" t="str">
        <f>"4601992371752"</f>
        <v>4601992371752</v>
      </c>
      <c r="B7995" s="1" t="s">
        <v>8018</v>
      </c>
      <c r="C7995" s="1" t="s">
        <v>24</v>
      </c>
      <c r="D7995" s="1" t="str">
        <f t="shared" si="13625"/>
        <v>2021</v>
      </c>
      <c r="E7995" s="1" t="str">
        <f t="shared" ref="E7995:P7995" si="13685">"0"</f>
        <v>0</v>
      </c>
      <c r="F7995" s="1" t="str">
        <f t="shared" si="13685"/>
        <v>0</v>
      </c>
      <c r="G7995" s="1" t="str">
        <f t="shared" si="13685"/>
        <v>0</v>
      </c>
      <c r="H7995" s="1" t="str">
        <f t="shared" si="13685"/>
        <v>0</v>
      </c>
      <c r="I7995" s="1" t="str">
        <f t="shared" si="13685"/>
        <v>0</v>
      </c>
      <c r="J7995" s="1" t="str">
        <f t="shared" si="13685"/>
        <v>0</v>
      </c>
      <c r="K7995" s="1" t="str">
        <f t="shared" si="13685"/>
        <v>0</v>
      </c>
      <c r="L7995" s="1" t="str">
        <f t="shared" si="13685"/>
        <v>0</v>
      </c>
      <c r="M7995" s="1" t="str">
        <f t="shared" si="13685"/>
        <v>0</v>
      </c>
      <c r="N7995" s="1" t="str">
        <f t="shared" si="13685"/>
        <v>0</v>
      </c>
      <c r="O7995" s="1" t="str">
        <f t="shared" si="13685"/>
        <v>0</v>
      </c>
      <c r="P7995" s="1" t="str">
        <f t="shared" si="13685"/>
        <v>0</v>
      </c>
      <c r="Q7995" s="1" t="str">
        <f t="shared" si="13627"/>
        <v>0.0070</v>
      </c>
      <c r="R7995" s="1" t="s">
        <v>25</v>
      </c>
      <c r="T7995" s="1" t="str">
        <f t="shared" si="13628"/>
        <v>0</v>
      </c>
      <c r="U7995" s="1" t="str">
        <f t="shared" si="13654"/>
        <v>0.0070</v>
      </c>
    </row>
    <row r="7996" s="1" customFormat="1" spans="1:21">
      <c r="A7996" s="1" t="str">
        <f>"4601992371767"</f>
        <v>4601992371767</v>
      </c>
      <c r="B7996" s="1" t="s">
        <v>8019</v>
      </c>
      <c r="C7996" s="1" t="s">
        <v>24</v>
      </c>
      <c r="D7996" s="1" t="str">
        <f t="shared" si="13625"/>
        <v>2021</v>
      </c>
      <c r="E7996" s="1" t="str">
        <f t="shared" ref="E7996:P7996" si="13686">"0"</f>
        <v>0</v>
      </c>
      <c r="F7996" s="1" t="str">
        <f t="shared" si="13686"/>
        <v>0</v>
      </c>
      <c r="G7996" s="1" t="str">
        <f t="shared" si="13686"/>
        <v>0</v>
      </c>
      <c r="H7996" s="1" t="str">
        <f t="shared" si="13686"/>
        <v>0</v>
      </c>
      <c r="I7996" s="1" t="str">
        <f t="shared" si="13686"/>
        <v>0</v>
      </c>
      <c r="J7996" s="1" t="str">
        <f t="shared" si="13686"/>
        <v>0</v>
      </c>
      <c r="K7996" s="1" t="str">
        <f t="shared" si="13686"/>
        <v>0</v>
      </c>
      <c r="L7996" s="1" t="str">
        <f t="shared" si="13686"/>
        <v>0</v>
      </c>
      <c r="M7996" s="1" t="str">
        <f t="shared" si="13686"/>
        <v>0</v>
      </c>
      <c r="N7996" s="1" t="str">
        <f t="shared" si="13686"/>
        <v>0</v>
      </c>
      <c r="O7996" s="1" t="str">
        <f t="shared" si="13686"/>
        <v>0</v>
      </c>
      <c r="P7996" s="1" t="str">
        <f t="shared" si="13686"/>
        <v>0</v>
      </c>
      <c r="Q7996" s="1" t="str">
        <f t="shared" si="13627"/>
        <v>0.0070</v>
      </c>
      <c r="R7996" s="1" t="s">
        <v>25</v>
      </c>
      <c r="T7996" s="1" t="str">
        <f t="shared" si="13628"/>
        <v>0</v>
      </c>
      <c r="U7996" s="1" t="str">
        <f t="shared" si="13654"/>
        <v>0.0070</v>
      </c>
    </row>
    <row r="7997" s="1" customFormat="1" spans="1:21">
      <c r="A7997" s="1" t="str">
        <f>"4601992371880"</f>
        <v>4601992371880</v>
      </c>
      <c r="B7997" s="1" t="s">
        <v>8020</v>
      </c>
      <c r="C7997" s="1" t="s">
        <v>24</v>
      </c>
      <c r="D7997" s="1" t="str">
        <f t="shared" si="13625"/>
        <v>2021</v>
      </c>
      <c r="E7997" s="1" t="str">
        <f t="shared" ref="E7997:P7997" si="13687">"0"</f>
        <v>0</v>
      </c>
      <c r="F7997" s="1" t="str">
        <f t="shared" si="13687"/>
        <v>0</v>
      </c>
      <c r="G7997" s="1" t="str">
        <f t="shared" si="13687"/>
        <v>0</v>
      </c>
      <c r="H7997" s="1" t="str">
        <f t="shared" si="13687"/>
        <v>0</v>
      </c>
      <c r="I7997" s="1" t="str">
        <f t="shared" si="13687"/>
        <v>0</v>
      </c>
      <c r="J7997" s="1" t="str">
        <f t="shared" si="13687"/>
        <v>0</v>
      </c>
      <c r="K7997" s="1" t="str">
        <f t="shared" si="13687"/>
        <v>0</v>
      </c>
      <c r="L7997" s="1" t="str">
        <f t="shared" si="13687"/>
        <v>0</v>
      </c>
      <c r="M7997" s="1" t="str">
        <f t="shared" si="13687"/>
        <v>0</v>
      </c>
      <c r="N7997" s="1" t="str">
        <f t="shared" si="13687"/>
        <v>0</v>
      </c>
      <c r="O7997" s="1" t="str">
        <f t="shared" si="13687"/>
        <v>0</v>
      </c>
      <c r="P7997" s="1" t="str">
        <f t="shared" si="13687"/>
        <v>0</v>
      </c>
      <c r="Q7997" s="1" t="str">
        <f t="shared" si="13627"/>
        <v>0.0070</v>
      </c>
      <c r="R7997" s="1" t="s">
        <v>25</v>
      </c>
      <c r="T7997" s="1" t="str">
        <f t="shared" si="13628"/>
        <v>0</v>
      </c>
      <c r="U7997" s="1" t="str">
        <f t="shared" si="13654"/>
        <v>0.0070</v>
      </c>
    </row>
    <row r="7998" s="1" customFormat="1" spans="1:21">
      <c r="A7998" s="1" t="str">
        <f>"4601992371983"</f>
        <v>4601992371983</v>
      </c>
      <c r="B7998" s="1" t="s">
        <v>8021</v>
      </c>
      <c r="C7998" s="1" t="s">
        <v>24</v>
      </c>
      <c r="D7998" s="1" t="str">
        <f t="shared" si="13625"/>
        <v>2021</v>
      </c>
      <c r="E7998" s="1" t="str">
        <f t="shared" ref="E7998:P7998" si="13688">"0"</f>
        <v>0</v>
      </c>
      <c r="F7998" s="1" t="str">
        <f t="shared" si="13688"/>
        <v>0</v>
      </c>
      <c r="G7998" s="1" t="str">
        <f t="shared" si="13688"/>
        <v>0</v>
      </c>
      <c r="H7998" s="1" t="str">
        <f t="shared" si="13688"/>
        <v>0</v>
      </c>
      <c r="I7998" s="1" t="str">
        <f t="shared" si="13688"/>
        <v>0</v>
      </c>
      <c r="J7998" s="1" t="str">
        <f t="shared" si="13688"/>
        <v>0</v>
      </c>
      <c r="K7998" s="1" t="str">
        <f t="shared" si="13688"/>
        <v>0</v>
      </c>
      <c r="L7998" s="1" t="str">
        <f t="shared" si="13688"/>
        <v>0</v>
      </c>
      <c r="M7998" s="1" t="str">
        <f t="shared" si="13688"/>
        <v>0</v>
      </c>
      <c r="N7998" s="1" t="str">
        <f t="shared" si="13688"/>
        <v>0</v>
      </c>
      <c r="O7998" s="1" t="str">
        <f t="shared" si="13688"/>
        <v>0</v>
      </c>
      <c r="P7998" s="1" t="str">
        <f t="shared" si="13688"/>
        <v>0</v>
      </c>
      <c r="Q7998" s="1" t="str">
        <f t="shared" si="13627"/>
        <v>0.0070</v>
      </c>
      <c r="R7998" s="1" t="s">
        <v>25</v>
      </c>
      <c r="T7998" s="1" t="str">
        <f t="shared" si="13628"/>
        <v>0</v>
      </c>
      <c r="U7998" s="1" t="str">
        <f t="shared" si="13654"/>
        <v>0.0070</v>
      </c>
    </row>
    <row r="7999" s="1" customFormat="1" spans="1:21">
      <c r="A7999" s="1" t="str">
        <f>"4601992371905"</f>
        <v>4601992371905</v>
      </c>
      <c r="B7999" s="1" t="s">
        <v>8022</v>
      </c>
      <c r="C7999" s="1" t="s">
        <v>24</v>
      </c>
      <c r="D7999" s="1" t="str">
        <f t="shared" si="13625"/>
        <v>2021</v>
      </c>
      <c r="E7999" s="1" t="str">
        <f t="shared" ref="E7999:P7999" si="13689">"0"</f>
        <v>0</v>
      </c>
      <c r="F7999" s="1" t="str">
        <f t="shared" si="13689"/>
        <v>0</v>
      </c>
      <c r="G7999" s="1" t="str">
        <f t="shared" si="13689"/>
        <v>0</v>
      </c>
      <c r="H7999" s="1" t="str">
        <f t="shared" si="13689"/>
        <v>0</v>
      </c>
      <c r="I7999" s="1" t="str">
        <f t="shared" si="13689"/>
        <v>0</v>
      </c>
      <c r="J7999" s="1" t="str">
        <f t="shared" si="13689"/>
        <v>0</v>
      </c>
      <c r="K7999" s="1" t="str">
        <f t="shared" si="13689"/>
        <v>0</v>
      </c>
      <c r="L7999" s="1" t="str">
        <f t="shared" si="13689"/>
        <v>0</v>
      </c>
      <c r="M7999" s="1" t="str">
        <f t="shared" si="13689"/>
        <v>0</v>
      </c>
      <c r="N7999" s="1" t="str">
        <f t="shared" si="13689"/>
        <v>0</v>
      </c>
      <c r="O7999" s="1" t="str">
        <f t="shared" si="13689"/>
        <v>0</v>
      </c>
      <c r="P7999" s="1" t="str">
        <f t="shared" si="13689"/>
        <v>0</v>
      </c>
      <c r="Q7999" s="1" t="str">
        <f t="shared" si="13627"/>
        <v>0.0070</v>
      </c>
      <c r="R7999" s="1" t="s">
        <v>25</v>
      </c>
      <c r="T7999" s="1" t="str">
        <f t="shared" si="13628"/>
        <v>0</v>
      </c>
      <c r="U7999" s="1" t="str">
        <f t="shared" si="13654"/>
        <v>0.0070</v>
      </c>
    </row>
    <row r="8000" s="1" customFormat="1" spans="1:21">
      <c r="A8000" s="1" t="str">
        <f>"4601992372141"</f>
        <v>4601992372141</v>
      </c>
      <c r="B8000" s="1" t="s">
        <v>8023</v>
      </c>
      <c r="C8000" s="1" t="s">
        <v>24</v>
      </c>
      <c r="D8000" s="1" t="str">
        <f t="shared" si="13625"/>
        <v>2021</v>
      </c>
      <c r="E8000" s="1" t="str">
        <f t="shared" ref="E8000:P8000" si="13690">"0"</f>
        <v>0</v>
      </c>
      <c r="F8000" s="1" t="str">
        <f t="shared" si="13690"/>
        <v>0</v>
      </c>
      <c r="G8000" s="1" t="str">
        <f t="shared" si="13690"/>
        <v>0</v>
      </c>
      <c r="H8000" s="1" t="str">
        <f t="shared" si="13690"/>
        <v>0</v>
      </c>
      <c r="I8000" s="1" t="str">
        <f t="shared" si="13690"/>
        <v>0</v>
      </c>
      <c r="J8000" s="1" t="str">
        <f t="shared" si="13690"/>
        <v>0</v>
      </c>
      <c r="K8000" s="1" t="str">
        <f t="shared" si="13690"/>
        <v>0</v>
      </c>
      <c r="L8000" s="1" t="str">
        <f t="shared" si="13690"/>
        <v>0</v>
      </c>
      <c r="M8000" s="1" t="str">
        <f t="shared" si="13690"/>
        <v>0</v>
      </c>
      <c r="N8000" s="1" t="str">
        <f t="shared" si="13690"/>
        <v>0</v>
      </c>
      <c r="O8000" s="1" t="str">
        <f t="shared" si="13690"/>
        <v>0</v>
      </c>
      <c r="P8000" s="1" t="str">
        <f t="shared" si="13690"/>
        <v>0</v>
      </c>
      <c r="Q8000" s="1" t="str">
        <f t="shared" si="13627"/>
        <v>0.0070</v>
      </c>
      <c r="R8000" s="1" t="s">
        <v>25</v>
      </c>
      <c r="T8000" s="1" t="str">
        <f t="shared" si="13628"/>
        <v>0</v>
      </c>
      <c r="U8000" s="1" t="str">
        <f t="shared" si="13654"/>
        <v>0.0070</v>
      </c>
    </row>
    <row r="8001" s="1" customFormat="1" spans="1:21">
      <c r="A8001" s="1" t="str">
        <f>"4601992372173"</f>
        <v>4601992372173</v>
      </c>
      <c r="B8001" s="1" t="s">
        <v>8024</v>
      </c>
      <c r="C8001" s="1" t="s">
        <v>24</v>
      </c>
      <c r="D8001" s="1" t="str">
        <f t="shared" si="13625"/>
        <v>2021</v>
      </c>
      <c r="E8001" s="1" t="str">
        <f t="shared" ref="E8001:P8001" si="13691">"0"</f>
        <v>0</v>
      </c>
      <c r="F8001" s="1" t="str">
        <f t="shared" si="13691"/>
        <v>0</v>
      </c>
      <c r="G8001" s="1" t="str">
        <f t="shared" si="13691"/>
        <v>0</v>
      </c>
      <c r="H8001" s="1" t="str">
        <f t="shared" si="13691"/>
        <v>0</v>
      </c>
      <c r="I8001" s="1" t="str">
        <f t="shared" si="13691"/>
        <v>0</v>
      </c>
      <c r="J8001" s="1" t="str">
        <f t="shared" si="13691"/>
        <v>0</v>
      </c>
      <c r="K8001" s="1" t="str">
        <f t="shared" si="13691"/>
        <v>0</v>
      </c>
      <c r="L8001" s="1" t="str">
        <f t="shared" si="13691"/>
        <v>0</v>
      </c>
      <c r="M8001" s="1" t="str">
        <f t="shared" si="13691"/>
        <v>0</v>
      </c>
      <c r="N8001" s="1" t="str">
        <f t="shared" si="13691"/>
        <v>0</v>
      </c>
      <c r="O8001" s="1" t="str">
        <f t="shared" si="13691"/>
        <v>0</v>
      </c>
      <c r="P8001" s="1" t="str">
        <f t="shared" si="13691"/>
        <v>0</v>
      </c>
      <c r="Q8001" s="1" t="str">
        <f t="shared" si="13627"/>
        <v>0.0070</v>
      </c>
      <c r="R8001" s="1" t="s">
        <v>25</v>
      </c>
      <c r="T8001" s="1" t="str">
        <f t="shared" si="13628"/>
        <v>0</v>
      </c>
      <c r="U8001" s="1" t="str">
        <f t="shared" si="13654"/>
        <v>0.0070</v>
      </c>
    </row>
    <row r="8002" s="1" customFormat="1" spans="1:21">
      <c r="A8002" s="1" t="str">
        <f>"4601992372294"</f>
        <v>4601992372294</v>
      </c>
      <c r="B8002" s="1" t="s">
        <v>8025</v>
      </c>
      <c r="C8002" s="1" t="s">
        <v>24</v>
      </c>
      <c r="D8002" s="1" t="str">
        <f t="shared" si="13625"/>
        <v>2021</v>
      </c>
      <c r="E8002" s="1" t="str">
        <f t="shared" ref="E8002:P8002" si="13692">"0"</f>
        <v>0</v>
      </c>
      <c r="F8002" s="1" t="str">
        <f t="shared" si="13692"/>
        <v>0</v>
      </c>
      <c r="G8002" s="1" t="str">
        <f t="shared" si="13692"/>
        <v>0</v>
      </c>
      <c r="H8002" s="1" t="str">
        <f t="shared" si="13692"/>
        <v>0</v>
      </c>
      <c r="I8002" s="1" t="str">
        <f t="shared" si="13692"/>
        <v>0</v>
      </c>
      <c r="J8002" s="1" t="str">
        <f t="shared" si="13692"/>
        <v>0</v>
      </c>
      <c r="K8002" s="1" t="str">
        <f t="shared" si="13692"/>
        <v>0</v>
      </c>
      <c r="L8002" s="1" t="str">
        <f t="shared" si="13692"/>
        <v>0</v>
      </c>
      <c r="M8002" s="1" t="str">
        <f t="shared" si="13692"/>
        <v>0</v>
      </c>
      <c r="N8002" s="1" t="str">
        <f t="shared" si="13692"/>
        <v>0</v>
      </c>
      <c r="O8002" s="1" t="str">
        <f t="shared" si="13692"/>
        <v>0</v>
      </c>
      <c r="P8002" s="1" t="str">
        <f t="shared" si="13692"/>
        <v>0</v>
      </c>
      <c r="Q8002" s="1" t="str">
        <f t="shared" si="13627"/>
        <v>0.0070</v>
      </c>
      <c r="R8002" s="1" t="s">
        <v>25</v>
      </c>
      <c r="T8002" s="1" t="str">
        <f t="shared" si="13628"/>
        <v>0</v>
      </c>
      <c r="U8002" s="1" t="str">
        <f t="shared" si="13654"/>
        <v>0.0070</v>
      </c>
    </row>
    <row r="8003" s="1" customFormat="1" spans="1:21">
      <c r="A8003" s="1" t="str">
        <f>"4601992372293"</f>
        <v>4601992372293</v>
      </c>
      <c r="B8003" s="1" t="s">
        <v>8026</v>
      </c>
      <c r="C8003" s="1" t="s">
        <v>24</v>
      </c>
      <c r="D8003" s="1" t="str">
        <f t="shared" ref="D8003:D8066" si="13693">"2021"</f>
        <v>2021</v>
      </c>
      <c r="E8003" s="1" t="str">
        <f t="shared" ref="E8003:P8003" si="13694">"0"</f>
        <v>0</v>
      </c>
      <c r="F8003" s="1" t="str">
        <f t="shared" si="13694"/>
        <v>0</v>
      </c>
      <c r="G8003" s="1" t="str">
        <f t="shared" si="13694"/>
        <v>0</v>
      </c>
      <c r="H8003" s="1" t="str">
        <f t="shared" si="13694"/>
        <v>0</v>
      </c>
      <c r="I8003" s="1" t="str">
        <f t="shared" si="13694"/>
        <v>0</v>
      </c>
      <c r="J8003" s="1" t="str">
        <f t="shared" si="13694"/>
        <v>0</v>
      </c>
      <c r="K8003" s="1" t="str">
        <f t="shared" si="13694"/>
        <v>0</v>
      </c>
      <c r="L8003" s="1" t="str">
        <f t="shared" si="13694"/>
        <v>0</v>
      </c>
      <c r="M8003" s="1" t="str">
        <f t="shared" si="13694"/>
        <v>0</v>
      </c>
      <c r="N8003" s="1" t="str">
        <f t="shared" si="13694"/>
        <v>0</v>
      </c>
      <c r="O8003" s="1" t="str">
        <f t="shared" si="13694"/>
        <v>0</v>
      </c>
      <c r="P8003" s="1" t="str">
        <f t="shared" si="13694"/>
        <v>0</v>
      </c>
      <c r="Q8003" s="1" t="str">
        <f t="shared" ref="Q8003:Q8066" si="13695">"0.0070"</f>
        <v>0.0070</v>
      </c>
      <c r="R8003" s="1" t="s">
        <v>25</v>
      </c>
      <c r="T8003" s="1" t="str">
        <f t="shared" ref="T8003:T8066" si="13696">"0"</f>
        <v>0</v>
      </c>
      <c r="U8003" s="1" t="str">
        <f t="shared" si="13654"/>
        <v>0.0070</v>
      </c>
    </row>
    <row r="8004" s="1" customFormat="1" spans="1:21">
      <c r="A8004" s="1" t="str">
        <f>"4601992372295"</f>
        <v>4601992372295</v>
      </c>
      <c r="B8004" s="1" t="s">
        <v>8027</v>
      </c>
      <c r="C8004" s="1" t="s">
        <v>24</v>
      </c>
      <c r="D8004" s="1" t="str">
        <f t="shared" si="13693"/>
        <v>2021</v>
      </c>
      <c r="E8004" s="1" t="str">
        <f t="shared" ref="E8004:P8004" si="13697">"0"</f>
        <v>0</v>
      </c>
      <c r="F8004" s="1" t="str">
        <f t="shared" si="13697"/>
        <v>0</v>
      </c>
      <c r="G8004" s="1" t="str">
        <f t="shared" si="13697"/>
        <v>0</v>
      </c>
      <c r="H8004" s="1" t="str">
        <f t="shared" si="13697"/>
        <v>0</v>
      </c>
      <c r="I8004" s="1" t="str">
        <f t="shared" si="13697"/>
        <v>0</v>
      </c>
      <c r="J8004" s="1" t="str">
        <f t="shared" si="13697"/>
        <v>0</v>
      </c>
      <c r="K8004" s="1" t="str">
        <f t="shared" si="13697"/>
        <v>0</v>
      </c>
      <c r="L8004" s="1" t="str">
        <f t="shared" si="13697"/>
        <v>0</v>
      </c>
      <c r="M8004" s="1" t="str">
        <f t="shared" si="13697"/>
        <v>0</v>
      </c>
      <c r="N8004" s="1" t="str">
        <f t="shared" si="13697"/>
        <v>0</v>
      </c>
      <c r="O8004" s="1" t="str">
        <f t="shared" si="13697"/>
        <v>0</v>
      </c>
      <c r="P8004" s="1" t="str">
        <f t="shared" si="13697"/>
        <v>0</v>
      </c>
      <c r="Q8004" s="1" t="str">
        <f t="shared" si="13695"/>
        <v>0.0070</v>
      </c>
      <c r="R8004" s="1" t="s">
        <v>25</v>
      </c>
      <c r="T8004" s="1" t="str">
        <f t="shared" si="13696"/>
        <v>0</v>
      </c>
      <c r="U8004" s="1" t="str">
        <f t="shared" si="13654"/>
        <v>0.0070</v>
      </c>
    </row>
    <row r="8005" s="1" customFormat="1" spans="1:21">
      <c r="A8005" s="1" t="str">
        <f>"4601992372301"</f>
        <v>4601992372301</v>
      </c>
      <c r="B8005" s="1" t="s">
        <v>8028</v>
      </c>
      <c r="C8005" s="1" t="s">
        <v>24</v>
      </c>
      <c r="D8005" s="1" t="str">
        <f t="shared" si="13693"/>
        <v>2021</v>
      </c>
      <c r="E8005" s="1" t="str">
        <f t="shared" ref="E8005:P8005" si="13698">"0"</f>
        <v>0</v>
      </c>
      <c r="F8005" s="1" t="str">
        <f t="shared" si="13698"/>
        <v>0</v>
      </c>
      <c r="G8005" s="1" t="str">
        <f t="shared" si="13698"/>
        <v>0</v>
      </c>
      <c r="H8005" s="1" t="str">
        <f t="shared" si="13698"/>
        <v>0</v>
      </c>
      <c r="I8005" s="1" t="str">
        <f t="shared" si="13698"/>
        <v>0</v>
      </c>
      <c r="J8005" s="1" t="str">
        <f t="shared" si="13698"/>
        <v>0</v>
      </c>
      <c r="K8005" s="1" t="str">
        <f t="shared" si="13698"/>
        <v>0</v>
      </c>
      <c r="L8005" s="1" t="str">
        <f t="shared" si="13698"/>
        <v>0</v>
      </c>
      <c r="M8005" s="1" t="str">
        <f t="shared" si="13698"/>
        <v>0</v>
      </c>
      <c r="N8005" s="1" t="str">
        <f t="shared" si="13698"/>
        <v>0</v>
      </c>
      <c r="O8005" s="1" t="str">
        <f t="shared" si="13698"/>
        <v>0</v>
      </c>
      <c r="P8005" s="1" t="str">
        <f t="shared" si="13698"/>
        <v>0</v>
      </c>
      <c r="Q8005" s="1" t="str">
        <f t="shared" si="13695"/>
        <v>0.0070</v>
      </c>
      <c r="R8005" s="1" t="s">
        <v>25</v>
      </c>
      <c r="T8005" s="1" t="str">
        <f t="shared" si="13696"/>
        <v>0</v>
      </c>
      <c r="U8005" s="1" t="str">
        <f t="shared" si="13654"/>
        <v>0.0070</v>
      </c>
    </row>
    <row r="8006" s="1" customFormat="1" spans="1:21">
      <c r="A8006" s="1" t="str">
        <f>"4601992372408"</f>
        <v>4601992372408</v>
      </c>
      <c r="B8006" s="1" t="s">
        <v>8029</v>
      </c>
      <c r="C8006" s="1" t="s">
        <v>24</v>
      </c>
      <c r="D8006" s="1" t="str">
        <f t="shared" si="13693"/>
        <v>2021</v>
      </c>
      <c r="E8006" s="1" t="str">
        <f t="shared" ref="E8006:P8006" si="13699">"0"</f>
        <v>0</v>
      </c>
      <c r="F8006" s="1" t="str">
        <f t="shared" si="13699"/>
        <v>0</v>
      </c>
      <c r="G8006" s="1" t="str">
        <f t="shared" si="13699"/>
        <v>0</v>
      </c>
      <c r="H8006" s="1" t="str">
        <f t="shared" si="13699"/>
        <v>0</v>
      </c>
      <c r="I8006" s="1" t="str">
        <f t="shared" si="13699"/>
        <v>0</v>
      </c>
      <c r="J8006" s="1" t="str">
        <f t="shared" si="13699"/>
        <v>0</v>
      </c>
      <c r="K8006" s="1" t="str">
        <f t="shared" si="13699"/>
        <v>0</v>
      </c>
      <c r="L8006" s="1" t="str">
        <f t="shared" si="13699"/>
        <v>0</v>
      </c>
      <c r="M8006" s="1" t="str">
        <f t="shared" si="13699"/>
        <v>0</v>
      </c>
      <c r="N8006" s="1" t="str">
        <f t="shared" si="13699"/>
        <v>0</v>
      </c>
      <c r="O8006" s="1" t="str">
        <f t="shared" si="13699"/>
        <v>0</v>
      </c>
      <c r="P8006" s="1" t="str">
        <f t="shared" si="13699"/>
        <v>0</v>
      </c>
      <c r="Q8006" s="1" t="str">
        <f t="shared" si="13695"/>
        <v>0.0070</v>
      </c>
      <c r="R8006" s="1" t="s">
        <v>25</v>
      </c>
      <c r="T8006" s="1" t="str">
        <f t="shared" si="13696"/>
        <v>0</v>
      </c>
      <c r="U8006" s="1" t="str">
        <f t="shared" si="13654"/>
        <v>0.0070</v>
      </c>
    </row>
    <row r="8007" s="1" customFormat="1" spans="1:21">
      <c r="A8007" s="1" t="str">
        <f>"4601992372386"</f>
        <v>4601992372386</v>
      </c>
      <c r="B8007" s="1" t="s">
        <v>8030</v>
      </c>
      <c r="C8007" s="1" t="s">
        <v>24</v>
      </c>
      <c r="D8007" s="1" t="str">
        <f t="shared" si="13693"/>
        <v>2021</v>
      </c>
      <c r="E8007" s="1" t="str">
        <f t="shared" ref="E8007:P8007" si="13700">"0"</f>
        <v>0</v>
      </c>
      <c r="F8007" s="1" t="str">
        <f t="shared" si="13700"/>
        <v>0</v>
      </c>
      <c r="G8007" s="1" t="str">
        <f t="shared" si="13700"/>
        <v>0</v>
      </c>
      <c r="H8007" s="1" t="str">
        <f t="shared" si="13700"/>
        <v>0</v>
      </c>
      <c r="I8007" s="1" t="str">
        <f t="shared" si="13700"/>
        <v>0</v>
      </c>
      <c r="J8007" s="1" t="str">
        <f t="shared" si="13700"/>
        <v>0</v>
      </c>
      <c r="K8007" s="1" t="str">
        <f t="shared" si="13700"/>
        <v>0</v>
      </c>
      <c r="L8007" s="1" t="str">
        <f t="shared" si="13700"/>
        <v>0</v>
      </c>
      <c r="M8007" s="1" t="str">
        <f t="shared" si="13700"/>
        <v>0</v>
      </c>
      <c r="N8007" s="1" t="str">
        <f t="shared" si="13700"/>
        <v>0</v>
      </c>
      <c r="O8007" s="1" t="str">
        <f t="shared" si="13700"/>
        <v>0</v>
      </c>
      <c r="P8007" s="1" t="str">
        <f t="shared" si="13700"/>
        <v>0</v>
      </c>
      <c r="Q8007" s="1" t="str">
        <f t="shared" si="13695"/>
        <v>0.0070</v>
      </c>
      <c r="R8007" s="1" t="s">
        <v>25</v>
      </c>
      <c r="T8007" s="1" t="str">
        <f t="shared" si="13696"/>
        <v>0</v>
      </c>
      <c r="U8007" s="1" t="str">
        <f t="shared" si="13654"/>
        <v>0.0070</v>
      </c>
    </row>
    <row r="8008" s="1" customFormat="1" spans="1:21">
      <c r="A8008" s="1" t="str">
        <f>"4601992372406"</f>
        <v>4601992372406</v>
      </c>
      <c r="B8008" s="1" t="s">
        <v>8031</v>
      </c>
      <c r="C8008" s="1" t="s">
        <v>24</v>
      </c>
      <c r="D8008" s="1" t="str">
        <f t="shared" si="13693"/>
        <v>2021</v>
      </c>
      <c r="E8008" s="1" t="str">
        <f t="shared" ref="E8008:P8008" si="13701">"0"</f>
        <v>0</v>
      </c>
      <c r="F8008" s="1" t="str">
        <f t="shared" si="13701"/>
        <v>0</v>
      </c>
      <c r="G8008" s="1" t="str">
        <f t="shared" si="13701"/>
        <v>0</v>
      </c>
      <c r="H8008" s="1" t="str">
        <f t="shared" si="13701"/>
        <v>0</v>
      </c>
      <c r="I8008" s="1" t="str">
        <f t="shared" si="13701"/>
        <v>0</v>
      </c>
      <c r="J8008" s="1" t="str">
        <f t="shared" si="13701"/>
        <v>0</v>
      </c>
      <c r="K8008" s="1" t="str">
        <f t="shared" si="13701"/>
        <v>0</v>
      </c>
      <c r="L8008" s="1" t="str">
        <f t="shared" si="13701"/>
        <v>0</v>
      </c>
      <c r="M8008" s="1" t="str">
        <f t="shared" si="13701"/>
        <v>0</v>
      </c>
      <c r="N8008" s="1" t="str">
        <f t="shared" si="13701"/>
        <v>0</v>
      </c>
      <c r="O8008" s="1" t="str">
        <f t="shared" si="13701"/>
        <v>0</v>
      </c>
      <c r="P8008" s="1" t="str">
        <f t="shared" si="13701"/>
        <v>0</v>
      </c>
      <c r="Q8008" s="1" t="str">
        <f t="shared" si="13695"/>
        <v>0.0070</v>
      </c>
      <c r="R8008" s="1" t="s">
        <v>25</v>
      </c>
      <c r="T8008" s="1" t="str">
        <f t="shared" si="13696"/>
        <v>0</v>
      </c>
      <c r="U8008" s="1" t="str">
        <f t="shared" si="13654"/>
        <v>0.0070</v>
      </c>
    </row>
    <row r="8009" s="1" customFormat="1" spans="1:21">
      <c r="A8009" s="1" t="str">
        <f>"4601992372429"</f>
        <v>4601992372429</v>
      </c>
      <c r="B8009" s="1" t="s">
        <v>8032</v>
      </c>
      <c r="C8009" s="1" t="s">
        <v>24</v>
      </c>
      <c r="D8009" s="1" t="str">
        <f t="shared" si="13693"/>
        <v>2021</v>
      </c>
      <c r="E8009" s="1" t="str">
        <f t="shared" ref="E8009:P8009" si="13702">"0"</f>
        <v>0</v>
      </c>
      <c r="F8009" s="1" t="str">
        <f t="shared" si="13702"/>
        <v>0</v>
      </c>
      <c r="G8009" s="1" t="str">
        <f t="shared" si="13702"/>
        <v>0</v>
      </c>
      <c r="H8009" s="1" t="str">
        <f t="shared" si="13702"/>
        <v>0</v>
      </c>
      <c r="I8009" s="1" t="str">
        <f t="shared" si="13702"/>
        <v>0</v>
      </c>
      <c r="J8009" s="1" t="str">
        <f t="shared" si="13702"/>
        <v>0</v>
      </c>
      <c r="K8009" s="1" t="str">
        <f t="shared" si="13702"/>
        <v>0</v>
      </c>
      <c r="L8009" s="1" t="str">
        <f t="shared" si="13702"/>
        <v>0</v>
      </c>
      <c r="M8009" s="1" t="str">
        <f t="shared" si="13702"/>
        <v>0</v>
      </c>
      <c r="N8009" s="1" t="str">
        <f t="shared" si="13702"/>
        <v>0</v>
      </c>
      <c r="O8009" s="1" t="str">
        <f t="shared" si="13702"/>
        <v>0</v>
      </c>
      <c r="P8009" s="1" t="str">
        <f t="shared" si="13702"/>
        <v>0</v>
      </c>
      <c r="Q8009" s="1" t="str">
        <f t="shared" si="13695"/>
        <v>0.0070</v>
      </c>
      <c r="R8009" s="1" t="s">
        <v>25</v>
      </c>
      <c r="T8009" s="1" t="str">
        <f t="shared" si="13696"/>
        <v>0</v>
      </c>
      <c r="U8009" s="1" t="str">
        <f t="shared" si="13654"/>
        <v>0.0070</v>
      </c>
    </row>
    <row r="8010" s="1" customFormat="1" spans="1:21">
      <c r="A8010" s="1" t="str">
        <f>"4601992372470"</f>
        <v>4601992372470</v>
      </c>
      <c r="B8010" s="1" t="s">
        <v>8033</v>
      </c>
      <c r="C8010" s="1" t="s">
        <v>24</v>
      </c>
      <c r="D8010" s="1" t="str">
        <f t="shared" si="13693"/>
        <v>2021</v>
      </c>
      <c r="E8010" s="1" t="str">
        <f t="shared" ref="E8010:P8010" si="13703">"0"</f>
        <v>0</v>
      </c>
      <c r="F8010" s="1" t="str">
        <f t="shared" si="13703"/>
        <v>0</v>
      </c>
      <c r="G8010" s="1" t="str">
        <f t="shared" si="13703"/>
        <v>0</v>
      </c>
      <c r="H8010" s="1" t="str">
        <f t="shared" si="13703"/>
        <v>0</v>
      </c>
      <c r="I8010" s="1" t="str">
        <f t="shared" si="13703"/>
        <v>0</v>
      </c>
      <c r="J8010" s="1" t="str">
        <f t="shared" si="13703"/>
        <v>0</v>
      </c>
      <c r="K8010" s="1" t="str">
        <f t="shared" si="13703"/>
        <v>0</v>
      </c>
      <c r="L8010" s="1" t="str">
        <f t="shared" si="13703"/>
        <v>0</v>
      </c>
      <c r="M8010" s="1" t="str">
        <f t="shared" si="13703"/>
        <v>0</v>
      </c>
      <c r="N8010" s="1" t="str">
        <f t="shared" si="13703"/>
        <v>0</v>
      </c>
      <c r="O8010" s="1" t="str">
        <f t="shared" si="13703"/>
        <v>0</v>
      </c>
      <c r="P8010" s="1" t="str">
        <f t="shared" si="13703"/>
        <v>0</v>
      </c>
      <c r="Q8010" s="1" t="str">
        <f t="shared" si="13695"/>
        <v>0.0070</v>
      </c>
      <c r="R8010" s="1" t="s">
        <v>25</v>
      </c>
      <c r="T8010" s="1" t="str">
        <f t="shared" si="13696"/>
        <v>0</v>
      </c>
      <c r="U8010" s="1" t="str">
        <f t="shared" si="13654"/>
        <v>0.0070</v>
      </c>
    </row>
    <row r="8011" s="1" customFormat="1" spans="1:21">
      <c r="A8011" s="1" t="str">
        <f>"4601992372518"</f>
        <v>4601992372518</v>
      </c>
      <c r="B8011" s="1" t="s">
        <v>8034</v>
      </c>
      <c r="C8011" s="1" t="s">
        <v>24</v>
      </c>
      <c r="D8011" s="1" t="str">
        <f t="shared" si="13693"/>
        <v>2021</v>
      </c>
      <c r="E8011" s="1" t="str">
        <f t="shared" ref="E8011:P8011" si="13704">"0"</f>
        <v>0</v>
      </c>
      <c r="F8011" s="1" t="str">
        <f t="shared" si="13704"/>
        <v>0</v>
      </c>
      <c r="G8011" s="1" t="str">
        <f t="shared" si="13704"/>
        <v>0</v>
      </c>
      <c r="H8011" s="1" t="str">
        <f t="shared" si="13704"/>
        <v>0</v>
      </c>
      <c r="I8011" s="1" t="str">
        <f t="shared" si="13704"/>
        <v>0</v>
      </c>
      <c r="J8011" s="1" t="str">
        <f t="shared" si="13704"/>
        <v>0</v>
      </c>
      <c r="K8011" s="1" t="str">
        <f t="shared" si="13704"/>
        <v>0</v>
      </c>
      <c r="L8011" s="1" t="str">
        <f t="shared" si="13704"/>
        <v>0</v>
      </c>
      <c r="M8011" s="1" t="str">
        <f t="shared" si="13704"/>
        <v>0</v>
      </c>
      <c r="N8011" s="1" t="str">
        <f t="shared" si="13704"/>
        <v>0</v>
      </c>
      <c r="O8011" s="1" t="str">
        <f t="shared" si="13704"/>
        <v>0</v>
      </c>
      <c r="P8011" s="1" t="str">
        <f t="shared" si="13704"/>
        <v>0</v>
      </c>
      <c r="Q8011" s="1" t="str">
        <f t="shared" si="13695"/>
        <v>0.0070</v>
      </c>
      <c r="R8011" s="1" t="s">
        <v>25</v>
      </c>
      <c r="T8011" s="1" t="str">
        <f t="shared" si="13696"/>
        <v>0</v>
      </c>
      <c r="U8011" s="1" t="str">
        <f t="shared" si="13654"/>
        <v>0.0070</v>
      </c>
    </row>
    <row r="8012" s="1" customFormat="1" spans="1:21">
      <c r="A8012" s="1" t="str">
        <f>"4601992372510"</f>
        <v>4601992372510</v>
      </c>
      <c r="B8012" s="1" t="s">
        <v>8035</v>
      </c>
      <c r="C8012" s="1" t="s">
        <v>24</v>
      </c>
      <c r="D8012" s="1" t="str">
        <f t="shared" si="13693"/>
        <v>2021</v>
      </c>
      <c r="E8012" s="1" t="str">
        <f t="shared" ref="E8012:P8012" si="13705">"0"</f>
        <v>0</v>
      </c>
      <c r="F8012" s="1" t="str">
        <f t="shared" si="13705"/>
        <v>0</v>
      </c>
      <c r="G8012" s="1" t="str">
        <f t="shared" si="13705"/>
        <v>0</v>
      </c>
      <c r="H8012" s="1" t="str">
        <f t="shared" si="13705"/>
        <v>0</v>
      </c>
      <c r="I8012" s="1" t="str">
        <f t="shared" si="13705"/>
        <v>0</v>
      </c>
      <c r="J8012" s="1" t="str">
        <f t="shared" si="13705"/>
        <v>0</v>
      </c>
      <c r="K8012" s="1" t="str">
        <f t="shared" si="13705"/>
        <v>0</v>
      </c>
      <c r="L8012" s="1" t="str">
        <f t="shared" si="13705"/>
        <v>0</v>
      </c>
      <c r="M8012" s="1" t="str">
        <f t="shared" si="13705"/>
        <v>0</v>
      </c>
      <c r="N8012" s="1" t="str">
        <f t="shared" si="13705"/>
        <v>0</v>
      </c>
      <c r="O8012" s="1" t="str">
        <f t="shared" si="13705"/>
        <v>0</v>
      </c>
      <c r="P8012" s="1" t="str">
        <f t="shared" si="13705"/>
        <v>0</v>
      </c>
      <c r="Q8012" s="1" t="str">
        <f t="shared" si="13695"/>
        <v>0.0070</v>
      </c>
      <c r="R8012" s="1" t="s">
        <v>25</v>
      </c>
      <c r="T8012" s="1" t="str">
        <f t="shared" si="13696"/>
        <v>0</v>
      </c>
      <c r="U8012" s="1" t="str">
        <f t="shared" si="13654"/>
        <v>0.0070</v>
      </c>
    </row>
    <row r="8013" s="1" customFormat="1" spans="1:21">
      <c r="A8013" s="1" t="str">
        <f>"4601992372655"</f>
        <v>4601992372655</v>
      </c>
      <c r="B8013" s="1" t="s">
        <v>8036</v>
      </c>
      <c r="C8013" s="1" t="s">
        <v>24</v>
      </c>
      <c r="D8013" s="1" t="str">
        <f t="shared" si="13693"/>
        <v>2021</v>
      </c>
      <c r="E8013" s="1" t="str">
        <f t="shared" ref="E8013:P8013" si="13706">"0"</f>
        <v>0</v>
      </c>
      <c r="F8013" s="1" t="str">
        <f t="shared" si="13706"/>
        <v>0</v>
      </c>
      <c r="G8013" s="1" t="str">
        <f t="shared" si="13706"/>
        <v>0</v>
      </c>
      <c r="H8013" s="1" t="str">
        <f t="shared" si="13706"/>
        <v>0</v>
      </c>
      <c r="I8013" s="1" t="str">
        <f t="shared" si="13706"/>
        <v>0</v>
      </c>
      <c r="J8013" s="1" t="str">
        <f t="shared" si="13706"/>
        <v>0</v>
      </c>
      <c r="K8013" s="1" t="str">
        <f t="shared" si="13706"/>
        <v>0</v>
      </c>
      <c r="L8013" s="1" t="str">
        <f t="shared" si="13706"/>
        <v>0</v>
      </c>
      <c r="M8013" s="1" t="str">
        <f t="shared" si="13706"/>
        <v>0</v>
      </c>
      <c r="N8013" s="1" t="str">
        <f t="shared" si="13706"/>
        <v>0</v>
      </c>
      <c r="O8013" s="1" t="str">
        <f t="shared" si="13706"/>
        <v>0</v>
      </c>
      <c r="P8013" s="1" t="str">
        <f t="shared" si="13706"/>
        <v>0</v>
      </c>
      <c r="Q8013" s="1" t="str">
        <f t="shared" si="13695"/>
        <v>0.0070</v>
      </c>
      <c r="R8013" s="1" t="s">
        <v>25</v>
      </c>
      <c r="T8013" s="1" t="str">
        <f t="shared" si="13696"/>
        <v>0</v>
      </c>
      <c r="U8013" s="1" t="str">
        <f t="shared" si="13654"/>
        <v>0.0070</v>
      </c>
    </row>
    <row r="8014" s="1" customFormat="1" spans="1:21">
      <c r="A8014" s="1" t="str">
        <f>"4601992372759"</f>
        <v>4601992372759</v>
      </c>
      <c r="B8014" s="1" t="s">
        <v>8037</v>
      </c>
      <c r="C8014" s="1" t="s">
        <v>24</v>
      </c>
      <c r="D8014" s="1" t="str">
        <f t="shared" si="13693"/>
        <v>2021</v>
      </c>
      <c r="E8014" s="1" t="str">
        <f t="shared" ref="E8014:P8014" si="13707">"0"</f>
        <v>0</v>
      </c>
      <c r="F8014" s="1" t="str">
        <f t="shared" si="13707"/>
        <v>0</v>
      </c>
      <c r="G8014" s="1" t="str">
        <f t="shared" si="13707"/>
        <v>0</v>
      </c>
      <c r="H8014" s="1" t="str">
        <f t="shared" si="13707"/>
        <v>0</v>
      </c>
      <c r="I8014" s="1" t="str">
        <f t="shared" si="13707"/>
        <v>0</v>
      </c>
      <c r="J8014" s="1" t="str">
        <f t="shared" si="13707"/>
        <v>0</v>
      </c>
      <c r="K8014" s="1" t="str">
        <f t="shared" si="13707"/>
        <v>0</v>
      </c>
      <c r="L8014" s="1" t="str">
        <f t="shared" si="13707"/>
        <v>0</v>
      </c>
      <c r="M8014" s="1" t="str">
        <f t="shared" si="13707"/>
        <v>0</v>
      </c>
      <c r="N8014" s="1" t="str">
        <f t="shared" si="13707"/>
        <v>0</v>
      </c>
      <c r="O8014" s="1" t="str">
        <f t="shared" si="13707"/>
        <v>0</v>
      </c>
      <c r="P8014" s="1" t="str">
        <f t="shared" si="13707"/>
        <v>0</v>
      </c>
      <c r="Q8014" s="1" t="str">
        <f t="shared" si="13695"/>
        <v>0.0070</v>
      </c>
      <c r="R8014" s="1" t="s">
        <v>25</v>
      </c>
      <c r="T8014" s="1" t="str">
        <f t="shared" si="13696"/>
        <v>0</v>
      </c>
      <c r="U8014" s="1" t="str">
        <f t="shared" si="13654"/>
        <v>0.0070</v>
      </c>
    </row>
    <row r="8015" s="1" customFormat="1" spans="1:21">
      <c r="A8015" s="1" t="str">
        <f>"4601992373015"</f>
        <v>4601992373015</v>
      </c>
      <c r="B8015" s="1" t="s">
        <v>8038</v>
      </c>
      <c r="C8015" s="1" t="s">
        <v>24</v>
      </c>
      <c r="D8015" s="1" t="str">
        <f t="shared" si="13693"/>
        <v>2021</v>
      </c>
      <c r="E8015" s="1" t="str">
        <f t="shared" ref="E8015:P8015" si="13708">"0"</f>
        <v>0</v>
      </c>
      <c r="F8015" s="1" t="str">
        <f t="shared" si="13708"/>
        <v>0</v>
      </c>
      <c r="G8015" s="1" t="str">
        <f t="shared" si="13708"/>
        <v>0</v>
      </c>
      <c r="H8015" s="1" t="str">
        <f t="shared" si="13708"/>
        <v>0</v>
      </c>
      <c r="I8015" s="1" t="str">
        <f t="shared" si="13708"/>
        <v>0</v>
      </c>
      <c r="J8015" s="1" t="str">
        <f t="shared" si="13708"/>
        <v>0</v>
      </c>
      <c r="K8015" s="1" t="str">
        <f t="shared" si="13708"/>
        <v>0</v>
      </c>
      <c r="L8015" s="1" t="str">
        <f t="shared" si="13708"/>
        <v>0</v>
      </c>
      <c r="M8015" s="1" t="str">
        <f t="shared" si="13708"/>
        <v>0</v>
      </c>
      <c r="N8015" s="1" t="str">
        <f t="shared" si="13708"/>
        <v>0</v>
      </c>
      <c r="O8015" s="1" t="str">
        <f t="shared" si="13708"/>
        <v>0</v>
      </c>
      <c r="P8015" s="1" t="str">
        <f t="shared" si="13708"/>
        <v>0</v>
      </c>
      <c r="Q8015" s="1" t="str">
        <f t="shared" si="13695"/>
        <v>0.0070</v>
      </c>
      <c r="R8015" s="1" t="s">
        <v>25</v>
      </c>
      <c r="T8015" s="1" t="str">
        <f t="shared" si="13696"/>
        <v>0</v>
      </c>
      <c r="U8015" s="1" t="str">
        <f t="shared" si="13654"/>
        <v>0.0070</v>
      </c>
    </row>
    <row r="8016" s="1" customFormat="1" spans="1:21">
      <c r="A8016" s="1" t="str">
        <f>"4601992373019"</f>
        <v>4601992373019</v>
      </c>
      <c r="B8016" s="1" t="s">
        <v>8039</v>
      </c>
      <c r="C8016" s="1" t="s">
        <v>24</v>
      </c>
      <c r="D8016" s="1" t="str">
        <f t="shared" si="13693"/>
        <v>2021</v>
      </c>
      <c r="E8016" s="1" t="str">
        <f t="shared" ref="E8016:P8016" si="13709">"0"</f>
        <v>0</v>
      </c>
      <c r="F8016" s="1" t="str">
        <f t="shared" si="13709"/>
        <v>0</v>
      </c>
      <c r="G8016" s="1" t="str">
        <f t="shared" si="13709"/>
        <v>0</v>
      </c>
      <c r="H8016" s="1" t="str">
        <f t="shared" si="13709"/>
        <v>0</v>
      </c>
      <c r="I8016" s="1" t="str">
        <f t="shared" si="13709"/>
        <v>0</v>
      </c>
      <c r="J8016" s="1" t="str">
        <f t="shared" si="13709"/>
        <v>0</v>
      </c>
      <c r="K8016" s="1" t="str">
        <f t="shared" si="13709"/>
        <v>0</v>
      </c>
      <c r="L8016" s="1" t="str">
        <f t="shared" si="13709"/>
        <v>0</v>
      </c>
      <c r="M8016" s="1" t="str">
        <f t="shared" si="13709"/>
        <v>0</v>
      </c>
      <c r="N8016" s="1" t="str">
        <f t="shared" si="13709"/>
        <v>0</v>
      </c>
      <c r="O8016" s="1" t="str">
        <f t="shared" si="13709"/>
        <v>0</v>
      </c>
      <c r="P8016" s="1" t="str">
        <f t="shared" si="13709"/>
        <v>0</v>
      </c>
      <c r="Q8016" s="1" t="str">
        <f t="shared" si="13695"/>
        <v>0.0070</v>
      </c>
      <c r="R8016" s="1" t="s">
        <v>25</v>
      </c>
      <c r="T8016" s="1" t="str">
        <f t="shared" si="13696"/>
        <v>0</v>
      </c>
      <c r="U8016" s="1" t="str">
        <f t="shared" si="13654"/>
        <v>0.0070</v>
      </c>
    </row>
    <row r="8017" s="1" customFormat="1" spans="1:21">
      <c r="A8017" s="1" t="str">
        <f>"4601992373110"</f>
        <v>4601992373110</v>
      </c>
      <c r="B8017" s="1" t="s">
        <v>8040</v>
      </c>
      <c r="C8017" s="1" t="s">
        <v>24</v>
      </c>
      <c r="D8017" s="1" t="str">
        <f t="shared" si="13693"/>
        <v>2021</v>
      </c>
      <c r="E8017" s="1" t="str">
        <f t="shared" ref="E8017:P8017" si="13710">"0"</f>
        <v>0</v>
      </c>
      <c r="F8017" s="1" t="str">
        <f t="shared" si="13710"/>
        <v>0</v>
      </c>
      <c r="G8017" s="1" t="str">
        <f t="shared" si="13710"/>
        <v>0</v>
      </c>
      <c r="H8017" s="1" t="str">
        <f t="shared" si="13710"/>
        <v>0</v>
      </c>
      <c r="I8017" s="1" t="str">
        <f t="shared" si="13710"/>
        <v>0</v>
      </c>
      <c r="J8017" s="1" t="str">
        <f t="shared" si="13710"/>
        <v>0</v>
      </c>
      <c r="K8017" s="1" t="str">
        <f t="shared" si="13710"/>
        <v>0</v>
      </c>
      <c r="L8017" s="1" t="str">
        <f t="shared" si="13710"/>
        <v>0</v>
      </c>
      <c r="M8017" s="1" t="str">
        <f t="shared" si="13710"/>
        <v>0</v>
      </c>
      <c r="N8017" s="1" t="str">
        <f t="shared" si="13710"/>
        <v>0</v>
      </c>
      <c r="O8017" s="1" t="str">
        <f t="shared" si="13710"/>
        <v>0</v>
      </c>
      <c r="P8017" s="1" t="str">
        <f t="shared" si="13710"/>
        <v>0</v>
      </c>
      <c r="Q8017" s="1" t="str">
        <f t="shared" si="13695"/>
        <v>0.0070</v>
      </c>
      <c r="R8017" s="1" t="s">
        <v>25</v>
      </c>
      <c r="T8017" s="1" t="str">
        <f t="shared" si="13696"/>
        <v>0</v>
      </c>
      <c r="U8017" s="1" t="str">
        <f t="shared" si="13654"/>
        <v>0.0070</v>
      </c>
    </row>
    <row r="8018" s="1" customFormat="1" spans="1:21">
      <c r="A8018" s="1" t="str">
        <f>"4601992373154"</f>
        <v>4601992373154</v>
      </c>
      <c r="B8018" s="1" t="s">
        <v>8041</v>
      </c>
      <c r="C8018" s="1" t="s">
        <v>24</v>
      </c>
      <c r="D8018" s="1" t="str">
        <f t="shared" si="13693"/>
        <v>2021</v>
      </c>
      <c r="E8018" s="1" t="str">
        <f t="shared" ref="E8018:P8018" si="13711">"0"</f>
        <v>0</v>
      </c>
      <c r="F8018" s="1" t="str">
        <f t="shared" si="13711"/>
        <v>0</v>
      </c>
      <c r="G8018" s="1" t="str">
        <f t="shared" si="13711"/>
        <v>0</v>
      </c>
      <c r="H8018" s="1" t="str">
        <f t="shared" si="13711"/>
        <v>0</v>
      </c>
      <c r="I8018" s="1" t="str">
        <f t="shared" si="13711"/>
        <v>0</v>
      </c>
      <c r="J8018" s="1" t="str">
        <f t="shared" si="13711"/>
        <v>0</v>
      </c>
      <c r="K8018" s="1" t="str">
        <f t="shared" si="13711"/>
        <v>0</v>
      </c>
      <c r="L8018" s="1" t="str">
        <f t="shared" si="13711"/>
        <v>0</v>
      </c>
      <c r="M8018" s="1" t="str">
        <f t="shared" si="13711"/>
        <v>0</v>
      </c>
      <c r="N8018" s="1" t="str">
        <f t="shared" si="13711"/>
        <v>0</v>
      </c>
      <c r="O8018" s="1" t="str">
        <f t="shared" si="13711"/>
        <v>0</v>
      </c>
      <c r="P8018" s="1" t="str">
        <f t="shared" si="13711"/>
        <v>0</v>
      </c>
      <c r="Q8018" s="1" t="str">
        <f t="shared" si="13695"/>
        <v>0.0070</v>
      </c>
      <c r="R8018" s="1" t="s">
        <v>25</v>
      </c>
      <c r="T8018" s="1" t="str">
        <f t="shared" si="13696"/>
        <v>0</v>
      </c>
      <c r="U8018" s="1" t="str">
        <f t="shared" si="13654"/>
        <v>0.0070</v>
      </c>
    </row>
    <row r="8019" s="1" customFormat="1" spans="1:21">
      <c r="A8019" s="1" t="str">
        <f>"4601992373138"</f>
        <v>4601992373138</v>
      </c>
      <c r="B8019" s="1" t="s">
        <v>8042</v>
      </c>
      <c r="C8019" s="1" t="s">
        <v>24</v>
      </c>
      <c r="D8019" s="1" t="str">
        <f t="shared" si="13693"/>
        <v>2021</v>
      </c>
      <c r="E8019" s="1" t="str">
        <f t="shared" ref="E8019:P8019" si="13712">"0"</f>
        <v>0</v>
      </c>
      <c r="F8019" s="1" t="str">
        <f t="shared" si="13712"/>
        <v>0</v>
      </c>
      <c r="G8019" s="1" t="str">
        <f t="shared" si="13712"/>
        <v>0</v>
      </c>
      <c r="H8019" s="1" t="str">
        <f t="shared" si="13712"/>
        <v>0</v>
      </c>
      <c r="I8019" s="1" t="str">
        <f t="shared" si="13712"/>
        <v>0</v>
      </c>
      <c r="J8019" s="1" t="str">
        <f t="shared" si="13712"/>
        <v>0</v>
      </c>
      <c r="K8019" s="1" t="str">
        <f t="shared" si="13712"/>
        <v>0</v>
      </c>
      <c r="L8019" s="1" t="str">
        <f t="shared" si="13712"/>
        <v>0</v>
      </c>
      <c r="M8019" s="1" t="str">
        <f t="shared" si="13712"/>
        <v>0</v>
      </c>
      <c r="N8019" s="1" t="str">
        <f t="shared" si="13712"/>
        <v>0</v>
      </c>
      <c r="O8019" s="1" t="str">
        <f t="shared" si="13712"/>
        <v>0</v>
      </c>
      <c r="P8019" s="1" t="str">
        <f t="shared" si="13712"/>
        <v>0</v>
      </c>
      <c r="Q8019" s="1" t="str">
        <f t="shared" si="13695"/>
        <v>0.0070</v>
      </c>
      <c r="R8019" s="1" t="s">
        <v>25</v>
      </c>
      <c r="T8019" s="1" t="str">
        <f t="shared" si="13696"/>
        <v>0</v>
      </c>
      <c r="U8019" s="1" t="str">
        <f t="shared" si="13654"/>
        <v>0.0070</v>
      </c>
    </row>
    <row r="8020" s="1" customFormat="1" spans="1:21">
      <c r="A8020" s="1" t="str">
        <f>"4601992373189"</f>
        <v>4601992373189</v>
      </c>
      <c r="B8020" s="1" t="s">
        <v>8043</v>
      </c>
      <c r="C8020" s="1" t="s">
        <v>24</v>
      </c>
      <c r="D8020" s="1" t="str">
        <f t="shared" si="13693"/>
        <v>2021</v>
      </c>
      <c r="E8020" s="1" t="str">
        <f t="shared" ref="E8020:P8020" si="13713">"0"</f>
        <v>0</v>
      </c>
      <c r="F8020" s="1" t="str">
        <f t="shared" si="13713"/>
        <v>0</v>
      </c>
      <c r="G8020" s="1" t="str">
        <f t="shared" si="13713"/>
        <v>0</v>
      </c>
      <c r="H8020" s="1" t="str">
        <f t="shared" si="13713"/>
        <v>0</v>
      </c>
      <c r="I8020" s="1" t="str">
        <f t="shared" si="13713"/>
        <v>0</v>
      </c>
      <c r="J8020" s="1" t="str">
        <f t="shared" si="13713"/>
        <v>0</v>
      </c>
      <c r="K8020" s="1" t="str">
        <f t="shared" si="13713"/>
        <v>0</v>
      </c>
      <c r="L8020" s="1" t="str">
        <f t="shared" si="13713"/>
        <v>0</v>
      </c>
      <c r="M8020" s="1" t="str">
        <f t="shared" si="13713"/>
        <v>0</v>
      </c>
      <c r="N8020" s="1" t="str">
        <f t="shared" si="13713"/>
        <v>0</v>
      </c>
      <c r="O8020" s="1" t="str">
        <f t="shared" si="13713"/>
        <v>0</v>
      </c>
      <c r="P8020" s="1" t="str">
        <f t="shared" si="13713"/>
        <v>0</v>
      </c>
      <c r="Q8020" s="1" t="str">
        <f t="shared" si="13695"/>
        <v>0.0070</v>
      </c>
      <c r="R8020" s="1" t="s">
        <v>25</v>
      </c>
      <c r="T8020" s="1" t="str">
        <f t="shared" si="13696"/>
        <v>0</v>
      </c>
      <c r="U8020" s="1" t="str">
        <f t="shared" si="13654"/>
        <v>0.0070</v>
      </c>
    </row>
    <row r="8021" s="1" customFormat="1" spans="1:21">
      <c r="A8021" s="1" t="str">
        <f>"4601992373190"</f>
        <v>4601992373190</v>
      </c>
      <c r="B8021" s="1" t="s">
        <v>8044</v>
      </c>
      <c r="C8021" s="1" t="s">
        <v>24</v>
      </c>
      <c r="D8021" s="1" t="str">
        <f t="shared" si="13693"/>
        <v>2021</v>
      </c>
      <c r="E8021" s="1" t="str">
        <f t="shared" ref="E8021:P8021" si="13714">"0"</f>
        <v>0</v>
      </c>
      <c r="F8021" s="1" t="str">
        <f t="shared" si="13714"/>
        <v>0</v>
      </c>
      <c r="G8021" s="1" t="str">
        <f t="shared" si="13714"/>
        <v>0</v>
      </c>
      <c r="H8021" s="1" t="str">
        <f t="shared" si="13714"/>
        <v>0</v>
      </c>
      <c r="I8021" s="1" t="str">
        <f t="shared" si="13714"/>
        <v>0</v>
      </c>
      <c r="J8021" s="1" t="str">
        <f t="shared" si="13714"/>
        <v>0</v>
      </c>
      <c r="K8021" s="1" t="str">
        <f t="shared" si="13714"/>
        <v>0</v>
      </c>
      <c r="L8021" s="1" t="str">
        <f t="shared" si="13714"/>
        <v>0</v>
      </c>
      <c r="M8021" s="1" t="str">
        <f t="shared" si="13714"/>
        <v>0</v>
      </c>
      <c r="N8021" s="1" t="str">
        <f t="shared" si="13714"/>
        <v>0</v>
      </c>
      <c r="O8021" s="1" t="str">
        <f t="shared" si="13714"/>
        <v>0</v>
      </c>
      <c r="P8021" s="1" t="str">
        <f t="shared" si="13714"/>
        <v>0</v>
      </c>
      <c r="Q8021" s="1" t="str">
        <f t="shared" si="13695"/>
        <v>0.0070</v>
      </c>
      <c r="R8021" s="1" t="s">
        <v>25</v>
      </c>
      <c r="T8021" s="1" t="str">
        <f t="shared" si="13696"/>
        <v>0</v>
      </c>
      <c r="U8021" s="1" t="str">
        <f t="shared" si="13654"/>
        <v>0.0070</v>
      </c>
    </row>
    <row r="8022" s="1" customFormat="1" spans="1:21">
      <c r="A8022" s="1" t="str">
        <f>"4601992373208"</f>
        <v>4601992373208</v>
      </c>
      <c r="B8022" s="1" t="s">
        <v>8045</v>
      </c>
      <c r="C8022" s="1" t="s">
        <v>24</v>
      </c>
      <c r="D8022" s="1" t="str">
        <f t="shared" si="13693"/>
        <v>2021</v>
      </c>
      <c r="E8022" s="1" t="str">
        <f t="shared" ref="E8022:P8022" si="13715">"0"</f>
        <v>0</v>
      </c>
      <c r="F8022" s="1" t="str">
        <f t="shared" si="13715"/>
        <v>0</v>
      </c>
      <c r="G8022" s="1" t="str">
        <f t="shared" si="13715"/>
        <v>0</v>
      </c>
      <c r="H8022" s="1" t="str">
        <f t="shared" si="13715"/>
        <v>0</v>
      </c>
      <c r="I8022" s="1" t="str">
        <f t="shared" si="13715"/>
        <v>0</v>
      </c>
      <c r="J8022" s="1" t="str">
        <f t="shared" si="13715"/>
        <v>0</v>
      </c>
      <c r="K8022" s="1" t="str">
        <f t="shared" si="13715"/>
        <v>0</v>
      </c>
      <c r="L8022" s="1" t="str">
        <f t="shared" si="13715"/>
        <v>0</v>
      </c>
      <c r="M8022" s="1" t="str">
        <f t="shared" si="13715"/>
        <v>0</v>
      </c>
      <c r="N8022" s="1" t="str">
        <f t="shared" si="13715"/>
        <v>0</v>
      </c>
      <c r="O8022" s="1" t="str">
        <f t="shared" si="13715"/>
        <v>0</v>
      </c>
      <c r="P8022" s="1" t="str">
        <f t="shared" si="13715"/>
        <v>0</v>
      </c>
      <c r="Q8022" s="1" t="str">
        <f t="shared" si="13695"/>
        <v>0.0070</v>
      </c>
      <c r="R8022" s="1" t="s">
        <v>25</v>
      </c>
      <c r="T8022" s="1" t="str">
        <f t="shared" si="13696"/>
        <v>0</v>
      </c>
      <c r="U8022" s="1" t="str">
        <f t="shared" si="13654"/>
        <v>0.0070</v>
      </c>
    </row>
    <row r="8023" s="1" customFormat="1" spans="1:21">
      <c r="A8023" s="1" t="str">
        <f>"4601992373203"</f>
        <v>4601992373203</v>
      </c>
      <c r="B8023" s="1" t="s">
        <v>8046</v>
      </c>
      <c r="C8023" s="1" t="s">
        <v>24</v>
      </c>
      <c r="D8023" s="1" t="str">
        <f t="shared" si="13693"/>
        <v>2021</v>
      </c>
      <c r="E8023" s="1" t="str">
        <f t="shared" ref="E8023:P8023" si="13716">"0"</f>
        <v>0</v>
      </c>
      <c r="F8023" s="1" t="str">
        <f t="shared" si="13716"/>
        <v>0</v>
      </c>
      <c r="G8023" s="1" t="str">
        <f t="shared" si="13716"/>
        <v>0</v>
      </c>
      <c r="H8023" s="1" t="str">
        <f t="shared" si="13716"/>
        <v>0</v>
      </c>
      <c r="I8023" s="1" t="str">
        <f t="shared" si="13716"/>
        <v>0</v>
      </c>
      <c r="J8023" s="1" t="str">
        <f t="shared" si="13716"/>
        <v>0</v>
      </c>
      <c r="K8023" s="1" t="str">
        <f t="shared" si="13716"/>
        <v>0</v>
      </c>
      <c r="L8023" s="1" t="str">
        <f t="shared" si="13716"/>
        <v>0</v>
      </c>
      <c r="M8023" s="1" t="str">
        <f t="shared" si="13716"/>
        <v>0</v>
      </c>
      <c r="N8023" s="1" t="str">
        <f t="shared" si="13716"/>
        <v>0</v>
      </c>
      <c r="O8023" s="1" t="str">
        <f t="shared" si="13716"/>
        <v>0</v>
      </c>
      <c r="P8023" s="1" t="str">
        <f t="shared" si="13716"/>
        <v>0</v>
      </c>
      <c r="Q8023" s="1" t="str">
        <f t="shared" si="13695"/>
        <v>0.0070</v>
      </c>
      <c r="R8023" s="1" t="s">
        <v>25</v>
      </c>
      <c r="T8023" s="1" t="str">
        <f t="shared" si="13696"/>
        <v>0</v>
      </c>
      <c r="U8023" s="1" t="str">
        <f t="shared" si="13654"/>
        <v>0.0070</v>
      </c>
    </row>
    <row r="8024" s="1" customFormat="1" spans="1:21">
      <c r="A8024" s="1" t="str">
        <f>"4601992373265"</f>
        <v>4601992373265</v>
      </c>
      <c r="B8024" s="1" t="s">
        <v>8047</v>
      </c>
      <c r="C8024" s="1" t="s">
        <v>24</v>
      </c>
      <c r="D8024" s="1" t="str">
        <f t="shared" si="13693"/>
        <v>2021</v>
      </c>
      <c r="E8024" s="1" t="str">
        <f t="shared" ref="E8024:P8024" si="13717">"0"</f>
        <v>0</v>
      </c>
      <c r="F8024" s="1" t="str">
        <f t="shared" si="13717"/>
        <v>0</v>
      </c>
      <c r="G8024" s="1" t="str">
        <f t="shared" si="13717"/>
        <v>0</v>
      </c>
      <c r="H8024" s="1" t="str">
        <f t="shared" si="13717"/>
        <v>0</v>
      </c>
      <c r="I8024" s="1" t="str">
        <f t="shared" si="13717"/>
        <v>0</v>
      </c>
      <c r="J8024" s="1" t="str">
        <f t="shared" si="13717"/>
        <v>0</v>
      </c>
      <c r="K8024" s="1" t="str">
        <f t="shared" si="13717"/>
        <v>0</v>
      </c>
      <c r="L8024" s="1" t="str">
        <f t="shared" si="13717"/>
        <v>0</v>
      </c>
      <c r="M8024" s="1" t="str">
        <f t="shared" si="13717"/>
        <v>0</v>
      </c>
      <c r="N8024" s="1" t="str">
        <f t="shared" si="13717"/>
        <v>0</v>
      </c>
      <c r="O8024" s="1" t="str">
        <f t="shared" si="13717"/>
        <v>0</v>
      </c>
      <c r="P8024" s="1" t="str">
        <f t="shared" si="13717"/>
        <v>0</v>
      </c>
      <c r="Q8024" s="1" t="str">
        <f t="shared" si="13695"/>
        <v>0.0070</v>
      </c>
      <c r="R8024" s="1" t="s">
        <v>25</v>
      </c>
      <c r="T8024" s="1" t="str">
        <f t="shared" si="13696"/>
        <v>0</v>
      </c>
      <c r="U8024" s="1" t="str">
        <f t="shared" si="13654"/>
        <v>0.0070</v>
      </c>
    </row>
    <row r="8025" s="1" customFormat="1" spans="1:21">
      <c r="A8025" s="1" t="str">
        <f>"4601992373334"</f>
        <v>4601992373334</v>
      </c>
      <c r="B8025" s="1" t="s">
        <v>8048</v>
      </c>
      <c r="C8025" s="1" t="s">
        <v>24</v>
      </c>
      <c r="D8025" s="1" t="str">
        <f t="shared" si="13693"/>
        <v>2021</v>
      </c>
      <c r="E8025" s="1" t="str">
        <f t="shared" ref="E8025:P8025" si="13718">"0"</f>
        <v>0</v>
      </c>
      <c r="F8025" s="1" t="str">
        <f t="shared" si="13718"/>
        <v>0</v>
      </c>
      <c r="G8025" s="1" t="str">
        <f t="shared" si="13718"/>
        <v>0</v>
      </c>
      <c r="H8025" s="1" t="str">
        <f t="shared" si="13718"/>
        <v>0</v>
      </c>
      <c r="I8025" s="1" t="str">
        <f t="shared" si="13718"/>
        <v>0</v>
      </c>
      <c r="J8025" s="1" t="str">
        <f t="shared" si="13718"/>
        <v>0</v>
      </c>
      <c r="K8025" s="1" t="str">
        <f t="shared" si="13718"/>
        <v>0</v>
      </c>
      <c r="L8025" s="1" t="str">
        <f t="shared" si="13718"/>
        <v>0</v>
      </c>
      <c r="M8025" s="1" t="str">
        <f t="shared" si="13718"/>
        <v>0</v>
      </c>
      <c r="N8025" s="1" t="str">
        <f t="shared" si="13718"/>
        <v>0</v>
      </c>
      <c r="O8025" s="1" t="str">
        <f t="shared" si="13718"/>
        <v>0</v>
      </c>
      <c r="P8025" s="1" t="str">
        <f t="shared" si="13718"/>
        <v>0</v>
      </c>
      <c r="Q8025" s="1" t="str">
        <f t="shared" si="13695"/>
        <v>0.0070</v>
      </c>
      <c r="R8025" s="1" t="s">
        <v>25</v>
      </c>
      <c r="T8025" s="1" t="str">
        <f t="shared" si="13696"/>
        <v>0</v>
      </c>
      <c r="U8025" s="1" t="str">
        <f t="shared" si="13654"/>
        <v>0.0070</v>
      </c>
    </row>
    <row r="8026" s="1" customFormat="1" spans="1:21">
      <c r="A8026" s="1" t="str">
        <f>"4601992373720"</f>
        <v>4601992373720</v>
      </c>
      <c r="B8026" s="1" t="s">
        <v>8049</v>
      </c>
      <c r="C8026" s="1" t="s">
        <v>24</v>
      </c>
      <c r="D8026" s="1" t="str">
        <f t="shared" si="13693"/>
        <v>2021</v>
      </c>
      <c r="E8026" s="1" t="str">
        <f t="shared" ref="E8026:P8026" si="13719">"0"</f>
        <v>0</v>
      </c>
      <c r="F8026" s="1" t="str">
        <f t="shared" si="13719"/>
        <v>0</v>
      </c>
      <c r="G8026" s="1" t="str">
        <f t="shared" si="13719"/>
        <v>0</v>
      </c>
      <c r="H8026" s="1" t="str">
        <f t="shared" si="13719"/>
        <v>0</v>
      </c>
      <c r="I8026" s="1" t="str">
        <f t="shared" si="13719"/>
        <v>0</v>
      </c>
      <c r="J8026" s="1" t="str">
        <f t="shared" si="13719"/>
        <v>0</v>
      </c>
      <c r="K8026" s="1" t="str">
        <f t="shared" si="13719"/>
        <v>0</v>
      </c>
      <c r="L8026" s="1" t="str">
        <f t="shared" si="13719"/>
        <v>0</v>
      </c>
      <c r="M8026" s="1" t="str">
        <f t="shared" si="13719"/>
        <v>0</v>
      </c>
      <c r="N8026" s="1" t="str">
        <f t="shared" si="13719"/>
        <v>0</v>
      </c>
      <c r="O8026" s="1" t="str">
        <f t="shared" si="13719"/>
        <v>0</v>
      </c>
      <c r="P8026" s="1" t="str">
        <f t="shared" si="13719"/>
        <v>0</v>
      </c>
      <c r="Q8026" s="1" t="str">
        <f t="shared" si="13695"/>
        <v>0.0070</v>
      </c>
      <c r="R8026" s="1" t="s">
        <v>25</v>
      </c>
      <c r="T8026" s="1" t="str">
        <f t="shared" si="13696"/>
        <v>0</v>
      </c>
      <c r="U8026" s="1" t="str">
        <f t="shared" si="13654"/>
        <v>0.0070</v>
      </c>
    </row>
    <row r="8027" s="1" customFormat="1" spans="1:21">
      <c r="A8027" s="1" t="str">
        <f>"4601992373909"</f>
        <v>4601992373909</v>
      </c>
      <c r="B8027" s="1" t="s">
        <v>8050</v>
      </c>
      <c r="C8027" s="1" t="s">
        <v>24</v>
      </c>
      <c r="D8027" s="1" t="str">
        <f t="shared" si="13693"/>
        <v>2021</v>
      </c>
      <c r="E8027" s="1" t="str">
        <f t="shared" ref="E8027:P8027" si="13720">"0"</f>
        <v>0</v>
      </c>
      <c r="F8027" s="1" t="str">
        <f t="shared" si="13720"/>
        <v>0</v>
      </c>
      <c r="G8027" s="1" t="str">
        <f t="shared" si="13720"/>
        <v>0</v>
      </c>
      <c r="H8027" s="1" t="str">
        <f t="shared" si="13720"/>
        <v>0</v>
      </c>
      <c r="I8027" s="1" t="str">
        <f t="shared" si="13720"/>
        <v>0</v>
      </c>
      <c r="J8027" s="1" t="str">
        <f t="shared" si="13720"/>
        <v>0</v>
      </c>
      <c r="K8027" s="1" t="str">
        <f t="shared" si="13720"/>
        <v>0</v>
      </c>
      <c r="L8027" s="1" t="str">
        <f t="shared" si="13720"/>
        <v>0</v>
      </c>
      <c r="M8027" s="1" t="str">
        <f t="shared" si="13720"/>
        <v>0</v>
      </c>
      <c r="N8027" s="1" t="str">
        <f t="shared" si="13720"/>
        <v>0</v>
      </c>
      <c r="O8027" s="1" t="str">
        <f t="shared" si="13720"/>
        <v>0</v>
      </c>
      <c r="P8027" s="1" t="str">
        <f t="shared" si="13720"/>
        <v>0</v>
      </c>
      <c r="Q8027" s="1" t="str">
        <f t="shared" si="13695"/>
        <v>0.0070</v>
      </c>
      <c r="R8027" s="1" t="s">
        <v>25</v>
      </c>
      <c r="T8027" s="1" t="str">
        <f t="shared" si="13696"/>
        <v>0</v>
      </c>
      <c r="U8027" s="1" t="str">
        <f t="shared" si="13654"/>
        <v>0.0070</v>
      </c>
    </row>
    <row r="8028" s="1" customFormat="1" spans="1:21">
      <c r="A8028" s="1" t="str">
        <f>"4601992373913"</f>
        <v>4601992373913</v>
      </c>
      <c r="B8028" s="1" t="s">
        <v>8051</v>
      </c>
      <c r="C8028" s="1" t="s">
        <v>24</v>
      </c>
      <c r="D8028" s="1" t="str">
        <f t="shared" si="13693"/>
        <v>2021</v>
      </c>
      <c r="E8028" s="1" t="str">
        <f t="shared" ref="E8028:P8028" si="13721">"0"</f>
        <v>0</v>
      </c>
      <c r="F8028" s="1" t="str">
        <f t="shared" si="13721"/>
        <v>0</v>
      </c>
      <c r="G8028" s="1" t="str">
        <f t="shared" si="13721"/>
        <v>0</v>
      </c>
      <c r="H8028" s="1" t="str">
        <f t="shared" si="13721"/>
        <v>0</v>
      </c>
      <c r="I8028" s="1" t="str">
        <f t="shared" si="13721"/>
        <v>0</v>
      </c>
      <c r="J8028" s="1" t="str">
        <f t="shared" si="13721"/>
        <v>0</v>
      </c>
      <c r="K8028" s="1" t="str">
        <f t="shared" si="13721"/>
        <v>0</v>
      </c>
      <c r="L8028" s="1" t="str">
        <f t="shared" si="13721"/>
        <v>0</v>
      </c>
      <c r="M8028" s="1" t="str">
        <f t="shared" si="13721"/>
        <v>0</v>
      </c>
      <c r="N8028" s="1" t="str">
        <f t="shared" si="13721"/>
        <v>0</v>
      </c>
      <c r="O8028" s="1" t="str">
        <f t="shared" si="13721"/>
        <v>0</v>
      </c>
      <c r="P8028" s="1" t="str">
        <f t="shared" si="13721"/>
        <v>0</v>
      </c>
      <c r="Q8028" s="1" t="str">
        <f t="shared" si="13695"/>
        <v>0.0070</v>
      </c>
      <c r="R8028" s="1" t="s">
        <v>25</v>
      </c>
      <c r="T8028" s="1" t="str">
        <f t="shared" si="13696"/>
        <v>0</v>
      </c>
      <c r="U8028" s="1" t="str">
        <f t="shared" ref="U8028:U8092" si="13722">"0.0070"</f>
        <v>0.0070</v>
      </c>
    </row>
    <row r="8029" s="1" customFormat="1" spans="1:21">
      <c r="A8029" s="1" t="str">
        <f>"4601992373930"</f>
        <v>4601992373930</v>
      </c>
      <c r="B8029" s="1" t="s">
        <v>8052</v>
      </c>
      <c r="C8029" s="1" t="s">
        <v>24</v>
      </c>
      <c r="D8029" s="1" t="str">
        <f t="shared" si="13693"/>
        <v>2021</v>
      </c>
      <c r="E8029" s="1" t="str">
        <f t="shared" ref="E8029:P8029" si="13723">"0"</f>
        <v>0</v>
      </c>
      <c r="F8029" s="1" t="str">
        <f t="shared" si="13723"/>
        <v>0</v>
      </c>
      <c r="G8029" s="1" t="str">
        <f t="shared" si="13723"/>
        <v>0</v>
      </c>
      <c r="H8029" s="1" t="str">
        <f t="shared" si="13723"/>
        <v>0</v>
      </c>
      <c r="I8029" s="1" t="str">
        <f t="shared" si="13723"/>
        <v>0</v>
      </c>
      <c r="J8029" s="1" t="str">
        <f t="shared" si="13723"/>
        <v>0</v>
      </c>
      <c r="K8029" s="1" t="str">
        <f t="shared" si="13723"/>
        <v>0</v>
      </c>
      <c r="L8029" s="1" t="str">
        <f t="shared" si="13723"/>
        <v>0</v>
      </c>
      <c r="M8029" s="1" t="str">
        <f t="shared" si="13723"/>
        <v>0</v>
      </c>
      <c r="N8029" s="1" t="str">
        <f t="shared" si="13723"/>
        <v>0</v>
      </c>
      <c r="O8029" s="1" t="str">
        <f t="shared" si="13723"/>
        <v>0</v>
      </c>
      <c r="P8029" s="1" t="str">
        <f t="shared" si="13723"/>
        <v>0</v>
      </c>
      <c r="Q8029" s="1" t="str">
        <f t="shared" si="13695"/>
        <v>0.0070</v>
      </c>
      <c r="R8029" s="1" t="s">
        <v>25</v>
      </c>
      <c r="T8029" s="1" t="str">
        <f t="shared" si="13696"/>
        <v>0</v>
      </c>
      <c r="U8029" s="1" t="str">
        <f t="shared" si="13722"/>
        <v>0.0070</v>
      </c>
    </row>
    <row r="8030" s="1" customFormat="1" spans="1:21">
      <c r="A8030" s="1" t="str">
        <f>"4601992014124"</f>
        <v>4601992014124</v>
      </c>
      <c r="B8030" s="1" t="s">
        <v>8053</v>
      </c>
      <c r="C8030" s="1" t="s">
        <v>24</v>
      </c>
      <c r="D8030" s="1" t="str">
        <f t="shared" si="13693"/>
        <v>2021</v>
      </c>
      <c r="E8030" s="1" t="str">
        <f>"24.18"</f>
        <v>24.18</v>
      </c>
      <c r="F8030" s="1" t="str">
        <f t="shared" ref="F8030:I8030" si="13724">"0"</f>
        <v>0</v>
      </c>
      <c r="G8030" s="1" t="str">
        <f t="shared" si="13724"/>
        <v>0</v>
      </c>
      <c r="H8030" s="1" t="str">
        <f t="shared" si="13724"/>
        <v>0</v>
      </c>
      <c r="I8030" s="1" t="str">
        <f t="shared" si="13724"/>
        <v>0</v>
      </c>
      <c r="J8030" s="1" t="str">
        <f>"2"</f>
        <v>2</v>
      </c>
      <c r="K8030" s="1" t="str">
        <f t="shared" ref="K8030:P8030" si="13725">"0"</f>
        <v>0</v>
      </c>
      <c r="L8030" s="1" t="str">
        <f t="shared" si="13725"/>
        <v>0</v>
      </c>
      <c r="M8030" s="1" t="str">
        <f t="shared" si="13725"/>
        <v>0</v>
      </c>
      <c r="N8030" s="1" t="str">
        <f t="shared" si="13725"/>
        <v>0</v>
      </c>
      <c r="O8030" s="1" t="str">
        <f t="shared" si="13725"/>
        <v>0</v>
      </c>
      <c r="P8030" s="1" t="str">
        <f t="shared" si="13725"/>
        <v>0</v>
      </c>
      <c r="Q8030" s="1" t="str">
        <f t="shared" si="13695"/>
        <v>0.0070</v>
      </c>
      <c r="R8030" s="1" t="s">
        <v>29</v>
      </c>
      <c r="S8030" s="1">
        <v>-0.0014</v>
      </c>
      <c r="T8030" s="1" t="str">
        <f t="shared" si="13696"/>
        <v>0</v>
      </c>
      <c r="U8030" s="1" t="str">
        <f>"0.0056"</f>
        <v>0.0056</v>
      </c>
    </row>
    <row r="8031" s="1" customFormat="1" spans="1:21">
      <c r="A8031" s="1" t="str">
        <f>"4601992373981"</f>
        <v>4601992373981</v>
      </c>
      <c r="B8031" s="1" t="s">
        <v>8054</v>
      </c>
      <c r="C8031" s="1" t="s">
        <v>24</v>
      </c>
      <c r="D8031" s="1" t="str">
        <f t="shared" si="13693"/>
        <v>2021</v>
      </c>
      <c r="E8031" s="1" t="str">
        <f t="shared" ref="E8031:P8031" si="13726">"0"</f>
        <v>0</v>
      </c>
      <c r="F8031" s="1" t="str">
        <f t="shared" si="13726"/>
        <v>0</v>
      </c>
      <c r="G8031" s="1" t="str">
        <f t="shared" si="13726"/>
        <v>0</v>
      </c>
      <c r="H8031" s="1" t="str">
        <f t="shared" si="13726"/>
        <v>0</v>
      </c>
      <c r="I8031" s="1" t="str">
        <f t="shared" si="13726"/>
        <v>0</v>
      </c>
      <c r="J8031" s="1" t="str">
        <f t="shared" si="13726"/>
        <v>0</v>
      </c>
      <c r="K8031" s="1" t="str">
        <f t="shared" si="13726"/>
        <v>0</v>
      </c>
      <c r="L8031" s="1" t="str">
        <f t="shared" si="13726"/>
        <v>0</v>
      </c>
      <c r="M8031" s="1" t="str">
        <f t="shared" si="13726"/>
        <v>0</v>
      </c>
      <c r="N8031" s="1" t="str">
        <f t="shared" si="13726"/>
        <v>0</v>
      </c>
      <c r="O8031" s="1" t="str">
        <f t="shared" si="13726"/>
        <v>0</v>
      </c>
      <c r="P8031" s="1" t="str">
        <f t="shared" si="13726"/>
        <v>0</v>
      </c>
      <c r="Q8031" s="1" t="str">
        <f t="shared" si="13695"/>
        <v>0.0070</v>
      </c>
      <c r="R8031" s="1" t="s">
        <v>25</v>
      </c>
      <c r="T8031" s="1" t="str">
        <f t="shared" si="13696"/>
        <v>0</v>
      </c>
      <c r="U8031" s="1" t="str">
        <f t="shared" si="13722"/>
        <v>0.0070</v>
      </c>
    </row>
    <row r="8032" s="1" customFormat="1" spans="1:21">
      <c r="A8032" s="1" t="str">
        <f>"4601992374004"</f>
        <v>4601992374004</v>
      </c>
      <c r="B8032" s="1" t="s">
        <v>8055</v>
      </c>
      <c r="C8032" s="1" t="s">
        <v>24</v>
      </c>
      <c r="D8032" s="1" t="str">
        <f t="shared" si="13693"/>
        <v>2021</v>
      </c>
      <c r="E8032" s="1" t="str">
        <f t="shared" ref="E8032:P8032" si="13727">"0"</f>
        <v>0</v>
      </c>
      <c r="F8032" s="1" t="str">
        <f t="shared" si="13727"/>
        <v>0</v>
      </c>
      <c r="G8032" s="1" t="str">
        <f t="shared" si="13727"/>
        <v>0</v>
      </c>
      <c r="H8032" s="1" t="str">
        <f t="shared" si="13727"/>
        <v>0</v>
      </c>
      <c r="I8032" s="1" t="str">
        <f t="shared" si="13727"/>
        <v>0</v>
      </c>
      <c r="J8032" s="1" t="str">
        <f t="shared" si="13727"/>
        <v>0</v>
      </c>
      <c r="K8032" s="1" t="str">
        <f t="shared" si="13727"/>
        <v>0</v>
      </c>
      <c r="L8032" s="1" t="str">
        <f t="shared" si="13727"/>
        <v>0</v>
      </c>
      <c r="M8032" s="1" t="str">
        <f t="shared" si="13727"/>
        <v>0</v>
      </c>
      <c r="N8032" s="1" t="str">
        <f t="shared" si="13727"/>
        <v>0</v>
      </c>
      <c r="O8032" s="1" t="str">
        <f t="shared" si="13727"/>
        <v>0</v>
      </c>
      <c r="P8032" s="1" t="str">
        <f t="shared" si="13727"/>
        <v>0</v>
      </c>
      <c r="Q8032" s="1" t="str">
        <f t="shared" si="13695"/>
        <v>0.0070</v>
      </c>
      <c r="R8032" s="1" t="s">
        <v>25</v>
      </c>
      <c r="T8032" s="1" t="str">
        <f t="shared" si="13696"/>
        <v>0</v>
      </c>
      <c r="U8032" s="1" t="str">
        <f t="shared" si="13722"/>
        <v>0.0070</v>
      </c>
    </row>
    <row r="8033" s="1" customFormat="1" spans="1:21">
      <c r="A8033" s="1" t="str">
        <f>"4601992147240"</f>
        <v>4601992147240</v>
      </c>
      <c r="B8033" s="1" t="s">
        <v>8056</v>
      </c>
      <c r="C8033" s="1" t="s">
        <v>24</v>
      </c>
      <c r="D8033" s="1" t="str">
        <f t="shared" si="13693"/>
        <v>2021</v>
      </c>
      <c r="E8033" s="1" t="str">
        <f t="shared" ref="E8033:I8033" si="13728">"0"</f>
        <v>0</v>
      </c>
      <c r="F8033" s="1" t="str">
        <f t="shared" si="13728"/>
        <v>0</v>
      </c>
      <c r="G8033" s="1" t="str">
        <f t="shared" si="13728"/>
        <v>0</v>
      </c>
      <c r="H8033" s="1" t="str">
        <f t="shared" si="13728"/>
        <v>0</v>
      </c>
      <c r="I8033" s="1" t="str">
        <f t="shared" si="13728"/>
        <v>0</v>
      </c>
      <c r="J8033" s="1" t="str">
        <f>"6"</f>
        <v>6</v>
      </c>
      <c r="K8033" s="1" t="str">
        <f t="shared" ref="K8033:P8033" si="13729">"0"</f>
        <v>0</v>
      </c>
      <c r="L8033" s="1" t="str">
        <f t="shared" si="13729"/>
        <v>0</v>
      </c>
      <c r="M8033" s="1" t="str">
        <f t="shared" si="13729"/>
        <v>0</v>
      </c>
      <c r="N8033" s="1" t="str">
        <f t="shared" si="13729"/>
        <v>0</v>
      </c>
      <c r="O8033" s="1" t="str">
        <f t="shared" si="13729"/>
        <v>0</v>
      </c>
      <c r="P8033" s="1" t="str">
        <f t="shared" si="13729"/>
        <v>0</v>
      </c>
      <c r="Q8033" s="1" t="str">
        <f t="shared" si="13695"/>
        <v>0.0070</v>
      </c>
      <c r="R8033" s="1" t="s">
        <v>25</v>
      </c>
      <c r="T8033" s="1" t="str">
        <f t="shared" si="13696"/>
        <v>0</v>
      </c>
      <c r="U8033" s="1" t="str">
        <f t="shared" si="13722"/>
        <v>0.0070</v>
      </c>
    </row>
    <row r="8034" s="1" customFormat="1" spans="1:21">
      <c r="A8034" s="1" t="str">
        <f>"4601992374019"</f>
        <v>4601992374019</v>
      </c>
      <c r="B8034" s="1" t="s">
        <v>8057</v>
      </c>
      <c r="C8034" s="1" t="s">
        <v>24</v>
      </c>
      <c r="D8034" s="1" t="str">
        <f t="shared" si="13693"/>
        <v>2021</v>
      </c>
      <c r="E8034" s="1" t="str">
        <f t="shared" ref="E8034:P8034" si="13730">"0"</f>
        <v>0</v>
      </c>
      <c r="F8034" s="1" t="str">
        <f t="shared" si="13730"/>
        <v>0</v>
      </c>
      <c r="G8034" s="1" t="str">
        <f t="shared" si="13730"/>
        <v>0</v>
      </c>
      <c r="H8034" s="1" t="str">
        <f t="shared" si="13730"/>
        <v>0</v>
      </c>
      <c r="I8034" s="1" t="str">
        <f t="shared" si="13730"/>
        <v>0</v>
      </c>
      <c r="J8034" s="1" t="str">
        <f t="shared" si="13730"/>
        <v>0</v>
      </c>
      <c r="K8034" s="1" t="str">
        <f t="shared" si="13730"/>
        <v>0</v>
      </c>
      <c r="L8034" s="1" t="str">
        <f t="shared" si="13730"/>
        <v>0</v>
      </c>
      <c r="M8034" s="1" t="str">
        <f t="shared" si="13730"/>
        <v>0</v>
      </c>
      <c r="N8034" s="1" t="str">
        <f t="shared" si="13730"/>
        <v>0</v>
      </c>
      <c r="O8034" s="1" t="str">
        <f t="shared" si="13730"/>
        <v>0</v>
      </c>
      <c r="P8034" s="1" t="str">
        <f t="shared" si="13730"/>
        <v>0</v>
      </c>
      <c r="Q8034" s="1" t="str">
        <f t="shared" si="13695"/>
        <v>0.0070</v>
      </c>
      <c r="R8034" s="1" t="s">
        <v>25</v>
      </c>
      <c r="T8034" s="1" t="str">
        <f t="shared" si="13696"/>
        <v>0</v>
      </c>
      <c r="U8034" s="1" t="str">
        <f t="shared" si="13722"/>
        <v>0.0070</v>
      </c>
    </row>
    <row r="8035" s="1" customFormat="1" spans="1:21">
      <c r="A8035" s="1" t="str">
        <f>"4601992374020"</f>
        <v>4601992374020</v>
      </c>
      <c r="B8035" s="1" t="s">
        <v>8058</v>
      </c>
      <c r="C8035" s="1" t="s">
        <v>24</v>
      </c>
      <c r="D8035" s="1" t="str">
        <f t="shared" si="13693"/>
        <v>2021</v>
      </c>
      <c r="E8035" s="1" t="str">
        <f t="shared" ref="E8035:P8035" si="13731">"0"</f>
        <v>0</v>
      </c>
      <c r="F8035" s="1" t="str">
        <f t="shared" si="13731"/>
        <v>0</v>
      </c>
      <c r="G8035" s="1" t="str">
        <f t="shared" si="13731"/>
        <v>0</v>
      </c>
      <c r="H8035" s="1" t="str">
        <f t="shared" si="13731"/>
        <v>0</v>
      </c>
      <c r="I8035" s="1" t="str">
        <f t="shared" si="13731"/>
        <v>0</v>
      </c>
      <c r="J8035" s="1" t="str">
        <f t="shared" si="13731"/>
        <v>0</v>
      </c>
      <c r="K8035" s="1" t="str">
        <f t="shared" si="13731"/>
        <v>0</v>
      </c>
      <c r="L8035" s="1" t="str">
        <f t="shared" si="13731"/>
        <v>0</v>
      </c>
      <c r="M8035" s="1" t="str">
        <f t="shared" si="13731"/>
        <v>0</v>
      </c>
      <c r="N8035" s="1" t="str">
        <f t="shared" si="13731"/>
        <v>0</v>
      </c>
      <c r="O8035" s="1" t="str">
        <f t="shared" si="13731"/>
        <v>0</v>
      </c>
      <c r="P8035" s="1" t="str">
        <f t="shared" si="13731"/>
        <v>0</v>
      </c>
      <c r="Q8035" s="1" t="str">
        <f t="shared" si="13695"/>
        <v>0.0070</v>
      </c>
      <c r="R8035" s="1" t="s">
        <v>25</v>
      </c>
      <c r="T8035" s="1" t="str">
        <f t="shared" si="13696"/>
        <v>0</v>
      </c>
      <c r="U8035" s="1" t="str">
        <f t="shared" si="13722"/>
        <v>0.0070</v>
      </c>
    </row>
    <row r="8036" s="1" customFormat="1" spans="1:21">
      <c r="A8036" s="1" t="str">
        <f>"4601992374116"</f>
        <v>4601992374116</v>
      </c>
      <c r="B8036" s="1" t="s">
        <v>8059</v>
      </c>
      <c r="C8036" s="1" t="s">
        <v>24</v>
      </c>
      <c r="D8036" s="1" t="str">
        <f t="shared" si="13693"/>
        <v>2021</v>
      </c>
      <c r="E8036" s="1" t="str">
        <f t="shared" ref="E8036:P8036" si="13732">"0"</f>
        <v>0</v>
      </c>
      <c r="F8036" s="1" t="str">
        <f t="shared" si="13732"/>
        <v>0</v>
      </c>
      <c r="G8036" s="1" t="str">
        <f t="shared" si="13732"/>
        <v>0</v>
      </c>
      <c r="H8036" s="1" t="str">
        <f t="shared" si="13732"/>
        <v>0</v>
      </c>
      <c r="I8036" s="1" t="str">
        <f t="shared" si="13732"/>
        <v>0</v>
      </c>
      <c r="J8036" s="1" t="str">
        <f t="shared" si="13732"/>
        <v>0</v>
      </c>
      <c r="K8036" s="1" t="str">
        <f t="shared" si="13732"/>
        <v>0</v>
      </c>
      <c r="L8036" s="1" t="str">
        <f t="shared" si="13732"/>
        <v>0</v>
      </c>
      <c r="M8036" s="1" t="str">
        <f t="shared" si="13732"/>
        <v>0</v>
      </c>
      <c r="N8036" s="1" t="str">
        <f t="shared" si="13732"/>
        <v>0</v>
      </c>
      <c r="O8036" s="1" t="str">
        <f t="shared" si="13732"/>
        <v>0</v>
      </c>
      <c r="P8036" s="1" t="str">
        <f t="shared" si="13732"/>
        <v>0</v>
      </c>
      <c r="Q8036" s="1" t="str">
        <f t="shared" si="13695"/>
        <v>0.0070</v>
      </c>
      <c r="R8036" s="1" t="s">
        <v>25</v>
      </c>
      <c r="T8036" s="1" t="str">
        <f t="shared" si="13696"/>
        <v>0</v>
      </c>
      <c r="U8036" s="1" t="str">
        <f t="shared" si="13722"/>
        <v>0.0070</v>
      </c>
    </row>
    <row r="8037" s="1" customFormat="1" spans="1:21">
      <c r="A8037" s="1" t="str">
        <f>"4601992374394"</f>
        <v>4601992374394</v>
      </c>
      <c r="B8037" s="1" t="s">
        <v>8060</v>
      </c>
      <c r="C8037" s="1" t="s">
        <v>24</v>
      </c>
      <c r="D8037" s="1" t="str">
        <f t="shared" si="13693"/>
        <v>2021</v>
      </c>
      <c r="E8037" s="1" t="str">
        <f t="shared" ref="E8037:P8037" si="13733">"0"</f>
        <v>0</v>
      </c>
      <c r="F8037" s="1" t="str">
        <f t="shared" si="13733"/>
        <v>0</v>
      </c>
      <c r="G8037" s="1" t="str">
        <f t="shared" si="13733"/>
        <v>0</v>
      </c>
      <c r="H8037" s="1" t="str">
        <f t="shared" si="13733"/>
        <v>0</v>
      </c>
      <c r="I8037" s="1" t="str">
        <f t="shared" si="13733"/>
        <v>0</v>
      </c>
      <c r="J8037" s="1" t="str">
        <f t="shared" si="13733"/>
        <v>0</v>
      </c>
      <c r="K8037" s="1" t="str">
        <f t="shared" si="13733"/>
        <v>0</v>
      </c>
      <c r="L8037" s="1" t="str">
        <f t="shared" si="13733"/>
        <v>0</v>
      </c>
      <c r="M8037" s="1" t="str">
        <f t="shared" si="13733"/>
        <v>0</v>
      </c>
      <c r="N8037" s="1" t="str">
        <f t="shared" si="13733"/>
        <v>0</v>
      </c>
      <c r="O8037" s="1" t="str">
        <f t="shared" si="13733"/>
        <v>0</v>
      </c>
      <c r="P8037" s="1" t="str">
        <f t="shared" si="13733"/>
        <v>0</v>
      </c>
      <c r="Q8037" s="1" t="str">
        <f t="shared" si="13695"/>
        <v>0.0070</v>
      </c>
      <c r="R8037" s="1" t="s">
        <v>25</v>
      </c>
      <c r="T8037" s="1" t="str">
        <f t="shared" si="13696"/>
        <v>0</v>
      </c>
      <c r="U8037" s="1" t="str">
        <f t="shared" si="13722"/>
        <v>0.0070</v>
      </c>
    </row>
    <row r="8038" s="1" customFormat="1" spans="1:21">
      <c r="A8038" s="1" t="str">
        <f>"4601992374321"</f>
        <v>4601992374321</v>
      </c>
      <c r="B8038" s="1" t="s">
        <v>8061</v>
      </c>
      <c r="C8038" s="1" t="s">
        <v>24</v>
      </c>
      <c r="D8038" s="1" t="str">
        <f t="shared" si="13693"/>
        <v>2021</v>
      </c>
      <c r="E8038" s="1" t="str">
        <f t="shared" ref="E8038:P8038" si="13734">"0"</f>
        <v>0</v>
      </c>
      <c r="F8038" s="1" t="str">
        <f t="shared" si="13734"/>
        <v>0</v>
      </c>
      <c r="G8038" s="1" t="str">
        <f t="shared" si="13734"/>
        <v>0</v>
      </c>
      <c r="H8038" s="1" t="str">
        <f t="shared" si="13734"/>
        <v>0</v>
      </c>
      <c r="I8038" s="1" t="str">
        <f t="shared" si="13734"/>
        <v>0</v>
      </c>
      <c r="J8038" s="1" t="str">
        <f t="shared" si="13734"/>
        <v>0</v>
      </c>
      <c r="K8038" s="1" t="str">
        <f t="shared" si="13734"/>
        <v>0</v>
      </c>
      <c r="L8038" s="1" t="str">
        <f t="shared" si="13734"/>
        <v>0</v>
      </c>
      <c r="M8038" s="1" t="str">
        <f t="shared" si="13734"/>
        <v>0</v>
      </c>
      <c r="N8038" s="1" t="str">
        <f t="shared" si="13734"/>
        <v>0</v>
      </c>
      <c r="O8038" s="1" t="str">
        <f t="shared" si="13734"/>
        <v>0</v>
      </c>
      <c r="P8038" s="1" t="str">
        <f t="shared" si="13734"/>
        <v>0</v>
      </c>
      <c r="Q8038" s="1" t="str">
        <f t="shared" si="13695"/>
        <v>0.0070</v>
      </c>
      <c r="R8038" s="1" t="s">
        <v>25</v>
      </c>
      <c r="T8038" s="1" t="str">
        <f t="shared" si="13696"/>
        <v>0</v>
      </c>
      <c r="U8038" s="1" t="str">
        <f t="shared" si="13722"/>
        <v>0.0070</v>
      </c>
    </row>
    <row r="8039" s="1" customFormat="1" spans="1:21">
      <c r="A8039" s="1" t="str">
        <f>"4601992374482"</f>
        <v>4601992374482</v>
      </c>
      <c r="B8039" s="1" t="s">
        <v>8062</v>
      </c>
      <c r="C8039" s="1" t="s">
        <v>24</v>
      </c>
      <c r="D8039" s="1" t="str">
        <f t="shared" si="13693"/>
        <v>2021</v>
      </c>
      <c r="E8039" s="1" t="str">
        <f t="shared" ref="E8039:P8039" si="13735">"0"</f>
        <v>0</v>
      </c>
      <c r="F8039" s="1" t="str">
        <f t="shared" si="13735"/>
        <v>0</v>
      </c>
      <c r="G8039" s="1" t="str">
        <f t="shared" si="13735"/>
        <v>0</v>
      </c>
      <c r="H8039" s="1" t="str">
        <f t="shared" si="13735"/>
        <v>0</v>
      </c>
      <c r="I8039" s="1" t="str">
        <f t="shared" si="13735"/>
        <v>0</v>
      </c>
      <c r="J8039" s="1" t="str">
        <f t="shared" si="13735"/>
        <v>0</v>
      </c>
      <c r="K8039" s="1" t="str">
        <f t="shared" si="13735"/>
        <v>0</v>
      </c>
      <c r="L8039" s="1" t="str">
        <f t="shared" si="13735"/>
        <v>0</v>
      </c>
      <c r="M8039" s="1" t="str">
        <f t="shared" si="13735"/>
        <v>0</v>
      </c>
      <c r="N8039" s="1" t="str">
        <f t="shared" si="13735"/>
        <v>0</v>
      </c>
      <c r="O8039" s="1" t="str">
        <f t="shared" si="13735"/>
        <v>0</v>
      </c>
      <c r="P8039" s="1" t="str">
        <f t="shared" si="13735"/>
        <v>0</v>
      </c>
      <c r="Q8039" s="1" t="str">
        <f t="shared" si="13695"/>
        <v>0.0070</v>
      </c>
      <c r="R8039" s="1" t="s">
        <v>25</v>
      </c>
      <c r="T8039" s="1" t="str">
        <f t="shared" si="13696"/>
        <v>0</v>
      </c>
      <c r="U8039" s="1" t="str">
        <f t="shared" si="13722"/>
        <v>0.0070</v>
      </c>
    </row>
    <row r="8040" s="1" customFormat="1" spans="1:21">
      <c r="A8040" s="1" t="str">
        <f>"4601992374598"</f>
        <v>4601992374598</v>
      </c>
      <c r="B8040" s="1" t="s">
        <v>8063</v>
      </c>
      <c r="C8040" s="1" t="s">
        <v>24</v>
      </c>
      <c r="D8040" s="1" t="str">
        <f t="shared" si="13693"/>
        <v>2021</v>
      </c>
      <c r="E8040" s="1" t="str">
        <f t="shared" ref="E8040:P8040" si="13736">"0"</f>
        <v>0</v>
      </c>
      <c r="F8040" s="1" t="str">
        <f t="shared" si="13736"/>
        <v>0</v>
      </c>
      <c r="G8040" s="1" t="str">
        <f t="shared" si="13736"/>
        <v>0</v>
      </c>
      <c r="H8040" s="1" t="str">
        <f t="shared" si="13736"/>
        <v>0</v>
      </c>
      <c r="I8040" s="1" t="str">
        <f t="shared" si="13736"/>
        <v>0</v>
      </c>
      <c r="J8040" s="1" t="str">
        <f t="shared" si="13736"/>
        <v>0</v>
      </c>
      <c r="K8040" s="1" t="str">
        <f t="shared" si="13736"/>
        <v>0</v>
      </c>
      <c r="L8040" s="1" t="str">
        <f t="shared" si="13736"/>
        <v>0</v>
      </c>
      <c r="M8040" s="1" t="str">
        <f t="shared" si="13736"/>
        <v>0</v>
      </c>
      <c r="N8040" s="1" t="str">
        <f t="shared" si="13736"/>
        <v>0</v>
      </c>
      <c r="O8040" s="1" t="str">
        <f t="shared" si="13736"/>
        <v>0</v>
      </c>
      <c r="P8040" s="1" t="str">
        <f t="shared" si="13736"/>
        <v>0</v>
      </c>
      <c r="Q8040" s="1" t="str">
        <f t="shared" si="13695"/>
        <v>0.0070</v>
      </c>
      <c r="R8040" s="1" t="s">
        <v>25</v>
      </c>
      <c r="T8040" s="1" t="str">
        <f t="shared" si="13696"/>
        <v>0</v>
      </c>
      <c r="U8040" s="1" t="str">
        <f t="shared" si="13722"/>
        <v>0.0070</v>
      </c>
    </row>
    <row r="8041" s="1" customFormat="1" spans="1:21">
      <c r="A8041" s="1" t="str">
        <f>"4601992374762"</f>
        <v>4601992374762</v>
      </c>
      <c r="B8041" s="1" t="s">
        <v>8064</v>
      </c>
      <c r="C8041" s="1" t="s">
        <v>24</v>
      </c>
      <c r="D8041" s="1" t="str">
        <f t="shared" si="13693"/>
        <v>2021</v>
      </c>
      <c r="E8041" s="1" t="str">
        <f t="shared" ref="E8041:P8041" si="13737">"0"</f>
        <v>0</v>
      </c>
      <c r="F8041" s="1" t="str">
        <f t="shared" si="13737"/>
        <v>0</v>
      </c>
      <c r="G8041" s="1" t="str">
        <f t="shared" si="13737"/>
        <v>0</v>
      </c>
      <c r="H8041" s="1" t="str">
        <f t="shared" si="13737"/>
        <v>0</v>
      </c>
      <c r="I8041" s="1" t="str">
        <f t="shared" si="13737"/>
        <v>0</v>
      </c>
      <c r="J8041" s="1" t="str">
        <f t="shared" si="13737"/>
        <v>0</v>
      </c>
      <c r="K8041" s="1" t="str">
        <f t="shared" si="13737"/>
        <v>0</v>
      </c>
      <c r="L8041" s="1" t="str">
        <f t="shared" si="13737"/>
        <v>0</v>
      </c>
      <c r="M8041" s="1" t="str">
        <f t="shared" si="13737"/>
        <v>0</v>
      </c>
      <c r="N8041" s="1" t="str">
        <f t="shared" si="13737"/>
        <v>0</v>
      </c>
      <c r="O8041" s="1" t="str">
        <f t="shared" si="13737"/>
        <v>0</v>
      </c>
      <c r="P8041" s="1" t="str">
        <f t="shared" si="13737"/>
        <v>0</v>
      </c>
      <c r="Q8041" s="1" t="str">
        <f t="shared" si="13695"/>
        <v>0.0070</v>
      </c>
      <c r="R8041" s="1" t="s">
        <v>25</v>
      </c>
      <c r="T8041" s="1" t="str">
        <f t="shared" si="13696"/>
        <v>0</v>
      </c>
      <c r="U8041" s="1" t="str">
        <f t="shared" si="13722"/>
        <v>0.0070</v>
      </c>
    </row>
    <row r="8042" s="1" customFormat="1" spans="1:21">
      <c r="A8042" s="1" t="str">
        <f>"4601992374719"</f>
        <v>4601992374719</v>
      </c>
      <c r="B8042" s="1" t="s">
        <v>8065</v>
      </c>
      <c r="C8042" s="1" t="s">
        <v>24</v>
      </c>
      <c r="D8042" s="1" t="str">
        <f t="shared" si="13693"/>
        <v>2021</v>
      </c>
      <c r="E8042" s="1" t="str">
        <f t="shared" ref="E8042:P8042" si="13738">"0"</f>
        <v>0</v>
      </c>
      <c r="F8042" s="1" t="str">
        <f t="shared" si="13738"/>
        <v>0</v>
      </c>
      <c r="G8042" s="1" t="str">
        <f t="shared" si="13738"/>
        <v>0</v>
      </c>
      <c r="H8042" s="1" t="str">
        <f t="shared" si="13738"/>
        <v>0</v>
      </c>
      <c r="I8042" s="1" t="str">
        <f t="shared" si="13738"/>
        <v>0</v>
      </c>
      <c r="J8042" s="1" t="str">
        <f t="shared" si="13738"/>
        <v>0</v>
      </c>
      <c r="K8042" s="1" t="str">
        <f t="shared" si="13738"/>
        <v>0</v>
      </c>
      <c r="L8042" s="1" t="str">
        <f t="shared" si="13738"/>
        <v>0</v>
      </c>
      <c r="M8042" s="1" t="str">
        <f t="shared" si="13738"/>
        <v>0</v>
      </c>
      <c r="N8042" s="1" t="str">
        <f t="shared" si="13738"/>
        <v>0</v>
      </c>
      <c r="O8042" s="1" t="str">
        <f t="shared" si="13738"/>
        <v>0</v>
      </c>
      <c r="P8042" s="1" t="str">
        <f t="shared" si="13738"/>
        <v>0</v>
      </c>
      <c r="Q8042" s="1" t="str">
        <f t="shared" si="13695"/>
        <v>0.0070</v>
      </c>
      <c r="R8042" s="1" t="s">
        <v>25</v>
      </c>
      <c r="T8042" s="1" t="str">
        <f t="shared" si="13696"/>
        <v>0</v>
      </c>
      <c r="U8042" s="1" t="str">
        <f t="shared" si="13722"/>
        <v>0.0070</v>
      </c>
    </row>
    <row r="8043" s="1" customFormat="1" spans="1:21">
      <c r="A8043" s="1" t="str">
        <f>"4601992374774"</f>
        <v>4601992374774</v>
      </c>
      <c r="B8043" s="1" t="s">
        <v>8066</v>
      </c>
      <c r="C8043" s="1" t="s">
        <v>24</v>
      </c>
      <c r="D8043" s="1" t="str">
        <f t="shared" si="13693"/>
        <v>2021</v>
      </c>
      <c r="E8043" s="1" t="str">
        <f t="shared" ref="E8043:P8043" si="13739">"0"</f>
        <v>0</v>
      </c>
      <c r="F8043" s="1" t="str">
        <f t="shared" si="13739"/>
        <v>0</v>
      </c>
      <c r="G8043" s="1" t="str">
        <f t="shared" si="13739"/>
        <v>0</v>
      </c>
      <c r="H8043" s="1" t="str">
        <f t="shared" si="13739"/>
        <v>0</v>
      </c>
      <c r="I8043" s="1" t="str">
        <f t="shared" si="13739"/>
        <v>0</v>
      </c>
      <c r="J8043" s="1" t="str">
        <f t="shared" si="13739"/>
        <v>0</v>
      </c>
      <c r="K8043" s="1" t="str">
        <f t="shared" si="13739"/>
        <v>0</v>
      </c>
      <c r="L8043" s="1" t="str">
        <f t="shared" si="13739"/>
        <v>0</v>
      </c>
      <c r="M8043" s="1" t="str">
        <f t="shared" si="13739"/>
        <v>0</v>
      </c>
      <c r="N8043" s="1" t="str">
        <f t="shared" si="13739"/>
        <v>0</v>
      </c>
      <c r="O8043" s="1" t="str">
        <f t="shared" si="13739"/>
        <v>0</v>
      </c>
      <c r="P8043" s="1" t="str">
        <f t="shared" si="13739"/>
        <v>0</v>
      </c>
      <c r="Q8043" s="1" t="str">
        <f t="shared" si="13695"/>
        <v>0.0070</v>
      </c>
      <c r="R8043" s="1" t="s">
        <v>25</v>
      </c>
      <c r="T8043" s="1" t="str">
        <f t="shared" si="13696"/>
        <v>0</v>
      </c>
      <c r="U8043" s="1" t="str">
        <f t="shared" si="13722"/>
        <v>0.0070</v>
      </c>
    </row>
    <row r="8044" s="1" customFormat="1" spans="1:21">
      <c r="A8044" s="1" t="str">
        <f>"4601992374806"</f>
        <v>4601992374806</v>
      </c>
      <c r="B8044" s="1" t="s">
        <v>8067</v>
      </c>
      <c r="C8044" s="1" t="s">
        <v>24</v>
      </c>
      <c r="D8044" s="1" t="str">
        <f t="shared" si="13693"/>
        <v>2021</v>
      </c>
      <c r="E8044" s="1" t="str">
        <f t="shared" ref="E8044:P8044" si="13740">"0"</f>
        <v>0</v>
      </c>
      <c r="F8044" s="1" t="str">
        <f t="shared" si="13740"/>
        <v>0</v>
      </c>
      <c r="G8044" s="1" t="str">
        <f t="shared" si="13740"/>
        <v>0</v>
      </c>
      <c r="H8044" s="1" t="str">
        <f t="shared" si="13740"/>
        <v>0</v>
      </c>
      <c r="I8044" s="1" t="str">
        <f t="shared" si="13740"/>
        <v>0</v>
      </c>
      <c r="J8044" s="1" t="str">
        <f t="shared" si="13740"/>
        <v>0</v>
      </c>
      <c r="K8044" s="1" t="str">
        <f t="shared" si="13740"/>
        <v>0</v>
      </c>
      <c r="L8044" s="1" t="str">
        <f t="shared" si="13740"/>
        <v>0</v>
      </c>
      <c r="M8044" s="1" t="str">
        <f t="shared" si="13740"/>
        <v>0</v>
      </c>
      <c r="N8044" s="1" t="str">
        <f t="shared" si="13740"/>
        <v>0</v>
      </c>
      <c r="O8044" s="1" t="str">
        <f t="shared" si="13740"/>
        <v>0</v>
      </c>
      <c r="P8044" s="1" t="str">
        <f t="shared" si="13740"/>
        <v>0</v>
      </c>
      <c r="Q8044" s="1" t="str">
        <f t="shared" si="13695"/>
        <v>0.0070</v>
      </c>
      <c r="R8044" s="1" t="s">
        <v>25</v>
      </c>
      <c r="T8044" s="1" t="str">
        <f t="shared" si="13696"/>
        <v>0</v>
      </c>
      <c r="U8044" s="1" t="str">
        <f t="shared" si="13722"/>
        <v>0.0070</v>
      </c>
    </row>
    <row r="8045" s="1" customFormat="1" spans="1:21">
      <c r="A8045" s="1" t="str">
        <f>"4601992374957"</f>
        <v>4601992374957</v>
      </c>
      <c r="B8045" s="1" t="s">
        <v>8068</v>
      </c>
      <c r="C8045" s="1" t="s">
        <v>24</v>
      </c>
      <c r="D8045" s="1" t="str">
        <f t="shared" si="13693"/>
        <v>2021</v>
      </c>
      <c r="E8045" s="1" t="str">
        <f t="shared" ref="E8045:P8045" si="13741">"0"</f>
        <v>0</v>
      </c>
      <c r="F8045" s="1" t="str">
        <f t="shared" si="13741"/>
        <v>0</v>
      </c>
      <c r="G8045" s="1" t="str">
        <f t="shared" si="13741"/>
        <v>0</v>
      </c>
      <c r="H8045" s="1" t="str">
        <f t="shared" si="13741"/>
        <v>0</v>
      </c>
      <c r="I8045" s="1" t="str">
        <f t="shared" si="13741"/>
        <v>0</v>
      </c>
      <c r="J8045" s="1" t="str">
        <f t="shared" si="13741"/>
        <v>0</v>
      </c>
      <c r="K8045" s="1" t="str">
        <f t="shared" si="13741"/>
        <v>0</v>
      </c>
      <c r="L8045" s="1" t="str">
        <f t="shared" si="13741"/>
        <v>0</v>
      </c>
      <c r="M8045" s="1" t="str">
        <f t="shared" si="13741"/>
        <v>0</v>
      </c>
      <c r="N8045" s="1" t="str">
        <f t="shared" si="13741"/>
        <v>0</v>
      </c>
      <c r="O8045" s="1" t="str">
        <f t="shared" si="13741"/>
        <v>0</v>
      </c>
      <c r="P8045" s="1" t="str">
        <f t="shared" si="13741"/>
        <v>0</v>
      </c>
      <c r="Q8045" s="1" t="str">
        <f t="shared" si="13695"/>
        <v>0.0070</v>
      </c>
      <c r="R8045" s="1" t="s">
        <v>25</v>
      </c>
      <c r="T8045" s="1" t="str">
        <f t="shared" si="13696"/>
        <v>0</v>
      </c>
      <c r="U8045" s="1" t="str">
        <f t="shared" si="13722"/>
        <v>0.0070</v>
      </c>
    </row>
    <row r="8046" s="1" customFormat="1" spans="1:21">
      <c r="A8046" s="1" t="str">
        <f>"4601992374830"</f>
        <v>4601992374830</v>
      </c>
      <c r="B8046" s="1" t="s">
        <v>8069</v>
      </c>
      <c r="C8046" s="1" t="s">
        <v>24</v>
      </c>
      <c r="D8046" s="1" t="str">
        <f t="shared" si="13693"/>
        <v>2021</v>
      </c>
      <c r="E8046" s="1" t="str">
        <f t="shared" ref="E8046:P8046" si="13742">"0"</f>
        <v>0</v>
      </c>
      <c r="F8046" s="1" t="str">
        <f t="shared" si="13742"/>
        <v>0</v>
      </c>
      <c r="G8046" s="1" t="str">
        <f t="shared" si="13742"/>
        <v>0</v>
      </c>
      <c r="H8046" s="1" t="str">
        <f t="shared" si="13742"/>
        <v>0</v>
      </c>
      <c r="I8046" s="1" t="str">
        <f t="shared" si="13742"/>
        <v>0</v>
      </c>
      <c r="J8046" s="1" t="str">
        <f t="shared" si="13742"/>
        <v>0</v>
      </c>
      <c r="K8046" s="1" t="str">
        <f t="shared" si="13742"/>
        <v>0</v>
      </c>
      <c r="L8046" s="1" t="str">
        <f t="shared" si="13742"/>
        <v>0</v>
      </c>
      <c r="M8046" s="1" t="str">
        <f t="shared" si="13742"/>
        <v>0</v>
      </c>
      <c r="N8046" s="1" t="str">
        <f t="shared" si="13742"/>
        <v>0</v>
      </c>
      <c r="O8046" s="1" t="str">
        <f t="shared" si="13742"/>
        <v>0</v>
      </c>
      <c r="P8046" s="1" t="str">
        <f t="shared" si="13742"/>
        <v>0</v>
      </c>
      <c r="Q8046" s="1" t="str">
        <f t="shared" si="13695"/>
        <v>0.0070</v>
      </c>
      <c r="R8046" s="1" t="s">
        <v>25</v>
      </c>
      <c r="T8046" s="1" t="str">
        <f t="shared" si="13696"/>
        <v>0</v>
      </c>
      <c r="U8046" s="1" t="str">
        <f t="shared" si="13722"/>
        <v>0.0070</v>
      </c>
    </row>
    <row r="8047" s="1" customFormat="1" spans="1:21">
      <c r="A8047" s="1" t="str">
        <f>"4601992375031"</f>
        <v>4601992375031</v>
      </c>
      <c r="B8047" s="1" t="s">
        <v>8070</v>
      </c>
      <c r="C8047" s="1" t="s">
        <v>24</v>
      </c>
      <c r="D8047" s="1" t="str">
        <f t="shared" si="13693"/>
        <v>2021</v>
      </c>
      <c r="E8047" s="1" t="str">
        <f t="shared" ref="E8047:P8047" si="13743">"0"</f>
        <v>0</v>
      </c>
      <c r="F8047" s="1" t="str">
        <f t="shared" si="13743"/>
        <v>0</v>
      </c>
      <c r="G8047" s="1" t="str">
        <f t="shared" si="13743"/>
        <v>0</v>
      </c>
      <c r="H8047" s="1" t="str">
        <f t="shared" si="13743"/>
        <v>0</v>
      </c>
      <c r="I8047" s="1" t="str">
        <f t="shared" si="13743"/>
        <v>0</v>
      </c>
      <c r="J8047" s="1" t="str">
        <f t="shared" si="13743"/>
        <v>0</v>
      </c>
      <c r="K8047" s="1" t="str">
        <f t="shared" si="13743"/>
        <v>0</v>
      </c>
      <c r="L8047" s="1" t="str">
        <f t="shared" si="13743"/>
        <v>0</v>
      </c>
      <c r="M8047" s="1" t="str">
        <f t="shared" si="13743"/>
        <v>0</v>
      </c>
      <c r="N8047" s="1" t="str">
        <f t="shared" si="13743"/>
        <v>0</v>
      </c>
      <c r="O8047" s="1" t="str">
        <f t="shared" si="13743"/>
        <v>0</v>
      </c>
      <c r="P8047" s="1" t="str">
        <f t="shared" si="13743"/>
        <v>0</v>
      </c>
      <c r="Q8047" s="1" t="str">
        <f t="shared" si="13695"/>
        <v>0.0070</v>
      </c>
      <c r="R8047" s="1" t="s">
        <v>25</v>
      </c>
      <c r="T8047" s="1" t="str">
        <f t="shared" si="13696"/>
        <v>0</v>
      </c>
      <c r="U8047" s="1" t="str">
        <f t="shared" si="13722"/>
        <v>0.0070</v>
      </c>
    </row>
    <row r="8048" s="1" customFormat="1" spans="1:21">
      <c r="A8048" s="1" t="str">
        <f>"4601992375037"</f>
        <v>4601992375037</v>
      </c>
      <c r="B8048" s="1" t="s">
        <v>8071</v>
      </c>
      <c r="C8048" s="1" t="s">
        <v>24</v>
      </c>
      <c r="D8048" s="1" t="str">
        <f t="shared" si="13693"/>
        <v>2021</v>
      </c>
      <c r="E8048" s="1" t="str">
        <f t="shared" ref="E8048:P8048" si="13744">"0"</f>
        <v>0</v>
      </c>
      <c r="F8048" s="1" t="str">
        <f t="shared" si="13744"/>
        <v>0</v>
      </c>
      <c r="G8048" s="1" t="str">
        <f t="shared" si="13744"/>
        <v>0</v>
      </c>
      <c r="H8048" s="1" t="str">
        <f t="shared" si="13744"/>
        <v>0</v>
      </c>
      <c r="I8048" s="1" t="str">
        <f t="shared" si="13744"/>
        <v>0</v>
      </c>
      <c r="J8048" s="1" t="str">
        <f t="shared" si="13744"/>
        <v>0</v>
      </c>
      <c r="K8048" s="1" t="str">
        <f t="shared" si="13744"/>
        <v>0</v>
      </c>
      <c r="L8048" s="1" t="str">
        <f t="shared" si="13744"/>
        <v>0</v>
      </c>
      <c r="M8048" s="1" t="str">
        <f t="shared" si="13744"/>
        <v>0</v>
      </c>
      <c r="N8048" s="1" t="str">
        <f t="shared" si="13744"/>
        <v>0</v>
      </c>
      <c r="O8048" s="1" t="str">
        <f t="shared" si="13744"/>
        <v>0</v>
      </c>
      <c r="P8048" s="1" t="str">
        <f t="shared" si="13744"/>
        <v>0</v>
      </c>
      <c r="Q8048" s="1" t="str">
        <f t="shared" si="13695"/>
        <v>0.0070</v>
      </c>
      <c r="R8048" s="1" t="s">
        <v>25</v>
      </c>
      <c r="T8048" s="1" t="str">
        <f t="shared" si="13696"/>
        <v>0</v>
      </c>
      <c r="U8048" s="1" t="str">
        <f t="shared" si="13722"/>
        <v>0.0070</v>
      </c>
    </row>
    <row r="8049" s="1" customFormat="1" spans="1:21">
      <c r="A8049" s="1" t="str">
        <f>"4601992375051"</f>
        <v>4601992375051</v>
      </c>
      <c r="B8049" s="1" t="s">
        <v>8072</v>
      </c>
      <c r="C8049" s="1" t="s">
        <v>24</v>
      </c>
      <c r="D8049" s="1" t="str">
        <f t="shared" si="13693"/>
        <v>2021</v>
      </c>
      <c r="E8049" s="1" t="str">
        <f t="shared" ref="E8049:P8049" si="13745">"0"</f>
        <v>0</v>
      </c>
      <c r="F8049" s="1" t="str">
        <f t="shared" si="13745"/>
        <v>0</v>
      </c>
      <c r="G8049" s="1" t="str">
        <f t="shared" si="13745"/>
        <v>0</v>
      </c>
      <c r="H8049" s="1" t="str">
        <f t="shared" si="13745"/>
        <v>0</v>
      </c>
      <c r="I8049" s="1" t="str">
        <f t="shared" si="13745"/>
        <v>0</v>
      </c>
      <c r="J8049" s="1" t="str">
        <f t="shared" si="13745"/>
        <v>0</v>
      </c>
      <c r="K8049" s="1" t="str">
        <f t="shared" si="13745"/>
        <v>0</v>
      </c>
      <c r="L8049" s="1" t="str">
        <f t="shared" si="13745"/>
        <v>0</v>
      </c>
      <c r="M8049" s="1" t="str">
        <f t="shared" si="13745"/>
        <v>0</v>
      </c>
      <c r="N8049" s="1" t="str">
        <f t="shared" si="13745"/>
        <v>0</v>
      </c>
      <c r="O8049" s="1" t="str">
        <f t="shared" si="13745"/>
        <v>0</v>
      </c>
      <c r="P8049" s="1" t="str">
        <f t="shared" si="13745"/>
        <v>0</v>
      </c>
      <c r="Q8049" s="1" t="str">
        <f t="shared" si="13695"/>
        <v>0.0070</v>
      </c>
      <c r="R8049" s="1" t="s">
        <v>25</v>
      </c>
      <c r="T8049" s="1" t="str">
        <f t="shared" si="13696"/>
        <v>0</v>
      </c>
      <c r="U8049" s="1" t="str">
        <f t="shared" si="13722"/>
        <v>0.0070</v>
      </c>
    </row>
    <row r="8050" s="1" customFormat="1" spans="1:21">
      <c r="A8050" s="1" t="str">
        <f>"4601992375247"</f>
        <v>4601992375247</v>
      </c>
      <c r="B8050" s="1" t="s">
        <v>8073</v>
      </c>
      <c r="C8050" s="1" t="s">
        <v>24</v>
      </c>
      <c r="D8050" s="1" t="str">
        <f t="shared" si="13693"/>
        <v>2021</v>
      </c>
      <c r="E8050" s="1" t="str">
        <f t="shared" ref="E8050:P8050" si="13746">"0"</f>
        <v>0</v>
      </c>
      <c r="F8050" s="1" t="str">
        <f t="shared" si="13746"/>
        <v>0</v>
      </c>
      <c r="G8050" s="1" t="str">
        <f t="shared" si="13746"/>
        <v>0</v>
      </c>
      <c r="H8050" s="1" t="str">
        <f t="shared" si="13746"/>
        <v>0</v>
      </c>
      <c r="I8050" s="1" t="str">
        <f t="shared" si="13746"/>
        <v>0</v>
      </c>
      <c r="J8050" s="1" t="str">
        <f t="shared" si="13746"/>
        <v>0</v>
      </c>
      <c r="K8050" s="1" t="str">
        <f t="shared" si="13746"/>
        <v>0</v>
      </c>
      <c r="L8050" s="1" t="str">
        <f t="shared" si="13746"/>
        <v>0</v>
      </c>
      <c r="M8050" s="1" t="str">
        <f t="shared" si="13746"/>
        <v>0</v>
      </c>
      <c r="N8050" s="1" t="str">
        <f t="shared" si="13746"/>
        <v>0</v>
      </c>
      <c r="O8050" s="1" t="str">
        <f t="shared" si="13746"/>
        <v>0</v>
      </c>
      <c r="P8050" s="1" t="str">
        <f t="shared" si="13746"/>
        <v>0</v>
      </c>
      <c r="Q8050" s="1" t="str">
        <f t="shared" si="13695"/>
        <v>0.0070</v>
      </c>
      <c r="R8050" s="1" t="s">
        <v>25</v>
      </c>
      <c r="T8050" s="1" t="str">
        <f t="shared" si="13696"/>
        <v>0</v>
      </c>
      <c r="U8050" s="1" t="str">
        <f t="shared" si="13722"/>
        <v>0.0070</v>
      </c>
    </row>
    <row r="8051" s="1" customFormat="1" spans="1:21">
      <c r="A8051" s="1" t="str">
        <f>"4601992375641"</f>
        <v>4601992375641</v>
      </c>
      <c r="B8051" s="1" t="s">
        <v>8074</v>
      </c>
      <c r="C8051" s="1" t="s">
        <v>24</v>
      </c>
      <c r="D8051" s="1" t="str">
        <f t="shared" si="13693"/>
        <v>2021</v>
      </c>
      <c r="E8051" s="1" t="str">
        <f t="shared" ref="E8051:P8051" si="13747">"0"</f>
        <v>0</v>
      </c>
      <c r="F8051" s="1" t="str">
        <f t="shared" si="13747"/>
        <v>0</v>
      </c>
      <c r="G8051" s="1" t="str">
        <f t="shared" si="13747"/>
        <v>0</v>
      </c>
      <c r="H8051" s="1" t="str">
        <f t="shared" si="13747"/>
        <v>0</v>
      </c>
      <c r="I8051" s="1" t="str">
        <f t="shared" si="13747"/>
        <v>0</v>
      </c>
      <c r="J8051" s="1" t="str">
        <f t="shared" si="13747"/>
        <v>0</v>
      </c>
      <c r="K8051" s="1" t="str">
        <f t="shared" si="13747"/>
        <v>0</v>
      </c>
      <c r="L8051" s="1" t="str">
        <f t="shared" si="13747"/>
        <v>0</v>
      </c>
      <c r="M8051" s="1" t="str">
        <f t="shared" si="13747"/>
        <v>0</v>
      </c>
      <c r="N8051" s="1" t="str">
        <f t="shared" si="13747"/>
        <v>0</v>
      </c>
      <c r="O8051" s="1" t="str">
        <f t="shared" si="13747"/>
        <v>0</v>
      </c>
      <c r="P8051" s="1" t="str">
        <f t="shared" si="13747"/>
        <v>0</v>
      </c>
      <c r="Q8051" s="1" t="str">
        <f t="shared" si="13695"/>
        <v>0.0070</v>
      </c>
      <c r="R8051" s="1" t="s">
        <v>25</v>
      </c>
      <c r="T8051" s="1" t="str">
        <f t="shared" si="13696"/>
        <v>0</v>
      </c>
      <c r="U8051" s="1" t="str">
        <f t="shared" si="13722"/>
        <v>0.0070</v>
      </c>
    </row>
    <row r="8052" s="1" customFormat="1" spans="1:21">
      <c r="A8052" s="1" t="str">
        <f>"4601992375714"</f>
        <v>4601992375714</v>
      </c>
      <c r="B8052" s="1" t="s">
        <v>8075</v>
      </c>
      <c r="C8052" s="1" t="s">
        <v>24</v>
      </c>
      <c r="D8052" s="1" t="str">
        <f t="shared" si="13693"/>
        <v>2021</v>
      </c>
      <c r="E8052" s="1" t="str">
        <f t="shared" ref="E8052:P8052" si="13748">"0"</f>
        <v>0</v>
      </c>
      <c r="F8052" s="1" t="str">
        <f t="shared" si="13748"/>
        <v>0</v>
      </c>
      <c r="G8052" s="1" t="str">
        <f t="shared" si="13748"/>
        <v>0</v>
      </c>
      <c r="H8052" s="1" t="str">
        <f t="shared" si="13748"/>
        <v>0</v>
      </c>
      <c r="I8052" s="1" t="str">
        <f t="shared" si="13748"/>
        <v>0</v>
      </c>
      <c r="J8052" s="1" t="str">
        <f t="shared" si="13748"/>
        <v>0</v>
      </c>
      <c r="K8052" s="1" t="str">
        <f t="shared" si="13748"/>
        <v>0</v>
      </c>
      <c r="L8052" s="1" t="str">
        <f t="shared" si="13748"/>
        <v>0</v>
      </c>
      <c r="M8052" s="1" t="str">
        <f t="shared" si="13748"/>
        <v>0</v>
      </c>
      <c r="N8052" s="1" t="str">
        <f t="shared" si="13748"/>
        <v>0</v>
      </c>
      <c r="O8052" s="1" t="str">
        <f t="shared" si="13748"/>
        <v>0</v>
      </c>
      <c r="P8052" s="1" t="str">
        <f t="shared" si="13748"/>
        <v>0</v>
      </c>
      <c r="Q8052" s="1" t="str">
        <f t="shared" si="13695"/>
        <v>0.0070</v>
      </c>
      <c r="R8052" s="1" t="s">
        <v>25</v>
      </c>
      <c r="T8052" s="1" t="str">
        <f t="shared" si="13696"/>
        <v>0</v>
      </c>
      <c r="U8052" s="1" t="str">
        <f t="shared" si="13722"/>
        <v>0.0070</v>
      </c>
    </row>
    <row r="8053" s="1" customFormat="1" spans="1:21">
      <c r="A8053" s="1" t="str">
        <f>"4601992375786"</f>
        <v>4601992375786</v>
      </c>
      <c r="B8053" s="1" t="s">
        <v>8076</v>
      </c>
      <c r="C8053" s="1" t="s">
        <v>24</v>
      </c>
      <c r="D8053" s="1" t="str">
        <f t="shared" si="13693"/>
        <v>2021</v>
      </c>
      <c r="E8053" s="1" t="str">
        <f t="shared" ref="E8053:P8053" si="13749">"0"</f>
        <v>0</v>
      </c>
      <c r="F8053" s="1" t="str">
        <f t="shared" si="13749"/>
        <v>0</v>
      </c>
      <c r="G8053" s="1" t="str">
        <f t="shared" si="13749"/>
        <v>0</v>
      </c>
      <c r="H8053" s="1" t="str">
        <f t="shared" si="13749"/>
        <v>0</v>
      </c>
      <c r="I8053" s="1" t="str">
        <f t="shared" si="13749"/>
        <v>0</v>
      </c>
      <c r="J8053" s="1" t="str">
        <f t="shared" si="13749"/>
        <v>0</v>
      </c>
      <c r="K8053" s="1" t="str">
        <f t="shared" si="13749"/>
        <v>0</v>
      </c>
      <c r="L8053" s="1" t="str">
        <f t="shared" si="13749"/>
        <v>0</v>
      </c>
      <c r="M8053" s="1" t="str">
        <f t="shared" si="13749"/>
        <v>0</v>
      </c>
      <c r="N8053" s="1" t="str">
        <f t="shared" si="13749"/>
        <v>0</v>
      </c>
      <c r="O8053" s="1" t="str">
        <f t="shared" si="13749"/>
        <v>0</v>
      </c>
      <c r="P8053" s="1" t="str">
        <f t="shared" si="13749"/>
        <v>0</v>
      </c>
      <c r="Q8053" s="1" t="str">
        <f t="shared" si="13695"/>
        <v>0.0070</v>
      </c>
      <c r="R8053" s="1" t="s">
        <v>25</v>
      </c>
      <c r="T8053" s="1" t="str">
        <f t="shared" si="13696"/>
        <v>0</v>
      </c>
      <c r="U8053" s="1" t="str">
        <f t="shared" si="13722"/>
        <v>0.0070</v>
      </c>
    </row>
    <row r="8054" s="1" customFormat="1" spans="1:21">
      <c r="A8054" s="1" t="str">
        <f>"4601992375715"</f>
        <v>4601992375715</v>
      </c>
      <c r="B8054" s="1" t="s">
        <v>8077</v>
      </c>
      <c r="C8054" s="1" t="s">
        <v>24</v>
      </c>
      <c r="D8054" s="1" t="str">
        <f t="shared" si="13693"/>
        <v>2021</v>
      </c>
      <c r="E8054" s="1" t="str">
        <f t="shared" ref="E8054:P8054" si="13750">"0"</f>
        <v>0</v>
      </c>
      <c r="F8054" s="1" t="str">
        <f t="shared" si="13750"/>
        <v>0</v>
      </c>
      <c r="G8054" s="1" t="str">
        <f t="shared" si="13750"/>
        <v>0</v>
      </c>
      <c r="H8054" s="1" t="str">
        <f t="shared" si="13750"/>
        <v>0</v>
      </c>
      <c r="I8054" s="1" t="str">
        <f t="shared" si="13750"/>
        <v>0</v>
      </c>
      <c r="J8054" s="1" t="str">
        <f t="shared" si="13750"/>
        <v>0</v>
      </c>
      <c r="K8054" s="1" t="str">
        <f t="shared" si="13750"/>
        <v>0</v>
      </c>
      <c r="L8054" s="1" t="str">
        <f t="shared" si="13750"/>
        <v>0</v>
      </c>
      <c r="M8054" s="1" t="str">
        <f t="shared" si="13750"/>
        <v>0</v>
      </c>
      <c r="N8054" s="1" t="str">
        <f t="shared" si="13750"/>
        <v>0</v>
      </c>
      <c r="O8054" s="1" t="str">
        <f t="shared" si="13750"/>
        <v>0</v>
      </c>
      <c r="P8054" s="1" t="str">
        <f t="shared" si="13750"/>
        <v>0</v>
      </c>
      <c r="Q8054" s="1" t="str">
        <f t="shared" si="13695"/>
        <v>0.0070</v>
      </c>
      <c r="R8054" s="1" t="s">
        <v>25</v>
      </c>
      <c r="T8054" s="1" t="str">
        <f t="shared" si="13696"/>
        <v>0</v>
      </c>
      <c r="U8054" s="1" t="str">
        <f t="shared" si="13722"/>
        <v>0.0070</v>
      </c>
    </row>
    <row r="8055" s="1" customFormat="1" spans="1:21">
      <c r="A8055" s="1" t="str">
        <f>"4601992376035"</f>
        <v>4601992376035</v>
      </c>
      <c r="B8055" s="1" t="s">
        <v>8078</v>
      </c>
      <c r="C8055" s="1" t="s">
        <v>24</v>
      </c>
      <c r="D8055" s="1" t="str">
        <f t="shared" si="13693"/>
        <v>2021</v>
      </c>
      <c r="E8055" s="1" t="str">
        <f t="shared" ref="E8055:P8055" si="13751">"0"</f>
        <v>0</v>
      </c>
      <c r="F8055" s="1" t="str">
        <f t="shared" si="13751"/>
        <v>0</v>
      </c>
      <c r="G8055" s="1" t="str">
        <f t="shared" si="13751"/>
        <v>0</v>
      </c>
      <c r="H8055" s="1" t="str">
        <f t="shared" si="13751"/>
        <v>0</v>
      </c>
      <c r="I8055" s="1" t="str">
        <f t="shared" si="13751"/>
        <v>0</v>
      </c>
      <c r="J8055" s="1" t="str">
        <f t="shared" si="13751"/>
        <v>0</v>
      </c>
      <c r="K8055" s="1" t="str">
        <f t="shared" si="13751"/>
        <v>0</v>
      </c>
      <c r="L8055" s="1" t="str">
        <f t="shared" si="13751"/>
        <v>0</v>
      </c>
      <c r="M8055" s="1" t="str">
        <f t="shared" si="13751"/>
        <v>0</v>
      </c>
      <c r="N8055" s="1" t="str">
        <f t="shared" si="13751"/>
        <v>0</v>
      </c>
      <c r="O8055" s="1" t="str">
        <f t="shared" si="13751"/>
        <v>0</v>
      </c>
      <c r="P8055" s="1" t="str">
        <f t="shared" si="13751"/>
        <v>0</v>
      </c>
      <c r="Q8055" s="1" t="str">
        <f t="shared" si="13695"/>
        <v>0.0070</v>
      </c>
      <c r="R8055" s="1" t="s">
        <v>25</v>
      </c>
      <c r="T8055" s="1" t="str">
        <f t="shared" si="13696"/>
        <v>0</v>
      </c>
      <c r="U8055" s="1" t="str">
        <f t="shared" si="13722"/>
        <v>0.0070</v>
      </c>
    </row>
    <row r="8056" s="1" customFormat="1" spans="1:21">
      <c r="A8056" s="1" t="str">
        <f>"4601992375803"</f>
        <v>4601992375803</v>
      </c>
      <c r="B8056" s="1" t="s">
        <v>8079</v>
      </c>
      <c r="C8056" s="1" t="s">
        <v>24</v>
      </c>
      <c r="D8056" s="1" t="str">
        <f t="shared" si="13693"/>
        <v>2021</v>
      </c>
      <c r="E8056" s="1" t="str">
        <f t="shared" ref="E8056:P8056" si="13752">"0"</f>
        <v>0</v>
      </c>
      <c r="F8056" s="1" t="str">
        <f t="shared" si="13752"/>
        <v>0</v>
      </c>
      <c r="G8056" s="1" t="str">
        <f t="shared" si="13752"/>
        <v>0</v>
      </c>
      <c r="H8056" s="1" t="str">
        <f t="shared" si="13752"/>
        <v>0</v>
      </c>
      <c r="I8056" s="1" t="str">
        <f t="shared" si="13752"/>
        <v>0</v>
      </c>
      <c r="J8056" s="1" t="str">
        <f t="shared" si="13752"/>
        <v>0</v>
      </c>
      <c r="K8056" s="1" t="str">
        <f t="shared" si="13752"/>
        <v>0</v>
      </c>
      <c r="L8056" s="1" t="str">
        <f t="shared" si="13752"/>
        <v>0</v>
      </c>
      <c r="M8056" s="1" t="str">
        <f t="shared" si="13752"/>
        <v>0</v>
      </c>
      <c r="N8056" s="1" t="str">
        <f t="shared" si="13752"/>
        <v>0</v>
      </c>
      <c r="O8056" s="1" t="str">
        <f t="shared" si="13752"/>
        <v>0</v>
      </c>
      <c r="P8056" s="1" t="str">
        <f t="shared" si="13752"/>
        <v>0</v>
      </c>
      <c r="Q8056" s="1" t="str">
        <f t="shared" si="13695"/>
        <v>0.0070</v>
      </c>
      <c r="R8056" s="1" t="s">
        <v>25</v>
      </c>
      <c r="T8056" s="1" t="str">
        <f t="shared" si="13696"/>
        <v>0</v>
      </c>
      <c r="U8056" s="1" t="str">
        <f t="shared" si="13722"/>
        <v>0.0070</v>
      </c>
    </row>
    <row r="8057" s="1" customFormat="1" spans="1:21">
      <c r="A8057" s="1" t="str">
        <f>"4601992376370"</f>
        <v>4601992376370</v>
      </c>
      <c r="B8057" s="1" t="s">
        <v>8080</v>
      </c>
      <c r="C8057" s="1" t="s">
        <v>24</v>
      </c>
      <c r="D8057" s="1" t="str">
        <f t="shared" si="13693"/>
        <v>2021</v>
      </c>
      <c r="E8057" s="1" t="str">
        <f t="shared" ref="E8057:P8057" si="13753">"0"</f>
        <v>0</v>
      </c>
      <c r="F8057" s="1" t="str">
        <f t="shared" si="13753"/>
        <v>0</v>
      </c>
      <c r="G8057" s="1" t="str">
        <f t="shared" si="13753"/>
        <v>0</v>
      </c>
      <c r="H8057" s="1" t="str">
        <f t="shared" si="13753"/>
        <v>0</v>
      </c>
      <c r="I8057" s="1" t="str">
        <f t="shared" si="13753"/>
        <v>0</v>
      </c>
      <c r="J8057" s="1" t="str">
        <f t="shared" si="13753"/>
        <v>0</v>
      </c>
      <c r="K8057" s="1" t="str">
        <f t="shared" si="13753"/>
        <v>0</v>
      </c>
      <c r="L8057" s="1" t="str">
        <f t="shared" si="13753"/>
        <v>0</v>
      </c>
      <c r="M8057" s="1" t="str">
        <f t="shared" si="13753"/>
        <v>0</v>
      </c>
      <c r="N8057" s="1" t="str">
        <f t="shared" si="13753"/>
        <v>0</v>
      </c>
      <c r="O8057" s="1" t="str">
        <f t="shared" si="13753"/>
        <v>0</v>
      </c>
      <c r="P8057" s="1" t="str">
        <f t="shared" si="13753"/>
        <v>0</v>
      </c>
      <c r="Q8057" s="1" t="str">
        <f t="shared" si="13695"/>
        <v>0.0070</v>
      </c>
      <c r="R8057" s="1" t="s">
        <v>25</v>
      </c>
      <c r="T8057" s="1" t="str">
        <f t="shared" si="13696"/>
        <v>0</v>
      </c>
      <c r="U8057" s="1" t="str">
        <f t="shared" si="13722"/>
        <v>0.0070</v>
      </c>
    </row>
    <row r="8058" s="1" customFormat="1" spans="1:21">
      <c r="A8058" s="1" t="str">
        <f>"4601992376054"</f>
        <v>4601992376054</v>
      </c>
      <c r="B8058" s="1" t="s">
        <v>8081</v>
      </c>
      <c r="C8058" s="1" t="s">
        <v>24</v>
      </c>
      <c r="D8058" s="1" t="str">
        <f t="shared" si="13693"/>
        <v>2021</v>
      </c>
      <c r="E8058" s="1" t="str">
        <f t="shared" ref="E8058:P8058" si="13754">"0"</f>
        <v>0</v>
      </c>
      <c r="F8058" s="1" t="str">
        <f t="shared" si="13754"/>
        <v>0</v>
      </c>
      <c r="G8058" s="1" t="str">
        <f t="shared" si="13754"/>
        <v>0</v>
      </c>
      <c r="H8058" s="1" t="str">
        <f t="shared" si="13754"/>
        <v>0</v>
      </c>
      <c r="I8058" s="1" t="str">
        <f t="shared" si="13754"/>
        <v>0</v>
      </c>
      <c r="J8058" s="1" t="str">
        <f t="shared" si="13754"/>
        <v>0</v>
      </c>
      <c r="K8058" s="1" t="str">
        <f t="shared" si="13754"/>
        <v>0</v>
      </c>
      <c r="L8058" s="1" t="str">
        <f t="shared" si="13754"/>
        <v>0</v>
      </c>
      <c r="M8058" s="1" t="str">
        <f t="shared" si="13754"/>
        <v>0</v>
      </c>
      <c r="N8058" s="1" t="str">
        <f t="shared" si="13754"/>
        <v>0</v>
      </c>
      <c r="O8058" s="1" t="str">
        <f t="shared" si="13754"/>
        <v>0</v>
      </c>
      <c r="P8058" s="1" t="str">
        <f t="shared" si="13754"/>
        <v>0</v>
      </c>
      <c r="Q8058" s="1" t="str">
        <f t="shared" si="13695"/>
        <v>0.0070</v>
      </c>
      <c r="R8058" s="1" t="s">
        <v>25</v>
      </c>
      <c r="T8058" s="1" t="str">
        <f t="shared" si="13696"/>
        <v>0</v>
      </c>
      <c r="U8058" s="1" t="str">
        <f t="shared" si="13722"/>
        <v>0.0070</v>
      </c>
    </row>
    <row r="8059" s="1" customFormat="1" spans="1:21">
      <c r="A8059" s="1" t="str">
        <f>"4601992376394"</f>
        <v>4601992376394</v>
      </c>
      <c r="B8059" s="1" t="s">
        <v>8082</v>
      </c>
      <c r="C8059" s="1" t="s">
        <v>24</v>
      </c>
      <c r="D8059" s="1" t="str">
        <f t="shared" si="13693"/>
        <v>2021</v>
      </c>
      <c r="E8059" s="1" t="str">
        <f t="shared" ref="E8059:P8059" si="13755">"0"</f>
        <v>0</v>
      </c>
      <c r="F8059" s="1" t="str">
        <f t="shared" si="13755"/>
        <v>0</v>
      </c>
      <c r="G8059" s="1" t="str">
        <f t="shared" si="13755"/>
        <v>0</v>
      </c>
      <c r="H8059" s="1" t="str">
        <f t="shared" si="13755"/>
        <v>0</v>
      </c>
      <c r="I8059" s="1" t="str">
        <f t="shared" si="13755"/>
        <v>0</v>
      </c>
      <c r="J8059" s="1" t="str">
        <f t="shared" si="13755"/>
        <v>0</v>
      </c>
      <c r="K8059" s="1" t="str">
        <f t="shared" si="13755"/>
        <v>0</v>
      </c>
      <c r="L8059" s="1" t="str">
        <f t="shared" si="13755"/>
        <v>0</v>
      </c>
      <c r="M8059" s="1" t="str">
        <f t="shared" si="13755"/>
        <v>0</v>
      </c>
      <c r="N8059" s="1" t="str">
        <f t="shared" si="13755"/>
        <v>0</v>
      </c>
      <c r="O8059" s="1" t="str">
        <f t="shared" si="13755"/>
        <v>0</v>
      </c>
      <c r="P8059" s="1" t="str">
        <f t="shared" si="13755"/>
        <v>0</v>
      </c>
      <c r="Q8059" s="1" t="str">
        <f t="shared" si="13695"/>
        <v>0.0070</v>
      </c>
      <c r="R8059" s="1" t="s">
        <v>25</v>
      </c>
      <c r="T8059" s="1" t="str">
        <f t="shared" si="13696"/>
        <v>0</v>
      </c>
      <c r="U8059" s="1" t="str">
        <f t="shared" si="13722"/>
        <v>0.0070</v>
      </c>
    </row>
    <row r="8060" s="1" customFormat="1" spans="1:21">
      <c r="A8060" s="1" t="str">
        <f>"4601992376556"</f>
        <v>4601992376556</v>
      </c>
      <c r="B8060" s="1" t="s">
        <v>8083</v>
      </c>
      <c r="C8060" s="1" t="s">
        <v>24</v>
      </c>
      <c r="D8060" s="1" t="str">
        <f t="shared" si="13693"/>
        <v>2021</v>
      </c>
      <c r="E8060" s="1" t="str">
        <f t="shared" ref="E8060:P8060" si="13756">"0"</f>
        <v>0</v>
      </c>
      <c r="F8060" s="1" t="str">
        <f t="shared" si="13756"/>
        <v>0</v>
      </c>
      <c r="G8060" s="1" t="str">
        <f t="shared" si="13756"/>
        <v>0</v>
      </c>
      <c r="H8060" s="1" t="str">
        <f t="shared" si="13756"/>
        <v>0</v>
      </c>
      <c r="I8060" s="1" t="str">
        <f t="shared" si="13756"/>
        <v>0</v>
      </c>
      <c r="J8060" s="1" t="str">
        <f t="shared" si="13756"/>
        <v>0</v>
      </c>
      <c r="K8060" s="1" t="str">
        <f t="shared" si="13756"/>
        <v>0</v>
      </c>
      <c r="L8060" s="1" t="str">
        <f t="shared" si="13756"/>
        <v>0</v>
      </c>
      <c r="M8060" s="1" t="str">
        <f t="shared" si="13756"/>
        <v>0</v>
      </c>
      <c r="N8060" s="1" t="str">
        <f t="shared" si="13756"/>
        <v>0</v>
      </c>
      <c r="O8060" s="1" t="str">
        <f t="shared" si="13756"/>
        <v>0</v>
      </c>
      <c r="P8060" s="1" t="str">
        <f t="shared" si="13756"/>
        <v>0</v>
      </c>
      <c r="Q8060" s="1" t="str">
        <f t="shared" si="13695"/>
        <v>0.0070</v>
      </c>
      <c r="R8060" s="1" t="s">
        <v>25</v>
      </c>
      <c r="T8060" s="1" t="str">
        <f t="shared" si="13696"/>
        <v>0</v>
      </c>
      <c r="U8060" s="1" t="str">
        <f t="shared" si="13722"/>
        <v>0.0070</v>
      </c>
    </row>
    <row r="8061" s="1" customFormat="1" spans="1:21">
      <c r="A8061" s="1" t="str">
        <f>"4601992376586"</f>
        <v>4601992376586</v>
      </c>
      <c r="B8061" s="1" t="s">
        <v>8084</v>
      </c>
      <c r="C8061" s="1" t="s">
        <v>24</v>
      </c>
      <c r="D8061" s="1" t="str">
        <f t="shared" si="13693"/>
        <v>2021</v>
      </c>
      <c r="E8061" s="1" t="str">
        <f t="shared" ref="E8061:P8061" si="13757">"0"</f>
        <v>0</v>
      </c>
      <c r="F8061" s="1" t="str">
        <f t="shared" si="13757"/>
        <v>0</v>
      </c>
      <c r="G8061" s="1" t="str">
        <f t="shared" si="13757"/>
        <v>0</v>
      </c>
      <c r="H8061" s="1" t="str">
        <f t="shared" si="13757"/>
        <v>0</v>
      </c>
      <c r="I8061" s="1" t="str">
        <f t="shared" si="13757"/>
        <v>0</v>
      </c>
      <c r="J8061" s="1" t="str">
        <f t="shared" si="13757"/>
        <v>0</v>
      </c>
      <c r="K8061" s="1" t="str">
        <f t="shared" si="13757"/>
        <v>0</v>
      </c>
      <c r="L8061" s="1" t="str">
        <f t="shared" si="13757"/>
        <v>0</v>
      </c>
      <c r="M8061" s="1" t="str">
        <f t="shared" si="13757"/>
        <v>0</v>
      </c>
      <c r="N8061" s="1" t="str">
        <f t="shared" si="13757"/>
        <v>0</v>
      </c>
      <c r="O8061" s="1" t="str">
        <f t="shared" si="13757"/>
        <v>0</v>
      </c>
      <c r="P8061" s="1" t="str">
        <f t="shared" si="13757"/>
        <v>0</v>
      </c>
      <c r="Q8061" s="1" t="str">
        <f t="shared" si="13695"/>
        <v>0.0070</v>
      </c>
      <c r="R8061" s="1" t="s">
        <v>25</v>
      </c>
      <c r="T8061" s="1" t="str">
        <f t="shared" si="13696"/>
        <v>0</v>
      </c>
      <c r="U8061" s="1" t="str">
        <f t="shared" si="13722"/>
        <v>0.0070</v>
      </c>
    </row>
    <row r="8062" s="1" customFormat="1" spans="1:21">
      <c r="A8062" s="1" t="str">
        <f>"4601992376629"</f>
        <v>4601992376629</v>
      </c>
      <c r="B8062" s="1" t="s">
        <v>8085</v>
      </c>
      <c r="C8062" s="1" t="s">
        <v>24</v>
      </c>
      <c r="D8062" s="1" t="str">
        <f t="shared" si="13693"/>
        <v>2021</v>
      </c>
      <c r="E8062" s="1" t="str">
        <f t="shared" ref="E8062:P8062" si="13758">"0"</f>
        <v>0</v>
      </c>
      <c r="F8062" s="1" t="str">
        <f t="shared" si="13758"/>
        <v>0</v>
      </c>
      <c r="G8062" s="1" t="str">
        <f t="shared" si="13758"/>
        <v>0</v>
      </c>
      <c r="H8062" s="1" t="str">
        <f t="shared" si="13758"/>
        <v>0</v>
      </c>
      <c r="I8062" s="1" t="str">
        <f t="shared" si="13758"/>
        <v>0</v>
      </c>
      <c r="J8062" s="1" t="str">
        <f t="shared" si="13758"/>
        <v>0</v>
      </c>
      <c r="K8062" s="1" t="str">
        <f t="shared" si="13758"/>
        <v>0</v>
      </c>
      <c r="L8062" s="1" t="str">
        <f t="shared" si="13758"/>
        <v>0</v>
      </c>
      <c r="M8062" s="1" t="str">
        <f t="shared" si="13758"/>
        <v>0</v>
      </c>
      <c r="N8062" s="1" t="str">
        <f t="shared" si="13758"/>
        <v>0</v>
      </c>
      <c r="O8062" s="1" t="str">
        <f t="shared" si="13758"/>
        <v>0</v>
      </c>
      <c r="P8062" s="1" t="str">
        <f t="shared" si="13758"/>
        <v>0</v>
      </c>
      <c r="Q8062" s="1" t="str">
        <f t="shared" si="13695"/>
        <v>0.0070</v>
      </c>
      <c r="R8062" s="1" t="s">
        <v>25</v>
      </c>
      <c r="T8062" s="1" t="str">
        <f t="shared" si="13696"/>
        <v>0</v>
      </c>
      <c r="U8062" s="1" t="str">
        <f t="shared" si="13722"/>
        <v>0.0070</v>
      </c>
    </row>
    <row r="8063" s="1" customFormat="1" spans="1:21">
      <c r="A8063" s="1" t="str">
        <f>"4601992376862"</f>
        <v>4601992376862</v>
      </c>
      <c r="B8063" s="1" t="s">
        <v>8086</v>
      </c>
      <c r="C8063" s="1" t="s">
        <v>24</v>
      </c>
      <c r="D8063" s="1" t="str">
        <f t="shared" si="13693"/>
        <v>2021</v>
      </c>
      <c r="E8063" s="1" t="str">
        <f t="shared" ref="E8063:P8063" si="13759">"0"</f>
        <v>0</v>
      </c>
      <c r="F8063" s="1" t="str">
        <f t="shared" si="13759"/>
        <v>0</v>
      </c>
      <c r="G8063" s="1" t="str">
        <f t="shared" si="13759"/>
        <v>0</v>
      </c>
      <c r="H8063" s="1" t="str">
        <f t="shared" si="13759"/>
        <v>0</v>
      </c>
      <c r="I8063" s="1" t="str">
        <f t="shared" si="13759"/>
        <v>0</v>
      </c>
      <c r="J8063" s="1" t="str">
        <f t="shared" si="13759"/>
        <v>0</v>
      </c>
      <c r="K8063" s="1" t="str">
        <f t="shared" si="13759"/>
        <v>0</v>
      </c>
      <c r="L8063" s="1" t="str">
        <f t="shared" si="13759"/>
        <v>0</v>
      </c>
      <c r="M8063" s="1" t="str">
        <f t="shared" si="13759"/>
        <v>0</v>
      </c>
      <c r="N8063" s="1" t="str">
        <f t="shared" si="13759"/>
        <v>0</v>
      </c>
      <c r="O8063" s="1" t="str">
        <f t="shared" si="13759"/>
        <v>0</v>
      </c>
      <c r="P8063" s="1" t="str">
        <f t="shared" si="13759"/>
        <v>0</v>
      </c>
      <c r="Q8063" s="1" t="str">
        <f t="shared" si="13695"/>
        <v>0.0070</v>
      </c>
      <c r="R8063" s="1" t="s">
        <v>25</v>
      </c>
      <c r="T8063" s="1" t="str">
        <f t="shared" si="13696"/>
        <v>0</v>
      </c>
      <c r="U8063" s="1" t="str">
        <f t="shared" si="13722"/>
        <v>0.0070</v>
      </c>
    </row>
    <row r="8064" s="1" customFormat="1" spans="1:21">
      <c r="A8064" s="1" t="str">
        <f>"4601992377117"</f>
        <v>4601992377117</v>
      </c>
      <c r="B8064" s="1" t="s">
        <v>8087</v>
      </c>
      <c r="C8064" s="1" t="s">
        <v>24</v>
      </c>
      <c r="D8064" s="1" t="str">
        <f t="shared" si="13693"/>
        <v>2021</v>
      </c>
      <c r="E8064" s="1" t="str">
        <f t="shared" ref="E8064:P8064" si="13760">"0"</f>
        <v>0</v>
      </c>
      <c r="F8064" s="1" t="str">
        <f t="shared" si="13760"/>
        <v>0</v>
      </c>
      <c r="G8064" s="1" t="str">
        <f t="shared" si="13760"/>
        <v>0</v>
      </c>
      <c r="H8064" s="1" t="str">
        <f t="shared" si="13760"/>
        <v>0</v>
      </c>
      <c r="I8064" s="1" t="str">
        <f t="shared" si="13760"/>
        <v>0</v>
      </c>
      <c r="J8064" s="1" t="str">
        <f t="shared" si="13760"/>
        <v>0</v>
      </c>
      <c r="K8064" s="1" t="str">
        <f t="shared" si="13760"/>
        <v>0</v>
      </c>
      <c r="L8064" s="1" t="str">
        <f t="shared" si="13760"/>
        <v>0</v>
      </c>
      <c r="M8064" s="1" t="str">
        <f t="shared" si="13760"/>
        <v>0</v>
      </c>
      <c r="N8064" s="1" t="str">
        <f t="shared" si="13760"/>
        <v>0</v>
      </c>
      <c r="O8064" s="1" t="str">
        <f t="shared" si="13760"/>
        <v>0</v>
      </c>
      <c r="P8064" s="1" t="str">
        <f t="shared" si="13760"/>
        <v>0</v>
      </c>
      <c r="Q8064" s="1" t="str">
        <f t="shared" si="13695"/>
        <v>0.0070</v>
      </c>
      <c r="R8064" s="1" t="s">
        <v>25</v>
      </c>
      <c r="T8064" s="1" t="str">
        <f t="shared" si="13696"/>
        <v>0</v>
      </c>
      <c r="U8064" s="1" t="str">
        <f t="shared" si="13722"/>
        <v>0.0070</v>
      </c>
    </row>
    <row r="8065" s="1" customFormat="1" spans="1:21">
      <c r="A8065" s="1" t="str">
        <f>"4601992377436"</f>
        <v>4601992377436</v>
      </c>
      <c r="B8065" s="1" t="s">
        <v>8088</v>
      </c>
      <c r="C8065" s="1" t="s">
        <v>24</v>
      </c>
      <c r="D8065" s="1" t="str">
        <f t="shared" si="13693"/>
        <v>2021</v>
      </c>
      <c r="E8065" s="1" t="str">
        <f t="shared" ref="E8065:P8065" si="13761">"0"</f>
        <v>0</v>
      </c>
      <c r="F8065" s="1" t="str">
        <f t="shared" si="13761"/>
        <v>0</v>
      </c>
      <c r="G8065" s="1" t="str">
        <f t="shared" si="13761"/>
        <v>0</v>
      </c>
      <c r="H8065" s="1" t="str">
        <f t="shared" si="13761"/>
        <v>0</v>
      </c>
      <c r="I8065" s="1" t="str">
        <f t="shared" si="13761"/>
        <v>0</v>
      </c>
      <c r="J8065" s="1" t="str">
        <f t="shared" si="13761"/>
        <v>0</v>
      </c>
      <c r="K8065" s="1" t="str">
        <f t="shared" si="13761"/>
        <v>0</v>
      </c>
      <c r="L8065" s="1" t="str">
        <f t="shared" si="13761"/>
        <v>0</v>
      </c>
      <c r="M8065" s="1" t="str">
        <f t="shared" si="13761"/>
        <v>0</v>
      </c>
      <c r="N8065" s="1" t="str">
        <f t="shared" si="13761"/>
        <v>0</v>
      </c>
      <c r="O8065" s="1" t="str">
        <f t="shared" si="13761"/>
        <v>0</v>
      </c>
      <c r="P8065" s="1" t="str">
        <f t="shared" si="13761"/>
        <v>0</v>
      </c>
      <c r="Q8065" s="1" t="str">
        <f t="shared" si="13695"/>
        <v>0.0070</v>
      </c>
      <c r="R8065" s="1" t="s">
        <v>25</v>
      </c>
      <c r="T8065" s="1" t="str">
        <f t="shared" si="13696"/>
        <v>0</v>
      </c>
      <c r="U8065" s="1" t="str">
        <f t="shared" si="13722"/>
        <v>0.0070</v>
      </c>
    </row>
    <row r="8066" s="1" customFormat="1" spans="1:21">
      <c r="A8066" s="1" t="str">
        <f>"4601992377477"</f>
        <v>4601992377477</v>
      </c>
      <c r="B8066" s="1" t="s">
        <v>8089</v>
      </c>
      <c r="C8066" s="1" t="s">
        <v>24</v>
      </c>
      <c r="D8066" s="1" t="str">
        <f t="shared" si="13693"/>
        <v>2021</v>
      </c>
      <c r="E8066" s="1" t="str">
        <f t="shared" ref="E8066:P8066" si="13762">"0"</f>
        <v>0</v>
      </c>
      <c r="F8066" s="1" t="str">
        <f t="shared" si="13762"/>
        <v>0</v>
      </c>
      <c r="G8066" s="1" t="str">
        <f t="shared" si="13762"/>
        <v>0</v>
      </c>
      <c r="H8066" s="1" t="str">
        <f t="shared" si="13762"/>
        <v>0</v>
      </c>
      <c r="I8066" s="1" t="str">
        <f t="shared" si="13762"/>
        <v>0</v>
      </c>
      <c r="J8066" s="1" t="str">
        <f t="shared" si="13762"/>
        <v>0</v>
      </c>
      <c r="K8066" s="1" t="str">
        <f t="shared" si="13762"/>
        <v>0</v>
      </c>
      <c r="L8066" s="1" t="str">
        <f t="shared" si="13762"/>
        <v>0</v>
      </c>
      <c r="M8066" s="1" t="str">
        <f t="shared" si="13762"/>
        <v>0</v>
      </c>
      <c r="N8066" s="1" t="str">
        <f t="shared" si="13762"/>
        <v>0</v>
      </c>
      <c r="O8066" s="1" t="str">
        <f t="shared" si="13762"/>
        <v>0</v>
      </c>
      <c r="P8066" s="1" t="str">
        <f t="shared" si="13762"/>
        <v>0</v>
      </c>
      <c r="Q8066" s="1" t="str">
        <f t="shared" si="13695"/>
        <v>0.0070</v>
      </c>
      <c r="R8066" s="1" t="s">
        <v>25</v>
      </c>
      <c r="T8066" s="1" t="str">
        <f t="shared" si="13696"/>
        <v>0</v>
      </c>
      <c r="U8066" s="1" t="str">
        <f t="shared" si="13722"/>
        <v>0.0070</v>
      </c>
    </row>
    <row r="8067" s="1" customFormat="1" spans="1:21">
      <c r="A8067" s="1" t="str">
        <f>"4601992377498"</f>
        <v>4601992377498</v>
      </c>
      <c r="B8067" s="1" t="s">
        <v>8090</v>
      </c>
      <c r="C8067" s="1" t="s">
        <v>24</v>
      </c>
      <c r="D8067" s="1" t="str">
        <f t="shared" ref="D8067:D8130" si="13763">"2021"</f>
        <v>2021</v>
      </c>
      <c r="E8067" s="1" t="str">
        <f t="shared" ref="E8067:P8067" si="13764">"0"</f>
        <v>0</v>
      </c>
      <c r="F8067" s="1" t="str">
        <f t="shared" si="13764"/>
        <v>0</v>
      </c>
      <c r="G8067" s="1" t="str">
        <f t="shared" si="13764"/>
        <v>0</v>
      </c>
      <c r="H8067" s="1" t="str">
        <f t="shared" si="13764"/>
        <v>0</v>
      </c>
      <c r="I8067" s="1" t="str">
        <f t="shared" si="13764"/>
        <v>0</v>
      </c>
      <c r="J8067" s="1" t="str">
        <f t="shared" si="13764"/>
        <v>0</v>
      </c>
      <c r="K8067" s="1" t="str">
        <f t="shared" si="13764"/>
        <v>0</v>
      </c>
      <c r="L8067" s="1" t="str">
        <f t="shared" si="13764"/>
        <v>0</v>
      </c>
      <c r="M8067" s="1" t="str">
        <f t="shared" si="13764"/>
        <v>0</v>
      </c>
      <c r="N8067" s="1" t="str">
        <f t="shared" si="13764"/>
        <v>0</v>
      </c>
      <c r="O8067" s="1" t="str">
        <f t="shared" si="13764"/>
        <v>0</v>
      </c>
      <c r="P8067" s="1" t="str">
        <f t="shared" si="13764"/>
        <v>0</v>
      </c>
      <c r="Q8067" s="1" t="str">
        <f t="shared" ref="Q8067:Q8130" si="13765">"0.0070"</f>
        <v>0.0070</v>
      </c>
      <c r="R8067" s="1" t="s">
        <v>25</v>
      </c>
      <c r="T8067" s="1" t="str">
        <f t="shared" ref="T8067:T8130" si="13766">"0"</f>
        <v>0</v>
      </c>
      <c r="U8067" s="1" t="str">
        <f t="shared" si="13722"/>
        <v>0.0070</v>
      </c>
    </row>
    <row r="8068" s="1" customFormat="1" spans="1:21">
      <c r="A8068" s="1" t="str">
        <f>"4601992377680"</f>
        <v>4601992377680</v>
      </c>
      <c r="B8068" s="1" t="s">
        <v>8091</v>
      </c>
      <c r="C8068" s="1" t="s">
        <v>24</v>
      </c>
      <c r="D8068" s="1" t="str">
        <f t="shared" si="13763"/>
        <v>2021</v>
      </c>
      <c r="E8068" s="1" t="str">
        <f t="shared" ref="E8068:P8068" si="13767">"0"</f>
        <v>0</v>
      </c>
      <c r="F8068" s="1" t="str">
        <f t="shared" si="13767"/>
        <v>0</v>
      </c>
      <c r="G8068" s="1" t="str">
        <f t="shared" si="13767"/>
        <v>0</v>
      </c>
      <c r="H8068" s="1" t="str">
        <f t="shared" si="13767"/>
        <v>0</v>
      </c>
      <c r="I8068" s="1" t="str">
        <f t="shared" si="13767"/>
        <v>0</v>
      </c>
      <c r="J8068" s="1" t="str">
        <f t="shared" si="13767"/>
        <v>0</v>
      </c>
      <c r="K8068" s="1" t="str">
        <f t="shared" si="13767"/>
        <v>0</v>
      </c>
      <c r="L8068" s="1" t="str">
        <f t="shared" si="13767"/>
        <v>0</v>
      </c>
      <c r="M8068" s="1" t="str">
        <f t="shared" si="13767"/>
        <v>0</v>
      </c>
      <c r="N8068" s="1" t="str">
        <f t="shared" si="13767"/>
        <v>0</v>
      </c>
      <c r="O8068" s="1" t="str">
        <f t="shared" si="13767"/>
        <v>0</v>
      </c>
      <c r="P8068" s="1" t="str">
        <f t="shared" si="13767"/>
        <v>0</v>
      </c>
      <c r="Q8068" s="1" t="str">
        <f t="shared" si="13765"/>
        <v>0.0070</v>
      </c>
      <c r="R8068" s="1" t="s">
        <v>25</v>
      </c>
      <c r="T8068" s="1" t="str">
        <f t="shared" si="13766"/>
        <v>0</v>
      </c>
      <c r="U8068" s="1" t="str">
        <f t="shared" si="13722"/>
        <v>0.0070</v>
      </c>
    </row>
    <row r="8069" s="1" customFormat="1" spans="1:21">
      <c r="A8069" s="1" t="str">
        <f>"4601992377698"</f>
        <v>4601992377698</v>
      </c>
      <c r="B8069" s="1" t="s">
        <v>8092</v>
      </c>
      <c r="C8069" s="1" t="s">
        <v>24</v>
      </c>
      <c r="D8069" s="1" t="str">
        <f t="shared" si="13763"/>
        <v>2021</v>
      </c>
      <c r="E8069" s="1" t="str">
        <f t="shared" ref="E8069:P8069" si="13768">"0"</f>
        <v>0</v>
      </c>
      <c r="F8069" s="1" t="str">
        <f t="shared" si="13768"/>
        <v>0</v>
      </c>
      <c r="G8069" s="1" t="str">
        <f t="shared" si="13768"/>
        <v>0</v>
      </c>
      <c r="H8069" s="1" t="str">
        <f t="shared" si="13768"/>
        <v>0</v>
      </c>
      <c r="I8069" s="1" t="str">
        <f t="shared" si="13768"/>
        <v>0</v>
      </c>
      <c r="J8069" s="1" t="str">
        <f t="shared" si="13768"/>
        <v>0</v>
      </c>
      <c r="K8069" s="1" t="str">
        <f t="shared" si="13768"/>
        <v>0</v>
      </c>
      <c r="L8069" s="1" t="str">
        <f t="shared" si="13768"/>
        <v>0</v>
      </c>
      <c r="M8069" s="1" t="str">
        <f t="shared" si="13768"/>
        <v>0</v>
      </c>
      <c r="N8069" s="1" t="str">
        <f t="shared" si="13768"/>
        <v>0</v>
      </c>
      <c r="O8069" s="1" t="str">
        <f t="shared" si="13768"/>
        <v>0</v>
      </c>
      <c r="P8069" s="1" t="str">
        <f t="shared" si="13768"/>
        <v>0</v>
      </c>
      <c r="Q8069" s="1" t="str">
        <f t="shared" si="13765"/>
        <v>0.0070</v>
      </c>
      <c r="R8069" s="1" t="s">
        <v>25</v>
      </c>
      <c r="T8069" s="1" t="str">
        <f t="shared" si="13766"/>
        <v>0</v>
      </c>
      <c r="U8069" s="1" t="str">
        <f t="shared" si="13722"/>
        <v>0.0070</v>
      </c>
    </row>
    <row r="8070" s="1" customFormat="1" spans="1:21">
      <c r="A8070" s="1" t="str">
        <f>"4601992377765"</f>
        <v>4601992377765</v>
      </c>
      <c r="B8070" s="1" t="s">
        <v>8093</v>
      </c>
      <c r="C8070" s="1" t="s">
        <v>24</v>
      </c>
      <c r="D8070" s="1" t="str">
        <f t="shared" si="13763"/>
        <v>2021</v>
      </c>
      <c r="E8070" s="1" t="str">
        <f t="shared" ref="E8070:P8070" si="13769">"0"</f>
        <v>0</v>
      </c>
      <c r="F8070" s="1" t="str">
        <f t="shared" si="13769"/>
        <v>0</v>
      </c>
      <c r="G8070" s="1" t="str">
        <f t="shared" si="13769"/>
        <v>0</v>
      </c>
      <c r="H8070" s="1" t="str">
        <f t="shared" si="13769"/>
        <v>0</v>
      </c>
      <c r="I8070" s="1" t="str">
        <f t="shared" si="13769"/>
        <v>0</v>
      </c>
      <c r="J8070" s="1" t="str">
        <f t="shared" si="13769"/>
        <v>0</v>
      </c>
      <c r="K8070" s="1" t="str">
        <f t="shared" si="13769"/>
        <v>0</v>
      </c>
      <c r="L8070" s="1" t="str">
        <f t="shared" si="13769"/>
        <v>0</v>
      </c>
      <c r="M8070" s="1" t="str">
        <f t="shared" si="13769"/>
        <v>0</v>
      </c>
      <c r="N8070" s="1" t="str">
        <f t="shared" si="13769"/>
        <v>0</v>
      </c>
      <c r="O8070" s="1" t="str">
        <f t="shared" si="13769"/>
        <v>0</v>
      </c>
      <c r="P8070" s="1" t="str">
        <f t="shared" si="13769"/>
        <v>0</v>
      </c>
      <c r="Q8070" s="1" t="str">
        <f t="shared" si="13765"/>
        <v>0.0070</v>
      </c>
      <c r="R8070" s="1" t="s">
        <v>25</v>
      </c>
      <c r="T8070" s="1" t="str">
        <f t="shared" si="13766"/>
        <v>0</v>
      </c>
      <c r="U8070" s="1" t="str">
        <f t="shared" si="13722"/>
        <v>0.0070</v>
      </c>
    </row>
    <row r="8071" s="1" customFormat="1" spans="1:21">
      <c r="A8071" s="1" t="str">
        <f>"4601992377851"</f>
        <v>4601992377851</v>
      </c>
      <c r="B8071" s="1" t="s">
        <v>8094</v>
      </c>
      <c r="C8071" s="1" t="s">
        <v>24</v>
      </c>
      <c r="D8071" s="1" t="str">
        <f t="shared" si="13763"/>
        <v>2021</v>
      </c>
      <c r="E8071" s="1" t="str">
        <f t="shared" ref="E8071:P8071" si="13770">"0"</f>
        <v>0</v>
      </c>
      <c r="F8071" s="1" t="str">
        <f t="shared" si="13770"/>
        <v>0</v>
      </c>
      <c r="G8071" s="1" t="str">
        <f t="shared" si="13770"/>
        <v>0</v>
      </c>
      <c r="H8071" s="1" t="str">
        <f t="shared" si="13770"/>
        <v>0</v>
      </c>
      <c r="I8071" s="1" t="str">
        <f t="shared" si="13770"/>
        <v>0</v>
      </c>
      <c r="J8071" s="1" t="str">
        <f t="shared" si="13770"/>
        <v>0</v>
      </c>
      <c r="K8071" s="1" t="str">
        <f t="shared" si="13770"/>
        <v>0</v>
      </c>
      <c r="L8071" s="1" t="str">
        <f t="shared" si="13770"/>
        <v>0</v>
      </c>
      <c r="M8071" s="1" t="str">
        <f t="shared" si="13770"/>
        <v>0</v>
      </c>
      <c r="N8071" s="1" t="str">
        <f t="shared" si="13770"/>
        <v>0</v>
      </c>
      <c r="O8071" s="1" t="str">
        <f t="shared" si="13770"/>
        <v>0</v>
      </c>
      <c r="P8071" s="1" t="str">
        <f t="shared" si="13770"/>
        <v>0</v>
      </c>
      <c r="Q8071" s="1" t="str">
        <f t="shared" si="13765"/>
        <v>0.0070</v>
      </c>
      <c r="R8071" s="1" t="s">
        <v>25</v>
      </c>
      <c r="T8071" s="1" t="str">
        <f t="shared" si="13766"/>
        <v>0</v>
      </c>
      <c r="U8071" s="1" t="str">
        <f t="shared" si="13722"/>
        <v>0.0070</v>
      </c>
    </row>
    <row r="8072" s="1" customFormat="1" spans="1:21">
      <c r="A8072" s="1" t="str">
        <f>"4601992377905"</f>
        <v>4601992377905</v>
      </c>
      <c r="B8072" s="1" t="s">
        <v>8095</v>
      </c>
      <c r="C8072" s="1" t="s">
        <v>24</v>
      </c>
      <c r="D8072" s="1" t="str">
        <f t="shared" si="13763"/>
        <v>2021</v>
      </c>
      <c r="E8072" s="1" t="str">
        <f t="shared" ref="E8072:P8072" si="13771">"0"</f>
        <v>0</v>
      </c>
      <c r="F8072" s="1" t="str">
        <f t="shared" si="13771"/>
        <v>0</v>
      </c>
      <c r="G8072" s="1" t="str">
        <f t="shared" si="13771"/>
        <v>0</v>
      </c>
      <c r="H8072" s="1" t="str">
        <f t="shared" si="13771"/>
        <v>0</v>
      </c>
      <c r="I8072" s="1" t="str">
        <f t="shared" si="13771"/>
        <v>0</v>
      </c>
      <c r="J8072" s="1" t="str">
        <f t="shared" si="13771"/>
        <v>0</v>
      </c>
      <c r="K8072" s="1" t="str">
        <f t="shared" si="13771"/>
        <v>0</v>
      </c>
      <c r="L8072" s="1" t="str">
        <f t="shared" si="13771"/>
        <v>0</v>
      </c>
      <c r="M8072" s="1" t="str">
        <f t="shared" si="13771"/>
        <v>0</v>
      </c>
      <c r="N8072" s="1" t="str">
        <f t="shared" si="13771"/>
        <v>0</v>
      </c>
      <c r="O8072" s="1" t="str">
        <f t="shared" si="13771"/>
        <v>0</v>
      </c>
      <c r="P8072" s="1" t="str">
        <f t="shared" si="13771"/>
        <v>0</v>
      </c>
      <c r="Q8072" s="1" t="str">
        <f t="shared" si="13765"/>
        <v>0.0070</v>
      </c>
      <c r="R8072" s="1" t="s">
        <v>25</v>
      </c>
      <c r="T8072" s="1" t="str">
        <f t="shared" si="13766"/>
        <v>0</v>
      </c>
      <c r="U8072" s="1" t="str">
        <f t="shared" si="13722"/>
        <v>0.0070</v>
      </c>
    </row>
    <row r="8073" s="1" customFormat="1" spans="1:21">
      <c r="A8073" s="1" t="str">
        <f>"4601992378011"</f>
        <v>4601992378011</v>
      </c>
      <c r="B8073" s="1" t="s">
        <v>8096</v>
      </c>
      <c r="C8073" s="1" t="s">
        <v>24</v>
      </c>
      <c r="D8073" s="1" t="str">
        <f t="shared" si="13763"/>
        <v>2021</v>
      </c>
      <c r="E8073" s="1" t="str">
        <f t="shared" ref="E8073:P8073" si="13772">"0"</f>
        <v>0</v>
      </c>
      <c r="F8073" s="1" t="str">
        <f t="shared" si="13772"/>
        <v>0</v>
      </c>
      <c r="G8073" s="1" t="str">
        <f t="shared" si="13772"/>
        <v>0</v>
      </c>
      <c r="H8073" s="1" t="str">
        <f t="shared" si="13772"/>
        <v>0</v>
      </c>
      <c r="I8073" s="1" t="str">
        <f t="shared" si="13772"/>
        <v>0</v>
      </c>
      <c r="J8073" s="1" t="str">
        <f t="shared" si="13772"/>
        <v>0</v>
      </c>
      <c r="K8073" s="1" t="str">
        <f t="shared" si="13772"/>
        <v>0</v>
      </c>
      <c r="L8073" s="1" t="str">
        <f t="shared" si="13772"/>
        <v>0</v>
      </c>
      <c r="M8073" s="1" t="str">
        <f t="shared" si="13772"/>
        <v>0</v>
      </c>
      <c r="N8073" s="1" t="str">
        <f t="shared" si="13772"/>
        <v>0</v>
      </c>
      <c r="O8073" s="1" t="str">
        <f t="shared" si="13772"/>
        <v>0</v>
      </c>
      <c r="P8073" s="1" t="str">
        <f t="shared" si="13772"/>
        <v>0</v>
      </c>
      <c r="Q8073" s="1" t="str">
        <f t="shared" si="13765"/>
        <v>0.0070</v>
      </c>
      <c r="R8073" s="1" t="s">
        <v>25</v>
      </c>
      <c r="T8073" s="1" t="str">
        <f t="shared" si="13766"/>
        <v>0</v>
      </c>
      <c r="U8073" s="1" t="str">
        <f t="shared" si="13722"/>
        <v>0.0070</v>
      </c>
    </row>
    <row r="8074" s="1" customFormat="1" spans="1:21">
      <c r="A8074" s="1" t="str">
        <f>"4601992378143"</f>
        <v>4601992378143</v>
      </c>
      <c r="B8074" s="1" t="s">
        <v>8097</v>
      </c>
      <c r="C8074" s="1" t="s">
        <v>24</v>
      </c>
      <c r="D8074" s="1" t="str">
        <f t="shared" si="13763"/>
        <v>2021</v>
      </c>
      <c r="E8074" s="1" t="str">
        <f t="shared" ref="E8074:P8074" si="13773">"0"</f>
        <v>0</v>
      </c>
      <c r="F8074" s="1" t="str">
        <f t="shared" si="13773"/>
        <v>0</v>
      </c>
      <c r="G8074" s="1" t="str">
        <f t="shared" si="13773"/>
        <v>0</v>
      </c>
      <c r="H8074" s="1" t="str">
        <f t="shared" si="13773"/>
        <v>0</v>
      </c>
      <c r="I8074" s="1" t="str">
        <f t="shared" si="13773"/>
        <v>0</v>
      </c>
      <c r="J8074" s="1" t="str">
        <f t="shared" si="13773"/>
        <v>0</v>
      </c>
      <c r="K8074" s="1" t="str">
        <f t="shared" si="13773"/>
        <v>0</v>
      </c>
      <c r="L8074" s="1" t="str">
        <f t="shared" si="13773"/>
        <v>0</v>
      </c>
      <c r="M8074" s="1" t="str">
        <f t="shared" si="13773"/>
        <v>0</v>
      </c>
      <c r="N8074" s="1" t="str">
        <f t="shared" si="13773"/>
        <v>0</v>
      </c>
      <c r="O8074" s="1" t="str">
        <f t="shared" si="13773"/>
        <v>0</v>
      </c>
      <c r="P8074" s="1" t="str">
        <f t="shared" si="13773"/>
        <v>0</v>
      </c>
      <c r="Q8074" s="1" t="str">
        <f t="shared" si="13765"/>
        <v>0.0070</v>
      </c>
      <c r="R8074" s="1" t="s">
        <v>25</v>
      </c>
      <c r="T8074" s="1" t="str">
        <f t="shared" si="13766"/>
        <v>0</v>
      </c>
      <c r="U8074" s="1" t="str">
        <f t="shared" si="13722"/>
        <v>0.0070</v>
      </c>
    </row>
    <row r="8075" s="1" customFormat="1" spans="1:21">
      <c r="A8075" s="1" t="str">
        <f>"4601992378275"</f>
        <v>4601992378275</v>
      </c>
      <c r="B8075" s="1" t="s">
        <v>8098</v>
      </c>
      <c r="C8075" s="1" t="s">
        <v>24</v>
      </c>
      <c r="D8075" s="1" t="str">
        <f t="shared" si="13763"/>
        <v>2021</v>
      </c>
      <c r="E8075" s="1" t="str">
        <f t="shared" ref="E8075:P8075" si="13774">"0"</f>
        <v>0</v>
      </c>
      <c r="F8075" s="1" t="str">
        <f t="shared" si="13774"/>
        <v>0</v>
      </c>
      <c r="G8075" s="1" t="str">
        <f t="shared" si="13774"/>
        <v>0</v>
      </c>
      <c r="H8075" s="1" t="str">
        <f t="shared" si="13774"/>
        <v>0</v>
      </c>
      <c r="I8075" s="1" t="str">
        <f t="shared" si="13774"/>
        <v>0</v>
      </c>
      <c r="J8075" s="1" t="str">
        <f t="shared" si="13774"/>
        <v>0</v>
      </c>
      <c r="K8075" s="1" t="str">
        <f t="shared" si="13774"/>
        <v>0</v>
      </c>
      <c r="L8075" s="1" t="str">
        <f t="shared" si="13774"/>
        <v>0</v>
      </c>
      <c r="M8075" s="1" t="str">
        <f t="shared" si="13774"/>
        <v>0</v>
      </c>
      <c r="N8075" s="1" t="str">
        <f t="shared" si="13774"/>
        <v>0</v>
      </c>
      <c r="O8075" s="1" t="str">
        <f t="shared" si="13774"/>
        <v>0</v>
      </c>
      <c r="P8075" s="1" t="str">
        <f t="shared" si="13774"/>
        <v>0</v>
      </c>
      <c r="Q8075" s="1" t="str">
        <f t="shared" si="13765"/>
        <v>0.0070</v>
      </c>
      <c r="R8075" s="1" t="s">
        <v>25</v>
      </c>
      <c r="T8075" s="1" t="str">
        <f t="shared" si="13766"/>
        <v>0</v>
      </c>
      <c r="U8075" s="1" t="str">
        <f t="shared" si="13722"/>
        <v>0.0070</v>
      </c>
    </row>
    <row r="8076" s="1" customFormat="1" spans="1:21">
      <c r="A8076" s="1" t="str">
        <f>"4601992378240"</f>
        <v>4601992378240</v>
      </c>
      <c r="B8076" s="1" t="s">
        <v>8099</v>
      </c>
      <c r="C8076" s="1" t="s">
        <v>24</v>
      </c>
      <c r="D8076" s="1" t="str">
        <f t="shared" si="13763"/>
        <v>2021</v>
      </c>
      <c r="E8076" s="1" t="str">
        <f t="shared" ref="E8076:P8076" si="13775">"0"</f>
        <v>0</v>
      </c>
      <c r="F8076" s="1" t="str">
        <f t="shared" si="13775"/>
        <v>0</v>
      </c>
      <c r="G8076" s="1" t="str">
        <f t="shared" si="13775"/>
        <v>0</v>
      </c>
      <c r="H8076" s="1" t="str">
        <f t="shared" si="13775"/>
        <v>0</v>
      </c>
      <c r="I8076" s="1" t="str">
        <f t="shared" si="13775"/>
        <v>0</v>
      </c>
      <c r="J8076" s="1" t="str">
        <f t="shared" si="13775"/>
        <v>0</v>
      </c>
      <c r="K8076" s="1" t="str">
        <f t="shared" si="13775"/>
        <v>0</v>
      </c>
      <c r="L8076" s="1" t="str">
        <f t="shared" si="13775"/>
        <v>0</v>
      </c>
      <c r="M8076" s="1" t="str">
        <f t="shared" si="13775"/>
        <v>0</v>
      </c>
      <c r="N8076" s="1" t="str">
        <f t="shared" si="13775"/>
        <v>0</v>
      </c>
      <c r="O8076" s="1" t="str">
        <f t="shared" si="13775"/>
        <v>0</v>
      </c>
      <c r="P8076" s="1" t="str">
        <f t="shared" si="13775"/>
        <v>0</v>
      </c>
      <c r="Q8076" s="1" t="str">
        <f t="shared" si="13765"/>
        <v>0.0070</v>
      </c>
      <c r="R8076" s="1" t="s">
        <v>25</v>
      </c>
      <c r="T8076" s="1" t="str">
        <f t="shared" si="13766"/>
        <v>0</v>
      </c>
      <c r="U8076" s="1" t="str">
        <f t="shared" si="13722"/>
        <v>0.0070</v>
      </c>
    </row>
    <row r="8077" s="1" customFormat="1" spans="1:21">
      <c r="A8077" s="1" t="str">
        <f>"4601992378301"</f>
        <v>4601992378301</v>
      </c>
      <c r="B8077" s="1" t="s">
        <v>8100</v>
      </c>
      <c r="C8077" s="1" t="s">
        <v>24</v>
      </c>
      <c r="D8077" s="1" t="str">
        <f t="shared" si="13763"/>
        <v>2021</v>
      </c>
      <c r="E8077" s="1" t="str">
        <f t="shared" ref="E8077:P8077" si="13776">"0"</f>
        <v>0</v>
      </c>
      <c r="F8077" s="1" t="str">
        <f t="shared" si="13776"/>
        <v>0</v>
      </c>
      <c r="G8077" s="1" t="str">
        <f t="shared" si="13776"/>
        <v>0</v>
      </c>
      <c r="H8077" s="1" t="str">
        <f t="shared" si="13776"/>
        <v>0</v>
      </c>
      <c r="I8077" s="1" t="str">
        <f t="shared" si="13776"/>
        <v>0</v>
      </c>
      <c r="J8077" s="1" t="str">
        <f t="shared" si="13776"/>
        <v>0</v>
      </c>
      <c r="K8077" s="1" t="str">
        <f t="shared" si="13776"/>
        <v>0</v>
      </c>
      <c r="L8077" s="1" t="str">
        <f t="shared" si="13776"/>
        <v>0</v>
      </c>
      <c r="M8077" s="1" t="str">
        <f t="shared" si="13776"/>
        <v>0</v>
      </c>
      <c r="N8077" s="1" t="str">
        <f t="shared" si="13776"/>
        <v>0</v>
      </c>
      <c r="O8077" s="1" t="str">
        <f t="shared" si="13776"/>
        <v>0</v>
      </c>
      <c r="P8077" s="1" t="str">
        <f t="shared" si="13776"/>
        <v>0</v>
      </c>
      <c r="Q8077" s="1" t="str">
        <f t="shared" si="13765"/>
        <v>0.0070</v>
      </c>
      <c r="R8077" s="1" t="s">
        <v>25</v>
      </c>
      <c r="T8077" s="1" t="str">
        <f t="shared" si="13766"/>
        <v>0</v>
      </c>
      <c r="U8077" s="1" t="str">
        <f t="shared" si="13722"/>
        <v>0.0070</v>
      </c>
    </row>
    <row r="8078" s="1" customFormat="1" spans="1:21">
      <c r="A8078" s="1" t="str">
        <f>"4601992378337"</f>
        <v>4601992378337</v>
      </c>
      <c r="B8078" s="1" t="s">
        <v>8101</v>
      </c>
      <c r="C8078" s="1" t="s">
        <v>24</v>
      </c>
      <c r="D8078" s="1" t="str">
        <f t="shared" si="13763"/>
        <v>2021</v>
      </c>
      <c r="E8078" s="1" t="str">
        <f t="shared" ref="E8078:P8078" si="13777">"0"</f>
        <v>0</v>
      </c>
      <c r="F8078" s="1" t="str">
        <f t="shared" si="13777"/>
        <v>0</v>
      </c>
      <c r="G8078" s="1" t="str">
        <f t="shared" si="13777"/>
        <v>0</v>
      </c>
      <c r="H8078" s="1" t="str">
        <f t="shared" si="13777"/>
        <v>0</v>
      </c>
      <c r="I8078" s="1" t="str">
        <f t="shared" si="13777"/>
        <v>0</v>
      </c>
      <c r="J8078" s="1" t="str">
        <f t="shared" si="13777"/>
        <v>0</v>
      </c>
      <c r="K8078" s="1" t="str">
        <f t="shared" si="13777"/>
        <v>0</v>
      </c>
      <c r="L8078" s="1" t="str">
        <f t="shared" si="13777"/>
        <v>0</v>
      </c>
      <c r="M8078" s="1" t="str">
        <f t="shared" si="13777"/>
        <v>0</v>
      </c>
      <c r="N8078" s="1" t="str">
        <f t="shared" si="13777"/>
        <v>0</v>
      </c>
      <c r="O8078" s="1" t="str">
        <f t="shared" si="13777"/>
        <v>0</v>
      </c>
      <c r="P8078" s="1" t="str">
        <f t="shared" si="13777"/>
        <v>0</v>
      </c>
      <c r="Q8078" s="1" t="str">
        <f t="shared" si="13765"/>
        <v>0.0070</v>
      </c>
      <c r="R8078" s="1" t="s">
        <v>25</v>
      </c>
      <c r="T8078" s="1" t="str">
        <f t="shared" si="13766"/>
        <v>0</v>
      </c>
      <c r="U8078" s="1" t="str">
        <f t="shared" si="13722"/>
        <v>0.0070</v>
      </c>
    </row>
    <row r="8079" s="1" customFormat="1" spans="1:21">
      <c r="A8079" s="1" t="str">
        <f>"4601992378393"</f>
        <v>4601992378393</v>
      </c>
      <c r="B8079" s="1" t="s">
        <v>8102</v>
      </c>
      <c r="C8079" s="1" t="s">
        <v>24</v>
      </c>
      <c r="D8079" s="1" t="str">
        <f t="shared" si="13763"/>
        <v>2021</v>
      </c>
      <c r="E8079" s="1" t="str">
        <f t="shared" ref="E8079:P8079" si="13778">"0"</f>
        <v>0</v>
      </c>
      <c r="F8079" s="1" t="str">
        <f t="shared" si="13778"/>
        <v>0</v>
      </c>
      <c r="G8079" s="1" t="str">
        <f t="shared" si="13778"/>
        <v>0</v>
      </c>
      <c r="H8079" s="1" t="str">
        <f t="shared" si="13778"/>
        <v>0</v>
      </c>
      <c r="I8079" s="1" t="str">
        <f t="shared" si="13778"/>
        <v>0</v>
      </c>
      <c r="J8079" s="1" t="str">
        <f t="shared" si="13778"/>
        <v>0</v>
      </c>
      <c r="K8079" s="1" t="str">
        <f t="shared" si="13778"/>
        <v>0</v>
      </c>
      <c r="L8079" s="1" t="str">
        <f t="shared" si="13778"/>
        <v>0</v>
      </c>
      <c r="M8079" s="1" t="str">
        <f t="shared" si="13778"/>
        <v>0</v>
      </c>
      <c r="N8079" s="1" t="str">
        <f t="shared" si="13778"/>
        <v>0</v>
      </c>
      <c r="O8079" s="1" t="str">
        <f t="shared" si="13778"/>
        <v>0</v>
      </c>
      <c r="P8079" s="1" t="str">
        <f t="shared" si="13778"/>
        <v>0</v>
      </c>
      <c r="Q8079" s="1" t="str">
        <f t="shared" si="13765"/>
        <v>0.0070</v>
      </c>
      <c r="R8079" s="1" t="s">
        <v>25</v>
      </c>
      <c r="T8079" s="1" t="str">
        <f t="shared" si="13766"/>
        <v>0</v>
      </c>
      <c r="U8079" s="1" t="str">
        <f t="shared" si="13722"/>
        <v>0.0070</v>
      </c>
    </row>
    <row r="8080" s="1" customFormat="1" spans="1:21">
      <c r="A8080" s="1" t="str">
        <f>"4601992378526"</f>
        <v>4601992378526</v>
      </c>
      <c r="B8080" s="1" t="s">
        <v>8103</v>
      </c>
      <c r="C8080" s="1" t="s">
        <v>24</v>
      </c>
      <c r="D8080" s="1" t="str">
        <f t="shared" si="13763"/>
        <v>2021</v>
      </c>
      <c r="E8080" s="1" t="str">
        <f t="shared" ref="E8080:P8080" si="13779">"0"</f>
        <v>0</v>
      </c>
      <c r="F8080" s="1" t="str">
        <f t="shared" si="13779"/>
        <v>0</v>
      </c>
      <c r="G8080" s="1" t="str">
        <f t="shared" si="13779"/>
        <v>0</v>
      </c>
      <c r="H8080" s="1" t="str">
        <f t="shared" si="13779"/>
        <v>0</v>
      </c>
      <c r="I8080" s="1" t="str">
        <f t="shared" si="13779"/>
        <v>0</v>
      </c>
      <c r="J8080" s="1" t="str">
        <f t="shared" si="13779"/>
        <v>0</v>
      </c>
      <c r="K8080" s="1" t="str">
        <f t="shared" si="13779"/>
        <v>0</v>
      </c>
      <c r="L8080" s="1" t="str">
        <f t="shared" si="13779"/>
        <v>0</v>
      </c>
      <c r="M8080" s="1" t="str">
        <f t="shared" si="13779"/>
        <v>0</v>
      </c>
      <c r="N8080" s="1" t="str">
        <f t="shared" si="13779"/>
        <v>0</v>
      </c>
      <c r="O8080" s="1" t="str">
        <f t="shared" si="13779"/>
        <v>0</v>
      </c>
      <c r="P8080" s="1" t="str">
        <f t="shared" si="13779"/>
        <v>0</v>
      </c>
      <c r="Q8080" s="1" t="str">
        <f t="shared" si="13765"/>
        <v>0.0070</v>
      </c>
      <c r="R8080" s="1" t="s">
        <v>25</v>
      </c>
      <c r="T8080" s="1" t="str">
        <f t="shared" si="13766"/>
        <v>0</v>
      </c>
      <c r="U8080" s="1" t="str">
        <f t="shared" si="13722"/>
        <v>0.0070</v>
      </c>
    </row>
    <row r="8081" s="1" customFormat="1" spans="1:21">
      <c r="A8081" s="1" t="str">
        <f>"4601992378537"</f>
        <v>4601992378537</v>
      </c>
      <c r="B8081" s="1" t="s">
        <v>8104</v>
      </c>
      <c r="C8081" s="1" t="s">
        <v>24</v>
      </c>
      <c r="D8081" s="1" t="str">
        <f t="shared" si="13763"/>
        <v>2021</v>
      </c>
      <c r="E8081" s="1" t="str">
        <f t="shared" ref="E8081:P8081" si="13780">"0"</f>
        <v>0</v>
      </c>
      <c r="F8081" s="1" t="str">
        <f t="shared" si="13780"/>
        <v>0</v>
      </c>
      <c r="G8081" s="1" t="str">
        <f t="shared" si="13780"/>
        <v>0</v>
      </c>
      <c r="H8081" s="1" t="str">
        <f t="shared" si="13780"/>
        <v>0</v>
      </c>
      <c r="I8081" s="1" t="str">
        <f t="shared" si="13780"/>
        <v>0</v>
      </c>
      <c r="J8081" s="1" t="str">
        <f t="shared" si="13780"/>
        <v>0</v>
      </c>
      <c r="K8081" s="1" t="str">
        <f t="shared" si="13780"/>
        <v>0</v>
      </c>
      <c r="L8081" s="1" t="str">
        <f t="shared" si="13780"/>
        <v>0</v>
      </c>
      <c r="M8081" s="1" t="str">
        <f t="shared" si="13780"/>
        <v>0</v>
      </c>
      <c r="N8081" s="1" t="str">
        <f t="shared" si="13780"/>
        <v>0</v>
      </c>
      <c r="O8081" s="1" t="str">
        <f t="shared" si="13780"/>
        <v>0</v>
      </c>
      <c r="P8081" s="1" t="str">
        <f t="shared" si="13780"/>
        <v>0</v>
      </c>
      <c r="Q8081" s="1" t="str">
        <f t="shared" si="13765"/>
        <v>0.0070</v>
      </c>
      <c r="R8081" s="1" t="s">
        <v>25</v>
      </c>
      <c r="T8081" s="1" t="str">
        <f t="shared" si="13766"/>
        <v>0</v>
      </c>
      <c r="U8081" s="1" t="str">
        <f t="shared" si="13722"/>
        <v>0.0070</v>
      </c>
    </row>
    <row r="8082" s="1" customFormat="1" spans="1:21">
      <c r="A8082" s="1" t="str">
        <f>"4601992378793"</f>
        <v>4601992378793</v>
      </c>
      <c r="B8082" s="1" t="s">
        <v>8105</v>
      </c>
      <c r="C8082" s="1" t="s">
        <v>24</v>
      </c>
      <c r="D8082" s="1" t="str">
        <f t="shared" si="13763"/>
        <v>2021</v>
      </c>
      <c r="E8082" s="1" t="str">
        <f t="shared" ref="E8082:P8082" si="13781">"0"</f>
        <v>0</v>
      </c>
      <c r="F8082" s="1" t="str">
        <f t="shared" si="13781"/>
        <v>0</v>
      </c>
      <c r="G8082" s="1" t="str">
        <f t="shared" si="13781"/>
        <v>0</v>
      </c>
      <c r="H8082" s="1" t="str">
        <f t="shared" si="13781"/>
        <v>0</v>
      </c>
      <c r="I8082" s="1" t="str">
        <f t="shared" si="13781"/>
        <v>0</v>
      </c>
      <c r="J8082" s="1" t="str">
        <f t="shared" si="13781"/>
        <v>0</v>
      </c>
      <c r="K8082" s="1" t="str">
        <f t="shared" si="13781"/>
        <v>0</v>
      </c>
      <c r="L8082" s="1" t="str">
        <f t="shared" si="13781"/>
        <v>0</v>
      </c>
      <c r="M8082" s="1" t="str">
        <f t="shared" si="13781"/>
        <v>0</v>
      </c>
      <c r="N8082" s="1" t="str">
        <f t="shared" si="13781"/>
        <v>0</v>
      </c>
      <c r="O8082" s="1" t="str">
        <f t="shared" si="13781"/>
        <v>0</v>
      </c>
      <c r="P8082" s="1" t="str">
        <f t="shared" si="13781"/>
        <v>0</v>
      </c>
      <c r="Q8082" s="1" t="str">
        <f t="shared" si="13765"/>
        <v>0.0070</v>
      </c>
      <c r="R8082" s="1" t="s">
        <v>25</v>
      </c>
      <c r="T8082" s="1" t="str">
        <f t="shared" si="13766"/>
        <v>0</v>
      </c>
      <c r="U8082" s="1" t="str">
        <f t="shared" si="13722"/>
        <v>0.0070</v>
      </c>
    </row>
    <row r="8083" s="1" customFormat="1" spans="1:21">
      <c r="A8083" s="1" t="str">
        <f>"4601992378833"</f>
        <v>4601992378833</v>
      </c>
      <c r="B8083" s="1" t="s">
        <v>8106</v>
      </c>
      <c r="C8083" s="1" t="s">
        <v>24</v>
      </c>
      <c r="D8083" s="1" t="str">
        <f t="shared" si="13763"/>
        <v>2021</v>
      </c>
      <c r="E8083" s="1" t="str">
        <f t="shared" ref="E8083:P8083" si="13782">"0"</f>
        <v>0</v>
      </c>
      <c r="F8083" s="1" t="str">
        <f t="shared" si="13782"/>
        <v>0</v>
      </c>
      <c r="G8083" s="1" t="str">
        <f t="shared" si="13782"/>
        <v>0</v>
      </c>
      <c r="H8083" s="1" t="str">
        <f t="shared" si="13782"/>
        <v>0</v>
      </c>
      <c r="I8083" s="1" t="str">
        <f t="shared" si="13782"/>
        <v>0</v>
      </c>
      <c r="J8083" s="1" t="str">
        <f t="shared" si="13782"/>
        <v>0</v>
      </c>
      <c r="K8083" s="1" t="str">
        <f t="shared" si="13782"/>
        <v>0</v>
      </c>
      <c r="L8083" s="1" t="str">
        <f t="shared" si="13782"/>
        <v>0</v>
      </c>
      <c r="M8083" s="1" t="str">
        <f t="shared" si="13782"/>
        <v>0</v>
      </c>
      <c r="N8083" s="1" t="str">
        <f t="shared" si="13782"/>
        <v>0</v>
      </c>
      <c r="O8083" s="1" t="str">
        <f t="shared" si="13782"/>
        <v>0</v>
      </c>
      <c r="P8083" s="1" t="str">
        <f t="shared" si="13782"/>
        <v>0</v>
      </c>
      <c r="Q8083" s="1" t="str">
        <f t="shared" si="13765"/>
        <v>0.0070</v>
      </c>
      <c r="R8083" s="1" t="s">
        <v>25</v>
      </c>
      <c r="T8083" s="1" t="str">
        <f t="shared" si="13766"/>
        <v>0</v>
      </c>
      <c r="U8083" s="1" t="str">
        <f t="shared" si="13722"/>
        <v>0.0070</v>
      </c>
    </row>
    <row r="8084" s="1" customFormat="1" spans="1:21">
      <c r="A8084" s="1" t="str">
        <f>"4601992378815"</f>
        <v>4601992378815</v>
      </c>
      <c r="B8084" s="1" t="s">
        <v>8107</v>
      </c>
      <c r="C8084" s="1" t="s">
        <v>24</v>
      </c>
      <c r="D8084" s="1" t="str">
        <f t="shared" si="13763"/>
        <v>2021</v>
      </c>
      <c r="E8084" s="1" t="str">
        <f t="shared" ref="E8084:P8084" si="13783">"0"</f>
        <v>0</v>
      </c>
      <c r="F8084" s="1" t="str">
        <f t="shared" si="13783"/>
        <v>0</v>
      </c>
      <c r="G8084" s="1" t="str">
        <f t="shared" si="13783"/>
        <v>0</v>
      </c>
      <c r="H8084" s="1" t="str">
        <f t="shared" si="13783"/>
        <v>0</v>
      </c>
      <c r="I8084" s="1" t="str">
        <f t="shared" si="13783"/>
        <v>0</v>
      </c>
      <c r="J8084" s="1" t="str">
        <f t="shared" si="13783"/>
        <v>0</v>
      </c>
      <c r="K8084" s="1" t="str">
        <f t="shared" si="13783"/>
        <v>0</v>
      </c>
      <c r="L8084" s="1" t="str">
        <f t="shared" si="13783"/>
        <v>0</v>
      </c>
      <c r="M8084" s="1" t="str">
        <f t="shared" si="13783"/>
        <v>0</v>
      </c>
      <c r="N8084" s="1" t="str">
        <f t="shared" si="13783"/>
        <v>0</v>
      </c>
      <c r="O8084" s="1" t="str">
        <f t="shared" si="13783"/>
        <v>0</v>
      </c>
      <c r="P8084" s="1" t="str">
        <f t="shared" si="13783"/>
        <v>0</v>
      </c>
      <c r="Q8084" s="1" t="str">
        <f t="shared" si="13765"/>
        <v>0.0070</v>
      </c>
      <c r="R8084" s="1" t="s">
        <v>25</v>
      </c>
      <c r="T8084" s="1" t="str">
        <f t="shared" si="13766"/>
        <v>0</v>
      </c>
      <c r="U8084" s="1" t="str">
        <f t="shared" si="13722"/>
        <v>0.0070</v>
      </c>
    </row>
    <row r="8085" s="1" customFormat="1" spans="1:21">
      <c r="A8085" s="1" t="str">
        <f>"4601992378920"</f>
        <v>4601992378920</v>
      </c>
      <c r="B8085" s="1" t="s">
        <v>8108</v>
      </c>
      <c r="C8085" s="1" t="s">
        <v>24</v>
      </c>
      <c r="D8085" s="1" t="str">
        <f t="shared" si="13763"/>
        <v>2021</v>
      </c>
      <c r="E8085" s="1" t="str">
        <f t="shared" ref="E8085:P8085" si="13784">"0"</f>
        <v>0</v>
      </c>
      <c r="F8085" s="1" t="str">
        <f t="shared" si="13784"/>
        <v>0</v>
      </c>
      <c r="G8085" s="1" t="str">
        <f t="shared" si="13784"/>
        <v>0</v>
      </c>
      <c r="H8085" s="1" t="str">
        <f t="shared" si="13784"/>
        <v>0</v>
      </c>
      <c r="I8085" s="1" t="str">
        <f t="shared" si="13784"/>
        <v>0</v>
      </c>
      <c r="J8085" s="1" t="str">
        <f t="shared" si="13784"/>
        <v>0</v>
      </c>
      <c r="K8085" s="1" t="str">
        <f t="shared" si="13784"/>
        <v>0</v>
      </c>
      <c r="L8085" s="1" t="str">
        <f t="shared" si="13784"/>
        <v>0</v>
      </c>
      <c r="M8085" s="1" t="str">
        <f t="shared" si="13784"/>
        <v>0</v>
      </c>
      <c r="N8085" s="1" t="str">
        <f t="shared" si="13784"/>
        <v>0</v>
      </c>
      <c r="O8085" s="1" t="str">
        <f t="shared" si="13784"/>
        <v>0</v>
      </c>
      <c r="P8085" s="1" t="str">
        <f t="shared" si="13784"/>
        <v>0</v>
      </c>
      <c r="Q8085" s="1" t="str">
        <f t="shared" si="13765"/>
        <v>0.0070</v>
      </c>
      <c r="R8085" s="1" t="s">
        <v>25</v>
      </c>
      <c r="T8085" s="1" t="str">
        <f t="shared" si="13766"/>
        <v>0</v>
      </c>
      <c r="U8085" s="1" t="str">
        <f t="shared" si="13722"/>
        <v>0.0070</v>
      </c>
    </row>
    <row r="8086" s="1" customFormat="1" spans="1:21">
      <c r="A8086" s="1" t="str">
        <f>"4601992379071"</f>
        <v>4601992379071</v>
      </c>
      <c r="B8086" s="1" t="s">
        <v>8109</v>
      </c>
      <c r="C8086" s="1" t="s">
        <v>24</v>
      </c>
      <c r="D8086" s="1" t="str">
        <f t="shared" si="13763"/>
        <v>2021</v>
      </c>
      <c r="E8086" s="1" t="str">
        <f t="shared" ref="E8086:P8086" si="13785">"0"</f>
        <v>0</v>
      </c>
      <c r="F8086" s="1" t="str">
        <f t="shared" si="13785"/>
        <v>0</v>
      </c>
      <c r="G8086" s="1" t="str">
        <f t="shared" si="13785"/>
        <v>0</v>
      </c>
      <c r="H8086" s="1" t="str">
        <f t="shared" si="13785"/>
        <v>0</v>
      </c>
      <c r="I8086" s="1" t="str">
        <f t="shared" si="13785"/>
        <v>0</v>
      </c>
      <c r="J8086" s="1" t="str">
        <f t="shared" si="13785"/>
        <v>0</v>
      </c>
      <c r="K8086" s="1" t="str">
        <f t="shared" si="13785"/>
        <v>0</v>
      </c>
      <c r="L8086" s="1" t="str">
        <f t="shared" si="13785"/>
        <v>0</v>
      </c>
      <c r="M8086" s="1" t="str">
        <f t="shared" si="13785"/>
        <v>0</v>
      </c>
      <c r="N8086" s="1" t="str">
        <f t="shared" si="13785"/>
        <v>0</v>
      </c>
      <c r="O8086" s="1" t="str">
        <f t="shared" si="13785"/>
        <v>0</v>
      </c>
      <c r="P8086" s="1" t="str">
        <f t="shared" si="13785"/>
        <v>0</v>
      </c>
      <c r="Q8086" s="1" t="str">
        <f t="shared" si="13765"/>
        <v>0.0070</v>
      </c>
      <c r="R8086" s="1" t="s">
        <v>25</v>
      </c>
      <c r="T8086" s="1" t="str">
        <f t="shared" si="13766"/>
        <v>0</v>
      </c>
      <c r="U8086" s="1" t="str">
        <f t="shared" si="13722"/>
        <v>0.0070</v>
      </c>
    </row>
    <row r="8087" s="1" customFormat="1" spans="1:21">
      <c r="A8087" s="1" t="str">
        <f>"4601992379212"</f>
        <v>4601992379212</v>
      </c>
      <c r="B8087" s="1" t="s">
        <v>8110</v>
      </c>
      <c r="C8087" s="1" t="s">
        <v>24</v>
      </c>
      <c r="D8087" s="1" t="str">
        <f t="shared" si="13763"/>
        <v>2021</v>
      </c>
      <c r="E8087" s="1" t="str">
        <f t="shared" ref="E8087:P8087" si="13786">"0"</f>
        <v>0</v>
      </c>
      <c r="F8087" s="1" t="str">
        <f t="shared" si="13786"/>
        <v>0</v>
      </c>
      <c r="G8087" s="1" t="str">
        <f t="shared" si="13786"/>
        <v>0</v>
      </c>
      <c r="H8087" s="1" t="str">
        <f t="shared" si="13786"/>
        <v>0</v>
      </c>
      <c r="I8087" s="1" t="str">
        <f t="shared" si="13786"/>
        <v>0</v>
      </c>
      <c r="J8087" s="1" t="str">
        <f t="shared" si="13786"/>
        <v>0</v>
      </c>
      <c r="K8087" s="1" t="str">
        <f t="shared" si="13786"/>
        <v>0</v>
      </c>
      <c r="L8087" s="1" t="str">
        <f t="shared" si="13786"/>
        <v>0</v>
      </c>
      <c r="M8087" s="1" t="str">
        <f t="shared" si="13786"/>
        <v>0</v>
      </c>
      <c r="N8087" s="1" t="str">
        <f t="shared" si="13786"/>
        <v>0</v>
      </c>
      <c r="O8087" s="1" t="str">
        <f t="shared" si="13786"/>
        <v>0</v>
      </c>
      <c r="P8087" s="1" t="str">
        <f t="shared" si="13786"/>
        <v>0</v>
      </c>
      <c r="Q8087" s="1" t="str">
        <f t="shared" si="13765"/>
        <v>0.0070</v>
      </c>
      <c r="R8087" s="1" t="s">
        <v>25</v>
      </c>
      <c r="T8087" s="1" t="str">
        <f t="shared" si="13766"/>
        <v>0</v>
      </c>
      <c r="U8087" s="1" t="str">
        <f t="shared" si="13722"/>
        <v>0.0070</v>
      </c>
    </row>
    <row r="8088" s="1" customFormat="1" spans="1:21">
      <c r="A8088" s="1" t="str">
        <f>"4601992379295"</f>
        <v>4601992379295</v>
      </c>
      <c r="B8088" s="1" t="s">
        <v>8111</v>
      </c>
      <c r="C8088" s="1" t="s">
        <v>24</v>
      </c>
      <c r="D8088" s="1" t="str">
        <f t="shared" si="13763"/>
        <v>2021</v>
      </c>
      <c r="E8088" s="1" t="str">
        <f t="shared" ref="E8088:P8088" si="13787">"0"</f>
        <v>0</v>
      </c>
      <c r="F8088" s="1" t="str">
        <f t="shared" si="13787"/>
        <v>0</v>
      </c>
      <c r="G8088" s="1" t="str">
        <f t="shared" si="13787"/>
        <v>0</v>
      </c>
      <c r="H8088" s="1" t="str">
        <f t="shared" si="13787"/>
        <v>0</v>
      </c>
      <c r="I8088" s="1" t="str">
        <f t="shared" si="13787"/>
        <v>0</v>
      </c>
      <c r="J8088" s="1" t="str">
        <f t="shared" si="13787"/>
        <v>0</v>
      </c>
      <c r="K8088" s="1" t="str">
        <f t="shared" si="13787"/>
        <v>0</v>
      </c>
      <c r="L8088" s="1" t="str">
        <f t="shared" si="13787"/>
        <v>0</v>
      </c>
      <c r="M8088" s="1" t="str">
        <f t="shared" si="13787"/>
        <v>0</v>
      </c>
      <c r="N8088" s="1" t="str">
        <f t="shared" si="13787"/>
        <v>0</v>
      </c>
      <c r="O8088" s="1" t="str">
        <f t="shared" si="13787"/>
        <v>0</v>
      </c>
      <c r="P8088" s="1" t="str">
        <f t="shared" si="13787"/>
        <v>0</v>
      </c>
      <c r="Q8088" s="1" t="str">
        <f t="shared" si="13765"/>
        <v>0.0070</v>
      </c>
      <c r="R8088" s="1" t="s">
        <v>25</v>
      </c>
      <c r="T8088" s="1" t="str">
        <f t="shared" si="13766"/>
        <v>0</v>
      </c>
      <c r="U8088" s="1" t="str">
        <f t="shared" si="13722"/>
        <v>0.0070</v>
      </c>
    </row>
    <row r="8089" s="1" customFormat="1" spans="1:21">
      <c r="A8089" s="1" t="str">
        <f>"4601992379288"</f>
        <v>4601992379288</v>
      </c>
      <c r="B8089" s="1" t="s">
        <v>8112</v>
      </c>
      <c r="C8089" s="1" t="s">
        <v>24</v>
      </c>
      <c r="D8089" s="1" t="str">
        <f t="shared" si="13763"/>
        <v>2021</v>
      </c>
      <c r="E8089" s="1" t="str">
        <f t="shared" ref="E8089:P8089" si="13788">"0"</f>
        <v>0</v>
      </c>
      <c r="F8089" s="1" t="str">
        <f t="shared" si="13788"/>
        <v>0</v>
      </c>
      <c r="G8089" s="1" t="str">
        <f t="shared" si="13788"/>
        <v>0</v>
      </c>
      <c r="H8089" s="1" t="str">
        <f t="shared" si="13788"/>
        <v>0</v>
      </c>
      <c r="I8089" s="1" t="str">
        <f t="shared" si="13788"/>
        <v>0</v>
      </c>
      <c r="J8089" s="1" t="str">
        <f t="shared" si="13788"/>
        <v>0</v>
      </c>
      <c r="K8089" s="1" t="str">
        <f t="shared" si="13788"/>
        <v>0</v>
      </c>
      <c r="L8089" s="1" t="str">
        <f t="shared" si="13788"/>
        <v>0</v>
      </c>
      <c r="M8089" s="1" t="str">
        <f t="shared" si="13788"/>
        <v>0</v>
      </c>
      <c r="N8089" s="1" t="str">
        <f t="shared" si="13788"/>
        <v>0</v>
      </c>
      <c r="O8089" s="1" t="str">
        <f t="shared" si="13788"/>
        <v>0</v>
      </c>
      <c r="P8089" s="1" t="str">
        <f t="shared" si="13788"/>
        <v>0</v>
      </c>
      <c r="Q8089" s="1" t="str">
        <f t="shared" si="13765"/>
        <v>0.0070</v>
      </c>
      <c r="R8089" s="1" t="s">
        <v>25</v>
      </c>
      <c r="T8089" s="1" t="str">
        <f t="shared" si="13766"/>
        <v>0</v>
      </c>
      <c r="U8089" s="1" t="str">
        <f t="shared" si="13722"/>
        <v>0.0070</v>
      </c>
    </row>
    <row r="8090" s="1" customFormat="1" spans="1:21">
      <c r="A8090" s="1" t="str">
        <f>"4601992379330"</f>
        <v>4601992379330</v>
      </c>
      <c r="B8090" s="1" t="s">
        <v>8113</v>
      </c>
      <c r="C8090" s="1" t="s">
        <v>24</v>
      </c>
      <c r="D8090" s="1" t="str">
        <f t="shared" si="13763"/>
        <v>2021</v>
      </c>
      <c r="E8090" s="1" t="str">
        <f t="shared" ref="E8090:P8090" si="13789">"0"</f>
        <v>0</v>
      </c>
      <c r="F8090" s="1" t="str">
        <f t="shared" si="13789"/>
        <v>0</v>
      </c>
      <c r="G8090" s="1" t="str">
        <f t="shared" si="13789"/>
        <v>0</v>
      </c>
      <c r="H8090" s="1" t="str">
        <f t="shared" si="13789"/>
        <v>0</v>
      </c>
      <c r="I8090" s="1" t="str">
        <f t="shared" si="13789"/>
        <v>0</v>
      </c>
      <c r="J8090" s="1" t="str">
        <f t="shared" si="13789"/>
        <v>0</v>
      </c>
      <c r="K8090" s="1" t="str">
        <f t="shared" si="13789"/>
        <v>0</v>
      </c>
      <c r="L8090" s="1" t="str">
        <f t="shared" si="13789"/>
        <v>0</v>
      </c>
      <c r="M8090" s="1" t="str">
        <f t="shared" si="13789"/>
        <v>0</v>
      </c>
      <c r="N8090" s="1" t="str">
        <f t="shared" si="13789"/>
        <v>0</v>
      </c>
      <c r="O8090" s="1" t="str">
        <f t="shared" si="13789"/>
        <v>0</v>
      </c>
      <c r="P8090" s="1" t="str">
        <f t="shared" si="13789"/>
        <v>0</v>
      </c>
      <c r="Q8090" s="1" t="str">
        <f t="shared" si="13765"/>
        <v>0.0070</v>
      </c>
      <c r="R8090" s="1" t="s">
        <v>25</v>
      </c>
      <c r="T8090" s="1" t="str">
        <f t="shared" si="13766"/>
        <v>0</v>
      </c>
      <c r="U8090" s="1" t="str">
        <f t="shared" si="13722"/>
        <v>0.0070</v>
      </c>
    </row>
    <row r="8091" s="1" customFormat="1" spans="1:21">
      <c r="A8091" s="1" t="str">
        <f>"4601992379331"</f>
        <v>4601992379331</v>
      </c>
      <c r="B8091" s="1" t="s">
        <v>8114</v>
      </c>
      <c r="C8091" s="1" t="s">
        <v>24</v>
      </c>
      <c r="D8091" s="1" t="str">
        <f t="shared" si="13763"/>
        <v>2021</v>
      </c>
      <c r="E8091" s="1" t="str">
        <f t="shared" ref="E8091:P8091" si="13790">"0"</f>
        <v>0</v>
      </c>
      <c r="F8091" s="1" t="str">
        <f t="shared" si="13790"/>
        <v>0</v>
      </c>
      <c r="G8091" s="1" t="str">
        <f t="shared" si="13790"/>
        <v>0</v>
      </c>
      <c r="H8091" s="1" t="str">
        <f t="shared" si="13790"/>
        <v>0</v>
      </c>
      <c r="I8091" s="1" t="str">
        <f t="shared" si="13790"/>
        <v>0</v>
      </c>
      <c r="J8091" s="1" t="str">
        <f t="shared" si="13790"/>
        <v>0</v>
      </c>
      <c r="K8091" s="1" t="str">
        <f t="shared" si="13790"/>
        <v>0</v>
      </c>
      <c r="L8091" s="1" t="str">
        <f t="shared" si="13790"/>
        <v>0</v>
      </c>
      <c r="M8091" s="1" t="str">
        <f t="shared" si="13790"/>
        <v>0</v>
      </c>
      <c r="N8091" s="1" t="str">
        <f t="shared" si="13790"/>
        <v>0</v>
      </c>
      <c r="O8091" s="1" t="str">
        <f t="shared" si="13790"/>
        <v>0</v>
      </c>
      <c r="P8091" s="1" t="str">
        <f t="shared" si="13790"/>
        <v>0</v>
      </c>
      <c r="Q8091" s="1" t="str">
        <f t="shared" si="13765"/>
        <v>0.0070</v>
      </c>
      <c r="R8091" s="1" t="s">
        <v>25</v>
      </c>
      <c r="T8091" s="1" t="str">
        <f t="shared" si="13766"/>
        <v>0</v>
      </c>
      <c r="U8091" s="1" t="str">
        <f t="shared" si="13722"/>
        <v>0.0070</v>
      </c>
    </row>
    <row r="8092" s="1" customFormat="1" spans="1:21">
      <c r="A8092" s="1" t="str">
        <f>"4601992379332"</f>
        <v>4601992379332</v>
      </c>
      <c r="B8092" s="1" t="s">
        <v>8115</v>
      </c>
      <c r="C8092" s="1" t="s">
        <v>24</v>
      </c>
      <c r="D8092" s="1" t="str">
        <f t="shared" si="13763"/>
        <v>2021</v>
      </c>
      <c r="E8092" s="1" t="str">
        <f t="shared" ref="E8092:P8092" si="13791">"0"</f>
        <v>0</v>
      </c>
      <c r="F8092" s="1" t="str">
        <f t="shared" si="13791"/>
        <v>0</v>
      </c>
      <c r="G8092" s="1" t="str">
        <f t="shared" si="13791"/>
        <v>0</v>
      </c>
      <c r="H8092" s="1" t="str">
        <f t="shared" si="13791"/>
        <v>0</v>
      </c>
      <c r="I8092" s="1" t="str">
        <f t="shared" si="13791"/>
        <v>0</v>
      </c>
      <c r="J8092" s="1" t="str">
        <f t="shared" si="13791"/>
        <v>0</v>
      </c>
      <c r="K8092" s="1" t="str">
        <f t="shared" si="13791"/>
        <v>0</v>
      </c>
      <c r="L8092" s="1" t="str">
        <f t="shared" si="13791"/>
        <v>0</v>
      </c>
      <c r="M8092" s="1" t="str">
        <f t="shared" si="13791"/>
        <v>0</v>
      </c>
      <c r="N8092" s="1" t="str">
        <f t="shared" si="13791"/>
        <v>0</v>
      </c>
      <c r="O8092" s="1" t="str">
        <f t="shared" si="13791"/>
        <v>0</v>
      </c>
      <c r="P8092" s="1" t="str">
        <f t="shared" si="13791"/>
        <v>0</v>
      </c>
      <c r="Q8092" s="1" t="str">
        <f t="shared" si="13765"/>
        <v>0.0070</v>
      </c>
      <c r="R8092" s="1" t="s">
        <v>25</v>
      </c>
      <c r="T8092" s="1" t="str">
        <f t="shared" si="13766"/>
        <v>0</v>
      </c>
      <c r="U8092" s="1" t="str">
        <f t="shared" si="13722"/>
        <v>0.0070</v>
      </c>
    </row>
    <row r="8093" s="1" customFormat="1" spans="1:21">
      <c r="A8093" s="1" t="str">
        <f>"4601992379434"</f>
        <v>4601992379434</v>
      </c>
      <c r="B8093" s="1" t="s">
        <v>8116</v>
      </c>
      <c r="C8093" s="1" t="s">
        <v>24</v>
      </c>
      <c r="D8093" s="1" t="str">
        <f t="shared" si="13763"/>
        <v>2021</v>
      </c>
      <c r="E8093" s="1" t="str">
        <f t="shared" ref="E8093:P8093" si="13792">"0"</f>
        <v>0</v>
      </c>
      <c r="F8093" s="1" t="str">
        <f t="shared" si="13792"/>
        <v>0</v>
      </c>
      <c r="G8093" s="1" t="str">
        <f t="shared" si="13792"/>
        <v>0</v>
      </c>
      <c r="H8093" s="1" t="str">
        <f t="shared" si="13792"/>
        <v>0</v>
      </c>
      <c r="I8093" s="1" t="str">
        <f t="shared" si="13792"/>
        <v>0</v>
      </c>
      <c r="J8093" s="1" t="str">
        <f t="shared" si="13792"/>
        <v>0</v>
      </c>
      <c r="K8093" s="1" t="str">
        <f t="shared" si="13792"/>
        <v>0</v>
      </c>
      <c r="L8093" s="1" t="str">
        <f t="shared" si="13792"/>
        <v>0</v>
      </c>
      <c r="M8093" s="1" t="str">
        <f t="shared" si="13792"/>
        <v>0</v>
      </c>
      <c r="N8093" s="1" t="str">
        <f t="shared" si="13792"/>
        <v>0</v>
      </c>
      <c r="O8093" s="1" t="str">
        <f t="shared" si="13792"/>
        <v>0</v>
      </c>
      <c r="P8093" s="1" t="str">
        <f t="shared" si="13792"/>
        <v>0</v>
      </c>
      <c r="Q8093" s="1" t="str">
        <f t="shared" si="13765"/>
        <v>0.0070</v>
      </c>
      <c r="R8093" s="1" t="s">
        <v>25</v>
      </c>
      <c r="T8093" s="1" t="str">
        <f t="shared" si="13766"/>
        <v>0</v>
      </c>
      <c r="U8093" s="1" t="str">
        <f t="shared" ref="U8093:U8122" si="13793">"0.0070"</f>
        <v>0.0070</v>
      </c>
    </row>
    <row r="8094" s="1" customFormat="1" spans="1:21">
      <c r="A8094" s="1" t="str">
        <f>"4601992379468"</f>
        <v>4601992379468</v>
      </c>
      <c r="B8094" s="1" t="s">
        <v>8117</v>
      </c>
      <c r="C8094" s="1" t="s">
        <v>24</v>
      </c>
      <c r="D8094" s="1" t="str">
        <f t="shared" si="13763"/>
        <v>2021</v>
      </c>
      <c r="E8094" s="1" t="str">
        <f t="shared" ref="E8094:P8094" si="13794">"0"</f>
        <v>0</v>
      </c>
      <c r="F8094" s="1" t="str">
        <f t="shared" si="13794"/>
        <v>0</v>
      </c>
      <c r="G8094" s="1" t="str">
        <f t="shared" si="13794"/>
        <v>0</v>
      </c>
      <c r="H8094" s="1" t="str">
        <f t="shared" si="13794"/>
        <v>0</v>
      </c>
      <c r="I8094" s="1" t="str">
        <f t="shared" si="13794"/>
        <v>0</v>
      </c>
      <c r="J8094" s="1" t="str">
        <f t="shared" si="13794"/>
        <v>0</v>
      </c>
      <c r="K8094" s="1" t="str">
        <f t="shared" si="13794"/>
        <v>0</v>
      </c>
      <c r="L8094" s="1" t="str">
        <f t="shared" si="13794"/>
        <v>0</v>
      </c>
      <c r="M8094" s="1" t="str">
        <f t="shared" si="13794"/>
        <v>0</v>
      </c>
      <c r="N8094" s="1" t="str">
        <f t="shared" si="13794"/>
        <v>0</v>
      </c>
      <c r="O8094" s="1" t="str">
        <f t="shared" si="13794"/>
        <v>0</v>
      </c>
      <c r="P8094" s="1" t="str">
        <f t="shared" si="13794"/>
        <v>0</v>
      </c>
      <c r="Q8094" s="1" t="str">
        <f t="shared" si="13765"/>
        <v>0.0070</v>
      </c>
      <c r="R8094" s="1" t="s">
        <v>25</v>
      </c>
      <c r="T8094" s="1" t="str">
        <f t="shared" si="13766"/>
        <v>0</v>
      </c>
      <c r="U8094" s="1" t="str">
        <f t="shared" si="13793"/>
        <v>0.0070</v>
      </c>
    </row>
    <row r="8095" s="1" customFormat="1" spans="1:21">
      <c r="A8095" s="1" t="str">
        <f>"4601992379914"</f>
        <v>4601992379914</v>
      </c>
      <c r="B8095" s="1" t="s">
        <v>8118</v>
      </c>
      <c r="C8095" s="1" t="s">
        <v>24</v>
      </c>
      <c r="D8095" s="1" t="str">
        <f t="shared" si="13763"/>
        <v>2021</v>
      </c>
      <c r="E8095" s="1" t="str">
        <f t="shared" ref="E8095:P8095" si="13795">"0"</f>
        <v>0</v>
      </c>
      <c r="F8095" s="1" t="str">
        <f t="shared" si="13795"/>
        <v>0</v>
      </c>
      <c r="G8095" s="1" t="str">
        <f t="shared" si="13795"/>
        <v>0</v>
      </c>
      <c r="H8095" s="1" t="str">
        <f t="shared" si="13795"/>
        <v>0</v>
      </c>
      <c r="I8095" s="1" t="str">
        <f t="shared" si="13795"/>
        <v>0</v>
      </c>
      <c r="J8095" s="1" t="str">
        <f t="shared" si="13795"/>
        <v>0</v>
      </c>
      <c r="K8095" s="1" t="str">
        <f t="shared" si="13795"/>
        <v>0</v>
      </c>
      <c r="L8095" s="1" t="str">
        <f t="shared" si="13795"/>
        <v>0</v>
      </c>
      <c r="M8095" s="1" t="str">
        <f t="shared" si="13795"/>
        <v>0</v>
      </c>
      <c r="N8095" s="1" t="str">
        <f t="shared" si="13795"/>
        <v>0</v>
      </c>
      <c r="O8095" s="1" t="str">
        <f t="shared" si="13795"/>
        <v>0</v>
      </c>
      <c r="P8095" s="1" t="str">
        <f t="shared" si="13795"/>
        <v>0</v>
      </c>
      <c r="Q8095" s="1" t="str">
        <f t="shared" si="13765"/>
        <v>0.0070</v>
      </c>
      <c r="R8095" s="1" t="s">
        <v>25</v>
      </c>
      <c r="T8095" s="1" t="str">
        <f t="shared" si="13766"/>
        <v>0</v>
      </c>
      <c r="U8095" s="1" t="str">
        <f t="shared" si="13793"/>
        <v>0.0070</v>
      </c>
    </row>
    <row r="8096" s="1" customFormat="1" spans="1:21">
      <c r="A8096" s="1" t="str">
        <f>"4601992380104"</f>
        <v>4601992380104</v>
      </c>
      <c r="B8096" s="1" t="s">
        <v>8119</v>
      </c>
      <c r="C8096" s="1" t="s">
        <v>24</v>
      </c>
      <c r="D8096" s="1" t="str">
        <f t="shared" si="13763"/>
        <v>2021</v>
      </c>
      <c r="E8096" s="1" t="str">
        <f t="shared" ref="E8096:P8096" si="13796">"0"</f>
        <v>0</v>
      </c>
      <c r="F8096" s="1" t="str">
        <f t="shared" si="13796"/>
        <v>0</v>
      </c>
      <c r="G8096" s="1" t="str">
        <f t="shared" si="13796"/>
        <v>0</v>
      </c>
      <c r="H8096" s="1" t="str">
        <f t="shared" si="13796"/>
        <v>0</v>
      </c>
      <c r="I8096" s="1" t="str">
        <f t="shared" si="13796"/>
        <v>0</v>
      </c>
      <c r="J8096" s="1" t="str">
        <f t="shared" si="13796"/>
        <v>0</v>
      </c>
      <c r="K8096" s="1" t="str">
        <f t="shared" si="13796"/>
        <v>0</v>
      </c>
      <c r="L8096" s="1" t="str">
        <f t="shared" si="13796"/>
        <v>0</v>
      </c>
      <c r="M8096" s="1" t="str">
        <f t="shared" si="13796"/>
        <v>0</v>
      </c>
      <c r="N8096" s="1" t="str">
        <f t="shared" si="13796"/>
        <v>0</v>
      </c>
      <c r="O8096" s="1" t="str">
        <f t="shared" si="13796"/>
        <v>0</v>
      </c>
      <c r="P8096" s="1" t="str">
        <f t="shared" si="13796"/>
        <v>0</v>
      </c>
      <c r="Q8096" s="1" t="str">
        <f t="shared" si="13765"/>
        <v>0.0070</v>
      </c>
      <c r="R8096" s="1" t="s">
        <v>25</v>
      </c>
      <c r="T8096" s="1" t="str">
        <f t="shared" si="13766"/>
        <v>0</v>
      </c>
      <c r="U8096" s="1" t="str">
        <f t="shared" si="13793"/>
        <v>0.0070</v>
      </c>
    </row>
    <row r="8097" s="1" customFormat="1" spans="1:21">
      <c r="A8097" s="1" t="str">
        <f>"4601992380034"</f>
        <v>4601992380034</v>
      </c>
      <c r="B8097" s="1" t="s">
        <v>8120</v>
      </c>
      <c r="C8097" s="1" t="s">
        <v>24</v>
      </c>
      <c r="D8097" s="1" t="str">
        <f t="shared" si="13763"/>
        <v>2021</v>
      </c>
      <c r="E8097" s="1" t="str">
        <f t="shared" ref="E8097:P8097" si="13797">"0"</f>
        <v>0</v>
      </c>
      <c r="F8097" s="1" t="str">
        <f t="shared" si="13797"/>
        <v>0</v>
      </c>
      <c r="G8097" s="1" t="str">
        <f t="shared" si="13797"/>
        <v>0</v>
      </c>
      <c r="H8097" s="1" t="str">
        <f t="shared" si="13797"/>
        <v>0</v>
      </c>
      <c r="I8097" s="1" t="str">
        <f t="shared" si="13797"/>
        <v>0</v>
      </c>
      <c r="J8097" s="1" t="str">
        <f t="shared" si="13797"/>
        <v>0</v>
      </c>
      <c r="K8097" s="1" t="str">
        <f t="shared" si="13797"/>
        <v>0</v>
      </c>
      <c r="L8097" s="1" t="str">
        <f t="shared" si="13797"/>
        <v>0</v>
      </c>
      <c r="M8097" s="1" t="str">
        <f t="shared" si="13797"/>
        <v>0</v>
      </c>
      <c r="N8097" s="1" t="str">
        <f t="shared" si="13797"/>
        <v>0</v>
      </c>
      <c r="O8097" s="1" t="str">
        <f t="shared" si="13797"/>
        <v>0</v>
      </c>
      <c r="P8097" s="1" t="str">
        <f t="shared" si="13797"/>
        <v>0</v>
      </c>
      <c r="Q8097" s="1" t="str">
        <f t="shared" si="13765"/>
        <v>0.0070</v>
      </c>
      <c r="R8097" s="1" t="s">
        <v>25</v>
      </c>
      <c r="T8097" s="1" t="str">
        <f t="shared" si="13766"/>
        <v>0</v>
      </c>
      <c r="U8097" s="1" t="str">
        <f t="shared" si="13793"/>
        <v>0.0070</v>
      </c>
    </row>
    <row r="8098" s="1" customFormat="1" spans="1:21">
      <c r="A8098" s="1" t="str">
        <f>"4601992380284"</f>
        <v>4601992380284</v>
      </c>
      <c r="B8098" s="1" t="s">
        <v>8121</v>
      </c>
      <c r="C8098" s="1" t="s">
        <v>24</v>
      </c>
      <c r="D8098" s="1" t="str">
        <f t="shared" si="13763"/>
        <v>2021</v>
      </c>
      <c r="E8098" s="1" t="str">
        <f t="shared" ref="E8098:P8098" si="13798">"0"</f>
        <v>0</v>
      </c>
      <c r="F8098" s="1" t="str">
        <f t="shared" si="13798"/>
        <v>0</v>
      </c>
      <c r="G8098" s="1" t="str">
        <f t="shared" si="13798"/>
        <v>0</v>
      </c>
      <c r="H8098" s="1" t="str">
        <f t="shared" si="13798"/>
        <v>0</v>
      </c>
      <c r="I8098" s="1" t="str">
        <f t="shared" si="13798"/>
        <v>0</v>
      </c>
      <c r="J8098" s="1" t="str">
        <f t="shared" si="13798"/>
        <v>0</v>
      </c>
      <c r="K8098" s="1" t="str">
        <f t="shared" si="13798"/>
        <v>0</v>
      </c>
      <c r="L8098" s="1" t="str">
        <f t="shared" si="13798"/>
        <v>0</v>
      </c>
      <c r="M8098" s="1" t="str">
        <f t="shared" si="13798"/>
        <v>0</v>
      </c>
      <c r="N8098" s="1" t="str">
        <f t="shared" si="13798"/>
        <v>0</v>
      </c>
      <c r="O8098" s="1" t="str">
        <f t="shared" si="13798"/>
        <v>0</v>
      </c>
      <c r="P8098" s="1" t="str">
        <f t="shared" si="13798"/>
        <v>0</v>
      </c>
      <c r="Q8098" s="1" t="str">
        <f t="shared" si="13765"/>
        <v>0.0070</v>
      </c>
      <c r="R8098" s="1" t="s">
        <v>25</v>
      </c>
      <c r="T8098" s="1" t="str">
        <f t="shared" si="13766"/>
        <v>0</v>
      </c>
      <c r="U8098" s="1" t="str">
        <f t="shared" si="13793"/>
        <v>0.0070</v>
      </c>
    </row>
    <row r="8099" s="1" customFormat="1" spans="1:21">
      <c r="A8099" s="1" t="str">
        <f>"4601992380305"</f>
        <v>4601992380305</v>
      </c>
      <c r="B8099" s="1" t="s">
        <v>8122</v>
      </c>
      <c r="C8099" s="1" t="s">
        <v>24</v>
      </c>
      <c r="D8099" s="1" t="str">
        <f t="shared" si="13763"/>
        <v>2021</v>
      </c>
      <c r="E8099" s="1" t="str">
        <f t="shared" ref="E8099:P8099" si="13799">"0"</f>
        <v>0</v>
      </c>
      <c r="F8099" s="1" t="str">
        <f t="shared" si="13799"/>
        <v>0</v>
      </c>
      <c r="G8099" s="1" t="str">
        <f t="shared" si="13799"/>
        <v>0</v>
      </c>
      <c r="H8099" s="1" t="str">
        <f t="shared" si="13799"/>
        <v>0</v>
      </c>
      <c r="I8099" s="1" t="str">
        <f t="shared" si="13799"/>
        <v>0</v>
      </c>
      <c r="J8099" s="1" t="str">
        <f t="shared" si="13799"/>
        <v>0</v>
      </c>
      <c r="K8099" s="1" t="str">
        <f t="shared" si="13799"/>
        <v>0</v>
      </c>
      <c r="L8099" s="1" t="str">
        <f t="shared" si="13799"/>
        <v>0</v>
      </c>
      <c r="M8099" s="1" t="str">
        <f t="shared" si="13799"/>
        <v>0</v>
      </c>
      <c r="N8099" s="1" t="str">
        <f t="shared" si="13799"/>
        <v>0</v>
      </c>
      <c r="O8099" s="1" t="str">
        <f t="shared" si="13799"/>
        <v>0</v>
      </c>
      <c r="P8099" s="1" t="str">
        <f t="shared" si="13799"/>
        <v>0</v>
      </c>
      <c r="Q8099" s="1" t="str">
        <f t="shared" si="13765"/>
        <v>0.0070</v>
      </c>
      <c r="R8099" s="1" t="s">
        <v>25</v>
      </c>
      <c r="T8099" s="1" t="str">
        <f t="shared" si="13766"/>
        <v>0</v>
      </c>
      <c r="U8099" s="1" t="str">
        <f t="shared" si="13793"/>
        <v>0.0070</v>
      </c>
    </row>
    <row r="8100" s="1" customFormat="1" spans="1:21">
      <c r="A8100" s="1" t="str">
        <f>"4601992380420"</f>
        <v>4601992380420</v>
      </c>
      <c r="B8100" s="1" t="s">
        <v>8123</v>
      </c>
      <c r="C8100" s="1" t="s">
        <v>24</v>
      </c>
      <c r="D8100" s="1" t="str">
        <f t="shared" si="13763"/>
        <v>2021</v>
      </c>
      <c r="E8100" s="1" t="str">
        <f t="shared" ref="E8100:P8100" si="13800">"0"</f>
        <v>0</v>
      </c>
      <c r="F8100" s="1" t="str">
        <f t="shared" si="13800"/>
        <v>0</v>
      </c>
      <c r="G8100" s="1" t="str">
        <f t="shared" si="13800"/>
        <v>0</v>
      </c>
      <c r="H8100" s="1" t="str">
        <f t="shared" si="13800"/>
        <v>0</v>
      </c>
      <c r="I8100" s="1" t="str">
        <f t="shared" si="13800"/>
        <v>0</v>
      </c>
      <c r="J8100" s="1" t="str">
        <f t="shared" si="13800"/>
        <v>0</v>
      </c>
      <c r="K8100" s="1" t="str">
        <f t="shared" si="13800"/>
        <v>0</v>
      </c>
      <c r="L8100" s="1" t="str">
        <f t="shared" si="13800"/>
        <v>0</v>
      </c>
      <c r="M8100" s="1" t="str">
        <f t="shared" si="13800"/>
        <v>0</v>
      </c>
      <c r="N8100" s="1" t="str">
        <f t="shared" si="13800"/>
        <v>0</v>
      </c>
      <c r="O8100" s="1" t="str">
        <f t="shared" si="13800"/>
        <v>0</v>
      </c>
      <c r="P8100" s="1" t="str">
        <f t="shared" si="13800"/>
        <v>0</v>
      </c>
      <c r="Q8100" s="1" t="str">
        <f t="shared" si="13765"/>
        <v>0.0070</v>
      </c>
      <c r="R8100" s="1" t="s">
        <v>25</v>
      </c>
      <c r="T8100" s="1" t="str">
        <f t="shared" si="13766"/>
        <v>0</v>
      </c>
      <c r="U8100" s="1" t="str">
        <f t="shared" si="13793"/>
        <v>0.0070</v>
      </c>
    </row>
    <row r="8101" s="1" customFormat="1" spans="1:21">
      <c r="A8101" s="1" t="str">
        <f>"4601992380322"</f>
        <v>4601992380322</v>
      </c>
      <c r="B8101" s="1" t="s">
        <v>8124</v>
      </c>
      <c r="C8101" s="1" t="s">
        <v>24</v>
      </c>
      <c r="D8101" s="1" t="str">
        <f t="shared" si="13763"/>
        <v>2021</v>
      </c>
      <c r="E8101" s="1" t="str">
        <f t="shared" ref="E8101:P8101" si="13801">"0"</f>
        <v>0</v>
      </c>
      <c r="F8101" s="1" t="str">
        <f t="shared" si="13801"/>
        <v>0</v>
      </c>
      <c r="G8101" s="1" t="str">
        <f t="shared" si="13801"/>
        <v>0</v>
      </c>
      <c r="H8101" s="1" t="str">
        <f t="shared" si="13801"/>
        <v>0</v>
      </c>
      <c r="I8101" s="1" t="str">
        <f t="shared" si="13801"/>
        <v>0</v>
      </c>
      <c r="J8101" s="1" t="str">
        <f t="shared" si="13801"/>
        <v>0</v>
      </c>
      <c r="K8101" s="1" t="str">
        <f t="shared" si="13801"/>
        <v>0</v>
      </c>
      <c r="L8101" s="1" t="str">
        <f t="shared" si="13801"/>
        <v>0</v>
      </c>
      <c r="M8101" s="1" t="str">
        <f t="shared" si="13801"/>
        <v>0</v>
      </c>
      <c r="N8101" s="1" t="str">
        <f t="shared" si="13801"/>
        <v>0</v>
      </c>
      <c r="O8101" s="1" t="str">
        <f t="shared" si="13801"/>
        <v>0</v>
      </c>
      <c r="P8101" s="1" t="str">
        <f t="shared" si="13801"/>
        <v>0</v>
      </c>
      <c r="Q8101" s="1" t="str">
        <f t="shared" si="13765"/>
        <v>0.0070</v>
      </c>
      <c r="R8101" s="1" t="s">
        <v>25</v>
      </c>
      <c r="T8101" s="1" t="str">
        <f t="shared" si="13766"/>
        <v>0</v>
      </c>
      <c r="U8101" s="1" t="str">
        <f t="shared" si="13793"/>
        <v>0.0070</v>
      </c>
    </row>
    <row r="8102" s="1" customFormat="1" spans="1:21">
      <c r="A8102" s="1" t="str">
        <f>"4601992380547"</f>
        <v>4601992380547</v>
      </c>
      <c r="B8102" s="1" t="s">
        <v>8125</v>
      </c>
      <c r="C8102" s="1" t="s">
        <v>24</v>
      </c>
      <c r="D8102" s="1" t="str">
        <f t="shared" si="13763"/>
        <v>2021</v>
      </c>
      <c r="E8102" s="1" t="str">
        <f t="shared" ref="E8102:P8102" si="13802">"0"</f>
        <v>0</v>
      </c>
      <c r="F8102" s="1" t="str">
        <f t="shared" si="13802"/>
        <v>0</v>
      </c>
      <c r="G8102" s="1" t="str">
        <f t="shared" si="13802"/>
        <v>0</v>
      </c>
      <c r="H8102" s="1" t="str">
        <f t="shared" si="13802"/>
        <v>0</v>
      </c>
      <c r="I8102" s="1" t="str">
        <f t="shared" si="13802"/>
        <v>0</v>
      </c>
      <c r="J8102" s="1" t="str">
        <f t="shared" si="13802"/>
        <v>0</v>
      </c>
      <c r="K8102" s="1" t="str">
        <f t="shared" si="13802"/>
        <v>0</v>
      </c>
      <c r="L8102" s="1" t="str">
        <f t="shared" si="13802"/>
        <v>0</v>
      </c>
      <c r="M8102" s="1" t="str">
        <f t="shared" si="13802"/>
        <v>0</v>
      </c>
      <c r="N8102" s="1" t="str">
        <f t="shared" si="13802"/>
        <v>0</v>
      </c>
      <c r="O8102" s="1" t="str">
        <f t="shared" si="13802"/>
        <v>0</v>
      </c>
      <c r="P8102" s="1" t="str">
        <f t="shared" si="13802"/>
        <v>0</v>
      </c>
      <c r="Q8102" s="1" t="str">
        <f t="shared" si="13765"/>
        <v>0.0070</v>
      </c>
      <c r="R8102" s="1" t="s">
        <v>25</v>
      </c>
      <c r="T8102" s="1" t="str">
        <f t="shared" si="13766"/>
        <v>0</v>
      </c>
      <c r="U8102" s="1" t="str">
        <f t="shared" si="13793"/>
        <v>0.0070</v>
      </c>
    </row>
    <row r="8103" s="1" customFormat="1" spans="1:21">
      <c r="A8103" s="1" t="str">
        <f>"4601992380828"</f>
        <v>4601992380828</v>
      </c>
      <c r="B8103" s="1" t="s">
        <v>8126</v>
      </c>
      <c r="C8103" s="1" t="s">
        <v>24</v>
      </c>
      <c r="D8103" s="1" t="str">
        <f t="shared" si="13763"/>
        <v>2021</v>
      </c>
      <c r="E8103" s="1" t="str">
        <f t="shared" ref="E8103:P8103" si="13803">"0"</f>
        <v>0</v>
      </c>
      <c r="F8103" s="1" t="str">
        <f t="shared" si="13803"/>
        <v>0</v>
      </c>
      <c r="G8103" s="1" t="str">
        <f t="shared" si="13803"/>
        <v>0</v>
      </c>
      <c r="H8103" s="1" t="str">
        <f t="shared" si="13803"/>
        <v>0</v>
      </c>
      <c r="I8103" s="1" t="str">
        <f t="shared" si="13803"/>
        <v>0</v>
      </c>
      <c r="J8103" s="1" t="str">
        <f t="shared" si="13803"/>
        <v>0</v>
      </c>
      <c r="K8103" s="1" t="str">
        <f t="shared" si="13803"/>
        <v>0</v>
      </c>
      <c r="L8103" s="1" t="str">
        <f t="shared" si="13803"/>
        <v>0</v>
      </c>
      <c r="M8103" s="1" t="str">
        <f t="shared" si="13803"/>
        <v>0</v>
      </c>
      <c r="N8103" s="1" t="str">
        <f t="shared" si="13803"/>
        <v>0</v>
      </c>
      <c r="O8103" s="1" t="str">
        <f t="shared" si="13803"/>
        <v>0</v>
      </c>
      <c r="P8103" s="1" t="str">
        <f t="shared" si="13803"/>
        <v>0</v>
      </c>
      <c r="Q8103" s="1" t="str">
        <f t="shared" si="13765"/>
        <v>0.0070</v>
      </c>
      <c r="R8103" s="1" t="s">
        <v>25</v>
      </c>
      <c r="T8103" s="1" t="str">
        <f t="shared" si="13766"/>
        <v>0</v>
      </c>
      <c r="U8103" s="1" t="str">
        <f t="shared" si="13793"/>
        <v>0.0070</v>
      </c>
    </row>
    <row r="8104" s="1" customFormat="1" spans="1:21">
      <c r="A8104" s="1" t="str">
        <f>"4601992380609"</f>
        <v>4601992380609</v>
      </c>
      <c r="B8104" s="1" t="s">
        <v>8127</v>
      </c>
      <c r="C8104" s="1" t="s">
        <v>24</v>
      </c>
      <c r="D8104" s="1" t="str">
        <f t="shared" si="13763"/>
        <v>2021</v>
      </c>
      <c r="E8104" s="1" t="str">
        <f t="shared" ref="E8104:P8104" si="13804">"0"</f>
        <v>0</v>
      </c>
      <c r="F8104" s="1" t="str">
        <f t="shared" si="13804"/>
        <v>0</v>
      </c>
      <c r="G8104" s="1" t="str">
        <f t="shared" si="13804"/>
        <v>0</v>
      </c>
      <c r="H8104" s="1" t="str">
        <f t="shared" si="13804"/>
        <v>0</v>
      </c>
      <c r="I8104" s="1" t="str">
        <f t="shared" si="13804"/>
        <v>0</v>
      </c>
      <c r="J8104" s="1" t="str">
        <f t="shared" si="13804"/>
        <v>0</v>
      </c>
      <c r="K8104" s="1" t="str">
        <f t="shared" si="13804"/>
        <v>0</v>
      </c>
      <c r="L8104" s="1" t="str">
        <f t="shared" si="13804"/>
        <v>0</v>
      </c>
      <c r="M8104" s="1" t="str">
        <f t="shared" si="13804"/>
        <v>0</v>
      </c>
      <c r="N8104" s="1" t="str">
        <f t="shared" si="13804"/>
        <v>0</v>
      </c>
      <c r="O8104" s="1" t="str">
        <f t="shared" si="13804"/>
        <v>0</v>
      </c>
      <c r="P8104" s="1" t="str">
        <f t="shared" si="13804"/>
        <v>0</v>
      </c>
      <c r="Q8104" s="1" t="str">
        <f t="shared" si="13765"/>
        <v>0.0070</v>
      </c>
      <c r="R8104" s="1" t="s">
        <v>25</v>
      </c>
      <c r="T8104" s="1" t="str">
        <f t="shared" si="13766"/>
        <v>0</v>
      </c>
      <c r="U8104" s="1" t="str">
        <f t="shared" si="13793"/>
        <v>0.0070</v>
      </c>
    </row>
    <row r="8105" s="1" customFormat="1" spans="1:21">
      <c r="A8105" s="1" t="str">
        <f>"4601992380734"</f>
        <v>4601992380734</v>
      </c>
      <c r="B8105" s="1" t="s">
        <v>8128</v>
      </c>
      <c r="C8105" s="1" t="s">
        <v>24</v>
      </c>
      <c r="D8105" s="1" t="str">
        <f t="shared" si="13763"/>
        <v>2021</v>
      </c>
      <c r="E8105" s="1" t="str">
        <f t="shared" ref="E8105:P8105" si="13805">"0"</f>
        <v>0</v>
      </c>
      <c r="F8105" s="1" t="str">
        <f t="shared" si="13805"/>
        <v>0</v>
      </c>
      <c r="G8105" s="1" t="str">
        <f t="shared" si="13805"/>
        <v>0</v>
      </c>
      <c r="H8105" s="1" t="str">
        <f t="shared" si="13805"/>
        <v>0</v>
      </c>
      <c r="I8105" s="1" t="str">
        <f t="shared" si="13805"/>
        <v>0</v>
      </c>
      <c r="J8105" s="1" t="str">
        <f t="shared" si="13805"/>
        <v>0</v>
      </c>
      <c r="K8105" s="1" t="str">
        <f t="shared" si="13805"/>
        <v>0</v>
      </c>
      <c r="L8105" s="1" t="str">
        <f t="shared" si="13805"/>
        <v>0</v>
      </c>
      <c r="M8105" s="1" t="str">
        <f t="shared" si="13805"/>
        <v>0</v>
      </c>
      <c r="N8105" s="1" t="str">
        <f t="shared" si="13805"/>
        <v>0</v>
      </c>
      <c r="O8105" s="1" t="str">
        <f t="shared" si="13805"/>
        <v>0</v>
      </c>
      <c r="P8105" s="1" t="str">
        <f t="shared" si="13805"/>
        <v>0</v>
      </c>
      <c r="Q8105" s="1" t="str">
        <f t="shared" si="13765"/>
        <v>0.0070</v>
      </c>
      <c r="R8105" s="1" t="s">
        <v>25</v>
      </c>
      <c r="T8105" s="1" t="str">
        <f t="shared" si="13766"/>
        <v>0</v>
      </c>
      <c r="U8105" s="1" t="str">
        <f t="shared" si="13793"/>
        <v>0.0070</v>
      </c>
    </row>
    <row r="8106" s="1" customFormat="1" spans="1:21">
      <c r="A8106" s="1" t="str">
        <f>"4601992380857"</f>
        <v>4601992380857</v>
      </c>
      <c r="B8106" s="1" t="s">
        <v>8129</v>
      </c>
      <c r="C8106" s="1" t="s">
        <v>24</v>
      </c>
      <c r="D8106" s="1" t="str">
        <f t="shared" si="13763"/>
        <v>2021</v>
      </c>
      <c r="E8106" s="1" t="str">
        <f t="shared" ref="E8106:P8106" si="13806">"0"</f>
        <v>0</v>
      </c>
      <c r="F8106" s="1" t="str">
        <f t="shared" si="13806"/>
        <v>0</v>
      </c>
      <c r="G8106" s="1" t="str">
        <f t="shared" si="13806"/>
        <v>0</v>
      </c>
      <c r="H8106" s="1" t="str">
        <f t="shared" si="13806"/>
        <v>0</v>
      </c>
      <c r="I8106" s="1" t="str">
        <f t="shared" si="13806"/>
        <v>0</v>
      </c>
      <c r="J8106" s="1" t="str">
        <f t="shared" si="13806"/>
        <v>0</v>
      </c>
      <c r="K8106" s="1" t="str">
        <f t="shared" si="13806"/>
        <v>0</v>
      </c>
      <c r="L8106" s="1" t="str">
        <f t="shared" si="13806"/>
        <v>0</v>
      </c>
      <c r="M8106" s="1" t="str">
        <f t="shared" si="13806"/>
        <v>0</v>
      </c>
      <c r="N8106" s="1" t="str">
        <f t="shared" si="13806"/>
        <v>0</v>
      </c>
      <c r="O8106" s="1" t="str">
        <f t="shared" si="13806"/>
        <v>0</v>
      </c>
      <c r="P8106" s="1" t="str">
        <f t="shared" si="13806"/>
        <v>0</v>
      </c>
      <c r="Q8106" s="1" t="str">
        <f t="shared" si="13765"/>
        <v>0.0070</v>
      </c>
      <c r="R8106" s="1" t="s">
        <v>25</v>
      </c>
      <c r="T8106" s="1" t="str">
        <f t="shared" si="13766"/>
        <v>0</v>
      </c>
      <c r="U8106" s="1" t="str">
        <f t="shared" si="13793"/>
        <v>0.0070</v>
      </c>
    </row>
    <row r="8107" s="1" customFormat="1" spans="1:21">
      <c r="A8107" s="1" t="str">
        <f>"4601992380890"</f>
        <v>4601992380890</v>
      </c>
      <c r="B8107" s="1" t="s">
        <v>8130</v>
      </c>
      <c r="C8107" s="1" t="s">
        <v>24</v>
      </c>
      <c r="D8107" s="1" t="str">
        <f t="shared" si="13763"/>
        <v>2021</v>
      </c>
      <c r="E8107" s="1" t="str">
        <f t="shared" ref="E8107:P8107" si="13807">"0"</f>
        <v>0</v>
      </c>
      <c r="F8107" s="1" t="str">
        <f t="shared" si="13807"/>
        <v>0</v>
      </c>
      <c r="G8107" s="1" t="str">
        <f t="shared" si="13807"/>
        <v>0</v>
      </c>
      <c r="H8107" s="1" t="str">
        <f t="shared" si="13807"/>
        <v>0</v>
      </c>
      <c r="I8107" s="1" t="str">
        <f t="shared" si="13807"/>
        <v>0</v>
      </c>
      <c r="J8107" s="1" t="str">
        <f t="shared" si="13807"/>
        <v>0</v>
      </c>
      <c r="K8107" s="1" t="str">
        <f t="shared" si="13807"/>
        <v>0</v>
      </c>
      <c r="L8107" s="1" t="str">
        <f t="shared" si="13807"/>
        <v>0</v>
      </c>
      <c r="M8107" s="1" t="str">
        <f t="shared" si="13807"/>
        <v>0</v>
      </c>
      <c r="N8107" s="1" t="str">
        <f t="shared" si="13807"/>
        <v>0</v>
      </c>
      <c r="O8107" s="1" t="str">
        <f t="shared" si="13807"/>
        <v>0</v>
      </c>
      <c r="P8107" s="1" t="str">
        <f t="shared" si="13807"/>
        <v>0</v>
      </c>
      <c r="Q8107" s="1" t="str">
        <f t="shared" si="13765"/>
        <v>0.0070</v>
      </c>
      <c r="R8107" s="1" t="s">
        <v>25</v>
      </c>
      <c r="T8107" s="1" t="str">
        <f t="shared" si="13766"/>
        <v>0</v>
      </c>
      <c r="U8107" s="1" t="str">
        <f t="shared" si="13793"/>
        <v>0.0070</v>
      </c>
    </row>
    <row r="8108" s="1" customFormat="1" spans="1:21">
      <c r="A8108" s="1" t="str">
        <f>"4601992380967"</f>
        <v>4601992380967</v>
      </c>
      <c r="B8108" s="1" t="s">
        <v>8131</v>
      </c>
      <c r="C8108" s="1" t="s">
        <v>24</v>
      </c>
      <c r="D8108" s="1" t="str">
        <f t="shared" si="13763"/>
        <v>2021</v>
      </c>
      <c r="E8108" s="1" t="str">
        <f t="shared" ref="E8108:P8108" si="13808">"0"</f>
        <v>0</v>
      </c>
      <c r="F8108" s="1" t="str">
        <f t="shared" si="13808"/>
        <v>0</v>
      </c>
      <c r="G8108" s="1" t="str">
        <f t="shared" si="13808"/>
        <v>0</v>
      </c>
      <c r="H8108" s="1" t="str">
        <f t="shared" si="13808"/>
        <v>0</v>
      </c>
      <c r="I8108" s="1" t="str">
        <f t="shared" si="13808"/>
        <v>0</v>
      </c>
      <c r="J8108" s="1" t="str">
        <f t="shared" si="13808"/>
        <v>0</v>
      </c>
      <c r="K8108" s="1" t="str">
        <f t="shared" si="13808"/>
        <v>0</v>
      </c>
      <c r="L8108" s="1" t="str">
        <f t="shared" si="13808"/>
        <v>0</v>
      </c>
      <c r="M8108" s="1" t="str">
        <f t="shared" si="13808"/>
        <v>0</v>
      </c>
      <c r="N8108" s="1" t="str">
        <f t="shared" si="13808"/>
        <v>0</v>
      </c>
      <c r="O8108" s="1" t="str">
        <f t="shared" si="13808"/>
        <v>0</v>
      </c>
      <c r="P8108" s="1" t="str">
        <f t="shared" si="13808"/>
        <v>0</v>
      </c>
      <c r="Q8108" s="1" t="str">
        <f t="shared" si="13765"/>
        <v>0.0070</v>
      </c>
      <c r="R8108" s="1" t="s">
        <v>25</v>
      </c>
      <c r="T8108" s="1" t="str">
        <f t="shared" si="13766"/>
        <v>0</v>
      </c>
      <c r="U8108" s="1" t="str">
        <f t="shared" si="13793"/>
        <v>0.0070</v>
      </c>
    </row>
    <row r="8109" s="1" customFormat="1" spans="1:21">
      <c r="A8109" s="1" t="str">
        <f>"4601992380904"</f>
        <v>4601992380904</v>
      </c>
      <c r="B8109" s="1" t="s">
        <v>8132</v>
      </c>
      <c r="C8109" s="1" t="s">
        <v>24</v>
      </c>
      <c r="D8109" s="1" t="str">
        <f t="shared" si="13763"/>
        <v>2021</v>
      </c>
      <c r="E8109" s="1" t="str">
        <f t="shared" ref="E8109:P8109" si="13809">"0"</f>
        <v>0</v>
      </c>
      <c r="F8109" s="1" t="str">
        <f t="shared" si="13809"/>
        <v>0</v>
      </c>
      <c r="G8109" s="1" t="str">
        <f t="shared" si="13809"/>
        <v>0</v>
      </c>
      <c r="H8109" s="1" t="str">
        <f t="shared" si="13809"/>
        <v>0</v>
      </c>
      <c r="I8109" s="1" t="str">
        <f t="shared" si="13809"/>
        <v>0</v>
      </c>
      <c r="J8109" s="1" t="str">
        <f t="shared" si="13809"/>
        <v>0</v>
      </c>
      <c r="K8109" s="1" t="str">
        <f t="shared" si="13809"/>
        <v>0</v>
      </c>
      <c r="L8109" s="1" t="str">
        <f t="shared" si="13809"/>
        <v>0</v>
      </c>
      <c r="M8109" s="1" t="str">
        <f t="shared" si="13809"/>
        <v>0</v>
      </c>
      <c r="N8109" s="1" t="str">
        <f t="shared" si="13809"/>
        <v>0</v>
      </c>
      <c r="O8109" s="1" t="str">
        <f t="shared" si="13809"/>
        <v>0</v>
      </c>
      <c r="P8109" s="1" t="str">
        <f t="shared" si="13809"/>
        <v>0</v>
      </c>
      <c r="Q8109" s="1" t="str">
        <f t="shared" si="13765"/>
        <v>0.0070</v>
      </c>
      <c r="R8109" s="1" t="s">
        <v>25</v>
      </c>
      <c r="T8109" s="1" t="str">
        <f t="shared" si="13766"/>
        <v>0</v>
      </c>
      <c r="U8109" s="1" t="str">
        <f t="shared" si="13793"/>
        <v>0.0070</v>
      </c>
    </row>
    <row r="8110" s="1" customFormat="1" spans="1:21">
      <c r="A8110" s="1" t="str">
        <f>"4601992381041"</f>
        <v>4601992381041</v>
      </c>
      <c r="B8110" s="1" t="s">
        <v>8133</v>
      </c>
      <c r="C8110" s="1" t="s">
        <v>24</v>
      </c>
      <c r="D8110" s="1" t="str">
        <f t="shared" si="13763"/>
        <v>2021</v>
      </c>
      <c r="E8110" s="1" t="str">
        <f t="shared" ref="E8110:P8110" si="13810">"0"</f>
        <v>0</v>
      </c>
      <c r="F8110" s="1" t="str">
        <f t="shared" si="13810"/>
        <v>0</v>
      </c>
      <c r="G8110" s="1" t="str">
        <f t="shared" si="13810"/>
        <v>0</v>
      </c>
      <c r="H8110" s="1" t="str">
        <f t="shared" si="13810"/>
        <v>0</v>
      </c>
      <c r="I8110" s="1" t="str">
        <f t="shared" si="13810"/>
        <v>0</v>
      </c>
      <c r="J8110" s="1" t="str">
        <f t="shared" si="13810"/>
        <v>0</v>
      </c>
      <c r="K8110" s="1" t="str">
        <f t="shared" si="13810"/>
        <v>0</v>
      </c>
      <c r="L8110" s="1" t="str">
        <f t="shared" si="13810"/>
        <v>0</v>
      </c>
      <c r="M8110" s="1" t="str">
        <f t="shared" si="13810"/>
        <v>0</v>
      </c>
      <c r="N8110" s="1" t="str">
        <f t="shared" si="13810"/>
        <v>0</v>
      </c>
      <c r="O8110" s="1" t="str">
        <f t="shared" si="13810"/>
        <v>0</v>
      </c>
      <c r="P8110" s="1" t="str">
        <f t="shared" si="13810"/>
        <v>0</v>
      </c>
      <c r="Q8110" s="1" t="str">
        <f t="shared" si="13765"/>
        <v>0.0070</v>
      </c>
      <c r="R8110" s="1" t="s">
        <v>25</v>
      </c>
      <c r="T8110" s="1" t="str">
        <f t="shared" si="13766"/>
        <v>0</v>
      </c>
      <c r="U8110" s="1" t="str">
        <f t="shared" si="13793"/>
        <v>0.0070</v>
      </c>
    </row>
    <row r="8111" s="1" customFormat="1" spans="1:21">
      <c r="A8111" s="1" t="str">
        <f>"4601992381078"</f>
        <v>4601992381078</v>
      </c>
      <c r="B8111" s="1" t="s">
        <v>8134</v>
      </c>
      <c r="C8111" s="1" t="s">
        <v>24</v>
      </c>
      <c r="D8111" s="1" t="str">
        <f t="shared" si="13763"/>
        <v>2021</v>
      </c>
      <c r="E8111" s="1" t="str">
        <f t="shared" ref="E8111:P8111" si="13811">"0"</f>
        <v>0</v>
      </c>
      <c r="F8111" s="1" t="str">
        <f t="shared" si="13811"/>
        <v>0</v>
      </c>
      <c r="G8111" s="1" t="str">
        <f t="shared" si="13811"/>
        <v>0</v>
      </c>
      <c r="H8111" s="1" t="str">
        <f t="shared" si="13811"/>
        <v>0</v>
      </c>
      <c r="I8111" s="1" t="str">
        <f t="shared" si="13811"/>
        <v>0</v>
      </c>
      <c r="J8111" s="1" t="str">
        <f t="shared" si="13811"/>
        <v>0</v>
      </c>
      <c r="K8111" s="1" t="str">
        <f t="shared" si="13811"/>
        <v>0</v>
      </c>
      <c r="L8111" s="1" t="str">
        <f t="shared" si="13811"/>
        <v>0</v>
      </c>
      <c r="M8111" s="1" t="str">
        <f t="shared" si="13811"/>
        <v>0</v>
      </c>
      <c r="N8111" s="1" t="str">
        <f t="shared" si="13811"/>
        <v>0</v>
      </c>
      <c r="O8111" s="1" t="str">
        <f t="shared" si="13811"/>
        <v>0</v>
      </c>
      <c r="P8111" s="1" t="str">
        <f t="shared" si="13811"/>
        <v>0</v>
      </c>
      <c r="Q8111" s="1" t="str">
        <f t="shared" si="13765"/>
        <v>0.0070</v>
      </c>
      <c r="R8111" s="1" t="s">
        <v>25</v>
      </c>
      <c r="T8111" s="1" t="str">
        <f t="shared" si="13766"/>
        <v>0</v>
      </c>
      <c r="U8111" s="1" t="str">
        <f t="shared" si="13793"/>
        <v>0.0070</v>
      </c>
    </row>
    <row r="8112" s="1" customFormat="1" spans="1:21">
      <c r="A8112" s="1" t="str">
        <f>"4601992381063"</f>
        <v>4601992381063</v>
      </c>
      <c r="B8112" s="1" t="s">
        <v>8135</v>
      </c>
      <c r="C8112" s="1" t="s">
        <v>24</v>
      </c>
      <c r="D8112" s="1" t="str">
        <f t="shared" si="13763"/>
        <v>2021</v>
      </c>
      <c r="E8112" s="1" t="str">
        <f t="shared" ref="E8112:P8112" si="13812">"0"</f>
        <v>0</v>
      </c>
      <c r="F8112" s="1" t="str">
        <f t="shared" si="13812"/>
        <v>0</v>
      </c>
      <c r="G8112" s="1" t="str">
        <f t="shared" si="13812"/>
        <v>0</v>
      </c>
      <c r="H8112" s="1" t="str">
        <f t="shared" si="13812"/>
        <v>0</v>
      </c>
      <c r="I8112" s="1" t="str">
        <f t="shared" si="13812"/>
        <v>0</v>
      </c>
      <c r="J8112" s="1" t="str">
        <f t="shared" si="13812"/>
        <v>0</v>
      </c>
      <c r="K8112" s="1" t="str">
        <f t="shared" si="13812"/>
        <v>0</v>
      </c>
      <c r="L8112" s="1" t="str">
        <f t="shared" si="13812"/>
        <v>0</v>
      </c>
      <c r="M8112" s="1" t="str">
        <f t="shared" si="13812"/>
        <v>0</v>
      </c>
      <c r="N8112" s="1" t="str">
        <f t="shared" si="13812"/>
        <v>0</v>
      </c>
      <c r="O8112" s="1" t="str">
        <f t="shared" si="13812"/>
        <v>0</v>
      </c>
      <c r="P8112" s="1" t="str">
        <f t="shared" si="13812"/>
        <v>0</v>
      </c>
      <c r="Q8112" s="1" t="str">
        <f t="shared" si="13765"/>
        <v>0.0070</v>
      </c>
      <c r="R8112" s="1" t="s">
        <v>25</v>
      </c>
      <c r="T8112" s="1" t="str">
        <f t="shared" si="13766"/>
        <v>0</v>
      </c>
      <c r="U8112" s="1" t="str">
        <f t="shared" si="13793"/>
        <v>0.0070</v>
      </c>
    </row>
    <row r="8113" s="1" customFormat="1" spans="1:21">
      <c r="A8113" s="1" t="str">
        <f>"4601992381077"</f>
        <v>4601992381077</v>
      </c>
      <c r="B8113" s="1" t="s">
        <v>8136</v>
      </c>
      <c r="C8113" s="1" t="s">
        <v>24</v>
      </c>
      <c r="D8113" s="1" t="str">
        <f t="shared" si="13763"/>
        <v>2021</v>
      </c>
      <c r="E8113" s="1" t="str">
        <f t="shared" ref="E8113:P8113" si="13813">"0"</f>
        <v>0</v>
      </c>
      <c r="F8113" s="1" t="str">
        <f t="shared" si="13813"/>
        <v>0</v>
      </c>
      <c r="G8113" s="1" t="str">
        <f t="shared" si="13813"/>
        <v>0</v>
      </c>
      <c r="H8113" s="1" t="str">
        <f t="shared" si="13813"/>
        <v>0</v>
      </c>
      <c r="I8113" s="1" t="str">
        <f t="shared" si="13813"/>
        <v>0</v>
      </c>
      <c r="J8113" s="1" t="str">
        <f t="shared" si="13813"/>
        <v>0</v>
      </c>
      <c r="K8113" s="1" t="str">
        <f t="shared" si="13813"/>
        <v>0</v>
      </c>
      <c r="L8113" s="1" t="str">
        <f t="shared" si="13813"/>
        <v>0</v>
      </c>
      <c r="M8113" s="1" t="str">
        <f t="shared" si="13813"/>
        <v>0</v>
      </c>
      <c r="N8113" s="1" t="str">
        <f t="shared" si="13813"/>
        <v>0</v>
      </c>
      <c r="O8113" s="1" t="str">
        <f t="shared" si="13813"/>
        <v>0</v>
      </c>
      <c r="P8113" s="1" t="str">
        <f t="shared" si="13813"/>
        <v>0</v>
      </c>
      <c r="Q8113" s="1" t="str">
        <f t="shared" si="13765"/>
        <v>0.0070</v>
      </c>
      <c r="R8113" s="1" t="s">
        <v>25</v>
      </c>
      <c r="T8113" s="1" t="str">
        <f t="shared" si="13766"/>
        <v>0</v>
      </c>
      <c r="U8113" s="1" t="str">
        <f t="shared" si="13793"/>
        <v>0.0070</v>
      </c>
    </row>
    <row r="8114" s="1" customFormat="1" spans="1:21">
      <c r="A8114" s="1" t="str">
        <f>"4601992381084"</f>
        <v>4601992381084</v>
      </c>
      <c r="B8114" s="1" t="s">
        <v>8137</v>
      </c>
      <c r="C8114" s="1" t="s">
        <v>24</v>
      </c>
      <c r="D8114" s="1" t="str">
        <f t="shared" si="13763"/>
        <v>2021</v>
      </c>
      <c r="E8114" s="1" t="str">
        <f t="shared" ref="E8114:P8114" si="13814">"0"</f>
        <v>0</v>
      </c>
      <c r="F8114" s="1" t="str">
        <f t="shared" si="13814"/>
        <v>0</v>
      </c>
      <c r="G8114" s="1" t="str">
        <f t="shared" si="13814"/>
        <v>0</v>
      </c>
      <c r="H8114" s="1" t="str">
        <f t="shared" si="13814"/>
        <v>0</v>
      </c>
      <c r="I8114" s="1" t="str">
        <f t="shared" si="13814"/>
        <v>0</v>
      </c>
      <c r="J8114" s="1" t="str">
        <f t="shared" si="13814"/>
        <v>0</v>
      </c>
      <c r="K8114" s="1" t="str">
        <f t="shared" si="13814"/>
        <v>0</v>
      </c>
      <c r="L8114" s="1" t="str">
        <f t="shared" si="13814"/>
        <v>0</v>
      </c>
      <c r="M8114" s="1" t="str">
        <f t="shared" si="13814"/>
        <v>0</v>
      </c>
      <c r="N8114" s="1" t="str">
        <f t="shared" si="13814"/>
        <v>0</v>
      </c>
      <c r="O8114" s="1" t="str">
        <f t="shared" si="13814"/>
        <v>0</v>
      </c>
      <c r="P8114" s="1" t="str">
        <f t="shared" si="13814"/>
        <v>0</v>
      </c>
      <c r="Q8114" s="1" t="str">
        <f t="shared" si="13765"/>
        <v>0.0070</v>
      </c>
      <c r="R8114" s="1" t="s">
        <v>25</v>
      </c>
      <c r="T8114" s="1" t="str">
        <f t="shared" si="13766"/>
        <v>0</v>
      </c>
      <c r="U8114" s="1" t="str">
        <f t="shared" si="13793"/>
        <v>0.0070</v>
      </c>
    </row>
    <row r="8115" s="1" customFormat="1" spans="1:21">
      <c r="A8115" s="1" t="str">
        <f>"4601992381108"</f>
        <v>4601992381108</v>
      </c>
      <c r="B8115" s="1" t="s">
        <v>8138</v>
      </c>
      <c r="C8115" s="1" t="s">
        <v>24</v>
      </c>
      <c r="D8115" s="1" t="str">
        <f t="shared" si="13763"/>
        <v>2021</v>
      </c>
      <c r="E8115" s="1" t="str">
        <f t="shared" ref="E8115:P8115" si="13815">"0"</f>
        <v>0</v>
      </c>
      <c r="F8115" s="1" t="str">
        <f t="shared" si="13815"/>
        <v>0</v>
      </c>
      <c r="G8115" s="1" t="str">
        <f t="shared" si="13815"/>
        <v>0</v>
      </c>
      <c r="H8115" s="1" t="str">
        <f t="shared" si="13815"/>
        <v>0</v>
      </c>
      <c r="I8115" s="1" t="str">
        <f t="shared" si="13815"/>
        <v>0</v>
      </c>
      <c r="J8115" s="1" t="str">
        <f t="shared" si="13815"/>
        <v>0</v>
      </c>
      <c r="K8115" s="1" t="str">
        <f t="shared" si="13815"/>
        <v>0</v>
      </c>
      <c r="L8115" s="1" t="str">
        <f t="shared" si="13815"/>
        <v>0</v>
      </c>
      <c r="M8115" s="1" t="str">
        <f t="shared" si="13815"/>
        <v>0</v>
      </c>
      <c r="N8115" s="1" t="str">
        <f t="shared" si="13815"/>
        <v>0</v>
      </c>
      <c r="O8115" s="1" t="str">
        <f t="shared" si="13815"/>
        <v>0</v>
      </c>
      <c r="P8115" s="1" t="str">
        <f t="shared" si="13815"/>
        <v>0</v>
      </c>
      <c r="Q8115" s="1" t="str">
        <f t="shared" si="13765"/>
        <v>0.0070</v>
      </c>
      <c r="R8115" s="1" t="s">
        <v>25</v>
      </c>
      <c r="T8115" s="1" t="str">
        <f t="shared" si="13766"/>
        <v>0</v>
      </c>
      <c r="U8115" s="1" t="str">
        <f t="shared" si="13793"/>
        <v>0.0070</v>
      </c>
    </row>
    <row r="8116" s="1" customFormat="1" spans="1:21">
      <c r="A8116" s="1" t="str">
        <f>"4601992381110"</f>
        <v>4601992381110</v>
      </c>
      <c r="B8116" s="1" t="s">
        <v>8139</v>
      </c>
      <c r="C8116" s="1" t="s">
        <v>24</v>
      </c>
      <c r="D8116" s="1" t="str">
        <f t="shared" si="13763"/>
        <v>2021</v>
      </c>
      <c r="E8116" s="1" t="str">
        <f t="shared" ref="E8116:P8116" si="13816">"0"</f>
        <v>0</v>
      </c>
      <c r="F8116" s="1" t="str">
        <f t="shared" si="13816"/>
        <v>0</v>
      </c>
      <c r="G8116" s="1" t="str">
        <f t="shared" si="13816"/>
        <v>0</v>
      </c>
      <c r="H8116" s="1" t="str">
        <f t="shared" si="13816"/>
        <v>0</v>
      </c>
      <c r="I8116" s="1" t="str">
        <f t="shared" si="13816"/>
        <v>0</v>
      </c>
      <c r="J8116" s="1" t="str">
        <f t="shared" si="13816"/>
        <v>0</v>
      </c>
      <c r="K8116" s="1" t="str">
        <f t="shared" si="13816"/>
        <v>0</v>
      </c>
      <c r="L8116" s="1" t="str">
        <f t="shared" si="13816"/>
        <v>0</v>
      </c>
      <c r="M8116" s="1" t="str">
        <f t="shared" si="13816"/>
        <v>0</v>
      </c>
      <c r="N8116" s="1" t="str">
        <f t="shared" si="13816"/>
        <v>0</v>
      </c>
      <c r="O8116" s="1" t="str">
        <f t="shared" si="13816"/>
        <v>0</v>
      </c>
      <c r="P8116" s="1" t="str">
        <f t="shared" si="13816"/>
        <v>0</v>
      </c>
      <c r="Q8116" s="1" t="str">
        <f t="shared" si="13765"/>
        <v>0.0070</v>
      </c>
      <c r="R8116" s="1" t="s">
        <v>25</v>
      </c>
      <c r="T8116" s="1" t="str">
        <f t="shared" si="13766"/>
        <v>0</v>
      </c>
      <c r="U8116" s="1" t="str">
        <f t="shared" si="13793"/>
        <v>0.0070</v>
      </c>
    </row>
    <row r="8117" s="1" customFormat="1" spans="1:21">
      <c r="A8117" s="1" t="str">
        <f>"4601992381242"</f>
        <v>4601992381242</v>
      </c>
      <c r="B8117" s="1" t="s">
        <v>8140</v>
      </c>
      <c r="C8117" s="1" t="s">
        <v>24</v>
      </c>
      <c r="D8117" s="1" t="str">
        <f t="shared" si="13763"/>
        <v>2021</v>
      </c>
      <c r="E8117" s="1" t="str">
        <f t="shared" ref="E8117:P8117" si="13817">"0"</f>
        <v>0</v>
      </c>
      <c r="F8117" s="1" t="str">
        <f t="shared" si="13817"/>
        <v>0</v>
      </c>
      <c r="G8117" s="1" t="str">
        <f t="shared" si="13817"/>
        <v>0</v>
      </c>
      <c r="H8117" s="1" t="str">
        <f t="shared" si="13817"/>
        <v>0</v>
      </c>
      <c r="I8117" s="1" t="str">
        <f t="shared" si="13817"/>
        <v>0</v>
      </c>
      <c r="J8117" s="1" t="str">
        <f t="shared" si="13817"/>
        <v>0</v>
      </c>
      <c r="K8117" s="1" t="str">
        <f t="shared" si="13817"/>
        <v>0</v>
      </c>
      <c r="L8117" s="1" t="str">
        <f t="shared" si="13817"/>
        <v>0</v>
      </c>
      <c r="M8117" s="1" t="str">
        <f t="shared" si="13817"/>
        <v>0</v>
      </c>
      <c r="N8117" s="1" t="str">
        <f t="shared" si="13817"/>
        <v>0</v>
      </c>
      <c r="O8117" s="1" t="str">
        <f t="shared" si="13817"/>
        <v>0</v>
      </c>
      <c r="P8117" s="1" t="str">
        <f t="shared" si="13817"/>
        <v>0</v>
      </c>
      <c r="Q8117" s="1" t="str">
        <f t="shared" si="13765"/>
        <v>0.0070</v>
      </c>
      <c r="R8117" s="1" t="s">
        <v>25</v>
      </c>
      <c r="T8117" s="1" t="str">
        <f t="shared" si="13766"/>
        <v>0</v>
      </c>
      <c r="U8117" s="1" t="str">
        <f t="shared" si="13793"/>
        <v>0.0070</v>
      </c>
    </row>
    <row r="8118" s="1" customFormat="1" spans="1:21">
      <c r="A8118" s="1" t="str">
        <f>"4601992381244"</f>
        <v>4601992381244</v>
      </c>
      <c r="B8118" s="1" t="s">
        <v>8141</v>
      </c>
      <c r="C8118" s="1" t="s">
        <v>24</v>
      </c>
      <c r="D8118" s="1" t="str">
        <f t="shared" si="13763"/>
        <v>2021</v>
      </c>
      <c r="E8118" s="1" t="str">
        <f t="shared" ref="E8118:P8118" si="13818">"0"</f>
        <v>0</v>
      </c>
      <c r="F8118" s="1" t="str">
        <f t="shared" si="13818"/>
        <v>0</v>
      </c>
      <c r="G8118" s="1" t="str">
        <f t="shared" si="13818"/>
        <v>0</v>
      </c>
      <c r="H8118" s="1" t="str">
        <f t="shared" si="13818"/>
        <v>0</v>
      </c>
      <c r="I8118" s="1" t="str">
        <f t="shared" si="13818"/>
        <v>0</v>
      </c>
      <c r="J8118" s="1" t="str">
        <f t="shared" si="13818"/>
        <v>0</v>
      </c>
      <c r="K8118" s="1" t="str">
        <f t="shared" si="13818"/>
        <v>0</v>
      </c>
      <c r="L8118" s="1" t="str">
        <f t="shared" si="13818"/>
        <v>0</v>
      </c>
      <c r="M8118" s="1" t="str">
        <f t="shared" si="13818"/>
        <v>0</v>
      </c>
      <c r="N8118" s="1" t="str">
        <f t="shared" si="13818"/>
        <v>0</v>
      </c>
      <c r="O8118" s="1" t="str">
        <f t="shared" si="13818"/>
        <v>0</v>
      </c>
      <c r="P8118" s="1" t="str">
        <f t="shared" si="13818"/>
        <v>0</v>
      </c>
      <c r="Q8118" s="1" t="str">
        <f t="shared" si="13765"/>
        <v>0.0070</v>
      </c>
      <c r="R8118" s="1" t="s">
        <v>25</v>
      </c>
      <c r="T8118" s="1" t="str">
        <f t="shared" si="13766"/>
        <v>0</v>
      </c>
      <c r="U8118" s="1" t="str">
        <f t="shared" si="13793"/>
        <v>0.0070</v>
      </c>
    </row>
    <row r="8119" s="1" customFormat="1" spans="1:21">
      <c r="A8119" s="1" t="str">
        <f>"4601992216216"</f>
        <v>4601992216216</v>
      </c>
      <c r="B8119" s="1" t="s">
        <v>8142</v>
      </c>
      <c r="C8119" s="1" t="s">
        <v>24</v>
      </c>
      <c r="D8119" s="1" t="str">
        <f t="shared" si="13763"/>
        <v>2021</v>
      </c>
      <c r="E8119" s="1" t="str">
        <f t="shared" ref="E8119:I8119" si="13819">"0"</f>
        <v>0</v>
      </c>
      <c r="F8119" s="1" t="str">
        <f t="shared" si="13819"/>
        <v>0</v>
      </c>
      <c r="G8119" s="1" t="str">
        <f t="shared" si="13819"/>
        <v>0</v>
      </c>
      <c r="H8119" s="1" t="str">
        <f t="shared" si="13819"/>
        <v>0</v>
      </c>
      <c r="I8119" s="1" t="str">
        <f t="shared" si="13819"/>
        <v>0</v>
      </c>
      <c r="J8119" s="1" t="str">
        <f>"2"</f>
        <v>2</v>
      </c>
      <c r="K8119" s="1" t="str">
        <f t="shared" ref="K8119:P8119" si="13820">"0"</f>
        <v>0</v>
      </c>
      <c r="L8119" s="1" t="str">
        <f t="shared" si="13820"/>
        <v>0</v>
      </c>
      <c r="M8119" s="1" t="str">
        <f t="shared" si="13820"/>
        <v>0</v>
      </c>
      <c r="N8119" s="1" t="str">
        <f t="shared" si="13820"/>
        <v>0</v>
      </c>
      <c r="O8119" s="1" t="str">
        <f t="shared" si="13820"/>
        <v>0</v>
      </c>
      <c r="P8119" s="1" t="str">
        <f t="shared" si="13820"/>
        <v>0</v>
      </c>
      <c r="Q8119" s="1" t="str">
        <f t="shared" si="13765"/>
        <v>0.0070</v>
      </c>
      <c r="R8119" s="1" t="s">
        <v>25</v>
      </c>
      <c r="T8119" s="1" t="str">
        <f t="shared" si="13766"/>
        <v>0</v>
      </c>
      <c r="U8119" s="1" t="str">
        <f t="shared" si="13793"/>
        <v>0.0070</v>
      </c>
    </row>
    <row r="8120" s="1" customFormat="1" spans="1:21">
      <c r="A8120" s="1" t="str">
        <f>"4601992381264"</f>
        <v>4601992381264</v>
      </c>
      <c r="B8120" s="1" t="s">
        <v>8143</v>
      </c>
      <c r="C8120" s="1" t="s">
        <v>24</v>
      </c>
      <c r="D8120" s="1" t="str">
        <f t="shared" si="13763"/>
        <v>2021</v>
      </c>
      <c r="E8120" s="1" t="str">
        <f t="shared" ref="E8120:P8120" si="13821">"0"</f>
        <v>0</v>
      </c>
      <c r="F8120" s="1" t="str">
        <f t="shared" si="13821"/>
        <v>0</v>
      </c>
      <c r="G8120" s="1" t="str">
        <f t="shared" si="13821"/>
        <v>0</v>
      </c>
      <c r="H8120" s="1" t="str">
        <f t="shared" si="13821"/>
        <v>0</v>
      </c>
      <c r="I8120" s="1" t="str">
        <f t="shared" si="13821"/>
        <v>0</v>
      </c>
      <c r="J8120" s="1" t="str">
        <f t="shared" si="13821"/>
        <v>0</v>
      </c>
      <c r="K8120" s="1" t="str">
        <f t="shared" si="13821"/>
        <v>0</v>
      </c>
      <c r="L8120" s="1" t="str">
        <f t="shared" si="13821"/>
        <v>0</v>
      </c>
      <c r="M8120" s="1" t="str">
        <f t="shared" si="13821"/>
        <v>0</v>
      </c>
      <c r="N8120" s="1" t="str">
        <f t="shared" si="13821"/>
        <v>0</v>
      </c>
      <c r="O8120" s="1" t="str">
        <f t="shared" si="13821"/>
        <v>0</v>
      </c>
      <c r="P8120" s="1" t="str">
        <f t="shared" si="13821"/>
        <v>0</v>
      </c>
      <c r="Q8120" s="1" t="str">
        <f t="shared" si="13765"/>
        <v>0.0070</v>
      </c>
      <c r="R8120" s="1" t="s">
        <v>25</v>
      </c>
      <c r="T8120" s="1" t="str">
        <f t="shared" si="13766"/>
        <v>0</v>
      </c>
      <c r="U8120" s="1" t="str">
        <f t="shared" si="13793"/>
        <v>0.0070</v>
      </c>
    </row>
    <row r="8121" s="1" customFormat="1" spans="1:21">
      <c r="A8121" s="1" t="str">
        <f>"4601992381473"</f>
        <v>4601992381473</v>
      </c>
      <c r="B8121" s="1" t="s">
        <v>8144</v>
      </c>
      <c r="C8121" s="1" t="s">
        <v>24</v>
      </c>
      <c r="D8121" s="1" t="str">
        <f t="shared" si="13763"/>
        <v>2021</v>
      </c>
      <c r="E8121" s="1" t="str">
        <f t="shared" ref="E8121:P8121" si="13822">"0"</f>
        <v>0</v>
      </c>
      <c r="F8121" s="1" t="str">
        <f t="shared" si="13822"/>
        <v>0</v>
      </c>
      <c r="G8121" s="1" t="str">
        <f t="shared" si="13822"/>
        <v>0</v>
      </c>
      <c r="H8121" s="1" t="str">
        <f t="shared" si="13822"/>
        <v>0</v>
      </c>
      <c r="I8121" s="1" t="str">
        <f t="shared" si="13822"/>
        <v>0</v>
      </c>
      <c r="J8121" s="1" t="str">
        <f t="shared" si="13822"/>
        <v>0</v>
      </c>
      <c r="K8121" s="1" t="str">
        <f t="shared" si="13822"/>
        <v>0</v>
      </c>
      <c r="L8121" s="1" t="str">
        <f t="shared" si="13822"/>
        <v>0</v>
      </c>
      <c r="M8121" s="1" t="str">
        <f t="shared" si="13822"/>
        <v>0</v>
      </c>
      <c r="N8121" s="1" t="str">
        <f t="shared" si="13822"/>
        <v>0</v>
      </c>
      <c r="O8121" s="1" t="str">
        <f t="shared" si="13822"/>
        <v>0</v>
      </c>
      <c r="P8121" s="1" t="str">
        <f t="shared" si="13822"/>
        <v>0</v>
      </c>
      <c r="Q8121" s="1" t="str">
        <f t="shared" si="13765"/>
        <v>0.0070</v>
      </c>
      <c r="R8121" s="1" t="s">
        <v>25</v>
      </c>
      <c r="T8121" s="1" t="str">
        <f t="shared" si="13766"/>
        <v>0</v>
      </c>
      <c r="U8121" s="1" t="str">
        <f t="shared" si="13793"/>
        <v>0.0070</v>
      </c>
    </row>
    <row r="8122" s="1" customFormat="1" spans="1:21">
      <c r="A8122" s="1" t="str">
        <f>"4601992381556"</f>
        <v>4601992381556</v>
      </c>
      <c r="B8122" s="1" t="s">
        <v>8145</v>
      </c>
      <c r="C8122" s="1" t="s">
        <v>24</v>
      </c>
      <c r="D8122" s="1" t="str">
        <f t="shared" si="13763"/>
        <v>2021</v>
      </c>
      <c r="E8122" s="1" t="str">
        <f t="shared" ref="E8122:P8122" si="13823">"0"</f>
        <v>0</v>
      </c>
      <c r="F8122" s="1" t="str">
        <f t="shared" si="13823"/>
        <v>0</v>
      </c>
      <c r="G8122" s="1" t="str">
        <f t="shared" si="13823"/>
        <v>0</v>
      </c>
      <c r="H8122" s="1" t="str">
        <f t="shared" si="13823"/>
        <v>0</v>
      </c>
      <c r="I8122" s="1" t="str">
        <f t="shared" si="13823"/>
        <v>0</v>
      </c>
      <c r="J8122" s="1" t="str">
        <f t="shared" si="13823"/>
        <v>0</v>
      </c>
      <c r="K8122" s="1" t="str">
        <f t="shared" si="13823"/>
        <v>0</v>
      </c>
      <c r="L8122" s="1" t="str">
        <f t="shared" si="13823"/>
        <v>0</v>
      </c>
      <c r="M8122" s="1" t="str">
        <f t="shared" si="13823"/>
        <v>0</v>
      </c>
      <c r="N8122" s="1" t="str">
        <f t="shared" si="13823"/>
        <v>0</v>
      </c>
      <c r="O8122" s="1" t="str">
        <f t="shared" si="13823"/>
        <v>0</v>
      </c>
      <c r="P8122" s="1" t="str">
        <f t="shared" si="13823"/>
        <v>0</v>
      </c>
      <c r="Q8122" s="1" t="str">
        <f t="shared" si="13765"/>
        <v>0.0070</v>
      </c>
      <c r="R8122" s="1" t="s">
        <v>25</v>
      </c>
      <c r="T8122" s="1" t="str">
        <f t="shared" si="13766"/>
        <v>0</v>
      </c>
      <c r="U8122" s="1" t="str">
        <f t="shared" si="13793"/>
        <v>0.0070</v>
      </c>
    </row>
    <row r="8123" s="1" customFormat="1" spans="1:21">
      <c r="A8123" s="1" t="str">
        <f>"4601992065420"</f>
        <v>4601992065420</v>
      </c>
      <c r="B8123" s="1" t="s">
        <v>8146</v>
      </c>
      <c r="C8123" s="1" t="s">
        <v>24</v>
      </c>
      <c r="D8123" s="1" t="str">
        <f t="shared" si="13763"/>
        <v>2021</v>
      </c>
      <c r="E8123" s="1" t="str">
        <f>"71.88"</f>
        <v>71.88</v>
      </c>
      <c r="F8123" s="1" t="str">
        <f t="shared" ref="F8123:I8123" si="13824">"0"</f>
        <v>0</v>
      </c>
      <c r="G8123" s="1" t="str">
        <f t="shared" si="13824"/>
        <v>0</v>
      </c>
      <c r="H8123" s="1" t="str">
        <f t="shared" si="13824"/>
        <v>0</v>
      </c>
      <c r="I8123" s="1" t="str">
        <f t="shared" si="13824"/>
        <v>0</v>
      </c>
      <c r="J8123" s="1" t="str">
        <f>"9"</f>
        <v>9</v>
      </c>
      <c r="K8123" s="1" t="str">
        <f t="shared" ref="K8123:P8123" si="13825">"0"</f>
        <v>0</v>
      </c>
      <c r="L8123" s="1" t="str">
        <f t="shared" si="13825"/>
        <v>0</v>
      </c>
      <c r="M8123" s="1" t="str">
        <f t="shared" si="13825"/>
        <v>0</v>
      </c>
      <c r="N8123" s="1" t="str">
        <f t="shared" si="13825"/>
        <v>0</v>
      </c>
      <c r="O8123" s="1" t="str">
        <f t="shared" si="13825"/>
        <v>0</v>
      </c>
      <c r="P8123" s="1" t="str">
        <f t="shared" si="13825"/>
        <v>0</v>
      </c>
      <c r="Q8123" s="1" t="str">
        <f t="shared" si="13765"/>
        <v>0.0070</v>
      </c>
      <c r="R8123" s="1" t="s">
        <v>29</v>
      </c>
      <c r="S8123" s="1">
        <v>-0.0014</v>
      </c>
      <c r="T8123" s="1" t="str">
        <f t="shared" si="13766"/>
        <v>0</v>
      </c>
      <c r="U8123" s="1" t="str">
        <f>"0.0056"</f>
        <v>0.0056</v>
      </c>
    </row>
    <row r="8124" s="1" customFormat="1" spans="1:21">
      <c r="A8124" s="1" t="str">
        <f>"4601992381599"</f>
        <v>4601992381599</v>
      </c>
      <c r="B8124" s="1" t="s">
        <v>8147</v>
      </c>
      <c r="C8124" s="1" t="s">
        <v>24</v>
      </c>
      <c r="D8124" s="1" t="str">
        <f t="shared" si="13763"/>
        <v>2021</v>
      </c>
      <c r="E8124" s="1" t="str">
        <f t="shared" ref="E8124:P8124" si="13826">"0"</f>
        <v>0</v>
      </c>
      <c r="F8124" s="1" t="str">
        <f t="shared" si="13826"/>
        <v>0</v>
      </c>
      <c r="G8124" s="1" t="str">
        <f t="shared" si="13826"/>
        <v>0</v>
      </c>
      <c r="H8124" s="1" t="str">
        <f t="shared" si="13826"/>
        <v>0</v>
      </c>
      <c r="I8124" s="1" t="str">
        <f t="shared" si="13826"/>
        <v>0</v>
      </c>
      <c r="J8124" s="1" t="str">
        <f t="shared" si="13826"/>
        <v>0</v>
      </c>
      <c r="K8124" s="1" t="str">
        <f t="shared" si="13826"/>
        <v>0</v>
      </c>
      <c r="L8124" s="1" t="str">
        <f t="shared" si="13826"/>
        <v>0</v>
      </c>
      <c r="M8124" s="1" t="str">
        <f t="shared" si="13826"/>
        <v>0</v>
      </c>
      <c r="N8124" s="1" t="str">
        <f t="shared" si="13826"/>
        <v>0</v>
      </c>
      <c r="O8124" s="1" t="str">
        <f t="shared" si="13826"/>
        <v>0</v>
      </c>
      <c r="P8124" s="1" t="str">
        <f t="shared" si="13826"/>
        <v>0</v>
      </c>
      <c r="Q8124" s="1" t="str">
        <f t="shared" si="13765"/>
        <v>0.0070</v>
      </c>
      <c r="R8124" s="1" t="s">
        <v>25</v>
      </c>
      <c r="T8124" s="1" t="str">
        <f t="shared" si="13766"/>
        <v>0</v>
      </c>
      <c r="U8124" s="1" t="str">
        <f t="shared" ref="U8124:U8187" si="13827">"0.0070"</f>
        <v>0.0070</v>
      </c>
    </row>
    <row r="8125" s="1" customFormat="1" spans="1:21">
      <c r="A8125" s="1" t="str">
        <f>"4601992381610"</f>
        <v>4601992381610</v>
      </c>
      <c r="B8125" s="1" t="s">
        <v>8148</v>
      </c>
      <c r="C8125" s="1" t="s">
        <v>24</v>
      </c>
      <c r="D8125" s="1" t="str">
        <f t="shared" si="13763"/>
        <v>2021</v>
      </c>
      <c r="E8125" s="1" t="str">
        <f t="shared" ref="E8125:P8125" si="13828">"0"</f>
        <v>0</v>
      </c>
      <c r="F8125" s="1" t="str">
        <f t="shared" si="13828"/>
        <v>0</v>
      </c>
      <c r="G8125" s="1" t="str">
        <f t="shared" si="13828"/>
        <v>0</v>
      </c>
      <c r="H8125" s="1" t="str">
        <f t="shared" si="13828"/>
        <v>0</v>
      </c>
      <c r="I8125" s="1" t="str">
        <f t="shared" si="13828"/>
        <v>0</v>
      </c>
      <c r="J8125" s="1" t="str">
        <f t="shared" si="13828"/>
        <v>0</v>
      </c>
      <c r="K8125" s="1" t="str">
        <f t="shared" si="13828"/>
        <v>0</v>
      </c>
      <c r="L8125" s="1" t="str">
        <f t="shared" si="13828"/>
        <v>0</v>
      </c>
      <c r="M8125" s="1" t="str">
        <f t="shared" si="13828"/>
        <v>0</v>
      </c>
      <c r="N8125" s="1" t="str">
        <f t="shared" si="13828"/>
        <v>0</v>
      </c>
      <c r="O8125" s="1" t="str">
        <f t="shared" si="13828"/>
        <v>0</v>
      </c>
      <c r="P8125" s="1" t="str">
        <f t="shared" si="13828"/>
        <v>0</v>
      </c>
      <c r="Q8125" s="1" t="str">
        <f t="shared" si="13765"/>
        <v>0.0070</v>
      </c>
      <c r="R8125" s="1" t="s">
        <v>25</v>
      </c>
      <c r="T8125" s="1" t="str">
        <f t="shared" si="13766"/>
        <v>0</v>
      </c>
      <c r="U8125" s="1" t="str">
        <f t="shared" si="13827"/>
        <v>0.0070</v>
      </c>
    </row>
    <row r="8126" s="1" customFormat="1" spans="1:21">
      <c r="A8126" s="1" t="str">
        <f>"4601992381638"</f>
        <v>4601992381638</v>
      </c>
      <c r="B8126" s="1" t="s">
        <v>8149</v>
      </c>
      <c r="C8126" s="1" t="s">
        <v>24</v>
      </c>
      <c r="D8126" s="1" t="str">
        <f t="shared" si="13763"/>
        <v>2021</v>
      </c>
      <c r="E8126" s="1" t="str">
        <f t="shared" ref="E8126:P8126" si="13829">"0"</f>
        <v>0</v>
      </c>
      <c r="F8126" s="1" t="str">
        <f t="shared" si="13829"/>
        <v>0</v>
      </c>
      <c r="G8126" s="1" t="str">
        <f t="shared" si="13829"/>
        <v>0</v>
      </c>
      <c r="H8126" s="1" t="str">
        <f t="shared" si="13829"/>
        <v>0</v>
      </c>
      <c r="I8126" s="1" t="str">
        <f t="shared" si="13829"/>
        <v>0</v>
      </c>
      <c r="J8126" s="1" t="str">
        <f t="shared" si="13829"/>
        <v>0</v>
      </c>
      <c r="K8126" s="1" t="str">
        <f t="shared" si="13829"/>
        <v>0</v>
      </c>
      <c r="L8126" s="1" t="str">
        <f t="shared" si="13829"/>
        <v>0</v>
      </c>
      <c r="M8126" s="1" t="str">
        <f t="shared" si="13829"/>
        <v>0</v>
      </c>
      <c r="N8126" s="1" t="str">
        <f t="shared" si="13829"/>
        <v>0</v>
      </c>
      <c r="O8126" s="1" t="str">
        <f t="shared" si="13829"/>
        <v>0</v>
      </c>
      <c r="P8126" s="1" t="str">
        <f t="shared" si="13829"/>
        <v>0</v>
      </c>
      <c r="Q8126" s="1" t="str">
        <f t="shared" si="13765"/>
        <v>0.0070</v>
      </c>
      <c r="R8126" s="1" t="s">
        <v>25</v>
      </c>
      <c r="T8126" s="1" t="str">
        <f t="shared" si="13766"/>
        <v>0</v>
      </c>
      <c r="U8126" s="1" t="str">
        <f t="shared" si="13827"/>
        <v>0.0070</v>
      </c>
    </row>
    <row r="8127" s="1" customFormat="1" spans="1:21">
      <c r="A8127" s="1" t="str">
        <f>"4601992381703"</f>
        <v>4601992381703</v>
      </c>
      <c r="B8127" s="1" t="s">
        <v>8150</v>
      </c>
      <c r="C8127" s="1" t="s">
        <v>24</v>
      </c>
      <c r="D8127" s="1" t="str">
        <f t="shared" si="13763"/>
        <v>2021</v>
      </c>
      <c r="E8127" s="1" t="str">
        <f t="shared" ref="E8127:P8127" si="13830">"0"</f>
        <v>0</v>
      </c>
      <c r="F8127" s="1" t="str">
        <f t="shared" si="13830"/>
        <v>0</v>
      </c>
      <c r="G8127" s="1" t="str">
        <f t="shared" si="13830"/>
        <v>0</v>
      </c>
      <c r="H8127" s="1" t="str">
        <f t="shared" si="13830"/>
        <v>0</v>
      </c>
      <c r="I8127" s="1" t="str">
        <f t="shared" si="13830"/>
        <v>0</v>
      </c>
      <c r="J8127" s="1" t="str">
        <f t="shared" si="13830"/>
        <v>0</v>
      </c>
      <c r="K8127" s="1" t="str">
        <f t="shared" si="13830"/>
        <v>0</v>
      </c>
      <c r="L8127" s="1" t="str">
        <f t="shared" si="13830"/>
        <v>0</v>
      </c>
      <c r="M8127" s="1" t="str">
        <f t="shared" si="13830"/>
        <v>0</v>
      </c>
      <c r="N8127" s="1" t="str">
        <f t="shared" si="13830"/>
        <v>0</v>
      </c>
      <c r="O8127" s="1" t="str">
        <f t="shared" si="13830"/>
        <v>0</v>
      </c>
      <c r="P8127" s="1" t="str">
        <f t="shared" si="13830"/>
        <v>0</v>
      </c>
      <c r="Q8127" s="1" t="str">
        <f t="shared" si="13765"/>
        <v>0.0070</v>
      </c>
      <c r="R8127" s="1" t="s">
        <v>25</v>
      </c>
      <c r="T8127" s="1" t="str">
        <f t="shared" si="13766"/>
        <v>0</v>
      </c>
      <c r="U8127" s="1" t="str">
        <f t="shared" si="13827"/>
        <v>0.0070</v>
      </c>
    </row>
    <row r="8128" s="1" customFormat="1" spans="1:21">
      <c r="A8128" s="1" t="str">
        <f>"4601992381705"</f>
        <v>4601992381705</v>
      </c>
      <c r="B8128" s="1" t="s">
        <v>8151</v>
      </c>
      <c r="C8128" s="1" t="s">
        <v>24</v>
      </c>
      <c r="D8128" s="1" t="str">
        <f t="shared" si="13763"/>
        <v>2021</v>
      </c>
      <c r="E8128" s="1" t="str">
        <f t="shared" ref="E8128:P8128" si="13831">"0"</f>
        <v>0</v>
      </c>
      <c r="F8128" s="1" t="str">
        <f t="shared" si="13831"/>
        <v>0</v>
      </c>
      <c r="G8128" s="1" t="str">
        <f t="shared" si="13831"/>
        <v>0</v>
      </c>
      <c r="H8128" s="1" t="str">
        <f t="shared" si="13831"/>
        <v>0</v>
      </c>
      <c r="I8128" s="1" t="str">
        <f t="shared" si="13831"/>
        <v>0</v>
      </c>
      <c r="J8128" s="1" t="str">
        <f t="shared" si="13831"/>
        <v>0</v>
      </c>
      <c r="K8128" s="1" t="str">
        <f t="shared" si="13831"/>
        <v>0</v>
      </c>
      <c r="L8128" s="1" t="str">
        <f t="shared" si="13831"/>
        <v>0</v>
      </c>
      <c r="M8128" s="1" t="str">
        <f t="shared" si="13831"/>
        <v>0</v>
      </c>
      <c r="N8128" s="1" t="str">
        <f t="shared" si="13831"/>
        <v>0</v>
      </c>
      <c r="O8128" s="1" t="str">
        <f t="shared" si="13831"/>
        <v>0</v>
      </c>
      <c r="P8128" s="1" t="str">
        <f t="shared" si="13831"/>
        <v>0</v>
      </c>
      <c r="Q8128" s="1" t="str">
        <f t="shared" si="13765"/>
        <v>0.0070</v>
      </c>
      <c r="R8128" s="1" t="s">
        <v>25</v>
      </c>
      <c r="T8128" s="1" t="str">
        <f t="shared" si="13766"/>
        <v>0</v>
      </c>
      <c r="U8128" s="1" t="str">
        <f t="shared" si="13827"/>
        <v>0.0070</v>
      </c>
    </row>
    <row r="8129" s="1" customFormat="1" spans="1:21">
      <c r="A8129" s="1" t="str">
        <f>"4601992381749"</f>
        <v>4601992381749</v>
      </c>
      <c r="B8129" s="1" t="s">
        <v>8152</v>
      </c>
      <c r="C8129" s="1" t="s">
        <v>24</v>
      </c>
      <c r="D8129" s="1" t="str">
        <f t="shared" si="13763"/>
        <v>2021</v>
      </c>
      <c r="E8129" s="1" t="str">
        <f t="shared" ref="E8129:P8129" si="13832">"0"</f>
        <v>0</v>
      </c>
      <c r="F8129" s="1" t="str">
        <f t="shared" si="13832"/>
        <v>0</v>
      </c>
      <c r="G8129" s="1" t="str">
        <f t="shared" si="13832"/>
        <v>0</v>
      </c>
      <c r="H8129" s="1" t="str">
        <f t="shared" si="13832"/>
        <v>0</v>
      </c>
      <c r="I8129" s="1" t="str">
        <f t="shared" si="13832"/>
        <v>0</v>
      </c>
      <c r="J8129" s="1" t="str">
        <f t="shared" si="13832"/>
        <v>0</v>
      </c>
      <c r="K8129" s="1" t="str">
        <f t="shared" si="13832"/>
        <v>0</v>
      </c>
      <c r="L8129" s="1" t="str">
        <f t="shared" si="13832"/>
        <v>0</v>
      </c>
      <c r="M8129" s="1" t="str">
        <f t="shared" si="13832"/>
        <v>0</v>
      </c>
      <c r="N8129" s="1" t="str">
        <f t="shared" si="13832"/>
        <v>0</v>
      </c>
      <c r="O8129" s="1" t="str">
        <f t="shared" si="13832"/>
        <v>0</v>
      </c>
      <c r="P8129" s="1" t="str">
        <f t="shared" si="13832"/>
        <v>0</v>
      </c>
      <c r="Q8129" s="1" t="str">
        <f t="shared" si="13765"/>
        <v>0.0070</v>
      </c>
      <c r="R8129" s="1" t="s">
        <v>25</v>
      </c>
      <c r="T8129" s="1" t="str">
        <f t="shared" si="13766"/>
        <v>0</v>
      </c>
      <c r="U8129" s="1" t="str">
        <f t="shared" si="13827"/>
        <v>0.0070</v>
      </c>
    </row>
    <row r="8130" s="1" customFormat="1" spans="1:21">
      <c r="A8130" s="1" t="str">
        <f>"4601992381768"</f>
        <v>4601992381768</v>
      </c>
      <c r="B8130" s="1" t="s">
        <v>8153</v>
      </c>
      <c r="C8130" s="1" t="s">
        <v>24</v>
      </c>
      <c r="D8130" s="1" t="str">
        <f t="shared" si="13763"/>
        <v>2021</v>
      </c>
      <c r="E8130" s="1" t="str">
        <f t="shared" ref="E8130:P8130" si="13833">"0"</f>
        <v>0</v>
      </c>
      <c r="F8130" s="1" t="str">
        <f t="shared" si="13833"/>
        <v>0</v>
      </c>
      <c r="G8130" s="1" t="str">
        <f t="shared" si="13833"/>
        <v>0</v>
      </c>
      <c r="H8130" s="1" t="str">
        <f t="shared" si="13833"/>
        <v>0</v>
      </c>
      <c r="I8130" s="1" t="str">
        <f t="shared" si="13833"/>
        <v>0</v>
      </c>
      <c r="J8130" s="1" t="str">
        <f t="shared" si="13833"/>
        <v>0</v>
      </c>
      <c r="K8130" s="1" t="str">
        <f t="shared" si="13833"/>
        <v>0</v>
      </c>
      <c r="L8130" s="1" t="str">
        <f t="shared" si="13833"/>
        <v>0</v>
      </c>
      <c r="M8130" s="1" t="str">
        <f t="shared" si="13833"/>
        <v>0</v>
      </c>
      <c r="N8130" s="1" t="str">
        <f t="shared" si="13833"/>
        <v>0</v>
      </c>
      <c r="O8130" s="1" t="str">
        <f t="shared" si="13833"/>
        <v>0</v>
      </c>
      <c r="P8130" s="1" t="str">
        <f t="shared" si="13833"/>
        <v>0</v>
      </c>
      <c r="Q8130" s="1" t="str">
        <f t="shared" si="13765"/>
        <v>0.0070</v>
      </c>
      <c r="R8130" s="1" t="s">
        <v>25</v>
      </c>
      <c r="T8130" s="1" t="str">
        <f t="shared" si="13766"/>
        <v>0</v>
      </c>
      <c r="U8130" s="1" t="str">
        <f t="shared" si="13827"/>
        <v>0.0070</v>
      </c>
    </row>
    <row r="8131" s="1" customFormat="1" spans="1:21">
      <c r="A8131" s="1" t="str">
        <f>"4601992381812"</f>
        <v>4601992381812</v>
      </c>
      <c r="B8131" s="1" t="s">
        <v>8154</v>
      </c>
      <c r="C8131" s="1" t="s">
        <v>24</v>
      </c>
      <c r="D8131" s="1" t="str">
        <f t="shared" ref="D8131:D8194" si="13834">"2021"</f>
        <v>2021</v>
      </c>
      <c r="E8131" s="1" t="str">
        <f t="shared" ref="E8131:P8131" si="13835">"0"</f>
        <v>0</v>
      </c>
      <c r="F8131" s="1" t="str">
        <f t="shared" si="13835"/>
        <v>0</v>
      </c>
      <c r="G8131" s="1" t="str">
        <f t="shared" si="13835"/>
        <v>0</v>
      </c>
      <c r="H8131" s="1" t="str">
        <f t="shared" si="13835"/>
        <v>0</v>
      </c>
      <c r="I8131" s="1" t="str">
        <f t="shared" si="13835"/>
        <v>0</v>
      </c>
      <c r="J8131" s="1" t="str">
        <f t="shared" si="13835"/>
        <v>0</v>
      </c>
      <c r="K8131" s="1" t="str">
        <f t="shared" si="13835"/>
        <v>0</v>
      </c>
      <c r="L8131" s="1" t="str">
        <f t="shared" si="13835"/>
        <v>0</v>
      </c>
      <c r="M8131" s="1" t="str">
        <f t="shared" si="13835"/>
        <v>0</v>
      </c>
      <c r="N8131" s="1" t="str">
        <f t="shared" si="13835"/>
        <v>0</v>
      </c>
      <c r="O8131" s="1" t="str">
        <f t="shared" si="13835"/>
        <v>0</v>
      </c>
      <c r="P8131" s="1" t="str">
        <f t="shared" si="13835"/>
        <v>0</v>
      </c>
      <c r="Q8131" s="1" t="str">
        <f t="shared" ref="Q8131:Q8194" si="13836">"0.0070"</f>
        <v>0.0070</v>
      </c>
      <c r="R8131" s="1" t="s">
        <v>25</v>
      </c>
      <c r="T8131" s="1" t="str">
        <f t="shared" ref="T8131:T8194" si="13837">"0"</f>
        <v>0</v>
      </c>
      <c r="U8131" s="1" t="str">
        <f t="shared" si="13827"/>
        <v>0.0070</v>
      </c>
    </row>
    <row r="8132" s="1" customFormat="1" spans="1:21">
      <c r="A8132" s="1" t="str">
        <f>"4601992381840"</f>
        <v>4601992381840</v>
      </c>
      <c r="B8132" s="1" t="s">
        <v>8155</v>
      </c>
      <c r="C8132" s="1" t="s">
        <v>24</v>
      </c>
      <c r="D8132" s="1" t="str">
        <f t="shared" si="13834"/>
        <v>2021</v>
      </c>
      <c r="E8132" s="1" t="str">
        <f t="shared" ref="E8132:P8132" si="13838">"0"</f>
        <v>0</v>
      </c>
      <c r="F8132" s="1" t="str">
        <f t="shared" si="13838"/>
        <v>0</v>
      </c>
      <c r="G8132" s="1" t="str">
        <f t="shared" si="13838"/>
        <v>0</v>
      </c>
      <c r="H8132" s="1" t="str">
        <f t="shared" si="13838"/>
        <v>0</v>
      </c>
      <c r="I8132" s="1" t="str">
        <f t="shared" si="13838"/>
        <v>0</v>
      </c>
      <c r="J8132" s="1" t="str">
        <f t="shared" si="13838"/>
        <v>0</v>
      </c>
      <c r="K8132" s="1" t="str">
        <f t="shared" si="13838"/>
        <v>0</v>
      </c>
      <c r="L8132" s="1" t="str">
        <f t="shared" si="13838"/>
        <v>0</v>
      </c>
      <c r="M8132" s="1" t="str">
        <f t="shared" si="13838"/>
        <v>0</v>
      </c>
      <c r="N8132" s="1" t="str">
        <f t="shared" si="13838"/>
        <v>0</v>
      </c>
      <c r="O8132" s="1" t="str">
        <f t="shared" si="13838"/>
        <v>0</v>
      </c>
      <c r="P8132" s="1" t="str">
        <f t="shared" si="13838"/>
        <v>0</v>
      </c>
      <c r="Q8132" s="1" t="str">
        <f t="shared" si="13836"/>
        <v>0.0070</v>
      </c>
      <c r="R8132" s="1" t="s">
        <v>25</v>
      </c>
      <c r="T8132" s="1" t="str">
        <f t="shared" si="13837"/>
        <v>0</v>
      </c>
      <c r="U8132" s="1" t="str">
        <f t="shared" si="13827"/>
        <v>0.0070</v>
      </c>
    </row>
    <row r="8133" s="1" customFormat="1" spans="1:21">
      <c r="A8133" s="1" t="str">
        <f>"4601992382074"</f>
        <v>4601992382074</v>
      </c>
      <c r="B8133" s="1" t="s">
        <v>8156</v>
      </c>
      <c r="C8133" s="1" t="s">
        <v>24</v>
      </c>
      <c r="D8133" s="1" t="str">
        <f t="shared" si="13834"/>
        <v>2021</v>
      </c>
      <c r="E8133" s="1" t="str">
        <f t="shared" ref="E8133:P8133" si="13839">"0"</f>
        <v>0</v>
      </c>
      <c r="F8133" s="1" t="str">
        <f t="shared" si="13839"/>
        <v>0</v>
      </c>
      <c r="G8133" s="1" t="str">
        <f t="shared" si="13839"/>
        <v>0</v>
      </c>
      <c r="H8133" s="1" t="str">
        <f t="shared" si="13839"/>
        <v>0</v>
      </c>
      <c r="I8133" s="1" t="str">
        <f t="shared" si="13839"/>
        <v>0</v>
      </c>
      <c r="J8133" s="1" t="str">
        <f t="shared" si="13839"/>
        <v>0</v>
      </c>
      <c r="K8133" s="1" t="str">
        <f t="shared" si="13839"/>
        <v>0</v>
      </c>
      <c r="L8133" s="1" t="str">
        <f t="shared" si="13839"/>
        <v>0</v>
      </c>
      <c r="M8133" s="1" t="str">
        <f t="shared" si="13839"/>
        <v>0</v>
      </c>
      <c r="N8133" s="1" t="str">
        <f t="shared" si="13839"/>
        <v>0</v>
      </c>
      <c r="O8133" s="1" t="str">
        <f t="shared" si="13839"/>
        <v>0</v>
      </c>
      <c r="P8133" s="1" t="str">
        <f t="shared" si="13839"/>
        <v>0</v>
      </c>
      <c r="Q8133" s="1" t="str">
        <f t="shared" si="13836"/>
        <v>0.0070</v>
      </c>
      <c r="R8133" s="1" t="s">
        <v>25</v>
      </c>
      <c r="T8133" s="1" t="str">
        <f t="shared" si="13837"/>
        <v>0</v>
      </c>
      <c r="U8133" s="1" t="str">
        <f t="shared" si="13827"/>
        <v>0.0070</v>
      </c>
    </row>
    <row r="8134" s="1" customFormat="1" spans="1:21">
      <c r="A8134" s="1" t="str">
        <f>"4601992381918"</f>
        <v>4601992381918</v>
      </c>
      <c r="B8134" s="1" t="s">
        <v>8157</v>
      </c>
      <c r="C8134" s="1" t="s">
        <v>24</v>
      </c>
      <c r="D8134" s="1" t="str">
        <f t="shared" si="13834"/>
        <v>2021</v>
      </c>
      <c r="E8134" s="1" t="str">
        <f t="shared" ref="E8134:P8134" si="13840">"0"</f>
        <v>0</v>
      </c>
      <c r="F8134" s="1" t="str">
        <f t="shared" si="13840"/>
        <v>0</v>
      </c>
      <c r="G8134" s="1" t="str">
        <f t="shared" si="13840"/>
        <v>0</v>
      </c>
      <c r="H8134" s="1" t="str">
        <f t="shared" si="13840"/>
        <v>0</v>
      </c>
      <c r="I8134" s="1" t="str">
        <f t="shared" si="13840"/>
        <v>0</v>
      </c>
      <c r="J8134" s="1" t="str">
        <f t="shared" si="13840"/>
        <v>0</v>
      </c>
      <c r="K8134" s="1" t="str">
        <f t="shared" si="13840"/>
        <v>0</v>
      </c>
      <c r="L8134" s="1" t="str">
        <f t="shared" si="13840"/>
        <v>0</v>
      </c>
      <c r="M8134" s="1" t="str">
        <f t="shared" si="13840"/>
        <v>0</v>
      </c>
      <c r="N8134" s="1" t="str">
        <f t="shared" si="13840"/>
        <v>0</v>
      </c>
      <c r="O8134" s="1" t="str">
        <f t="shared" si="13840"/>
        <v>0</v>
      </c>
      <c r="P8134" s="1" t="str">
        <f t="shared" si="13840"/>
        <v>0</v>
      </c>
      <c r="Q8134" s="1" t="str">
        <f t="shared" si="13836"/>
        <v>0.0070</v>
      </c>
      <c r="R8134" s="1" t="s">
        <v>25</v>
      </c>
      <c r="T8134" s="1" t="str">
        <f t="shared" si="13837"/>
        <v>0</v>
      </c>
      <c r="U8134" s="1" t="str">
        <f t="shared" si="13827"/>
        <v>0.0070</v>
      </c>
    </row>
    <row r="8135" s="1" customFormat="1" spans="1:21">
      <c r="A8135" s="1" t="str">
        <f>"4601992382135"</f>
        <v>4601992382135</v>
      </c>
      <c r="B8135" s="1" t="s">
        <v>8158</v>
      </c>
      <c r="C8135" s="1" t="s">
        <v>24</v>
      </c>
      <c r="D8135" s="1" t="str">
        <f t="shared" si="13834"/>
        <v>2021</v>
      </c>
      <c r="E8135" s="1" t="str">
        <f t="shared" ref="E8135:P8135" si="13841">"0"</f>
        <v>0</v>
      </c>
      <c r="F8135" s="1" t="str">
        <f t="shared" si="13841"/>
        <v>0</v>
      </c>
      <c r="G8135" s="1" t="str">
        <f t="shared" si="13841"/>
        <v>0</v>
      </c>
      <c r="H8135" s="1" t="str">
        <f t="shared" si="13841"/>
        <v>0</v>
      </c>
      <c r="I8135" s="1" t="str">
        <f t="shared" si="13841"/>
        <v>0</v>
      </c>
      <c r="J8135" s="1" t="str">
        <f t="shared" si="13841"/>
        <v>0</v>
      </c>
      <c r="K8135" s="1" t="str">
        <f t="shared" si="13841"/>
        <v>0</v>
      </c>
      <c r="L8135" s="1" t="str">
        <f t="shared" si="13841"/>
        <v>0</v>
      </c>
      <c r="M8135" s="1" t="str">
        <f t="shared" si="13841"/>
        <v>0</v>
      </c>
      <c r="N8135" s="1" t="str">
        <f t="shared" si="13841"/>
        <v>0</v>
      </c>
      <c r="O8135" s="1" t="str">
        <f t="shared" si="13841"/>
        <v>0</v>
      </c>
      <c r="P8135" s="1" t="str">
        <f t="shared" si="13841"/>
        <v>0</v>
      </c>
      <c r="Q8135" s="1" t="str">
        <f t="shared" si="13836"/>
        <v>0.0070</v>
      </c>
      <c r="R8135" s="1" t="s">
        <v>25</v>
      </c>
      <c r="T8135" s="1" t="str">
        <f t="shared" si="13837"/>
        <v>0</v>
      </c>
      <c r="U8135" s="1" t="str">
        <f t="shared" si="13827"/>
        <v>0.0070</v>
      </c>
    </row>
    <row r="8136" s="1" customFormat="1" spans="1:21">
      <c r="A8136" s="1" t="str">
        <f>"4601992382160"</f>
        <v>4601992382160</v>
      </c>
      <c r="B8136" s="1" t="s">
        <v>8159</v>
      </c>
      <c r="C8136" s="1" t="s">
        <v>24</v>
      </c>
      <c r="D8136" s="1" t="str">
        <f t="shared" si="13834"/>
        <v>2021</v>
      </c>
      <c r="E8136" s="1" t="str">
        <f t="shared" ref="E8136:P8136" si="13842">"0"</f>
        <v>0</v>
      </c>
      <c r="F8136" s="1" t="str">
        <f t="shared" si="13842"/>
        <v>0</v>
      </c>
      <c r="G8136" s="1" t="str">
        <f t="shared" si="13842"/>
        <v>0</v>
      </c>
      <c r="H8136" s="1" t="str">
        <f t="shared" si="13842"/>
        <v>0</v>
      </c>
      <c r="I8136" s="1" t="str">
        <f t="shared" si="13842"/>
        <v>0</v>
      </c>
      <c r="J8136" s="1" t="str">
        <f t="shared" si="13842"/>
        <v>0</v>
      </c>
      <c r="K8136" s="1" t="str">
        <f t="shared" si="13842"/>
        <v>0</v>
      </c>
      <c r="L8136" s="1" t="str">
        <f t="shared" si="13842"/>
        <v>0</v>
      </c>
      <c r="M8136" s="1" t="str">
        <f t="shared" si="13842"/>
        <v>0</v>
      </c>
      <c r="N8136" s="1" t="str">
        <f t="shared" si="13842"/>
        <v>0</v>
      </c>
      <c r="O8136" s="1" t="str">
        <f t="shared" si="13842"/>
        <v>0</v>
      </c>
      <c r="P8136" s="1" t="str">
        <f t="shared" si="13842"/>
        <v>0</v>
      </c>
      <c r="Q8136" s="1" t="str">
        <f t="shared" si="13836"/>
        <v>0.0070</v>
      </c>
      <c r="R8136" s="1" t="s">
        <v>25</v>
      </c>
      <c r="T8136" s="1" t="str">
        <f t="shared" si="13837"/>
        <v>0</v>
      </c>
      <c r="U8136" s="1" t="str">
        <f t="shared" si="13827"/>
        <v>0.0070</v>
      </c>
    </row>
    <row r="8137" s="1" customFormat="1" spans="1:21">
      <c r="A8137" s="1" t="str">
        <f>"4601992382323"</f>
        <v>4601992382323</v>
      </c>
      <c r="B8137" s="1" t="s">
        <v>8160</v>
      </c>
      <c r="C8137" s="1" t="s">
        <v>24</v>
      </c>
      <c r="D8137" s="1" t="str">
        <f t="shared" si="13834"/>
        <v>2021</v>
      </c>
      <c r="E8137" s="1" t="str">
        <f t="shared" ref="E8137:P8137" si="13843">"0"</f>
        <v>0</v>
      </c>
      <c r="F8137" s="1" t="str">
        <f t="shared" si="13843"/>
        <v>0</v>
      </c>
      <c r="G8137" s="1" t="str">
        <f t="shared" si="13843"/>
        <v>0</v>
      </c>
      <c r="H8137" s="1" t="str">
        <f t="shared" si="13843"/>
        <v>0</v>
      </c>
      <c r="I8137" s="1" t="str">
        <f t="shared" si="13843"/>
        <v>0</v>
      </c>
      <c r="J8137" s="1" t="str">
        <f t="shared" si="13843"/>
        <v>0</v>
      </c>
      <c r="K8137" s="1" t="str">
        <f t="shared" si="13843"/>
        <v>0</v>
      </c>
      <c r="L8137" s="1" t="str">
        <f t="shared" si="13843"/>
        <v>0</v>
      </c>
      <c r="M8137" s="1" t="str">
        <f t="shared" si="13843"/>
        <v>0</v>
      </c>
      <c r="N8137" s="1" t="str">
        <f t="shared" si="13843"/>
        <v>0</v>
      </c>
      <c r="O8137" s="1" t="str">
        <f t="shared" si="13843"/>
        <v>0</v>
      </c>
      <c r="P8137" s="1" t="str">
        <f t="shared" si="13843"/>
        <v>0</v>
      </c>
      <c r="Q8137" s="1" t="str">
        <f t="shared" si="13836"/>
        <v>0.0070</v>
      </c>
      <c r="R8137" s="1" t="s">
        <v>25</v>
      </c>
      <c r="T8137" s="1" t="str">
        <f t="shared" si="13837"/>
        <v>0</v>
      </c>
      <c r="U8137" s="1" t="str">
        <f t="shared" si="13827"/>
        <v>0.0070</v>
      </c>
    </row>
    <row r="8138" s="1" customFormat="1" spans="1:21">
      <c r="A8138" s="1" t="str">
        <f>"4601992382374"</f>
        <v>4601992382374</v>
      </c>
      <c r="B8138" s="1" t="s">
        <v>8161</v>
      </c>
      <c r="C8138" s="1" t="s">
        <v>24</v>
      </c>
      <c r="D8138" s="1" t="str">
        <f t="shared" si="13834"/>
        <v>2021</v>
      </c>
      <c r="E8138" s="1" t="str">
        <f t="shared" ref="E8138:P8138" si="13844">"0"</f>
        <v>0</v>
      </c>
      <c r="F8138" s="1" t="str">
        <f t="shared" si="13844"/>
        <v>0</v>
      </c>
      <c r="G8138" s="1" t="str">
        <f t="shared" si="13844"/>
        <v>0</v>
      </c>
      <c r="H8138" s="1" t="str">
        <f t="shared" si="13844"/>
        <v>0</v>
      </c>
      <c r="I8138" s="1" t="str">
        <f t="shared" si="13844"/>
        <v>0</v>
      </c>
      <c r="J8138" s="1" t="str">
        <f t="shared" si="13844"/>
        <v>0</v>
      </c>
      <c r="K8138" s="1" t="str">
        <f t="shared" si="13844"/>
        <v>0</v>
      </c>
      <c r="L8138" s="1" t="str">
        <f t="shared" si="13844"/>
        <v>0</v>
      </c>
      <c r="M8138" s="1" t="str">
        <f t="shared" si="13844"/>
        <v>0</v>
      </c>
      <c r="N8138" s="1" t="str">
        <f t="shared" si="13844"/>
        <v>0</v>
      </c>
      <c r="O8138" s="1" t="str">
        <f t="shared" si="13844"/>
        <v>0</v>
      </c>
      <c r="P8138" s="1" t="str">
        <f t="shared" si="13844"/>
        <v>0</v>
      </c>
      <c r="Q8138" s="1" t="str">
        <f t="shared" si="13836"/>
        <v>0.0070</v>
      </c>
      <c r="R8138" s="1" t="s">
        <v>25</v>
      </c>
      <c r="T8138" s="1" t="str">
        <f t="shared" si="13837"/>
        <v>0</v>
      </c>
      <c r="U8138" s="1" t="str">
        <f t="shared" si="13827"/>
        <v>0.0070</v>
      </c>
    </row>
    <row r="8139" s="1" customFormat="1" spans="1:21">
      <c r="A8139" s="1" t="str">
        <f>"4601992382477"</f>
        <v>4601992382477</v>
      </c>
      <c r="B8139" s="1" t="s">
        <v>8162</v>
      </c>
      <c r="C8139" s="1" t="s">
        <v>24</v>
      </c>
      <c r="D8139" s="1" t="str">
        <f t="shared" si="13834"/>
        <v>2021</v>
      </c>
      <c r="E8139" s="1" t="str">
        <f t="shared" ref="E8139:P8139" si="13845">"0"</f>
        <v>0</v>
      </c>
      <c r="F8139" s="1" t="str">
        <f t="shared" si="13845"/>
        <v>0</v>
      </c>
      <c r="G8139" s="1" t="str">
        <f t="shared" si="13845"/>
        <v>0</v>
      </c>
      <c r="H8139" s="1" t="str">
        <f t="shared" si="13845"/>
        <v>0</v>
      </c>
      <c r="I8139" s="1" t="str">
        <f t="shared" si="13845"/>
        <v>0</v>
      </c>
      <c r="J8139" s="1" t="str">
        <f t="shared" si="13845"/>
        <v>0</v>
      </c>
      <c r="K8139" s="1" t="str">
        <f t="shared" si="13845"/>
        <v>0</v>
      </c>
      <c r="L8139" s="1" t="str">
        <f t="shared" si="13845"/>
        <v>0</v>
      </c>
      <c r="M8139" s="1" t="str">
        <f t="shared" si="13845"/>
        <v>0</v>
      </c>
      <c r="N8139" s="1" t="str">
        <f t="shared" si="13845"/>
        <v>0</v>
      </c>
      <c r="O8139" s="1" t="str">
        <f t="shared" si="13845"/>
        <v>0</v>
      </c>
      <c r="P8139" s="1" t="str">
        <f t="shared" si="13845"/>
        <v>0</v>
      </c>
      <c r="Q8139" s="1" t="str">
        <f t="shared" si="13836"/>
        <v>0.0070</v>
      </c>
      <c r="R8139" s="1" t="s">
        <v>25</v>
      </c>
      <c r="T8139" s="1" t="str">
        <f t="shared" si="13837"/>
        <v>0</v>
      </c>
      <c r="U8139" s="1" t="str">
        <f t="shared" si="13827"/>
        <v>0.0070</v>
      </c>
    </row>
    <row r="8140" s="1" customFormat="1" spans="1:21">
      <c r="A8140" s="1" t="str">
        <f>"4601992382482"</f>
        <v>4601992382482</v>
      </c>
      <c r="B8140" s="1" t="s">
        <v>8163</v>
      </c>
      <c r="C8140" s="1" t="s">
        <v>24</v>
      </c>
      <c r="D8140" s="1" t="str">
        <f t="shared" si="13834"/>
        <v>2021</v>
      </c>
      <c r="E8140" s="1" t="str">
        <f t="shared" ref="E8140:P8140" si="13846">"0"</f>
        <v>0</v>
      </c>
      <c r="F8140" s="1" t="str">
        <f t="shared" si="13846"/>
        <v>0</v>
      </c>
      <c r="G8140" s="1" t="str">
        <f t="shared" si="13846"/>
        <v>0</v>
      </c>
      <c r="H8140" s="1" t="str">
        <f t="shared" si="13846"/>
        <v>0</v>
      </c>
      <c r="I8140" s="1" t="str">
        <f t="shared" si="13846"/>
        <v>0</v>
      </c>
      <c r="J8140" s="1" t="str">
        <f t="shared" si="13846"/>
        <v>0</v>
      </c>
      <c r="K8140" s="1" t="str">
        <f t="shared" si="13846"/>
        <v>0</v>
      </c>
      <c r="L8140" s="1" t="str">
        <f t="shared" si="13846"/>
        <v>0</v>
      </c>
      <c r="M8140" s="1" t="str">
        <f t="shared" si="13846"/>
        <v>0</v>
      </c>
      <c r="N8140" s="1" t="str">
        <f t="shared" si="13846"/>
        <v>0</v>
      </c>
      <c r="O8140" s="1" t="str">
        <f t="shared" si="13846"/>
        <v>0</v>
      </c>
      <c r="P8140" s="1" t="str">
        <f t="shared" si="13846"/>
        <v>0</v>
      </c>
      <c r="Q8140" s="1" t="str">
        <f t="shared" si="13836"/>
        <v>0.0070</v>
      </c>
      <c r="R8140" s="1" t="s">
        <v>25</v>
      </c>
      <c r="T8140" s="1" t="str">
        <f t="shared" si="13837"/>
        <v>0</v>
      </c>
      <c r="U8140" s="1" t="str">
        <f t="shared" si="13827"/>
        <v>0.0070</v>
      </c>
    </row>
    <row r="8141" s="1" customFormat="1" spans="1:21">
      <c r="A8141" s="1" t="str">
        <f>"4601992382495"</f>
        <v>4601992382495</v>
      </c>
      <c r="B8141" s="1" t="s">
        <v>8164</v>
      </c>
      <c r="C8141" s="1" t="s">
        <v>24</v>
      </c>
      <c r="D8141" s="1" t="str">
        <f t="shared" si="13834"/>
        <v>2021</v>
      </c>
      <c r="E8141" s="1" t="str">
        <f t="shared" ref="E8141:P8141" si="13847">"0"</f>
        <v>0</v>
      </c>
      <c r="F8141" s="1" t="str">
        <f t="shared" si="13847"/>
        <v>0</v>
      </c>
      <c r="G8141" s="1" t="str">
        <f t="shared" si="13847"/>
        <v>0</v>
      </c>
      <c r="H8141" s="1" t="str">
        <f t="shared" si="13847"/>
        <v>0</v>
      </c>
      <c r="I8141" s="1" t="str">
        <f t="shared" si="13847"/>
        <v>0</v>
      </c>
      <c r="J8141" s="1" t="str">
        <f t="shared" si="13847"/>
        <v>0</v>
      </c>
      <c r="K8141" s="1" t="str">
        <f t="shared" si="13847"/>
        <v>0</v>
      </c>
      <c r="L8141" s="1" t="str">
        <f t="shared" si="13847"/>
        <v>0</v>
      </c>
      <c r="M8141" s="1" t="str">
        <f t="shared" si="13847"/>
        <v>0</v>
      </c>
      <c r="N8141" s="1" t="str">
        <f t="shared" si="13847"/>
        <v>0</v>
      </c>
      <c r="O8141" s="1" t="str">
        <f t="shared" si="13847"/>
        <v>0</v>
      </c>
      <c r="P8141" s="1" t="str">
        <f t="shared" si="13847"/>
        <v>0</v>
      </c>
      <c r="Q8141" s="1" t="str">
        <f t="shared" si="13836"/>
        <v>0.0070</v>
      </c>
      <c r="R8141" s="1" t="s">
        <v>25</v>
      </c>
      <c r="T8141" s="1" t="str">
        <f t="shared" si="13837"/>
        <v>0</v>
      </c>
      <c r="U8141" s="1" t="str">
        <f t="shared" si="13827"/>
        <v>0.0070</v>
      </c>
    </row>
    <row r="8142" s="1" customFormat="1" spans="1:21">
      <c r="A8142" s="1" t="str">
        <f>"4601992382496"</f>
        <v>4601992382496</v>
      </c>
      <c r="B8142" s="1" t="s">
        <v>8165</v>
      </c>
      <c r="C8142" s="1" t="s">
        <v>24</v>
      </c>
      <c r="D8142" s="1" t="str">
        <f t="shared" si="13834"/>
        <v>2021</v>
      </c>
      <c r="E8142" s="1" t="str">
        <f t="shared" ref="E8142:P8142" si="13848">"0"</f>
        <v>0</v>
      </c>
      <c r="F8142" s="1" t="str">
        <f t="shared" si="13848"/>
        <v>0</v>
      </c>
      <c r="G8142" s="1" t="str">
        <f t="shared" si="13848"/>
        <v>0</v>
      </c>
      <c r="H8142" s="1" t="str">
        <f t="shared" si="13848"/>
        <v>0</v>
      </c>
      <c r="I8142" s="1" t="str">
        <f t="shared" si="13848"/>
        <v>0</v>
      </c>
      <c r="J8142" s="1" t="str">
        <f t="shared" si="13848"/>
        <v>0</v>
      </c>
      <c r="K8142" s="1" t="str">
        <f t="shared" si="13848"/>
        <v>0</v>
      </c>
      <c r="L8142" s="1" t="str">
        <f t="shared" si="13848"/>
        <v>0</v>
      </c>
      <c r="M8142" s="1" t="str">
        <f t="shared" si="13848"/>
        <v>0</v>
      </c>
      <c r="N8142" s="1" t="str">
        <f t="shared" si="13848"/>
        <v>0</v>
      </c>
      <c r="O8142" s="1" t="str">
        <f t="shared" si="13848"/>
        <v>0</v>
      </c>
      <c r="P8142" s="1" t="str">
        <f t="shared" si="13848"/>
        <v>0</v>
      </c>
      <c r="Q8142" s="1" t="str">
        <f t="shared" si="13836"/>
        <v>0.0070</v>
      </c>
      <c r="R8142" s="1" t="s">
        <v>25</v>
      </c>
      <c r="T8142" s="1" t="str">
        <f t="shared" si="13837"/>
        <v>0</v>
      </c>
      <c r="U8142" s="1" t="str">
        <f t="shared" si="13827"/>
        <v>0.0070</v>
      </c>
    </row>
    <row r="8143" s="1" customFormat="1" spans="1:21">
      <c r="A8143" s="1" t="str">
        <f>"4601992382503"</f>
        <v>4601992382503</v>
      </c>
      <c r="B8143" s="1" t="s">
        <v>8166</v>
      </c>
      <c r="C8143" s="1" t="s">
        <v>24</v>
      </c>
      <c r="D8143" s="1" t="str">
        <f t="shared" si="13834"/>
        <v>2021</v>
      </c>
      <c r="E8143" s="1" t="str">
        <f t="shared" ref="E8143:P8143" si="13849">"0"</f>
        <v>0</v>
      </c>
      <c r="F8143" s="1" t="str">
        <f t="shared" si="13849"/>
        <v>0</v>
      </c>
      <c r="G8143" s="1" t="str">
        <f t="shared" si="13849"/>
        <v>0</v>
      </c>
      <c r="H8143" s="1" t="str">
        <f t="shared" si="13849"/>
        <v>0</v>
      </c>
      <c r="I8143" s="1" t="str">
        <f t="shared" si="13849"/>
        <v>0</v>
      </c>
      <c r="J8143" s="1" t="str">
        <f t="shared" si="13849"/>
        <v>0</v>
      </c>
      <c r="K8143" s="1" t="str">
        <f t="shared" si="13849"/>
        <v>0</v>
      </c>
      <c r="L8143" s="1" t="str">
        <f t="shared" si="13849"/>
        <v>0</v>
      </c>
      <c r="M8143" s="1" t="str">
        <f t="shared" si="13849"/>
        <v>0</v>
      </c>
      <c r="N8143" s="1" t="str">
        <f t="shared" si="13849"/>
        <v>0</v>
      </c>
      <c r="O8143" s="1" t="str">
        <f t="shared" si="13849"/>
        <v>0</v>
      </c>
      <c r="P8143" s="1" t="str">
        <f t="shared" si="13849"/>
        <v>0</v>
      </c>
      <c r="Q8143" s="1" t="str">
        <f t="shared" si="13836"/>
        <v>0.0070</v>
      </c>
      <c r="R8143" s="1" t="s">
        <v>25</v>
      </c>
      <c r="T8143" s="1" t="str">
        <f t="shared" si="13837"/>
        <v>0</v>
      </c>
      <c r="U8143" s="1" t="str">
        <f t="shared" si="13827"/>
        <v>0.0070</v>
      </c>
    </row>
    <row r="8144" s="1" customFormat="1" spans="1:21">
      <c r="A8144" s="1" t="str">
        <f>"4601992382528"</f>
        <v>4601992382528</v>
      </c>
      <c r="B8144" s="1" t="s">
        <v>8167</v>
      </c>
      <c r="C8144" s="1" t="s">
        <v>24</v>
      </c>
      <c r="D8144" s="1" t="str">
        <f t="shared" si="13834"/>
        <v>2021</v>
      </c>
      <c r="E8144" s="1" t="str">
        <f t="shared" ref="E8144:P8144" si="13850">"0"</f>
        <v>0</v>
      </c>
      <c r="F8144" s="1" t="str">
        <f t="shared" si="13850"/>
        <v>0</v>
      </c>
      <c r="G8144" s="1" t="str">
        <f t="shared" si="13850"/>
        <v>0</v>
      </c>
      <c r="H8144" s="1" t="str">
        <f t="shared" si="13850"/>
        <v>0</v>
      </c>
      <c r="I8144" s="1" t="str">
        <f t="shared" si="13850"/>
        <v>0</v>
      </c>
      <c r="J8144" s="1" t="str">
        <f t="shared" si="13850"/>
        <v>0</v>
      </c>
      <c r="K8144" s="1" t="str">
        <f t="shared" si="13850"/>
        <v>0</v>
      </c>
      <c r="L8144" s="1" t="str">
        <f t="shared" si="13850"/>
        <v>0</v>
      </c>
      <c r="M8144" s="1" t="str">
        <f t="shared" si="13850"/>
        <v>0</v>
      </c>
      <c r="N8144" s="1" t="str">
        <f t="shared" si="13850"/>
        <v>0</v>
      </c>
      <c r="O8144" s="1" t="str">
        <f t="shared" si="13850"/>
        <v>0</v>
      </c>
      <c r="P8144" s="1" t="str">
        <f t="shared" si="13850"/>
        <v>0</v>
      </c>
      <c r="Q8144" s="1" t="str">
        <f t="shared" si="13836"/>
        <v>0.0070</v>
      </c>
      <c r="R8144" s="1" t="s">
        <v>25</v>
      </c>
      <c r="T8144" s="1" t="str">
        <f t="shared" si="13837"/>
        <v>0</v>
      </c>
      <c r="U8144" s="1" t="str">
        <f t="shared" si="13827"/>
        <v>0.0070</v>
      </c>
    </row>
    <row r="8145" s="1" customFormat="1" spans="1:21">
      <c r="A8145" s="1" t="str">
        <f>"4601992382547"</f>
        <v>4601992382547</v>
      </c>
      <c r="B8145" s="1" t="s">
        <v>8168</v>
      </c>
      <c r="C8145" s="1" t="s">
        <v>24</v>
      </c>
      <c r="D8145" s="1" t="str">
        <f t="shared" si="13834"/>
        <v>2021</v>
      </c>
      <c r="E8145" s="1" t="str">
        <f t="shared" ref="E8145:P8145" si="13851">"0"</f>
        <v>0</v>
      </c>
      <c r="F8145" s="1" t="str">
        <f t="shared" si="13851"/>
        <v>0</v>
      </c>
      <c r="G8145" s="1" t="str">
        <f t="shared" si="13851"/>
        <v>0</v>
      </c>
      <c r="H8145" s="1" t="str">
        <f t="shared" si="13851"/>
        <v>0</v>
      </c>
      <c r="I8145" s="1" t="str">
        <f t="shared" si="13851"/>
        <v>0</v>
      </c>
      <c r="J8145" s="1" t="str">
        <f t="shared" si="13851"/>
        <v>0</v>
      </c>
      <c r="K8145" s="1" t="str">
        <f t="shared" si="13851"/>
        <v>0</v>
      </c>
      <c r="L8145" s="1" t="str">
        <f t="shared" si="13851"/>
        <v>0</v>
      </c>
      <c r="M8145" s="1" t="str">
        <f t="shared" si="13851"/>
        <v>0</v>
      </c>
      <c r="N8145" s="1" t="str">
        <f t="shared" si="13851"/>
        <v>0</v>
      </c>
      <c r="O8145" s="1" t="str">
        <f t="shared" si="13851"/>
        <v>0</v>
      </c>
      <c r="P8145" s="1" t="str">
        <f t="shared" si="13851"/>
        <v>0</v>
      </c>
      <c r="Q8145" s="1" t="str">
        <f t="shared" si="13836"/>
        <v>0.0070</v>
      </c>
      <c r="R8145" s="1" t="s">
        <v>25</v>
      </c>
      <c r="T8145" s="1" t="str">
        <f t="shared" si="13837"/>
        <v>0</v>
      </c>
      <c r="U8145" s="1" t="str">
        <f t="shared" si="13827"/>
        <v>0.0070</v>
      </c>
    </row>
    <row r="8146" s="1" customFormat="1" spans="1:21">
      <c r="A8146" s="1" t="str">
        <f>"4601992382550"</f>
        <v>4601992382550</v>
      </c>
      <c r="B8146" s="1" t="s">
        <v>8169</v>
      </c>
      <c r="C8146" s="1" t="s">
        <v>24</v>
      </c>
      <c r="D8146" s="1" t="str">
        <f t="shared" si="13834"/>
        <v>2021</v>
      </c>
      <c r="E8146" s="1" t="str">
        <f t="shared" ref="E8146:P8146" si="13852">"0"</f>
        <v>0</v>
      </c>
      <c r="F8146" s="1" t="str">
        <f t="shared" si="13852"/>
        <v>0</v>
      </c>
      <c r="G8146" s="1" t="str">
        <f t="shared" si="13852"/>
        <v>0</v>
      </c>
      <c r="H8146" s="1" t="str">
        <f t="shared" si="13852"/>
        <v>0</v>
      </c>
      <c r="I8146" s="1" t="str">
        <f t="shared" si="13852"/>
        <v>0</v>
      </c>
      <c r="J8146" s="1" t="str">
        <f t="shared" si="13852"/>
        <v>0</v>
      </c>
      <c r="K8146" s="1" t="str">
        <f t="shared" si="13852"/>
        <v>0</v>
      </c>
      <c r="L8146" s="1" t="str">
        <f t="shared" si="13852"/>
        <v>0</v>
      </c>
      <c r="M8146" s="1" t="str">
        <f t="shared" si="13852"/>
        <v>0</v>
      </c>
      <c r="N8146" s="1" t="str">
        <f t="shared" si="13852"/>
        <v>0</v>
      </c>
      <c r="O8146" s="1" t="str">
        <f t="shared" si="13852"/>
        <v>0</v>
      </c>
      <c r="P8146" s="1" t="str">
        <f t="shared" si="13852"/>
        <v>0</v>
      </c>
      <c r="Q8146" s="1" t="str">
        <f t="shared" si="13836"/>
        <v>0.0070</v>
      </c>
      <c r="R8146" s="1" t="s">
        <v>25</v>
      </c>
      <c r="T8146" s="1" t="str">
        <f t="shared" si="13837"/>
        <v>0</v>
      </c>
      <c r="U8146" s="1" t="str">
        <f t="shared" si="13827"/>
        <v>0.0070</v>
      </c>
    </row>
    <row r="8147" s="1" customFormat="1" spans="1:21">
      <c r="A8147" s="1" t="str">
        <f>"4601992382672"</f>
        <v>4601992382672</v>
      </c>
      <c r="B8147" s="1" t="s">
        <v>8170</v>
      </c>
      <c r="C8147" s="1" t="s">
        <v>24</v>
      </c>
      <c r="D8147" s="1" t="str">
        <f t="shared" si="13834"/>
        <v>2021</v>
      </c>
      <c r="E8147" s="1" t="str">
        <f t="shared" ref="E8147:P8147" si="13853">"0"</f>
        <v>0</v>
      </c>
      <c r="F8147" s="1" t="str">
        <f t="shared" si="13853"/>
        <v>0</v>
      </c>
      <c r="G8147" s="1" t="str">
        <f t="shared" si="13853"/>
        <v>0</v>
      </c>
      <c r="H8147" s="1" t="str">
        <f t="shared" si="13853"/>
        <v>0</v>
      </c>
      <c r="I8147" s="1" t="str">
        <f t="shared" si="13853"/>
        <v>0</v>
      </c>
      <c r="J8147" s="1" t="str">
        <f t="shared" si="13853"/>
        <v>0</v>
      </c>
      <c r="K8147" s="1" t="str">
        <f t="shared" si="13853"/>
        <v>0</v>
      </c>
      <c r="L8147" s="1" t="str">
        <f t="shared" si="13853"/>
        <v>0</v>
      </c>
      <c r="M8147" s="1" t="str">
        <f t="shared" si="13853"/>
        <v>0</v>
      </c>
      <c r="N8147" s="1" t="str">
        <f t="shared" si="13853"/>
        <v>0</v>
      </c>
      <c r="O8147" s="1" t="str">
        <f t="shared" si="13853"/>
        <v>0</v>
      </c>
      <c r="P8147" s="1" t="str">
        <f t="shared" si="13853"/>
        <v>0</v>
      </c>
      <c r="Q8147" s="1" t="str">
        <f t="shared" si="13836"/>
        <v>0.0070</v>
      </c>
      <c r="R8147" s="1" t="s">
        <v>25</v>
      </c>
      <c r="T8147" s="1" t="str">
        <f t="shared" si="13837"/>
        <v>0</v>
      </c>
      <c r="U8147" s="1" t="str">
        <f t="shared" si="13827"/>
        <v>0.0070</v>
      </c>
    </row>
    <row r="8148" s="1" customFormat="1" spans="1:21">
      <c r="A8148" s="1" t="str">
        <f>"4601992382680"</f>
        <v>4601992382680</v>
      </c>
      <c r="B8148" s="1" t="s">
        <v>8171</v>
      </c>
      <c r="C8148" s="1" t="s">
        <v>24</v>
      </c>
      <c r="D8148" s="1" t="str">
        <f t="shared" si="13834"/>
        <v>2021</v>
      </c>
      <c r="E8148" s="1" t="str">
        <f t="shared" ref="E8148:P8148" si="13854">"0"</f>
        <v>0</v>
      </c>
      <c r="F8148" s="1" t="str">
        <f t="shared" si="13854"/>
        <v>0</v>
      </c>
      <c r="G8148" s="1" t="str">
        <f t="shared" si="13854"/>
        <v>0</v>
      </c>
      <c r="H8148" s="1" t="str">
        <f t="shared" si="13854"/>
        <v>0</v>
      </c>
      <c r="I8148" s="1" t="str">
        <f t="shared" si="13854"/>
        <v>0</v>
      </c>
      <c r="J8148" s="1" t="str">
        <f t="shared" si="13854"/>
        <v>0</v>
      </c>
      <c r="K8148" s="1" t="str">
        <f t="shared" si="13854"/>
        <v>0</v>
      </c>
      <c r="L8148" s="1" t="str">
        <f t="shared" si="13854"/>
        <v>0</v>
      </c>
      <c r="M8148" s="1" t="str">
        <f t="shared" si="13854"/>
        <v>0</v>
      </c>
      <c r="N8148" s="1" t="str">
        <f t="shared" si="13854"/>
        <v>0</v>
      </c>
      <c r="O8148" s="1" t="str">
        <f t="shared" si="13854"/>
        <v>0</v>
      </c>
      <c r="P8148" s="1" t="str">
        <f t="shared" si="13854"/>
        <v>0</v>
      </c>
      <c r="Q8148" s="1" t="str">
        <f t="shared" si="13836"/>
        <v>0.0070</v>
      </c>
      <c r="R8148" s="1" t="s">
        <v>25</v>
      </c>
      <c r="T8148" s="1" t="str">
        <f t="shared" si="13837"/>
        <v>0</v>
      </c>
      <c r="U8148" s="1" t="str">
        <f t="shared" si="13827"/>
        <v>0.0070</v>
      </c>
    </row>
    <row r="8149" s="1" customFormat="1" spans="1:21">
      <c r="A8149" s="1" t="str">
        <f>"4601992382842"</f>
        <v>4601992382842</v>
      </c>
      <c r="B8149" s="1" t="s">
        <v>8172</v>
      </c>
      <c r="C8149" s="1" t="s">
        <v>24</v>
      </c>
      <c r="D8149" s="1" t="str">
        <f t="shared" si="13834"/>
        <v>2021</v>
      </c>
      <c r="E8149" s="1" t="str">
        <f t="shared" ref="E8149:P8149" si="13855">"0"</f>
        <v>0</v>
      </c>
      <c r="F8149" s="1" t="str">
        <f t="shared" si="13855"/>
        <v>0</v>
      </c>
      <c r="G8149" s="1" t="str">
        <f t="shared" si="13855"/>
        <v>0</v>
      </c>
      <c r="H8149" s="1" t="str">
        <f t="shared" si="13855"/>
        <v>0</v>
      </c>
      <c r="I8149" s="1" t="str">
        <f t="shared" si="13855"/>
        <v>0</v>
      </c>
      <c r="J8149" s="1" t="str">
        <f t="shared" si="13855"/>
        <v>0</v>
      </c>
      <c r="K8149" s="1" t="str">
        <f t="shared" si="13855"/>
        <v>0</v>
      </c>
      <c r="L8149" s="1" t="str">
        <f t="shared" si="13855"/>
        <v>0</v>
      </c>
      <c r="M8149" s="1" t="str">
        <f t="shared" si="13855"/>
        <v>0</v>
      </c>
      <c r="N8149" s="1" t="str">
        <f t="shared" si="13855"/>
        <v>0</v>
      </c>
      <c r="O8149" s="1" t="str">
        <f t="shared" si="13855"/>
        <v>0</v>
      </c>
      <c r="P8149" s="1" t="str">
        <f t="shared" si="13855"/>
        <v>0</v>
      </c>
      <c r="Q8149" s="1" t="str">
        <f t="shared" si="13836"/>
        <v>0.0070</v>
      </c>
      <c r="R8149" s="1" t="s">
        <v>25</v>
      </c>
      <c r="T8149" s="1" t="str">
        <f t="shared" si="13837"/>
        <v>0</v>
      </c>
      <c r="U8149" s="1" t="str">
        <f t="shared" si="13827"/>
        <v>0.0070</v>
      </c>
    </row>
    <row r="8150" s="1" customFormat="1" spans="1:21">
      <c r="A8150" s="1" t="str">
        <f>"4601992382909"</f>
        <v>4601992382909</v>
      </c>
      <c r="B8150" s="1" t="s">
        <v>8173</v>
      </c>
      <c r="C8150" s="1" t="s">
        <v>24</v>
      </c>
      <c r="D8150" s="1" t="str">
        <f t="shared" si="13834"/>
        <v>2021</v>
      </c>
      <c r="E8150" s="1" t="str">
        <f t="shared" ref="E8150:P8150" si="13856">"0"</f>
        <v>0</v>
      </c>
      <c r="F8150" s="1" t="str">
        <f t="shared" si="13856"/>
        <v>0</v>
      </c>
      <c r="G8150" s="1" t="str">
        <f t="shared" si="13856"/>
        <v>0</v>
      </c>
      <c r="H8150" s="1" t="str">
        <f t="shared" si="13856"/>
        <v>0</v>
      </c>
      <c r="I8150" s="1" t="str">
        <f t="shared" si="13856"/>
        <v>0</v>
      </c>
      <c r="J8150" s="1" t="str">
        <f t="shared" si="13856"/>
        <v>0</v>
      </c>
      <c r="K8150" s="1" t="str">
        <f t="shared" si="13856"/>
        <v>0</v>
      </c>
      <c r="L8150" s="1" t="str">
        <f t="shared" si="13856"/>
        <v>0</v>
      </c>
      <c r="M8150" s="1" t="str">
        <f t="shared" si="13856"/>
        <v>0</v>
      </c>
      <c r="N8150" s="1" t="str">
        <f t="shared" si="13856"/>
        <v>0</v>
      </c>
      <c r="O8150" s="1" t="str">
        <f t="shared" si="13856"/>
        <v>0</v>
      </c>
      <c r="P8150" s="1" t="str">
        <f t="shared" si="13856"/>
        <v>0</v>
      </c>
      <c r="Q8150" s="1" t="str">
        <f t="shared" si="13836"/>
        <v>0.0070</v>
      </c>
      <c r="R8150" s="1" t="s">
        <v>25</v>
      </c>
      <c r="T8150" s="1" t="str">
        <f t="shared" si="13837"/>
        <v>0</v>
      </c>
      <c r="U8150" s="1" t="str">
        <f t="shared" si="13827"/>
        <v>0.0070</v>
      </c>
    </row>
    <row r="8151" s="1" customFormat="1" spans="1:21">
      <c r="A8151" s="1" t="str">
        <f>"4601992383106"</f>
        <v>4601992383106</v>
      </c>
      <c r="B8151" s="1" t="s">
        <v>8174</v>
      </c>
      <c r="C8151" s="1" t="s">
        <v>24</v>
      </c>
      <c r="D8151" s="1" t="str">
        <f t="shared" si="13834"/>
        <v>2021</v>
      </c>
      <c r="E8151" s="1" t="str">
        <f t="shared" ref="E8151:P8151" si="13857">"0"</f>
        <v>0</v>
      </c>
      <c r="F8151" s="1" t="str">
        <f t="shared" si="13857"/>
        <v>0</v>
      </c>
      <c r="G8151" s="1" t="str">
        <f t="shared" si="13857"/>
        <v>0</v>
      </c>
      <c r="H8151" s="1" t="str">
        <f t="shared" si="13857"/>
        <v>0</v>
      </c>
      <c r="I8151" s="1" t="str">
        <f t="shared" si="13857"/>
        <v>0</v>
      </c>
      <c r="J8151" s="1" t="str">
        <f t="shared" si="13857"/>
        <v>0</v>
      </c>
      <c r="K8151" s="1" t="str">
        <f t="shared" si="13857"/>
        <v>0</v>
      </c>
      <c r="L8151" s="1" t="str">
        <f t="shared" si="13857"/>
        <v>0</v>
      </c>
      <c r="M8151" s="1" t="str">
        <f t="shared" si="13857"/>
        <v>0</v>
      </c>
      <c r="N8151" s="1" t="str">
        <f t="shared" si="13857"/>
        <v>0</v>
      </c>
      <c r="O8151" s="1" t="str">
        <f t="shared" si="13857"/>
        <v>0</v>
      </c>
      <c r="P8151" s="1" t="str">
        <f t="shared" si="13857"/>
        <v>0</v>
      </c>
      <c r="Q8151" s="1" t="str">
        <f t="shared" si="13836"/>
        <v>0.0070</v>
      </c>
      <c r="R8151" s="1" t="s">
        <v>25</v>
      </c>
      <c r="T8151" s="1" t="str">
        <f t="shared" si="13837"/>
        <v>0</v>
      </c>
      <c r="U8151" s="1" t="str">
        <f t="shared" si="13827"/>
        <v>0.0070</v>
      </c>
    </row>
    <row r="8152" s="1" customFormat="1" spans="1:21">
      <c r="A8152" s="1" t="str">
        <f>"4601992383125"</f>
        <v>4601992383125</v>
      </c>
      <c r="B8152" s="1" t="s">
        <v>8175</v>
      </c>
      <c r="C8152" s="1" t="s">
        <v>24</v>
      </c>
      <c r="D8152" s="1" t="str">
        <f t="shared" si="13834"/>
        <v>2021</v>
      </c>
      <c r="E8152" s="1" t="str">
        <f t="shared" ref="E8152:P8152" si="13858">"0"</f>
        <v>0</v>
      </c>
      <c r="F8152" s="1" t="str">
        <f t="shared" si="13858"/>
        <v>0</v>
      </c>
      <c r="G8152" s="1" t="str">
        <f t="shared" si="13858"/>
        <v>0</v>
      </c>
      <c r="H8152" s="1" t="str">
        <f t="shared" si="13858"/>
        <v>0</v>
      </c>
      <c r="I8152" s="1" t="str">
        <f t="shared" si="13858"/>
        <v>0</v>
      </c>
      <c r="J8152" s="1" t="str">
        <f t="shared" si="13858"/>
        <v>0</v>
      </c>
      <c r="K8152" s="1" t="str">
        <f t="shared" si="13858"/>
        <v>0</v>
      </c>
      <c r="L8152" s="1" t="str">
        <f t="shared" si="13858"/>
        <v>0</v>
      </c>
      <c r="M8152" s="1" t="str">
        <f t="shared" si="13858"/>
        <v>0</v>
      </c>
      <c r="N8152" s="1" t="str">
        <f t="shared" si="13858"/>
        <v>0</v>
      </c>
      <c r="O8152" s="1" t="str">
        <f t="shared" si="13858"/>
        <v>0</v>
      </c>
      <c r="P8152" s="1" t="str">
        <f t="shared" si="13858"/>
        <v>0</v>
      </c>
      <c r="Q8152" s="1" t="str">
        <f t="shared" si="13836"/>
        <v>0.0070</v>
      </c>
      <c r="R8152" s="1" t="s">
        <v>25</v>
      </c>
      <c r="T8152" s="1" t="str">
        <f t="shared" si="13837"/>
        <v>0</v>
      </c>
      <c r="U8152" s="1" t="str">
        <f t="shared" si="13827"/>
        <v>0.0070</v>
      </c>
    </row>
    <row r="8153" s="1" customFormat="1" spans="1:21">
      <c r="A8153" s="1" t="str">
        <f>"4601992383154"</f>
        <v>4601992383154</v>
      </c>
      <c r="B8153" s="1" t="s">
        <v>8176</v>
      </c>
      <c r="C8153" s="1" t="s">
        <v>24</v>
      </c>
      <c r="D8153" s="1" t="str">
        <f t="shared" si="13834"/>
        <v>2021</v>
      </c>
      <c r="E8153" s="1" t="str">
        <f t="shared" ref="E8153:P8153" si="13859">"0"</f>
        <v>0</v>
      </c>
      <c r="F8153" s="1" t="str">
        <f t="shared" si="13859"/>
        <v>0</v>
      </c>
      <c r="G8153" s="1" t="str">
        <f t="shared" si="13859"/>
        <v>0</v>
      </c>
      <c r="H8153" s="1" t="str">
        <f t="shared" si="13859"/>
        <v>0</v>
      </c>
      <c r="I8153" s="1" t="str">
        <f t="shared" si="13859"/>
        <v>0</v>
      </c>
      <c r="J8153" s="1" t="str">
        <f t="shared" si="13859"/>
        <v>0</v>
      </c>
      <c r="K8153" s="1" t="str">
        <f t="shared" si="13859"/>
        <v>0</v>
      </c>
      <c r="L8153" s="1" t="str">
        <f t="shared" si="13859"/>
        <v>0</v>
      </c>
      <c r="M8153" s="1" t="str">
        <f t="shared" si="13859"/>
        <v>0</v>
      </c>
      <c r="N8153" s="1" t="str">
        <f t="shared" si="13859"/>
        <v>0</v>
      </c>
      <c r="O8153" s="1" t="str">
        <f t="shared" si="13859"/>
        <v>0</v>
      </c>
      <c r="P8153" s="1" t="str">
        <f t="shared" si="13859"/>
        <v>0</v>
      </c>
      <c r="Q8153" s="1" t="str">
        <f t="shared" si="13836"/>
        <v>0.0070</v>
      </c>
      <c r="R8153" s="1" t="s">
        <v>25</v>
      </c>
      <c r="T8153" s="1" t="str">
        <f t="shared" si="13837"/>
        <v>0</v>
      </c>
      <c r="U8153" s="1" t="str">
        <f t="shared" si="13827"/>
        <v>0.0070</v>
      </c>
    </row>
    <row r="8154" s="1" customFormat="1" spans="1:21">
      <c r="A8154" s="1" t="str">
        <f>"4601992383311"</f>
        <v>4601992383311</v>
      </c>
      <c r="B8154" s="1" t="s">
        <v>8177</v>
      </c>
      <c r="C8154" s="1" t="s">
        <v>24</v>
      </c>
      <c r="D8154" s="1" t="str">
        <f t="shared" si="13834"/>
        <v>2021</v>
      </c>
      <c r="E8154" s="1" t="str">
        <f t="shared" ref="E8154:P8154" si="13860">"0"</f>
        <v>0</v>
      </c>
      <c r="F8154" s="1" t="str">
        <f t="shared" si="13860"/>
        <v>0</v>
      </c>
      <c r="G8154" s="1" t="str">
        <f t="shared" si="13860"/>
        <v>0</v>
      </c>
      <c r="H8154" s="1" t="str">
        <f t="shared" si="13860"/>
        <v>0</v>
      </c>
      <c r="I8154" s="1" t="str">
        <f t="shared" si="13860"/>
        <v>0</v>
      </c>
      <c r="J8154" s="1" t="str">
        <f t="shared" si="13860"/>
        <v>0</v>
      </c>
      <c r="K8154" s="1" t="str">
        <f t="shared" si="13860"/>
        <v>0</v>
      </c>
      <c r="L8154" s="1" t="str">
        <f t="shared" si="13860"/>
        <v>0</v>
      </c>
      <c r="M8154" s="1" t="str">
        <f t="shared" si="13860"/>
        <v>0</v>
      </c>
      <c r="N8154" s="1" t="str">
        <f t="shared" si="13860"/>
        <v>0</v>
      </c>
      <c r="O8154" s="1" t="str">
        <f t="shared" si="13860"/>
        <v>0</v>
      </c>
      <c r="P8154" s="1" t="str">
        <f t="shared" si="13860"/>
        <v>0</v>
      </c>
      <c r="Q8154" s="1" t="str">
        <f t="shared" si="13836"/>
        <v>0.0070</v>
      </c>
      <c r="R8154" s="1" t="s">
        <v>25</v>
      </c>
      <c r="T8154" s="1" t="str">
        <f t="shared" si="13837"/>
        <v>0</v>
      </c>
      <c r="U8154" s="1" t="str">
        <f t="shared" si="13827"/>
        <v>0.0070</v>
      </c>
    </row>
    <row r="8155" s="1" customFormat="1" spans="1:21">
      <c r="A8155" s="1" t="str">
        <f>"4601992383242"</f>
        <v>4601992383242</v>
      </c>
      <c r="B8155" s="1" t="s">
        <v>8178</v>
      </c>
      <c r="C8155" s="1" t="s">
        <v>24</v>
      </c>
      <c r="D8155" s="1" t="str">
        <f t="shared" si="13834"/>
        <v>2021</v>
      </c>
      <c r="E8155" s="1" t="str">
        <f t="shared" ref="E8155:P8155" si="13861">"0"</f>
        <v>0</v>
      </c>
      <c r="F8155" s="1" t="str">
        <f t="shared" si="13861"/>
        <v>0</v>
      </c>
      <c r="G8155" s="1" t="str">
        <f t="shared" si="13861"/>
        <v>0</v>
      </c>
      <c r="H8155" s="1" t="str">
        <f t="shared" si="13861"/>
        <v>0</v>
      </c>
      <c r="I8155" s="1" t="str">
        <f t="shared" si="13861"/>
        <v>0</v>
      </c>
      <c r="J8155" s="1" t="str">
        <f t="shared" si="13861"/>
        <v>0</v>
      </c>
      <c r="K8155" s="1" t="str">
        <f t="shared" si="13861"/>
        <v>0</v>
      </c>
      <c r="L8155" s="1" t="str">
        <f t="shared" si="13861"/>
        <v>0</v>
      </c>
      <c r="M8155" s="1" t="str">
        <f t="shared" si="13861"/>
        <v>0</v>
      </c>
      <c r="N8155" s="1" t="str">
        <f t="shared" si="13861"/>
        <v>0</v>
      </c>
      <c r="O8155" s="1" t="str">
        <f t="shared" si="13861"/>
        <v>0</v>
      </c>
      <c r="P8155" s="1" t="str">
        <f t="shared" si="13861"/>
        <v>0</v>
      </c>
      <c r="Q8155" s="1" t="str">
        <f t="shared" si="13836"/>
        <v>0.0070</v>
      </c>
      <c r="R8155" s="1" t="s">
        <v>25</v>
      </c>
      <c r="T8155" s="1" t="str">
        <f t="shared" si="13837"/>
        <v>0</v>
      </c>
      <c r="U8155" s="1" t="str">
        <f t="shared" si="13827"/>
        <v>0.0070</v>
      </c>
    </row>
    <row r="8156" s="1" customFormat="1" spans="1:21">
      <c r="A8156" s="1" t="str">
        <f>"4601992383463"</f>
        <v>4601992383463</v>
      </c>
      <c r="B8156" s="1" t="s">
        <v>8179</v>
      </c>
      <c r="C8156" s="1" t="s">
        <v>24</v>
      </c>
      <c r="D8156" s="1" t="str">
        <f t="shared" si="13834"/>
        <v>2021</v>
      </c>
      <c r="E8156" s="1" t="str">
        <f t="shared" ref="E8156:P8156" si="13862">"0"</f>
        <v>0</v>
      </c>
      <c r="F8156" s="1" t="str">
        <f t="shared" si="13862"/>
        <v>0</v>
      </c>
      <c r="G8156" s="1" t="str">
        <f t="shared" si="13862"/>
        <v>0</v>
      </c>
      <c r="H8156" s="1" t="str">
        <f t="shared" si="13862"/>
        <v>0</v>
      </c>
      <c r="I8156" s="1" t="str">
        <f t="shared" si="13862"/>
        <v>0</v>
      </c>
      <c r="J8156" s="1" t="str">
        <f t="shared" si="13862"/>
        <v>0</v>
      </c>
      <c r="K8156" s="1" t="str">
        <f t="shared" si="13862"/>
        <v>0</v>
      </c>
      <c r="L8156" s="1" t="str">
        <f t="shared" si="13862"/>
        <v>0</v>
      </c>
      <c r="M8156" s="1" t="str">
        <f t="shared" si="13862"/>
        <v>0</v>
      </c>
      <c r="N8156" s="1" t="str">
        <f t="shared" si="13862"/>
        <v>0</v>
      </c>
      <c r="O8156" s="1" t="str">
        <f t="shared" si="13862"/>
        <v>0</v>
      </c>
      <c r="P8156" s="1" t="str">
        <f t="shared" si="13862"/>
        <v>0</v>
      </c>
      <c r="Q8156" s="1" t="str">
        <f t="shared" si="13836"/>
        <v>0.0070</v>
      </c>
      <c r="R8156" s="1" t="s">
        <v>25</v>
      </c>
      <c r="T8156" s="1" t="str">
        <f t="shared" si="13837"/>
        <v>0</v>
      </c>
      <c r="U8156" s="1" t="str">
        <f t="shared" si="13827"/>
        <v>0.0070</v>
      </c>
    </row>
    <row r="8157" s="1" customFormat="1" spans="1:21">
      <c r="A8157" s="1" t="str">
        <f>"4601992383549"</f>
        <v>4601992383549</v>
      </c>
      <c r="B8157" s="1" t="s">
        <v>8180</v>
      </c>
      <c r="C8157" s="1" t="s">
        <v>24</v>
      </c>
      <c r="D8157" s="1" t="str">
        <f t="shared" si="13834"/>
        <v>2021</v>
      </c>
      <c r="E8157" s="1" t="str">
        <f t="shared" ref="E8157:P8157" si="13863">"0"</f>
        <v>0</v>
      </c>
      <c r="F8157" s="1" t="str">
        <f t="shared" si="13863"/>
        <v>0</v>
      </c>
      <c r="G8157" s="1" t="str">
        <f t="shared" si="13863"/>
        <v>0</v>
      </c>
      <c r="H8157" s="1" t="str">
        <f t="shared" si="13863"/>
        <v>0</v>
      </c>
      <c r="I8157" s="1" t="str">
        <f t="shared" si="13863"/>
        <v>0</v>
      </c>
      <c r="J8157" s="1" t="str">
        <f t="shared" si="13863"/>
        <v>0</v>
      </c>
      <c r="K8157" s="1" t="str">
        <f t="shared" si="13863"/>
        <v>0</v>
      </c>
      <c r="L8157" s="1" t="str">
        <f t="shared" si="13863"/>
        <v>0</v>
      </c>
      <c r="M8157" s="1" t="str">
        <f t="shared" si="13863"/>
        <v>0</v>
      </c>
      <c r="N8157" s="1" t="str">
        <f t="shared" si="13863"/>
        <v>0</v>
      </c>
      <c r="O8157" s="1" t="str">
        <f t="shared" si="13863"/>
        <v>0</v>
      </c>
      <c r="P8157" s="1" t="str">
        <f t="shared" si="13863"/>
        <v>0</v>
      </c>
      <c r="Q8157" s="1" t="str">
        <f t="shared" si="13836"/>
        <v>0.0070</v>
      </c>
      <c r="R8157" s="1" t="s">
        <v>25</v>
      </c>
      <c r="T8157" s="1" t="str">
        <f t="shared" si="13837"/>
        <v>0</v>
      </c>
      <c r="U8157" s="1" t="str">
        <f t="shared" si="13827"/>
        <v>0.0070</v>
      </c>
    </row>
    <row r="8158" s="1" customFormat="1" spans="1:21">
      <c r="A8158" s="1" t="str">
        <f>"4601992383647"</f>
        <v>4601992383647</v>
      </c>
      <c r="B8158" s="1" t="s">
        <v>8181</v>
      </c>
      <c r="C8158" s="1" t="s">
        <v>24</v>
      </c>
      <c r="D8158" s="1" t="str">
        <f t="shared" si="13834"/>
        <v>2021</v>
      </c>
      <c r="E8158" s="1" t="str">
        <f t="shared" ref="E8158:P8158" si="13864">"0"</f>
        <v>0</v>
      </c>
      <c r="F8158" s="1" t="str">
        <f t="shared" si="13864"/>
        <v>0</v>
      </c>
      <c r="G8158" s="1" t="str">
        <f t="shared" si="13864"/>
        <v>0</v>
      </c>
      <c r="H8158" s="1" t="str">
        <f t="shared" si="13864"/>
        <v>0</v>
      </c>
      <c r="I8158" s="1" t="str">
        <f t="shared" si="13864"/>
        <v>0</v>
      </c>
      <c r="J8158" s="1" t="str">
        <f t="shared" si="13864"/>
        <v>0</v>
      </c>
      <c r="K8158" s="1" t="str">
        <f t="shared" si="13864"/>
        <v>0</v>
      </c>
      <c r="L8158" s="1" t="str">
        <f t="shared" si="13864"/>
        <v>0</v>
      </c>
      <c r="M8158" s="1" t="str">
        <f t="shared" si="13864"/>
        <v>0</v>
      </c>
      <c r="N8158" s="1" t="str">
        <f t="shared" si="13864"/>
        <v>0</v>
      </c>
      <c r="O8158" s="1" t="str">
        <f t="shared" si="13864"/>
        <v>0</v>
      </c>
      <c r="P8158" s="1" t="str">
        <f t="shared" si="13864"/>
        <v>0</v>
      </c>
      <c r="Q8158" s="1" t="str">
        <f t="shared" si="13836"/>
        <v>0.0070</v>
      </c>
      <c r="R8158" s="1" t="s">
        <v>25</v>
      </c>
      <c r="T8158" s="1" t="str">
        <f t="shared" si="13837"/>
        <v>0</v>
      </c>
      <c r="U8158" s="1" t="str">
        <f t="shared" si="13827"/>
        <v>0.0070</v>
      </c>
    </row>
    <row r="8159" s="1" customFormat="1" spans="1:21">
      <c r="A8159" s="1" t="str">
        <f>"4601992383653"</f>
        <v>4601992383653</v>
      </c>
      <c r="B8159" s="1" t="s">
        <v>8182</v>
      </c>
      <c r="C8159" s="1" t="s">
        <v>24</v>
      </c>
      <c r="D8159" s="1" t="str">
        <f t="shared" si="13834"/>
        <v>2021</v>
      </c>
      <c r="E8159" s="1" t="str">
        <f t="shared" ref="E8159:P8159" si="13865">"0"</f>
        <v>0</v>
      </c>
      <c r="F8159" s="1" t="str">
        <f t="shared" si="13865"/>
        <v>0</v>
      </c>
      <c r="G8159" s="1" t="str">
        <f t="shared" si="13865"/>
        <v>0</v>
      </c>
      <c r="H8159" s="1" t="str">
        <f t="shared" si="13865"/>
        <v>0</v>
      </c>
      <c r="I8159" s="1" t="str">
        <f t="shared" si="13865"/>
        <v>0</v>
      </c>
      <c r="J8159" s="1" t="str">
        <f t="shared" si="13865"/>
        <v>0</v>
      </c>
      <c r="K8159" s="1" t="str">
        <f t="shared" si="13865"/>
        <v>0</v>
      </c>
      <c r="L8159" s="1" t="str">
        <f t="shared" si="13865"/>
        <v>0</v>
      </c>
      <c r="M8159" s="1" t="str">
        <f t="shared" si="13865"/>
        <v>0</v>
      </c>
      <c r="N8159" s="1" t="str">
        <f t="shared" si="13865"/>
        <v>0</v>
      </c>
      <c r="O8159" s="1" t="str">
        <f t="shared" si="13865"/>
        <v>0</v>
      </c>
      <c r="P8159" s="1" t="str">
        <f t="shared" si="13865"/>
        <v>0</v>
      </c>
      <c r="Q8159" s="1" t="str">
        <f t="shared" si="13836"/>
        <v>0.0070</v>
      </c>
      <c r="R8159" s="1" t="s">
        <v>25</v>
      </c>
      <c r="T8159" s="1" t="str">
        <f t="shared" si="13837"/>
        <v>0</v>
      </c>
      <c r="U8159" s="1" t="str">
        <f t="shared" si="13827"/>
        <v>0.0070</v>
      </c>
    </row>
    <row r="8160" s="1" customFormat="1" spans="1:21">
      <c r="A8160" s="1" t="str">
        <f>"4601992383754"</f>
        <v>4601992383754</v>
      </c>
      <c r="B8160" s="1" t="s">
        <v>8183</v>
      </c>
      <c r="C8160" s="1" t="s">
        <v>24</v>
      </c>
      <c r="D8160" s="1" t="str">
        <f t="shared" si="13834"/>
        <v>2021</v>
      </c>
      <c r="E8160" s="1" t="str">
        <f t="shared" ref="E8160:P8160" si="13866">"0"</f>
        <v>0</v>
      </c>
      <c r="F8160" s="1" t="str">
        <f t="shared" si="13866"/>
        <v>0</v>
      </c>
      <c r="G8160" s="1" t="str">
        <f t="shared" si="13866"/>
        <v>0</v>
      </c>
      <c r="H8160" s="1" t="str">
        <f t="shared" si="13866"/>
        <v>0</v>
      </c>
      <c r="I8160" s="1" t="str">
        <f t="shared" si="13866"/>
        <v>0</v>
      </c>
      <c r="J8160" s="1" t="str">
        <f t="shared" si="13866"/>
        <v>0</v>
      </c>
      <c r="K8160" s="1" t="str">
        <f t="shared" si="13866"/>
        <v>0</v>
      </c>
      <c r="L8160" s="1" t="str">
        <f t="shared" si="13866"/>
        <v>0</v>
      </c>
      <c r="M8160" s="1" t="str">
        <f t="shared" si="13866"/>
        <v>0</v>
      </c>
      <c r="N8160" s="1" t="str">
        <f t="shared" si="13866"/>
        <v>0</v>
      </c>
      <c r="O8160" s="1" t="str">
        <f t="shared" si="13866"/>
        <v>0</v>
      </c>
      <c r="P8160" s="1" t="str">
        <f t="shared" si="13866"/>
        <v>0</v>
      </c>
      <c r="Q8160" s="1" t="str">
        <f t="shared" si="13836"/>
        <v>0.0070</v>
      </c>
      <c r="R8160" s="1" t="s">
        <v>25</v>
      </c>
      <c r="T8160" s="1" t="str">
        <f t="shared" si="13837"/>
        <v>0</v>
      </c>
      <c r="U8160" s="1" t="str">
        <f t="shared" si="13827"/>
        <v>0.0070</v>
      </c>
    </row>
    <row r="8161" s="1" customFormat="1" spans="1:21">
      <c r="A8161" s="1" t="str">
        <f>"4601992383758"</f>
        <v>4601992383758</v>
      </c>
      <c r="B8161" s="1" t="s">
        <v>8184</v>
      </c>
      <c r="C8161" s="1" t="s">
        <v>24</v>
      </c>
      <c r="D8161" s="1" t="str">
        <f t="shared" si="13834"/>
        <v>2021</v>
      </c>
      <c r="E8161" s="1" t="str">
        <f t="shared" ref="E8161:P8161" si="13867">"0"</f>
        <v>0</v>
      </c>
      <c r="F8161" s="1" t="str">
        <f t="shared" si="13867"/>
        <v>0</v>
      </c>
      <c r="G8161" s="1" t="str">
        <f t="shared" si="13867"/>
        <v>0</v>
      </c>
      <c r="H8161" s="1" t="str">
        <f t="shared" si="13867"/>
        <v>0</v>
      </c>
      <c r="I8161" s="1" t="str">
        <f t="shared" si="13867"/>
        <v>0</v>
      </c>
      <c r="J8161" s="1" t="str">
        <f t="shared" si="13867"/>
        <v>0</v>
      </c>
      <c r="K8161" s="1" t="str">
        <f t="shared" si="13867"/>
        <v>0</v>
      </c>
      <c r="L8161" s="1" t="str">
        <f t="shared" si="13867"/>
        <v>0</v>
      </c>
      <c r="M8161" s="1" t="str">
        <f t="shared" si="13867"/>
        <v>0</v>
      </c>
      <c r="N8161" s="1" t="str">
        <f t="shared" si="13867"/>
        <v>0</v>
      </c>
      <c r="O8161" s="1" t="str">
        <f t="shared" si="13867"/>
        <v>0</v>
      </c>
      <c r="P8161" s="1" t="str">
        <f t="shared" si="13867"/>
        <v>0</v>
      </c>
      <c r="Q8161" s="1" t="str">
        <f t="shared" si="13836"/>
        <v>0.0070</v>
      </c>
      <c r="R8161" s="1" t="s">
        <v>25</v>
      </c>
      <c r="T8161" s="1" t="str">
        <f t="shared" si="13837"/>
        <v>0</v>
      </c>
      <c r="U8161" s="1" t="str">
        <f t="shared" si="13827"/>
        <v>0.0070</v>
      </c>
    </row>
    <row r="8162" s="1" customFormat="1" spans="1:21">
      <c r="A8162" s="1" t="str">
        <f>"4601992383848"</f>
        <v>4601992383848</v>
      </c>
      <c r="B8162" s="1" t="s">
        <v>8185</v>
      </c>
      <c r="C8162" s="1" t="s">
        <v>24</v>
      </c>
      <c r="D8162" s="1" t="str">
        <f t="shared" si="13834"/>
        <v>2021</v>
      </c>
      <c r="E8162" s="1" t="str">
        <f t="shared" ref="E8162:P8162" si="13868">"0"</f>
        <v>0</v>
      </c>
      <c r="F8162" s="1" t="str">
        <f t="shared" si="13868"/>
        <v>0</v>
      </c>
      <c r="G8162" s="1" t="str">
        <f t="shared" si="13868"/>
        <v>0</v>
      </c>
      <c r="H8162" s="1" t="str">
        <f t="shared" si="13868"/>
        <v>0</v>
      </c>
      <c r="I8162" s="1" t="str">
        <f t="shared" si="13868"/>
        <v>0</v>
      </c>
      <c r="J8162" s="1" t="str">
        <f t="shared" si="13868"/>
        <v>0</v>
      </c>
      <c r="K8162" s="1" t="str">
        <f t="shared" si="13868"/>
        <v>0</v>
      </c>
      <c r="L8162" s="1" t="str">
        <f t="shared" si="13868"/>
        <v>0</v>
      </c>
      <c r="M8162" s="1" t="str">
        <f t="shared" si="13868"/>
        <v>0</v>
      </c>
      <c r="N8162" s="1" t="str">
        <f t="shared" si="13868"/>
        <v>0</v>
      </c>
      <c r="O8162" s="1" t="str">
        <f t="shared" si="13868"/>
        <v>0</v>
      </c>
      <c r="P8162" s="1" t="str">
        <f t="shared" si="13868"/>
        <v>0</v>
      </c>
      <c r="Q8162" s="1" t="str">
        <f t="shared" si="13836"/>
        <v>0.0070</v>
      </c>
      <c r="R8162" s="1" t="s">
        <v>25</v>
      </c>
      <c r="T8162" s="1" t="str">
        <f t="shared" si="13837"/>
        <v>0</v>
      </c>
      <c r="U8162" s="1" t="str">
        <f t="shared" si="13827"/>
        <v>0.0070</v>
      </c>
    </row>
    <row r="8163" s="1" customFormat="1" spans="1:21">
      <c r="A8163" s="1" t="str">
        <f>"4601992383886"</f>
        <v>4601992383886</v>
      </c>
      <c r="B8163" s="1" t="s">
        <v>8186</v>
      </c>
      <c r="C8163" s="1" t="s">
        <v>24</v>
      </c>
      <c r="D8163" s="1" t="str">
        <f t="shared" si="13834"/>
        <v>2021</v>
      </c>
      <c r="E8163" s="1" t="str">
        <f t="shared" ref="E8163:P8163" si="13869">"0"</f>
        <v>0</v>
      </c>
      <c r="F8163" s="1" t="str">
        <f t="shared" si="13869"/>
        <v>0</v>
      </c>
      <c r="G8163" s="1" t="str">
        <f t="shared" si="13869"/>
        <v>0</v>
      </c>
      <c r="H8163" s="1" t="str">
        <f t="shared" si="13869"/>
        <v>0</v>
      </c>
      <c r="I8163" s="1" t="str">
        <f t="shared" si="13869"/>
        <v>0</v>
      </c>
      <c r="J8163" s="1" t="str">
        <f t="shared" si="13869"/>
        <v>0</v>
      </c>
      <c r="K8163" s="1" t="str">
        <f t="shared" si="13869"/>
        <v>0</v>
      </c>
      <c r="L8163" s="1" t="str">
        <f t="shared" si="13869"/>
        <v>0</v>
      </c>
      <c r="M8163" s="1" t="str">
        <f t="shared" si="13869"/>
        <v>0</v>
      </c>
      <c r="N8163" s="1" t="str">
        <f t="shared" si="13869"/>
        <v>0</v>
      </c>
      <c r="O8163" s="1" t="str">
        <f t="shared" si="13869"/>
        <v>0</v>
      </c>
      <c r="P8163" s="1" t="str">
        <f t="shared" si="13869"/>
        <v>0</v>
      </c>
      <c r="Q8163" s="1" t="str">
        <f t="shared" si="13836"/>
        <v>0.0070</v>
      </c>
      <c r="R8163" s="1" t="s">
        <v>25</v>
      </c>
      <c r="T8163" s="1" t="str">
        <f t="shared" si="13837"/>
        <v>0</v>
      </c>
      <c r="U8163" s="1" t="str">
        <f t="shared" si="13827"/>
        <v>0.0070</v>
      </c>
    </row>
    <row r="8164" s="1" customFormat="1" spans="1:21">
      <c r="A8164" s="1" t="str">
        <f>"4601992384069"</f>
        <v>4601992384069</v>
      </c>
      <c r="B8164" s="1" t="s">
        <v>8187</v>
      </c>
      <c r="C8164" s="1" t="s">
        <v>24</v>
      </c>
      <c r="D8164" s="1" t="str">
        <f t="shared" si="13834"/>
        <v>2021</v>
      </c>
      <c r="E8164" s="1" t="str">
        <f t="shared" ref="E8164:P8164" si="13870">"0"</f>
        <v>0</v>
      </c>
      <c r="F8164" s="1" t="str">
        <f t="shared" si="13870"/>
        <v>0</v>
      </c>
      <c r="G8164" s="1" t="str">
        <f t="shared" si="13870"/>
        <v>0</v>
      </c>
      <c r="H8164" s="1" t="str">
        <f t="shared" si="13870"/>
        <v>0</v>
      </c>
      <c r="I8164" s="1" t="str">
        <f t="shared" si="13870"/>
        <v>0</v>
      </c>
      <c r="J8164" s="1" t="str">
        <f t="shared" si="13870"/>
        <v>0</v>
      </c>
      <c r="K8164" s="1" t="str">
        <f t="shared" si="13870"/>
        <v>0</v>
      </c>
      <c r="L8164" s="1" t="str">
        <f t="shared" si="13870"/>
        <v>0</v>
      </c>
      <c r="M8164" s="1" t="str">
        <f t="shared" si="13870"/>
        <v>0</v>
      </c>
      <c r="N8164" s="1" t="str">
        <f t="shared" si="13870"/>
        <v>0</v>
      </c>
      <c r="O8164" s="1" t="str">
        <f t="shared" si="13870"/>
        <v>0</v>
      </c>
      <c r="P8164" s="1" t="str">
        <f t="shared" si="13870"/>
        <v>0</v>
      </c>
      <c r="Q8164" s="1" t="str">
        <f t="shared" si="13836"/>
        <v>0.0070</v>
      </c>
      <c r="R8164" s="1" t="s">
        <v>25</v>
      </c>
      <c r="T8164" s="1" t="str">
        <f t="shared" si="13837"/>
        <v>0</v>
      </c>
      <c r="U8164" s="1" t="str">
        <f t="shared" si="13827"/>
        <v>0.0070</v>
      </c>
    </row>
    <row r="8165" s="1" customFormat="1" spans="1:21">
      <c r="A8165" s="1" t="str">
        <f>"4601992383988"</f>
        <v>4601992383988</v>
      </c>
      <c r="B8165" s="1" t="s">
        <v>8188</v>
      </c>
      <c r="C8165" s="1" t="s">
        <v>24</v>
      </c>
      <c r="D8165" s="1" t="str">
        <f t="shared" si="13834"/>
        <v>2021</v>
      </c>
      <c r="E8165" s="1" t="str">
        <f t="shared" ref="E8165:P8165" si="13871">"0"</f>
        <v>0</v>
      </c>
      <c r="F8165" s="1" t="str">
        <f t="shared" si="13871"/>
        <v>0</v>
      </c>
      <c r="G8165" s="1" t="str">
        <f t="shared" si="13871"/>
        <v>0</v>
      </c>
      <c r="H8165" s="1" t="str">
        <f t="shared" si="13871"/>
        <v>0</v>
      </c>
      <c r="I8165" s="1" t="str">
        <f t="shared" si="13871"/>
        <v>0</v>
      </c>
      <c r="J8165" s="1" t="str">
        <f t="shared" si="13871"/>
        <v>0</v>
      </c>
      <c r="K8165" s="1" t="str">
        <f t="shared" si="13871"/>
        <v>0</v>
      </c>
      <c r="L8165" s="1" t="str">
        <f t="shared" si="13871"/>
        <v>0</v>
      </c>
      <c r="M8165" s="1" t="str">
        <f t="shared" si="13871"/>
        <v>0</v>
      </c>
      <c r="N8165" s="1" t="str">
        <f t="shared" si="13871"/>
        <v>0</v>
      </c>
      <c r="O8165" s="1" t="str">
        <f t="shared" si="13871"/>
        <v>0</v>
      </c>
      <c r="P8165" s="1" t="str">
        <f t="shared" si="13871"/>
        <v>0</v>
      </c>
      <c r="Q8165" s="1" t="str">
        <f t="shared" si="13836"/>
        <v>0.0070</v>
      </c>
      <c r="R8165" s="1" t="s">
        <v>25</v>
      </c>
      <c r="T8165" s="1" t="str">
        <f t="shared" si="13837"/>
        <v>0</v>
      </c>
      <c r="U8165" s="1" t="str">
        <f t="shared" si="13827"/>
        <v>0.0070</v>
      </c>
    </row>
    <row r="8166" s="1" customFormat="1" spans="1:21">
      <c r="A8166" s="1" t="str">
        <f>"4601992384107"</f>
        <v>4601992384107</v>
      </c>
      <c r="B8166" s="1" t="s">
        <v>8189</v>
      </c>
      <c r="C8166" s="1" t="s">
        <v>24</v>
      </c>
      <c r="D8166" s="1" t="str">
        <f t="shared" si="13834"/>
        <v>2021</v>
      </c>
      <c r="E8166" s="1" t="str">
        <f t="shared" ref="E8166:P8166" si="13872">"0"</f>
        <v>0</v>
      </c>
      <c r="F8166" s="1" t="str">
        <f t="shared" si="13872"/>
        <v>0</v>
      </c>
      <c r="G8166" s="1" t="str">
        <f t="shared" si="13872"/>
        <v>0</v>
      </c>
      <c r="H8166" s="1" t="str">
        <f t="shared" si="13872"/>
        <v>0</v>
      </c>
      <c r="I8166" s="1" t="str">
        <f t="shared" si="13872"/>
        <v>0</v>
      </c>
      <c r="J8166" s="1" t="str">
        <f t="shared" si="13872"/>
        <v>0</v>
      </c>
      <c r="K8166" s="1" t="str">
        <f t="shared" si="13872"/>
        <v>0</v>
      </c>
      <c r="L8166" s="1" t="str">
        <f t="shared" si="13872"/>
        <v>0</v>
      </c>
      <c r="M8166" s="1" t="str">
        <f t="shared" si="13872"/>
        <v>0</v>
      </c>
      <c r="N8166" s="1" t="str">
        <f t="shared" si="13872"/>
        <v>0</v>
      </c>
      <c r="O8166" s="1" t="str">
        <f t="shared" si="13872"/>
        <v>0</v>
      </c>
      <c r="P8166" s="1" t="str">
        <f t="shared" si="13872"/>
        <v>0</v>
      </c>
      <c r="Q8166" s="1" t="str">
        <f t="shared" si="13836"/>
        <v>0.0070</v>
      </c>
      <c r="R8166" s="1" t="s">
        <v>25</v>
      </c>
      <c r="T8166" s="1" t="str">
        <f t="shared" si="13837"/>
        <v>0</v>
      </c>
      <c r="U8166" s="1" t="str">
        <f t="shared" si="13827"/>
        <v>0.0070</v>
      </c>
    </row>
    <row r="8167" s="1" customFormat="1" spans="1:21">
      <c r="A8167" s="1" t="str">
        <f>"4601992384158"</f>
        <v>4601992384158</v>
      </c>
      <c r="B8167" s="1" t="s">
        <v>8190</v>
      </c>
      <c r="C8167" s="1" t="s">
        <v>24</v>
      </c>
      <c r="D8167" s="1" t="str">
        <f t="shared" si="13834"/>
        <v>2021</v>
      </c>
      <c r="E8167" s="1" t="str">
        <f t="shared" ref="E8167:P8167" si="13873">"0"</f>
        <v>0</v>
      </c>
      <c r="F8167" s="1" t="str">
        <f t="shared" si="13873"/>
        <v>0</v>
      </c>
      <c r="G8167" s="1" t="str">
        <f t="shared" si="13873"/>
        <v>0</v>
      </c>
      <c r="H8167" s="1" t="str">
        <f t="shared" si="13873"/>
        <v>0</v>
      </c>
      <c r="I8167" s="1" t="str">
        <f t="shared" si="13873"/>
        <v>0</v>
      </c>
      <c r="J8167" s="1" t="str">
        <f t="shared" si="13873"/>
        <v>0</v>
      </c>
      <c r="K8167" s="1" t="str">
        <f t="shared" si="13873"/>
        <v>0</v>
      </c>
      <c r="L8167" s="1" t="str">
        <f t="shared" si="13873"/>
        <v>0</v>
      </c>
      <c r="M8167" s="1" t="str">
        <f t="shared" si="13873"/>
        <v>0</v>
      </c>
      <c r="N8167" s="1" t="str">
        <f t="shared" si="13873"/>
        <v>0</v>
      </c>
      <c r="O8167" s="1" t="str">
        <f t="shared" si="13873"/>
        <v>0</v>
      </c>
      <c r="P8167" s="1" t="str">
        <f t="shared" si="13873"/>
        <v>0</v>
      </c>
      <c r="Q8167" s="1" t="str">
        <f t="shared" si="13836"/>
        <v>0.0070</v>
      </c>
      <c r="R8167" s="1" t="s">
        <v>25</v>
      </c>
      <c r="T8167" s="1" t="str">
        <f t="shared" si="13837"/>
        <v>0</v>
      </c>
      <c r="U8167" s="1" t="str">
        <f t="shared" si="13827"/>
        <v>0.0070</v>
      </c>
    </row>
    <row r="8168" s="1" customFormat="1" spans="1:21">
      <c r="A8168" s="1" t="str">
        <f>"4601992384324"</f>
        <v>4601992384324</v>
      </c>
      <c r="B8168" s="1" t="s">
        <v>8191</v>
      </c>
      <c r="C8168" s="1" t="s">
        <v>24</v>
      </c>
      <c r="D8168" s="1" t="str">
        <f t="shared" si="13834"/>
        <v>2021</v>
      </c>
      <c r="E8168" s="1" t="str">
        <f t="shared" ref="E8168:P8168" si="13874">"0"</f>
        <v>0</v>
      </c>
      <c r="F8168" s="1" t="str">
        <f t="shared" si="13874"/>
        <v>0</v>
      </c>
      <c r="G8168" s="1" t="str">
        <f t="shared" si="13874"/>
        <v>0</v>
      </c>
      <c r="H8168" s="1" t="str">
        <f t="shared" si="13874"/>
        <v>0</v>
      </c>
      <c r="I8168" s="1" t="str">
        <f t="shared" si="13874"/>
        <v>0</v>
      </c>
      <c r="J8168" s="1" t="str">
        <f t="shared" si="13874"/>
        <v>0</v>
      </c>
      <c r="K8168" s="1" t="str">
        <f t="shared" si="13874"/>
        <v>0</v>
      </c>
      <c r="L8168" s="1" t="str">
        <f t="shared" si="13874"/>
        <v>0</v>
      </c>
      <c r="M8168" s="1" t="str">
        <f t="shared" si="13874"/>
        <v>0</v>
      </c>
      <c r="N8168" s="1" t="str">
        <f t="shared" si="13874"/>
        <v>0</v>
      </c>
      <c r="O8168" s="1" t="str">
        <f t="shared" si="13874"/>
        <v>0</v>
      </c>
      <c r="P8168" s="1" t="str">
        <f t="shared" si="13874"/>
        <v>0</v>
      </c>
      <c r="Q8168" s="1" t="str">
        <f t="shared" si="13836"/>
        <v>0.0070</v>
      </c>
      <c r="R8168" s="1" t="s">
        <v>25</v>
      </c>
      <c r="T8168" s="1" t="str">
        <f t="shared" si="13837"/>
        <v>0</v>
      </c>
      <c r="U8168" s="1" t="str">
        <f t="shared" si="13827"/>
        <v>0.0070</v>
      </c>
    </row>
    <row r="8169" s="1" customFormat="1" spans="1:21">
      <c r="A8169" s="1" t="str">
        <f>"4601992384460"</f>
        <v>4601992384460</v>
      </c>
      <c r="B8169" s="1" t="s">
        <v>8192</v>
      </c>
      <c r="C8169" s="1" t="s">
        <v>24</v>
      </c>
      <c r="D8169" s="1" t="str">
        <f t="shared" si="13834"/>
        <v>2021</v>
      </c>
      <c r="E8169" s="1" t="str">
        <f t="shared" ref="E8169:P8169" si="13875">"0"</f>
        <v>0</v>
      </c>
      <c r="F8169" s="1" t="str">
        <f t="shared" si="13875"/>
        <v>0</v>
      </c>
      <c r="G8169" s="1" t="str">
        <f t="shared" si="13875"/>
        <v>0</v>
      </c>
      <c r="H8169" s="1" t="str">
        <f t="shared" si="13875"/>
        <v>0</v>
      </c>
      <c r="I8169" s="1" t="str">
        <f t="shared" si="13875"/>
        <v>0</v>
      </c>
      <c r="J8169" s="1" t="str">
        <f t="shared" si="13875"/>
        <v>0</v>
      </c>
      <c r="K8169" s="1" t="str">
        <f t="shared" si="13875"/>
        <v>0</v>
      </c>
      <c r="L8169" s="1" t="str">
        <f t="shared" si="13875"/>
        <v>0</v>
      </c>
      <c r="M8169" s="1" t="str">
        <f t="shared" si="13875"/>
        <v>0</v>
      </c>
      <c r="N8169" s="1" t="str">
        <f t="shared" si="13875"/>
        <v>0</v>
      </c>
      <c r="O8169" s="1" t="str">
        <f t="shared" si="13875"/>
        <v>0</v>
      </c>
      <c r="P8169" s="1" t="str">
        <f t="shared" si="13875"/>
        <v>0</v>
      </c>
      <c r="Q8169" s="1" t="str">
        <f t="shared" si="13836"/>
        <v>0.0070</v>
      </c>
      <c r="R8169" s="1" t="s">
        <v>25</v>
      </c>
      <c r="T8169" s="1" t="str">
        <f t="shared" si="13837"/>
        <v>0</v>
      </c>
      <c r="U8169" s="1" t="str">
        <f t="shared" si="13827"/>
        <v>0.0070</v>
      </c>
    </row>
    <row r="8170" s="1" customFormat="1" spans="1:21">
      <c r="A8170" s="1" t="str">
        <f>"4601992384473"</f>
        <v>4601992384473</v>
      </c>
      <c r="B8170" s="1" t="s">
        <v>8193</v>
      </c>
      <c r="C8170" s="1" t="s">
        <v>24</v>
      </c>
      <c r="D8170" s="1" t="str">
        <f t="shared" si="13834"/>
        <v>2021</v>
      </c>
      <c r="E8170" s="1" t="str">
        <f t="shared" ref="E8170:P8170" si="13876">"0"</f>
        <v>0</v>
      </c>
      <c r="F8170" s="1" t="str">
        <f t="shared" si="13876"/>
        <v>0</v>
      </c>
      <c r="G8170" s="1" t="str">
        <f t="shared" si="13876"/>
        <v>0</v>
      </c>
      <c r="H8170" s="1" t="str">
        <f t="shared" si="13876"/>
        <v>0</v>
      </c>
      <c r="I8170" s="1" t="str">
        <f t="shared" si="13876"/>
        <v>0</v>
      </c>
      <c r="J8170" s="1" t="str">
        <f t="shared" si="13876"/>
        <v>0</v>
      </c>
      <c r="K8170" s="1" t="str">
        <f t="shared" si="13876"/>
        <v>0</v>
      </c>
      <c r="L8170" s="1" t="str">
        <f t="shared" si="13876"/>
        <v>0</v>
      </c>
      <c r="M8170" s="1" t="str">
        <f t="shared" si="13876"/>
        <v>0</v>
      </c>
      <c r="N8170" s="1" t="str">
        <f t="shared" si="13876"/>
        <v>0</v>
      </c>
      <c r="O8170" s="1" t="str">
        <f t="shared" si="13876"/>
        <v>0</v>
      </c>
      <c r="P8170" s="1" t="str">
        <f t="shared" si="13876"/>
        <v>0</v>
      </c>
      <c r="Q8170" s="1" t="str">
        <f t="shared" si="13836"/>
        <v>0.0070</v>
      </c>
      <c r="R8170" s="1" t="s">
        <v>25</v>
      </c>
      <c r="T8170" s="1" t="str">
        <f t="shared" si="13837"/>
        <v>0</v>
      </c>
      <c r="U8170" s="1" t="str">
        <f t="shared" si="13827"/>
        <v>0.0070</v>
      </c>
    </row>
    <row r="8171" s="1" customFormat="1" spans="1:21">
      <c r="A8171" s="1" t="str">
        <f>"4601992384581"</f>
        <v>4601992384581</v>
      </c>
      <c r="B8171" s="1" t="s">
        <v>8194</v>
      </c>
      <c r="C8171" s="1" t="s">
        <v>24</v>
      </c>
      <c r="D8171" s="1" t="str">
        <f t="shared" si="13834"/>
        <v>2021</v>
      </c>
      <c r="E8171" s="1" t="str">
        <f t="shared" ref="E8171:P8171" si="13877">"0"</f>
        <v>0</v>
      </c>
      <c r="F8171" s="1" t="str">
        <f t="shared" si="13877"/>
        <v>0</v>
      </c>
      <c r="G8171" s="1" t="str">
        <f t="shared" si="13877"/>
        <v>0</v>
      </c>
      <c r="H8171" s="1" t="str">
        <f t="shared" si="13877"/>
        <v>0</v>
      </c>
      <c r="I8171" s="1" t="str">
        <f t="shared" si="13877"/>
        <v>0</v>
      </c>
      <c r="J8171" s="1" t="str">
        <f t="shared" si="13877"/>
        <v>0</v>
      </c>
      <c r="K8171" s="1" t="str">
        <f t="shared" si="13877"/>
        <v>0</v>
      </c>
      <c r="L8171" s="1" t="str">
        <f t="shared" si="13877"/>
        <v>0</v>
      </c>
      <c r="M8171" s="1" t="str">
        <f t="shared" si="13877"/>
        <v>0</v>
      </c>
      <c r="N8171" s="1" t="str">
        <f t="shared" si="13877"/>
        <v>0</v>
      </c>
      <c r="O8171" s="1" t="str">
        <f t="shared" si="13877"/>
        <v>0</v>
      </c>
      <c r="P8171" s="1" t="str">
        <f t="shared" si="13877"/>
        <v>0</v>
      </c>
      <c r="Q8171" s="1" t="str">
        <f t="shared" si="13836"/>
        <v>0.0070</v>
      </c>
      <c r="R8171" s="1" t="s">
        <v>25</v>
      </c>
      <c r="T8171" s="1" t="str">
        <f t="shared" si="13837"/>
        <v>0</v>
      </c>
      <c r="U8171" s="1" t="str">
        <f t="shared" si="13827"/>
        <v>0.0070</v>
      </c>
    </row>
    <row r="8172" s="1" customFormat="1" spans="1:21">
      <c r="A8172" s="1" t="str">
        <f>"4601992384583"</f>
        <v>4601992384583</v>
      </c>
      <c r="B8172" s="1" t="s">
        <v>8195</v>
      </c>
      <c r="C8172" s="1" t="s">
        <v>24</v>
      </c>
      <c r="D8172" s="1" t="str">
        <f t="shared" si="13834"/>
        <v>2021</v>
      </c>
      <c r="E8172" s="1" t="str">
        <f t="shared" ref="E8172:P8172" si="13878">"0"</f>
        <v>0</v>
      </c>
      <c r="F8172" s="1" t="str">
        <f t="shared" si="13878"/>
        <v>0</v>
      </c>
      <c r="G8172" s="1" t="str">
        <f t="shared" si="13878"/>
        <v>0</v>
      </c>
      <c r="H8172" s="1" t="str">
        <f t="shared" si="13878"/>
        <v>0</v>
      </c>
      <c r="I8172" s="1" t="str">
        <f t="shared" si="13878"/>
        <v>0</v>
      </c>
      <c r="J8172" s="1" t="str">
        <f t="shared" si="13878"/>
        <v>0</v>
      </c>
      <c r="K8172" s="1" t="str">
        <f t="shared" si="13878"/>
        <v>0</v>
      </c>
      <c r="L8172" s="1" t="str">
        <f t="shared" si="13878"/>
        <v>0</v>
      </c>
      <c r="M8172" s="1" t="str">
        <f t="shared" si="13878"/>
        <v>0</v>
      </c>
      <c r="N8172" s="1" t="str">
        <f t="shared" si="13878"/>
        <v>0</v>
      </c>
      <c r="O8172" s="1" t="str">
        <f t="shared" si="13878"/>
        <v>0</v>
      </c>
      <c r="P8172" s="1" t="str">
        <f t="shared" si="13878"/>
        <v>0</v>
      </c>
      <c r="Q8172" s="1" t="str">
        <f t="shared" si="13836"/>
        <v>0.0070</v>
      </c>
      <c r="R8172" s="1" t="s">
        <v>25</v>
      </c>
      <c r="T8172" s="1" t="str">
        <f t="shared" si="13837"/>
        <v>0</v>
      </c>
      <c r="U8172" s="1" t="str">
        <f t="shared" si="13827"/>
        <v>0.0070</v>
      </c>
    </row>
    <row r="8173" s="1" customFormat="1" spans="1:21">
      <c r="A8173" s="1" t="str">
        <f>"4601992384780"</f>
        <v>4601992384780</v>
      </c>
      <c r="B8173" s="1" t="s">
        <v>8196</v>
      </c>
      <c r="C8173" s="1" t="s">
        <v>24</v>
      </c>
      <c r="D8173" s="1" t="str">
        <f t="shared" si="13834"/>
        <v>2021</v>
      </c>
      <c r="E8173" s="1" t="str">
        <f t="shared" ref="E8173:P8173" si="13879">"0"</f>
        <v>0</v>
      </c>
      <c r="F8173" s="1" t="str">
        <f t="shared" si="13879"/>
        <v>0</v>
      </c>
      <c r="G8173" s="1" t="str">
        <f t="shared" si="13879"/>
        <v>0</v>
      </c>
      <c r="H8173" s="1" t="str">
        <f t="shared" si="13879"/>
        <v>0</v>
      </c>
      <c r="I8173" s="1" t="str">
        <f t="shared" si="13879"/>
        <v>0</v>
      </c>
      <c r="J8173" s="1" t="str">
        <f t="shared" si="13879"/>
        <v>0</v>
      </c>
      <c r="K8173" s="1" t="str">
        <f t="shared" si="13879"/>
        <v>0</v>
      </c>
      <c r="L8173" s="1" t="str">
        <f t="shared" si="13879"/>
        <v>0</v>
      </c>
      <c r="M8173" s="1" t="str">
        <f t="shared" si="13879"/>
        <v>0</v>
      </c>
      <c r="N8173" s="1" t="str">
        <f t="shared" si="13879"/>
        <v>0</v>
      </c>
      <c r="O8173" s="1" t="str">
        <f t="shared" si="13879"/>
        <v>0</v>
      </c>
      <c r="P8173" s="1" t="str">
        <f t="shared" si="13879"/>
        <v>0</v>
      </c>
      <c r="Q8173" s="1" t="str">
        <f t="shared" si="13836"/>
        <v>0.0070</v>
      </c>
      <c r="R8173" s="1" t="s">
        <v>25</v>
      </c>
      <c r="T8173" s="1" t="str">
        <f t="shared" si="13837"/>
        <v>0</v>
      </c>
      <c r="U8173" s="1" t="str">
        <f t="shared" si="13827"/>
        <v>0.0070</v>
      </c>
    </row>
    <row r="8174" s="1" customFormat="1" spans="1:21">
      <c r="A8174" s="1" t="str">
        <f>"4601992384915"</f>
        <v>4601992384915</v>
      </c>
      <c r="B8174" s="1" t="s">
        <v>8197</v>
      </c>
      <c r="C8174" s="1" t="s">
        <v>24</v>
      </c>
      <c r="D8174" s="1" t="str">
        <f t="shared" si="13834"/>
        <v>2021</v>
      </c>
      <c r="E8174" s="1" t="str">
        <f t="shared" ref="E8174:P8174" si="13880">"0"</f>
        <v>0</v>
      </c>
      <c r="F8174" s="1" t="str">
        <f t="shared" si="13880"/>
        <v>0</v>
      </c>
      <c r="G8174" s="1" t="str">
        <f t="shared" si="13880"/>
        <v>0</v>
      </c>
      <c r="H8174" s="1" t="str">
        <f t="shared" si="13880"/>
        <v>0</v>
      </c>
      <c r="I8174" s="1" t="str">
        <f t="shared" si="13880"/>
        <v>0</v>
      </c>
      <c r="J8174" s="1" t="str">
        <f t="shared" si="13880"/>
        <v>0</v>
      </c>
      <c r="K8174" s="1" t="str">
        <f t="shared" si="13880"/>
        <v>0</v>
      </c>
      <c r="L8174" s="1" t="str">
        <f t="shared" si="13880"/>
        <v>0</v>
      </c>
      <c r="M8174" s="1" t="str">
        <f t="shared" si="13880"/>
        <v>0</v>
      </c>
      <c r="N8174" s="1" t="str">
        <f t="shared" si="13880"/>
        <v>0</v>
      </c>
      <c r="O8174" s="1" t="str">
        <f t="shared" si="13880"/>
        <v>0</v>
      </c>
      <c r="P8174" s="1" t="str">
        <f t="shared" si="13880"/>
        <v>0</v>
      </c>
      <c r="Q8174" s="1" t="str">
        <f t="shared" si="13836"/>
        <v>0.0070</v>
      </c>
      <c r="R8174" s="1" t="s">
        <v>25</v>
      </c>
      <c r="T8174" s="1" t="str">
        <f t="shared" si="13837"/>
        <v>0</v>
      </c>
      <c r="U8174" s="1" t="str">
        <f t="shared" si="13827"/>
        <v>0.0070</v>
      </c>
    </row>
    <row r="8175" s="1" customFormat="1" spans="1:21">
      <c r="A8175" s="1" t="str">
        <f>"4601992384953"</f>
        <v>4601992384953</v>
      </c>
      <c r="B8175" s="1" t="s">
        <v>8198</v>
      </c>
      <c r="C8175" s="1" t="s">
        <v>24</v>
      </c>
      <c r="D8175" s="1" t="str">
        <f t="shared" si="13834"/>
        <v>2021</v>
      </c>
      <c r="E8175" s="1" t="str">
        <f t="shared" ref="E8175:P8175" si="13881">"0"</f>
        <v>0</v>
      </c>
      <c r="F8175" s="1" t="str">
        <f t="shared" si="13881"/>
        <v>0</v>
      </c>
      <c r="G8175" s="1" t="str">
        <f t="shared" si="13881"/>
        <v>0</v>
      </c>
      <c r="H8175" s="1" t="str">
        <f t="shared" si="13881"/>
        <v>0</v>
      </c>
      <c r="I8175" s="1" t="str">
        <f t="shared" si="13881"/>
        <v>0</v>
      </c>
      <c r="J8175" s="1" t="str">
        <f t="shared" si="13881"/>
        <v>0</v>
      </c>
      <c r="K8175" s="1" t="str">
        <f t="shared" si="13881"/>
        <v>0</v>
      </c>
      <c r="L8175" s="1" t="str">
        <f t="shared" si="13881"/>
        <v>0</v>
      </c>
      <c r="M8175" s="1" t="str">
        <f t="shared" si="13881"/>
        <v>0</v>
      </c>
      <c r="N8175" s="1" t="str">
        <f t="shared" si="13881"/>
        <v>0</v>
      </c>
      <c r="O8175" s="1" t="str">
        <f t="shared" si="13881"/>
        <v>0</v>
      </c>
      <c r="P8175" s="1" t="str">
        <f t="shared" si="13881"/>
        <v>0</v>
      </c>
      <c r="Q8175" s="1" t="str">
        <f t="shared" si="13836"/>
        <v>0.0070</v>
      </c>
      <c r="R8175" s="1" t="s">
        <v>25</v>
      </c>
      <c r="T8175" s="1" t="str">
        <f t="shared" si="13837"/>
        <v>0</v>
      </c>
      <c r="U8175" s="1" t="str">
        <f t="shared" si="13827"/>
        <v>0.0070</v>
      </c>
    </row>
    <row r="8176" s="1" customFormat="1" spans="1:21">
      <c r="A8176" s="1" t="str">
        <f>"4601992384959"</f>
        <v>4601992384959</v>
      </c>
      <c r="B8176" s="1" t="s">
        <v>8199</v>
      </c>
      <c r="C8176" s="1" t="s">
        <v>24</v>
      </c>
      <c r="D8176" s="1" t="str">
        <f t="shared" si="13834"/>
        <v>2021</v>
      </c>
      <c r="E8176" s="1" t="str">
        <f t="shared" ref="E8176:P8176" si="13882">"0"</f>
        <v>0</v>
      </c>
      <c r="F8176" s="1" t="str">
        <f t="shared" si="13882"/>
        <v>0</v>
      </c>
      <c r="G8176" s="1" t="str">
        <f t="shared" si="13882"/>
        <v>0</v>
      </c>
      <c r="H8176" s="1" t="str">
        <f t="shared" si="13882"/>
        <v>0</v>
      </c>
      <c r="I8176" s="1" t="str">
        <f t="shared" si="13882"/>
        <v>0</v>
      </c>
      <c r="J8176" s="1" t="str">
        <f t="shared" si="13882"/>
        <v>0</v>
      </c>
      <c r="K8176" s="1" t="str">
        <f t="shared" si="13882"/>
        <v>0</v>
      </c>
      <c r="L8176" s="1" t="str">
        <f t="shared" si="13882"/>
        <v>0</v>
      </c>
      <c r="M8176" s="1" t="str">
        <f t="shared" si="13882"/>
        <v>0</v>
      </c>
      <c r="N8176" s="1" t="str">
        <f t="shared" si="13882"/>
        <v>0</v>
      </c>
      <c r="O8176" s="1" t="str">
        <f t="shared" si="13882"/>
        <v>0</v>
      </c>
      <c r="P8176" s="1" t="str">
        <f t="shared" si="13882"/>
        <v>0</v>
      </c>
      <c r="Q8176" s="1" t="str">
        <f t="shared" si="13836"/>
        <v>0.0070</v>
      </c>
      <c r="R8176" s="1" t="s">
        <v>25</v>
      </c>
      <c r="T8176" s="1" t="str">
        <f t="shared" si="13837"/>
        <v>0</v>
      </c>
      <c r="U8176" s="1" t="str">
        <f t="shared" si="13827"/>
        <v>0.0070</v>
      </c>
    </row>
    <row r="8177" s="1" customFormat="1" spans="1:21">
      <c r="A8177" s="1" t="str">
        <f>"4601992384979"</f>
        <v>4601992384979</v>
      </c>
      <c r="B8177" s="1" t="s">
        <v>8200</v>
      </c>
      <c r="C8177" s="1" t="s">
        <v>24</v>
      </c>
      <c r="D8177" s="1" t="str">
        <f t="shared" si="13834"/>
        <v>2021</v>
      </c>
      <c r="E8177" s="1" t="str">
        <f t="shared" ref="E8177:P8177" si="13883">"0"</f>
        <v>0</v>
      </c>
      <c r="F8177" s="1" t="str">
        <f t="shared" si="13883"/>
        <v>0</v>
      </c>
      <c r="G8177" s="1" t="str">
        <f t="shared" si="13883"/>
        <v>0</v>
      </c>
      <c r="H8177" s="1" t="str">
        <f t="shared" si="13883"/>
        <v>0</v>
      </c>
      <c r="I8177" s="1" t="str">
        <f t="shared" si="13883"/>
        <v>0</v>
      </c>
      <c r="J8177" s="1" t="str">
        <f t="shared" si="13883"/>
        <v>0</v>
      </c>
      <c r="K8177" s="1" t="str">
        <f t="shared" si="13883"/>
        <v>0</v>
      </c>
      <c r="L8177" s="1" t="str">
        <f t="shared" si="13883"/>
        <v>0</v>
      </c>
      <c r="M8177" s="1" t="str">
        <f t="shared" si="13883"/>
        <v>0</v>
      </c>
      <c r="N8177" s="1" t="str">
        <f t="shared" si="13883"/>
        <v>0</v>
      </c>
      <c r="O8177" s="1" t="str">
        <f t="shared" si="13883"/>
        <v>0</v>
      </c>
      <c r="P8177" s="1" t="str">
        <f t="shared" si="13883"/>
        <v>0</v>
      </c>
      <c r="Q8177" s="1" t="str">
        <f t="shared" si="13836"/>
        <v>0.0070</v>
      </c>
      <c r="R8177" s="1" t="s">
        <v>25</v>
      </c>
      <c r="T8177" s="1" t="str">
        <f t="shared" si="13837"/>
        <v>0</v>
      </c>
      <c r="U8177" s="1" t="str">
        <f t="shared" si="13827"/>
        <v>0.0070</v>
      </c>
    </row>
    <row r="8178" s="1" customFormat="1" spans="1:21">
      <c r="A8178" s="1" t="str">
        <f>"4601992385021"</f>
        <v>4601992385021</v>
      </c>
      <c r="B8178" s="1" t="s">
        <v>8201</v>
      </c>
      <c r="C8178" s="1" t="s">
        <v>24</v>
      </c>
      <c r="D8178" s="1" t="str">
        <f t="shared" si="13834"/>
        <v>2021</v>
      </c>
      <c r="E8178" s="1" t="str">
        <f t="shared" ref="E8178:P8178" si="13884">"0"</f>
        <v>0</v>
      </c>
      <c r="F8178" s="1" t="str">
        <f t="shared" si="13884"/>
        <v>0</v>
      </c>
      <c r="G8178" s="1" t="str">
        <f t="shared" si="13884"/>
        <v>0</v>
      </c>
      <c r="H8178" s="1" t="str">
        <f t="shared" si="13884"/>
        <v>0</v>
      </c>
      <c r="I8178" s="1" t="str">
        <f t="shared" si="13884"/>
        <v>0</v>
      </c>
      <c r="J8178" s="1" t="str">
        <f t="shared" si="13884"/>
        <v>0</v>
      </c>
      <c r="K8178" s="1" t="str">
        <f t="shared" si="13884"/>
        <v>0</v>
      </c>
      <c r="L8178" s="1" t="str">
        <f t="shared" si="13884"/>
        <v>0</v>
      </c>
      <c r="M8178" s="1" t="str">
        <f t="shared" si="13884"/>
        <v>0</v>
      </c>
      <c r="N8178" s="1" t="str">
        <f t="shared" si="13884"/>
        <v>0</v>
      </c>
      <c r="O8178" s="1" t="str">
        <f t="shared" si="13884"/>
        <v>0</v>
      </c>
      <c r="P8178" s="1" t="str">
        <f t="shared" si="13884"/>
        <v>0</v>
      </c>
      <c r="Q8178" s="1" t="str">
        <f t="shared" si="13836"/>
        <v>0.0070</v>
      </c>
      <c r="R8178" s="1" t="s">
        <v>25</v>
      </c>
      <c r="T8178" s="1" t="str">
        <f t="shared" si="13837"/>
        <v>0</v>
      </c>
      <c r="U8178" s="1" t="str">
        <f t="shared" si="13827"/>
        <v>0.0070</v>
      </c>
    </row>
    <row r="8179" s="1" customFormat="1" spans="1:21">
      <c r="A8179" s="1" t="str">
        <f>"4601992385037"</f>
        <v>4601992385037</v>
      </c>
      <c r="B8179" s="1" t="s">
        <v>8202</v>
      </c>
      <c r="C8179" s="1" t="s">
        <v>24</v>
      </c>
      <c r="D8179" s="1" t="str">
        <f t="shared" si="13834"/>
        <v>2021</v>
      </c>
      <c r="E8179" s="1" t="str">
        <f t="shared" ref="E8179:P8179" si="13885">"0"</f>
        <v>0</v>
      </c>
      <c r="F8179" s="1" t="str">
        <f t="shared" si="13885"/>
        <v>0</v>
      </c>
      <c r="G8179" s="1" t="str">
        <f t="shared" si="13885"/>
        <v>0</v>
      </c>
      <c r="H8179" s="1" t="str">
        <f t="shared" si="13885"/>
        <v>0</v>
      </c>
      <c r="I8179" s="1" t="str">
        <f t="shared" si="13885"/>
        <v>0</v>
      </c>
      <c r="J8179" s="1" t="str">
        <f t="shared" si="13885"/>
        <v>0</v>
      </c>
      <c r="K8179" s="1" t="str">
        <f t="shared" si="13885"/>
        <v>0</v>
      </c>
      <c r="L8179" s="1" t="str">
        <f t="shared" si="13885"/>
        <v>0</v>
      </c>
      <c r="M8179" s="1" t="str">
        <f t="shared" si="13885"/>
        <v>0</v>
      </c>
      <c r="N8179" s="1" t="str">
        <f t="shared" si="13885"/>
        <v>0</v>
      </c>
      <c r="O8179" s="1" t="str">
        <f t="shared" si="13885"/>
        <v>0</v>
      </c>
      <c r="P8179" s="1" t="str">
        <f t="shared" si="13885"/>
        <v>0</v>
      </c>
      <c r="Q8179" s="1" t="str">
        <f t="shared" si="13836"/>
        <v>0.0070</v>
      </c>
      <c r="R8179" s="1" t="s">
        <v>25</v>
      </c>
      <c r="T8179" s="1" t="str">
        <f t="shared" si="13837"/>
        <v>0</v>
      </c>
      <c r="U8179" s="1" t="str">
        <f t="shared" si="13827"/>
        <v>0.0070</v>
      </c>
    </row>
    <row r="8180" s="1" customFormat="1" spans="1:21">
      <c r="A8180" s="1" t="str">
        <f>"4601992385057"</f>
        <v>4601992385057</v>
      </c>
      <c r="B8180" s="1" t="s">
        <v>8203</v>
      </c>
      <c r="C8180" s="1" t="s">
        <v>24</v>
      </c>
      <c r="D8180" s="1" t="str">
        <f t="shared" si="13834"/>
        <v>2021</v>
      </c>
      <c r="E8180" s="1" t="str">
        <f t="shared" ref="E8180:P8180" si="13886">"0"</f>
        <v>0</v>
      </c>
      <c r="F8180" s="1" t="str">
        <f t="shared" si="13886"/>
        <v>0</v>
      </c>
      <c r="G8180" s="1" t="str">
        <f t="shared" si="13886"/>
        <v>0</v>
      </c>
      <c r="H8180" s="1" t="str">
        <f t="shared" si="13886"/>
        <v>0</v>
      </c>
      <c r="I8180" s="1" t="str">
        <f t="shared" si="13886"/>
        <v>0</v>
      </c>
      <c r="J8180" s="1" t="str">
        <f t="shared" si="13886"/>
        <v>0</v>
      </c>
      <c r="K8180" s="1" t="str">
        <f t="shared" si="13886"/>
        <v>0</v>
      </c>
      <c r="L8180" s="1" t="str">
        <f t="shared" si="13886"/>
        <v>0</v>
      </c>
      <c r="M8180" s="1" t="str">
        <f t="shared" si="13886"/>
        <v>0</v>
      </c>
      <c r="N8180" s="1" t="str">
        <f t="shared" si="13886"/>
        <v>0</v>
      </c>
      <c r="O8180" s="1" t="str">
        <f t="shared" si="13886"/>
        <v>0</v>
      </c>
      <c r="P8180" s="1" t="str">
        <f t="shared" si="13886"/>
        <v>0</v>
      </c>
      <c r="Q8180" s="1" t="str">
        <f t="shared" si="13836"/>
        <v>0.0070</v>
      </c>
      <c r="R8180" s="1" t="s">
        <v>25</v>
      </c>
      <c r="T8180" s="1" t="str">
        <f t="shared" si="13837"/>
        <v>0</v>
      </c>
      <c r="U8180" s="1" t="str">
        <f t="shared" si="13827"/>
        <v>0.0070</v>
      </c>
    </row>
    <row r="8181" s="1" customFormat="1" spans="1:21">
      <c r="A8181" s="1" t="str">
        <f>"4601992385058"</f>
        <v>4601992385058</v>
      </c>
      <c r="B8181" s="1" t="s">
        <v>8204</v>
      </c>
      <c r="C8181" s="1" t="s">
        <v>24</v>
      </c>
      <c r="D8181" s="1" t="str">
        <f t="shared" si="13834"/>
        <v>2021</v>
      </c>
      <c r="E8181" s="1" t="str">
        <f t="shared" ref="E8181:P8181" si="13887">"0"</f>
        <v>0</v>
      </c>
      <c r="F8181" s="1" t="str">
        <f t="shared" si="13887"/>
        <v>0</v>
      </c>
      <c r="G8181" s="1" t="str">
        <f t="shared" si="13887"/>
        <v>0</v>
      </c>
      <c r="H8181" s="1" t="str">
        <f t="shared" si="13887"/>
        <v>0</v>
      </c>
      <c r="I8181" s="1" t="str">
        <f t="shared" si="13887"/>
        <v>0</v>
      </c>
      <c r="J8181" s="1" t="str">
        <f t="shared" si="13887"/>
        <v>0</v>
      </c>
      <c r="K8181" s="1" t="str">
        <f t="shared" si="13887"/>
        <v>0</v>
      </c>
      <c r="L8181" s="1" t="str">
        <f t="shared" si="13887"/>
        <v>0</v>
      </c>
      <c r="M8181" s="1" t="str">
        <f t="shared" si="13887"/>
        <v>0</v>
      </c>
      <c r="N8181" s="1" t="str">
        <f t="shared" si="13887"/>
        <v>0</v>
      </c>
      <c r="O8181" s="1" t="str">
        <f t="shared" si="13887"/>
        <v>0</v>
      </c>
      <c r="P8181" s="1" t="str">
        <f t="shared" si="13887"/>
        <v>0</v>
      </c>
      <c r="Q8181" s="1" t="str">
        <f t="shared" si="13836"/>
        <v>0.0070</v>
      </c>
      <c r="R8181" s="1" t="s">
        <v>25</v>
      </c>
      <c r="T8181" s="1" t="str">
        <f t="shared" si="13837"/>
        <v>0</v>
      </c>
      <c r="U8181" s="1" t="str">
        <f t="shared" si="13827"/>
        <v>0.0070</v>
      </c>
    </row>
    <row r="8182" s="1" customFormat="1" spans="1:21">
      <c r="A8182" s="1" t="str">
        <f>"4601992385082"</f>
        <v>4601992385082</v>
      </c>
      <c r="B8182" s="1" t="s">
        <v>8205</v>
      </c>
      <c r="C8182" s="1" t="s">
        <v>24</v>
      </c>
      <c r="D8182" s="1" t="str">
        <f t="shared" si="13834"/>
        <v>2021</v>
      </c>
      <c r="E8182" s="1" t="str">
        <f t="shared" ref="E8182:P8182" si="13888">"0"</f>
        <v>0</v>
      </c>
      <c r="F8182" s="1" t="str">
        <f t="shared" si="13888"/>
        <v>0</v>
      </c>
      <c r="G8182" s="1" t="str">
        <f t="shared" si="13888"/>
        <v>0</v>
      </c>
      <c r="H8182" s="1" t="str">
        <f t="shared" si="13888"/>
        <v>0</v>
      </c>
      <c r="I8182" s="1" t="str">
        <f t="shared" si="13888"/>
        <v>0</v>
      </c>
      <c r="J8182" s="1" t="str">
        <f t="shared" si="13888"/>
        <v>0</v>
      </c>
      <c r="K8182" s="1" t="str">
        <f t="shared" si="13888"/>
        <v>0</v>
      </c>
      <c r="L8182" s="1" t="str">
        <f t="shared" si="13888"/>
        <v>0</v>
      </c>
      <c r="M8182" s="1" t="str">
        <f t="shared" si="13888"/>
        <v>0</v>
      </c>
      <c r="N8182" s="1" t="str">
        <f t="shared" si="13888"/>
        <v>0</v>
      </c>
      <c r="O8182" s="1" t="str">
        <f t="shared" si="13888"/>
        <v>0</v>
      </c>
      <c r="P8182" s="1" t="str">
        <f t="shared" si="13888"/>
        <v>0</v>
      </c>
      <c r="Q8182" s="1" t="str">
        <f t="shared" si="13836"/>
        <v>0.0070</v>
      </c>
      <c r="R8182" s="1" t="s">
        <v>25</v>
      </c>
      <c r="T8182" s="1" t="str">
        <f t="shared" si="13837"/>
        <v>0</v>
      </c>
      <c r="U8182" s="1" t="str">
        <f t="shared" si="13827"/>
        <v>0.0070</v>
      </c>
    </row>
    <row r="8183" s="1" customFormat="1" spans="1:21">
      <c r="A8183" s="1" t="str">
        <f>"4601992385117"</f>
        <v>4601992385117</v>
      </c>
      <c r="B8183" s="1" t="s">
        <v>8206</v>
      </c>
      <c r="C8183" s="1" t="s">
        <v>24</v>
      </c>
      <c r="D8183" s="1" t="str">
        <f t="shared" si="13834"/>
        <v>2021</v>
      </c>
      <c r="E8183" s="1" t="str">
        <f t="shared" ref="E8183:P8183" si="13889">"0"</f>
        <v>0</v>
      </c>
      <c r="F8183" s="1" t="str">
        <f t="shared" si="13889"/>
        <v>0</v>
      </c>
      <c r="G8183" s="1" t="str">
        <f t="shared" si="13889"/>
        <v>0</v>
      </c>
      <c r="H8183" s="1" t="str">
        <f t="shared" si="13889"/>
        <v>0</v>
      </c>
      <c r="I8183" s="1" t="str">
        <f t="shared" si="13889"/>
        <v>0</v>
      </c>
      <c r="J8183" s="1" t="str">
        <f t="shared" si="13889"/>
        <v>0</v>
      </c>
      <c r="K8183" s="1" t="str">
        <f t="shared" si="13889"/>
        <v>0</v>
      </c>
      <c r="L8183" s="1" t="str">
        <f t="shared" si="13889"/>
        <v>0</v>
      </c>
      <c r="M8183" s="1" t="str">
        <f t="shared" si="13889"/>
        <v>0</v>
      </c>
      <c r="N8183" s="1" t="str">
        <f t="shared" si="13889"/>
        <v>0</v>
      </c>
      <c r="O8183" s="1" t="str">
        <f t="shared" si="13889"/>
        <v>0</v>
      </c>
      <c r="P8183" s="1" t="str">
        <f t="shared" si="13889"/>
        <v>0</v>
      </c>
      <c r="Q8183" s="1" t="str">
        <f t="shared" si="13836"/>
        <v>0.0070</v>
      </c>
      <c r="R8183" s="1" t="s">
        <v>25</v>
      </c>
      <c r="T8183" s="1" t="str">
        <f t="shared" si="13837"/>
        <v>0</v>
      </c>
      <c r="U8183" s="1" t="str">
        <f t="shared" si="13827"/>
        <v>0.0070</v>
      </c>
    </row>
    <row r="8184" s="1" customFormat="1" spans="1:21">
      <c r="A8184" s="1" t="str">
        <f>"4601992385291"</f>
        <v>4601992385291</v>
      </c>
      <c r="B8184" s="1" t="s">
        <v>8207</v>
      </c>
      <c r="C8184" s="1" t="s">
        <v>24</v>
      </c>
      <c r="D8184" s="1" t="str">
        <f t="shared" si="13834"/>
        <v>2021</v>
      </c>
      <c r="E8184" s="1" t="str">
        <f t="shared" ref="E8184:P8184" si="13890">"0"</f>
        <v>0</v>
      </c>
      <c r="F8184" s="1" t="str">
        <f t="shared" si="13890"/>
        <v>0</v>
      </c>
      <c r="G8184" s="1" t="str">
        <f t="shared" si="13890"/>
        <v>0</v>
      </c>
      <c r="H8184" s="1" t="str">
        <f t="shared" si="13890"/>
        <v>0</v>
      </c>
      <c r="I8184" s="1" t="str">
        <f t="shared" si="13890"/>
        <v>0</v>
      </c>
      <c r="J8184" s="1" t="str">
        <f t="shared" si="13890"/>
        <v>0</v>
      </c>
      <c r="K8184" s="1" t="str">
        <f t="shared" si="13890"/>
        <v>0</v>
      </c>
      <c r="L8184" s="1" t="str">
        <f t="shared" si="13890"/>
        <v>0</v>
      </c>
      <c r="M8184" s="1" t="str">
        <f t="shared" si="13890"/>
        <v>0</v>
      </c>
      <c r="N8184" s="1" t="str">
        <f t="shared" si="13890"/>
        <v>0</v>
      </c>
      <c r="O8184" s="1" t="str">
        <f t="shared" si="13890"/>
        <v>0</v>
      </c>
      <c r="P8184" s="1" t="str">
        <f t="shared" si="13890"/>
        <v>0</v>
      </c>
      <c r="Q8184" s="1" t="str">
        <f t="shared" si="13836"/>
        <v>0.0070</v>
      </c>
      <c r="R8184" s="1" t="s">
        <v>25</v>
      </c>
      <c r="T8184" s="1" t="str">
        <f t="shared" si="13837"/>
        <v>0</v>
      </c>
      <c r="U8184" s="1" t="str">
        <f t="shared" si="13827"/>
        <v>0.0070</v>
      </c>
    </row>
    <row r="8185" s="1" customFormat="1" spans="1:21">
      <c r="A8185" s="1" t="str">
        <f>"4601992385351"</f>
        <v>4601992385351</v>
      </c>
      <c r="B8185" s="1" t="s">
        <v>8208</v>
      </c>
      <c r="C8185" s="1" t="s">
        <v>24</v>
      </c>
      <c r="D8185" s="1" t="str">
        <f t="shared" si="13834"/>
        <v>2021</v>
      </c>
      <c r="E8185" s="1" t="str">
        <f t="shared" ref="E8185:P8185" si="13891">"0"</f>
        <v>0</v>
      </c>
      <c r="F8185" s="1" t="str">
        <f t="shared" si="13891"/>
        <v>0</v>
      </c>
      <c r="G8185" s="1" t="str">
        <f t="shared" si="13891"/>
        <v>0</v>
      </c>
      <c r="H8185" s="1" t="str">
        <f t="shared" si="13891"/>
        <v>0</v>
      </c>
      <c r="I8185" s="1" t="str">
        <f t="shared" si="13891"/>
        <v>0</v>
      </c>
      <c r="J8185" s="1" t="str">
        <f t="shared" si="13891"/>
        <v>0</v>
      </c>
      <c r="K8185" s="1" t="str">
        <f t="shared" si="13891"/>
        <v>0</v>
      </c>
      <c r="L8185" s="1" t="str">
        <f t="shared" si="13891"/>
        <v>0</v>
      </c>
      <c r="M8185" s="1" t="str">
        <f t="shared" si="13891"/>
        <v>0</v>
      </c>
      <c r="N8185" s="1" t="str">
        <f t="shared" si="13891"/>
        <v>0</v>
      </c>
      <c r="O8185" s="1" t="str">
        <f t="shared" si="13891"/>
        <v>0</v>
      </c>
      <c r="P8185" s="1" t="str">
        <f t="shared" si="13891"/>
        <v>0</v>
      </c>
      <c r="Q8185" s="1" t="str">
        <f t="shared" si="13836"/>
        <v>0.0070</v>
      </c>
      <c r="R8185" s="1" t="s">
        <v>25</v>
      </c>
      <c r="T8185" s="1" t="str">
        <f t="shared" si="13837"/>
        <v>0</v>
      </c>
      <c r="U8185" s="1" t="str">
        <f t="shared" si="13827"/>
        <v>0.0070</v>
      </c>
    </row>
    <row r="8186" s="1" customFormat="1" spans="1:21">
      <c r="A8186" s="1" t="str">
        <f>"4601992385371"</f>
        <v>4601992385371</v>
      </c>
      <c r="B8186" s="1" t="s">
        <v>8209</v>
      </c>
      <c r="C8186" s="1" t="s">
        <v>24</v>
      </c>
      <c r="D8186" s="1" t="str">
        <f t="shared" si="13834"/>
        <v>2021</v>
      </c>
      <c r="E8186" s="1" t="str">
        <f t="shared" ref="E8186:P8186" si="13892">"0"</f>
        <v>0</v>
      </c>
      <c r="F8186" s="1" t="str">
        <f t="shared" si="13892"/>
        <v>0</v>
      </c>
      <c r="G8186" s="1" t="str">
        <f t="shared" si="13892"/>
        <v>0</v>
      </c>
      <c r="H8186" s="1" t="str">
        <f t="shared" si="13892"/>
        <v>0</v>
      </c>
      <c r="I8186" s="1" t="str">
        <f t="shared" si="13892"/>
        <v>0</v>
      </c>
      <c r="J8186" s="1" t="str">
        <f t="shared" si="13892"/>
        <v>0</v>
      </c>
      <c r="K8186" s="1" t="str">
        <f t="shared" si="13892"/>
        <v>0</v>
      </c>
      <c r="L8186" s="1" t="str">
        <f t="shared" si="13892"/>
        <v>0</v>
      </c>
      <c r="M8186" s="1" t="str">
        <f t="shared" si="13892"/>
        <v>0</v>
      </c>
      <c r="N8186" s="1" t="str">
        <f t="shared" si="13892"/>
        <v>0</v>
      </c>
      <c r="O8186" s="1" t="str">
        <f t="shared" si="13892"/>
        <v>0</v>
      </c>
      <c r="P8186" s="1" t="str">
        <f t="shared" si="13892"/>
        <v>0</v>
      </c>
      <c r="Q8186" s="1" t="str">
        <f t="shared" si="13836"/>
        <v>0.0070</v>
      </c>
      <c r="R8186" s="1" t="s">
        <v>25</v>
      </c>
      <c r="T8186" s="1" t="str">
        <f t="shared" si="13837"/>
        <v>0</v>
      </c>
      <c r="U8186" s="1" t="str">
        <f t="shared" si="13827"/>
        <v>0.0070</v>
      </c>
    </row>
    <row r="8187" s="1" customFormat="1" spans="1:21">
      <c r="A8187" s="1" t="str">
        <f>"4601992385473"</f>
        <v>4601992385473</v>
      </c>
      <c r="B8187" s="1" t="s">
        <v>8210</v>
      </c>
      <c r="C8187" s="1" t="s">
        <v>24</v>
      </c>
      <c r="D8187" s="1" t="str">
        <f t="shared" si="13834"/>
        <v>2021</v>
      </c>
      <c r="E8187" s="1" t="str">
        <f t="shared" ref="E8187:P8187" si="13893">"0"</f>
        <v>0</v>
      </c>
      <c r="F8187" s="1" t="str">
        <f t="shared" si="13893"/>
        <v>0</v>
      </c>
      <c r="G8187" s="1" t="str">
        <f t="shared" si="13893"/>
        <v>0</v>
      </c>
      <c r="H8187" s="1" t="str">
        <f t="shared" si="13893"/>
        <v>0</v>
      </c>
      <c r="I8187" s="1" t="str">
        <f t="shared" si="13893"/>
        <v>0</v>
      </c>
      <c r="J8187" s="1" t="str">
        <f t="shared" si="13893"/>
        <v>0</v>
      </c>
      <c r="K8187" s="1" t="str">
        <f t="shared" si="13893"/>
        <v>0</v>
      </c>
      <c r="L8187" s="1" t="str">
        <f t="shared" si="13893"/>
        <v>0</v>
      </c>
      <c r="M8187" s="1" t="str">
        <f t="shared" si="13893"/>
        <v>0</v>
      </c>
      <c r="N8187" s="1" t="str">
        <f t="shared" si="13893"/>
        <v>0</v>
      </c>
      <c r="O8187" s="1" t="str">
        <f t="shared" si="13893"/>
        <v>0</v>
      </c>
      <c r="P8187" s="1" t="str">
        <f t="shared" si="13893"/>
        <v>0</v>
      </c>
      <c r="Q8187" s="1" t="str">
        <f t="shared" si="13836"/>
        <v>0.0070</v>
      </c>
      <c r="R8187" s="1" t="s">
        <v>25</v>
      </c>
      <c r="T8187" s="1" t="str">
        <f t="shared" si="13837"/>
        <v>0</v>
      </c>
      <c r="U8187" s="1" t="str">
        <f t="shared" si="13827"/>
        <v>0.0070</v>
      </c>
    </row>
    <row r="8188" s="1" customFormat="1" spans="1:21">
      <c r="A8188" s="1" t="str">
        <f>"4601992385539"</f>
        <v>4601992385539</v>
      </c>
      <c r="B8188" s="1" t="s">
        <v>8211</v>
      </c>
      <c r="C8188" s="1" t="s">
        <v>24</v>
      </c>
      <c r="D8188" s="1" t="str">
        <f t="shared" si="13834"/>
        <v>2021</v>
      </c>
      <c r="E8188" s="1" t="str">
        <f t="shared" ref="E8188:P8188" si="13894">"0"</f>
        <v>0</v>
      </c>
      <c r="F8188" s="1" t="str">
        <f t="shared" si="13894"/>
        <v>0</v>
      </c>
      <c r="G8188" s="1" t="str">
        <f t="shared" si="13894"/>
        <v>0</v>
      </c>
      <c r="H8188" s="1" t="str">
        <f t="shared" si="13894"/>
        <v>0</v>
      </c>
      <c r="I8188" s="1" t="str">
        <f t="shared" si="13894"/>
        <v>0</v>
      </c>
      <c r="J8188" s="1" t="str">
        <f t="shared" si="13894"/>
        <v>0</v>
      </c>
      <c r="K8188" s="1" t="str">
        <f t="shared" si="13894"/>
        <v>0</v>
      </c>
      <c r="L8188" s="1" t="str">
        <f t="shared" si="13894"/>
        <v>0</v>
      </c>
      <c r="M8188" s="1" t="str">
        <f t="shared" si="13894"/>
        <v>0</v>
      </c>
      <c r="N8188" s="1" t="str">
        <f t="shared" si="13894"/>
        <v>0</v>
      </c>
      <c r="O8188" s="1" t="str">
        <f t="shared" si="13894"/>
        <v>0</v>
      </c>
      <c r="P8188" s="1" t="str">
        <f t="shared" si="13894"/>
        <v>0</v>
      </c>
      <c r="Q8188" s="1" t="str">
        <f t="shared" si="13836"/>
        <v>0.0070</v>
      </c>
      <c r="R8188" s="1" t="s">
        <v>25</v>
      </c>
      <c r="T8188" s="1" t="str">
        <f t="shared" si="13837"/>
        <v>0</v>
      </c>
      <c r="U8188" s="1" t="str">
        <f t="shared" ref="U8188:U8251" si="13895">"0.0070"</f>
        <v>0.0070</v>
      </c>
    </row>
    <row r="8189" s="1" customFormat="1" spans="1:21">
      <c r="A8189" s="1" t="str">
        <f>"4601992385565"</f>
        <v>4601992385565</v>
      </c>
      <c r="B8189" s="1" t="s">
        <v>8212</v>
      </c>
      <c r="C8189" s="1" t="s">
        <v>24</v>
      </c>
      <c r="D8189" s="1" t="str">
        <f t="shared" si="13834"/>
        <v>2021</v>
      </c>
      <c r="E8189" s="1" t="str">
        <f t="shared" ref="E8189:P8189" si="13896">"0"</f>
        <v>0</v>
      </c>
      <c r="F8189" s="1" t="str">
        <f t="shared" si="13896"/>
        <v>0</v>
      </c>
      <c r="G8189" s="1" t="str">
        <f t="shared" si="13896"/>
        <v>0</v>
      </c>
      <c r="H8189" s="1" t="str">
        <f t="shared" si="13896"/>
        <v>0</v>
      </c>
      <c r="I8189" s="1" t="str">
        <f t="shared" si="13896"/>
        <v>0</v>
      </c>
      <c r="J8189" s="1" t="str">
        <f t="shared" si="13896"/>
        <v>0</v>
      </c>
      <c r="K8189" s="1" t="str">
        <f t="shared" si="13896"/>
        <v>0</v>
      </c>
      <c r="L8189" s="1" t="str">
        <f t="shared" si="13896"/>
        <v>0</v>
      </c>
      <c r="M8189" s="1" t="str">
        <f t="shared" si="13896"/>
        <v>0</v>
      </c>
      <c r="N8189" s="1" t="str">
        <f t="shared" si="13896"/>
        <v>0</v>
      </c>
      <c r="O8189" s="1" t="str">
        <f t="shared" si="13896"/>
        <v>0</v>
      </c>
      <c r="P8189" s="1" t="str">
        <f t="shared" si="13896"/>
        <v>0</v>
      </c>
      <c r="Q8189" s="1" t="str">
        <f t="shared" si="13836"/>
        <v>0.0070</v>
      </c>
      <c r="R8189" s="1" t="s">
        <v>25</v>
      </c>
      <c r="T8189" s="1" t="str">
        <f t="shared" si="13837"/>
        <v>0</v>
      </c>
      <c r="U8189" s="1" t="str">
        <f t="shared" si="13895"/>
        <v>0.0070</v>
      </c>
    </row>
    <row r="8190" s="1" customFormat="1" spans="1:21">
      <c r="A8190" s="1" t="str">
        <f>"4601992385613"</f>
        <v>4601992385613</v>
      </c>
      <c r="B8190" s="1" t="s">
        <v>8213</v>
      </c>
      <c r="C8190" s="1" t="s">
        <v>24</v>
      </c>
      <c r="D8190" s="1" t="str">
        <f t="shared" si="13834"/>
        <v>2021</v>
      </c>
      <c r="E8190" s="1" t="str">
        <f t="shared" ref="E8190:P8190" si="13897">"0"</f>
        <v>0</v>
      </c>
      <c r="F8190" s="1" t="str">
        <f t="shared" si="13897"/>
        <v>0</v>
      </c>
      <c r="G8190" s="1" t="str">
        <f t="shared" si="13897"/>
        <v>0</v>
      </c>
      <c r="H8190" s="1" t="str">
        <f t="shared" si="13897"/>
        <v>0</v>
      </c>
      <c r="I8190" s="1" t="str">
        <f t="shared" si="13897"/>
        <v>0</v>
      </c>
      <c r="J8190" s="1" t="str">
        <f t="shared" si="13897"/>
        <v>0</v>
      </c>
      <c r="K8190" s="1" t="str">
        <f t="shared" si="13897"/>
        <v>0</v>
      </c>
      <c r="L8190" s="1" t="str">
        <f t="shared" si="13897"/>
        <v>0</v>
      </c>
      <c r="M8190" s="1" t="str">
        <f t="shared" si="13897"/>
        <v>0</v>
      </c>
      <c r="N8190" s="1" t="str">
        <f t="shared" si="13897"/>
        <v>0</v>
      </c>
      <c r="O8190" s="1" t="str">
        <f t="shared" si="13897"/>
        <v>0</v>
      </c>
      <c r="P8190" s="1" t="str">
        <f t="shared" si="13897"/>
        <v>0</v>
      </c>
      <c r="Q8190" s="1" t="str">
        <f t="shared" si="13836"/>
        <v>0.0070</v>
      </c>
      <c r="R8190" s="1" t="s">
        <v>25</v>
      </c>
      <c r="T8190" s="1" t="str">
        <f t="shared" si="13837"/>
        <v>0</v>
      </c>
      <c r="U8190" s="1" t="str">
        <f t="shared" si="13895"/>
        <v>0.0070</v>
      </c>
    </row>
    <row r="8191" s="1" customFormat="1" spans="1:21">
      <c r="A8191" s="1" t="str">
        <f>"4601992385650"</f>
        <v>4601992385650</v>
      </c>
      <c r="B8191" s="1" t="s">
        <v>8214</v>
      </c>
      <c r="C8191" s="1" t="s">
        <v>24</v>
      </c>
      <c r="D8191" s="1" t="str">
        <f t="shared" si="13834"/>
        <v>2021</v>
      </c>
      <c r="E8191" s="1" t="str">
        <f t="shared" ref="E8191:P8191" si="13898">"0"</f>
        <v>0</v>
      </c>
      <c r="F8191" s="1" t="str">
        <f t="shared" si="13898"/>
        <v>0</v>
      </c>
      <c r="G8191" s="1" t="str">
        <f t="shared" si="13898"/>
        <v>0</v>
      </c>
      <c r="H8191" s="1" t="str">
        <f t="shared" si="13898"/>
        <v>0</v>
      </c>
      <c r="I8191" s="1" t="str">
        <f t="shared" si="13898"/>
        <v>0</v>
      </c>
      <c r="J8191" s="1" t="str">
        <f t="shared" si="13898"/>
        <v>0</v>
      </c>
      <c r="K8191" s="1" t="str">
        <f t="shared" si="13898"/>
        <v>0</v>
      </c>
      <c r="L8191" s="1" t="str">
        <f t="shared" si="13898"/>
        <v>0</v>
      </c>
      <c r="M8191" s="1" t="str">
        <f t="shared" si="13898"/>
        <v>0</v>
      </c>
      <c r="N8191" s="1" t="str">
        <f t="shared" si="13898"/>
        <v>0</v>
      </c>
      <c r="O8191" s="1" t="str">
        <f t="shared" si="13898"/>
        <v>0</v>
      </c>
      <c r="P8191" s="1" t="str">
        <f t="shared" si="13898"/>
        <v>0</v>
      </c>
      <c r="Q8191" s="1" t="str">
        <f t="shared" si="13836"/>
        <v>0.0070</v>
      </c>
      <c r="R8191" s="1" t="s">
        <v>25</v>
      </c>
      <c r="T8191" s="1" t="str">
        <f t="shared" si="13837"/>
        <v>0</v>
      </c>
      <c r="U8191" s="1" t="str">
        <f t="shared" si="13895"/>
        <v>0.0070</v>
      </c>
    </row>
    <row r="8192" s="1" customFormat="1" spans="1:21">
      <c r="A8192" s="1" t="str">
        <f>"4601992385676"</f>
        <v>4601992385676</v>
      </c>
      <c r="B8192" s="1" t="s">
        <v>8215</v>
      </c>
      <c r="C8192" s="1" t="s">
        <v>24</v>
      </c>
      <c r="D8192" s="1" t="str">
        <f t="shared" si="13834"/>
        <v>2021</v>
      </c>
      <c r="E8192" s="1" t="str">
        <f t="shared" ref="E8192:P8192" si="13899">"0"</f>
        <v>0</v>
      </c>
      <c r="F8192" s="1" t="str">
        <f t="shared" si="13899"/>
        <v>0</v>
      </c>
      <c r="G8192" s="1" t="str">
        <f t="shared" si="13899"/>
        <v>0</v>
      </c>
      <c r="H8192" s="1" t="str">
        <f t="shared" si="13899"/>
        <v>0</v>
      </c>
      <c r="I8192" s="1" t="str">
        <f t="shared" si="13899"/>
        <v>0</v>
      </c>
      <c r="J8192" s="1" t="str">
        <f t="shared" si="13899"/>
        <v>0</v>
      </c>
      <c r="K8192" s="1" t="str">
        <f t="shared" si="13899"/>
        <v>0</v>
      </c>
      <c r="L8192" s="1" t="str">
        <f t="shared" si="13899"/>
        <v>0</v>
      </c>
      <c r="M8192" s="1" t="str">
        <f t="shared" si="13899"/>
        <v>0</v>
      </c>
      <c r="N8192" s="1" t="str">
        <f t="shared" si="13899"/>
        <v>0</v>
      </c>
      <c r="O8192" s="1" t="str">
        <f t="shared" si="13899"/>
        <v>0</v>
      </c>
      <c r="P8192" s="1" t="str">
        <f t="shared" si="13899"/>
        <v>0</v>
      </c>
      <c r="Q8192" s="1" t="str">
        <f t="shared" si="13836"/>
        <v>0.0070</v>
      </c>
      <c r="R8192" s="1" t="s">
        <v>25</v>
      </c>
      <c r="T8192" s="1" t="str">
        <f t="shared" si="13837"/>
        <v>0</v>
      </c>
      <c r="U8192" s="1" t="str">
        <f t="shared" si="13895"/>
        <v>0.0070</v>
      </c>
    </row>
    <row r="8193" s="1" customFormat="1" spans="1:21">
      <c r="A8193" s="1" t="str">
        <f>"4601992189735"</f>
        <v>4601992189735</v>
      </c>
      <c r="B8193" s="1" t="s">
        <v>8216</v>
      </c>
      <c r="C8193" s="1" t="s">
        <v>24</v>
      </c>
      <c r="D8193" s="1" t="str">
        <f t="shared" si="13834"/>
        <v>2021</v>
      </c>
      <c r="E8193" s="1" t="str">
        <f t="shared" ref="E8193:I8193" si="13900">"0"</f>
        <v>0</v>
      </c>
      <c r="F8193" s="1" t="str">
        <f t="shared" si="13900"/>
        <v>0</v>
      </c>
      <c r="G8193" s="1" t="str">
        <f t="shared" si="13900"/>
        <v>0</v>
      </c>
      <c r="H8193" s="1" t="str">
        <f t="shared" si="13900"/>
        <v>0</v>
      </c>
      <c r="I8193" s="1" t="str">
        <f t="shared" si="13900"/>
        <v>0</v>
      </c>
      <c r="J8193" s="1" t="str">
        <f>"2"</f>
        <v>2</v>
      </c>
      <c r="K8193" s="1" t="str">
        <f t="shared" ref="K8193:P8193" si="13901">"0"</f>
        <v>0</v>
      </c>
      <c r="L8193" s="1" t="str">
        <f t="shared" si="13901"/>
        <v>0</v>
      </c>
      <c r="M8193" s="1" t="str">
        <f t="shared" si="13901"/>
        <v>0</v>
      </c>
      <c r="N8193" s="1" t="str">
        <f t="shared" si="13901"/>
        <v>0</v>
      </c>
      <c r="O8193" s="1" t="str">
        <f t="shared" si="13901"/>
        <v>0</v>
      </c>
      <c r="P8193" s="1" t="str">
        <f t="shared" si="13901"/>
        <v>0</v>
      </c>
      <c r="Q8193" s="1" t="str">
        <f t="shared" si="13836"/>
        <v>0.0070</v>
      </c>
      <c r="R8193" s="1" t="s">
        <v>25</v>
      </c>
      <c r="T8193" s="1" t="str">
        <f t="shared" si="13837"/>
        <v>0</v>
      </c>
      <c r="U8193" s="1" t="str">
        <f t="shared" si="13895"/>
        <v>0.0070</v>
      </c>
    </row>
    <row r="8194" s="1" customFormat="1" spans="1:21">
      <c r="A8194" s="1" t="str">
        <f>"4601992385699"</f>
        <v>4601992385699</v>
      </c>
      <c r="B8194" s="1" t="s">
        <v>8217</v>
      </c>
      <c r="C8194" s="1" t="s">
        <v>24</v>
      </c>
      <c r="D8194" s="1" t="str">
        <f t="shared" si="13834"/>
        <v>2021</v>
      </c>
      <c r="E8194" s="1" t="str">
        <f t="shared" ref="E8194:P8194" si="13902">"0"</f>
        <v>0</v>
      </c>
      <c r="F8194" s="1" t="str">
        <f t="shared" si="13902"/>
        <v>0</v>
      </c>
      <c r="G8194" s="1" t="str">
        <f t="shared" si="13902"/>
        <v>0</v>
      </c>
      <c r="H8194" s="1" t="str">
        <f t="shared" si="13902"/>
        <v>0</v>
      </c>
      <c r="I8194" s="1" t="str">
        <f t="shared" si="13902"/>
        <v>0</v>
      </c>
      <c r="J8194" s="1" t="str">
        <f t="shared" si="13902"/>
        <v>0</v>
      </c>
      <c r="K8194" s="1" t="str">
        <f t="shared" si="13902"/>
        <v>0</v>
      </c>
      <c r="L8194" s="1" t="str">
        <f t="shared" si="13902"/>
        <v>0</v>
      </c>
      <c r="M8194" s="1" t="str">
        <f t="shared" si="13902"/>
        <v>0</v>
      </c>
      <c r="N8194" s="1" t="str">
        <f t="shared" si="13902"/>
        <v>0</v>
      </c>
      <c r="O8194" s="1" t="str">
        <f t="shared" si="13902"/>
        <v>0</v>
      </c>
      <c r="P8194" s="1" t="str">
        <f t="shared" si="13902"/>
        <v>0</v>
      </c>
      <c r="Q8194" s="1" t="str">
        <f t="shared" si="13836"/>
        <v>0.0070</v>
      </c>
      <c r="R8194" s="1" t="s">
        <v>25</v>
      </c>
      <c r="T8194" s="1" t="str">
        <f t="shared" si="13837"/>
        <v>0</v>
      </c>
      <c r="U8194" s="1" t="str">
        <f t="shared" si="13895"/>
        <v>0.0070</v>
      </c>
    </row>
    <row r="8195" s="1" customFormat="1" spans="1:21">
      <c r="A8195" s="1" t="str">
        <f>"4601992385720"</f>
        <v>4601992385720</v>
      </c>
      <c r="B8195" s="1" t="s">
        <v>8218</v>
      </c>
      <c r="C8195" s="1" t="s">
        <v>24</v>
      </c>
      <c r="D8195" s="1" t="str">
        <f t="shared" ref="D8195:D8258" si="13903">"2021"</f>
        <v>2021</v>
      </c>
      <c r="E8195" s="1" t="str">
        <f t="shared" ref="E8195:P8195" si="13904">"0"</f>
        <v>0</v>
      </c>
      <c r="F8195" s="1" t="str">
        <f t="shared" si="13904"/>
        <v>0</v>
      </c>
      <c r="G8195" s="1" t="str">
        <f t="shared" si="13904"/>
        <v>0</v>
      </c>
      <c r="H8195" s="1" t="str">
        <f t="shared" si="13904"/>
        <v>0</v>
      </c>
      <c r="I8195" s="1" t="str">
        <f t="shared" si="13904"/>
        <v>0</v>
      </c>
      <c r="J8195" s="1" t="str">
        <f t="shared" si="13904"/>
        <v>0</v>
      </c>
      <c r="K8195" s="1" t="str">
        <f t="shared" si="13904"/>
        <v>0</v>
      </c>
      <c r="L8195" s="1" t="str">
        <f t="shared" si="13904"/>
        <v>0</v>
      </c>
      <c r="M8195" s="1" t="str">
        <f t="shared" si="13904"/>
        <v>0</v>
      </c>
      <c r="N8195" s="1" t="str">
        <f t="shared" si="13904"/>
        <v>0</v>
      </c>
      <c r="O8195" s="1" t="str">
        <f t="shared" si="13904"/>
        <v>0</v>
      </c>
      <c r="P8195" s="1" t="str">
        <f t="shared" si="13904"/>
        <v>0</v>
      </c>
      <c r="Q8195" s="1" t="str">
        <f t="shared" ref="Q8195:Q8258" si="13905">"0.0070"</f>
        <v>0.0070</v>
      </c>
      <c r="R8195" s="1" t="s">
        <v>25</v>
      </c>
      <c r="T8195" s="1" t="str">
        <f t="shared" ref="T8195:T8258" si="13906">"0"</f>
        <v>0</v>
      </c>
      <c r="U8195" s="1" t="str">
        <f t="shared" si="13895"/>
        <v>0.0070</v>
      </c>
    </row>
    <row r="8196" s="1" customFormat="1" spans="1:21">
      <c r="A8196" s="1" t="str">
        <f>"4601992385737"</f>
        <v>4601992385737</v>
      </c>
      <c r="B8196" s="1" t="s">
        <v>8219</v>
      </c>
      <c r="C8196" s="1" t="s">
        <v>24</v>
      </c>
      <c r="D8196" s="1" t="str">
        <f t="shared" si="13903"/>
        <v>2021</v>
      </c>
      <c r="E8196" s="1" t="str">
        <f t="shared" ref="E8196:P8196" si="13907">"0"</f>
        <v>0</v>
      </c>
      <c r="F8196" s="1" t="str">
        <f t="shared" si="13907"/>
        <v>0</v>
      </c>
      <c r="G8196" s="1" t="str">
        <f t="shared" si="13907"/>
        <v>0</v>
      </c>
      <c r="H8196" s="1" t="str">
        <f t="shared" si="13907"/>
        <v>0</v>
      </c>
      <c r="I8196" s="1" t="str">
        <f t="shared" si="13907"/>
        <v>0</v>
      </c>
      <c r="J8196" s="1" t="str">
        <f t="shared" si="13907"/>
        <v>0</v>
      </c>
      <c r="K8196" s="1" t="str">
        <f t="shared" si="13907"/>
        <v>0</v>
      </c>
      <c r="L8196" s="1" t="str">
        <f t="shared" si="13907"/>
        <v>0</v>
      </c>
      <c r="M8196" s="1" t="str">
        <f t="shared" si="13907"/>
        <v>0</v>
      </c>
      <c r="N8196" s="1" t="str">
        <f t="shared" si="13907"/>
        <v>0</v>
      </c>
      <c r="O8196" s="1" t="str">
        <f t="shared" si="13907"/>
        <v>0</v>
      </c>
      <c r="P8196" s="1" t="str">
        <f t="shared" si="13907"/>
        <v>0</v>
      </c>
      <c r="Q8196" s="1" t="str">
        <f t="shared" si="13905"/>
        <v>0.0070</v>
      </c>
      <c r="R8196" s="1" t="s">
        <v>25</v>
      </c>
      <c r="T8196" s="1" t="str">
        <f t="shared" si="13906"/>
        <v>0</v>
      </c>
      <c r="U8196" s="1" t="str">
        <f t="shared" si="13895"/>
        <v>0.0070</v>
      </c>
    </row>
    <row r="8197" s="1" customFormat="1" spans="1:21">
      <c r="A8197" s="1" t="str">
        <f>"4601992385815"</f>
        <v>4601992385815</v>
      </c>
      <c r="B8197" s="1" t="s">
        <v>8220</v>
      </c>
      <c r="C8197" s="1" t="s">
        <v>24</v>
      </c>
      <c r="D8197" s="1" t="str">
        <f t="shared" si="13903"/>
        <v>2021</v>
      </c>
      <c r="E8197" s="1" t="str">
        <f t="shared" ref="E8197:P8197" si="13908">"0"</f>
        <v>0</v>
      </c>
      <c r="F8197" s="1" t="str">
        <f t="shared" si="13908"/>
        <v>0</v>
      </c>
      <c r="G8197" s="1" t="str">
        <f t="shared" si="13908"/>
        <v>0</v>
      </c>
      <c r="H8197" s="1" t="str">
        <f t="shared" si="13908"/>
        <v>0</v>
      </c>
      <c r="I8197" s="1" t="str">
        <f t="shared" si="13908"/>
        <v>0</v>
      </c>
      <c r="J8197" s="1" t="str">
        <f t="shared" si="13908"/>
        <v>0</v>
      </c>
      <c r="K8197" s="1" t="str">
        <f t="shared" si="13908"/>
        <v>0</v>
      </c>
      <c r="L8197" s="1" t="str">
        <f t="shared" si="13908"/>
        <v>0</v>
      </c>
      <c r="M8197" s="1" t="str">
        <f t="shared" si="13908"/>
        <v>0</v>
      </c>
      <c r="N8197" s="1" t="str">
        <f t="shared" si="13908"/>
        <v>0</v>
      </c>
      <c r="O8197" s="1" t="str">
        <f t="shared" si="13908"/>
        <v>0</v>
      </c>
      <c r="P8197" s="1" t="str">
        <f t="shared" si="13908"/>
        <v>0</v>
      </c>
      <c r="Q8197" s="1" t="str">
        <f t="shared" si="13905"/>
        <v>0.0070</v>
      </c>
      <c r="R8197" s="1" t="s">
        <v>25</v>
      </c>
      <c r="T8197" s="1" t="str">
        <f t="shared" si="13906"/>
        <v>0</v>
      </c>
      <c r="U8197" s="1" t="str">
        <f t="shared" si="13895"/>
        <v>0.0070</v>
      </c>
    </row>
    <row r="8198" s="1" customFormat="1" spans="1:21">
      <c r="A8198" s="1" t="str">
        <f>"4601992385825"</f>
        <v>4601992385825</v>
      </c>
      <c r="B8198" s="1" t="s">
        <v>8221</v>
      </c>
      <c r="C8198" s="1" t="s">
        <v>24</v>
      </c>
      <c r="D8198" s="1" t="str">
        <f t="shared" si="13903"/>
        <v>2021</v>
      </c>
      <c r="E8198" s="1" t="str">
        <f t="shared" ref="E8198:P8198" si="13909">"0"</f>
        <v>0</v>
      </c>
      <c r="F8198" s="1" t="str">
        <f t="shared" si="13909"/>
        <v>0</v>
      </c>
      <c r="G8198" s="1" t="str">
        <f t="shared" si="13909"/>
        <v>0</v>
      </c>
      <c r="H8198" s="1" t="str">
        <f t="shared" si="13909"/>
        <v>0</v>
      </c>
      <c r="I8198" s="1" t="str">
        <f t="shared" si="13909"/>
        <v>0</v>
      </c>
      <c r="J8198" s="1" t="str">
        <f t="shared" si="13909"/>
        <v>0</v>
      </c>
      <c r="K8198" s="1" t="str">
        <f t="shared" si="13909"/>
        <v>0</v>
      </c>
      <c r="L8198" s="1" t="str">
        <f t="shared" si="13909"/>
        <v>0</v>
      </c>
      <c r="M8198" s="1" t="str">
        <f t="shared" si="13909"/>
        <v>0</v>
      </c>
      <c r="N8198" s="1" t="str">
        <f t="shared" si="13909"/>
        <v>0</v>
      </c>
      <c r="O8198" s="1" t="str">
        <f t="shared" si="13909"/>
        <v>0</v>
      </c>
      <c r="P8198" s="1" t="str">
        <f t="shared" si="13909"/>
        <v>0</v>
      </c>
      <c r="Q8198" s="1" t="str">
        <f t="shared" si="13905"/>
        <v>0.0070</v>
      </c>
      <c r="R8198" s="1" t="s">
        <v>25</v>
      </c>
      <c r="T8198" s="1" t="str">
        <f t="shared" si="13906"/>
        <v>0</v>
      </c>
      <c r="U8198" s="1" t="str">
        <f t="shared" si="13895"/>
        <v>0.0070</v>
      </c>
    </row>
    <row r="8199" s="1" customFormat="1" spans="1:21">
      <c r="A8199" s="1" t="str">
        <f>"4601992385827"</f>
        <v>4601992385827</v>
      </c>
      <c r="B8199" s="1" t="s">
        <v>8222</v>
      </c>
      <c r="C8199" s="1" t="s">
        <v>24</v>
      </c>
      <c r="D8199" s="1" t="str">
        <f t="shared" si="13903"/>
        <v>2021</v>
      </c>
      <c r="E8199" s="1" t="str">
        <f t="shared" ref="E8199:P8199" si="13910">"0"</f>
        <v>0</v>
      </c>
      <c r="F8199" s="1" t="str">
        <f t="shared" si="13910"/>
        <v>0</v>
      </c>
      <c r="G8199" s="1" t="str">
        <f t="shared" si="13910"/>
        <v>0</v>
      </c>
      <c r="H8199" s="1" t="str">
        <f t="shared" si="13910"/>
        <v>0</v>
      </c>
      <c r="I8199" s="1" t="str">
        <f t="shared" si="13910"/>
        <v>0</v>
      </c>
      <c r="J8199" s="1" t="str">
        <f t="shared" si="13910"/>
        <v>0</v>
      </c>
      <c r="K8199" s="1" t="str">
        <f t="shared" si="13910"/>
        <v>0</v>
      </c>
      <c r="L8199" s="1" t="str">
        <f t="shared" si="13910"/>
        <v>0</v>
      </c>
      <c r="M8199" s="1" t="str">
        <f t="shared" si="13910"/>
        <v>0</v>
      </c>
      <c r="N8199" s="1" t="str">
        <f t="shared" si="13910"/>
        <v>0</v>
      </c>
      <c r="O8199" s="1" t="str">
        <f t="shared" si="13910"/>
        <v>0</v>
      </c>
      <c r="P8199" s="1" t="str">
        <f t="shared" si="13910"/>
        <v>0</v>
      </c>
      <c r="Q8199" s="1" t="str">
        <f t="shared" si="13905"/>
        <v>0.0070</v>
      </c>
      <c r="R8199" s="1" t="s">
        <v>25</v>
      </c>
      <c r="T8199" s="1" t="str">
        <f t="shared" si="13906"/>
        <v>0</v>
      </c>
      <c r="U8199" s="1" t="str">
        <f t="shared" si="13895"/>
        <v>0.0070</v>
      </c>
    </row>
    <row r="8200" s="1" customFormat="1" spans="1:21">
      <c r="A8200" s="1" t="str">
        <f>"4601992385921"</f>
        <v>4601992385921</v>
      </c>
      <c r="B8200" s="1" t="s">
        <v>8223</v>
      </c>
      <c r="C8200" s="1" t="s">
        <v>24</v>
      </c>
      <c r="D8200" s="1" t="str">
        <f t="shared" si="13903"/>
        <v>2021</v>
      </c>
      <c r="E8200" s="1" t="str">
        <f t="shared" ref="E8200:P8200" si="13911">"0"</f>
        <v>0</v>
      </c>
      <c r="F8200" s="1" t="str">
        <f t="shared" si="13911"/>
        <v>0</v>
      </c>
      <c r="G8200" s="1" t="str">
        <f t="shared" si="13911"/>
        <v>0</v>
      </c>
      <c r="H8200" s="1" t="str">
        <f t="shared" si="13911"/>
        <v>0</v>
      </c>
      <c r="I8200" s="1" t="str">
        <f t="shared" si="13911"/>
        <v>0</v>
      </c>
      <c r="J8200" s="1" t="str">
        <f t="shared" si="13911"/>
        <v>0</v>
      </c>
      <c r="K8200" s="1" t="str">
        <f t="shared" si="13911"/>
        <v>0</v>
      </c>
      <c r="L8200" s="1" t="str">
        <f t="shared" si="13911"/>
        <v>0</v>
      </c>
      <c r="M8200" s="1" t="str">
        <f t="shared" si="13911"/>
        <v>0</v>
      </c>
      <c r="N8200" s="1" t="str">
        <f t="shared" si="13911"/>
        <v>0</v>
      </c>
      <c r="O8200" s="1" t="str">
        <f t="shared" si="13911"/>
        <v>0</v>
      </c>
      <c r="P8200" s="1" t="str">
        <f t="shared" si="13911"/>
        <v>0</v>
      </c>
      <c r="Q8200" s="1" t="str">
        <f t="shared" si="13905"/>
        <v>0.0070</v>
      </c>
      <c r="R8200" s="1" t="s">
        <v>25</v>
      </c>
      <c r="T8200" s="1" t="str">
        <f t="shared" si="13906"/>
        <v>0</v>
      </c>
      <c r="U8200" s="1" t="str">
        <f t="shared" si="13895"/>
        <v>0.0070</v>
      </c>
    </row>
    <row r="8201" s="1" customFormat="1" spans="1:21">
      <c r="A8201" s="1" t="str">
        <f>"4601992385950"</f>
        <v>4601992385950</v>
      </c>
      <c r="B8201" s="1" t="s">
        <v>8224</v>
      </c>
      <c r="C8201" s="1" t="s">
        <v>24</v>
      </c>
      <c r="D8201" s="1" t="str">
        <f t="shared" si="13903"/>
        <v>2021</v>
      </c>
      <c r="E8201" s="1" t="str">
        <f t="shared" ref="E8201:P8201" si="13912">"0"</f>
        <v>0</v>
      </c>
      <c r="F8201" s="1" t="str">
        <f t="shared" si="13912"/>
        <v>0</v>
      </c>
      <c r="G8201" s="1" t="str">
        <f t="shared" si="13912"/>
        <v>0</v>
      </c>
      <c r="H8201" s="1" t="str">
        <f t="shared" si="13912"/>
        <v>0</v>
      </c>
      <c r="I8201" s="1" t="str">
        <f t="shared" si="13912"/>
        <v>0</v>
      </c>
      <c r="J8201" s="1" t="str">
        <f t="shared" si="13912"/>
        <v>0</v>
      </c>
      <c r="K8201" s="1" t="str">
        <f t="shared" si="13912"/>
        <v>0</v>
      </c>
      <c r="L8201" s="1" t="str">
        <f t="shared" si="13912"/>
        <v>0</v>
      </c>
      <c r="M8201" s="1" t="str">
        <f t="shared" si="13912"/>
        <v>0</v>
      </c>
      <c r="N8201" s="1" t="str">
        <f t="shared" si="13912"/>
        <v>0</v>
      </c>
      <c r="O8201" s="1" t="str">
        <f t="shared" si="13912"/>
        <v>0</v>
      </c>
      <c r="P8201" s="1" t="str">
        <f t="shared" si="13912"/>
        <v>0</v>
      </c>
      <c r="Q8201" s="1" t="str">
        <f t="shared" si="13905"/>
        <v>0.0070</v>
      </c>
      <c r="R8201" s="1" t="s">
        <v>25</v>
      </c>
      <c r="T8201" s="1" t="str">
        <f t="shared" si="13906"/>
        <v>0</v>
      </c>
      <c r="U8201" s="1" t="str">
        <f t="shared" si="13895"/>
        <v>0.0070</v>
      </c>
    </row>
    <row r="8202" s="1" customFormat="1" spans="1:21">
      <c r="A8202" s="1" t="str">
        <f>"4601992385958"</f>
        <v>4601992385958</v>
      </c>
      <c r="B8202" s="1" t="s">
        <v>8225</v>
      </c>
      <c r="C8202" s="1" t="s">
        <v>24</v>
      </c>
      <c r="D8202" s="1" t="str">
        <f t="shared" si="13903"/>
        <v>2021</v>
      </c>
      <c r="E8202" s="1" t="str">
        <f t="shared" ref="E8202:P8202" si="13913">"0"</f>
        <v>0</v>
      </c>
      <c r="F8202" s="1" t="str">
        <f t="shared" si="13913"/>
        <v>0</v>
      </c>
      <c r="G8202" s="1" t="str">
        <f t="shared" si="13913"/>
        <v>0</v>
      </c>
      <c r="H8202" s="1" t="str">
        <f t="shared" si="13913"/>
        <v>0</v>
      </c>
      <c r="I8202" s="1" t="str">
        <f t="shared" si="13913"/>
        <v>0</v>
      </c>
      <c r="J8202" s="1" t="str">
        <f t="shared" si="13913"/>
        <v>0</v>
      </c>
      <c r="K8202" s="1" t="str">
        <f t="shared" si="13913"/>
        <v>0</v>
      </c>
      <c r="L8202" s="1" t="str">
        <f t="shared" si="13913"/>
        <v>0</v>
      </c>
      <c r="M8202" s="1" t="str">
        <f t="shared" si="13913"/>
        <v>0</v>
      </c>
      <c r="N8202" s="1" t="str">
        <f t="shared" si="13913"/>
        <v>0</v>
      </c>
      <c r="O8202" s="1" t="str">
        <f t="shared" si="13913"/>
        <v>0</v>
      </c>
      <c r="P8202" s="1" t="str">
        <f t="shared" si="13913"/>
        <v>0</v>
      </c>
      <c r="Q8202" s="1" t="str">
        <f t="shared" si="13905"/>
        <v>0.0070</v>
      </c>
      <c r="R8202" s="1" t="s">
        <v>25</v>
      </c>
      <c r="T8202" s="1" t="str">
        <f t="shared" si="13906"/>
        <v>0</v>
      </c>
      <c r="U8202" s="1" t="str">
        <f t="shared" si="13895"/>
        <v>0.0070</v>
      </c>
    </row>
    <row r="8203" s="1" customFormat="1" spans="1:21">
      <c r="A8203" s="1" t="str">
        <f>"4601992385965"</f>
        <v>4601992385965</v>
      </c>
      <c r="B8203" s="1" t="s">
        <v>8226</v>
      </c>
      <c r="C8203" s="1" t="s">
        <v>24</v>
      </c>
      <c r="D8203" s="1" t="str">
        <f t="shared" si="13903"/>
        <v>2021</v>
      </c>
      <c r="E8203" s="1" t="str">
        <f t="shared" ref="E8203:P8203" si="13914">"0"</f>
        <v>0</v>
      </c>
      <c r="F8203" s="1" t="str">
        <f t="shared" si="13914"/>
        <v>0</v>
      </c>
      <c r="G8203" s="1" t="str">
        <f t="shared" si="13914"/>
        <v>0</v>
      </c>
      <c r="H8203" s="1" t="str">
        <f t="shared" si="13914"/>
        <v>0</v>
      </c>
      <c r="I8203" s="1" t="str">
        <f t="shared" si="13914"/>
        <v>0</v>
      </c>
      <c r="J8203" s="1" t="str">
        <f t="shared" si="13914"/>
        <v>0</v>
      </c>
      <c r="K8203" s="1" t="str">
        <f t="shared" si="13914"/>
        <v>0</v>
      </c>
      <c r="L8203" s="1" t="str">
        <f t="shared" si="13914"/>
        <v>0</v>
      </c>
      <c r="M8203" s="1" t="str">
        <f t="shared" si="13914"/>
        <v>0</v>
      </c>
      <c r="N8203" s="1" t="str">
        <f t="shared" si="13914"/>
        <v>0</v>
      </c>
      <c r="O8203" s="1" t="str">
        <f t="shared" si="13914"/>
        <v>0</v>
      </c>
      <c r="P8203" s="1" t="str">
        <f t="shared" si="13914"/>
        <v>0</v>
      </c>
      <c r="Q8203" s="1" t="str">
        <f t="shared" si="13905"/>
        <v>0.0070</v>
      </c>
      <c r="R8203" s="1" t="s">
        <v>25</v>
      </c>
      <c r="T8203" s="1" t="str">
        <f t="shared" si="13906"/>
        <v>0</v>
      </c>
      <c r="U8203" s="1" t="str">
        <f t="shared" si="13895"/>
        <v>0.0070</v>
      </c>
    </row>
    <row r="8204" s="1" customFormat="1" spans="1:21">
      <c r="A8204" s="1" t="str">
        <f>"4601992385979"</f>
        <v>4601992385979</v>
      </c>
      <c r="B8204" s="1" t="s">
        <v>8227</v>
      </c>
      <c r="C8204" s="1" t="s">
        <v>24</v>
      </c>
      <c r="D8204" s="1" t="str">
        <f t="shared" si="13903"/>
        <v>2021</v>
      </c>
      <c r="E8204" s="1" t="str">
        <f t="shared" ref="E8204:P8204" si="13915">"0"</f>
        <v>0</v>
      </c>
      <c r="F8204" s="1" t="str">
        <f t="shared" si="13915"/>
        <v>0</v>
      </c>
      <c r="G8204" s="1" t="str">
        <f t="shared" si="13915"/>
        <v>0</v>
      </c>
      <c r="H8204" s="1" t="str">
        <f t="shared" si="13915"/>
        <v>0</v>
      </c>
      <c r="I8204" s="1" t="str">
        <f t="shared" si="13915"/>
        <v>0</v>
      </c>
      <c r="J8204" s="1" t="str">
        <f t="shared" si="13915"/>
        <v>0</v>
      </c>
      <c r="K8204" s="1" t="str">
        <f t="shared" si="13915"/>
        <v>0</v>
      </c>
      <c r="L8204" s="1" t="str">
        <f t="shared" si="13915"/>
        <v>0</v>
      </c>
      <c r="M8204" s="1" t="str">
        <f t="shared" si="13915"/>
        <v>0</v>
      </c>
      <c r="N8204" s="1" t="str">
        <f t="shared" si="13915"/>
        <v>0</v>
      </c>
      <c r="O8204" s="1" t="str">
        <f t="shared" si="13915"/>
        <v>0</v>
      </c>
      <c r="P8204" s="1" t="str">
        <f t="shared" si="13915"/>
        <v>0</v>
      </c>
      <c r="Q8204" s="1" t="str">
        <f t="shared" si="13905"/>
        <v>0.0070</v>
      </c>
      <c r="R8204" s="1" t="s">
        <v>25</v>
      </c>
      <c r="T8204" s="1" t="str">
        <f t="shared" si="13906"/>
        <v>0</v>
      </c>
      <c r="U8204" s="1" t="str">
        <f t="shared" si="13895"/>
        <v>0.0070</v>
      </c>
    </row>
    <row r="8205" s="1" customFormat="1" spans="1:21">
      <c r="A8205" s="1" t="str">
        <f>"4601992385983"</f>
        <v>4601992385983</v>
      </c>
      <c r="B8205" s="1" t="s">
        <v>8228</v>
      </c>
      <c r="C8205" s="1" t="s">
        <v>24</v>
      </c>
      <c r="D8205" s="1" t="str">
        <f t="shared" si="13903"/>
        <v>2021</v>
      </c>
      <c r="E8205" s="1" t="str">
        <f t="shared" ref="E8205:P8205" si="13916">"0"</f>
        <v>0</v>
      </c>
      <c r="F8205" s="1" t="str">
        <f t="shared" si="13916"/>
        <v>0</v>
      </c>
      <c r="G8205" s="1" t="str">
        <f t="shared" si="13916"/>
        <v>0</v>
      </c>
      <c r="H8205" s="1" t="str">
        <f t="shared" si="13916"/>
        <v>0</v>
      </c>
      <c r="I8205" s="1" t="str">
        <f t="shared" si="13916"/>
        <v>0</v>
      </c>
      <c r="J8205" s="1" t="str">
        <f t="shared" si="13916"/>
        <v>0</v>
      </c>
      <c r="K8205" s="1" t="str">
        <f t="shared" si="13916"/>
        <v>0</v>
      </c>
      <c r="L8205" s="1" t="str">
        <f t="shared" si="13916"/>
        <v>0</v>
      </c>
      <c r="M8205" s="1" t="str">
        <f t="shared" si="13916"/>
        <v>0</v>
      </c>
      <c r="N8205" s="1" t="str">
        <f t="shared" si="13916"/>
        <v>0</v>
      </c>
      <c r="O8205" s="1" t="str">
        <f t="shared" si="13916"/>
        <v>0</v>
      </c>
      <c r="P8205" s="1" t="str">
        <f t="shared" si="13916"/>
        <v>0</v>
      </c>
      <c r="Q8205" s="1" t="str">
        <f t="shared" si="13905"/>
        <v>0.0070</v>
      </c>
      <c r="R8205" s="1" t="s">
        <v>25</v>
      </c>
      <c r="T8205" s="1" t="str">
        <f t="shared" si="13906"/>
        <v>0</v>
      </c>
      <c r="U8205" s="1" t="str">
        <f t="shared" si="13895"/>
        <v>0.0070</v>
      </c>
    </row>
    <row r="8206" s="1" customFormat="1" spans="1:21">
      <c r="A8206" s="1" t="str">
        <f>"4601992386064"</f>
        <v>4601992386064</v>
      </c>
      <c r="B8206" s="1" t="s">
        <v>8229</v>
      </c>
      <c r="C8206" s="1" t="s">
        <v>24</v>
      </c>
      <c r="D8206" s="1" t="str">
        <f t="shared" si="13903"/>
        <v>2021</v>
      </c>
      <c r="E8206" s="1" t="str">
        <f t="shared" ref="E8206:P8206" si="13917">"0"</f>
        <v>0</v>
      </c>
      <c r="F8206" s="1" t="str">
        <f t="shared" si="13917"/>
        <v>0</v>
      </c>
      <c r="G8206" s="1" t="str">
        <f t="shared" si="13917"/>
        <v>0</v>
      </c>
      <c r="H8206" s="1" t="str">
        <f t="shared" si="13917"/>
        <v>0</v>
      </c>
      <c r="I8206" s="1" t="str">
        <f t="shared" si="13917"/>
        <v>0</v>
      </c>
      <c r="J8206" s="1" t="str">
        <f t="shared" si="13917"/>
        <v>0</v>
      </c>
      <c r="K8206" s="1" t="str">
        <f t="shared" si="13917"/>
        <v>0</v>
      </c>
      <c r="L8206" s="1" t="str">
        <f t="shared" si="13917"/>
        <v>0</v>
      </c>
      <c r="M8206" s="1" t="str">
        <f t="shared" si="13917"/>
        <v>0</v>
      </c>
      <c r="N8206" s="1" t="str">
        <f t="shared" si="13917"/>
        <v>0</v>
      </c>
      <c r="O8206" s="1" t="str">
        <f t="shared" si="13917"/>
        <v>0</v>
      </c>
      <c r="P8206" s="1" t="str">
        <f t="shared" si="13917"/>
        <v>0</v>
      </c>
      <c r="Q8206" s="1" t="str">
        <f t="shared" si="13905"/>
        <v>0.0070</v>
      </c>
      <c r="R8206" s="1" t="s">
        <v>25</v>
      </c>
      <c r="T8206" s="1" t="str">
        <f t="shared" si="13906"/>
        <v>0</v>
      </c>
      <c r="U8206" s="1" t="str">
        <f t="shared" si="13895"/>
        <v>0.0070</v>
      </c>
    </row>
    <row r="8207" s="1" customFormat="1" spans="1:21">
      <c r="A8207" s="1" t="str">
        <f>"4601992386104"</f>
        <v>4601992386104</v>
      </c>
      <c r="B8207" s="1" t="s">
        <v>8230</v>
      </c>
      <c r="C8207" s="1" t="s">
        <v>24</v>
      </c>
      <c r="D8207" s="1" t="str">
        <f t="shared" si="13903"/>
        <v>2021</v>
      </c>
      <c r="E8207" s="1" t="str">
        <f t="shared" ref="E8207:P8207" si="13918">"0"</f>
        <v>0</v>
      </c>
      <c r="F8207" s="1" t="str">
        <f t="shared" si="13918"/>
        <v>0</v>
      </c>
      <c r="G8207" s="1" t="str">
        <f t="shared" si="13918"/>
        <v>0</v>
      </c>
      <c r="H8207" s="1" t="str">
        <f t="shared" si="13918"/>
        <v>0</v>
      </c>
      <c r="I8207" s="1" t="str">
        <f t="shared" si="13918"/>
        <v>0</v>
      </c>
      <c r="J8207" s="1" t="str">
        <f t="shared" si="13918"/>
        <v>0</v>
      </c>
      <c r="K8207" s="1" t="str">
        <f t="shared" si="13918"/>
        <v>0</v>
      </c>
      <c r="L8207" s="1" t="str">
        <f t="shared" si="13918"/>
        <v>0</v>
      </c>
      <c r="M8207" s="1" t="str">
        <f t="shared" si="13918"/>
        <v>0</v>
      </c>
      <c r="N8207" s="1" t="str">
        <f t="shared" si="13918"/>
        <v>0</v>
      </c>
      <c r="O8207" s="1" t="str">
        <f t="shared" si="13918"/>
        <v>0</v>
      </c>
      <c r="P8207" s="1" t="str">
        <f t="shared" si="13918"/>
        <v>0</v>
      </c>
      <c r="Q8207" s="1" t="str">
        <f t="shared" si="13905"/>
        <v>0.0070</v>
      </c>
      <c r="R8207" s="1" t="s">
        <v>25</v>
      </c>
      <c r="T8207" s="1" t="str">
        <f t="shared" si="13906"/>
        <v>0</v>
      </c>
      <c r="U8207" s="1" t="str">
        <f t="shared" si="13895"/>
        <v>0.0070</v>
      </c>
    </row>
    <row r="8208" s="1" customFormat="1" spans="1:21">
      <c r="A8208" s="1" t="str">
        <f>"4601992386179"</f>
        <v>4601992386179</v>
      </c>
      <c r="B8208" s="1" t="s">
        <v>8231</v>
      </c>
      <c r="C8208" s="1" t="s">
        <v>24</v>
      </c>
      <c r="D8208" s="1" t="str">
        <f t="shared" si="13903"/>
        <v>2021</v>
      </c>
      <c r="E8208" s="1" t="str">
        <f t="shared" ref="E8208:P8208" si="13919">"0"</f>
        <v>0</v>
      </c>
      <c r="F8208" s="1" t="str">
        <f t="shared" si="13919"/>
        <v>0</v>
      </c>
      <c r="G8208" s="1" t="str">
        <f t="shared" si="13919"/>
        <v>0</v>
      </c>
      <c r="H8208" s="1" t="str">
        <f t="shared" si="13919"/>
        <v>0</v>
      </c>
      <c r="I8208" s="1" t="str">
        <f t="shared" si="13919"/>
        <v>0</v>
      </c>
      <c r="J8208" s="1" t="str">
        <f t="shared" si="13919"/>
        <v>0</v>
      </c>
      <c r="K8208" s="1" t="str">
        <f t="shared" si="13919"/>
        <v>0</v>
      </c>
      <c r="L8208" s="1" t="str">
        <f t="shared" si="13919"/>
        <v>0</v>
      </c>
      <c r="M8208" s="1" t="str">
        <f t="shared" si="13919"/>
        <v>0</v>
      </c>
      <c r="N8208" s="1" t="str">
        <f t="shared" si="13919"/>
        <v>0</v>
      </c>
      <c r="O8208" s="1" t="str">
        <f t="shared" si="13919"/>
        <v>0</v>
      </c>
      <c r="P8208" s="1" t="str">
        <f t="shared" si="13919"/>
        <v>0</v>
      </c>
      <c r="Q8208" s="1" t="str">
        <f t="shared" si="13905"/>
        <v>0.0070</v>
      </c>
      <c r="R8208" s="1" t="s">
        <v>25</v>
      </c>
      <c r="T8208" s="1" t="str">
        <f t="shared" si="13906"/>
        <v>0</v>
      </c>
      <c r="U8208" s="1" t="str">
        <f t="shared" si="13895"/>
        <v>0.0070</v>
      </c>
    </row>
    <row r="8209" s="1" customFormat="1" spans="1:21">
      <c r="A8209" s="1" t="str">
        <f>"4601992386285"</f>
        <v>4601992386285</v>
      </c>
      <c r="B8209" s="1" t="s">
        <v>8232</v>
      </c>
      <c r="C8209" s="1" t="s">
        <v>24</v>
      </c>
      <c r="D8209" s="1" t="str">
        <f t="shared" si="13903"/>
        <v>2021</v>
      </c>
      <c r="E8209" s="1" t="str">
        <f t="shared" ref="E8209:P8209" si="13920">"0"</f>
        <v>0</v>
      </c>
      <c r="F8209" s="1" t="str">
        <f t="shared" si="13920"/>
        <v>0</v>
      </c>
      <c r="G8209" s="1" t="str">
        <f t="shared" si="13920"/>
        <v>0</v>
      </c>
      <c r="H8209" s="1" t="str">
        <f t="shared" si="13920"/>
        <v>0</v>
      </c>
      <c r="I8209" s="1" t="str">
        <f t="shared" si="13920"/>
        <v>0</v>
      </c>
      <c r="J8209" s="1" t="str">
        <f t="shared" si="13920"/>
        <v>0</v>
      </c>
      <c r="K8209" s="1" t="str">
        <f t="shared" si="13920"/>
        <v>0</v>
      </c>
      <c r="L8209" s="1" t="str">
        <f t="shared" si="13920"/>
        <v>0</v>
      </c>
      <c r="M8209" s="1" t="str">
        <f t="shared" si="13920"/>
        <v>0</v>
      </c>
      <c r="N8209" s="1" t="str">
        <f t="shared" si="13920"/>
        <v>0</v>
      </c>
      <c r="O8209" s="1" t="str">
        <f t="shared" si="13920"/>
        <v>0</v>
      </c>
      <c r="P8209" s="1" t="str">
        <f t="shared" si="13920"/>
        <v>0</v>
      </c>
      <c r="Q8209" s="1" t="str">
        <f t="shared" si="13905"/>
        <v>0.0070</v>
      </c>
      <c r="R8209" s="1" t="s">
        <v>25</v>
      </c>
      <c r="T8209" s="1" t="str">
        <f t="shared" si="13906"/>
        <v>0</v>
      </c>
      <c r="U8209" s="1" t="str">
        <f t="shared" si="13895"/>
        <v>0.0070</v>
      </c>
    </row>
    <row r="8210" s="1" customFormat="1" spans="1:21">
      <c r="A8210" s="1" t="str">
        <f>"4601992386287"</f>
        <v>4601992386287</v>
      </c>
      <c r="B8210" s="1" t="s">
        <v>8233</v>
      </c>
      <c r="C8210" s="1" t="s">
        <v>24</v>
      </c>
      <c r="D8210" s="1" t="str">
        <f t="shared" si="13903"/>
        <v>2021</v>
      </c>
      <c r="E8210" s="1" t="str">
        <f t="shared" ref="E8210:P8210" si="13921">"0"</f>
        <v>0</v>
      </c>
      <c r="F8210" s="1" t="str">
        <f t="shared" si="13921"/>
        <v>0</v>
      </c>
      <c r="G8210" s="1" t="str">
        <f t="shared" si="13921"/>
        <v>0</v>
      </c>
      <c r="H8210" s="1" t="str">
        <f t="shared" si="13921"/>
        <v>0</v>
      </c>
      <c r="I8210" s="1" t="str">
        <f t="shared" si="13921"/>
        <v>0</v>
      </c>
      <c r="J8210" s="1" t="str">
        <f t="shared" si="13921"/>
        <v>0</v>
      </c>
      <c r="K8210" s="1" t="str">
        <f t="shared" si="13921"/>
        <v>0</v>
      </c>
      <c r="L8210" s="1" t="str">
        <f t="shared" si="13921"/>
        <v>0</v>
      </c>
      <c r="M8210" s="1" t="str">
        <f t="shared" si="13921"/>
        <v>0</v>
      </c>
      <c r="N8210" s="1" t="str">
        <f t="shared" si="13921"/>
        <v>0</v>
      </c>
      <c r="O8210" s="1" t="str">
        <f t="shared" si="13921"/>
        <v>0</v>
      </c>
      <c r="P8210" s="1" t="str">
        <f t="shared" si="13921"/>
        <v>0</v>
      </c>
      <c r="Q8210" s="1" t="str">
        <f t="shared" si="13905"/>
        <v>0.0070</v>
      </c>
      <c r="R8210" s="1" t="s">
        <v>25</v>
      </c>
      <c r="T8210" s="1" t="str">
        <f t="shared" si="13906"/>
        <v>0</v>
      </c>
      <c r="U8210" s="1" t="str">
        <f t="shared" si="13895"/>
        <v>0.0070</v>
      </c>
    </row>
    <row r="8211" s="1" customFormat="1" spans="1:21">
      <c r="A8211" s="1" t="str">
        <f>"4601992386368"</f>
        <v>4601992386368</v>
      </c>
      <c r="B8211" s="1" t="s">
        <v>8234</v>
      </c>
      <c r="C8211" s="1" t="s">
        <v>24</v>
      </c>
      <c r="D8211" s="1" t="str">
        <f t="shared" si="13903"/>
        <v>2021</v>
      </c>
      <c r="E8211" s="1" t="str">
        <f t="shared" ref="E8211:P8211" si="13922">"0"</f>
        <v>0</v>
      </c>
      <c r="F8211" s="1" t="str">
        <f t="shared" si="13922"/>
        <v>0</v>
      </c>
      <c r="G8211" s="1" t="str">
        <f t="shared" si="13922"/>
        <v>0</v>
      </c>
      <c r="H8211" s="1" t="str">
        <f t="shared" si="13922"/>
        <v>0</v>
      </c>
      <c r="I8211" s="1" t="str">
        <f t="shared" si="13922"/>
        <v>0</v>
      </c>
      <c r="J8211" s="1" t="str">
        <f t="shared" si="13922"/>
        <v>0</v>
      </c>
      <c r="K8211" s="1" t="str">
        <f t="shared" si="13922"/>
        <v>0</v>
      </c>
      <c r="L8211" s="1" t="str">
        <f t="shared" si="13922"/>
        <v>0</v>
      </c>
      <c r="M8211" s="1" t="str">
        <f t="shared" si="13922"/>
        <v>0</v>
      </c>
      <c r="N8211" s="1" t="str">
        <f t="shared" si="13922"/>
        <v>0</v>
      </c>
      <c r="O8211" s="1" t="str">
        <f t="shared" si="13922"/>
        <v>0</v>
      </c>
      <c r="P8211" s="1" t="str">
        <f t="shared" si="13922"/>
        <v>0</v>
      </c>
      <c r="Q8211" s="1" t="str">
        <f t="shared" si="13905"/>
        <v>0.0070</v>
      </c>
      <c r="R8211" s="1" t="s">
        <v>25</v>
      </c>
      <c r="T8211" s="1" t="str">
        <f t="shared" si="13906"/>
        <v>0</v>
      </c>
      <c r="U8211" s="1" t="str">
        <f t="shared" si="13895"/>
        <v>0.0070</v>
      </c>
    </row>
    <row r="8212" s="1" customFormat="1" spans="1:21">
      <c r="A8212" s="1" t="str">
        <f>"4601992386458"</f>
        <v>4601992386458</v>
      </c>
      <c r="B8212" s="1" t="s">
        <v>8235</v>
      </c>
      <c r="C8212" s="1" t="s">
        <v>24</v>
      </c>
      <c r="D8212" s="1" t="str">
        <f t="shared" si="13903"/>
        <v>2021</v>
      </c>
      <c r="E8212" s="1" t="str">
        <f t="shared" ref="E8212:P8212" si="13923">"0"</f>
        <v>0</v>
      </c>
      <c r="F8212" s="1" t="str">
        <f t="shared" si="13923"/>
        <v>0</v>
      </c>
      <c r="G8212" s="1" t="str">
        <f t="shared" si="13923"/>
        <v>0</v>
      </c>
      <c r="H8212" s="1" t="str">
        <f t="shared" si="13923"/>
        <v>0</v>
      </c>
      <c r="I8212" s="1" t="str">
        <f t="shared" si="13923"/>
        <v>0</v>
      </c>
      <c r="J8212" s="1" t="str">
        <f t="shared" si="13923"/>
        <v>0</v>
      </c>
      <c r="K8212" s="1" t="str">
        <f t="shared" si="13923"/>
        <v>0</v>
      </c>
      <c r="L8212" s="1" t="str">
        <f t="shared" si="13923"/>
        <v>0</v>
      </c>
      <c r="M8212" s="1" t="str">
        <f t="shared" si="13923"/>
        <v>0</v>
      </c>
      <c r="N8212" s="1" t="str">
        <f t="shared" si="13923"/>
        <v>0</v>
      </c>
      <c r="O8212" s="1" t="str">
        <f t="shared" si="13923"/>
        <v>0</v>
      </c>
      <c r="P8212" s="1" t="str">
        <f t="shared" si="13923"/>
        <v>0</v>
      </c>
      <c r="Q8212" s="1" t="str">
        <f t="shared" si="13905"/>
        <v>0.0070</v>
      </c>
      <c r="R8212" s="1" t="s">
        <v>25</v>
      </c>
      <c r="T8212" s="1" t="str">
        <f t="shared" si="13906"/>
        <v>0</v>
      </c>
      <c r="U8212" s="1" t="str">
        <f t="shared" si="13895"/>
        <v>0.0070</v>
      </c>
    </row>
    <row r="8213" s="1" customFormat="1" spans="1:21">
      <c r="A8213" s="1" t="str">
        <f>"4601992386474"</f>
        <v>4601992386474</v>
      </c>
      <c r="B8213" s="1" t="s">
        <v>8236</v>
      </c>
      <c r="C8213" s="1" t="s">
        <v>24</v>
      </c>
      <c r="D8213" s="1" t="str">
        <f t="shared" si="13903"/>
        <v>2021</v>
      </c>
      <c r="E8213" s="1" t="str">
        <f t="shared" ref="E8213:P8213" si="13924">"0"</f>
        <v>0</v>
      </c>
      <c r="F8213" s="1" t="str">
        <f t="shared" si="13924"/>
        <v>0</v>
      </c>
      <c r="G8213" s="1" t="str">
        <f t="shared" si="13924"/>
        <v>0</v>
      </c>
      <c r="H8213" s="1" t="str">
        <f t="shared" si="13924"/>
        <v>0</v>
      </c>
      <c r="I8213" s="1" t="str">
        <f t="shared" si="13924"/>
        <v>0</v>
      </c>
      <c r="J8213" s="1" t="str">
        <f t="shared" si="13924"/>
        <v>0</v>
      </c>
      <c r="K8213" s="1" t="str">
        <f t="shared" si="13924"/>
        <v>0</v>
      </c>
      <c r="L8213" s="1" t="str">
        <f t="shared" si="13924"/>
        <v>0</v>
      </c>
      <c r="M8213" s="1" t="str">
        <f t="shared" si="13924"/>
        <v>0</v>
      </c>
      <c r="N8213" s="1" t="str">
        <f t="shared" si="13924"/>
        <v>0</v>
      </c>
      <c r="O8213" s="1" t="str">
        <f t="shared" si="13924"/>
        <v>0</v>
      </c>
      <c r="P8213" s="1" t="str">
        <f t="shared" si="13924"/>
        <v>0</v>
      </c>
      <c r="Q8213" s="1" t="str">
        <f t="shared" si="13905"/>
        <v>0.0070</v>
      </c>
      <c r="R8213" s="1" t="s">
        <v>25</v>
      </c>
      <c r="T8213" s="1" t="str">
        <f t="shared" si="13906"/>
        <v>0</v>
      </c>
      <c r="U8213" s="1" t="str">
        <f t="shared" si="13895"/>
        <v>0.0070</v>
      </c>
    </row>
    <row r="8214" s="1" customFormat="1" spans="1:21">
      <c r="A8214" s="1" t="str">
        <f>"4601992386812"</f>
        <v>4601992386812</v>
      </c>
      <c r="B8214" s="1" t="s">
        <v>8237</v>
      </c>
      <c r="C8214" s="1" t="s">
        <v>24</v>
      </c>
      <c r="D8214" s="1" t="str">
        <f t="shared" si="13903"/>
        <v>2021</v>
      </c>
      <c r="E8214" s="1" t="str">
        <f t="shared" ref="E8214:P8214" si="13925">"0"</f>
        <v>0</v>
      </c>
      <c r="F8214" s="1" t="str">
        <f t="shared" si="13925"/>
        <v>0</v>
      </c>
      <c r="G8214" s="1" t="str">
        <f t="shared" si="13925"/>
        <v>0</v>
      </c>
      <c r="H8214" s="1" t="str">
        <f t="shared" si="13925"/>
        <v>0</v>
      </c>
      <c r="I8214" s="1" t="str">
        <f t="shared" si="13925"/>
        <v>0</v>
      </c>
      <c r="J8214" s="1" t="str">
        <f t="shared" si="13925"/>
        <v>0</v>
      </c>
      <c r="K8214" s="1" t="str">
        <f t="shared" si="13925"/>
        <v>0</v>
      </c>
      <c r="L8214" s="1" t="str">
        <f t="shared" si="13925"/>
        <v>0</v>
      </c>
      <c r="M8214" s="1" t="str">
        <f t="shared" si="13925"/>
        <v>0</v>
      </c>
      <c r="N8214" s="1" t="str">
        <f t="shared" si="13925"/>
        <v>0</v>
      </c>
      <c r="O8214" s="1" t="str">
        <f t="shared" si="13925"/>
        <v>0</v>
      </c>
      <c r="P8214" s="1" t="str">
        <f t="shared" si="13925"/>
        <v>0</v>
      </c>
      <c r="Q8214" s="1" t="str">
        <f t="shared" si="13905"/>
        <v>0.0070</v>
      </c>
      <c r="R8214" s="1" t="s">
        <v>25</v>
      </c>
      <c r="T8214" s="1" t="str">
        <f t="shared" si="13906"/>
        <v>0</v>
      </c>
      <c r="U8214" s="1" t="str">
        <f t="shared" si="13895"/>
        <v>0.0070</v>
      </c>
    </row>
    <row r="8215" s="1" customFormat="1" spans="1:21">
      <c r="A8215" s="1" t="str">
        <f>"4601992386844"</f>
        <v>4601992386844</v>
      </c>
      <c r="B8215" s="1" t="s">
        <v>8238</v>
      </c>
      <c r="C8215" s="1" t="s">
        <v>24</v>
      </c>
      <c r="D8215" s="1" t="str">
        <f t="shared" si="13903"/>
        <v>2021</v>
      </c>
      <c r="E8215" s="1" t="str">
        <f t="shared" ref="E8215:P8215" si="13926">"0"</f>
        <v>0</v>
      </c>
      <c r="F8215" s="1" t="str">
        <f t="shared" si="13926"/>
        <v>0</v>
      </c>
      <c r="G8215" s="1" t="str">
        <f t="shared" si="13926"/>
        <v>0</v>
      </c>
      <c r="H8215" s="1" t="str">
        <f t="shared" si="13926"/>
        <v>0</v>
      </c>
      <c r="I8215" s="1" t="str">
        <f t="shared" si="13926"/>
        <v>0</v>
      </c>
      <c r="J8215" s="1" t="str">
        <f t="shared" si="13926"/>
        <v>0</v>
      </c>
      <c r="K8215" s="1" t="str">
        <f t="shared" si="13926"/>
        <v>0</v>
      </c>
      <c r="L8215" s="1" t="str">
        <f t="shared" si="13926"/>
        <v>0</v>
      </c>
      <c r="M8215" s="1" t="str">
        <f t="shared" si="13926"/>
        <v>0</v>
      </c>
      <c r="N8215" s="1" t="str">
        <f t="shared" si="13926"/>
        <v>0</v>
      </c>
      <c r="O8215" s="1" t="str">
        <f t="shared" si="13926"/>
        <v>0</v>
      </c>
      <c r="P8215" s="1" t="str">
        <f t="shared" si="13926"/>
        <v>0</v>
      </c>
      <c r="Q8215" s="1" t="str">
        <f t="shared" si="13905"/>
        <v>0.0070</v>
      </c>
      <c r="R8215" s="1" t="s">
        <v>25</v>
      </c>
      <c r="T8215" s="1" t="str">
        <f t="shared" si="13906"/>
        <v>0</v>
      </c>
      <c r="U8215" s="1" t="str">
        <f t="shared" si="13895"/>
        <v>0.0070</v>
      </c>
    </row>
    <row r="8216" s="1" customFormat="1" spans="1:21">
      <c r="A8216" s="1" t="str">
        <f>"4601992387114"</f>
        <v>4601992387114</v>
      </c>
      <c r="B8216" s="1" t="s">
        <v>8239</v>
      </c>
      <c r="C8216" s="1" t="s">
        <v>24</v>
      </c>
      <c r="D8216" s="1" t="str">
        <f t="shared" si="13903"/>
        <v>2021</v>
      </c>
      <c r="E8216" s="1" t="str">
        <f t="shared" ref="E8216:P8216" si="13927">"0"</f>
        <v>0</v>
      </c>
      <c r="F8216" s="1" t="str">
        <f t="shared" si="13927"/>
        <v>0</v>
      </c>
      <c r="G8216" s="1" t="str">
        <f t="shared" si="13927"/>
        <v>0</v>
      </c>
      <c r="H8216" s="1" t="str">
        <f t="shared" si="13927"/>
        <v>0</v>
      </c>
      <c r="I8216" s="1" t="str">
        <f t="shared" si="13927"/>
        <v>0</v>
      </c>
      <c r="J8216" s="1" t="str">
        <f t="shared" si="13927"/>
        <v>0</v>
      </c>
      <c r="K8216" s="1" t="str">
        <f t="shared" si="13927"/>
        <v>0</v>
      </c>
      <c r="L8216" s="1" t="str">
        <f t="shared" si="13927"/>
        <v>0</v>
      </c>
      <c r="M8216" s="1" t="str">
        <f t="shared" si="13927"/>
        <v>0</v>
      </c>
      <c r="N8216" s="1" t="str">
        <f t="shared" si="13927"/>
        <v>0</v>
      </c>
      <c r="O8216" s="1" t="str">
        <f t="shared" si="13927"/>
        <v>0</v>
      </c>
      <c r="P8216" s="1" t="str">
        <f t="shared" si="13927"/>
        <v>0</v>
      </c>
      <c r="Q8216" s="1" t="str">
        <f t="shared" si="13905"/>
        <v>0.0070</v>
      </c>
      <c r="R8216" s="1" t="s">
        <v>25</v>
      </c>
      <c r="T8216" s="1" t="str">
        <f t="shared" si="13906"/>
        <v>0</v>
      </c>
      <c r="U8216" s="1" t="str">
        <f t="shared" si="13895"/>
        <v>0.0070</v>
      </c>
    </row>
    <row r="8217" s="1" customFormat="1" spans="1:21">
      <c r="A8217" s="1" t="str">
        <f>"4601992387201"</f>
        <v>4601992387201</v>
      </c>
      <c r="B8217" s="1" t="s">
        <v>8240</v>
      </c>
      <c r="C8217" s="1" t="s">
        <v>24</v>
      </c>
      <c r="D8217" s="1" t="str">
        <f t="shared" si="13903"/>
        <v>2021</v>
      </c>
      <c r="E8217" s="1" t="str">
        <f t="shared" ref="E8217:P8217" si="13928">"0"</f>
        <v>0</v>
      </c>
      <c r="F8217" s="1" t="str">
        <f t="shared" si="13928"/>
        <v>0</v>
      </c>
      <c r="G8217" s="1" t="str">
        <f t="shared" si="13928"/>
        <v>0</v>
      </c>
      <c r="H8217" s="1" t="str">
        <f t="shared" si="13928"/>
        <v>0</v>
      </c>
      <c r="I8217" s="1" t="str">
        <f t="shared" si="13928"/>
        <v>0</v>
      </c>
      <c r="J8217" s="1" t="str">
        <f t="shared" si="13928"/>
        <v>0</v>
      </c>
      <c r="K8217" s="1" t="str">
        <f t="shared" si="13928"/>
        <v>0</v>
      </c>
      <c r="L8217" s="1" t="str">
        <f t="shared" si="13928"/>
        <v>0</v>
      </c>
      <c r="M8217" s="1" t="str">
        <f t="shared" si="13928"/>
        <v>0</v>
      </c>
      <c r="N8217" s="1" t="str">
        <f t="shared" si="13928"/>
        <v>0</v>
      </c>
      <c r="O8217" s="1" t="str">
        <f t="shared" si="13928"/>
        <v>0</v>
      </c>
      <c r="P8217" s="1" t="str">
        <f t="shared" si="13928"/>
        <v>0</v>
      </c>
      <c r="Q8217" s="1" t="str">
        <f t="shared" si="13905"/>
        <v>0.0070</v>
      </c>
      <c r="R8217" s="1" t="s">
        <v>25</v>
      </c>
      <c r="T8217" s="1" t="str">
        <f t="shared" si="13906"/>
        <v>0</v>
      </c>
      <c r="U8217" s="1" t="str">
        <f t="shared" si="13895"/>
        <v>0.0070</v>
      </c>
    </row>
    <row r="8218" s="1" customFormat="1" spans="1:21">
      <c r="A8218" s="1" t="str">
        <f>"4601992387196"</f>
        <v>4601992387196</v>
      </c>
      <c r="B8218" s="1" t="s">
        <v>8241</v>
      </c>
      <c r="C8218" s="1" t="s">
        <v>24</v>
      </c>
      <c r="D8218" s="1" t="str">
        <f t="shared" si="13903"/>
        <v>2021</v>
      </c>
      <c r="E8218" s="1" t="str">
        <f t="shared" ref="E8218:P8218" si="13929">"0"</f>
        <v>0</v>
      </c>
      <c r="F8218" s="1" t="str">
        <f t="shared" si="13929"/>
        <v>0</v>
      </c>
      <c r="G8218" s="1" t="str">
        <f t="shared" si="13929"/>
        <v>0</v>
      </c>
      <c r="H8218" s="1" t="str">
        <f t="shared" si="13929"/>
        <v>0</v>
      </c>
      <c r="I8218" s="1" t="str">
        <f t="shared" si="13929"/>
        <v>0</v>
      </c>
      <c r="J8218" s="1" t="str">
        <f t="shared" si="13929"/>
        <v>0</v>
      </c>
      <c r="K8218" s="1" t="str">
        <f t="shared" si="13929"/>
        <v>0</v>
      </c>
      <c r="L8218" s="1" t="str">
        <f t="shared" si="13929"/>
        <v>0</v>
      </c>
      <c r="M8218" s="1" t="str">
        <f t="shared" si="13929"/>
        <v>0</v>
      </c>
      <c r="N8218" s="1" t="str">
        <f t="shared" si="13929"/>
        <v>0</v>
      </c>
      <c r="O8218" s="1" t="str">
        <f t="shared" si="13929"/>
        <v>0</v>
      </c>
      <c r="P8218" s="1" t="str">
        <f t="shared" si="13929"/>
        <v>0</v>
      </c>
      <c r="Q8218" s="1" t="str">
        <f t="shared" si="13905"/>
        <v>0.0070</v>
      </c>
      <c r="R8218" s="1" t="s">
        <v>25</v>
      </c>
      <c r="T8218" s="1" t="str">
        <f t="shared" si="13906"/>
        <v>0</v>
      </c>
      <c r="U8218" s="1" t="str">
        <f t="shared" si="13895"/>
        <v>0.0070</v>
      </c>
    </row>
    <row r="8219" s="1" customFormat="1" spans="1:21">
      <c r="A8219" s="1" t="str">
        <f>"4601992387224"</f>
        <v>4601992387224</v>
      </c>
      <c r="B8219" s="1" t="s">
        <v>8242</v>
      </c>
      <c r="C8219" s="1" t="s">
        <v>24</v>
      </c>
      <c r="D8219" s="1" t="str">
        <f t="shared" si="13903"/>
        <v>2021</v>
      </c>
      <c r="E8219" s="1" t="str">
        <f t="shared" ref="E8219:P8219" si="13930">"0"</f>
        <v>0</v>
      </c>
      <c r="F8219" s="1" t="str">
        <f t="shared" si="13930"/>
        <v>0</v>
      </c>
      <c r="G8219" s="1" t="str">
        <f t="shared" si="13930"/>
        <v>0</v>
      </c>
      <c r="H8219" s="1" t="str">
        <f t="shared" si="13930"/>
        <v>0</v>
      </c>
      <c r="I8219" s="1" t="str">
        <f t="shared" si="13930"/>
        <v>0</v>
      </c>
      <c r="J8219" s="1" t="str">
        <f t="shared" si="13930"/>
        <v>0</v>
      </c>
      <c r="K8219" s="1" t="str">
        <f t="shared" si="13930"/>
        <v>0</v>
      </c>
      <c r="L8219" s="1" t="str">
        <f t="shared" si="13930"/>
        <v>0</v>
      </c>
      <c r="M8219" s="1" t="str">
        <f t="shared" si="13930"/>
        <v>0</v>
      </c>
      <c r="N8219" s="1" t="str">
        <f t="shared" si="13930"/>
        <v>0</v>
      </c>
      <c r="O8219" s="1" t="str">
        <f t="shared" si="13930"/>
        <v>0</v>
      </c>
      <c r="P8219" s="1" t="str">
        <f t="shared" si="13930"/>
        <v>0</v>
      </c>
      <c r="Q8219" s="1" t="str">
        <f t="shared" si="13905"/>
        <v>0.0070</v>
      </c>
      <c r="R8219" s="1" t="s">
        <v>25</v>
      </c>
      <c r="T8219" s="1" t="str">
        <f t="shared" si="13906"/>
        <v>0</v>
      </c>
      <c r="U8219" s="1" t="str">
        <f t="shared" si="13895"/>
        <v>0.0070</v>
      </c>
    </row>
    <row r="8220" s="1" customFormat="1" spans="1:21">
      <c r="A8220" s="1" t="str">
        <f>"4601992387254"</f>
        <v>4601992387254</v>
      </c>
      <c r="B8220" s="1" t="s">
        <v>8243</v>
      </c>
      <c r="C8220" s="1" t="s">
        <v>24</v>
      </c>
      <c r="D8220" s="1" t="str">
        <f t="shared" si="13903"/>
        <v>2021</v>
      </c>
      <c r="E8220" s="1" t="str">
        <f t="shared" ref="E8220:P8220" si="13931">"0"</f>
        <v>0</v>
      </c>
      <c r="F8220" s="1" t="str">
        <f t="shared" si="13931"/>
        <v>0</v>
      </c>
      <c r="G8220" s="1" t="str">
        <f t="shared" si="13931"/>
        <v>0</v>
      </c>
      <c r="H8220" s="1" t="str">
        <f t="shared" si="13931"/>
        <v>0</v>
      </c>
      <c r="I8220" s="1" t="str">
        <f t="shared" si="13931"/>
        <v>0</v>
      </c>
      <c r="J8220" s="1" t="str">
        <f t="shared" si="13931"/>
        <v>0</v>
      </c>
      <c r="K8220" s="1" t="str">
        <f t="shared" si="13931"/>
        <v>0</v>
      </c>
      <c r="L8220" s="1" t="str">
        <f t="shared" si="13931"/>
        <v>0</v>
      </c>
      <c r="M8220" s="1" t="str">
        <f t="shared" si="13931"/>
        <v>0</v>
      </c>
      <c r="N8220" s="1" t="str">
        <f t="shared" si="13931"/>
        <v>0</v>
      </c>
      <c r="O8220" s="1" t="str">
        <f t="shared" si="13931"/>
        <v>0</v>
      </c>
      <c r="P8220" s="1" t="str">
        <f t="shared" si="13931"/>
        <v>0</v>
      </c>
      <c r="Q8220" s="1" t="str">
        <f t="shared" si="13905"/>
        <v>0.0070</v>
      </c>
      <c r="R8220" s="1" t="s">
        <v>25</v>
      </c>
      <c r="T8220" s="1" t="str">
        <f t="shared" si="13906"/>
        <v>0</v>
      </c>
      <c r="U8220" s="1" t="str">
        <f t="shared" si="13895"/>
        <v>0.0070</v>
      </c>
    </row>
    <row r="8221" s="1" customFormat="1" spans="1:21">
      <c r="A8221" s="1" t="str">
        <f>"4601992387340"</f>
        <v>4601992387340</v>
      </c>
      <c r="B8221" s="1" t="s">
        <v>8244</v>
      </c>
      <c r="C8221" s="1" t="s">
        <v>24</v>
      </c>
      <c r="D8221" s="1" t="str">
        <f t="shared" si="13903"/>
        <v>2021</v>
      </c>
      <c r="E8221" s="1" t="str">
        <f t="shared" ref="E8221:P8221" si="13932">"0"</f>
        <v>0</v>
      </c>
      <c r="F8221" s="1" t="str">
        <f t="shared" si="13932"/>
        <v>0</v>
      </c>
      <c r="G8221" s="1" t="str">
        <f t="shared" si="13932"/>
        <v>0</v>
      </c>
      <c r="H8221" s="1" t="str">
        <f t="shared" si="13932"/>
        <v>0</v>
      </c>
      <c r="I8221" s="1" t="str">
        <f t="shared" si="13932"/>
        <v>0</v>
      </c>
      <c r="J8221" s="1" t="str">
        <f t="shared" si="13932"/>
        <v>0</v>
      </c>
      <c r="K8221" s="1" t="str">
        <f t="shared" si="13932"/>
        <v>0</v>
      </c>
      <c r="L8221" s="1" t="str">
        <f t="shared" si="13932"/>
        <v>0</v>
      </c>
      <c r="M8221" s="1" t="str">
        <f t="shared" si="13932"/>
        <v>0</v>
      </c>
      <c r="N8221" s="1" t="str">
        <f t="shared" si="13932"/>
        <v>0</v>
      </c>
      <c r="O8221" s="1" t="str">
        <f t="shared" si="13932"/>
        <v>0</v>
      </c>
      <c r="P8221" s="1" t="str">
        <f t="shared" si="13932"/>
        <v>0</v>
      </c>
      <c r="Q8221" s="1" t="str">
        <f t="shared" si="13905"/>
        <v>0.0070</v>
      </c>
      <c r="R8221" s="1" t="s">
        <v>25</v>
      </c>
      <c r="T8221" s="1" t="str">
        <f t="shared" si="13906"/>
        <v>0</v>
      </c>
      <c r="U8221" s="1" t="str">
        <f t="shared" si="13895"/>
        <v>0.0070</v>
      </c>
    </row>
    <row r="8222" s="1" customFormat="1" spans="1:21">
      <c r="A8222" s="1" t="str">
        <f>"4601992387633"</f>
        <v>4601992387633</v>
      </c>
      <c r="B8222" s="1" t="s">
        <v>8245</v>
      </c>
      <c r="C8222" s="1" t="s">
        <v>24</v>
      </c>
      <c r="D8222" s="1" t="str">
        <f t="shared" si="13903"/>
        <v>2021</v>
      </c>
      <c r="E8222" s="1" t="str">
        <f t="shared" ref="E8222:P8222" si="13933">"0"</f>
        <v>0</v>
      </c>
      <c r="F8222" s="1" t="str">
        <f t="shared" si="13933"/>
        <v>0</v>
      </c>
      <c r="G8222" s="1" t="str">
        <f t="shared" si="13933"/>
        <v>0</v>
      </c>
      <c r="H8222" s="1" t="str">
        <f t="shared" si="13933"/>
        <v>0</v>
      </c>
      <c r="I8222" s="1" t="str">
        <f t="shared" si="13933"/>
        <v>0</v>
      </c>
      <c r="J8222" s="1" t="str">
        <f t="shared" si="13933"/>
        <v>0</v>
      </c>
      <c r="K8222" s="1" t="str">
        <f t="shared" si="13933"/>
        <v>0</v>
      </c>
      <c r="L8222" s="1" t="str">
        <f t="shared" si="13933"/>
        <v>0</v>
      </c>
      <c r="M8222" s="1" t="str">
        <f t="shared" si="13933"/>
        <v>0</v>
      </c>
      <c r="N8222" s="1" t="str">
        <f t="shared" si="13933"/>
        <v>0</v>
      </c>
      <c r="O8222" s="1" t="str">
        <f t="shared" si="13933"/>
        <v>0</v>
      </c>
      <c r="P8222" s="1" t="str">
        <f t="shared" si="13933"/>
        <v>0</v>
      </c>
      <c r="Q8222" s="1" t="str">
        <f t="shared" si="13905"/>
        <v>0.0070</v>
      </c>
      <c r="R8222" s="1" t="s">
        <v>25</v>
      </c>
      <c r="T8222" s="1" t="str">
        <f t="shared" si="13906"/>
        <v>0</v>
      </c>
      <c r="U8222" s="1" t="str">
        <f t="shared" si="13895"/>
        <v>0.0070</v>
      </c>
    </row>
    <row r="8223" s="1" customFormat="1" spans="1:21">
      <c r="A8223" s="1" t="str">
        <f>"4601992387697"</f>
        <v>4601992387697</v>
      </c>
      <c r="B8223" s="1" t="s">
        <v>8246</v>
      </c>
      <c r="C8223" s="1" t="s">
        <v>24</v>
      </c>
      <c r="D8223" s="1" t="str">
        <f t="shared" si="13903"/>
        <v>2021</v>
      </c>
      <c r="E8223" s="1" t="str">
        <f t="shared" ref="E8223:P8223" si="13934">"0"</f>
        <v>0</v>
      </c>
      <c r="F8223" s="1" t="str">
        <f t="shared" si="13934"/>
        <v>0</v>
      </c>
      <c r="G8223" s="1" t="str">
        <f t="shared" si="13934"/>
        <v>0</v>
      </c>
      <c r="H8223" s="1" t="str">
        <f t="shared" si="13934"/>
        <v>0</v>
      </c>
      <c r="I8223" s="1" t="str">
        <f t="shared" si="13934"/>
        <v>0</v>
      </c>
      <c r="J8223" s="1" t="str">
        <f t="shared" si="13934"/>
        <v>0</v>
      </c>
      <c r="K8223" s="1" t="str">
        <f t="shared" si="13934"/>
        <v>0</v>
      </c>
      <c r="L8223" s="1" t="str">
        <f t="shared" si="13934"/>
        <v>0</v>
      </c>
      <c r="M8223" s="1" t="str">
        <f t="shared" si="13934"/>
        <v>0</v>
      </c>
      <c r="N8223" s="1" t="str">
        <f t="shared" si="13934"/>
        <v>0</v>
      </c>
      <c r="O8223" s="1" t="str">
        <f t="shared" si="13934"/>
        <v>0</v>
      </c>
      <c r="P8223" s="1" t="str">
        <f t="shared" si="13934"/>
        <v>0</v>
      </c>
      <c r="Q8223" s="1" t="str">
        <f t="shared" si="13905"/>
        <v>0.0070</v>
      </c>
      <c r="R8223" s="1" t="s">
        <v>25</v>
      </c>
      <c r="T8223" s="1" t="str">
        <f t="shared" si="13906"/>
        <v>0</v>
      </c>
      <c r="U8223" s="1" t="str">
        <f t="shared" si="13895"/>
        <v>0.0070</v>
      </c>
    </row>
    <row r="8224" s="1" customFormat="1" spans="1:21">
      <c r="A8224" s="1" t="str">
        <f>"4601992387952"</f>
        <v>4601992387952</v>
      </c>
      <c r="B8224" s="1" t="s">
        <v>8247</v>
      </c>
      <c r="C8224" s="1" t="s">
        <v>24</v>
      </c>
      <c r="D8224" s="1" t="str">
        <f t="shared" si="13903"/>
        <v>2021</v>
      </c>
      <c r="E8224" s="1" t="str">
        <f t="shared" ref="E8224:P8224" si="13935">"0"</f>
        <v>0</v>
      </c>
      <c r="F8224" s="1" t="str">
        <f t="shared" si="13935"/>
        <v>0</v>
      </c>
      <c r="G8224" s="1" t="str">
        <f t="shared" si="13935"/>
        <v>0</v>
      </c>
      <c r="H8224" s="1" t="str">
        <f t="shared" si="13935"/>
        <v>0</v>
      </c>
      <c r="I8224" s="1" t="str">
        <f t="shared" si="13935"/>
        <v>0</v>
      </c>
      <c r="J8224" s="1" t="str">
        <f t="shared" si="13935"/>
        <v>0</v>
      </c>
      <c r="K8224" s="1" t="str">
        <f t="shared" si="13935"/>
        <v>0</v>
      </c>
      <c r="L8224" s="1" t="str">
        <f t="shared" si="13935"/>
        <v>0</v>
      </c>
      <c r="M8224" s="1" t="str">
        <f t="shared" si="13935"/>
        <v>0</v>
      </c>
      <c r="N8224" s="1" t="str">
        <f t="shared" si="13935"/>
        <v>0</v>
      </c>
      <c r="O8224" s="1" t="str">
        <f t="shared" si="13935"/>
        <v>0</v>
      </c>
      <c r="P8224" s="1" t="str">
        <f t="shared" si="13935"/>
        <v>0</v>
      </c>
      <c r="Q8224" s="1" t="str">
        <f t="shared" si="13905"/>
        <v>0.0070</v>
      </c>
      <c r="R8224" s="1" t="s">
        <v>25</v>
      </c>
      <c r="T8224" s="1" t="str">
        <f t="shared" si="13906"/>
        <v>0</v>
      </c>
      <c r="U8224" s="1" t="str">
        <f t="shared" si="13895"/>
        <v>0.0070</v>
      </c>
    </row>
    <row r="8225" s="1" customFormat="1" spans="1:21">
      <c r="A8225" s="1" t="str">
        <f>"4601992388016"</f>
        <v>4601992388016</v>
      </c>
      <c r="B8225" s="1" t="s">
        <v>8248</v>
      </c>
      <c r="C8225" s="1" t="s">
        <v>24</v>
      </c>
      <c r="D8225" s="1" t="str">
        <f t="shared" si="13903"/>
        <v>2021</v>
      </c>
      <c r="E8225" s="1" t="str">
        <f t="shared" ref="E8225:P8225" si="13936">"0"</f>
        <v>0</v>
      </c>
      <c r="F8225" s="1" t="str">
        <f t="shared" si="13936"/>
        <v>0</v>
      </c>
      <c r="G8225" s="1" t="str">
        <f t="shared" si="13936"/>
        <v>0</v>
      </c>
      <c r="H8225" s="1" t="str">
        <f t="shared" si="13936"/>
        <v>0</v>
      </c>
      <c r="I8225" s="1" t="str">
        <f t="shared" si="13936"/>
        <v>0</v>
      </c>
      <c r="J8225" s="1" t="str">
        <f t="shared" si="13936"/>
        <v>0</v>
      </c>
      <c r="K8225" s="1" t="str">
        <f t="shared" si="13936"/>
        <v>0</v>
      </c>
      <c r="L8225" s="1" t="str">
        <f t="shared" si="13936"/>
        <v>0</v>
      </c>
      <c r="M8225" s="1" t="str">
        <f t="shared" si="13936"/>
        <v>0</v>
      </c>
      <c r="N8225" s="1" t="str">
        <f t="shared" si="13936"/>
        <v>0</v>
      </c>
      <c r="O8225" s="1" t="str">
        <f t="shared" si="13936"/>
        <v>0</v>
      </c>
      <c r="P8225" s="1" t="str">
        <f t="shared" si="13936"/>
        <v>0</v>
      </c>
      <c r="Q8225" s="1" t="str">
        <f t="shared" si="13905"/>
        <v>0.0070</v>
      </c>
      <c r="R8225" s="1" t="s">
        <v>25</v>
      </c>
      <c r="T8225" s="1" t="str">
        <f t="shared" si="13906"/>
        <v>0</v>
      </c>
      <c r="U8225" s="1" t="str">
        <f t="shared" si="13895"/>
        <v>0.0070</v>
      </c>
    </row>
    <row r="8226" s="1" customFormat="1" spans="1:21">
      <c r="A8226" s="1" t="str">
        <f>"4601992388235"</f>
        <v>4601992388235</v>
      </c>
      <c r="B8226" s="1" t="s">
        <v>8249</v>
      </c>
      <c r="C8226" s="1" t="s">
        <v>24</v>
      </c>
      <c r="D8226" s="1" t="str">
        <f t="shared" si="13903"/>
        <v>2021</v>
      </c>
      <c r="E8226" s="1" t="str">
        <f t="shared" ref="E8226:P8226" si="13937">"0"</f>
        <v>0</v>
      </c>
      <c r="F8226" s="1" t="str">
        <f t="shared" si="13937"/>
        <v>0</v>
      </c>
      <c r="G8226" s="1" t="str">
        <f t="shared" si="13937"/>
        <v>0</v>
      </c>
      <c r="H8226" s="1" t="str">
        <f t="shared" si="13937"/>
        <v>0</v>
      </c>
      <c r="I8226" s="1" t="str">
        <f t="shared" si="13937"/>
        <v>0</v>
      </c>
      <c r="J8226" s="1" t="str">
        <f t="shared" si="13937"/>
        <v>0</v>
      </c>
      <c r="K8226" s="1" t="str">
        <f t="shared" si="13937"/>
        <v>0</v>
      </c>
      <c r="L8226" s="1" t="str">
        <f t="shared" si="13937"/>
        <v>0</v>
      </c>
      <c r="M8226" s="1" t="str">
        <f t="shared" si="13937"/>
        <v>0</v>
      </c>
      <c r="N8226" s="1" t="str">
        <f t="shared" si="13937"/>
        <v>0</v>
      </c>
      <c r="O8226" s="1" t="str">
        <f t="shared" si="13937"/>
        <v>0</v>
      </c>
      <c r="P8226" s="1" t="str">
        <f t="shared" si="13937"/>
        <v>0</v>
      </c>
      <c r="Q8226" s="1" t="str">
        <f t="shared" si="13905"/>
        <v>0.0070</v>
      </c>
      <c r="R8226" s="1" t="s">
        <v>25</v>
      </c>
      <c r="T8226" s="1" t="str">
        <f t="shared" si="13906"/>
        <v>0</v>
      </c>
      <c r="U8226" s="1" t="str">
        <f t="shared" si="13895"/>
        <v>0.0070</v>
      </c>
    </row>
    <row r="8227" s="1" customFormat="1" spans="1:21">
      <c r="A8227" s="1" t="str">
        <f>"4601992388177"</f>
        <v>4601992388177</v>
      </c>
      <c r="B8227" s="1" t="s">
        <v>8250</v>
      </c>
      <c r="C8227" s="1" t="s">
        <v>24</v>
      </c>
      <c r="D8227" s="1" t="str">
        <f t="shared" si="13903"/>
        <v>2021</v>
      </c>
      <c r="E8227" s="1" t="str">
        <f t="shared" ref="E8227:P8227" si="13938">"0"</f>
        <v>0</v>
      </c>
      <c r="F8227" s="1" t="str">
        <f t="shared" si="13938"/>
        <v>0</v>
      </c>
      <c r="G8227" s="1" t="str">
        <f t="shared" si="13938"/>
        <v>0</v>
      </c>
      <c r="H8227" s="1" t="str">
        <f t="shared" si="13938"/>
        <v>0</v>
      </c>
      <c r="I8227" s="1" t="str">
        <f t="shared" si="13938"/>
        <v>0</v>
      </c>
      <c r="J8227" s="1" t="str">
        <f t="shared" si="13938"/>
        <v>0</v>
      </c>
      <c r="K8227" s="1" t="str">
        <f t="shared" si="13938"/>
        <v>0</v>
      </c>
      <c r="L8227" s="1" t="str">
        <f t="shared" si="13938"/>
        <v>0</v>
      </c>
      <c r="M8227" s="1" t="str">
        <f t="shared" si="13938"/>
        <v>0</v>
      </c>
      <c r="N8227" s="1" t="str">
        <f t="shared" si="13938"/>
        <v>0</v>
      </c>
      <c r="O8227" s="1" t="str">
        <f t="shared" si="13938"/>
        <v>0</v>
      </c>
      <c r="P8227" s="1" t="str">
        <f t="shared" si="13938"/>
        <v>0</v>
      </c>
      <c r="Q8227" s="1" t="str">
        <f t="shared" si="13905"/>
        <v>0.0070</v>
      </c>
      <c r="R8227" s="1" t="s">
        <v>25</v>
      </c>
      <c r="T8227" s="1" t="str">
        <f t="shared" si="13906"/>
        <v>0</v>
      </c>
      <c r="U8227" s="1" t="str">
        <f t="shared" si="13895"/>
        <v>0.0070</v>
      </c>
    </row>
    <row r="8228" s="1" customFormat="1" spans="1:21">
      <c r="A8228" s="1" t="str">
        <f>"4601992388264"</f>
        <v>4601992388264</v>
      </c>
      <c r="B8228" s="1" t="s">
        <v>8251</v>
      </c>
      <c r="C8228" s="1" t="s">
        <v>24</v>
      </c>
      <c r="D8228" s="1" t="str">
        <f t="shared" si="13903"/>
        <v>2021</v>
      </c>
      <c r="E8228" s="1" t="str">
        <f t="shared" ref="E8228:P8228" si="13939">"0"</f>
        <v>0</v>
      </c>
      <c r="F8228" s="1" t="str">
        <f t="shared" si="13939"/>
        <v>0</v>
      </c>
      <c r="G8228" s="1" t="str">
        <f t="shared" si="13939"/>
        <v>0</v>
      </c>
      <c r="H8228" s="1" t="str">
        <f t="shared" si="13939"/>
        <v>0</v>
      </c>
      <c r="I8228" s="1" t="str">
        <f t="shared" si="13939"/>
        <v>0</v>
      </c>
      <c r="J8228" s="1" t="str">
        <f t="shared" si="13939"/>
        <v>0</v>
      </c>
      <c r="K8228" s="1" t="str">
        <f t="shared" si="13939"/>
        <v>0</v>
      </c>
      <c r="L8228" s="1" t="str">
        <f t="shared" si="13939"/>
        <v>0</v>
      </c>
      <c r="M8228" s="1" t="str">
        <f t="shared" si="13939"/>
        <v>0</v>
      </c>
      <c r="N8228" s="1" t="str">
        <f t="shared" si="13939"/>
        <v>0</v>
      </c>
      <c r="O8228" s="1" t="str">
        <f t="shared" si="13939"/>
        <v>0</v>
      </c>
      <c r="P8228" s="1" t="str">
        <f t="shared" si="13939"/>
        <v>0</v>
      </c>
      <c r="Q8228" s="1" t="str">
        <f t="shared" si="13905"/>
        <v>0.0070</v>
      </c>
      <c r="R8228" s="1" t="s">
        <v>25</v>
      </c>
      <c r="T8228" s="1" t="str">
        <f t="shared" si="13906"/>
        <v>0</v>
      </c>
      <c r="U8228" s="1" t="str">
        <f t="shared" si="13895"/>
        <v>0.0070</v>
      </c>
    </row>
    <row r="8229" s="1" customFormat="1" spans="1:21">
      <c r="A8229" s="1" t="str">
        <f>"4601992388271"</f>
        <v>4601992388271</v>
      </c>
      <c r="B8229" s="1" t="s">
        <v>8252</v>
      </c>
      <c r="C8229" s="1" t="s">
        <v>24</v>
      </c>
      <c r="D8229" s="1" t="str">
        <f t="shared" si="13903"/>
        <v>2021</v>
      </c>
      <c r="E8229" s="1" t="str">
        <f t="shared" ref="E8229:P8229" si="13940">"0"</f>
        <v>0</v>
      </c>
      <c r="F8229" s="1" t="str">
        <f t="shared" si="13940"/>
        <v>0</v>
      </c>
      <c r="G8229" s="1" t="str">
        <f t="shared" si="13940"/>
        <v>0</v>
      </c>
      <c r="H8229" s="1" t="str">
        <f t="shared" si="13940"/>
        <v>0</v>
      </c>
      <c r="I8229" s="1" t="str">
        <f t="shared" si="13940"/>
        <v>0</v>
      </c>
      <c r="J8229" s="1" t="str">
        <f t="shared" si="13940"/>
        <v>0</v>
      </c>
      <c r="K8229" s="1" t="str">
        <f t="shared" si="13940"/>
        <v>0</v>
      </c>
      <c r="L8229" s="1" t="str">
        <f t="shared" si="13940"/>
        <v>0</v>
      </c>
      <c r="M8229" s="1" t="str">
        <f t="shared" si="13940"/>
        <v>0</v>
      </c>
      <c r="N8229" s="1" t="str">
        <f t="shared" si="13940"/>
        <v>0</v>
      </c>
      <c r="O8229" s="1" t="str">
        <f t="shared" si="13940"/>
        <v>0</v>
      </c>
      <c r="P8229" s="1" t="str">
        <f t="shared" si="13940"/>
        <v>0</v>
      </c>
      <c r="Q8229" s="1" t="str">
        <f t="shared" si="13905"/>
        <v>0.0070</v>
      </c>
      <c r="R8229" s="1" t="s">
        <v>25</v>
      </c>
      <c r="T8229" s="1" t="str">
        <f t="shared" si="13906"/>
        <v>0</v>
      </c>
      <c r="U8229" s="1" t="str">
        <f t="shared" si="13895"/>
        <v>0.0070</v>
      </c>
    </row>
    <row r="8230" s="1" customFormat="1" spans="1:21">
      <c r="A8230" s="1" t="str">
        <f>"4601992388273"</f>
        <v>4601992388273</v>
      </c>
      <c r="B8230" s="1" t="s">
        <v>8253</v>
      </c>
      <c r="C8230" s="1" t="s">
        <v>24</v>
      </c>
      <c r="D8230" s="1" t="str">
        <f t="shared" si="13903"/>
        <v>2021</v>
      </c>
      <c r="E8230" s="1" t="str">
        <f t="shared" ref="E8230:P8230" si="13941">"0"</f>
        <v>0</v>
      </c>
      <c r="F8230" s="1" t="str">
        <f t="shared" si="13941"/>
        <v>0</v>
      </c>
      <c r="G8230" s="1" t="str">
        <f t="shared" si="13941"/>
        <v>0</v>
      </c>
      <c r="H8230" s="1" t="str">
        <f t="shared" si="13941"/>
        <v>0</v>
      </c>
      <c r="I8230" s="1" t="str">
        <f t="shared" si="13941"/>
        <v>0</v>
      </c>
      <c r="J8230" s="1" t="str">
        <f t="shared" si="13941"/>
        <v>0</v>
      </c>
      <c r="K8230" s="1" t="str">
        <f t="shared" si="13941"/>
        <v>0</v>
      </c>
      <c r="L8230" s="1" t="str">
        <f t="shared" si="13941"/>
        <v>0</v>
      </c>
      <c r="M8230" s="1" t="str">
        <f t="shared" si="13941"/>
        <v>0</v>
      </c>
      <c r="N8230" s="1" t="str">
        <f t="shared" si="13941"/>
        <v>0</v>
      </c>
      <c r="O8230" s="1" t="str">
        <f t="shared" si="13941"/>
        <v>0</v>
      </c>
      <c r="P8230" s="1" t="str">
        <f t="shared" si="13941"/>
        <v>0</v>
      </c>
      <c r="Q8230" s="1" t="str">
        <f t="shared" si="13905"/>
        <v>0.0070</v>
      </c>
      <c r="R8230" s="1" t="s">
        <v>25</v>
      </c>
      <c r="T8230" s="1" t="str">
        <f t="shared" si="13906"/>
        <v>0</v>
      </c>
      <c r="U8230" s="1" t="str">
        <f t="shared" si="13895"/>
        <v>0.0070</v>
      </c>
    </row>
    <row r="8231" s="1" customFormat="1" spans="1:21">
      <c r="A8231" s="1" t="str">
        <f>"4601992388275"</f>
        <v>4601992388275</v>
      </c>
      <c r="B8231" s="1" t="s">
        <v>8254</v>
      </c>
      <c r="C8231" s="1" t="s">
        <v>24</v>
      </c>
      <c r="D8231" s="1" t="str">
        <f t="shared" si="13903"/>
        <v>2021</v>
      </c>
      <c r="E8231" s="1" t="str">
        <f t="shared" ref="E8231:P8231" si="13942">"0"</f>
        <v>0</v>
      </c>
      <c r="F8231" s="1" t="str">
        <f t="shared" si="13942"/>
        <v>0</v>
      </c>
      <c r="G8231" s="1" t="str">
        <f t="shared" si="13942"/>
        <v>0</v>
      </c>
      <c r="H8231" s="1" t="str">
        <f t="shared" si="13942"/>
        <v>0</v>
      </c>
      <c r="I8231" s="1" t="str">
        <f t="shared" si="13942"/>
        <v>0</v>
      </c>
      <c r="J8231" s="1" t="str">
        <f t="shared" si="13942"/>
        <v>0</v>
      </c>
      <c r="K8231" s="1" t="str">
        <f t="shared" si="13942"/>
        <v>0</v>
      </c>
      <c r="L8231" s="1" t="str">
        <f t="shared" si="13942"/>
        <v>0</v>
      </c>
      <c r="M8231" s="1" t="str">
        <f t="shared" si="13942"/>
        <v>0</v>
      </c>
      <c r="N8231" s="1" t="str">
        <f t="shared" si="13942"/>
        <v>0</v>
      </c>
      <c r="O8231" s="1" t="str">
        <f t="shared" si="13942"/>
        <v>0</v>
      </c>
      <c r="P8231" s="1" t="str">
        <f t="shared" si="13942"/>
        <v>0</v>
      </c>
      <c r="Q8231" s="1" t="str">
        <f t="shared" si="13905"/>
        <v>0.0070</v>
      </c>
      <c r="R8231" s="1" t="s">
        <v>25</v>
      </c>
      <c r="T8231" s="1" t="str">
        <f t="shared" si="13906"/>
        <v>0</v>
      </c>
      <c r="U8231" s="1" t="str">
        <f t="shared" si="13895"/>
        <v>0.0070</v>
      </c>
    </row>
    <row r="8232" s="1" customFormat="1" spans="1:21">
      <c r="A8232" s="1" t="str">
        <f>"4601992388279"</f>
        <v>4601992388279</v>
      </c>
      <c r="B8232" s="1" t="s">
        <v>8255</v>
      </c>
      <c r="C8232" s="1" t="s">
        <v>24</v>
      </c>
      <c r="D8232" s="1" t="str">
        <f t="shared" si="13903"/>
        <v>2021</v>
      </c>
      <c r="E8232" s="1" t="str">
        <f t="shared" ref="E8232:P8232" si="13943">"0"</f>
        <v>0</v>
      </c>
      <c r="F8232" s="1" t="str">
        <f t="shared" si="13943"/>
        <v>0</v>
      </c>
      <c r="G8232" s="1" t="str">
        <f t="shared" si="13943"/>
        <v>0</v>
      </c>
      <c r="H8232" s="1" t="str">
        <f t="shared" si="13943"/>
        <v>0</v>
      </c>
      <c r="I8232" s="1" t="str">
        <f t="shared" si="13943"/>
        <v>0</v>
      </c>
      <c r="J8232" s="1" t="str">
        <f t="shared" si="13943"/>
        <v>0</v>
      </c>
      <c r="K8232" s="1" t="str">
        <f t="shared" si="13943"/>
        <v>0</v>
      </c>
      <c r="L8232" s="1" t="str">
        <f t="shared" si="13943"/>
        <v>0</v>
      </c>
      <c r="M8232" s="1" t="str">
        <f t="shared" si="13943"/>
        <v>0</v>
      </c>
      <c r="N8232" s="1" t="str">
        <f t="shared" si="13943"/>
        <v>0</v>
      </c>
      <c r="O8232" s="1" t="str">
        <f t="shared" si="13943"/>
        <v>0</v>
      </c>
      <c r="P8232" s="1" t="str">
        <f t="shared" si="13943"/>
        <v>0</v>
      </c>
      <c r="Q8232" s="1" t="str">
        <f t="shared" si="13905"/>
        <v>0.0070</v>
      </c>
      <c r="R8232" s="1" t="s">
        <v>25</v>
      </c>
      <c r="T8232" s="1" t="str">
        <f t="shared" si="13906"/>
        <v>0</v>
      </c>
      <c r="U8232" s="1" t="str">
        <f t="shared" si="13895"/>
        <v>0.0070</v>
      </c>
    </row>
    <row r="8233" s="1" customFormat="1" spans="1:21">
      <c r="A8233" s="1" t="str">
        <f>"4601992388282"</f>
        <v>4601992388282</v>
      </c>
      <c r="B8233" s="1" t="s">
        <v>8256</v>
      </c>
      <c r="C8233" s="1" t="s">
        <v>24</v>
      </c>
      <c r="D8233" s="1" t="str">
        <f t="shared" si="13903"/>
        <v>2021</v>
      </c>
      <c r="E8233" s="1" t="str">
        <f t="shared" ref="E8233:P8233" si="13944">"0"</f>
        <v>0</v>
      </c>
      <c r="F8233" s="1" t="str">
        <f t="shared" si="13944"/>
        <v>0</v>
      </c>
      <c r="G8233" s="1" t="str">
        <f t="shared" si="13944"/>
        <v>0</v>
      </c>
      <c r="H8233" s="1" t="str">
        <f t="shared" si="13944"/>
        <v>0</v>
      </c>
      <c r="I8233" s="1" t="str">
        <f t="shared" si="13944"/>
        <v>0</v>
      </c>
      <c r="J8233" s="1" t="str">
        <f t="shared" si="13944"/>
        <v>0</v>
      </c>
      <c r="K8233" s="1" t="str">
        <f t="shared" si="13944"/>
        <v>0</v>
      </c>
      <c r="L8233" s="1" t="str">
        <f t="shared" si="13944"/>
        <v>0</v>
      </c>
      <c r="M8233" s="1" t="str">
        <f t="shared" si="13944"/>
        <v>0</v>
      </c>
      <c r="N8233" s="1" t="str">
        <f t="shared" si="13944"/>
        <v>0</v>
      </c>
      <c r="O8233" s="1" t="str">
        <f t="shared" si="13944"/>
        <v>0</v>
      </c>
      <c r="P8233" s="1" t="str">
        <f t="shared" si="13944"/>
        <v>0</v>
      </c>
      <c r="Q8233" s="1" t="str">
        <f t="shared" si="13905"/>
        <v>0.0070</v>
      </c>
      <c r="R8233" s="1" t="s">
        <v>25</v>
      </c>
      <c r="T8233" s="1" t="str">
        <f t="shared" si="13906"/>
        <v>0</v>
      </c>
      <c r="U8233" s="1" t="str">
        <f t="shared" si="13895"/>
        <v>0.0070</v>
      </c>
    </row>
    <row r="8234" s="1" customFormat="1" spans="1:21">
      <c r="A8234" s="1" t="str">
        <f>"4601992388286"</f>
        <v>4601992388286</v>
      </c>
      <c r="B8234" s="1" t="s">
        <v>8257</v>
      </c>
      <c r="C8234" s="1" t="s">
        <v>24</v>
      </c>
      <c r="D8234" s="1" t="str">
        <f t="shared" si="13903"/>
        <v>2021</v>
      </c>
      <c r="E8234" s="1" t="str">
        <f t="shared" ref="E8234:P8234" si="13945">"0"</f>
        <v>0</v>
      </c>
      <c r="F8234" s="1" t="str">
        <f t="shared" si="13945"/>
        <v>0</v>
      </c>
      <c r="G8234" s="1" t="str">
        <f t="shared" si="13945"/>
        <v>0</v>
      </c>
      <c r="H8234" s="1" t="str">
        <f t="shared" si="13945"/>
        <v>0</v>
      </c>
      <c r="I8234" s="1" t="str">
        <f t="shared" si="13945"/>
        <v>0</v>
      </c>
      <c r="J8234" s="1" t="str">
        <f t="shared" si="13945"/>
        <v>0</v>
      </c>
      <c r="K8234" s="1" t="str">
        <f t="shared" si="13945"/>
        <v>0</v>
      </c>
      <c r="L8234" s="1" t="str">
        <f t="shared" si="13945"/>
        <v>0</v>
      </c>
      <c r="M8234" s="1" t="str">
        <f t="shared" si="13945"/>
        <v>0</v>
      </c>
      <c r="N8234" s="1" t="str">
        <f t="shared" si="13945"/>
        <v>0</v>
      </c>
      <c r="O8234" s="1" t="str">
        <f t="shared" si="13945"/>
        <v>0</v>
      </c>
      <c r="P8234" s="1" t="str">
        <f t="shared" si="13945"/>
        <v>0</v>
      </c>
      <c r="Q8234" s="1" t="str">
        <f t="shared" si="13905"/>
        <v>0.0070</v>
      </c>
      <c r="R8234" s="1" t="s">
        <v>25</v>
      </c>
      <c r="T8234" s="1" t="str">
        <f t="shared" si="13906"/>
        <v>0</v>
      </c>
      <c r="U8234" s="1" t="str">
        <f t="shared" si="13895"/>
        <v>0.0070</v>
      </c>
    </row>
    <row r="8235" s="1" customFormat="1" spans="1:21">
      <c r="A8235" s="1" t="str">
        <f>"4601992388318"</f>
        <v>4601992388318</v>
      </c>
      <c r="B8235" s="1" t="s">
        <v>8258</v>
      </c>
      <c r="C8235" s="1" t="s">
        <v>24</v>
      </c>
      <c r="D8235" s="1" t="str">
        <f t="shared" si="13903"/>
        <v>2021</v>
      </c>
      <c r="E8235" s="1" t="str">
        <f t="shared" ref="E8235:P8235" si="13946">"0"</f>
        <v>0</v>
      </c>
      <c r="F8235" s="1" t="str">
        <f t="shared" si="13946"/>
        <v>0</v>
      </c>
      <c r="G8235" s="1" t="str">
        <f t="shared" si="13946"/>
        <v>0</v>
      </c>
      <c r="H8235" s="1" t="str">
        <f t="shared" si="13946"/>
        <v>0</v>
      </c>
      <c r="I8235" s="1" t="str">
        <f t="shared" si="13946"/>
        <v>0</v>
      </c>
      <c r="J8235" s="1" t="str">
        <f t="shared" si="13946"/>
        <v>0</v>
      </c>
      <c r="K8235" s="1" t="str">
        <f t="shared" si="13946"/>
        <v>0</v>
      </c>
      <c r="L8235" s="1" t="str">
        <f t="shared" si="13946"/>
        <v>0</v>
      </c>
      <c r="M8235" s="1" t="str">
        <f t="shared" si="13946"/>
        <v>0</v>
      </c>
      <c r="N8235" s="1" t="str">
        <f t="shared" si="13946"/>
        <v>0</v>
      </c>
      <c r="O8235" s="1" t="str">
        <f t="shared" si="13946"/>
        <v>0</v>
      </c>
      <c r="P8235" s="1" t="str">
        <f t="shared" si="13946"/>
        <v>0</v>
      </c>
      <c r="Q8235" s="1" t="str">
        <f t="shared" si="13905"/>
        <v>0.0070</v>
      </c>
      <c r="R8235" s="1" t="s">
        <v>25</v>
      </c>
      <c r="T8235" s="1" t="str">
        <f t="shared" si="13906"/>
        <v>0</v>
      </c>
      <c r="U8235" s="1" t="str">
        <f t="shared" si="13895"/>
        <v>0.0070</v>
      </c>
    </row>
    <row r="8236" s="1" customFormat="1" spans="1:21">
      <c r="A8236" s="1" t="str">
        <f>"4601992388375"</f>
        <v>4601992388375</v>
      </c>
      <c r="B8236" s="1" t="s">
        <v>8259</v>
      </c>
      <c r="C8236" s="1" t="s">
        <v>24</v>
      </c>
      <c r="D8236" s="1" t="str">
        <f t="shared" si="13903"/>
        <v>2021</v>
      </c>
      <c r="E8236" s="1" t="str">
        <f t="shared" ref="E8236:P8236" si="13947">"0"</f>
        <v>0</v>
      </c>
      <c r="F8236" s="1" t="str">
        <f t="shared" si="13947"/>
        <v>0</v>
      </c>
      <c r="G8236" s="1" t="str">
        <f t="shared" si="13947"/>
        <v>0</v>
      </c>
      <c r="H8236" s="1" t="str">
        <f t="shared" si="13947"/>
        <v>0</v>
      </c>
      <c r="I8236" s="1" t="str">
        <f t="shared" si="13947"/>
        <v>0</v>
      </c>
      <c r="J8236" s="1" t="str">
        <f t="shared" si="13947"/>
        <v>0</v>
      </c>
      <c r="K8236" s="1" t="str">
        <f t="shared" si="13947"/>
        <v>0</v>
      </c>
      <c r="L8236" s="1" t="str">
        <f t="shared" si="13947"/>
        <v>0</v>
      </c>
      <c r="M8236" s="1" t="str">
        <f t="shared" si="13947"/>
        <v>0</v>
      </c>
      <c r="N8236" s="1" t="str">
        <f t="shared" si="13947"/>
        <v>0</v>
      </c>
      <c r="O8236" s="1" t="str">
        <f t="shared" si="13947"/>
        <v>0</v>
      </c>
      <c r="P8236" s="1" t="str">
        <f t="shared" si="13947"/>
        <v>0</v>
      </c>
      <c r="Q8236" s="1" t="str">
        <f t="shared" si="13905"/>
        <v>0.0070</v>
      </c>
      <c r="R8236" s="1" t="s">
        <v>25</v>
      </c>
      <c r="T8236" s="1" t="str">
        <f t="shared" si="13906"/>
        <v>0</v>
      </c>
      <c r="U8236" s="1" t="str">
        <f t="shared" si="13895"/>
        <v>0.0070</v>
      </c>
    </row>
    <row r="8237" s="1" customFormat="1" spans="1:21">
      <c r="A8237" s="1" t="str">
        <f>"4601992388394"</f>
        <v>4601992388394</v>
      </c>
      <c r="B8237" s="1" t="s">
        <v>8260</v>
      </c>
      <c r="C8237" s="1" t="s">
        <v>24</v>
      </c>
      <c r="D8237" s="1" t="str">
        <f t="shared" si="13903"/>
        <v>2021</v>
      </c>
      <c r="E8237" s="1" t="str">
        <f t="shared" ref="E8237:P8237" si="13948">"0"</f>
        <v>0</v>
      </c>
      <c r="F8237" s="1" t="str">
        <f t="shared" si="13948"/>
        <v>0</v>
      </c>
      <c r="G8237" s="1" t="str">
        <f t="shared" si="13948"/>
        <v>0</v>
      </c>
      <c r="H8237" s="1" t="str">
        <f t="shared" si="13948"/>
        <v>0</v>
      </c>
      <c r="I8237" s="1" t="str">
        <f t="shared" si="13948"/>
        <v>0</v>
      </c>
      <c r="J8237" s="1" t="str">
        <f t="shared" si="13948"/>
        <v>0</v>
      </c>
      <c r="K8237" s="1" t="str">
        <f t="shared" si="13948"/>
        <v>0</v>
      </c>
      <c r="L8237" s="1" t="str">
        <f t="shared" si="13948"/>
        <v>0</v>
      </c>
      <c r="M8237" s="1" t="str">
        <f t="shared" si="13948"/>
        <v>0</v>
      </c>
      <c r="N8237" s="1" t="str">
        <f t="shared" si="13948"/>
        <v>0</v>
      </c>
      <c r="O8237" s="1" t="str">
        <f t="shared" si="13948"/>
        <v>0</v>
      </c>
      <c r="P8237" s="1" t="str">
        <f t="shared" si="13948"/>
        <v>0</v>
      </c>
      <c r="Q8237" s="1" t="str">
        <f t="shared" si="13905"/>
        <v>0.0070</v>
      </c>
      <c r="R8237" s="1" t="s">
        <v>25</v>
      </c>
      <c r="T8237" s="1" t="str">
        <f t="shared" si="13906"/>
        <v>0</v>
      </c>
      <c r="U8237" s="1" t="str">
        <f t="shared" si="13895"/>
        <v>0.0070</v>
      </c>
    </row>
    <row r="8238" s="1" customFormat="1" spans="1:21">
      <c r="A8238" s="1" t="str">
        <f>"4601992388619"</f>
        <v>4601992388619</v>
      </c>
      <c r="B8238" s="1" t="s">
        <v>8261</v>
      </c>
      <c r="C8238" s="1" t="s">
        <v>24</v>
      </c>
      <c r="D8238" s="1" t="str">
        <f t="shared" si="13903"/>
        <v>2021</v>
      </c>
      <c r="E8238" s="1" t="str">
        <f t="shared" ref="E8238:P8238" si="13949">"0"</f>
        <v>0</v>
      </c>
      <c r="F8238" s="1" t="str">
        <f t="shared" si="13949"/>
        <v>0</v>
      </c>
      <c r="G8238" s="1" t="str">
        <f t="shared" si="13949"/>
        <v>0</v>
      </c>
      <c r="H8238" s="1" t="str">
        <f t="shared" si="13949"/>
        <v>0</v>
      </c>
      <c r="I8238" s="1" t="str">
        <f t="shared" si="13949"/>
        <v>0</v>
      </c>
      <c r="J8238" s="1" t="str">
        <f t="shared" si="13949"/>
        <v>0</v>
      </c>
      <c r="K8238" s="1" t="str">
        <f t="shared" si="13949"/>
        <v>0</v>
      </c>
      <c r="L8238" s="1" t="str">
        <f t="shared" si="13949"/>
        <v>0</v>
      </c>
      <c r="M8238" s="1" t="str">
        <f t="shared" si="13949"/>
        <v>0</v>
      </c>
      <c r="N8238" s="1" t="str">
        <f t="shared" si="13949"/>
        <v>0</v>
      </c>
      <c r="O8238" s="1" t="str">
        <f t="shared" si="13949"/>
        <v>0</v>
      </c>
      <c r="P8238" s="1" t="str">
        <f t="shared" si="13949"/>
        <v>0</v>
      </c>
      <c r="Q8238" s="1" t="str">
        <f t="shared" si="13905"/>
        <v>0.0070</v>
      </c>
      <c r="R8238" s="1" t="s">
        <v>25</v>
      </c>
      <c r="T8238" s="1" t="str">
        <f t="shared" si="13906"/>
        <v>0</v>
      </c>
      <c r="U8238" s="1" t="str">
        <f t="shared" si="13895"/>
        <v>0.0070</v>
      </c>
    </row>
    <row r="8239" s="1" customFormat="1" spans="1:21">
      <c r="A8239" s="1" t="str">
        <f>"4601992388621"</f>
        <v>4601992388621</v>
      </c>
      <c r="B8239" s="1" t="s">
        <v>8262</v>
      </c>
      <c r="C8239" s="1" t="s">
        <v>24</v>
      </c>
      <c r="D8239" s="1" t="str">
        <f t="shared" si="13903"/>
        <v>2021</v>
      </c>
      <c r="E8239" s="1" t="str">
        <f t="shared" ref="E8239:P8239" si="13950">"0"</f>
        <v>0</v>
      </c>
      <c r="F8239" s="1" t="str">
        <f t="shared" si="13950"/>
        <v>0</v>
      </c>
      <c r="G8239" s="1" t="str">
        <f t="shared" si="13950"/>
        <v>0</v>
      </c>
      <c r="H8239" s="1" t="str">
        <f t="shared" si="13950"/>
        <v>0</v>
      </c>
      <c r="I8239" s="1" t="str">
        <f t="shared" si="13950"/>
        <v>0</v>
      </c>
      <c r="J8239" s="1" t="str">
        <f t="shared" si="13950"/>
        <v>0</v>
      </c>
      <c r="K8239" s="1" t="str">
        <f t="shared" si="13950"/>
        <v>0</v>
      </c>
      <c r="L8239" s="1" t="str">
        <f t="shared" si="13950"/>
        <v>0</v>
      </c>
      <c r="M8239" s="1" t="str">
        <f t="shared" si="13950"/>
        <v>0</v>
      </c>
      <c r="N8239" s="1" t="str">
        <f t="shared" si="13950"/>
        <v>0</v>
      </c>
      <c r="O8239" s="1" t="str">
        <f t="shared" si="13950"/>
        <v>0</v>
      </c>
      <c r="P8239" s="1" t="str">
        <f t="shared" si="13950"/>
        <v>0</v>
      </c>
      <c r="Q8239" s="1" t="str">
        <f t="shared" si="13905"/>
        <v>0.0070</v>
      </c>
      <c r="R8239" s="1" t="s">
        <v>25</v>
      </c>
      <c r="T8239" s="1" t="str">
        <f t="shared" si="13906"/>
        <v>0</v>
      </c>
      <c r="U8239" s="1" t="str">
        <f t="shared" si="13895"/>
        <v>0.0070</v>
      </c>
    </row>
    <row r="8240" s="1" customFormat="1" spans="1:21">
      <c r="A8240" s="1" t="str">
        <f>"4601992388632"</f>
        <v>4601992388632</v>
      </c>
      <c r="B8240" s="1" t="s">
        <v>8263</v>
      </c>
      <c r="C8240" s="1" t="s">
        <v>24</v>
      </c>
      <c r="D8240" s="1" t="str">
        <f t="shared" si="13903"/>
        <v>2021</v>
      </c>
      <c r="E8240" s="1" t="str">
        <f t="shared" ref="E8240:P8240" si="13951">"0"</f>
        <v>0</v>
      </c>
      <c r="F8240" s="1" t="str">
        <f t="shared" si="13951"/>
        <v>0</v>
      </c>
      <c r="G8240" s="1" t="str">
        <f t="shared" si="13951"/>
        <v>0</v>
      </c>
      <c r="H8240" s="1" t="str">
        <f t="shared" si="13951"/>
        <v>0</v>
      </c>
      <c r="I8240" s="1" t="str">
        <f t="shared" si="13951"/>
        <v>0</v>
      </c>
      <c r="J8240" s="1" t="str">
        <f t="shared" si="13951"/>
        <v>0</v>
      </c>
      <c r="K8240" s="1" t="str">
        <f t="shared" si="13951"/>
        <v>0</v>
      </c>
      <c r="L8240" s="1" t="str">
        <f t="shared" si="13951"/>
        <v>0</v>
      </c>
      <c r="M8240" s="1" t="str">
        <f t="shared" si="13951"/>
        <v>0</v>
      </c>
      <c r="N8240" s="1" t="str">
        <f t="shared" si="13951"/>
        <v>0</v>
      </c>
      <c r="O8240" s="1" t="str">
        <f t="shared" si="13951"/>
        <v>0</v>
      </c>
      <c r="P8240" s="1" t="str">
        <f t="shared" si="13951"/>
        <v>0</v>
      </c>
      <c r="Q8240" s="1" t="str">
        <f t="shared" si="13905"/>
        <v>0.0070</v>
      </c>
      <c r="R8240" s="1" t="s">
        <v>25</v>
      </c>
      <c r="T8240" s="1" t="str">
        <f t="shared" si="13906"/>
        <v>0</v>
      </c>
      <c r="U8240" s="1" t="str">
        <f t="shared" si="13895"/>
        <v>0.0070</v>
      </c>
    </row>
    <row r="8241" s="1" customFormat="1" spans="1:21">
      <c r="A8241" s="1" t="str">
        <f>"4601992388644"</f>
        <v>4601992388644</v>
      </c>
      <c r="B8241" s="1" t="s">
        <v>8264</v>
      </c>
      <c r="C8241" s="1" t="s">
        <v>24</v>
      </c>
      <c r="D8241" s="1" t="str">
        <f t="shared" si="13903"/>
        <v>2021</v>
      </c>
      <c r="E8241" s="1" t="str">
        <f t="shared" ref="E8241:P8241" si="13952">"0"</f>
        <v>0</v>
      </c>
      <c r="F8241" s="1" t="str">
        <f t="shared" si="13952"/>
        <v>0</v>
      </c>
      <c r="G8241" s="1" t="str">
        <f t="shared" si="13952"/>
        <v>0</v>
      </c>
      <c r="H8241" s="1" t="str">
        <f t="shared" si="13952"/>
        <v>0</v>
      </c>
      <c r="I8241" s="1" t="str">
        <f t="shared" si="13952"/>
        <v>0</v>
      </c>
      <c r="J8241" s="1" t="str">
        <f t="shared" si="13952"/>
        <v>0</v>
      </c>
      <c r="K8241" s="1" t="str">
        <f t="shared" si="13952"/>
        <v>0</v>
      </c>
      <c r="L8241" s="1" t="str">
        <f t="shared" si="13952"/>
        <v>0</v>
      </c>
      <c r="M8241" s="1" t="str">
        <f t="shared" si="13952"/>
        <v>0</v>
      </c>
      <c r="N8241" s="1" t="str">
        <f t="shared" si="13952"/>
        <v>0</v>
      </c>
      <c r="O8241" s="1" t="str">
        <f t="shared" si="13952"/>
        <v>0</v>
      </c>
      <c r="P8241" s="1" t="str">
        <f t="shared" si="13952"/>
        <v>0</v>
      </c>
      <c r="Q8241" s="1" t="str">
        <f t="shared" si="13905"/>
        <v>0.0070</v>
      </c>
      <c r="R8241" s="1" t="s">
        <v>25</v>
      </c>
      <c r="T8241" s="1" t="str">
        <f t="shared" si="13906"/>
        <v>0</v>
      </c>
      <c r="U8241" s="1" t="str">
        <f t="shared" si="13895"/>
        <v>0.0070</v>
      </c>
    </row>
    <row r="8242" s="1" customFormat="1" spans="1:21">
      <c r="A8242" s="1" t="str">
        <f>"4601992388820"</f>
        <v>4601992388820</v>
      </c>
      <c r="B8242" s="1" t="s">
        <v>8265</v>
      </c>
      <c r="C8242" s="1" t="s">
        <v>24</v>
      </c>
      <c r="D8242" s="1" t="str">
        <f t="shared" si="13903"/>
        <v>2021</v>
      </c>
      <c r="E8242" s="1" t="str">
        <f t="shared" ref="E8242:P8242" si="13953">"0"</f>
        <v>0</v>
      </c>
      <c r="F8242" s="1" t="str">
        <f t="shared" si="13953"/>
        <v>0</v>
      </c>
      <c r="G8242" s="1" t="str">
        <f t="shared" si="13953"/>
        <v>0</v>
      </c>
      <c r="H8242" s="1" t="str">
        <f t="shared" si="13953"/>
        <v>0</v>
      </c>
      <c r="I8242" s="1" t="str">
        <f t="shared" si="13953"/>
        <v>0</v>
      </c>
      <c r="J8242" s="1" t="str">
        <f t="shared" si="13953"/>
        <v>0</v>
      </c>
      <c r="K8242" s="1" t="str">
        <f t="shared" si="13953"/>
        <v>0</v>
      </c>
      <c r="L8242" s="1" t="str">
        <f t="shared" si="13953"/>
        <v>0</v>
      </c>
      <c r="M8242" s="1" t="str">
        <f t="shared" si="13953"/>
        <v>0</v>
      </c>
      <c r="N8242" s="1" t="str">
        <f t="shared" si="13953"/>
        <v>0</v>
      </c>
      <c r="O8242" s="1" t="str">
        <f t="shared" si="13953"/>
        <v>0</v>
      </c>
      <c r="P8242" s="1" t="str">
        <f t="shared" si="13953"/>
        <v>0</v>
      </c>
      <c r="Q8242" s="1" t="str">
        <f t="shared" si="13905"/>
        <v>0.0070</v>
      </c>
      <c r="R8242" s="1" t="s">
        <v>25</v>
      </c>
      <c r="T8242" s="1" t="str">
        <f t="shared" si="13906"/>
        <v>0</v>
      </c>
      <c r="U8242" s="1" t="str">
        <f t="shared" si="13895"/>
        <v>0.0070</v>
      </c>
    </row>
    <row r="8243" s="1" customFormat="1" spans="1:21">
      <c r="A8243" s="1" t="str">
        <f>"4601992388965"</f>
        <v>4601992388965</v>
      </c>
      <c r="B8243" s="1" t="s">
        <v>8266</v>
      </c>
      <c r="C8243" s="1" t="s">
        <v>24</v>
      </c>
      <c r="D8243" s="1" t="str">
        <f t="shared" si="13903"/>
        <v>2021</v>
      </c>
      <c r="E8243" s="1" t="str">
        <f t="shared" ref="E8243:P8243" si="13954">"0"</f>
        <v>0</v>
      </c>
      <c r="F8243" s="1" t="str">
        <f t="shared" si="13954"/>
        <v>0</v>
      </c>
      <c r="G8243" s="1" t="str">
        <f t="shared" si="13954"/>
        <v>0</v>
      </c>
      <c r="H8243" s="1" t="str">
        <f t="shared" si="13954"/>
        <v>0</v>
      </c>
      <c r="I8243" s="1" t="str">
        <f t="shared" si="13954"/>
        <v>0</v>
      </c>
      <c r="J8243" s="1" t="str">
        <f t="shared" si="13954"/>
        <v>0</v>
      </c>
      <c r="K8243" s="1" t="str">
        <f t="shared" si="13954"/>
        <v>0</v>
      </c>
      <c r="L8243" s="1" t="str">
        <f t="shared" si="13954"/>
        <v>0</v>
      </c>
      <c r="M8243" s="1" t="str">
        <f t="shared" si="13954"/>
        <v>0</v>
      </c>
      <c r="N8243" s="1" t="str">
        <f t="shared" si="13954"/>
        <v>0</v>
      </c>
      <c r="O8243" s="1" t="str">
        <f t="shared" si="13954"/>
        <v>0</v>
      </c>
      <c r="P8243" s="1" t="str">
        <f t="shared" si="13954"/>
        <v>0</v>
      </c>
      <c r="Q8243" s="1" t="str">
        <f t="shared" si="13905"/>
        <v>0.0070</v>
      </c>
      <c r="R8243" s="1" t="s">
        <v>25</v>
      </c>
      <c r="T8243" s="1" t="str">
        <f t="shared" si="13906"/>
        <v>0</v>
      </c>
      <c r="U8243" s="1" t="str">
        <f t="shared" si="13895"/>
        <v>0.0070</v>
      </c>
    </row>
    <row r="8244" s="1" customFormat="1" spans="1:21">
      <c r="A8244" s="1" t="str">
        <f>"4601992389264"</f>
        <v>4601992389264</v>
      </c>
      <c r="B8244" s="1" t="s">
        <v>8267</v>
      </c>
      <c r="C8244" s="1" t="s">
        <v>24</v>
      </c>
      <c r="D8244" s="1" t="str">
        <f t="shared" si="13903"/>
        <v>2021</v>
      </c>
      <c r="E8244" s="1" t="str">
        <f t="shared" ref="E8244:P8244" si="13955">"0"</f>
        <v>0</v>
      </c>
      <c r="F8244" s="1" t="str">
        <f t="shared" si="13955"/>
        <v>0</v>
      </c>
      <c r="G8244" s="1" t="str">
        <f t="shared" si="13955"/>
        <v>0</v>
      </c>
      <c r="H8244" s="1" t="str">
        <f t="shared" si="13955"/>
        <v>0</v>
      </c>
      <c r="I8244" s="1" t="str">
        <f t="shared" si="13955"/>
        <v>0</v>
      </c>
      <c r="J8244" s="1" t="str">
        <f t="shared" si="13955"/>
        <v>0</v>
      </c>
      <c r="K8244" s="1" t="str">
        <f t="shared" si="13955"/>
        <v>0</v>
      </c>
      <c r="L8244" s="1" t="str">
        <f t="shared" si="13955"/>
        <v>0</v>
      </c>
      <c r="M8244" s="1" t="str">
        <f t="shared" si="13955"/>
        <v>0</v>
      </c>
      <c r="N8244" s="1" t="str">
        <f t="shared" si="13955"/>
        <v>0</v>
      </c>
      <c r="O8244" s="1" t="str">
        <f t="shared" si="13955"/>
        <v>0</v>
      </c>
      <c r="P8244" s="1" t="str">
        <f t="shared" si="13955"/>
        <v>0</v>
      </c>
      <c r="Q8244" s="1" t="str">
        <f t="shared" si="13905"/>
        <v>0.0070</v>
      </c>
      <c r="R8244" s="1" t="s">
        <v>25</v>
      </c>
      <c r="T8244" s="1" t="str">
        <f t="shared" si="13906"/>
        <v>0</v>
      </c>
      <c r="U8244" s="1" t="str">
        <f t="shared" si="13895"/>
        <v>0.0070</v>
      </c>
    </row>
    <row r="8245" s="1" customFormat="1" spans="1:21">
      <c r="A8245" s="1" t="str">
        <f>"4601992388994"</f>
        <v>4601992388994</v>
      </c>
      <c r="B8245" s="1" t="s">
        <v>8268</v>
      </c>
      <c r="C8245" s="1" t="s">
        <v>24</v>
      </c>
      <c r="D8245" s="1" t="str">
        <f t="shared" si="13903"/>
        <v>2021</v>
      </c>
      <c r="E8245" s="1" t="str">
        <f t="shared" ref="E8245:P8245" si="13956">"0"</f>
        <v>0</v>
      </c>
      <c r="F8245" s="1" t="str">
        <f t="shared" si="13956"/>
        <v>0</v>
      </c>
      <c r="G8245" s="1" t="str">
        <f t="shared" si="13956"/>
        <v>0</v>
      </c>
      <c r="H8245" s="1" t="str">
        <f t="shared" si="13956"/>
        <v>0</v>
      </c>
      <c r="I8245" s="1" t="str">
        <f t="shared" si="13956"/>
        <v>0</v>
      </c>
      <c r="J8245" s="1" t="str">
        <f t="shared" si="13956"/>
        <v>0</v>
      </c>
      <c r="K8245" s="1" t="str">
        <f t="shared" si="13956"/>
        <v>0</v>
      </c>
      <c r="L8245" s="1" t="str">
        <f t="shared" si="13956"/>
        <v>0</v>
      </c>
      <c r="M8245" s="1" t="str">
        <f t="shared" si="13956"/>
        <v>0</v>
      </c>
      <c r="N8245" s="1" t="str">
        <f t="shared" si="13956"/>
        <v>0</v>
      </c>
      <c r="O8245" s="1" t="str">
        <f t="shared" si="13956"/>
        <v>0</v>
      </c>
      <c r="P8245" s="1" t="str">
        <f t="shared" si="13956"/>
        <v>0</v>
      </c>
      <c r="Q8245" s="1" t="str">
        <f t="shared" si="13905"/>
        <v>0.0070</v>
      </c>
      <c r="R8245" s="1" t="s">
        <v>25</v>
      </c>
      <c r="T8245" s="1" t="str">
        <f t="shared" si="13906"/>
        <v>0</v>
      </c>
      <c r="U8245" s="1" t="str">
        <f t="shared" si="13895"/>
        <v>0.0070</v>
      </c>
    </row>
    <row r="8246" s="1" customFormat="1" spans="1:21">
      <c r="A8246" s="1" t="str">
        <f>"4601992389319"</f>
        <v>4601992389319</v>
      </c>
      <c r="B8246" s="1" t="s">
        <v>8269</v>
      </c>
      <c r="C8246" s="1" t="s">
        <v>24</v>
      </c>
      <c r="D8246" s="1" t="str">
        <f t="shared" si="13903"/>
        <v>2021</v>
      </c>
      <c r="E8246" s="1" t="str">
        <f t="shared" ref="E8246:P8246" si="13957">"0"</f>
        <v>0</v>
      </c>
      <c r="F8246" s="1" t="str">
        <f t="shared" si="13957"/>
        <v>0</v>
      </c>
      <c r="G8246" s="1" t="str">
        <f t="shared" si="13957"/>
        <v>0</v>
      </c>
      <c r="H8246" s="1" t="str">
        <f t="shared" si="13957"/>
        <v>0</v>
      </c>
      <c r="I8246" s="1" t="str">
        <f t="shared" si="13957"/>
        <v>0</v>
      </c>
      <c r="J8246" s="1" t="str">
        <f t="shared" si="13957"/>
        <v>0</v>
      </c>
      <c r="K8246" s="1" t="str">
        <f t="shared" si="13957"/>
        <v>0</v>
      </c>
      <c r="L8246" s="1" t="str">
        <f t="shared" si="13957"/>
        <v>0</v>
      </c>
      <c r="M8246" s="1" t="str">
        <f t="shared" si="13957"/>
        <v>0</v>
      </c>
      <c r="N8246" s="1" t="str">
        <f t="shared" si="13957"/>
        <v>0</v>
      </c>
      <c r="O8246" s="1" t="str">
        <f t="shared" si="13957"/>
        <v>0</v>
      </c>
      <c r="P8246" s="1" t="str">
        <f t="shared" si="13957"/>
        <v>0</v>
      </c>
      <c r="Q8246" s="1" t="str">
        <f t="shared" si="13905"/>
        <v>0.0070</v>
      </c>
      <c r="R8246" s="1" t="s">
        <v>25</v>
      </c>
      <c r="T8246" s="1" t="str">
        <f t="shared" si="13906"/>
        <v>0</v>
      </c>
      <c r="U8246" s="1" t="str">
        <f t="shared" si="13895"/>
        <v>0.0070</v>
      </c>
    </row>
    <row r="8247" s="1" customFormat="1" spans="1:21">
      <c r="A8247" s="1" t="str">
        <f>"4601992389372"</f>
        <v>4601992389372</v>
      </c>
      <c r="B8247" s="1" t="s">
        <v>8270</v>
      </c>
      <c r="C8247" s="1" t="s">
        <v>24</v>
      </c>
      <c r="D8247" s="1" t="str">
        <f t="shared" si="13903"/>
        <v>2021</v>
      </c>
      <c r="E8247" s="1" t="str">
        <f t="shared" ref="E8247:P8247" si="13958">"0"</f>
        <v>0</v>
      </c>
      <c r="F8247" s="1" t="str">
        <f t="shared" si="13958"/>
        <v>0</v>
      </c>
      <c r="G8247" s="1" t="str">
        <f t="shared" si="13958"/>
        <v>0</v>
      </c>
      <c r="H8247" s="1" t="str">
        <f t="shared" si="13958"/>
        <v>0</v>
      </c>
      <c r="I8247" s="1" t="str">
        <f t="shared" si="13958"/>
        <v>0</v>
      </c>
      <c r="J8247" s="1" t="str">
        <f t="shared" si="13958"/>
        <v>0</v>
      </c>
      <c r="K8247" s="1" t="str">
        <f t="shared" si="13958"/>
        <v>0</v>
      </c>
      <c r="L8247" s="1" t="str">
        <f t="shared" si="13958"/>
        <v>0</v>
      </c>
      <c r="M8247" s="1" t="str">
        <f t="shared" si="13958"/>
        <v>0</v>
      </c>
      <c r="N8247" s="1" t="str">
        <f t="shared" si="13958"/>
        <v>0</v>
      </c>
      <c r="O8247" s="1" t="str">
        <f t="shared" si="13958"/>
        <v>0</v>
      </c>
      <c r="P8247" s="1" t="str">
        <f t="shared" si="13958"/>
        <v>0</v>
      </c>
      <c r="Q8247" s="1" t="str">
        <f t="shared" si="13905"/>
        <v>0.0070</v>
      </c>
      <c r="R8247" s="1" t="s">
        <v>25</v>
      </c>
      <c r="T8247" s="1" t="str">
        <f t="shared" si="13906"/>
        <v>0</v>
      </c>
      <c r="U8247" s="1" t="str">
        <f t="shared" si="13895"/>
        <v>0.0070</v>
      </c>
    </row>
    <row r="8248" s="1" customFormat="1" spans="1:21">
      <c r="A8248" s="1" t="str">
        <f>"4601992389673"</f>
        <v>4601992389673</v>
      </c>
      <c r="B8248" s="1" t="s">
        <v>8271</v>
      </c>
      <c r="C8248" s="1" t="s">
        <v>24</v>
      </c>
      <c r="D8248" s="1" t="str">
        <f t="shared" si="13903"/>
        <v>2021</v>
      </c>
      <c r="E8248" s="1" t="str">
        <f t="shared" ref="E8248:P8248" si="13959">"0"</f>
        <v>0</v>
      </c>
      <c r="F8248" s="1" t="str">
        <f t="shared" si="13959"/>
        <v>0</v>
      </c>
      <c r="G8248" s="1" t="str">
        <f t="shared" si="13959"/>
        <v>0</v>
      </c>
      <c r="H8248" s="1" t="str">
        <f t="shared" si="13959"/>
        <v>0</v>
      </c>
      <c r="I8248" s="1" t="str">
        <f t="shared" si="13959"/>
        <v>0</v>
      </c>
      <c r="J8248" s="1" t="str">
        <f t="shared" si="13959"/>
        <v>0</v>
      </c>
      <c r="K8248" s="1" t="str">
        <f t="shared" si="13959"/>
        <v>0</v>
      </c>
      <c r="L8248" s="1" t="str">
        <f t="shared" si="13959"/>
        <v>0</v>
      </c>
      <c r="M8248" s="1" t="str">
        <f t="shared" si="13959"/>
        <v>0</v>
      </c>
      <c r="N8248" s="1" t="str">
        <f t="shared" si="13959"/>
        <v>0</v>
      </c>
      <c r="O8248" s="1" t="str">
        <f t="shared" si="13959"/>
        <v>0</v>
      </c>
      <c r="P8248" s="1" t="str">
        <f t="shared" si="13959"/>
        <v>0</v>
      </c>
      <c r="Q8248" s="1" t="str">
        <f t="shared" si="13905"/>
        <v>0.0070</v>
      </c>
      <c r="R8248" s="1" t="s">
        <v>25</v>
      </c>
      <c r="T8248" s="1" t="str">
        <f t="shared" si="13906"/>
        <v>0</v>
      </c>
      <c r="U8248" s="1" t="str">
        <f t="shared" si="13895"/>
        <v>0.0070</v>
      </c>
    </row>
    <row r="8249" s="1" customFormat="1" spans="1:21">
      <c r="A8249" s="1" t="str">
        <f>"4601992389535"</f>
        <v>4601992389535</v>
      </c>
      <c r="B8249" s="1" t="s">
        <v>8272</v>
      </c>
      <c r="C8249" s="1" t="s">
        <v>24</v>
      </c>
      <c r="D8249" s="1" t="str">
        <f t="shared" si="13903"/>
        <v>2021</v>
      </c>
      <c r="E8249" s="1" t="str">
        <f t="shared" ref="E8249:P8249" si="13960">"0"</f>
        <v>0</v>
      </c>
      <c r="F8249" s="1" t="str">
        <f t="shared" si="13960"/>
        <v>0</v>
      </c>
      <c r="G8249" s="1" t="str">
        <f t="shared" si="13960"/>
        <v>0</v>
      </c>
      <c r="H8249" s="1" t="str">
        <f t="shared" si="13960"/>
        <v>0</v>
      </c>
      <c r="I8249" s="1" t="str">
        <f t="shared" si="13960"/>
        <v>0</v>
      </c>
      <c r="J8249" s="1" t="str">
        <f t="shared" si="13960"/>
        <v>0</v>
      </c>
      <c r="K8249" s="1" t="str">
        <f t="shared" si="13960"/>
        <v>0</v>
      </c>
      <c r="L8249" s="1" t="str">
        <f t="shared" si="13960"/>
        <v>0</v>
      </c>
      <c r="M8249" s="1" t="str">
        <f t="shared" si="13960"/>
        <v>0</v>
      </c>
      <c r="N8249" s="1" t="str">
        <f t="shared" si="13960"/>
        <v>0</v>
      </c>
      <c r="O8249" s="1" t="str">
        <f t="shared" si="13960"/>
        <v>0</v>
      </c>
      <c r="P8249" s="1" t="str">
        <f t="shared" si="13960"/>
        <v>0</v>
      </c>
      <c r="Q8249" s="1" t="str">
        <f t="shared" si="13905"/>
        <v>0.0070</v>
      </c>
      <c r="R8249" s="1" t="s">
        <v>25</v>
      </c>
      <c r="T8249" s="1" t="str">
        <f t="shared" si="13906"/>
        <v>0</v>
      </c>
      <c r="U8249" s="1" t="str">
        <f t="shared" si="13895"/>
        <v>0.0070</v>
      </c>
    </row>
    <row r="8250" s="1" customFormat="1" spans="1:21">
      <c r="A8250" s="1" t="str">
        <f>"4601992389756"</f>
        <v>4601992389756</v>
      </c>
      <c r="B8250" s="1" t="s">
        <v>8273</v>
      </c>
      <c r="C8250" s="1" t="s">
        <v>24</v>
      </c>
      <c r="D8250" s="1" t="str">
        <f t="shared" si="13903"/>
        <v>2021</v>
      </c>
      <c r="E8250" s="1" t="str">
        <f t="shared" ref="E8250:P8250" si="13961">"0"</f>
        <v>0</v>
      </c>
      <c r="F8250" s="1" t="str">
        <f t="shared" si="13961"/>
        <v>0</v>
      </c>
      <c r="G8250" s="1" t="str">
        <f t="shared" si="13961"/>
        <v>0</v>
      </c>
      <c r="H8250" s="1" t="str">
        <f t="shared" si="13961"/>
        <v>0</v>
      </c>
      <c r="I8250" s="1" t="str">
        <f t="shared" si="13961"/>
        <v>0</v>
      </c>
      <c r="J8250" s="1" t="str">
        <f t="shared" si="13961"/>
        <v>0</v>
      </c>
      <c r="K8250" s="1" t="str">
        <f t="shared" si="13961"/>
        <v>0</v>
      </c>
      <c r="L8250" s="1" t="str">
        <f t="shared" si="13961"/>
        <v>0</v>
      </c>
      <c r="M8250" s="1" t="str">
        <f t="shared" si="13961"/>
        <v>0</v>
      </c>
      <c r="N8250" s="1" t="str">
        <f t="shared" si="13961"/>
        <v>0</v>
      </c>
      <c r="O8250" s="1" t="str">
        <f t="shared" si="13961"/>
        <v>0</v>
      </c>
      <c r="P8250" s="1" t="str">
        <f t="shared" si="13961"/>
        <v>0</v>
      </c>
      <c r="Q8250" s="1" t="str">
        <f t="shared" si="13905"/>
        <v>0.0070</v>
      </c>
      <c r="R8250" s="1" t="s">
        <v>25</v>
      </c>
      <c r="T8250" s="1" t="str">
        <f t="shared" si="13906"/>
        <v>0</v>
      </c>
      <c r="U8250" s="1" t="str">
        <f t="shared" si="13895"/>
        <v>0.0070</v>
      </c>
    </row>
    <row r="8251" s="1" customFormat="1" spans="1:21">
      <c r="A8251" s="1" t="str">
        <f>"4601992389791"</f>
        <v>4601992389791</v>
      </c>
      <c r="B8251" s="1" t="s">
        <v>8274</v>
      </c>
      <c r="C8251" s="1" t="s">
        <v>24</v>
      </c>
      <c r="D8251" s="1" t="str">
        <f t="shared" si="13903"/>
        <v>2021</v>
      </c>
      <c r="E8251" s="1" t="str">
        <f t="shared" ref="E8251:P8251" si="13962">"0"</f>
        <v>0</v>
      </c>
      <c r="F8251" s="1" t="str">
        <f t="shared" si="13962"/>
        <v>0</v>
      </c>
      <c r="G8251" s="1" t="str">
        <f t="shared" si="13962"/>
        <v>0</v>
      </c>
      <c r="H8251" s="1" t="str">
        <f t="shared" si="13962"/>
        <v>0</v>
      </c>
      <c r="I8251" s="1" t="str">
        <f t="shared" si="13962"/>
        <v>0</v>
      </c>
      <c r="J8251" s="1" t="str">
        <f t="shared" si="13962"/>
        <v>0</v>
      </c>
      <c r="K8251" s="1" t="str">
        <f t="shared" si="13962"/>
        <v>0</v>
      </c>
      <c r="L8251" s="1" t="str">
        <f t="shared" si="13962"/>
        <v>0</v>
      </c>
      <c r="M8251" s="1" t="str">
        <f t="shared" si="13962"/>
        <v>0</v>
      </c>
      <c r="N8251" s="1" t="str">
        <f t="shared" si="13962"/>
        <v>0</v>
      </c>
      <c r="O8251" s="1" t="str">
        <f t="shared" si="13962"/>
        <v>0</v>
      </c>
      <c r="P8251" s="1" t="str">
        <f t="shared" si="13962"/>
        <v>0</v>
      </c>
      <c r="Q8251" s="1" t="str">
        <f t="shared" si="13905"/>
        <v>0.0070</v>
      </c>
      <c r="R8251" s="1" t="s">
        <v>25</v>
      </c>
      <c r="T8251" s="1" t="str">
        <f t="shared" si="13906"/>
        <v>0</v>
      </c>
      <c r="U8251" s="1" t="str">
        <f t="shared" si="13895"/>
        <v>0.0070</v>
      </c>
    </row>
    <row r="8252" s="1" customFormat="1" spans="1:21">
      <c r="A8252" s="1" t="str">
        <f>"4601992389843"</f>
        <v>4601992389843</v>
      </c>
      <c r="B8252" s="1" t="s">
        <v>8275</v>
      </c>
      <c r="C8252" s="1" t="s">
        <v>24</v>
      </c>
      <c r="D8252" s="1" t="str">
        <f t="shared" si="13903"/>
        <v>2021</v>
      </c>
      <c r="E8252" s="1" t="str">
        <f t="shared" ref="E8252:P8252" si="13963">"0"</f>
        <v>0</v>
      </c>
      <c r="F8252" s="1" t="str">
        <f t="shared" si="13963"/>
        <v>0</v>
      </c>
      <c r="G8252" s="1" t="str">
        <f t="shared" si="13963"/>
        <v>0</v>
      </c>
      <c r="H8252" s="1" t="str">
        <f t="shared" si="13963"/>
        <v>0</v>
      </c>
      <c r="I8252" s="1" t="str">
        <f t="shared" si="13963"/>
        <v>0</v>
      </c>
      <c r="J8252" s="1" t="str">
        <f t="shared" si="13963"/>
        <v>0</v>
      </c>
      <c r="K8252" s="1" t="str">
        <f t="shared" si="13963"/>
        <v>0</v>
      </c>
      <c r="L8252" s="1" t="str">
        <f t="shared" si="13963"/>
        <v>0</v>
      </c>
      <c r="M8252" s="1" t="str">
        <f t="shared" si="13963"/>
        <v>0</v>
      </c>
      <c r="N8252" s="1" t="str">
        <f t="shared" si="13963"/>
        <v>0</v>
      </c>
      <c r="O8252" s="1" t="str">
        <f t="shared" si="13963"/>
        <v>0</v>
      </c>
      <c r="P8252" s="1" t="str">
        <f t="shared" si="13963"/>
        <v>0</v>
      </c>
      <c r="Q8252" s="1" t="str">
        <f t="shared" si="13905"/>
        <v>0.0070</v>
      </c>
      <c r="R8252" s="1" t="s">
        <v>25</v>
      </c>
      <c r="T8252" s="1" t="str">
        <f t="shared" si="13906"/>
        <v>0</v>
      </c>
      <c r="U8252" s="1" t="str">
        <f t="shared" ref="U8252:U8307" si="13964">"0.0070"</f>
        <v>0.0070</v>
      </c>
    </row>
    <row r="8253" s="1" customFormat="1" spans="1:21">
      <c r="A8253" s="1" t="str">
        <f>"4601992390010"</f>
        <v>4601992390010</v>
      </c>
      <c r="B8253" s="1" t="s">
        <v>8276</v>
      </c>
      <c r="C8253" s="1" t="s">
        <v>24</v>
      </c>
      <c r="D8253" s="1" t="str">
        <f t="shared" si="13903"/>
        <v>2021</v>
      </c>
      <c r="E8253" s="1" t="str">
        <f t="shared" ref="E8253:P8253" si="13965">"0"</f>
        <v>0</v>
      </c>
      <c r="F8253" s="1" t="str">
        <f t="shared" si="13965"/>
        <v>0</v>
      </c>
      <c r="G8253" s="1" t="str">
        <f t="shared" si="13965"/>
        <v>0</v>
      </c>
      <c r="H8253" s="1" t="str">
        <f t="shared" si="13965"/>
        <v>0</v>
      </c>
      <c r="I8253" s="1" t="str">
        <f t="shared" si="13965"/>
        <v>0</v>
      </c>
      <c r="J8253" s="1" t="str">
        <f t="shared" si="13965"/>
        <v>0</v>
      </c>
      <c r="K8253" s="1" t="str">
        <f t="shared" si="13965"/>
        <v>0</v>
      </c>
      <c r="L8253" s="1" t="str">
        <f t="shared" si="13965"/>
        <v>0</v>
      </c>
      <c r="M8253" s="1" t="str">
        <f t="shared" si="13965"/>
        <v>0</v>
      </c>
      <c r="N8253" s="1" t="str">
        <f t="shared" si="13965"/>
        <v>0</v>
      </c>
      <c r="O8253" s="1" t="str">
        <f t="shared" si="13965"/>
        <v>0</v>
      </c>
      <c r="P8253" s="1" t="str">
        <f t="shared" si="13965"/>
        <v>0</v>
      </c>
      <c r="Q8253" s="1" t="str">
        <f t="shared" si="13905"/>
        <v>0.0070</v>
      </c>
      <c r="R8253" s="1" t="s">
        <v>25</v>
      </c>
      <c r="T8253" s="1" t="str">
        <f t="shared" si="13906"/>
        <v>0</v>
      </c>
      <c r="U8253" s="1" t="str">
        <f t="shared" si="13964"/>
        <v>0.0070</v>
      </c>
    </row>
    <row r="8254" s="1" customFormat="1" spans="1:21">
      <c r="A8254" s="1" t="str">
        <f>"4601992390256"</f>
        <v>4601992390256</v>
      </c>
      <c r="B8254" s="1" t="s">
        <v>8277</v>
      </c>
      <c r="C8254" s="1" t="s">
        <v>24</v>
      </c>
      <c r="D8254" s="1" t="str">
        <f t="shared" si="13903"/>
        <v>2021</v>
      </c>
      <c r="E8254" s="1" t="str">
        <f t="shared" ref="E8254:P8254" si="13966">"0"</f>
        <v>0</v>
      </c>
      <c r="F8254" s="1" t="str">
        <f t="shared" si="13966"/>
        <v>0</v>
      </c>
      <c r="G8254" s="1" t="str">
        <f t="shared" si="13966"/>
        <v>0</v>
      </c>
      <c r="H8254" s="1" t="str">
        <f t="shared" si="13966"/>
        <v>0</v>
      </c>
      <c r="I8254" s="1" t="str">
        <f t="shared" si="13966"/>
        <v>0</v>
      </c>
      <c r="J8254" s="1" t="str">
        <f t="shared" si="13966"/>
        <v>0</v>
      </c>
      <c r="K8254" s="1" t="str">
        <f t="shared" si="13966"/>
        <v>0</v>
      </c>
      <c r="L8254" s="1" t="str">
        <f t="shared" si="13966"/>
        <v>0</v>
      </c>
      <c r="M8254" s="1" t="str">
        <f t="shared" si="13966"/>
        <v>0</v>
      </c>
      <c r="N8254" s="1" t="str">
        <f t="shared" si="13966"/>
        <v>0</v>
      </c>
      <c r="O8254" s="1" t="str">
        <f t="shared" si="13966"/>
        <v>0</v>
      </c>
      <c r="P8254" s="1" t="str">
        <f t="shared" si="13966"/>
        <v>0</v>
      </c>
      <c r="Q8254" s="1" t="str">
        <f t="shared" si="13905"/>
        <v>0.0070</v>
      </c>
      <c r="R8254" s="1" t="s">
        <v>25</v>
      </c>
      <c r="T8254" s="1" t="str">
        <f t="shared" si="13906"/>
        <v>0</v>
      </c>
      <c r="U8254" s="1" t="str">
        <f t="shared" si="13964"/>
        <v>0.0070</v>
      </c>
    </row>
    <row r="8255" s="1" customFormat="1" spans="1:21">
      <c r="A8255" s="1" t="str">
        <f>"4601992390543"</f>
        <v>4601992390543</v>
      </c>
      <c r="B8255" s="1" t="s">
        <v>8278</v>
      </c>
      <c r="C8255" s="1" t="s">
        <v>24</v>
      </c>
      <c r="D8255" s="1" t="str">
        <f t="shared" si="13903"/>
        <v>2021</v>
      </c>
      <c r="E8255" s="1" t="str">
        <f t="shared" ref="E8255:P8255" si="13967">"0"</f>
        <v>0</v>
      </c>
      <c r="F8255" s="1" t="str">
        <f t="shared" si="13967"/>
        <v>0</v>
      </c>
      <c r="G8255" s="1" t="str">
        <f t="shared" si="13967"/>
        <v>0</v>
      </c>
      <c r="H8255" s="1" t="str">
        <f t="shared" si="13967"/>
        <v>0</v>
      </c>
      <c r="I8255" s="1" t="str">
        <f t="shared" si="13967"/>
        <v>0</v>
      </c>
      <c r="J8255" s="1" t="str">
        <f t="shared" si="13967"/>
        <v>0</v>
      </c>
      <c r="K8255" s="1" t="str">
        <f t="shared" si="13967"/>
        <v>0</v>
      </c>
      <c r="L8255" s="1" t="str">
        <f t="shared" si="13967"/>
        <v>0</v>
      </c>
      <c r="M8255" s="1" t="str">
        <f t="shared" si="13967"/>
        <v>0</v>
      </c>
      <c r="N8255" s="1" t="str">
        <f t="shared" si="13967"/>
        <v>0</v>
      </c>
      <c r="O8255" s="1" t="str">
        <f t="shared" si="13967"/>
        <v>0</v>
      </c>
      <c r="P8255" s="1" t="str">
        <f t="shared" si="13967"/>
        <v>0</v>
      </c>
      <c r="Q8255" s="1" t="str">
        <f t="shared" si="13905"/>
        <v>0.0070</v>
      </c>
      <c r="R8255" s="1" t="s">
        <v>25</v>
      </c>
      <c r="T8255" s="1" t="str">
        <f t="shared" si="13906"/>
        <v>0</v>
      </c>
      <c r="U8255" s="1" t="str">
        <f t="shared" si="13964"/>
        <v>0.0070</v>
      </c>
    </row>
    <row r="8256" s="1" customFormat="1" spans="1:21">
      <c r="A8256" s="1" t="str">
        <f>"4601992390550"</f>
        <v>4601992390550</v>
      </c>
      <c r="B8256" s="1" t="s">
        <v>8279</v>
      </c>
      <c r="C8256" s="1" t="s">
        <v>24</v>
      </c>
      <c r="D8256" s="1" t="str">
        <f t="shared" si="13903"/>
        <v>2021</v>
      </c>
      <c r="E8256" s="1" t="str">
        <f t="shared" ref="E8256:P8256" si="13968">"0"</f>
        <v>0</v>
      </c>
      <c r="F8256" s="1" t="str">
        <f t="shared" si="13968"/>
        <v>0</v>
      </c>
      <c r="G8256" s="1" t="str">
        <f t="shared" si="13968"/>
        <v>0</v>
      </c>
      <c r="H8256" s="1" t="str">
        <f t="shared" si="13968"/>
        <v>0</v>
      </c>
      <c r="I8256" s="1" t="str">
        <f t="shared" si="13968"/>
        <v>0</v>
      </c>
      <c r="J8256" s="1" t="str">
        <f t="shared" si="13968"/>
        <v>0</v>
      </c>
      <c r="K8256" s="1" t="str">
        <f t="shared" si="13968"/>
        <v>0</v>
      </c>
      <c r="L8256" s="1" t="str">
        <f t="shared" si="13968"/>
        <v>0</v>
      </c>
      <c r="M8256" s="1" t="str">
        <f t="shared" si="13968"/>
        <v>0</v>
      </c>
      <c r="N8256" s="1" t="str">
        <f t="shared" si="13968"/>
        <v>0</v>
      </c>
      <c r="O8256" s="1" t="str">
        <f t="shared" si="13968"/>
        <v>0</v>
      </c>
      <c r="P8256" s="1" t="str">
        <f t="shared" si="13968"/>
        <v>0</v>
      </c>
      <c r="Q8256" s="1" t="str">
        <f t="shared" si="13905"/>
        <v>0.0070</v>
      </c>
      <c r="R8256" s="1" t="s">
        <v>25</v>
      </c>
      <c r="T8256" s="1" t="str">
        <f t="shared" si="13906"/>
        <v>0</v>
      </c>
      <c r="U8256" s="1" t="str">
        <f t="shared" si="13964"/>
        <v>0.0070</v>
      </c>
    </row>
    <row r="8257" s="1" customFormat="1" spans="1:21">
      <c r="A8257" s="1" t="str">
        <f>"4601992390642"</f>
        <v>4601992390642</v>
      </c>
      <c r="B8257" s="1" t="s">
        <v>8280</v>
      </c>
      <c r="C8257" s="1" t="s">
        <v>24</v>
      </c>
      <c r="D8257" s="1" t="str">
        <f t="shared" si="13903"/>
        <v>2021</v>
      </c>
      <c r="E8257" s="1" t="str">
        <f t="shared" ref="E8257:P8257" si="13969">"0"</f>
        <v>0</v>
      </c>
      <c r="F8257" s="1" t="str">
        <f t="shared" si="13969"/>
        <v>0</v>
      </c>
      <c r="G8257" s="1" t="str">
        <f t="shared" si="13969"/>
        <v>0</v>
      </c>
      <c r="H8257" s="1" t="str">
        <f t="shared" si="13969"/>
        <v>0</v>
      </c>
      <c r="I8257" s="1" t="str">
        <f t="shared" si="13969"/>
        <v>0</v>
      </c>
      <c r="J8257" s="1" t="str">
        <f t="shared" si="13969"/>
        <v>0</v>
      </c>
      <c r="K8257" s="1" t="str">
        <f t="shared" si="13969"/>
        <v>0</v>
      </c>
      <c r="L8257" s="1" t="str">
        <f t="shared" si="13969"/>
        <v>0</v>
      </c>
      <c r="M8257" s="1" t="str">
        <f t="shared" si="13969"/>
        <v>0</v>
      </c>
      <c r="N8257" s="1" t="str">
        <f t="shared" si="13969"/>
        <v>0</v>
      </c>
      <c r="O8257" s="1" t="str">
        <f t="shared" si="13969"/>
        <v>0</v>
      </c>
      <c r="P8257" s="1" t="str">
        <f t="shared" si="13969"/>
        <v>0</v>
      </c>
      <c r="Q8257" s="1" t="str">
        <f t="shared" si="13905"/>
        <v>0.0070</v>
      </c>
      <c r="R8257" s="1" t="s">
        <v>25</v>
      </c>
      <c r="T8257" s="1" t="str">
        <f t="shared" si="13906"/>
        <v>0</v>
      </c>
      <c r="U8257" s="1" t="str">
        <f t="shared" si="13964"/>
        <v>0.0070</v>
      </c>
    </row>
    <row r="8258" s="1" customFormat="1" spans="1:21">
      <c r="A8258" s="1" t="str">
        <f>"4601992390643"</f>
        <v>4601992390643</v>
      </c>
      <c r="B8258" s="1" t="s">
        <v>8281</v>
      </c>
      <c r="C8258" s="1" t="s">
        <v>24</v>
      </c>
      <c r="D8258" s="1" t="str">
        <f t="shared" si="13903"/>
        <v>2021</v>
      </c>
      <c r="E8258" s="1" t="str">
        <f t="shared" ref="E8258:P8258" si="13970">"0"</f>
        <v>0</v>
      </c>
      <c r="F8258" s="1" t="str">
        <f t="shared" si="13970"/>
        <v>0</v>
      </c>
      <c r="G8258" s="1" t="str">
        <f t="shared" si="13970"/>
        <v>0</v>
      </c>
      <c r="H8258" s="1" t="str">
        <f t="shared" si="13970"/>
        <v>0</v>
      </c>
      <c r="I8258" s="1" t="str">
        <f t="shared" si="13970"/>
        <v>0</v>
      </c>
      <c r="J8258" s="1" t="str">
        <f t="shared" si="13970"/>
        <v>0</v>
      </c>
      <c r="K8258" s="1" t="str">
        <f t="shared" si="13970"/>
        <v>0</v>
      </c>
      <c r="L8258" s="1" t="str">
        <f t="shared" si="13970"/>
        <v>0</v>
      </c>
      <c r="M8258" s="1" t="str">
        <f t="shared" si="13970"/>
        <v>0</v>
      </c>
      <c r="N8258" s="1" t="str">
        <f t="shared" si="13970"/>
        <v>0</v>
      </c>
      <c r="O8258" s="1" t="str">
        <f t="shared" si="13970"/>
        <v>0</v>
      </c>
      <c r="P8258" s="1" t="str">
        <f t="shared" si="13970"/>
        <v>0</v>
      </c>
      <c r="Q8258" s="1" t="str">
        <f t="shared" si="13905"/>
        <v>0.0070</v>
      </c>
      <c r="R8258" s="1" t="s">
        <v>25</v>
      </c>
      <c r="T8258" s="1" t="str">
        <f t="shared" si="13906"/>
        <v>0</v>
      </c>
      <c r="U8258" s="1" t="str">
        <f t="shared" si="13964"/>
        <v>0.0070</v>
      </c>
    </row>
    <row r="8259" s="1" customFormat="1" spans="1:21">
      <c r="A8259" s="1" t="str">
        <f>"4601992390686"</f>
        <v>4601992390686</v>
      </c>
      <c r="B8259" s="1" t="s">
        <v>8282</v>
      </c>
      <c r="C8259" s="1" t="s">
        <v>24</v>
      </c>
      <c r="D8259" s="1" t="str">
        <f t="shared" ref="D8259:D8311" si="13971">"2021"</f>
        <v>2021</v>
      </c>
      <c r="E8259" s="1" t="str">
        <f t="shared" ref="E8259:P8259" si="13972">"0"</f>
        <v>0</v>
      </c>
      <c r="F8259" s="1" t="str">
        <f t="shared" si="13972"/>
        <v>0</v>
      </c>
      <c r="G8259" s="1" t="str">
        <f t="shared" si="13972"/>
        <v>0</v>
      </c>
      <c r="H8259" s="1" t="str">
        <f t="shared" si="13972"/>
        <v>0</v>
      </c>
      <c r="I8259" s="1" t="str">
        <f t="shared" si="13972"/>
        <v>0</v>
      </c>
      <c r="J8259" s="1" t="str">
        <f t="shared" si="13972"/>
        <v>0</v>
      </c>
      <c r="K8259" s="1" t="str">
        <f t="shared" si="13972"/>
        <v>0</v>
      </c>
      <c r="L8259" s="1" t="str">
        <f t="shared" si="13972"/>
        <v>0</v>
      </c>
      <c r="M8259" s="1" t="str">
        <f t="shared" si="13972"/>
        <v>0</v>
      </c>
      <c r="N8259" s="1" t="str">
        <f t="shared" si="13972"/>
        <v>0</v>
      </c>
      <c r="O8259" s="1" t="str">
        <f t="shared" si="13972"/>
        <v>0</v>
      </c>
      <c r="P8259" s="1" t="str">
        <f t="shared" si="13972"/>
        <v>0</v>
      </c>
      <c r="Q8259" s="1" t="str">
        <f t="shared" ref="Q8259:Q8311" si="13973">"0.0070"</f>
        <v>0.0070</v>
      </c>
      <c r="R8259" s="1" t="s">
        <v>25</v>
      </c>
      <c r="T8259" s="1" t="str">
        <f t="shared" ref="T8259:T8311" si="13974">"0"</f>
        <v>0</v>
      </c>
      <c r="U8259" s="1" t="str">
        <f t="shared" si="13964"/>
        <v>0.0070</v>
      </c>
    </row>
    <row r="8260" s="1" customFormat="1" spans="1:21">
      <c r="A8260" s="1" t="str">
        <f>"4601992390715"</f>
        <v>4601992390715</v>
      </c>
      <c r="B8260" s="1" t="s">
        <v>8283</v>
      </c>
      <c r="C8260" s="1" t="s">
        <v>24</v>
      </c>
      <c r="D8260" s="1" t="str">
        <f t="shared" si="13971"/>
        <v>2021</v>
      </c>
      <c r="E8260" s="1" t="str">
        <f t="shared" ref="E8260:P8260" si="13975">"0"</f>
        <v>0</v>
      </c>
      <c r="F8260" s="1" t="str">
        <f t="shared" si="13975"/>
        <v>0</v>
      </c>
      <c r="G8260" s="1" t="str">
        <f t="shared" si="13975"/>
        <v>0</v>
      </c>
      <c r="H8260" s="1" t="str">
        <f t="shared" si="13975"/>
        <v>0</v>
      </c>
      <c r="I8260" s="1" t="str">
        <f t="shared" si="13975"/>
        <v>0</v>
      </c>
      <c r="J8260" s="1" t="str">
        <f t="shared" si="13975"/>
        <v>0</v>
      </c>
      <c r="K8260" s="1" t="str">
        <f t="shared" si="13975"/>
        <v>0</v>
      </c>
      <c r="L8260" s="1" t="str">
        <f t="shared" si="13975"/>
        <v>0</v>
      </c>
      <c r="M8260" s="1" t="str">
        <f t="shared" si="13975"/>
        <v>0</v>
      </c>
      <c r="N8260" s="1" t="str">
        <f t="shared" si="13975"/>
        <v>0</v>
      </c>
      <c r="O8260" s="1" t="str">
        <f t="shared" si="13975"/>
        <v>0</v>
      </c>
      <c r="P8260" s="1" t="str">
        <f t="shared" si="13975"/>
        <v>0</v>
      </c>
      <c r="Q8260" s="1" t="str">
        <f t="shared" si="13973"/>
        <v>0.0070</v>
      </c>
      <c r="R8260" s="1" t="s">
        <v>25</v>
      </c>
      <c r="T8260" s="1" t="str">
        <f t="shared" si="13974"/>
        <v>0</v>
      </c>
      <c r="U8260" s="1" t="str">
        <f t="shared" si="13964"/>
        <v>0.0070</v>
      </c>
    </row>
    <row r="8261" s="1" customFormat="1" spans="1:21">
      <c r="A8261" s="1" t="str">
        <f>"4601992390915"</f>
        <v>4601992390915</v>
      </c>
      <c r="B8261" s="1" t="s">
        <v>8284</v>
      </c>
      <c r="C8261" s="1" t="s">
        <v>24</v>
      </c>
      <c r="D8261" s="1" t="str">
        <f t="shared" si="13971"/>
        <v>2021</v>
      </c>
      <c r="E8261" s="1" t="str">
        <f t="shared" ref="E8261:P8261" si="13976">"0"</f>
        <v>0</v>
      </c>
      <c r="F8261" s="1" t="str">
        <f t="shared" si="13976"/>
        <v>0</v>
      </c>
      <c r="G8261" s="1" t="str">
        <f t="shared" si="13976"/>
        <v>0</v>
      </c>
      <c r="H8261" s="1" t="str">
        <f t="shared" si="13976"/>
        <v>0</v>
      </c>
      <c r="I8261" s="1" t="str">
        <f t="shared" si="13976"/>
        <v>0</v>
      </c>
      <c r="J8261" s="1" t="str">
        <f t="shared" si="13976"/>
        <v>0</v>
      </c>
      <c r="K8261" s="1" t="str">
        <f t="shared" si="13976"/>
        <v>0</v>
      </c>
      <c r="L8261" s="1" t="str">
        <f t="shared" si="13976"/>
        <v>0</v>
      </c>
      <c r="M8261" s="1" t="str">
        <f t="shared" si="13976"/>
        <v>0</v>
      </c>
      <c r="N8261" s="1" t="str">
        <f t="shared" si="13976"/>
        <v>0</v>
      </c>
      <c r="O8261" s="1" t="str">
        <f t="shared" si="13976"/>
        <v>0</v>
      </c>
      <c r="P8261" s="1" t="str">
        <f t="shared" si="13976"/>
        <v>0</v>
      </c>
      <c r="Q8261" s="1" t="str">
        <f t="shared" si="13973"/>
        <v>0.0070</v>
      </c>
      <c r="R8261" s="1" t="s">
        <v>25</v>
      </c>
      <c r="T8261" s="1" t="str">
        <f t="shared" si="13974"/>
        <v>0</v>
      </c>
      <c r="U8261" s="1" t="str">
        <f t="shared" si="13964"/>
        <v>0.0070</v>
      </c>
    </row>
    <row r="8262" s="1" customFormat="1" spans="1:21">
      <c r="A8262" s="1" t="str">
        <f>"4601992390937"</f>
        <v>4601992390937</v>
      </c>
      <c r="B8262" s="1" t="s">
        <v>8285</v>
      </c>
      <c r="C8262" s="1" t="s">
        <v>24</v>
      </c>
      <c r="D8262" s="1" t="str">
        <f t="shared" si="13971"/>
        <v>2021</v>
      </c>
      <c r="E8262" s="1" t="str">
        <f t="shared" ref="E8262:P8262" si="13977">"0"</f>
        <v>0</v>
      </c>
      <c r="F8262" s="1" t="str">
        <f t="shared" si="13977"/>
        <v>0</v>
      </c>
      <c r="G8262" s="1" t="str">
        <f t="shared" si="13977"/>
        <v>0</v>
      </c>
      <c r="H8262" s="1" t="str">
        <f t="shared" si="13977"/>
        <v>0</v>
      </c>
      <c r="I8262" s="1" t="str">
        <f t="shared" si="13977"/>
        <v>0</v>
      </c>
      <c r="J8262" s="1" t="str">
        <f t="shared" si="13977"/>
        <v>0</v>
      </c>
      <c r="K8262" s="1" t="str">
        <f t="shared" si="13977"/>
        <v>0</v>
      </c>
      <c r="L8262" s="1" t="str">
        <f t="shared" si="13977"/>
        <v>0</v>
      </c>
      <c r="M8262" s="1" t="str">
        <f t="shared" si="13977"/>
        <v>0</v>
      </c>
      <c r="N8262" s="1" t="str">
        <f t="shared" si="13977"/>
        <v>0</v>
      </c>
      <c r="O8262" s="1" t="str">
        <f t="shared" si="13977"/>
        <v>0</v>
      </c>
      <c r="P8262" s="1" t="str">
        <f t="shared" si="13977"/>
        <v>0</v>
      </c>
      <c r="Q8262" s="1" t="str">
        <f t="shared" si="13973"/>
        <v>0.0070</v>
      </c>
      <c r="R8262" s="1" t="s">
        <v>25</v>
      </c>
      <c r="T8262" s="1" t="str">
        <f t="shared" si="13974"/>
        <v>0</v>
      </c>
      <c r="U8262" s="1" t="str">
        <f t="shared" si="13964"/>
        <v>0.0070</v>
      </c>
    </row>
    <row r="8263" s="1" customFormat="1" spans="1:21">
      <c r="A8263" s="1" t="str">
        <f>"4601992391124"</f>
        <v>4601992391124</v>
      </c>
      <c r="B8263" s="1" t="s">
        <v>8286</v>
      </c>
      <c r="C8263" s="1" t="s">
        <v>24</v>
      </c>
      <c r="D8263" s="1" t="str">
        <f t="shared" si="13971"/>
        <v>2021</v>
      </c>
      <c r="E8263" s="1" t="str">
        <f t="shared" ref="E8263:P8263" si="13978">"0"</f>
        <v>0</v>
      </c>
      <c r="F8263" s="1" t="str">
        <f t="shared" si="13978"/>
        <v>0</v>
      </c>
      <c r="G8263" s="1" t="str">
        <f t="shared" si="13978"/>
        <v>0</v>
      </c>
      <c r="H8263" s="1" t="str">
        <f t="shared" si="13978"/>
        <v>0</v>
      </c>
      <c r="I8263" s="1" t="str">
        <f t="shared" si="13978"/>
        <v>0</v>
      </c>
      <c r="J8263" s="1" t="str">
        <f t="shared" si="13978"/>
        <v>0</v>
      </c>
      <c r="K8263" s="1" t="str">
        <f t="shared" si="13978"/>
        <v>0</v>
      </c>
      <c r="L8263" s="1" t="str">
        <f t="shared" si="13978"/>
        <v>0</v>
      </c>
      <c r="M8263" s="1" t="str">
        <f t="shared" si="13978"/>
        <v>0</v>
      </c>
      <c r="N8263" s="1" t="str">
        <f t="shared" si="13978"/>
        <v>0</v>
      </c>
      <c r="O8263" s="1" t="str">
        <f t="shared" si="13978"/>
        <v>0</v>
      </c>
      <c r="P8263" s="1" t="str">
        <f t="shared" si="13978"/>
        <v>0</v>
      </c>
      <c r="Q8263" s="1" t="str">
        <f t="shared" si="13973"/>
        <v>0.0070</v>
      </c>
      <c r="R8263" s="1" t="s">
        <v>25</v>
      </c>
      <c r="T8263" s="1" t="str">
        <f t="shared" si="13974"/>
        <v>0</v>
      </c>
      <c r="U8263" s="1" t="str">
        <f t="shared" si="13964"/>
        <v>0.0070</v>
      </c>
    </row>
    <row r="8264" s="1" customFormat="1" spans="1:21">
      <c r="A8264" s="1" t="str">
        <f>"4601992391170"</f>
        <v>4601992391170</v>
      </c>
      <c r="B8264" s="1" t="s">
        <v>8287</v>
      </c>
      <c r="C8264" s="1" t="s">
        <v>24</v>
      </c>
      <c r="D8264" s="1" t="str">
        <f t="shared" si="13971"/>
        <v>2021</v>
      </c>
      <c r="E8264" s="1" t="str">
        <f t="shared" ref="E8264:P8264" si="13979">"0"</f>
        <v>0</v>
      </c>
      <c r="F8264" s="1" t="str">
        <f t="shared" si="13979"/>
        <v>0</v>
      </c>
      <c r="G8264" s="1" t="str">
        <f t="shared" si="13979"/>
        <v>0</v>
      </c>
      <c r="H8264" s="1" t="str">
        <f t="shared" si="13979"/>
        <v>0</v>
      </c>
      <c r="I8264" s="1" t="str">
        <f t="shared" si="13979"/>
        <v>0</v>
      </c>
      <c r="J8264" s="1" t="str">
        <f t="shared" si="13979"/>
        <v>0</v>
      </c>
      <c r="K8264" s="1" t="str">
        <f t="shared" si="13979"/>
        <v>0</v>
      </c>
      <c r="L8264" s="1" t="str">
        <f t="shared" si="13979"/>
        <v>0</v>
      </c>
      <c r="M8264" s="1" t="str">
        <f t="shared" si="13979"/>
        <v>0</v>
      </c>
      <c r="N8264" s="1" t="str">
        <f t="shared" si="13979"/>
        <v>0</v>
      </c>
      <c r="O8264" s="1" t="str">
        <f t="shared" si="13979"/>
        <v>0</v>
      </c>
      <c r="P8264" s="1" t="str">
        <f t="shared" si="13979"/>
        <v>0</v>
      </c>
      <c r="Q8264" s="1" t="str">
        <f t="shared" si="13973"/>
        <v>0.0070</v>
      </c>
      <c r="R8264" s="1" t="s">
        <v>25</v>
      </c>
      <c r="T8264" s="1" t="str">
        <f t="shared" si="13974"/>
        <v>0</v>
      </c>
      <c r="U8264" s="1" t="str">
        <f t="shared" si="13964"/>
        <v>0.0070</v>
      </c>
    </row>
    <row r="8265" s="1" customFormat="1" spans="1:21">
      <c r="A8265" s="1" t="str">
        <f>"4601992391229"</f>
        <v>4601992391229</v>
      </c>
      <c r="B8265" s="1" t="s">
        <v>8288</v>
      </c>
      <c r="C8265" s="1" t="s">
        <v>24</v>
      </c>
      <c r="D8265" s="1" t="str">
        <f t="shared" si="13971"/>
        <v>2021</v>
      </c>
      <c r="E8265" s="1" t="str">
        <f t="shared" ref="E8265:P8265" si="13980">"0"</f>
        <v>0</v>
      </c>
      <c r="F8265" s="1" t="str">
        <f t="shared" si="13980"/>
        <v>0</v>
      </c>
      <c r="G8265" s="1" t="str">
        <f t="shared" si="13980"/>
        <v>0</v>
      </c>
      <c r="H8265" s="1" t="str">
        <f t="shared" si="13980"/>
        <v>0</v>
      </c>
      <c r="I8265" s="1" t="str">
        <f t="shared" si="13980"/>
        <v>0</v>
      </c>
      <c r="J8265" s="1" t="str">
        <f t="shared" si="13980"/>
        <v>0</v>
      </c>
      <c r="K8265" s="1" t="str">
        <f t="shared" si="13980"/>
        <v>0</v>
      </c>
      <c r="L8265" s="1" t="str">
        <f t="shared" si="13980"/>
        <v>0</v>
      </c>
      <c r="M8265" s="1" t="str">
        <f t="shared" si="13980"/>
        <v>0</v>
      </c>
      <c r="N8265" s="1" t="str">
        <f t="shared" si="13980"/>
        <v>0</v>
      </c>
      <c r="O8265" s="1" t="str">
        <f t="shared" si="13980"/>
        <v>0</v>
      </c>
      <c r="P8265" s="1" t="str">
        <f t="shared" si="13980"/>
        <v>0</v>
      </c>
      <c r="Q8265" s="1" t="str">
        <f t="shared" si="13973"/>
        <v>0.0070</v>
      </c>
      <c r="R8265" s="1" t="s">
        <v>25</v>
      </c>
      <c r="T8265" s="1" t="str">
        <f t="shared" si="13974"/>
        <v>0</v>
      </c>
      <c r="U8265" s="1" t="str">
        <f t="shared" si="13964"/>
        <v>0.0070</v>
      </c>
    </row>
    <row r="8266" s="1" customFormat="1" spans="1:21">
      <c r="A8266" s="1" t="str">
        <f>"4601992391377"</f>
        <v>4601992391377</v>
      </c>
      <c r="B8266" s="1" t="s">
        <v>8289</v>
      </c>
      <c r="C8266" s="1" t="s">
        <v>24</v>
      </c>
      <c r="D8266" s="1" t="str">
        <f t="shared" si="13971"/>
        <v>2021</v>
      </c>
      <c r="E8266" s="1" t="str">
        <f t="shared" ref="E8266:P8266" si="13981">"0"</f>
        <v>0</v>
      </c>
      <c r="F8266" s="1" t="str">
        <f t="shared" si="13981"/>
        <v>0</v>
      </c>
      <c r="G8266" s="1" t="str">
        <f t="shared" si="13981"/>
        <v>0</v>
      </c>
      <c r="H8266" s="1" t="str">
        <f t="shared" si="13981"/>
        <v>0</v>
      </c>
      <c r="I8266" s="1" t="str">
        <f t="shared" si="13981"/>
        <v>0</v>
      </c>
      <c r="J8266" s="1" t="str">
        <f t="shared" si="13981"/>
        <v>0</v>
      </c>
      <c r="K8266" s="1" t="str">
        <f t="shared" si="13981"/>
        <v>0</v>
      </c>
      <c r="L8266" s="1" t="str">
        <f t="shared" si="13981"/>
        <v>0</v>
      </c>
      <c r="M8266" s="1" t="str">
        <f t="shared" si="13981"/>
        <v>0</v>
      </c>
      <c r="N8266" s="1" t="str">
        <f t="shared" si="13981"/>
        <v>0</v>
      </c>
      <c r="O8266" s="1" t="str">
        <f t="shared" si="13981"/>
        <v>0</v>
      </c>
      <c r="P8266" s="1" t="str">
        <f t="shared" si="13981"/>
        <v>0</v>
      </c>
      <c r="Q8266" s="1" t="str">
        <f t="shared" si="13973"/>
        <v>0.0070</v>
      </c>
      <c r="R8266" s="1" t="s">
        <v>25</v>
      </c>
      <c r="T8266" s="1" t="str">
        <f t="shared" si="13974"/>
        <v>0</v>
      </c>
      <c r="U8266" s="1" t="str">
        <f t="shared" si="13964"/>
        <v>0.0070</v>
      </c>
    </row>
    <row r="8267" s="1" customFormat="1" spans="1:21">
      <c r="A8267" s="1" t="str">
        <f>"4601992391424"</f>
        <v>4601992391424</v>
      </c>
      <c r="B8267" s="1" t="s">
        <v>8290</v>
      </c>
      <c r="C8267" s="1" t="s">
        <v>24</v>
      </c>
      <c r="D8267" s="1" t="str">
        <f t="shared" si="13971"/>
        <v>2021</v>
      </c>
      <c r="E8267" s="1" t="str">
        <f t="shared" ref="E8267:P8267" si="13982">"0"</f>
        <v>0</v>
      </c>
      <c r="F8267" s="1" t="str">
        <f t="shared" si="13982"/>
        <v>0</v>
      </c>
      <c r="G8267" s="1" t="str">
        <f t="shared" si="13982"/>
        <v>0</v>
      </c>
      <c r="H8267" s="1" t="str">
        <f t="shared" si="13982"/>
        <v>0</v>
      </c>
      <c r="I8267" s="1" t="str">
        <f t="shared" si="13982"/>
        <v>0</v>
      </c>
      <c r="J8267" s="1" t="str">
        <f t="shared" si="13982"/>
        <v>0</v>
      </c>
      <c r="K8267" s="1" t="str">
        <f t="shared" si="13982"/>
        <v>0</v>
      </c>
      <c r="L8267" s="1" t="str">
        <f t="shared" si="13982"/>
        <v>0</v>
      </c>
      <c r="M8267" s="1" t="str">
        <f t="shared" si="13982"/>
        <v>0</v>
      </c>
      <c r="N8267" s="1" t="str">
        <f t="shared" si="13982"/>
        <v>0</v>
      </c>
      <c r="O8267" s="1" t="str">
        <f t="shared" si="13982"/>
        <v>0</v>
      </c>
      <c r="P8267" s="1" t="str">
        <f t="shared" si="13982"/>
        <v>0</v>
      </c>
      <c r="Q8267" s="1" t="str">
        <f t="shared" si="13973"/>
        <v>0.0070</v>
      </c>
      <c r="R8267" s="1" t="s">
        <v>25</v>
      </c>
      <c r="T8267" s="1" t="str">
        <f t="shared" si="13974"/>
        <v>0</v>
      </c>
      <c r="U8267" s="1" t="str">
        <f t="shared" si="13964"/>
        <v>0.0070</v>
      </c>
    </row>
    <row r="8268" s="1" customFormat="1" spans="1:21">
      <c r="A8268" s="1" t="str">
        <f>"4601992391590"</f>
        <v>4601992391590</v>
      </c>
      <c r="B8268" s="1" t="s">
        <v>8291</v>
      </c>
      <c r="C8268" s="1" t="s">
        <v>24</v>
      </c>
      <c r="D8268" s="1" t="str">
        <f t="shared" si="13971"/>
        <v>2021</v>
      </c>
      <c r="E8268" s="1" t="str">
        <f t="shared" ref="E8268:P8268" si="13983">"0"</f>
        <v>0</v>
      </c>
      <c r="F8268" s="1" t="str">
        <f t="shared" si="13983"/>
        <v>0</v>
      </c>
      <c r="G8268" s="1" t="str">
        <f t="shared" si="13983"/>
        <v>0</v>
      </c>
      <c r="H8268" s="1" t="str">
        <f t="shared" si="13983"/>
        <v>0</v>
      </c>
      <c r="I8268" s="1" t="str">
        <f t="shared" si="13983"/>
        <v>0</v>
      </c>
      <c r="J8268" s="1" t="str">
        <f t="shared" si="13983"/>
        <v>0</v>
      </c>
      <c r="K8268" s="1" t="str">
        <f t="shared" si="13983"/>
        <v>0</v>
      </c>
      <c r="L8268" s="1" t="str">
        <f t="shared" si="13983"/>
        <v>0</v>
      </c>
      <c r="M8268" s="1" t="str">
        <f t="shared" si="13983"/>
        <v>0</v>
      </c>
      <c r="N8268" s="1" t="str">
        <f t="shared" si="13983"/>
        <v>0</v>
      </c>
      <c r="O8268" s="1" t="str">
        <f t="shared" si="13983"/>
        <v>0</v>
      </c>
      <c r="P8268" s="1" t="str">
        <f t="shared" si="13983"/>
        <v>0</v>
      </c>
      <c r="Q8268" s="1" t="str">
        <f t="shared" si="13973"/>
        <v>0.0070</v>
      </c>
      <c r="R8268" s="1" t="s">
        <v>25</v>
      </c>
      <c r="T8268" s="1" t="str">
        <f t="shared" si="13974"/>
        <v>0</v>
      </c>
      <c r="U8268" s="1" t="str">
        <f t="shared" si="13964"/>
        <v>0.0070</v>
      </c>
    </row>
    <row r="8269" s="1" customFormat="1" spans="1:21">
      <c r="A8269" s="1" t="str">
        <f>"4601992391683"</f>
        <v>4601992391683</v>
      </c>
      <c r="B8269" s="1" t="s">
        <v>8292</v>
      </c>
      <c r="C8269" s="1" t="s">
        <v>24</v>
      </c>
      <c r="D8269" s="1" t="str">
        <f t="shared" si="13971"/>
        <v>2021</v>
      </c>
      <c r="E8269" s="1" t="str">
        <f t="shared" ref="E8269:P8269" si="13984">"0"</f>
        <v>0</v>
      </c>
      <c r="F8269" s="1" t="str">
        <f t="shared" si="13984"/>
        <v>0</v>
      </c>
      <c r="G8269" s="1" t="str">
        <f t="shared" si="13984"/>
        <v>0</v>
      </c>
      <c r="H8269" s="1" t="str">
        <f t="shared" si="13984"/>
        <v>0</v>
      </c>
      <c r="I8269" s="1" t="str">
        <f t="shared" si="13984"/>
        <v>0</v>
      </c>
      <c r="J8269" s="1" t="str">
        <f t="shared" si="13984"/>
        <v>0</v>
      </c>
      <c r="K8269" s="1" t="str">
        <f t="shared" si="13984"/>
        <v>0</v>
      </c>
      <c r="L8269" s="1" t="str">
        <f t="shared" si="13984"/>
        <v>0</v>
      </c>
      <c r="M8269" s="1" t="str">
        <f t="shared" si="13984"/>
        <v>0</v>
      </c>
      <c r="N8269" s="1" t="str">
        <f t="shared" si="13984"/>
        <v>0</v>
      </c>
      <c r="O8269" s="1" t="str">
        <f t="shared" si="13984"/>
        <v>0</v>
      </c>
      <c r="P8269" s="1" t="str">
        <f t="shared" si="13984"/>
        <v>0</v>
      </c>
      <c r="Q8269" s="1" t="str">
        <f t="shared" si="13973"/>
        <v>0.0070</v>
      </c>
      <c r="R8269" s="1" t="s">
        <v>25</v>
      </c>
      <c r="T8269" s="1" t="str">
        <f t="shared" si="13974"/>
        <v>0</v>
      </c>
      <c r="U8269" s="1" t="str">
        <f t="shared" si="13964"/>
        <v>0.0070</v>
      </c>
    </row>
    <row r="8270" s="1" customFormat="1" spans="1:21">
      <c r="A8270" s="1" t="str">
        <f>"4601992391719"</f>
        <v>4601992391719</v>
      </c>
      <c r="B8270" s="1" t="s">
        <v>8293</v>
      </c>
      <c r="C8270" s="1" t="s">
        <v>24</v>
      </c>
      <c r="D8270" s="1" t="str">
        <f t="shared" si="13971"/>
        <v>2021</v>
      </c>
      <c r="E8270" s="1" t="str">
        <f t="shared" ref="E8270:P8270" si="13985">"0"</f>
        <v>0</v>
      </c>
      <c r="F8270" s="1" t="str">
        <f t="shared" si="13985"/>
        <v>0</v>
      </c>
      <c r="G8270" s="1" t="str">
        <f t="shared" si="13985"/>
        <v>0</v>
      </c>
      <c r="H8270" s="1" t="str">
        <f t="shared" si="13985"/>
        <v>0</v>
      </c>
      <c r="I8270" s="1" t="str">
        <f t="shared" si="13985"/>
        <v>0</v>
      </c>
      <c r="J8270" s="1" t="str">
        <f t="shared" si="13985"/>
        <v>0</v>
      </c>
      <c r="K8270" s="1" t="str">
        <f t="shared" si="13985"/>
        <v>0</v>
      </c>
      <c r="L8270" s="1" t="str">
        <f t="shared" si="13985"/>
        <v>0</v>
      </c>
      <c r="M8270" s="1" t="str">
        <f t="shared" si="13985"/>
        <v>0</v>
      </c>
      <c r="N8270" s="1" t="str">
        <f t="shared" si="13985"/>
        <v>0</v>
      </c>
      <c r="O8270" s="1" t="str">
        <f t="shared" si="13985"/>
        <v>0</v>
      </c>
      <c r="P8270" s="1" t="str">
        <f t="shared" si="13985"/>
        <v>0</v>
      </c>
      <c r="Q8270" s="1" t="str">
        <f t="shared" si="13973"/>
        <v>0.0070</v>
      </c>
      <c r="R8270" s="1" t="s">
        <v>25</v>
      </c>
      <c r="T8270" s="1" t="str">
        <f t="shared" si="13974"/>
        <v>0</v>
      </c>
      <c r="U8270" s="1" t="str">
        <f t="shared" si="13964"/>
        <v>0.0070</v>
      </c>
    </row>
    <row r="8271" s="1" customFormat="1" spans="1:21">
      <c r="A8271" s="1" t="str">
        <f>"4601992391720"</f>
        <v>4601992391720</v>
      </c>
      <c r="B8271" s="1" t="s">
        <v>8294</v>
      </c>
      <c r="C8271" s="1" t="s">
        <v>24</v>
      </c>
      <c r="D8271" s="1" t="str">
        <f t="shared" si="13971"/>
        <v>2021</v>
      </c>
      <c r="E8271" s="1" t="str">
        <f t="shared" ref="E8271:P8271" si="13986">"0"</f>
        <v>0</v>
      </c>
      <c r="F8271" s="1" t="str">
        <f t="shared" si="13986"/>
        <v>0</v>
      </c>
      <c r="G8271" s="1" t="str">
        <f t="shared" si="13986"/>
        <v>0</v>
      </c>
      <c r="H8271" s="1" t="str">
        <f t="shared" si="13986"/>
        <v>0</v>
      </c>
      <c r="I8271" s="1" t="str">
        <f t="shared" si="13986"/>
        <v>0</v>
      </c>
      <c r="J8271" s="1" t="str">
        <f t="shared" si="13986"/>
        <v>0</v>
      </c>
      <c r="K8271" s="1" t="str">
        <f t="shared" si="13986"/>
        <v>0</v>
      </c>
      <c r="L8271" s="1" t="str">
        <f t="shared" si="13986"/>
        <v>0</v>
      </c>
      <c r="M8271" s="1" t="str">
        <f t="shared" si="13986"/>
        <v>0</v>
      </c>
      <c r="N8271" s="1" t="str">
        <f t="shared" si="13986"/>
        <v>0</v>
      </c>
      <c r="O8271" s="1" t="str">
        <f t="shared" si="13986"/>
        <v>0</v>
      </c>
      <c r="P8271" s="1" t="str">
        <f t="shared" si="13986"/>
        <v>0</v>
      </c>
      <c r="Q8271" s="1" t="str">
        <f t="shared" si="13973"/>
        <v>0.0070</v>
      </c>
      <c r="R8271" s="1" t="s">
        <v>25</v>
      </c>
      <c r="T8271" s="1" t="str">
        <f t="shared" si="13974"/>
        <v>0</v>
      </c>
      <c r="U8271" s="1" t="str">
        <f t="shared" si="13964"/>
        <v>0.0070</v>
      </c>
    </row>
    <row r="8272" s="1" customFormat="1" spans="1:21">
      <c r="A8272" s="1" t="str">
        <f>"4601992391982"</f>
        <v>4601992391982</v>
      </c>
      <c r="B8272" s="1" t="s">
        <v>8295</v>
      </c>
      <c r="C8272" s="1" t="s">
        <v>24</v>
      </c>
      <c r="D8272" s="1" t="str">
        <f t="shared" si="13971"/>
        <v>2021</v>
      </c>
      <c r="E8272" s="1" t="str">
        <f t="shared" ref="E8272:P8272" si="13987">"0"</f>
        <v>0</v>
      </c>
      <c r="F8272" s="1" t="str">
        <f t="shared" si="13987"/>
        <v>0</v>
      </c>
      <c r="G8272" s="1" t="str">
        <f t="shared" si="13987"/>
        <v>0</v>
      </c>
      <c r="H8272" s="1" t="str">
        <f t="shared" si="13987"/>
        <v>0</v>
      </c>
      <c r="I8272" s="1" t="str">
        <f t="shared" si="13987"/>
        <v>0</v>
      </c>
      <c r="J8272" s="1" t="str">
        <f t="shared" si="13987"/>
        <v>0</v>
      </c>
      <c r="K8272" s="1" t="str">
        <f t="shared" si="13987"/>
        <v>0</v>
      </c>
      <c r="L8272" s="1" t="str">
        <f t="shared" si="13987"/>
        <v>0</v>
      </c>
      <c r="M8272" s="1" t="str">
        <f t="shared" si="13987"/>
        <v>0</v>
      </c>
      <c r="N8272" s="1" t="str">
        <f t="shared" si="13987"/>
        <v>0</v>
      </c>
      <c r="O8272" s="1" t="str">
        <f t="shared" si="13987"/>
        <v>0</v>
      </c>
      <c r="P8272" s="1" t="str">
        <f t="shared" si="13987"/>
        <v>0</v>
      </c>
      <c r="Q8272" s="1" t="str">
        <f t="shared" si="13973"/>
        <v>0.0070</v>
      </c>
      <c r="R8272" s="1" t="s">
        <v>25</v>
      </c>
      <c r="T8272" s="1" t="str">
        <f t="shared" si="13974"/>
        <v>0</v>
      </c>
      <c r="U8272" s="1" t="str">
        <f t="shared" si="13964"/>
        <v>0.0070</v>
      </c>
    </row>
    <row r="8273" s="1" customFormat="1" spans="1:21">
      <c r="A8273" s="1" t="str">
        <f>"4601992391976"</f>
        <v>4601992391976</v>
      </c>
      <c r="B8273" s="1" t="s">
        <v>8296</v>
      </c>
      <c r="C8273" s="1" t="s">
        <v>24</v>
      </c>
      <c r="D8273" s="1" t="str">
        <f t="shared" si="13971"/>
        <v>2021</v>
      </c>
      <c r="E8273" s="1" t="str">
        <f t="shared" ref="E8273:P8273" si="13988">"0"</f>
        <v>0</v>
      </c>
      <c r="F8273" s="1" t="str">
        <f t="shared" si="13988"/>
        <v>0</v>
      </c>
      <c r="G8273" s="1" t="str">
        <f t="shared" si="13988"/>
        <v>0</v>
      </c>
      <c r="H8273" s="1" t="str">
        <f t="shared" si="13988"/>
        <v>0</v>
      </c>
      <c r="I8273" s="1" t="str">
        <f t="shared" si="13988"/>
        <v>0</v>
      </c>
      <c r="J8273" s="1" t="str">
        <f t="shared" si="13988"/>
        <v>0</v>
      </c>
      <c r="K8273" s="1" t="str">
        <f t="shared" si="13988"/>
        <v>0</v>
      </c>
      <c r="L8273" s="1" t="str">
        <f t="shared" si="13988"/>
        <v>0</v>
      </c>
      <c r="M8273" s="1" t="str">
        <f t="shared" si="13988"/>
        <v>0</v>
      </c>
      <c r="N8273" s="1" t="str">
        <f t="shared" si="13988"/>
        <v>0</v>
      </c>
      <c r="O8273" s="1" t="str">
        <f t="shared" si="13988"/>
        <v>0</v>
      </c>
      <c r="P8273" s="1" t="str">
        <f t="shared" si="13988"/>
        <v>0</v>
      </c>
      <c r="Q8273" s="1" t="str">
        <f t="shared" si="13973"/>
        <v>0.0070</v>
      </c>
      <c r="R8273" s="1" t="s">
        <v>25</v>
      </c>
      <c r="T8273" s="1" t="str">
        <f t="shared" si="13974"/>
        <v>0</v>
      </c>
      <c r="U8273" s="1" t="str">
        <f t="shared" si="13964"/>
        <v>0.0070</v>
      </c>
    </row>
    <row r="8274" s="1" customFormat="1" spans="1:21">
      <c r="A8274" s="1" t="str">
        <f>"4601992391737"</f>
        <v>4601992391737</v>
      </c>
      <c r="B8274" s="1" t="s">
        <v>8297</v>
      </c>
      <c r="C8274" s="1" t="s">
        <v>24</v>
      </c>
      <c r="D8274" s="1" t="str">
        <f t="shared" si="13971"/>
        <v>2021</v>
      </c>
      <c r="E8274" s="1" t="str">
        <f t="shared" ref="E8274:P8274" si="13989">"0"</f>
        <v>0</v>
      </c>
      <c r="F8274" s="1" t="str">
        <f t="shared" si="13989"/>
        <v>0</v>
      </c>
      <c r="G8274" s="1" t="str">
        <f t="shared" si="13989"/>
        <v>0</v>
      </c>
      <c r="H8274" s="1" t="str">
        <f t="shared" si="13989"/>
        <v>0</v>
      </c>
      <c r="I8274" s="1" t="str">
        <f t="shared" si="13989"/>
        <v>0</v>
      </c>
      <c r="J8274" s="1" t="str">
        <f t="shared" si="13989"/>
        <v>0</v>
      </c>
      <c r="K8274" s="1" t="str">
        <f t="shared" si="13989"/>
        <v>0</v>
      </c>
      <c r="L8274" s="1" t="str">
        <f t="shared" si="13989"/>
        <v>0</v>
      </c>
      <c r="M8274" s="1" t="str">
        <f t="shared" si="13989"/>
        <v>0</v>
      </c>
      <c r="N8274" s="1" t="str">
        <f t="shared" si="13989"/>
        <v>0</v>
      </c>
      <c r="O8274" s="1" t="str">
        <f t="shared" si="13989"/>
        <v>0</v>
      </c>
      <c r="P8274" s="1" t="str">
        <f t="shared" si="13989"/>
        <v>0</v>
      </c>
      <c r="Q8274" s="1" t="str">
        <f t="shared" si="13973"/>
        <v>0.0070</v>
      </c>
      <c r="R8274" s="1" t="s">
        <v>25</v>
      </c>
      <c r="T8274" s="1" t="str">
        <f t="shared" si="13974"/>
        <v>0</v>
      </c>
      <c r="U8274" s="1" t="str">
        <f t="shared" si="13964"/>
        <v>0.0070</v>
      </c>
    </row>
    <row r="8275" s="1" customFormat="1" spans="1:21">
      <c r="A8275" s="1" t="str">
        <f>"4601992392127"</f>
        <v>4601992392127</v>
      </c>
      <c r="B8275" s="1" t="s">
        <v>8298</v>
      </c>
      <c r="C8275" s="1" t="s">
        <v>24</v>
      </c>
      <c r="D8275" s="1" t="str">
        <f t="shared" si="13971"/>
        <v>2021</v>
      </c>
      <c r="E8275" s="1" t="str">
        <f t="shared" ref="E8275:P8275" si="13990">"0"</f>
        <v>0</v>
      </c>
      <c r="F8275" s="1" t="str">
        <f t="shared" si="13990"/>
        <v>0</v>
      </c>
      <c r="G8275" s="1" t="str">
        <f t="shared" si="13990"/>
        <v>0</v>
      </c>
      <c r="H8275" s="1" t="str">
        <f t="shared" si="13990"/>
        <v>0</v>
      </c>
      <c r="I8275" s="1" t="str">
        <f t="shared" si="13990"/>
        <v>0</v>
      </c>
      <c r="J8275" s="1" t="str">
        <f t="shared" si="13990"/>
        <v>0</v>
      </c>
      <c r="K8275" s="1" t="str">
        <f t="shared" si="13990"/>
        <v>0</v>
      </c>
      <c r="L8275" s="1" t="str">
        <f t="shared" si="13990"/>
        <v>0</v>
      </c>
      <c r="M8275" s="1" t="str">
        <f t="shared" si="13990"/>
        <v>0</v>
      </c>
      <c r="N8275" s="1" t="str">
        <f t="shared" si="13990"/>
        <v>0</v>
      </c>
      <c r="O8275" s="1" t="str">
        <f t="shared" si="13990"/>
        <v>0</v>
      </c>
      <c r="P8275" s="1" t="str">
        <f t="shared" si="13990"/>
        <v>0</v>
      </c>
      <c r="Q8275" s="1" t="str">
        <f t="shared" si="13973"/>
        <v>0.0070</v>
      </c>
      <c r="R8275" s="1" t="s">
        <v>25</v>
      </c>
      <c r="T8275" s="1" t="str">
        <f t="shared" si="13974"/>
        <v>0</v>
      </c>
      <c r="U8275" s="1" t="str">
        <f t="shared" si="13964"/>
        <v>0.0070</v>
      </c>
    </row>
    <row r="8276" s="1" customFormat="1" spans="1:21">
      <c r="A8276" s="1" t="str">
        <f>"4601992392140"</f>
        <v>4601992392140</v>
      </c>
      <c r="B8276" s="1" t="s">
        <v>8299</v>
      </c>
      <c r="C8276" s="1" t="s">
        <v>24</v>
      </c>
      <c r="D8276" s="1" t="str">
        <f t="shared" si="13971"/>
        <v>2021</v>
      </c>
      <c r="E8276" s="1" t="str">
        <f t="shared" ref="E8276:P8276" si="13991">"0"</f>
        <v>0</v>
      </c>
      <c r="F8276" s="1" t="str">
        <f t="shared" si="13991"/>
        <v>0</v>
      </c>
      <c r="G8276" s="1" t="str">
        <f t="shared" si="13991"/>
        <v>0</v>
      </c>
      <c r="H8276" s="1" t="str">
        <f t="shared" si="13991"/>
        <v>0</v>
      </c>
      <c r="I8276" s="1" t="str">
        <f t="shared" si="13991"/>
        <v>0</v>
      </c>
      <c r="J8276" s="1" t="str">
        <f t="shared" si="13991"/>
        <v>0</v>
      </c>
      <c r="K8276" s="1" t="str">
        <f t="shared" si="13991"/>
        <v>0</v>
      </c>
      <c r="L8276" s="1" t="str">
        <f t="shared" si="13991"/>
        <v>0</v>
      </c>
      <c r="M8276" s="1" t="str">
        <f t="shared" si="13991"/>
        <v>0</v>
      </c>
      <c r="N8276" s="1" t="str">
        <f t="shared" si="13991"/>
        <v>0</v>
      </c>
      <c r="O8276" s="1" t="str">
        <f t="shared" si="13991"/>
        <v>0</v>
      </c>
      <c r="P8276" s="1" t="str">
        <f t="shared" si="13991"/>
        <v>0</v>
      </c>
      <c r="Q8276" s="1" t="str">
        <f t="shared" si="13973"/>
        <v>0.0070</v>
      </c>
      <c r="R8276" s="1" t="s">
        <v>25</v>
      </c>
      <c r="T8276" s="1" t="str">
        <f t="shared" si="13974"/>
        <v>0</v>
      </c>
      <c r="U8276" s="1" t="str">
        <f t="shared" si="13964"/>
        <v>0.0070</v>
      </c>
    </row>
    <row r="8277" s="1" customFormat="1" spans="1:21">
      <c r="A8277" s="1" t="str">
        <f>"4601992392758"</f>
        <v>4601992392758</v>
      </c>
      <c r="B8277" s="1" t="s">
        <v>8300</v>
      </c>
      <c r="C8277" s="1" t="s">
        <v>24</v>
      </c>
      <c r="D8277" s="1" t="str">
        <f t="shared" si="13971"/>
        <v>2021</v>
      </c>
      <c r="E8277" s="1" t="str">
        <f t="shared" ref="E8277:P8277" si="13992">"0"</f>
        <v>0</v>
      </c>
      <c r="F8277" s="1" t="str">
        <f t="shared" si="13992"/>
        <v>0</v>
      </c>
      <c r="G8277" s="1" t="str">
        <f t="shared" si="13992"/>
        <v>0</v>
      </c>
      <c r="H8277" s="1" t="str">
        <f t="shared" si="13992"/>
        <v>0</v>
      </c>
      <c r="I8277" s="1" t="str">
        <f t="shared" si="13992"/>
        <v>0</v>
      </c>
      <c r="J8277" s="1" t="str">
        <f t="shared" si="13992"/>
        <v>0</v>
      </c>
      <c r="K8277" s="1" t="str">
        <f t="shared" si="13992"/>
        <v>0</v>
      </c>
      <c r="L8277" s="1" t="str">
        <f t="shared" si="13992"/>
        <v>0</v>
      </c>
      <c r="M8277" s="1" t="str">
        <f t="shared" si="13992"/>
        <v>0</v>
      </c>
      <c r="N8277" s="1" t="str">
        <f t="shared" si="13992"/>
        <v>0</v>
      </c>
      <c r="O8277" s="1" t="str">
        <f t="shared" si="13992"/>
        <v>0</v>
      </c>
      <c r="P8277" s="1" t="str">
        <f t="shared" si="13992"/>
        <v>0</v>
      </c>
      <c r="Q8277" s="1" t="str">
        <f t="shared" si="13973"/>
        <v>0.0070</v>
      </c>
      <c r="R8277" s="1" t="s">
        <v>25</v>
      </c>
      <c r="T8277" s="1" t="str">
        <f t="shared" si="13974"/>
        <v>0</v>
      </c>
      <c r="U8277" s="1" t="str">
        <f t="shared" si="13964"/>
        <v>0.0070</v>
      </c>
    </row>
    <row r="8278" s="1" customFormat="1" spans="1:21">
      <c r="A8278" s="1" t="str">
        <f>"4601992392759"</f>
        <v>4601992392759</v>
      </c>
      <c r="B8278" s="1" t="s">
        <v>8301</v>
      </c>
      <c r="C8278" s="1" t="s">
        <v>24</v>
      </c>
      <c r="D8278" s="1" t="str">
        <f t="shared" si="13971"/>
        <v>2021</v>
      </c>
      <c r="E8278" s="1" t="str">
        <f t="shared" ref="E8278:P8278" si="13993">"0"</f>
        <v>0</v>
      </c>
      <c r="F8278" s="1" t="str">
        <f t="shared" si="13993"/>
        <v>0</v>
      </c>
      <c r="G8278" s="1" t="str">
        <f t="shared" si="13993"/>
        <v>0</v>
      </c>
      <c r="H8278" s="1" t="str">
        <f t="shared" si="13993"/>
        <v>0</v>
      </c>
      <c r="I8278" s="1" t="str">
        <f t="shared" si="13993"/>
        <v>0</v>
      </c>
      <c r="J8278" s="1" t="str">
        <f t="shared" si="13993"/>
        <v>0</v>
      </c>
      <c r="K8278" s="1" t="str">
        <f t="shared" si="13993"/>
        <v>0</v>
      </c>
      <c r="L8278" s="1" t="str">
        <f t="shared" si="13993"/>
        <v>0</v>
      </c>
      <c r="M8278" s="1" t="str">
        <f t="shared" si="13993"/>
        <v>0</v>
      </c>
      <c r="N8278" s="1" t="str">
        <f t="shared" si="13993"/>
        <v>0</v>
      </c>
      <c r="O8278" s="1" t="str">
        <f t="shared" si="13993"/>
        <v>0</v>
      </c>
      <c r="P8278" s="1" t="str">
        <f t="shared" si="13993"/>
        <v>0</v>
      </c>
      <c r="Q8278" s="1" t="str">
        <f t="shared" si="13973"/>
        <v>0.0070</v>
      </c>
      <c r="R8278" s="1" t="s">
        <v>25</v>
      </c>
      <c r="T8278" s="1" t="str">
        <f t="shared" si="13974"/>
        <v>0</v>
      </c>
      <c r="U8278" s="1" t="str">
        <f t="shared" si="13964"/>
        <v>0.0070</v>
      </c>
    </row>
    <row r="8279" s="1" customFormat="1" spans="1:21">
      <c r="A8279" s="1" t="str">
        <f>"4601992392371"</f>
        <v>4601992392371</v>
      </c>
      <c r="B8279" s="1" t="s">
        <v>8302</v>
      </c>
      <c r="C8279" s="1" t="s">
        <v>24</v>
      </c>
      <c r="D8279" s="1" t="str">
        <f t="shared" si="13971"/>
        <v>2021</v>
      </c>
      <c r="E8279" s="1" t="str">
        <f t="shared" ref="E8279:P8279" si="13994">"0"</f>
        <v>0</v>
      </c>
      <c r="F8279" s="1" t="str">
        <f t="shared" si="13994"/>
        <v>0</v>
      </c>
      <c r="G8279" s="1" t="str">
        <f t="shared" si="13994"/>
        <v>0</v>
      </c>
      <c r="H8279" s="1" t="str">
        <f t="shared" si="13994"/>
        <v>0</v>
      </c>
      <c r="I8279" s="1" t="str">
        <f t="shared" si="13994"/>
        <v>0</v>
      </c>
      <c r="J8279" s="1" t="str">
        <f t="shared" si="13994"/>
        <v>0</v>
      </c>
      <c r="K8279" s="1" t="str">
        <f t="shared" si="13994"/>
        <v>0</v>
      </c>
      <c r="L8279" s="1" t="str">
        <f t="shared" si="13994"/>
        <v>0</v>
      </c>
      <c r="M8279" s="1" t="str">
        <f t="shared" si="13994"/>
        <v>0</v>
      </c>
      <c r="N8279" s="1" t="str">
        <f t="shared" si="13994"/>
        <v>0</v>
      </c>
      <c r="O8279" s="1" t="str">
        <f t="shared" si="13994"/>
        <v>0</v>
      </c>
      <c r="P8279" s="1" t="str">
        <f t="shared" si="13994"/>
        <v>0</v>
      </c>
      <c r="Q8279" s="1" t="str">
        <f t="shared" si="13973"/>
        <v>0.0070</v>
      </c>
      <c r="R8279" s="1" t="s">
        <v>25</v>
      </c>
      <c r="T8279" s="1" t="str">
        <f t="shared" si="13974"/>
        <v>0</v>
      </c>
      <c r="U8279" s="1" t="str">
        <f t="shared" si="13964"/>
        <v>0.0070</v>
      </c>
    </row>
    <row r="8280" s="1" customFormat="1" spans="1:21">
      <c r="A8280" s="1" t="str">
        <f>"4601992392777"</f>
        <v>4601992392777</v>
      </c>
      <c r="B8280" s="1" t="s">
        <v>8303</v>
      </c>
      <c r="C8280" s="1" t="s">
        <v>24</v>
      </c>
      <c r="D8280" s="1" t="str">
        <f t="shared" si="13971"/>
        <v>2021</v>
      </c>
      <c r="E8280" s="1" t="str">
        <f t="shared" ref="E8280:P8280" si="13995">"0"</f>
        <v>0</v>
      </c>
      <c r="F8280" s="1" t="str">
        <f t="shared" si="13995"/>
        <v>0</v>
      </c>
      <c r="G8280" s="1" t="str">
        <f t="shared" si="13995"/>
        <v>0</v>
      </c>
      <c r="H8280" s="1" t="str">
        <f t="shared" si="13995"/>
        <v>0</v>
      </c>
      <c r="I8280" s="1" t="str">
        <f t="shared" si="13995"/>
        <v>0</v>
      </c>
      <c r="J8280" s="1" t="str">
        <f t="shared" si="13995"/>
        <v>0</v>
      </c>
      <c r="K8280" s="1" t="str">
        <f t="shared" si="13995"/>
        <v>0</v>
      </c>
      <c r="L8280" s="1" t="str">
        <f t="shared" si="13995"/>
        <v>0</v>
      </c>
      <c r="M8280" s="1" t="str">
        <f t="shared" si="13995"/>
        <v>0</v>
      </c>
      <c r="N8280" s="1" t="str">
        <f t="shared" si="13995"/>
        <v>0</v>
      </c>
      <c r="O8280" s="1" t="str">
        <f t="shared" si="13995"/>
        <v>0</v>
      </c>
      <c r="P8280" s="1" t="str">
        <f t="shared" si="13995"/>
        <v>0</v>
      </c>
      <c r="Q8280" s="1" t="str">
        <f t="shared" si="13973"/>
        <v>0.0070</v>
      </c>
      <c r="R8280" s="1" t="s">
        <v>25</v>
      </c>
      <c r="T8280" s="1" t="str">
        <f t="shared" si="13974"/>
        <v>0</v>
      </c>
      <c r="U8280" s="1" t="str">
        <f t="shared" si="13964"/>
        <v>0.0070</v>
      </c>
    </row>
    <row r="8281" s="1" customFormat="1" spans="1:21">
      <c r="A8281" s="1" t="str">
        <f>"4601992392798"</f>
        <v>4601992392798</v>
      </c>
      <c r="B8281" s="1" t="s">
        <v>8304</v>
      </c>
      <c r="C8281" s="1" t="s">
        <v>24</v>
      </c>
      <c r="D8281" s="1" t="str">
        <f t="shared" si="13971"/>
        <v>2021</v>
      </c>
      <c r="E8281" s="1" t="str">
        <f t="shared" ref="E8281:P8281" si="13996">"0"</f>
        <v>0</v>
      </c>
      <c r="F8281" s="1" t="str">
        <f t="shared" si="13996"/>
        <v>0</v>
      </c>
      <c r="G8281" s="1" t="str">
        <f t="shared" si="13996"/>
        <v>0</v>
      </c>
      <c r="H8281" s="1" t="str">
        <f t="shared" si="13996"/>
        <v>0</v>
      </c>
      <c r="I8281" s="1" t="str">
        <f t="shared" si="13996"/>
        <v>0</v>
      </c>
      <c r="J8281" s="1" t="str">
        <f t="shared" si="13996"/>
        <v>0</v>
      </c>
      <c r="K8281" s="1" t="str">
        <f t="shared" si="13996"/>
        <v>0</v>
      </c>
      <c r="L8281" s="1" t="str">
        <f t="shared" si="13996"/>
        <v>0</v>
      </c>
      <c r="M8281" s="1" t="str">
        <f t="shared" si="13996"/>
        <v>0</v>
      </c>
      <c r="N8281" s="1" t="str">
        <f t="shared" si="13996"/>
        <v>0</v>
      </c>
      <c r="O8281" s="1" t="str">
        <f t="shared" si="13996"/>
        <v>0</v>
      </c>
      <c r="P8281" s="1" t="str">
        <f t="shared" si="13996"/>
        <v>0</v>
      </c>
      <c r="Q8281" s="1" t="str">
        <f t="shared" si="13973"/>
        <v>0.0070</v>
      </c>
      <c r="R8281" s="1" t="s">
        <v>25</v>
      </c>
      <c r="T8281" s="1" t="str">
        <f t="shared" si="13974"/>
        <v>0</v>
      </c>
      <c r="U8281" s="1" t="str">
        <f t="shared" si="13964"/>
        <v>0.0070</v>
      </c>
    </row>
    <row r="8282" s="1" customFormat="1" spans="1:21">
      <c r="A8282" s="1" t="str">
        <f>"4601992392835"</f>
        <v>4601992392835</v>
      </c>
      <c r="B8282" s="1" t="s">
        <v>8305</v>
      </c>
      <c r="C8282" s="1" t="s">
        <v>24</v>
      </c>
      <c r="D8282" s="1" t="str">
        <f t="shared" si="13971"/>
        <v>2021</v>
      </c>
      <c r="E8282" s="1" t="str">
        <f t="shared" ref="E8282:P8282" si="13997">"0"</f>
        <v>0</v>
      </c>
      <c r="F8282" s="1" t="str">
        <f t="shared" si="13997"/>
        <v>0</v>
      </c>
      <c r="G8282" s="1" t="str">
        <f t="shared" si="13997"/>
        <v>0</v>
      </c>
      <c r="H8282" s="1" t="str">
        <f t="shared" si="13997"/>
        <v>0</v>
      </c>
      <c r="I8282" s="1" t="str">
        <f t="shared" si="13997"/>
        <v>0</v>
      </c>
      <c r="J8282" s="1" t="str">
        <f t="shared" si="13997"/>
        <v>0</v>
      </c>
      <c r="K8282" s="1" t="str">
        <f t="shared" si="13997"/>
        <v>0</v>
      </c>
      <c r="L8282" s="1" t="str">
        <f t="shared" si="13997"/>
        <v>0</v>
      </c>
      <c r="M8282" s="1" t="str">
        <f t="shared" si="13997"/>
        <v>0</v>
      </c>
      <c r="N8282" s="1" t="str">
        <f t="shared" si="13997"/>
        <v>0</v>
      </c>
      <c r="O8282" s="1" t="str">
        <f t="shared" si="13997"/>
        <v>0</v>
      </c>
      <c r="P8282" s="1" t="str">
        <f t="shared" si="13997"/>
        <v>0</v>
      </c>
      <c r="Q8282" s="1" t="str">
        <f t="shared" si="13973"/>
        <v>0.0070</v>
      </c>
      <c r="R8282" s="1" t="s">
        <v>25</v>
      </c>
      <c r="T8282" s="1" t="str">
        <f t="shared" si="13974"/>
        <v>0</v>
      </c>
      <c r="U8282" s="1" t="str">
        <f t="shared" si="13964"/>
        <v>0.0070</v>
      </c>
    </row>
    <row r="8283" s="1" customFormat="1" spans="1:21">
      <c r="A8283" s="1" t="str">
        <f>"4601992393288"</f>
        <v>4601992393288</v>
      </c>
      <c r="B8283" s="1" t="s">
        <v>8306</v>
      </c>
      <c r="C8283" s="1" t="s">
        <v>24</v>
      </c>
      <c r="D8283" s="1" t="str">
        <f t="shared" si="13971"/>
        <v>2021</v>
      </c>
      <c r="E8283" s="1" t="str">
        <f t="shared" ref="E8283:P8283" si="13998">"0"</f>
        <v>0</v>
      </c>
      <c r="F8283" s="1" t="str">
        <f t="shared" si="13998"/>
        <v>0</v>
      </c>
      <c r="G8283" s="1" t="str">
        <f t="shared" si="13998"/>
        <v>0</v>
      </c>
      <c r="H8283" s="1" t="str">
        <f t="shared" si="13998"/>
        <v>0</v>
      </c>
      <c r="I8283" s="1" t="str">
        <f t="shared" si="13998"/>
        <v>0</v>
      </c>
      <c r="J8283" s="1" t="str">
        <f t="shared" si="13998"/>
        <v>0</v>
      </c>
      <c r="K8283" s="1" t="str">
        <f t="shared" si="13998"/>
        <v>0</v>
      </c>
      <c r="L8283" s="1" t="str">
        <f t="shared" si="13998"/>
        <v>0</v>
      </c>
      <c r="M8283" s="1" t="str">
        <f t="shared" si="13998"/>
        <v>0</v>
      </c>
      <c r="N8283" s="1" t="str">
        <f t="shared" si="13998"/>
        <v>0</v>
      </c>
      <c r="O8283" s="1" t="str">
        <f t="shared" si="13998"/>
        <v>0</v>
      </c>
      <c r="P8283" s="1" t="str">
        <f t="shared" si="13998"/>
        <v>0</v>
      </c>
      <c r="Q8283" s="1" t="str">
        <f t="shared" si="13973"/>
        <v>0.0070</v>
      </c>
      <c r="R8283" s="1" t="s">
        <v>25</v>
      </c>
      <c r="T8283" s="1" t="str">
        <f t="shared" si="13974"/>
        <v>0</v>
      </c>
      <c r="U8283" s="1" t="str">
        <f t="shared" si="13964"/>
        <v>0.0070</v>
      </c>
    </row>
    <row r="8284" s="1" customFormat="1" spans="1:21">
      <c r="A8284" s="1" t="str">
        <f>"4601992392986"</f>
        <v>4601992392986</v>
      </c>
      <c r="B8284" s="1" t="s">
        <v>8307</v>
      </c>
      <c r="C8284" s="1" t="s">
        <v>24</v>
      </c>
      <c r="D8284" s="1" t="str">
        <f t="shared" si="13971"/>
        <v>2021</v>
      </c>
      <c r="E8284" s="1" t="str">
        <f t="shared" ref="E8284:P8284" si="13999">"0"</f>
        <v>0</v>
      </c>
      <c r="F8284" s="1" t="str">
        <f t="shared" si="13999"/>
        <v>0</v>
      </c>
      <c r="G8284" s="1" t="str">
        <f t="shared" si="13999"/>
        <v>0</v>
      </c>
      <c r="H8284" s="1" t="str">
        <f t="shared" si="13999"/>
        <v>0</v>
      </c>
      <c r="I8284" s="1" t="str">
        <f t="shared" si="13999"/>
        <v>0</v>
      </c>
      <c r="J8284" s="1" t="str">
        <f t="shared" si="13999"/>
        <v>0</v>
      </c>
      <c r="K8284" s="1" t="str">
        <f t="shared" si="13999"/>
        <v>0</v>
      </c>
      <c r="L8284" s="1" t="str">
        <f t="shared" si="13999"/>
        <v>0</v>
      </c>
      <c r="M8284" s="1" t="str">
        <f t="shared" si="13999"/>
        <v>0</v>
      </c>
      <c r="N8284" s="1" t="str">
        <f t="shared" si="13999"/>
        <v>0</v>
      </c>
      <c r="O8284" s="1" t="str">
        <f t="shared" si="13999"/>
        <v>0</v>
      </c>
      <c r="P8284" s="1" t="str">
        <f t="shared" si="13999"/>
        <v>0</v>
      </c>
      <c r="Q8284" s="1" t="str">
        <f t="shared" si="13973"/>
        <v>0.0070</v>
      </c>
      <c r="R8284" s="1" t="s">
        <v>25</v>
      </c>
      <c r="T8284" s="1" t="str">
        <f t="shared" si="13974"/>
        <v>0</v>
      </c>
      <c r="U8284" s="1" t="str">
        <f t="shared" si="13964"/>
        <v>0.0070</v>
      </c>
    </row>
    <row r="8285" s="1" customFormat="1" spans="1:21">
      <c r="A8285" s="1" t="str">
        <f>"4601992392987"</f>
        <v>4601992392987</v>
      </c>
      <c r="B8285" s="1" t="s">
        <v>8308</v>
      </c>
      <c r="C8285" s="1" t="s">
        <v>24</v>
      </c>
      <c r="D8285" s="1" t="str">
        <f t="shared" si="13971"/>
        <v>2021</v>
      </c>
      <c r="E8285" s="1" t="str">
        <f t="shared" ref="E8285:P8285" si="14000">"0"</f>
        <v>0</v>
      </c>
      <c r="F8285" s="1" t="str">
        <f t="shared" si="14000"/>
        <v>0</v>
      </c>
      <c r="G8285" s="1" t="str">
        <f t="shared" si="14000"/>
        <v>0</v>
      </c>
      <c r="H8285" s="1" t="str">
        <f t="shared" si="14000"/>
        <v>0</v>
      </c>
      <c r="I8285" s="1" t="str">
        <f t="shared" si="14000"/>
        <v>0</v>
      </c>
      <c r="J8285" s="1" t="str">
        <f t="shared" si="14000"/>
        <v>0</v>
      </c>
      <c r="K8285" s="1" t="str">
        <f t="shared" si="14000"/>
        <v>0</v>
      </c>
      <c r="L8285" s="1" t="str">
        <f t="shared" si="14000"/>
        <v>0</v>
      </c>
      <c r="M8285" s="1" t="str">
        <f t="shared" si="14000"/>
        <v>0</v>
      </c>
      <c r="N8285" s="1" t="str">
        <f t="shared" si="14000"/>
        <v>0</v>
      </c>
      <c r="O8285" s="1" t="str">
        <f t="shared" si="14000"/>
        <v>0</v>
      </c>
      <c r="P8285" s="1" t="str">
        <f t="shared" si="14000"/>
        <v>0</v>
      </c>
      <c r="Q8285" s="1" t="str">
        <f t="shared" si="13973"/>
        <v>0.0070</v>
      </c>
      <c r="R8285" s="1" t="s">
        <v>25</v>
      </c>
      <c r="T8285" s="1" t="str">
        <f t="shared" si="13974"/>
        <v>0</v>
      </c>
      <c r="U8285" s="1" t="str">
        <f t="shared" si="13964"/>
        <v>0.0070</v>
      </c>
    </row>
    <row r="8286" s="1" customFormat="1" spans="1:21">
      <c r="A8286" s="1" t="str">
        <f>"4601992393303"</f>
        <v>4601992393303</v>
      </c>
      <c r="B8286" s="1" t="s">
        <v>8309</v>
      </c>
      <c r="C8286" s="1" t="s">
        <v>24</v>
      </c>
      <c r="D8286" s="1" t="str">
        <f t="shared" si="13971"/>
        <v>2021</v>
      </c>
      <c r="E8286" s="1" t="str">
        <f t="shared" ref="E8286:P8286" si="14001">"0"</f>
        <v>0</v>
      </c>
      <c r="F8286" s="1" t="str">
        <f t="shared" si="14001"/>
        <v>0</v>
      </c>
      <c r="G8286" s="1" t="str">
        <f t="shared" si="14001"/>
        <v>0</v>
      </c>
      <c r="H8286" s="1" t="str">
        <f t="shared" si="14001"/>
        <v>0</v>
      </c>
      <c r="I8286" s="1" t="str">
        <f t="shared" si="14001"/>
        <v>0</v>
      </c>
      <c r="J8286" s="1" t="str">
        <f t="shared" si="14001"/>
        <v>0</v>
      </c>
      <c r="K8286" s="1" t="str">
        <f t="shared" si="14001"/>
        <v>0</v>
      </c>
      <c r="L8286" s="1" t="str">
        <f t="shared" si="14001"/>
        <v>0</v>
      </c>
      <c r="M8286" s="1" t="str">
        <f t="shared" si="14001"/>
        <v>0</v>
      </c>
      <c r="N8286" s="1" t="str">
        <f t="shared" si="14001"/>
        <v>0</v>
      </c>
      <c r="O8286" s="1" t="str">
        <f t="shared" si="14001"/>
        <v>0</v>
      </c>
      <c r="P8286" s="1" t="str">
        <f t="shared" si="14001"/>
        <v>0</v>
      </c>
      <c r="Q8286" s="1" t="str">
        <f t="shared" si="13973"/>
        <v>0.0070</v>
      </c>
      <c r="R8286" s="1" t="s">
        <v>25</v>
      </c>
      <c r="T8286" s="1" t="str">
        <f t="shared" si="13974"/>
        <v>0</v>
      </c>
      <c r="U8286" s="1" t="str">
        <f t="shared" si="13964"/>
        <v>0.0070</v>
      </c>
    </row>
    <row r="8287" s="1" customFormat="1" spans="1:21">
      <c r="A8287" s="1" t="str">
        <f>"4601992393308"</f>
        <v>4601992393308</v>
      </c>
      <c r="B8287" s="1" t="s">
        <v>8310</v>
      </c>
      <c r="C8287" s="1" t="s">
        <v>24</v>
      </c>
      <c r="D8287" s="1" t="str">
        <f t="shared" si="13971"/>
        <v>2021</v>
      </c>
      <c r="E8287" s="1" t="str">
        <f t="shared" ref="E8287:P8287" si="14002">"0"</f>
        <v>0</v>
      </c>
      <c r="F8287" s="1" t="str">
        <f t="shared" si="14002"/>
        <v>0</v>
      </c>
      <c r="G8287" s="1" t="str">
        <f t="shared" si="14002"/>
        <v>0</v>
      </c>
      <c r="H8287" s="1" t="str">
        <f t="shared" si="14002"/>
        <v>0</v>
      </c>
      <c r="I8287" s="1" t="str">
        <f t="shared" si="14002"/>
        <v>0</v>
      </c>
      <c r="J8287" s="1" t="str">
        <f t="shared" si="14002"/>
        <v>0</v>
      </c>
      <c r="K8287" s="1" t="str">
        <f t="shared" si="14002"/>
        <v>0</v>
      </c>
      <c r="L8287" s="1" t="str">
        <f t="shared" si="14002"/>
        <v>0</v>
      </c>
      <c r="M8287" s="1" t="str">
        <f t="shared" si="14002"/>
        <v>0</v>
      </c>
      <c r="N8287" s="1" t="str">
        <f t="shared" si="14002"/>
        <v>0</v>
      </c>
      <c r="O8287" s="1" t="str">
        <f t="shared" si="14002"/>
        <v>0</v>
      </c>
      <c r="P8287" s="1" t="str">
        <f t="shared" si="14002"/>
        <v>0</v>
      </c>
      <c r="Q8287" s="1" t="str">
        <f t="shared" si="13973"/>
        <v>0.0070</v>
      </c>
      <c r="R8287" s="1" t="s">
        <v>25</v>
      </c>
      <c r="T8287" s="1" t="str">
        <f t="shared" si="13974"/>
        <v>0</v>
      </c>
      <c r="U8287" s="1" t="str">
        <f t="shared" si="13964"/>
        <v>0.0070</v>
      </c>
    </row>
    <row r="8288" s="1" customFormat="1" spans="1:21">
      <c r="A8288" s="1" t="str">
        <f>"4601992393332"</f>
        <v>4601992393332</v>
      </c>
      <c r="B8288" s="1" t="s">
        <v>8311</v>
      </c>
      <c r="C8288" s="1" t="s">
        <v>24</v>
      </c>
      <c r="D8288" s="1" t="str">
        <f t="shared" si="13971"/>
        <v>2021</v>
      </c>
      <c r="E8288" s="1" t="str">
        <f t="shared" ref="E8288:P8288" si="14003">"0"</f>
        <v>0</v>
      </c>
      <c r="F8288" s="1" t="str">
        <f t="shared" si="14003"/>
        <v>0</v>
      </c>
      <c r="G8288" s="1" t="str">
        <f t="shared" si="14003"/>
        <v>0</v>
      </c>
      <c r="H8288" s="1" t="str">
        <f t="shared" si="14003"/>
        <v>0</v>
      </c>
      <c r="I8288" s="1" t="str">
        <f t="shared" si="14003"/>
        <v>0</v>
      </c>
      <c r="J8288" s="1" t="str">
        <f t="shared" si="14003"/>
        <v>0</v>
      </c>
      <c r="K8288" s="1" t="str">
        <f t="shared" si="14003"/>
        <v>0</v>
      </c>
      <c r="L8288" s="1" t="str">
        <f t="shared" si="14003"/>
        <v>0</v>
      </c>
      <c r="M8288" s="1" t="str">
        <f t="shared" si="14003"/>
        <v>0</v>
      </c>
      <c r="N8288" s="1" t="str">
        <f t="shared" si="14003"/>
        <v>0</v>
      </c>
      <c r="O8288" s="1" t="str">
        <f t="shared" si="14003"/>
        <v>0</v>
      </c>
      <c r="P8288" s="1" t="str">
        <f t="shared" si="14003"/>
        <v>0</v>
      </c>
      <c r="Q8288" s="1" t="str">
        <f t="shared" si="13973"/>
        <v>0.0070</v>
      </c>
      <c r="R8288" s="1" t="s">
        <v>25</v>
      </c>
      <c r="T8288" s="1" t="str">
        <f t="shared" si="13974"/>
        <v>0</v>
      </c>
      <c r="U8288" s="1" t="str">
        <f t="shared" si="13964"/>
        <v>0.0070</v>
      </c>
    </row>
    <row r="8289" s="1" customFormat="1" spans="1:21">
      <c r="A8289" s="1" t="str">
        <f>"4601992393391"</f>
        <v>4601992393391</v>
      </c>
      <c r="B8289" s="1" t="s">
        <v>8312</v>
      </c>
      <c r="C8289" s="1" t="s">
        <v>24</v>
      </c>
      <c r="D8289" s="1" t="str">
        <f t="shared" si="13971"/>
        <v>2021</v>
      </c>
      <c r="E8289" s="1" t="str">
        <f t="shared" ref="E8289:P8289" si="14004">"0"</f>
        <v>0</v>
      </c>
      <c r="F8289" s="1" t="str">
        <f t="shared" si="14004"/>
        <v>0</v>
      </c>
      <c r="G8289" s="1" t="str">
        <f t="shared" si="14004"/>
        <v>0</v>
      </c>
      <c r="H8289" s="1" t="str">
        <f t="shared" si="14004"/>
        <v>0</v>
      </c>
      <c r="I8289" s="1" t="str">
        <f t="shared" si="14004"/>
        <v>0</v>
      </c>
      <c r="J8289" s="1" t="str">
        <f t="shared" si="14004"/>
        <v>0</v>
      </c>
      <c r="K8289" s="1" t="str">
        <f t="shared" si="14004"/>
        <v>0</v>
      </c>
      <c r="L8289" s="1" t="str">
        <f t="shared" si="14004"/>
        <v>0</v>
      </c>
      <c r="M8289" s="1" t="str">
        <f t="shared" si="14004"/>
        <v>0</v>
      </c>
      <c r="N8289" s="1" t="str">
        <f t="shared" si="14004"/>
        <v>0</v>
      </c>
      <c r="O8289" s="1" t="str">
        <f t="shared" si="14004"/>
        <v>0</v>
      </c>
      <c r="P8289" s="1" t="str">
        <f t="shared" si="14004"/>
        <v>0</v>
      </c>
      <c r="Q8289" s="1" t="str">
        <f t="shared" si="13973"/>
        <v>0.0070</v>
      </c>
      <c r="R8289" s="1" t="s">
        <v>25</v>
      </c>
      <c r="T8289" s="1" t="str">
        <f t="shared" si="13974"/>
        <v>0</v>
      </c>
      <c r="U8289" s="1" t="str">
        <f t="shared" si="13964"/>
        <v>0.0070</v>
      </c>
    </row>
    <row r="8290" s="1" customFormat="1" spans="1:21">
      <c r="A8290" s="1" t="str">
        <f>"4601992393345"</f>
        <v>4601992393345</v>
      </c>
      <c r="B8290" s="1" t="s">
        <v>8313</v>
      </c>
      <c r="C8290" s="1" t="s">
        <v>24</v>
      </c>
      <c r="D8290" s="1" t="str">
        <f t="shared" si="13971"/>
        <v>2021</v>
      </c>
      <c r="E8290" s="1" t="str">
        <f t="shared" ref="E8290:P8290" si="14005">"0"</f>
        <v>0</v>
      </c>
      <c r="F8290" s="1" t="str">
        <f t="shared" si="14005"/>
        <v>0</v>
      </c>
      <c r="G8290" s="1" t="str">
        <f t="shared" si="14005"/>
        <v>0</v>
      </c>
      <c r="H8290" s="1" t="str">
        <f t="shared" si="14005"/>
        <v>0</v>
      </c>
      <c r="I8290" s="1" t="str">
        <f t="shared" si="14005"/>
        <v>0</v>
      </c>
      <c r="J8290" s="1" t="str">
        <f t="shared" si="14005"/>
        <v>0</v>
      </c>
      <c r="K8290" s="1" t="str">
        <f t="shared" si="14005"/>
        <v>0</v>
      </c>
      <c r="L8290" s="1" t="str">
        <f t="shared" si="14005"/>
        <v>0</v>
      </c>
      <c r="M8290" s="1" t="str">
        <f t="shared" si="14005"/>
        <v>0</v>
      </c>
      <c r="N8290" s="1" t="str">
        <f t="shared" si="14005"/>
        <v>0</v>
      </c>
      <c r="O8290" s="1" t="str">
        <f t="shared" si="14005"/>
        <v>0</v>
      </c>
      <c r="P8290" s="1" t="str">
        <f t="shared" si="14005"/>
        <v>0</v>
      </c>
      <c r="Q8290" s="1" t="str">
        <f t="shared" si="13973"/>
        <v>0.0070</v>
      </c>
      <c r="R8290" s="1" t="s">
        <v>25</v>
      </c>
      <c r="T8290" s="1" t="str">
        <f t="shared" si="13974"/>
        <v>0</v>
      </c>
      <c r="U8290" s="1" t="str">
        <f t="shared" si="13964"/>
        <v>0.0070</v>
      </c>
    </row>
    <row r="8291" s="1" customFormat="1" spans="1:21">
      <c r="A8291" s="1" t="str">
        <f>"4601992393410"</f>
        <v>4601992393410</v>
      </c>
      <c r="B8291" s="1" t="s">
        <v>8314</v>
      </c>
      <c r="C8291" s="1" t="s">
        <v>24</v>
      </c>
      <c r="D8291" s="1" t="str">
        <f t="shared" si="13971"/>
        <v>2021</v>
      </c>
      <c r="E8291" s="1" t="str">
        <f t="shared" ref="E8291:P8291" si="14006">"0"</f>
        <v>0</v>
      </c>
      <c r="F8291" s="1" t="str">
        <f t="shared" si="14006"/>
        <v>0</v>
      </c>
      <c r="G8291" s="1" t="str">
        <f t="shared" si="14006"/>
        <v>0</v>
      </c>
      <c r="H8291" s="1" t="str">
        <f t="shared" si="14006"/>
        <v>0</v>
      </c>
      <c r="I8291" s="1" t="str">
        <f t="shared" si="14006"/>
        <v>0</v>
      </c>
      <c r="J8291" s="1" t="str">
        <f t="shared" si="14006"/>
        <v>0</v>
      </c>
      <c r="K8291" s="1" t="str">
        <f t="shared" si="14006"/>
        <v>0</v>
      </c>
      <c r="L8291" s="1" t="str">
        <f t="shared" si="14006"/>
        <v>0</v>
      </c>
      <c r="M8291" s="1" t="str">
        <f t="shared" si="14006"/>
        <v>0</v>
      </c>
      <c r="N8291" s="1" t="str">
        <f t="shared" si="14006"/>
        <v>0</v>
      </c>
      <c r="O8291" s="1" t="str">
        <f t="shared" si="14006"/>
        <v>0</v>
      </c>
      <c r="P8291" s="1" t="str">
        <f t="shared" si="14006"/>
        <v>0</v>
      </c>
      <c r="Q8291" s="1" t="str">
        <f t="shared" si="13973"/>
        <v>0.0070</v>
      </c>
      <c r="R8291" s="1" t="s">
        <v>25</v>
      </c>
      <c r="T8291" s="1" t="str">
        <f t="shared" si="13974"/>
        <v>0</v>
      </c>
      <c r="U8291" s="1" t="str">
        <f t="shared" si="13964"/>
        <v>0.0070</v>
      </c>
    </row>
    <row r="8292" s="1" customFormat="1" spans="1:21">
      <c r="A8292" s="1" t="str">
        <f>"4601992393417"</f>
        <v>4601992393417</v>
      </c>
      <c r="B8292" s="1" t="s">
        <v>8315</v>
      </c>
      <c r="C8292" s="1" t="s">
        <v>24</v>
      </c>
      <c r="D8292" s="1" t="str">
        <f t="shared" si="13971"/>
        <v>2021</v>
      </c>
      <c r="E8292" s="1" t="str">
        <f t="shared" ref="E8292:P8292" si="14007">"0"</f>
        <v>0</v>
      </c>
      <c r="F8292" s="1" t="str">
        <f t="shared" si="14007"/>
        <v>0</v>
      </c>
      <c r="G8292" s="1" t="str">
        <f t="shared" si="14007"/>
        <v>0</v>
      </c>
      <c r="H8292" s="1" t="str">
        <f t="shared" si="14007"/>
        <v>0</v>
      </c>
      <c r="I8292" s="1" t="str">
        <f t="shared" si="14007"/>
        <v>0</v>
      </c>
      <c r="J8292" s="1" t="str">
        <f t="shared" si="14007"/>
        <v>0</v>
      </c>
      <c r="K8292" s="1" t="str">
        <f t="shared" si="14007"/>
        <v>0</v>
      </c>
      <c r="L8292" s="1" t="str">
        <f t="shared" si="14007"/>
        <v>0</v>
      </c>
      <c r="M8292" s="1" t="str">
        <f t="shared" si="14007"/>
        <v>0</v>
      </c>
      <c r="N8292" s="1" t="str">
        <f t="shared" si="14007"/>
        <v>0</v>
      </c>
      <c r="O8292" s="1" t="str">
        <f t="shared" si="14007"/>
        <v>0</v>
      </c>
      <c r="P8292" s="1" t="str">
        <f t="shared" si="14007"/>
        <v>0</v>
      </c>
      <c r="Q8292" s="1" t="str">
        <f t="shared" si="13973"/>
        <v>0.0070</v>
      </c>
      <c r="R8292" s="1" t="s">
        <v>25</v>
      </c>
      <c r="T8292" s="1" t="str">
        <f t="shared" si="13974"/>
        <v>0</v>
      </c>
      <c r="U8292" s="1" t="str">
        <f t="shared" si="13964"/>
        <v>0.0070</v>
      </c>
    </row>
    <row r="8293" s="1" customFormat="1" spans="1:21">
      <c r="A8293" s="1" t="str">
        <f>"4601992393415"</f>
        <v>4601992393415</v>
      </c>
      <c r="B8293" s="1" t="s">
        <v>8316</v>
      </c>
      <c r="C8293" s="1" t="s">
        <v>24</v>
      </c>
      <c r="D8293" s="1" t="str">
        <f t="shared" si="13971"/>
        <v>2021</v>
      </c>
      <c r="E8293" s="1" t="str">
        <f t="shared" ref="E8293:P8293" si="14008">"0"</f>
        <v>0</v>
      </c>
      <c r="F8293" s="1" t="str">
        <f t="shared" si="14008"/>
        <v>0</v>
      </c>
      <c r="G8293" s="1" t="str">
        <f t="shared" si="14008"/>
        <v>0</v>
      </c>
      <c r="H8293" s="1" t="str">
        <f t="shared" si="14008"/>
        <v>0</v>
      </c>
      <c r="I8293" s="1" t="str">
        <f t="shared" si="14008"/>
        <v>0</v>
      </c>
      <c r="J8293" s="1" t="str">
        <f t="shared" si="14008"/>
        <v>0</v>
      </c>
      <c r="K8293" s="1" t="str">
        <f t="shared" si="14008"/>
        <v>0</v>
      </c>
      <c r="L8293" s="1" t="str">
        <f t="shared" si="14008"/>
        <v>0</v>
      </c>
      <c r="M8293" s="1" t="str">
        <f t="shared" si="14008"/>
        <v>0</v>
      </c>
      <c r="N8293" s="1" t="str">
        <f t="shared" si="14008"/>
        <v>0</v>
      </c>
      <c r="O8293" s="1" t="str">
        <f t="shared" si="14008"/>
        <v>0</v>
      </c>
      <c r="P8293" s="1" t="str">
        <f t="shared" si="14008"/>
        <v>0</v>
      </c>
      <c r="Q8293" s="1" t="str">
        <f t="shared" si="13973"/>
        <v>0.0070</v>
      </c>
      <c r="R8293" s="1" t="s">
        <v>25</v>
      </c>
      <c r="T8293" s="1" t="str">
        <f t="shared" si="13974"/>
        <v>0</v>
      </c>
      <c r="U8293" s="1" t="str">
        <f t="shared" si="13964"/>
        <v>0.0070</v>
      </c>
    </row>
    <row r="8294" s="1" customFormat="1" spans="1:21">
      <c r="A8294" s="1" t="str">
        <f>"4601992393454"</f>
        <v>4601992393454</v>
      </c>
      <c r="B8294" s="1" t="s">
        <v>8317</v>
      </c>
      <c r="C8294" s="1" t="s">
        <v>24</v>
      </c>
      <c r="D8294" s="1" t="str">
        <f t="shared" si="13971"/>
        <v>2021</v>
      </c>
      <c r="E8294" s="1" t="str">
        <f t="shared" ref="E8294:P8294" si="14009">"0"</f>
        <v>0</v>
      </c>
      <c r="F8294" s="1" t="str">
        <f t="shared" si="14009"/>
        <v>0</v>
      </c>
      <c r="G8294" s="1" t="str">
        <f t="shared" si="14009"/>
        <v>0</v>
      </c>
      <c r="H8294" s="1" t="str">
        <f t="shared" si="14009"/>
        <v>0</v>
      </c>
      <c r="I8294" s="1" t="str">
        <f t="shared" si="14009"/>
        <v>0</v>
      </c>
      <c r="J8294" s="1" t="str">
        <f t="shared" si="14009"/>
        <v>0</v>
      </c>
      <c r="K8294" s="1" t="str">
        <f t="shared" si="14009"/>
        <v>0</v>
      </c>
      <c r="L8294" s="1" t="str">
        <f t="shared" si="14009"/>
        <v>0</v>
      </c>
      <c r="M8294" s="1" t="str">
        <f t="shared" si="14009"/>
        <v>0</v>
      </c>
      <c r="N8294" s="1" t="str">
        <f t="shared" si="14009"/>
        <v>0</v>
      </c>
      <c r="O8294" s="1" t="str">
        <f t="shared" si="14009"/>
        <v>0</v>
      </c>
      <c r="P8294" s="1" t="str">
        <f t="shared" si="14009"/>
        <v>0</v>
      </c>
      <c r="Q8294" s="1" t="str">
        <f t="shared" si="13973"/>
        <v>0.0070</v>
      </c>
      <c r="R8294" s="1" t="s">
        <v>25</v>
      </c>
      <c r="T8294" s="1" t="str">
        <f t="shared" si="13974"/>
        <v>0</v>
      </c>
      <c r="U8294" s="1" t="str">
        <f t="shared" si="13964"/>
        <v>0.0070</v>
      </c>
    </row>
    <row r="8295" s="1" customFormat="1" spans="1:21">
      <c r="A8295" s="1" t="str">
        <f>"4601992393673"</f>
        <v>4601992393673</v>
      </c>
      <c r="B8295" s="1" t="s">
        <v>8318</v>
      </c>
      <c r="C8295" s="1" t="s">
        <v>24</v>
      </c>
      <c r="D8295" s="1" t="str">
        <f t="shared" si="13971"/>
        <v>2021</v>
      </c>
      <c r="E8295" s="1" t="str">
        <f t="shared" ref="E8295:P8295" si="14010">"0"</f>
        <v>0</v>
      </c>
      <c r="F8295" s="1" t="str">
        <f t="shared" si="14010"/>
        <v>0</v>
      </c>
      <c r="G8295" s="1" t="str">
        <f t="shared" si="14010"/>
        <v>0</v>
      </c>
      <c r="H8295" s="1" t="str">
        <f t="shared" si="14010"/>
        <v>0</v>
      </c>
      <c r="I8295" s="1" t="str">
        <f t="shared" si="14010"/>
        <v>0</v>
      </c>
      <c r="J8295" s="1" t="str">
        <f t="shared" si="14010"/>
        <v>0</v>
      </c>
      <c r="K8295" s="1" t="str">
        <f t="shared" si="14010"/>
        <v>0</v>
      </c>
      <c r="L8295" s="1" t="str">
        <f t="shared" si="14010"/>
        <v>0</v>
      </c>
      <c r="M8295" s="1" t="str">
        <f t="shared" si="14010"/>
        <v>0</v>
      </c>
      <c r="N8295" s="1" t="str">
        <f t="shared" si="14010"/>
        <v>0</v>
      </c>
      <c r="O8295" s="1" t="str">
        <f t="shared" si="14010"/>
        <v>0</v>
      </c>
      <c r="P8295" s="1" t="str">
        <f t="shared" si="14010"/>
        <v>0</v>
      </c>
      <c r="Q8295" s="1" t="str">
        <f t="shared" si="13973"/>
        <v>0.0070</v>
      </c>
      <c r="R8295" s="1" t="s">
        <v>25</v>
      </c>
      <c r="T8295" s="1" t="str">
        <f t="shared" si="13974"/>
        <v>0</v>
      </c>
      <c r="U8295" s="1" t="str">
        <f t="shared" si="13964"/>
        <v>0.0070</v>
      </c>
    </row>
    <row r="8296" s="1" customFormat="1" spans="1:21">
      <c r="A8296" s="1" t="str">
        <f>"4601992393496"</f>
        <v>4601992393496</v>
      </c>
      <c r="B8296" s="1" t="s">
        <v>8319</v>
      </c>
      <c r="C8296" s="1" t="s">
        <v>24</v>
      </c>
      <c r="D8296" s="1" t="str">
        <f t="shared" si="13971"/>
        <v>2021</v>
      </c>
      <c r="E8296" s="1" t="str">
        <f t="shared" ref="E8296:P8296" si="14011">"0"</f>
        <v>0</v>
      </c>
      <c r="F8296" s="1" t="str">
        <f t="shared" si="14011"/>
        <v>0</v>
      </c>
      <c r="G8296" s="1" t="str">
        <f t="shared" si="14011"/>
        <v>0</v>
      </c>
      <c r="H8296" s="1" t="str">
        <f t="shared" si="14011"/>
        <v>0</v>
      </c>
      <c r="I8296" s="1" t="str">
        <f t="shared" si="14011"/>
        <v>0</v>
      </c>
      <c r="J8296" s="1" t="str">
        <f t="shared" si="14011"/>
        <v>0</v>
      </c>
      <c r="K8296" s="1" t="str">
        <f t="shared" si="14011"/>
        <v>0</v>
      </c>
      <c r="L8296" s="1" t="str">
        <f t="shared" si="14011"/>
        <v>0</v>
      </c>
      <c r="M8296" s="1" t="str">
        <f t="shared" si="14011"/>
        <v>0</v>
      </c>
      <c r="N8296" s="1" t="str">
        <f t="shared" si="14011"/>
        <v>0</v>
      </c>
      <c r="O8296" s="1" t="str">
        <f t="shared" si="14011"/>
        <v>0</v>
      </c>
      <c r="P8296" s="1" t="str">
        <f t="shared" si="14011"/>
        <v>0</v>
      </c>
      <c r="Q8296" s="1" t="str">
        <f t="shared" si="13973"/>
        <v>0.0070</v>
      </c>
      <c r="R8296" s="1" t="s">
        <v>25</v>
      </c>
      <c r="T8296" s="1" t="str">
        <f t="shared" si="13974"/>
        <v>0</v>
      </c>
      <c r="U8296" s="1" t="str">
        <f t="shared" si="13964"/>
        <v>0.0070</v>
      </c>
    </row>
    <row r="8297" s="1" customFormat="1" spans="1:21">
      <c r="A8297" s="1" t="str">
        <f>"4601992393803"</f>
        <v>4601992393803</v>
      </c>
      <c r="B8297" s="1" t="s">
        <v>8320</v>
      </c>
      <c r="C8297" s="1" t="s">
        <v>24</v>
      </c>
      <c r="D8297" s="1" t="str">
        <f t="shared" si="13971"/>
        <v>2021</v>
      </c>
      <c r="E8297" s="1" t="str">
        <f t="shared" ref="E8297:P8297" si="14012">"0"</f>
        <v>0</v>
      </c>
      <c r="F8297" s="1" t="str">
        <f t="shared" si="14012"/>
        <v>0</v>
      </c>
      <c r="G8297" s="1" t="str">
        <f t="shared" si="14012"/>
        <v>0</v>
      </c>
      <c r="H8297" s="1" t="str">
        <f t="shared" si="14012"/>
        <v>0</v>
      </c>
      <c r="I8297" s="1" t="str">
        <f t="shared" si="14012"/>
        <v>0</v>
      </c>
      <c r="J8297" s="1" t="str">
        <f t="shared" si="14012"/>
        <v>0</v>
      </c>
      <c r="K8297" s="1" t="str">
        <f t="shared" si="14012"/>
        <v>0</v>
      </c>
      <c r="L8297" s="1" t="str">
        <f t="shared" si="14012"/>
        <v>0</v>
      </c>
      <c r="M8297" s="1" t="str">
        <f t="shared" si="14012"/>
        <v>0</v>
      </c>
      <c r="N8297" s="1" t="str">
        <f t="shared" si="14012"/>
        <v>0</v>
      </c>
      <c r="O8297" s="1" t="str">
        <f t="shared" si="14012"/>
        <v>0</v>
      </c>
      <c r="P8297" s="1" t="str">
        <f t="shared" si="14012"/>
        <v>0</v>
      </c>
      <c r="Q8297" s="1" t="str">
        <f t="shared" si="13973"/>
        <v>0.0070</v>
      </c>
      <c r="R8297" s="1" t="s">
        <v>25</v>
      </c>
      <c r="T8297" s="1" t="str">
        <f t="shared" si="13974"/>
        <v>0</v>
      </c>
      <c r="U8297" s="1" t="str">
        <f t="shared" si="13964"/>
        <v>0.0070</v>
      </c>
    </row>
    <row r="8298" s="1" customFormat="1" spans="1:21">
      <c r="A8298" s="1" t="str">
        <f>"4601992393830"</f>
        <v>4601992393830</v>
      </c>
      <c r="B8298" s="1" t="s">
        <v>8321</v>
      </c>
      <c r="C8298" s="1" t="s">
        <v>24</v>
      </c>
      <c r="D8298" s="1" t="str">
        <f t="shared" si="13971"/>
        <v>2021</v>
      </c>
      <c r="E8298" s="1" t="str">
        <f t="shared" ref="E8298:P8298" si="14013">"0"</f>
        <v>0</v>
      </c>
      <c r="F8298" s="1" t="str">
        <f t="shared" si="14013"/>
        <v>0</v>
      </c>
      <c r="G8298" s="1" t="str">
        <f t="shared" si="14013"/>
        <v>0</v>
      </c>
      <c r="H8298" s="1" t="str">
        <f t="shared" si="14013"/>
        <v>0</v>
      </c>
      <c r="I8298" s="1" t="str">
        <f t="shared" si="14013"/>
        <v>0</v>
      </c>
      <c r="J8298" s="1" t="str">
        <f t="shared" si="14013"/>
        <v>0</v>
      </c>
      <c r="K8298" s="1" t="str">
        <f t="shared" si="14013"/>
        <v>0</v>
      </c>
      <c r="L8298" s="1" t="str">
        <f t="shared" si="14013"/>
        <v>0</v>
      </c>
      <c r="M8298" s="1" t="str">
        <f t="shared" si="14013"/>
        <v>0</v>
      </c>
      <c r="N8298" s="1" t="str">
        <f t="shared" si="14013"/>
        <v>0</v>
      </c>
      <c r="O8298" s="1" t="str">
        <f t="shared" si="14013"/>
        <v>0</v>
      </c>
      <c r="P8298" s="1" t="str">
        <f t="shared" si="14013"/>
        <v>0</v>
      </c>
      <c r="Q8298" s="1" t="str">
        <f t="shared" si="13973"/>
        <v>0.0070</v>
      </c>
      <c r="R8298" s="1" t="s">
        <v>25</v>
      </c>
      <c r="T8298" s="1" t="str">
        <f t="shared" si="13974"/>
        <v>0</v>
      </c>
      <c r="U8298" s="1" t="str">
        <f t="shared" si="13964"/>
        <v>0.0070</v>
      </c>
    </row>
    <row r="8299" s="1" customFormat="1" spans="1:21">
      <c r="A8299" s="1" t="str">
        <f>"4601992393930"</f>
        <v>4601992393930</v>
      </c>
      <c r="B8299" s="1" t="s">
        <v>8322</v>
      </c>
      <c r="C8299" s="1" t="s">
        <v>24</v>
      </c>
      <c r="D8299" s="1" t="str">
        <f t="shared" si="13971"/>
        <v>2021</v>
      </c>
      <c r="E8299" s="1" t="str">
        <f t="shared" ref="E8299:P8299" si="14014">"0"</f>
        <v>0</v>
      </c>
      <c r="F8299" s="1" t="str">
        <f t="shared" si="14014"/>
        <v>0</v>
      </c>
      <c r="G8299" s="1" t="str">
        <f t="shared" si="14014"/>
        <v>0</v>
      </c>
      <c r="H8299" s="1" t="str">
        <f t="shared" si="14014"/>
        <v>0</v>
      </c>
      <c r="I8299" s="1" t="str">
        <f t="shared" si="14014"/>
        <v>0</v>
      </c>
      <c r="J8299" s="1" t="str">
        <f t="shared" si="14014"/>
        <v>0</v>
      </c>
      <c r="K8299" s="1" t="str">
        <f t="shared" si="14014"/>
        <v>0</v>
      </c>
      <c r="L8299" s="1" t="str">
        <f t="shared" si="14014"/>
        <v>0</v>
      </c>
      <c r="M8299" s="1" t="str">
        <f t="shared" si="14014"/>
        <v>0</v>
      </c>
      <c r="N8299" s="1" t="str">
        <f t="shared" si="14014"/>
        <v>0</v>
      </c>
      <c r="O8299" s="1" t="str">
        <f t="shared" si="14014"/>
        <v>0</v>
      </c>
      <c r="P8299" s="1" t="str">
        <f t="shared" si="14014"/>
        <v>0</v>
      </c>
      <c r="Q8299" s="1" t="str">
        <f t="shared" si="13973"/>
        <v>0.0070</v>
      </c>
      <c r="R8299" s="1" t="s">
        <v>25</v>
      </c>
      <c r="T8299" s="1" t="str">
        <f t="shared" si="13974"/>
        <v>0</v>
      </c>
      <c r="U8299" s="1" t="str">
        <f t="shared" si="13964"/>
        <v>0.0070</v>
      </c>
    </row>
    <row r="8300" s="1" customFormat="1" spans="1:21">
      <c r="A8300" s="1" t="str">
        <f>"4601992393988"</f>
        <v>4601992393988</v>
      </c>
      <c r="B8300" s="1" t="s">
        <v>8323</v>
      </c>
      <c r="C8300" s="1" t="s">
        <v>24</v>
      </c>
      <c r="D8300" s="1" t="str">
        <f t="shared" si="13971"/>
        <v>2021</v>
      </c>
      <c r="E8300" s="1" t="str">
        <f t="shared" ref="E8300:P8300" si="14015">"0"</f>
        <v>0</v>
      </c>
      <c r="F8300" s="1" t="str">
        <f t="shared" si="14015"/>
        <v>0</v>
      </c>
      <c r="G8300" s="1" t="str">
        <f t="shared" si="14015"/>
        <v>0</v>
      </c>
      <c r="H8300" s="1" t="str">
        <f t="shared" si="14015"/>
        <v>0</v>
      </c>
      <c r="I8300" s="1" t="str">
        <f t="shared" si="14015"/>
        <v>0</v>
      </c>
      <c r="J8300" s="1" t="str">
        <f t="shared" si="14015"/>
        <v>0</v>
      </c>
      <c r="K8300" s="1" t="str">
        <f t="shared" si="14015"/>
        <v>0</v>
      </c>
      <c r="L8300" s="1" t="str">
        <f t="shared" si="14015"/>
        <v>0</v>
      </c>
      <c r="M8300" s="1" t="str">
        <f t="shared" si="14015"/>
        <v>0</v>
      </c>
      <c r="N8300" s="1" t="str">
        <f t="shared" si="14015"/>
        <v>0</v>
      </c>
      <c r="O8300" s="1" t="str">
        <f t="shared" si="14015"/>
        <v>0</v>
      </c>
      <c r="P8300" s="1" t="str">
        <f t="shared" si="14015"/>
        <v>0</v>
      </c>
      <c r="Q8300" s="1" t="str">
        <f t="shared" si="13973"/>
        <v>0.0070</v>
      </c>
      <c r="R8300" s="1" t="s">
        <v>25</v>
      </c>
      <c r="T8300" s="1" t="str">
        <f t="shared" si="13974"/>
        <v>0</v>
      </c>
      <c r="U8300" s="1" t="str">
        <f t="shared" si="13964"/>
        <v>0.0070</v>
      </c>
    </row>
    <row r="8301" s="1" customFormat="1" spans="1:21">
      <c r="A8301" s="1" t="str">
        <f>"4601992394194"</f>
        <v>4601992394194</v>
      </c>
      <c r="B8301" s="1" t="s">
        <v>8324</v>
      </c>
      <c r="C8301" s="1" t="s">
        <v>24</v>
      </c>
      <c r="D8301" s="1" t="str">
        <f t="shared" si="13971"/>
        <v>2021</v>
      </c>
      <c r="E8301" s="1" t="str">
        <f t="shared" ref="E8301:P8301" si="14016">"0"</f>
        <v>0</v>
      </c>
      <c r="F8301" s="1" t="str">
        <f t="shared" si="14016"/>
        <v>0</v>
      </c>
      <c r="G8301" s="1" t="str">
        <f t="shared" si="14016"/>
        <v>0</v>
      </c>
      <c r="H8301" s="1" t="str">
        <f t="shared" si="14016"/>
        <v>0</v>
      </c>
      <c r="I8301" s="1" t="str">
        <f t="shared" si="14016"/>
        <v>0</v>
      </c>
      <c r="J8301" s="1" t="str">
        <f t="shared" si="14016"/>
        <v>0</v>
      </c>
      <c r="K8301" s="1" t="str">
        <f t="shared" si="14016"/>
        <v>0</v>
      </c>
      <c r="L8301" s="1" t="str">
        <f t="shared" si="14016"/>
        <v>0</v>
      </c>
      <c r="M8301" s="1" t="str">
        <f t="shared" si="14016"/>
        <v>0</v>
      </c>
      <c r="N8301" s="1" t="str">
        <f t="shared" si="14016"/>
        <v>0</v>
      </c>
      <c r="O8301" s="1" t="str">
        <f t="shared" si="14016"/>
        <v>0</v>
      </c>
      <c r="P8301" s="1" t="str">
        <f t="shared" si="14016"/>
        <v>0</v>
      </c>
      <c r="Q8301" s="1" t="str">
        <f t="shared" si="13973"/>
        <v>0.0070</v>
      </c>
      <c r="R8301" s="1" t="s">
        <v>25</v>
      </c>
      <c r="T8301" s="1" t="str">
        <f t="shared" si="13974"/>
        <v>0</v>
      </c>
      <c r="U8301" s="1" t="str">
        <f t="shared" si="13964"/>
        <v>0.0070</v>
      </c>
    </row>
    <row r="8302" s="1" customFormat="1" spans="1:21">
      <c r="A8302" s="1" t="str">
        <f>"4601992394263"</f>
        <v>4601992394263</v>
      </c>
      <c r="B8302" s="1" t="s">
        <v>8325</v>
      </c>
      <c r="C8302" s="1" t="s">
        <v>24</v>
      </c>
      <c r="D8302" s="1" t="str">
        <f t="shared" si="13971"/>
        <v>2021</v>
      </c>
      <c r="E8302" s="1" t="str">
        <f t="shared" ref="E8302:P8302" si="14017">"0"</f>
        <v>0</v>
      </c>
      <c r="F8302" s="1" t="str">
        <f t="shared" si="14017"/>
        <v>0</v>
      </c>
      <c r="G8302" s="1" t="str">
        <f t="shared" si="14017"/>
        <v>0</v>
      </c>
      <c r="H8302" s="1" t="str">
        <f t="shared" si="14017"/>
        <v>0</v>
      </c>
      <c r="I8302" s="1" t="str">
        <f t="shared" si="14017"/>
        <v>0</v>
      </c>
      <c r="J8302" s="1" t="str">
        <f t="shared" si="14017"/>
        <v>0</v>
      </c>
      <c r="K8302" s="1" t="str">
        <f t="shared" si="14017"/>
        <v>0</v>
      </c>
      <c r="L8302" s="1" t="str">
        <f t="shared" si="14017"/>
        <v>0</v>
      </c>
      <c r="M8302" s="1" t="str">
        <f t="shared" si="14017"/>
        <v>0</v>
      </c>
      <c r="N8302" s="1" t="str">
        <f t="shared" si="14017"/>
        <v>0</v>
      </c>
      <c r="O8302" s="1" t="str">
        <f t="shared" si="14017"/>
        <v>0</v>
      </c>
      <c r="P8302" s="1" t="str">
        <f t="shared" si="14017"/>
        <v>0</v>
      </c>
      <c r="Q8302" s="1" t="str">
        <f t="shared" si="13973"/>
        <v>0.0070</v>
      </c>
      <c r="R8302" s="1" t="s">
        <v>25</v>
      </c>
      <c r="T8302" s="1" t="str">
        <f t="shared" si="13974"/>
        <v>0</v>
      </c>
      <c r="U8302" s="1" t="str">
        <f t="shared" si="13964"/>
        <v>0.0070</v>
      </c>
    </row>
    <row r="8303" s="1" customFormat="1" spans="1:21">
      <c r="A8303" s="1" t="str">
        <f>"4601992394405"</f>
        <v>4601992394405</v>
      </c>
      <c r="B8303" s="1" t="s">
        <v>8326</v>
      </c>
      <c r="C8303" s="1" t="s">
        <v>24</v>
      </c>
      <c r="D8303" s="1" t="str">
        <f t="shared" si="13971"/>
        <v>2021</v>
      </c>
      <c r="E8303" s="1" t="str">
        <f t="shared" ref="E8303:P8303" si="14018">"0"</f>
        <v>0</v>
      </c>
      <c r="F8303" s="1" t="str">
        <f t="shared" si="14018"/>
        <v>0</v>
      </c>
      <c r="G8303" s="1" t="str">
        <f t="shared" si="14018"/>
        <v>0</v>
      </c>
      <c r="H8303" s="1" t="str">
        <f t="shared" si="14018"/>
        <v>0</v>
      </c>
      <c r="I8303" s="1" t="str">
        <f t="shared" si="14018"/>
        <v>0</v>
      </c>
      <c r="J8303" s="1" t="str">
        <f t="shared" si="14018"/>
        <v>0</v>
      </c>
      <c r="K8303" s="1" t="str">
        <f t="shared" si="14018"/>
        <v>0</v>
      </c>
      <c r="L8303" s="1" t="str">
        <f t="shared" si="14018"/>
        <v>0</v>
      </c>
      <c r="M8303" s="1" t="str">
        <f t="shared" si="14018"/>
        <v>0</v>
      </c>
      <c r="N8303" s="1" t="str">
        <f t="shared" si="14018"/>
        <v>0</v>
      </c>
      <c r="O8303" s="1" t="str">
        <f t="shared" si="14018"/>
        <v>0</v>
      </c>
      <c r="P8303" s="1" t="str">
        <f t="shared" si="14018"/>
        <v>0</v>
      </c>
      <c r="Q8303" s="1" t="str">
        <f t="shared" si="13973"/>
        <v>0.0070</v>
      </c>
      <c r="R8303" s="1" t="s">
        <v>25</v>
      </c>
      <c r="T8303" s="1" t="str">
        <f t="shared" si="13974"/>
        <v>0</v>
      </c>
      <c r="U8303" s="1" t="str">
        <f t="shared" si="13964"/>
        <v>0.0070</v>
      </c>
    </row>
    <row r="8304" s="1" customFormat="1" spans="1:21">
      <c r="A8304" s="1" t="str">
        <f>"4601992394420"</f>
        <v>4601992394420</v>
      </c>
      <c r="B8304" s="1" t="s">
        <v>8327</v>
      </c>
      <c r="C8304" s="1" t="s">
        <v>24</v>
      </c>
      <c r="D8304" s="1" t="str">
        <f t="shared" si="13971"/>
        <v>2021</v>
      </c>
      <c r="E8304" s="1" t="str">
        <f t="shared" ref="E8304:P8304" si="14019">"0"</f>
        <v>0</v>
      </c>
      <c r="F8304" s="1" t="str">
        <f t="shared" si="14019"/>
        <v>0</v>
      </c>
      <c r="G8304" s="1" t="str">
        <f t="shared" si="14019"/>
        <v>0</v>
      </c>
      <c r="H8304" s="1" t="str">
        <f t="shared" si="14019"/>
        <v>0</v>
      </c>
      <c r="I8304" s="1" t="str">
        <f t="shared" si="14019"/>
        <v>0</v>
      </c>
      <c r="J8304" s="1" t="str">
        <f t="shared" si="14019"/>
        <v>0</v>
      </c>
      <c r="K8304" s="1" t="str">
        <f t="shared" si="14019"/>
        <v>0</v>
      </c>
      <c r="L8304" s="1" t="str">
        <f t="shared" si="14019"/>
        <v>0</v>
      </c>
      <c r="M8304" s="1" t="str">
        <f t="shared" si="14019"/>
        <v>0</v>
      </c>
      <c r="N8304" s="1" t="str">
        <f t="shared" si="14019"/>
        <v>0</v>
      </c>
      <c r="O8304" s="1" t="str">
        <f t="shared" si="14019"/>
        <v>0</v>
      </c>
      <c r="P8304" s="1" t="str">
        <f t="shared" si="14019"/>
        <v>0</v>
      </c>
      <c r="Q8304" s="1" t="str">
        <f t="shared" si="13973"/>
        <v>0.0070</v>
      </c>
      <c r="R8304" s="1" t="s">
        <v>25</v>
      </c>
      <c r="T8304" s="1" t="str">
        <f t="shared" si="13974"/>
        <v>0</v>
      </c>
      <c r="U8304" s="1" t="str">
        <f t="shared" si="13964"/>
        <v>0.0070</v>
      </c>
    </row>
    <row r="8305" s="1" customFormat="1" spans="1:21">
      <c r="A8305" s="1" t="str">
        <f>"4601992394455"</f>
        <v>4601992394455</v>
      </c>
      <c r="B8305" s="1" t="s">
        <v>8328</v>
      </c>
      <c r="C8305" s="1" t="s">
        <v>24</v>
      </c>
      <c r="D8305" s="1" t="str">
        <f t="shared" si="13971"/>
        <v>2021</v>
      </c>
      <c r="E8305" s="1" t="str">
        <f t="shared" ref="E8305:P8305" si="14020">"0"</f>
        <v>0</v>
      </c>
      <c r="F8305" s="1" t="str">
        <f t="shared" si="14020"/>
        <v>0</v>
      </c>
      <c r="G8305" s="1" t="str">
        <f t="shared" si="14020"/>
        <v>0</v>
      </c>
      <c r="H8305" s="1" t="str">
        <f t="shared" si="14020"/>
        <v>0</v>
      </c>
      <c r="I8305" s="1" t="str">
        <f t="shared" si="14020"/>
        <v>0</v>
      </c>
      <c r="J8305" s="1" t="str">
        <f t="shared" si="14020"/>
        <v>0</v>
      </c>
      <c r="K8305" s="1" t="str">
        <f t="shared" si="14020"/>
        <v>0</v>
      </c>
      <c r="L8305" s="1" t="str">
        <f t="shared" si="14020"/>
        <v>0</v>
      </c>
      <c r="M8305" s="1" t="str">
        <f t="shared" si="14020"/>
        <v>0</v>
      </c>
      <c r="N8305" s="1" t="str">
        <f t="shared" si="14020"/>
        <v>0</v>
      </c>
      <c r="O8305" s="1" t="str">
        <f t="shared" si="14020"/>
        <v>0</v>
      </c>
      <c r="P8305" s="1" t="str">
        <f t="shared" si="14020"/>
        <v>0</v>
      </c>
      <c r="Q8305" s="1" t="str">
        <f t="shared" si="13973"/>
        <v>0.0070</v>
      </c>
      <c r="R8305" s="1" t="s">
        <v>25</v>
      </c>
      <c r="T8305" s="1" t="str">
        <f t="shared" si="13974"/>
        <v>0</v>
      </c>
      <c r="U8305" s="1" t="str">
        <f t="shared" si="13964"/>
        <v>0.0070</v>
      </c>
    </row>
    <row r="8306" s="1" customFormat="1" spans="1:21">
      <c r="A8306" s="1" t="str">
        <f>"4601992394474"</f>
        <v>4601992394474</v>
      </c>
      <c r="B8306" s="1" t="s">
        <v>8329</v>
      </c>
      <c r="C8306" s="1" t="s">
        <v>24</v>
      </c>
      <c r="D8306" s="1" t="str">
        <f t="shared" si="13971"/>
        <v>2021</v>
      </c>
      <c r="E8306" s="1" t="str">
        <f t="shared" ref="E8306:P8306" si="14021">"0"</f>
        <v>0</v>
      </c>
      <c r="F8306" s="1" t="str">
        <f t="shared" si="14021"/>
        <v>0</v>
      </c>
      <c r="G8306" s="1" t="str">
        <f t="shared" si="14021"/>
        <v>0</v>
      </c>
      <c r="H8306" s="1" t="str">
        <f t="shared" si="14021"/>
        <v>0</v>
      </c>
      <c r="I8306" s="1" t="str">
        <f t="shared" si="14021"/>
        <v>0</v>
      </c>
      <c r="J8306" s="1" t="str">
        <f t="shared" si="14021"/>
        <v>0</v>
      </c>
      <c r="K8306" s="1" t="str">
        <f t="shared" si="14021"/>
        <v>0</v>
      </c>
      <c r="L8306" s="1" t="str">
        <f t="shared" si="14021"/>
        <v>0</v>
      </c>
      <c r="M8306" s="1" t="str">
        <f t="shared" si="14021"/>
        <v>0</v>
      </c>
      <c r="N8306" s="1" t="str">
        <f t="shared" si="14021"/>
        <v>0</v>
      </c>
      <c r="O8306" s="1" t="str">
        <f t="shared" si="14021"/>
        <v>0</v>
      </c>
      <c r="P8306" s="1" t="str">
        <f t="shared" si="14021"/>
        <v>0</v>
      </c>
      <c r="Q8306" s="1" t="str">
        <f t="shared" si="13973"/>
        <v>0.0070</v>
      </c>
      <c r="R8306" s="1" t="s">
        <v>25</v>
      </c>
      <c r="T8306" s="1" t="str">
        <f t="shared" si="13974"/>
        <v>0</v>
      </c>
      <c r="U8306" s="1" t="str">
        <f t="shared" si="13964"/>
        <v>0.0070</v>
      </c>
    </row>
    <row r="8307" s="1" customFormat="1" spans="1:21">
      <c r="A8307" s="1" t="str">
        <f>"4601992394544"</f>
        <v>4601992394544</v>
      </c>
      <c r="B8307" s="1" t="s">
        <v>8330</v>
      </c>
      <c r="C8307" s="1" t="s">
        <v>24</v>
      </c>
      <c r="D8307" s="1" t="str">
        <f t="shared" si="13971"/>
        <v>2021</v>
      </c>
      <c r="E8307" s="1" t="str">
        <f t="shared" ref="E8307:P8307" si="14022">"0"</f>
        <v>0</v>
      </c>
      <c r="F8307" s="1" t="str">
        <f t="shared" si="14022"/>
        <v>0</v>
      </c>
      <c r="G8307" s="1" t="str">
        <f t="shared" si="14022"/>
        <v>0</v>
      </c>
      <c r="H8307" s="1" t="str">
        <f t="shared" si="14022"/>
        <v>0</v>
      </c>
      <c r="I8307" s="1" t="str">
        <f t="shared" si="14022"/>
        <v>0</v>
      </c>
      <c r="J8307" s="1" t="str">
        <f t="shared" si="14022"/>
        <v>0</v>
      </c>
      <c r="K8307" s="1" t="str">
        <f t="shared" si="14022"/>
        <v>0</v>
      </c>
      <c r="L8307" s="1" t="str">
        <f t="shared" si="14022"/>
        <v>0</v>
      </c>
      <c r="M8307" s="1" t="str">
        <f t="shared" si="14022"/>
        <v>0</v>
      </c>
      <c r="N8307" s="1" t="str">
        <f t="shared" si="14022"/>
        <v>0</v>
      </c>
      <c r="O8307" s="1" t="str">
        <f t="shared" si="14022"/>
        <v>0</v>
      </c>
      <c r="P8307" s="1" t="str">
        <f t="shared" si="14022"/>
        <v>0</v>
      </c>
      <c r="Q8307" s="1" t="str">
        <f t="shared" si="13973"/>
        <v>0.0070</v>
      </c>
      <c r="R8307" s="1" t="s">
        <v>25</v>
      </c>
      <c r="T8307" s="1" t="str">
        <f t="shared" si="13974"/>
        <v>0</v>
      </c>
      <c r="U8307" s="1" t="str">
        <f t="shared" si="13964"/>
        <v>0.0070</v>
      </c>
    </row>
    <row r="8308" s="1" customFormat="1" spans="1:21">
      <c r="A8308" s="1" t="str">
        <f>"4601992018020"</f>
        <v>4601992018020</v>
      </c>
      <c r="B8308" s="1" t="s">
        <v>8331</v>
      </c>
      <c r="C8308" s="1" t="s">
        <v>24</v>
      </c>
      <c r="D8308" s="1" t="str">
        <f t="shared" si="13971"/>
        <v>2021</v>
      </c>
      <c r="E8308" s="1" t="str">
        <f>"279.32"</f>
        <v>279.32</v>
      </c>
      <c r="F8308" s="1" t="str">
        <f t="shared" ref="F8308:I8308" si="14023">"0"</f>
        <v>0</v>
      </c>
      <c r="G8308" s="1" t="str">
        <f t="shared" si="14023"/>
        <v>0</v>
      </c>
      <c r="H8308" s="1" t="str">
        <f t="shared" si="14023"/>
        <v>0</v>
      </c>
      <c r="I8308" s="1" t="str">
        <f t="shared" si="14023"/>
        <v>0</v>
      </c>
      <c r="J8308" s="1" t="str">
        <f>"37"</f>
        <v>37</v>
      </c>
      <c r="K8308" s="1" t="str">
        <f t="shared" ref="K8308:P8308" si="14024">"0"</f>
        <v>0</v>
      </c>
      <c r="L8308" s="1" t="str">
        <f t="shared" si="14024"/>
        <v>0</v>
      </c>
      <c r="M8308" s="1" t="str">
        <f t="shared" si="14024"/>
        <v>0</v>
      </c>
      <c r="N8308" s="1" t="str">
        <f t="shared" si="14024"/>
        <v>0</v>
      </c>
      <c r="O8308" s="1" t="str">
        <f t="shared" si="14024"/>
        <v>0</v>
      </c>
      <c r="P8308" s="1" t="str">
        <f t="shared" si="14024"/>
        <v>0</v>
      </c>
      <c r="Q8308" s="1" t="str">
        <f t="shared" si="13973"/>
        <v>0.0070</v>
      </c>
      <c r="R8308" s="1" t="s">
        <v>29</v>
      </c>
      <c r="S8308" s="1">
        <v>-0.0014</v>
      </c>
      <c r="T8308" s="1" t="str">
        <f t="shared" si="13974"/>
        <v>0</v>
      </c>
      <c r="U8308" s="1" t="str">
        <f>"0.0056"</f>
        <v>0.0056</v>
      </c>
    </row>
    <row r="8309" s="1" customFormat="1" spans="1:21">
      <c r="A8309" s="1" t="str">
        <f>"4601992394656"</f>
        <v>4601992394656</v>
      </c>
      <c r="B8309" s="1" t="s">
        <v>8332</v>
      </c>
      <c r="C8309" s="1" t="s">
        <v>24</v>
      </c>
      <c r="D8309" s="1" t="str">
        <f t="shared" si="13971"/>
        <v>2021</v>
      </c>
      <c r="E8309" s="1" t="str">
        <f t="shared" ref="E8309:P8309" si="14025">"0"</f>
        <v>0</v>
      </c>
      <c r="F8309" s="1" t="str">
        <f t="shared" si="14025"/>
        <v>0</v>
      </c>
      <c r="G8309" s="1" t="str">
        <f t="shared" si="14025"/>
        <v>0</v>
      </c>
      <c r="H8309" s="1" t="str">
        <f t="shared" si="14025"/>
        <v>0</v>
      </c>
      <c r="I8309" s="1" t="str">
        <f t="shared" si="14025"/>
        <v>0</v>
      </c>
      <c r="J8309" s="1" t="str">
        <f t="shared" si="14025"/>
        <v>0</v>
      </c>
      <c r="K8309" s="1" t="str">
        <f t="shared" si="14025"/>
        <v>0</v>
      </c>
      <c r="L8309" s="1" t="str">
        <f t="shared" si="14025"/>
        <v>0</v>
      </c>
      <c r="M8309" s="1" t="str">
        <f t="shared" si="14025"/>
        <v>0</v>
      </c>
      <c r="N8309" s="1" t="str">
        <f t="shared" si="14025"/>
        <v>0</v>
      </c>
      <c r="O8309" s="1" t="str">
        <f t="shared" si="14025"/>
        <v>0</v>
      </c>
      <c r="P8309" s="1" t="str">
        <f t="shared" si="14025"/>
        <v>0</v>
      </c>
      <c r="Q8309" s="1" t="str">
        <f t="shared" si="13973"/>
        <v>0.0070</v>
      </c>
      <c r="R8309" s="1" t="s">
        <v>25</v>
      </c>
      <c r="T8309" s="1" t="str">
        <f t="shared" si="13974"/>
        <v>0</v>
      </c>
      <c r="U8309" s="1" t="str">
        <f>"0.0070"</f>
        <v>0.0070</v>
      </c>
    </row>
    <row r="8310" s="1" customFormat="1" spans="1:21">
      <c r="A8310" s="1" t="str">
        <f>"4601992394668"</f>
        <v>4601992394668</v>
      </c>
      <c r="B8310" s="1" t="s">
        <v>8333</v>
      </c>
      <c r="C8310" s="1" t="s">
        <v>24</v>
      </c>
      <c r="D8310" s="1" t="str">
        <f t="shared" si="13971"/>
        <v>2021</v>
      </c>
      <c r="E8310" s="1" t="str">
        <f t="shared" ref="E8310:P8310" si="14026">"0"</f>
        <v>0</v>
      </c>
      <c r="F8310" s="1" t="str">
        <f t="shared" si="14026"/>
        <v>0</v>
      </c>
      <c r="G8310" s="1" t="str">
        <f t="shared" si="14026"/>
        <v>0</v>
      </c>
      <c r="H8310" s="1" t="str">
        <f t="shared" si="14026"/>
        <v>0</v>
      </c>
      <c r="I8310" s="1" t="str">
        <f t="shared" si="14026"/>
        <v>0</v>
      </c>
      <c r="J8310" s="1" t="str">
        <f t="shared" si="14026"/>
        <v>0</v>
      </c>
      <c r="K8310" s="1" t="str">
        <f t="shared" si="14026"/>
        <v>0</v>
      </c>
      <c r="L8310" s="1" t="str">
        <f t="shared" si="14026"/>
        <v>0</v>
      </c>
      <c r="M8310" s="1" t="str">
        <f t="shared" si="14026"/>
        <v>0</v>
      </c>
      <c r="N8310" s="1" t="str">
        <f t="shared" si="14026"/>
        <v>0</v>
      </c>
      <c r="O8310" s="1" t="str">
        <f t="shared" si="14026"/>
        <v>0</v>
      </c>
      <c r="P8310" s="1" t="str">
        <f t="shared" si="14026"/>
        <v>0</v>
      </c>
      <c r="Q8310" s="1" t="str">
        <f t="shared" si="13973"/>
        <v>0.0070</v>
      </c>
      <c r="R8310" s="1" t="s">
        <v>25</v>
      </c>
      <c r="T8310" s="1" t="str">
        <f t="shared" si="13974"/>
        <v>0</v>
      </c>
      <c r="U8310" s="1" t="str">
        <f>"0.0070"</f>
        <v>0.0070</v>
      </c>
    </row>
    <row r="8311" s="1" customFormat="1" spans="1:21">
      <c r="A8311" s="1" t="str">
        <f>"4601991402127"</f>
        <v>4601991402127</v>
      </c>
      <c r="B8311" s="1" t="s">
        <v>8334</v>
      </c>
      <c r="C8311" s="1" t="s">
        <v>24</v>
      </c>
      <c r="D8311" s="1" t="str">
        <f t="shared" si="13971"/>
        <v>2021</v>
      </c>
      <c r="E8311" s="1" t="str">
        <f>"11744.64"</f>
        <v>11744.64</v>
      </c>
      <c r="F8311" s="1" t="str">
        <f t="shared" ref="F8311:I8311" si="14027">"0"</f>
        <v>0</v>
      </c>
      <c r="G8311" s="1" t="str">
        <f t="shared" si="14027"/>
        <v>0</v>
      </c>
      <c r="H8311" s="1" t="str">
        <f t="shared" si="14027"/>
        <v>0</v>
      </c>
      <c r="I8311" s="1" t="str">
        <f t="shared" si="14027"/>
        <v>0</v>
      </c>
      <c r="J8311" s="1" t="str">
        <f>"785"</f>
        <v>785</v>
      </c>
      <c r="K8311" s="1" t="str">
        <f t="shared" ref="K8311:P8311" si="14028">"0"</f>
        <v>0</v>
      </c>
      <c r="L8311" s="1" t="str">
        <f t="shared" si="14028"/>
        <v>0</v>
      </c>
      <c r="M8311" s="1" t="str">
        <f t="shared" si="14028"/>
        <v>0</v>
      </c>
      <c r="N8311" s="1" t="str">
        <f t="shared" si="14028"/>
        <v>0</v>
      </c>
      <c r="O8311" s="1" t="str">
        <f t="shared" si="14028"/>
        <v>0</v>
      </c>
      <c r="P8311" s="1" t="str">
        <f t="shared" si="14028"/>
        <v>0</v>
      </c>
      <c r="Q8311" s="1" t="str">
        <f t="shared" si="13973"/>
        <v>0.0070</v>
      </c>
      <c r="R8311" s="1" t="s">
        <v>29</v>
      </c>
      <c r="S8311" s="1">
        <v>-0.0014</v>
      </c>
      <c r="T8311" s="1" t="str">
        <f t="shared" si="13974"/>
        <v>0</v>
      </c>
      <c r="U8311" s="1" t="str">
        <f>"0.0056"</f>
        <v>0.0056</v>
      </c>
    </row>
  </sheetData>
  <mergeCells count="1">
    <mergeCell ref="A1:V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2021-09-18T01:35:00Z</dcterms:created>
  <dcterms:modified xsi:type="dcterms:W3CDTF">2021-09-18T02:26:36Z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